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bansa\Downloads\"/>
    </mc:Choice>
  </mc:AlternateContent>
  <xr:revisionPtr revIDLastSave="0" documentId="13_ncr:1_{18BDC9A6-2706-48E4-9DBF-3EDE7C2E2FE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Ashvat_Design_0" sheetId="36" r:id="rId1"/>
    <sheet name="Ashvat_Design_6000" sheetId="39" r:id="rId2"/>
    <sheet name="Ashvat_Ferry_0" sheetId="27" r:id="rId3"/>
    <sheet name="Ashvat_Ferry_6000" sheetId="40" r:id="rId4"/>
    <sheet name="Ashvat Design Coeff" sheetId="29" r:id="rId5"/>
    <sheet name="Ashvat Ferry Coeff" sheetId="16" r:id="rId6"/>
    <sheet name="Payload-Range" sheetId="30" r:id="rId7"/>
    <sheet name="Payload-Time" sheetId="41" r:id="rId8"/>
    <sheet name="Range Mach" sheetId="17" r:id="rId9"/>
    <sheet name="Ceiling " sheetId="11" r:id="rId10"/>
    <sheet name="Flight Envelope" sheetId="31" r:id="rId11"/>
    <sheet name="Payload-Time on Station" sheetId="35" r:id="rId12"/>
    <sheet name="Trade study 1" sheetId="48" r:id="rId13"/>
    <sheet name="Trade study 2" sheetId="50" r:id="rId14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1" roundtripDataSignature="AMtx7mjtQmtNjCGuOJ3kF8RZPvSydDIm7A=="/>
    </ext>
  </extLst>
</workbook>
</file>

<file path=xl/calcChain.xml><?xml version="1.0" encoding="utf-8"?>
<calcChain xmlns="http://schemas.openxmlformats.org/spreadsheetml/2006/main">
  <c r="P17" i="36" l="1"/>
  <c r="P16" i="36"/>
  <c r="P17" i="27"/>
  <c r="P16" i="27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298" i="40"/>
  <c r="F297" i="40"/>
  <c r="E31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297" i="27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315" i="36"/>
  <c r="F316" i="36"/>
  <c r="F317" i="36"/>
  <c r="F318" i="36"/>
  <c r="F298" i="36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F275" i="27"/>
  <c r="F276" i="27"/>
  <c r="F277" i="27"/>
  <c r="F257" i="27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77" i="36"/>
  <c r="AB24" i="36"/>
  <c r="L49" i="50"/>
  <c r="L50" i="50" s="1"/>
  <c r="L51" i="50" s="1"/>
  <c r="L52" i="50" s="1"/>
  <c r="L53" i="50" s="1"/>
  <c r="L54" i="50" s="1"/>
  <c r="L55" i="50" s="1"/>
  <c r="L56" i="50" s="1"/>
  <c r="L57" i="50" s="1"/>
  <c r="L58" i="50" s="1"/>
  <c r="L59" i="50" s="1"/>
  <c r="L60" i="50" s="1"/>
  <c r="L61" i="50" s="1"/>
  <c r="L62" i="50" s="1"/>
  <c r="L63" i="50" s="1"/>
  <c r="L64" i="50" s="1"/>
  <c r="L65" i="50" s="1"/>
  <c r="L66" i="50" s="1"/>
  <c r="L67" i="50" s="1"/>
  <c r="L68" i="50" s="1"/>
  <c r="B335" i="50"/>
  <c r="B334" i="50"/>
  <c r="G333" i="50"/>
  <c r="B333" i="50"/>
  <c r="AZ328" i="50"/>
  <c r="AP328" i="50" s="1"/>
  <c r="J328" i="50"/>
  <c r="H328" i="50"/>
  <c r="AR328" i="50" s="1"/>
  <c r="F328" i="50"/>
  <c r="E328" i="50"/>
  <c r="C328" i="50"/>
  <c r="B328" i="50"/>
  <c r="A328" i="50"/>
  <c r="D301" i="50"/>
  <c r="D299" i="50"/>
  <c r="D300" i="50" s="1"/>
  <c r="E300" i="50" s="1"/>
  <c r="BB292" i="50"/>
  <c r="BA292" i="50"/>
  <c r="AU292" i="50"/>
  <c r="AR292" i="50"/>
  <c r="AQ292" i="50"/>
  <c r="AT292" i="50" s="1"/>
  <c r="AW292" i="50" s="1"/>
  <c r="AP292" i="50"/>
  <c r="AI292" i="50" s="1"/>
  <c r="AF292" i="50"/>
  <c r="J292" i="50"/>
  <c r="AZ292" i="50" s="1"/>
  <c r="F283" i="50"/>
  <c r="E283" i="50"/>
  <c r="F282" i="50"/>
  <c r="E282" i="50"/>
  <c r="F281" i="50"/>
  <c r="E281" i="50"/>
  <c r="F280" i="50"/>
  <c r="E280" i="50"/>
  <c r="F279" i="50"/>
  <c r="E279" i="50"/>
  <c r="F278" i="50"/>
  <c r="E278" i="50"/>
  <c r="AH277" i="50"/>
  <c r="AG277" i="50"/>
  <c r="F277" i="50"/>
  <c r="E277" i="50"/>
  <c r="AH276" i="50"/>
  <c r="AG276" i="50"/>
  <c r="F276" i="50"/>
  <c r="E276" i="50"/>
  <c r="AH275" i="50"/>
  <c r="AG275" i="50"/>
  <c r="F275" i="50"/>
  <c r="E275" i="50"/>
  <c r="AH274" i="50"/>
  <c r="AG274" i="50"/>
  <c r="F274" i="50"/>
  <c r="E274" i="50"/>
  <c r="AH273" i="50"/>
  <c r="AG273" i="50"/>
  <c r="F273" i="50"/>
  <c r="E273" i="50"/>
  <c r="AH272" i="50"/>
  <c r="AG272" i="50"/>
  <c r="F272" i="50"/>
  <c r="E272" i="50"/>
  <c r="AH271" i="50"/>
  <c r="AG271" i="50"/>
  <c r="F271" i="50"/>
  <c r="E271" i="50"/>
  <c r="AH270" i="50"/>
  <c r="AG270" i="50"/>
  <c r="F270" i="50"/>
  <c r="E270" i="50"/>
  <c r="AH269" i="50"/>
  <c r="AG269" i="50"/>
  <c r="F269" i="50"/>
  <c r="E269" i="50"/>
  <c r="AH268" i="50"/>
  <c r="AG268" i="50"/>
  <c r="F268" i="50"/>
  <c r="E268" i="50"/>
  <c r="AH267" i="50"/>
  <c r="AG267" i="50"/>
  <c r="F267" i="50"/>
  <c r="E267" i="50"/>
  <c r="AH266" i="50"/>
  <c r="F266" i="50" s="1"/>
  <c r="AG266" i="50"/>
  <c r="E266" i="50"/>
  <c r="AH265" i="50"/>
  <c r="AG265" i="50"/>
  <c r="F265" i="50"/>
  <c r="E265" i="50"/>
  <c r="AH264" i="50"/>
  <c r="F264" i="50" s="1"/>
  <c r="AG264" i="50"/>
  <c r="E264" i="50"/>
  <c r="B264" i="50"/>
  <c r="AH263" i="50"/>
  <c r="AG263" i="50"/>
  <c r="F263" i="50"/>
  <c r="E263" i="50"/>
  <c r="AH262" i="50"/>
  <c r="F262" i="50" s="1"/>
  <c r="AG262" i="50"/>
  <c r="E262" i="50"/>
  <c r="AH261" i="50"/>
  <c r="AG261" i="50"/>
  <c r="F261" i="50"/>
  <c r="E261" i="50"/>
  <c r="AH260" i="50"/>
  <c r="AG260" i="50"/>
  <c r="F260" i="50"/>
  <c r="E260" i="50"/>
  <c r="AH259" i="50"/>
  <c r="AG259" i="50"/>
  <c r="F259" i="50"/>
  <c r="E259" i="50"/>
  <c r="AH258" i="50"/>
  <c r="AG258" i="50"/>
  <c r="F258" i="50"/>
  <c r="E258" i="50"/>
  <c r="AH257" i="50"/>
  <c r="AG257" i="50"/>
  <c r="F257" i="50"/>
  <c r="E257" i="50"/>
  <c r="L234" i="50"/>
  <c r="L235" i="50" s="1"/>
  <c r="L236" i="50" s="1"/>
  <c r="L237" i="50" s="1"/>
  <c r="L233" i="50"/>
  <c r="H209" i="50"/>
  <c r="AW208" i="50"/>
  <c r="AQ208" i="50"/>
  <c r="AT208" i="50" s="1"/>
  <c r="AB208" i="50"/>
  <c r="L208" i="50"/>
  <c r="H208" i="50"/>
  <c r="AR208" i="50" s="1"/>
  <c r="AZ207" i="50"/>
  <c r="AP207" i="50" s="1"/>
  <c r="AR207" i="50"/>
  <c r="AQ207" i="50"/>
  <c r="AT207" i="50" s="1"/>
  <c r="AW207" i="50" s="1"/>
  <c r="J207" i="50"/>
  <c r="C199" i="50"/>
  <c r="C198" i="50"/>
  <c r="L153" i="50"/>
  <c r="L151" i="50"/>
  <c r="L152" i="50" s="1"/>
  <c r="F150" i="50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L149" i="50"/>
  <c r="L150" i="50" s="1"/>
  <c r="F149" i="50"/>
  <c r="L100" i="50"/>
  <c r="L99" i="50"/>
  <c r="AL74" i="50"/>
  <c r="AQ50" i="50"/>
  <c r="AT50" i="50" s="1"/>
  <c r="AW50" i="50" s="1"/>
  <c r="F50" i="50"/>
  <c r="F51" i="50" s="1"/>
  <c r="F52" i="50" s="1"/>
  <c r="F53" i="50" s="1"/>
  <c r="F54" i="50" s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AR49" i="50"/>
  <c r="AU49" i="50" s="1"/>
  <c r="AQ49" i="50"/>
  <c r="AT49" i="50" s="1"/>
  <c r="AW49" i="50" s="1"/>
  <c r="AB49" i="50"/>
  <c r="H49" i="50"/>
  <c r="H50" i="50" s="1"/>
  <c r="F49" i="50"/>
  <c r="AT48" i="50"/>
  <c r="AW48" i="50" s="1"/>
  <c r="AR48" i="50"/>
  <c r="AU48" i="50" s="1"/>
  <c r="AQ48" i="50"/>
  <c r="AS48" i="50" s="1"/>
  <c r="AV48" i="50" s="1"/>
  <c r="AB48" i="50"/>
  <c r="J48" i="50"/>
  <c r="AZ48" i="50" s="1"/>
  <c r="AP48" i="50" s="1"/>
  <c r="AR24" i="50"/>
  <c r="AL24" i="50"/>
  <c r="AL25" i="50" s="1"/>
  <c r="AL26" i="50" s="1"/>
  <c r="L24" i="50"/>
  <c r="L25" i="50" s="1"/>
  <c r="L26" i="50" s="1"/>
  <c r="H24" i="50"/>
  <c r="H25" i="50" s="1"/>
  <c r="AZ23" i="50"/>
  <c r="AU23" i="50"/>
  <c r="AR23" i="50"/>
  <c r="AQ23" i="50"/>
  <c r="AT23" i="50" s="1"/>
  <c r="AW23" i="50" s="1"/>
  <c r="AP23" i="50"/>
  <c r="AB23" i="50"/>
  <c r="J23" i="50"/>
  <c r="N13" i="50"/>
  <c r="H11" i="50"/>
  <c r="T9" i="50"/>
  <c r="U9" i="50" s="1"/>
  <c r="T11" i="50" s="1"/>
  <c r="N9" i="50"/>
  <c r="Q7" i="50" s="1"/>
  <c r="H9" i="50"/>
  <c r="H14" i="50" s="1"/>
  <c r="E9" i="50"/>
  <c r="U8" i="50"/>
  <c r="N8" i="50"/>
  <c r="B8" i="50"/>
  <c r="U7" i="50"/>
  <c r="B7" i="50"/>
  <c r="U6" i="50"/>
  <c r="U5" i="50"/>
  <c r="U14" i="50" s="1"/>
  <c r="U4" i="50"/>
  <c r="J146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J102" i="48"/>
  <c r="J103" i="48"/>
  <c r="J104" i="48"/>
  <c r="J105" i="48"/>
  <c r="J106" i="48"/>
  <c r="J107" i="48"/>
  <c r="J108" i="48"/>
  <c r="J109" i="48"/>
  <c r="J110" i="48"/>
  <c r="J111" i="48"/>
  <c r="J112" i="48"/>
  <c r="J113" i="48"/>
  <c r="J114" i="48"/>
  <c r="J115" i="48"/>
  <c r="J116" i="48"/>
  <c r="J117" i="48"/>
  <c r="J118" i="48"/>
  <c r="J119" i="48"/>
  <c r="J120" i="48"/>
  <c r="J121" i="48"/>
  <c r="J122" i="48"/>
  <c r="J123" i="48"/>
  <c r="J124" i="48"/>
  <c r="J125" i="48"/>
  <c r="J126" i="48"/>
  <c r="J127" i="48"/>
  <c r="J128" i="48"/>
  <c r="J129" i="48"/>
  <c r="J130" i="48"/>
  <c r="J131" i="48"/>
  <c r="J132" i="48"/>
  <c r="J133" i="48"/>
  <c r="J134" i="48"/>
  <c r="J135" i="48"/>
  <c r="J136" i="48"/>
  <c r="J137" i="48"/>
  <c r="J138" i="48"/>
  <c r="J139" i="48"/>
  <c r="J140" i="48"/>
  <c r="J141" i="48"/>
  <c r="J142" i="48"/>
  <c r="J143" i="48"/>
  <c r="J144" i="48"/>
  <c r="J145" i="48"/>
  <c r="J23" i="48"/>
  <c r="AP24" i="48"/>
  <c r="AP25" i="48"/>
  <c r="AP26" i="48"/>
  <c r="AP27" i="48"/>
  <c r="AP28" i="48"/>
  <c r="AP29" i="48"/>
  <c r="AP30" i="48"/>
  <c r="AP31" i="48"/>
  <c r="AP32" i="48"/>
  <c r="AP33" i="48"/>
  <c r="AP34" i="48"/>
  <c r="AP35" i="48"/>
  <c r="AP36" i="48"/>
  <c r="AP37" i="48"/>
  <c r="AP38" i="48"/>
  <c r="AP39" i="48"/>
  <c r="AP40" i="48"/>
  <c r="AP41" i="48"/>
  <c r="AP42" i="48"/>
  <c r="AP43" i="48"/>
  <c r="AP44" i="48"/>
  <c r="AP45" i="48"/>
  <c r="AP46" i="48"/>
  <c r="AP47" i="48"/>
  <c r="AP48" i="48"/>
  <c r="AP49" i="48"/>
  <c r="AP50" i="48"/>
  <c r="AP51" i="48"/>
  <c r="AP52" i="48"/>
  <c r="AP53" i="48"/>
  <c r="AP54" i="48"/>
  <c r="AP55" i="48"/>
  <c r="AP56" i="48"/>
  <c r="AP57" i="48"/>
  <c r="AP58" i="48"/>
  <c r="AP59" i="48"/>
  <c r="AP60" i="48"/>
  <c r="AP61" i="48"/>
  <c r="AP62" i="48"/>
  <c r="AP63" i="48"/>
  <c r="AP64" i="48"/>
  <c r="AP65" i="48"/>
  <c r="AP66" i="48"/>
  <c r="AP67" i="48"/>
  <c r="AP68" i="48"/>
  <c r="AP69" i="48"/>
  <c r="AP70" i="48"/>
  <c r="AP71" i="48"/>
  <c r="AP72" i="48"/>
  <c r="AP73" i="48"/>
  <c r="AP74" i="48"/>
  <c r="AP75" i="48"/>
  <c r="AP76" i="48"/>
  <c r="AP77" i="48"/>
  <c r="AP78" i="48"/>
  <c r="AP79" i="48"/>
  <c r="AP80" i="48"/>
  <c r="AP81" i="48"/>
  <c r="AP82" i="48"/>
  <c r="AP83" i="48"/>
  <c r="AP84" i="48"/>
  <c r="AP85" i="48"/>
  <c r="AP86" i="48"/>
  <c r="AP87" i="48"/>
  <c r="AP88" i="48"/>
  <c r="AP89" i="48"/>
  <c r="AP90" i="48"/>
  <c r="AP91" i="48"/>
  <c r="AP92" i="48"/>
  <c r="AP93" i="48"/>
  <c r="AP94" i="48"/>
  <c r="AP95" i="48"/>
  <c r="AP96" i="48"/>
  <c r="AP97" i="48"/>
  <c r="AP98" i="48"/>
  <c r="AP99" i="48"/>
  <c r="AP100" i="48"/>
  <c r="AP101" i="48"/>
  <c r="AP102" i="48"/>
  <c r="AP103" i="48"/>
  <c r="AP104" i="48"/>
  <c r="AP105" i="48"/>
  <c r="AP106" i="48"/>
  <c r="AP107" i="48"/>
  <c r="AP108" i="48"/>
  <c r="AP109" i="48"/>
  <c r="AP110" i="48"/>
  <c r="AP111" i="48"/>
  <c r="AP112" i="48"/>
  <c r="AP113" i="48"/>
  <c r="AP114" i="48"/>
  <c r="AP115" i="48"/>
  <c r="AP116" i="48"/>
  <c r="AP117" i="48"/>
  <c r="AP118" i="48"/>
  <c r="AP119" i="48"/>
  <c r="AP120" i="48"/>
  <c r="AP121" i="48"/>
  <c r="AP122" i="48"/>
  <c r="AP123" i="48"/>
  <c r="AP124" i="48"/>
  <c r="AP125" i="48"/>
  <c r="AP126" i="48"/>
  <c r="AP127" i="48"/>
  <c r="AP128" i="48"/>
  <c r="AP129" i="48"/>
  <c r="AP130" i="48"/>
  <c r="AP131" i="48"/>
  <c r="AP132" i="48"/>
  <c r="AP133" i="48"/>
  <c r="AP134" i="48"/>
  <c r="AP135" i="48"/>
  <c r="AP136" i="48"/>
  <c r="AP137" i="48"/>
  <c r="AP138" i="48"/>
  <c r="AP139" i="48"/>
  <c r="AP140" i="48"/>
  <c r="AP141" i="48"/>
  <c r="AP142" i="48"/>
  <c r="AP143" i="48"/>
  <c r="AP144" i="48"/>
  <c r="AP145" i="48"/>
  <c r="AP146" i="48"/>
  <c r="AW146" i="48"/>
  <c r="AV146" i="48"/>
  <c r="P146" i="48" s="1"/>
  <c r="AU146" i="48"/>
  <c r="AT146" i="48"/>
  <c r="AS146" i="48"/>
  <c r="AR146" i="48"/>
  <c r="AQ146" i="48"/>
  <c r="AH146" i="48"/>
  <c r="AE146" i="48"/>
  <c r="AC146" i="48"/>
  <c r="AA146" i="48"/>
  <c r="N146" i="48"/>
  <c r="M146" i="48"/>
  <c r="L146" i="48"/>
  <c r="K146" i="48"/>
  <c r="AU145" i="48"/>
  <c r="AT145" i="48"/>
  <c r="AW145" i="48" s="1"/>
  <c r="AR145" i="48"/>
  <c r="AS145" i="48" s="1"/>
  <c r="AV145" i="48" s="1"/>
  <c r="AQ145" i="48"/>
  <c r="AA145" i="48"/>
  <c r="L145" i="48"/>
  <c r="K145" i="48"/>
  <c r="M145" i="48" s="1"/>
  <c r="AU144" i="48"/>
  <c r="AT144" i="48"/>
  <c r="AW144" i="48" s="1"/>
  <c r="AR144" i="48"/>
  <c r="AS144" i="48" s="1"/>
  <c r="AV144" i="48" s="1"/>
  <c r="AQ144" i="48"/>
  <c r="AA144" i="48"/>
  <c r="L144" i="48"/>
  <c r="K144" i="48"/>
  <c r="M144" i="48" s="1"/>
  <c r="AU143" i="48"/>
  <c r="AT143" i="48"/>
  <c r="AW143" i="48" s="1"/>
  <c r="AR143" i="48"/>
  <c r="AS143" i="48" s="1"/>
  <c r="AV143" i="48" s="1"/>
  <c r="AQ143" i="48"/>
  <c r="AA143" i="48"/>
  <c r="L143" i="48"/>
  <c r="K143" i="48"/>
  <c r="M143" i="48" s="1"/>
  <c r="AU142" i="48"/>
  <c r="AT142" i="48"/>
  <c r="AW142" i="48" s="1"/>
  <c r="AR142" i="48"/>
  <c r="AS142" i="48" s="1"/>
  <c r="AV142" i="48" s="1"/>
  <c r="AQ142" i="48"/>
  <c r="AA142" i="48"/>
  <c r="L142" i="48"/>
  <c r="K142" i="48"/>
  <c r="M142" i="48" s="1"/>
  <c r="AU141" i="48"/>
  <c r="AT141" i="48"/>
  <c r="AW141" i="48" s="1"/>
  <c r="AR141" i="48"/>
  <c r="AS141" i="48" s="1"/>
  <c r="AV141" i="48" s="1"/>
  <c r="AQ141" i="48"/>
  <c r="AA141" i="48"/>
  <c r="L141" i="48"/>
  <c r="K141" i="48"/>
  <c r="M141" i="48" s="1"/>
  <c r="AU140" i="48"/>
  <c r="AT140" i="48"/>
  <c r="AW140" i="48" s="1"/>
  <c r="AR140" i="48"/>
  <c r="AS140" i="48" s="1"/>
  <c r="AV140" i="48" s="1"/>
  <c r="AQ140" i="48"/>
  <c r="AA140" i="48"/>
  <c r="L140" i="48"/>
  <c r="K140" i="48"/>
  <c r="M140" i="48" s="1"/>
  <c r="AU139" i="48"/>
  <c r="AT139" i="48"/>
  <c r="AW139" i="48" s="1"/>
  <c r="AR139" i="48"/>
  <c r="AS139" i="48" s="1"/>
  <c r="AV139" i="48" s="1"/>
  <c r="AQ139" i="48"/>
  <c r="AA139" i="48"/>
  <c r="L139" i="48"/>
  <c r="K139" i="48"/>
  <c r="M139" i="48" s="1"/>
  <c r="AU138" i="48"/>
  <c r="AT138" i="48"/>
  <c r="AW138" i="48" s="1"/>
  <c r="AR138" i="48"/>
  <c r="AS138" i="48" s="1"/>
  <c r="AV138" i="48" s="1"/>
  <c r="AQ138" i="48"/>
  <c r="AA138" i="48"/>
  <c r="L138" i="48"/>
  <c r="K138" i="48"/>
  <c r="M138" i="48" s="1"/>
  <c r="AU137" i="48"/>
  <c r="AT137" i="48"/>
  <c r="AW137" i="48" s="1"/>
  <c r="AR137" i="48"/>
  <c r="AS137" i="48" s="1"/>
  <c r="AV137" i="48" s="1"/>
  <c r="AQ137" i="48"/>
  <c r="AA137" i="48"/>
  <c r="L137" i="48"/>
  <c r="K137" i="48"/>
  <c r="M137" i="48" s="1"/>
  <c r="AU136" i="48"/>
  <c r="AT136" i="48"/>
  <c r="AW136" i="48" s="1"/>
  <c r="AR136" i="48"/>
  <c r="AS136" i="48" s="1"/>
  <c r="AV136" i="48" s="1"/>
  <c r="AQ136" i="48"/>
  <c r="AA136" i="48"/>
  <c r="L136" i="48"/>
  <c r="K136" i="48"/>
  <c r="M136" i="48" s="1"/>
  <c r="AU135" i="48"/>
  <c r="AT135" i="48"/>
  <c r="AW135" i="48" s="1"/>
  <c r="AR135" i="48"/>
  <c r="AS135" i="48" s="1"/>
  <c r="AV135" i="48" s="1"/>
  <c r="AQ135" i="48"/>
  <c r="AA135" i="48"/>
  <c r="L135" i="48"/>
  <c r="K135" i="48"/>
  <c r="M135" i="48" s="1"/>
  <c r="AT134" i="48"/>
  <c r="AW134" i="48" s="1"/>
  <c r="AR134" i="48"/>
  <c r="AS134" i="48" s="1"/>
  <c r="AV134" i="48" s="1"/>
  <c r="AQ134" i="48"/>
  <c r="L134" i="48"/>
  <c r="K134" i="48"/>
  <c r="M134" i="48" s="1"/>
  <c r="AU133" i="48"/>
  <c r="AT133" i="48"/>
  <c r="AW133" i="48" s="1"/>
  <c r="AR133" i="48"/>
  <c r="AS133" i="48" s="1"/>
  <c r="AV133" i="48" s="1"/>
  <c r="AQ133" i="48"/>
  <c r="AA133" i="48"/>
  <c r="L133" i="48"/>
  <c r="K133" i="48"/>
  <c r="M133" i="48" s="1"/>
  <c r="AU132" i="48"/>
  <c r="AT132" i="48"/>
  <c r="AW132" i="48" s="1"/>
  <c r="AR132" i="48"/>
  <c r="AS132" i="48" s="1"/>
  <c r="AV132" i="48" s="1"/>
  <c r="AQ132" i="48"/>
  <c r="AA132" i="48"/>
  <c r="L132" i="48"/>
  <c r="K132" i="48"/>
  <c r="M132" i="48" s="1"/>
  <c r="AU131" i="48"/>
  <c r="AT131" i="48"/>
  <c r="AW131" i="48" s="1"/>
  <c r="AR131" i="48"/>
  <c r="AS131" i="48" s="1"/>
  <c r="AV131" i="48" s="1"/>
  <c r="AQ131" i="48"/>
  <c r="AA131" i="48"/>
  <c r="L131" i="48"/>
  <c r="K131" i="48"/>
  <c r="M131" i="48" s="1"/>
  <c r="AU130" i="48"/>
  <c r="AT130" i="48"/>
  <c r="AW130" i="48" s="1"/>
  <c r="AR130" i="48"/>
  <c r="AS130" i="48" s="1"/>
  <c r="AV130" i="48" s="1"/>
  <c r="AQ130" i="48"/>
  <c r="AA130" i="48"/>
  <c r="L130" i="48"/>
  <c r="K130" i="48"/>
  <c r="M130" i="48" s="1"/>
  <c r="AU129" i="48"/>
  <c r="AT129" i="48"/>
  <c r="AW129" i="48" s="1"/>
  <c r="AR129" i="48"/>
  <c r="AS129" i="48" s="1"/>
  <c r="AV129" i="48" s="1"/>
  <c r="AQ129" i="48"/>
  <c r="AA129" i="48"/>
  <c r="L129" i="48"/>
  <c r="K129" i="48"/>
  <c r="M129" i="48" s="1"/>
  <c r="AU128" i="48"/>
  <c r="AR128" i="48"/>
  <c r="AS128" i="48" s="1"/>
  <c r="AV128" i="48" s="1"/>
  <c r="AQ128" i="48"/>
  <c r="AT128" i="48" s="1"/>
  <c r="AW128" i="48" s="1"/>
  <c r="AA128" i="48"/>
  <c r="L128" i="48"/>
  <c r="K128" i="48"/>
  <c r="M128" i="48" s="1"/>
  <c r="AU127" i="48"/>
  <c r="AT127" i="48"/>
  <c r="AW127" i="48" s="1"/>
  <c r="AR127" i="48"/>
  <c r="AS127" i="48" s="1"/>
  <c r="AV127" i="48" s="1"/>
  <c r="AQ127" i="48"/>
  <c r="AA127" i="48"/>
  <c r="L127" i="48"/>
  <c r="K127" i="48"/>
  <c r="M127" i="48" s="1"/>
  <c r="AU126" i="48"/>
  <c r="AT126" i="48"/>
  <c r="AW126" i="48" s="1"/>
  <c r="AR126" i="48"/>
  <c r="AS126" i="48" s="1"/>
  <c r="AV126" i="48" s="1"/>
  <c r="AQ126" i="48"/>
  <c r="AA126" i="48"/>
  <c r="L126" i="48"/>
  <c r="K126" i="48"/>
  <c r="M126" i="48" s="1"/>
  <c r="AU125" i="48"/>
  <c r="AT125" i="48"/>
  <c r="AW125" i="48" s="1"/>
  <c r="AR125" i="48"/>
  <c r="AS125" i="48" s="1"/>
  <c r="AV125" i="48" s="1"/>
  <c r="AQ125" i="48"/>
  <c r="AA125" i="48"/>
  <c r="L125" i="48"/>
  <c r="K125" i="48"/>
  <c r="M125" i="48" s="1"/>
  <c r="AU124" i="48"/>
  <c r="AT124" i="48"/>
  <c r="AW124" i="48" s="1"/>
  <c r="AR124" i="48"/>
  <c r="AS124" i="48" s="1"/>
  <c r="AV124" i="48" s="1"/>
  <c r="AQ124" i="48"/>
  <c r="AA124" i="48"/>
  <c r="L124" i="48"/>
  <c r="K124" i="48"/>
  <c r="M124" i="48" s="1"/>
  <c r="AU123" i="48"/>
  <c r="AT123" i="48"/>
  <c r="AW123" i="48" s="1"/>
  <c r="AR123" i="48"/>
  <c r="AS123" i="48" s="1"/>
  <c r="AV123" i="48" s="1"/>
  <c r="AQ123" i="48"/>
  <c r="AA123" i="48"/>
  <c r="L123" i="48"/>
  <c r="K123" i="48"/>
  <c r="M123" i="48" s="1"/>
  <c r="AU122" i="48"/>
  <c r="AT122" i="48"/>
  <c r="AW122" i="48" s="1"/>
  <c r="AR122" i="48"/>
  <c r="AS122" i="48" s="1"/>
  <c r="AV122" i="48" s="1"/>
  <c r="AQ122" i="48"/>
  <c r="AA122" i="48"/>
  <c r="L122" i="48"/>
  <c r="K122" i="48"/>
  <c r="M122" i="48" s="1"/>
  <c r="AU121" i="48"/>
  <c r="AT121" i="48"/>
  <c r="AW121" i="48" s="1"/>
  <c r="AR121" i="48"/>
  <c r="AS121" i="48" s="1"/>
  <c r="AV121" i="48" s="1"/>
  <c r="AQ121" i="48"/>
  <c r="AA121" i="48"/>
  <c r="L121" i="48"/>
  <c r="K121" i="48"/>
  <c r="M121" i="48" s="1"/>
  <c r="AU120" i="48"/>
  <c r="AT120" i="48"/>
  <c r="AW120" i="48" s="1"/>
  <c r="AR120" i="48"/>
  <c r="AS120" i="48" s="1"/>
  <c r="AV120" i="48" s="1"/>
  <c r="AQ120" i="48"/>
  <c r="AA120" i="48"/>
  <c r="L120" i="48"/>
  <c r="K120" i="48"/>
  <c r="M120" i="48" s="1"/>
  <c r="AU119" i="48"/>
  <c r="AT119" i="48"/>
  <c r="AW119" i="48" s="1"/>
  <c r="AR119" i="48"/>
  <c r="AS119" i="48" s="1"/>
  <c r="AV119" i="48" s="1"/>
  <c r="AQ119" i="48"/>
  <c r="AA119" i="48"/>
  <c r="L119" i="48"/>
  <c r="K119" i="48"/>
  <c r="M119" i="48" s="1"/>
  <c r="AU118" i="48"/>
  <c r="AT118" i="48"/>
  <c r="AW118" i="48" s="1"/>
  <c r="AR118" i="48"/>
  <c r="AS118" i="48" s="1"/>
  <c r="AV118" i="48" s="1"/>
  <c r="AQ118" i="48"/>
  <c r="AA118" i="48"/>
  <c r="L118" i="48"/>
  <c r="K118" i="48"/>
  <c r="M118" i="48" s="1"/>
  <c r="AU117" i="48"/>
  <c r="AT117" i="48"/>
  <c r="AW117" i="48" s="1"/>
  <c r="AR117" i="48"/>
  <c r="AS117" i="48" s="1"/>
  <c r="AV117" i="48" s="1"/>
  <c r="AQ117" i="48"/>
  <c r="AA117" i="48"/>
  <c r="L117" i="48"/>
  <c r="K117" i="48"/>
  <c r="M117" i="48" s="1"/>
  <c r="AU116" i="48"/>
  <c r="AT116" i="48"/>
  <c r="AW116" i="48" s="1"/>
  <c r="AR116" i="48"/>
  <c r="AS116" i="48" s="1"/>
  <c r="AV116" i="48" s="1"/>
  <c r="AQ116" i="48"/>
  <c r="AA116" i="48"/>
  <c r="L116" i="48"/>
  <c r="K116" i="48"/>
  <c r="M116" i="48" s="1"/>
  <c r="AU115" i="48"/>
  <c r="AT115" i="48"/>
  <c r="AW115" i="48" s="1"/>
  <c r="AR115" i="48"/>
  <c r="AS115" i="48" s="1"/>
  <c r="AV115" i="48" s="1"/>
  <c r="AQ115" i="48"/>
  <c r="AA115" i="48"/>
  <c r="L115" i="48"/>
  <c r="K115" i="48"/>
  <c r="M115" i="48" s="1"/>
  <c r="AU114" i="48"/>
  <c r="AT114" i="48"/>
  <c r="AW114" i="48" s="1"/>
  <c r="AR114" i="48"/>
  <c r="AS114" i="48" s="1"/>
  <c r="AV114" i="48" s="1"/>
  <c r="AQ114" i="48"/>
  <c r="AA114" i="48"/>
  <c r="L114" i="48"/>
  <c r="K114" i="48"/>
  <c r="M114" i="48" s="1"/>
  <c r="AU113" i="48"/>
  <c r="AT113" i="48"/>
  <c r="AW113" i="48" s="1"/>
  <c r="AR113" i="48"/>
  <c r="AS113" i="48" s="1"/>
  <c r="AV113" i="48" s="1"/>
  <c r="AQ113" i="48"/>
  <c r="AA113" i="48"/>
  <c r="L113" i="48"/>
  <c r="K113" i="48"/>
  <c r="M113" i="48" s="1"/>
  <c r="AU112" i="48"/>
  <c r="AT112" i="48"/>
  <c r="AW112" i="48" s="1"/>
  <c r="AR112" i="48"/>
  <c r="AS112" i="48" s="1"/>
  <c r="AV112" i="48" s="1"/>
  <c r="AQ112" i="48"/>
  <c r="AA112" i="48"/>
  <c r="L112" i="48"/>
  <c r="K112" i="48"/>
  <c r="M112" i="48" s="1"/>
  <c r="AU111" i="48"/>
  <c r="AT111" i="48"/>
  <c r="AW111" i="48" s="1"/>
  <c r="AR111" i="48"/>
  <c r="AS111" i="48" s="1"/>
  <c r="AV111" i="48" s="1"/>
  <c r="AQ111" i="48"/>
  <c r="AA111" i="48"/>
  <c r="L111" i="48"/>
  <c r="K111" i="48"/>
  <c r="M111" i="48" s="1"/>
  <c r="AU110" i="48"/>
  <c r="AT110" i="48"/>
  <c r="AW110" i="48" s="1"/>
  <c r="AR110" i="48"/>
  <c r="AS110" i="48" s="1"/>
  <c r="AV110" i="48" s="1"/>
  <c r="AQ110" i="48"/>
  <c r="AA110" i="48"/>
  <c r="L110" i="48"/>
  <c r="K110" i="48"/>
  <c r="M110" i="48" s="1"/>
  <c r="AU109" i="48"/>
  <c r="AT109" i="48"/>
  <c r="AW109" i="48" s="1"/>
  <c r="AR109" i="48"/>
  <c r="AS109" i="48" s="1"/>
  <c r="AV109" i="48" s="1"/>
  <c r="AQ109" i="48"/>
  <c r="AA109" i="48"/>
  <c r="L109" i="48"/>
  <c r="K109" i="48"/>
  <c r="M109" i="48" s="1"/>
  <c r="AU108" i="48"/>
  <c r="AT108" i="48"/>
  <c r="AW108" i="48" s="1"/>
  <c r="AR108" i="48"/>
  <c r="AS108" i="48" s="1"/>
  <c r="AV108" i="48" s="1"/>
  <c r="AQ108" i="48"/>
  <c r="AA108" i="48"/>
  <c r="L108" i="48"/>
  <c r="K108" i="48"/>
  <c r="M108" i="48" s="1"/>
  <c r="K24" i="48"/>
  <c r="K25" i="48" s="1"/>
  <c r="L25" i="48"/>
  <c r="L26" i="48" s="1"/>
  <c r="L24" i="48"/>
  <c r="AU23" i="48"/>
  <c r="AT23" i="48"/>
  <c r="AW23" i="48" s="1"/>
  <c r="AS23" i="48"/>
  <c r="AV23" i="48" s="1"/>
  <c r="P23" i="48" s="1"/>
  <c r="Q23" i="48" s="1"/>
  <c r="R23" i="48" s="1"/>
  <c r="X23" i="48" s="1"/>
  <c r="AR23" i="48"/>
  <c r="AQ23" i="48"/>
  <c r="AA23" i="48"/>
  <c r="M23" i="48"/>
  <c r="AK17" i="48"/>
  <c r="B7" i="48"/>
  <c r="AK17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6" i="3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E3" i="17"/>
  <c r="B33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28" i="17"/>
  <c r="AP153" i="36"/>
  <c r="B18" i="17"/>
  <c r="B17" i="17"/>
  <c r="B15" i="17"/>
  <c r="B14" i="17"/>
  <c r="B11" i="17"/>
  <c r="B8" i="17"/>
  <c r="B7" i="17"/>
  <c r="B6" i="17"/>
  <c r="B5" i="17"/>
  <c r="B4" i="17"/>
  <c r="B3" i="17"/>
  <c r="C15" i="41"/>
  <c r="C12" i="41"/>
  <c r="B12" i="41"/>
  <c r="L6" i="41"/>
  <c r="G6" i="41"/>
  <c r="C6" i="41"/>
  <c r="B6" i="41"/>
  <c r="K3" i="41"/>
  <c r="D8" i="41" s="1"/>
  <c r="C9" i="41" s="1"/>
  <c r="B3" i="41"/>
  <c r="D8" i="30"/>
  <c r="G6" i="30"/>
  <c r="L6" i="30"/>
  <c r="B3" i="30"/>
  <c r="N8" i="36"/>
  <c r="N9" i="36"/>
  <c r="AP110" i="29"/>
  <c r="AP111" i="29"/>
  <c r="AP112" i="29"/>
  <c r="AP113" i="29"/>
  <c r="AP114" i="29"/>
  <c r="AP115" i="29"/>
  <c r="AP116" i="29"/>
  <c r="AP117" i="29"/>
  <c r="AP118" i="29"/>
  <c r="AP119" i="29"/>
  <c r="AP120" i="29"/>
  <c r="AP121" i="29"/>
  <c r="AP122" i="29"/>
  <c r="AP123" i="29"/>
  <c r="AP124" i="29"/>
  <c r="AP125" i="29"/>
  <c r="AP126" i="29"/>
  <c r="AP127" i="29"/>
  <c r="AP128" i="29"/>
  <c r="AP129" i="29"/>
  <c r="AP130" i="29"/>
  <c r="AP131" i="29"/>
  <c r="AP132" i="29"/>
  <c r="AP133" i="29"/>
  <c r="AP134" i="29"/>
  <c r="AP135" i="29"/>
  <c r="AP136" i="29"/>
  <c r="AP137" i="29"/>
  <c r="AP138" i="29"/>
  <c r="AP139" i="29"/>
  <c r="AP140" i="29"/>
  <c r="AP141" i="29"/>
  <c r="AP142" i="29"/>
  <c r="AP143" i="29"/>
  <c r="AP144" i="29"/>
  <c r="AP145" i="29"/>
  <c r="AP146" i="29"/>
  <c r="AP147" i="29"/>
  <c r="AP148" i="29"/>
  <c r="AP149" i="29"/>
  <c r="AP150" i="29"/>
  <c r="AP151" i="29"/>
  <c r="AP152" i="29"/>
  <c r="AP153" i="29"/>
  <c r="AP154" i="29"/>
  <c r="AP155" i="29"/>
  <c r="AP156" i="29"/>
  <c r="AP157" i="29"/>
  <c r="AP158" i="29"/>
  <c r="AP159" i="29"/>
  <c r="AP160" i="29"/>
  <c r="AP161" i="29"/>
  <c r="AP162" i="29"/>
  <c r="AP163" i="29"/>
  <c r="AP164" i="29"/>
  <c r="AP165" i="29"/>
  <c r="AP166" i="29"/>
  <c r="AP167" i="29"/>
  <c r="AP168" i="29"/>
  <c r="AP169" i="29"/>
  <c r="AP170" i="29"/>
  <c r="AP171" i="29"/>
  <c r="AP172" i="29"/>
  <c r="AP173" i="29"/>
  <c r="AP174" i="29"/>
  <c r="AP175" i="29"/>
  <c r="AP176" i="29"/>
  <c r="AP177" i="29"/>
  <c r="AP178" i="29"/>
  <c r="AP179" i="29"/>
  <c r="AP180" i="29"/>
  <c r="AP181" i="29"/>
  <c r="AP182" i="29"/>
  <c r="AP183" i="29"/>
  <c r="AP184" i="29"/>
  <c r="AP185" i="29"/>
  <c r="AP186" i="29"/>
  <c r="AP187" i="29"/>
  <c r="AP188" i="29"/>
  <c r="AP189" i="29"/>
  <c r="AP109" i="29"/>
  <c r="AP26" i="29"/>
  <c r="AP27" i="29"/>
  <c r="AP28" i="29"/>
  <c r="AP29" i="29"/>
  <c r="AP30" i="29"/>
  <c r="AP31" i="29"/>
  <c r="AP32" i="29"/>
  <c r="AP33" i="29"/>
  <c r="AP34" i="29"/>
  <c r="AP35" i="29"/>
  <c r="AP36" i="29"/>
  <c r="AP37" i="29"/>
  <c r="AP38" i="29"/>
  <c r="AP39" i="29"/>
  <c r="AP40" i="29"/>
  <c r="AP41" i="29"/>
  <c r="AP42" i="29"/>
  <c r="AP43" i="29"/>
  <c r="AP44" i="29"/>
  <c r="AP45" i="29"/>
  <c r="AP46" i="29"/>
  <c r="AP47" i="29"/>
  <c r="AP48" i="29"/>
  <c r="AP49" i="29"/>
  <c r="AP50" i="29"/>
  <c r="AP51" i="29"/>
  <c r="AP52" i="29"/>
  <c r="AP53" i="29"/>
  <c r="AP54" i="29"/>
  <c r="AP55" i="29"/>
  <c r="AP56" i="29"/>
  <c r="AP57" i="29"/>
  <c r="AP58" i="29"/>
  <c r="AP59" i="29"/>
  <c r="AP60" i="29"/>
  <c r="AP61" i="29"/>
  <c r="AP62" i="29"/>
  <c r="AP63" i="29"/>
  <c r="AP64" i="29"/>
  <c r="AP65" i="29"/>
  <c r="AP66" i="29"/>
  <c r="AP67" i="29"/>
  <c r="AP68" i="29"/>
  <c r="AP69" i="29"/>
  <c r="AP70" i="29"/>
  <c r="AP71" i="29"/>
  <c r="AP72" i="29"/>
  <c r="AP73" i="29"/>
  <c r="AP74" i="29"/>
  <c r="AP75" i="29"/>
  <c r="AP76" i="29"/>
  <c r="AP77" i="29"/>
  <c r="AP78" i="29"/>
  <c r="AP79" i="29"/>
  <c r="AP80" i="29"/>
  <c r="AP81" i="29"/>
  <c r="AP82" i="29"/>
  <c r="AP83" i="29"/>
  <c r="AP84" i="29"/>
  <c r="AP85" i="29"/>
  <c r="AP86" i="29"/>
  <c r="AP87" i="29"/>
  <c r="AP88" i="29"/>
  <c r="AP89" i="29"/>
  <c r="AP90" i="29"/>
  <c r="AP91" i="29"/>
  <c r="AP92" i="29"/>
  <c r="AP93" i="29"/>
  <c r="AP94" i="29"/>
  <c r="AP95" i="29"/>
  <c r="AP96" i="29"/>
  <c r="AP97" i="29"/>
  <c r="AP98" i="29"/>
  <c r="AP99" i="29"/>
  <c r="AP100" i="29"/>
  <c r="AP101" i="29"/>
  <c r="AP102" i="29"/>
  <c r="AP103" i="29"/>
  <c r="AP104" i="29"/>
  <c r="AP25" i="29"/>
  <c r="E31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298" i="39"/>
  <c r="F257" i="39"/>
  <c r="AW327" i="40"/>
  <c r="AU327" i="40"/>
  <c r="AR327" i="40"/>
  <c r="AS327" i="40" s="1"/>
  <c r="AV327" i="40" s="1"/>
  <c r="K327" i="40" s="1"/>
  <c r="AQ327" i="40"/>
  <c r="AT327" i="40" s="1"/>
  <c r="AP327" i="40"/>
  <c r="J327" i="40"/>
  <c r="AZ327" i="40" s="1"/>
  <c r="B327" i="40"/>
  <c r="C327" i="40" s="1"/>
  <c r="D298" i="40"/>
  <c r="AR292" i="40"/>
  <c r="AU292" i="40" s="1"/>
  <c r="AQ292" i="40"/>
  <c r="AF292" i="40"/>
  <c r="J292" i="40"/>
  <c r="AZ292" i="40" s="1"/>
  <c r="AP292" i="40" s="1"/>
  <c r="AI292" i="40" s="1"/>
  <c r="F283" i="40"/>
  <c r="E283" i="40"/>
  <c r="F282" i="40"/>
  <c r="E282" i="40"/>
  <c r="F281" i="40"/>
  <c r="E281" i="40"/>
  <c r="F280" i="40"/>
  <c r="E280" i="40"/>
  <c r="F279" i="40"/>
  <c r="E279" i="40"/>
  <c r="F278" i="40"/>
  <c r="E278" i="40"/>
  <c r="AH277" i="40"/>
  <c r="AG277" i="40"/>
  <c r="F277" i="40"/>
  <c r="E277" i="40"/>
  <c r="AH276" i="40"/>
  <c r="AG276" i="40"/>
  <c r="F276" i="40"/>
  <c r="E276" i="40"/>
  <c r="AH275" i="40"/>
  <c r="AG275" i="40"/>
  <c r="F275" i="40"/>
  <c r="E275" i="40"/>
  <c r="AH274" i="40"/>
  <c r="F274" i="40" s="1"/>
  <c r="AG274" i="40"/>
  <c r="E274" i="40"/>
  <c r="AH273" i="40"/>
  <c r="AG273" i="40"/>
  <c r="F273" i="40"/>
  <c r="E273" i="40"/>
  <c r="AH272" i="40"/>
  <c r="AG272" i="40"/>
  <c r="F272" i="40"/>
  <c r="E272" i="40"/>
  <c r="AH271" i="40"/>
  <c r="F271" i="40" s="1"/>
  <c r="AG271" i="40"/>
  <c r="E271" i="40"/>
  <c r="AH270" i="40"/>
  <c r="AG270" i="40"/>
  <c r="F270" i="40"/>
  <c r="E270" i="40"/>
  <c r="AH269" i="40"/>
  <c r="AG269" i="40"/>
  <c r="F269" i="40"/>
  <c r="E269" i="40"/>
  <c r="AH268" i="40"/>
  <c r="AG268" i="40"/>
  <c r="F268" i="40"/>
  <c r="E268" i="40"/>
  <c r="AH267" i="40"/>
  <c r="AG267" i="40"/>
  <c r="F267" i="40"/>
  <c r="E267" i="40"/>
  <c r="AH266" i="40"/>
  <c r="F266" i="40" s="1"/>
  <c r="AG266" i="40"/>
  <c r="E266" i="40"/>
  <c r="AH265" i="40"/>
  <c r="AG265" i="40"/>
  <c r="F265" i="40"/>
  <c r="E265" i="40"/>
  <c r="AH264" i="40"/>
  <c r="F264" i="40" s="1"/>
  <c r="AG264" i="40"/>
  <c r="E264" i="40"/>
  <c r="B264" i="40"/>
  <c r="AH263" i="40"/>
  <c r="F263" i="40" s="1"/>
  <c r="AG263" i="40"/>
  <c r="E263" i="40"/>
  <c r="AH262" i="40"/>
  <c r="F262" i="40" s="1"/>
  <c r="AG262" i="40"/>
  <c r="E262" i="40"/>
  <c r="AH261" i="40"/>
  <c r="AG261" i="40"/>
  <c r="F261" i="40"/>
  <c r="E261" i="40"/>
  <c r="AH260" i="40"/>
  <c r="AG260" i="40"/>
  <c r="F260" i="40"/>
  <c r="E260" i="40"/>
  <c r="AH259" i="40"/>
  <c r="AG259" i="40"/>
  <c r="F259" i="40"/>
  <c r="E259" i="40"/>
  <c r="AH258" i="40"/>
  <c r="F258" i="40" s="1"/>
  <c r="AG258" i="40"/>
  <c r="E258" i="40"/>
  <c r="AH257" i="40"/>
  <c r="F257" i="40" s="1"/>
  <c r="AG257" i="40"/>
  <c r="E257" i="40"/>
  <c r="L234" i="40"/>
  <c r="L233" i="40"/>
  <c r="L210" i="40"/>
  <c r="H209" i="40"/>
  <c r="AW208" i="40"/>
  <c r="AU208" i="40"/>
  <c r="AQ208" i="40"/>
  <c r="AT208" i="40" s="1"/>
  <c r="L208" i="40"/>
  <c r="L209" i="40" s="1"/>
  <c r="H208" i="40"/>
  <c r="AR208" i="40" s="1"/>
  <c r="AT207" i="40"/>
  <c r="AW207" i="40" s="1"/>
  <c r="AR207" i="40"/>
  <c r="J207" i="40" s="1"/>
  <c r="AZ207" i="40" s="1"/>
  <c r="AP207" i="40" s="1"/>
  <c r="AQ207" i="40"/>
  <c r="C198" i="40"/>
  <c r="AO142" i="40"/>
  <c r="AO141" i="40"/>
  <c r="AO140" i="40"/>
  <c r="AO139" i="40"/>
  <c r="AO138" i="40"/>
  <c r="AO137" i="40"/>
  <c r="AO136" i="40"/>
  <c r="AO135" i="40"/>
  <c r="AO134" i="40"/>
  <c r="AO133" i="40"/>
  <c r="AO132" i="40"/>
  <c r="AO131" i="40"/>
  <c r="AO130" i="40"/>
  <c r="AO129" i="40"/>
  <c r="AO128" i="40"/>
  <c r="AO127" i="40"/>
  <c r="AO126" i="40"/>
  <c r="AO125" i="40"/>
  <c r="AO124" i="40"/>
  <c r="AO123" i="40"/>
  <c r="AO122" i="40"/>
  <c r="AO121" i="40"/>
  <c r="AO120" i="40"/>
  <c r="AO119" i="40"/>
  <c r="AO118" i="40"/>
  <c r="AO117" i="40"/>
  <c r="AO116" i="40"/>
  <c r="AO115" i="40"/>
  <c r="AO114" i="40"/>
  <c r="AO113" i="40"/>
  <c r="AO112" i="40"/>
  <c r="AO111" i="40"/>
  <c r="AO110" i="40"/>
  <c r="AO109" i="40"/>
  <c r="AO108" i="40"/>
  <c r="AO107" i="40"/>
  <c r="AO106" i="40"/>
  <c r="AO105" i="40"/>
  <c r="AO104" i="40"/>
  <c r="AO103" i="40"/>
  <c r="AO102" i="40"/>
  <c r="AO101" i="40"/>
  <c r="AO100" i="40"/>
  <c r="AO99" i="40"/>
  <c r="AO98" i="40"/>
  <c r="AO97" i="40"/>
  <c r="AO96" i="40"/>
  <c r="AO95" i="40"/>
  <c r="AO94" i="40"/>
  <c r="AO93" i="40"/>
  <c r="AO92" i="40"/>
  <c r="AO91" i="40"/>
  <c r="AO90" i="40"/>
  <c r="AO89" i="40"/>
  <c r="AO88" i="40"/>
  <c r="AO87" i="40"/>
  <c r="AO86" i="40"/>
  <c r="AO85" i="40"/>
  <c r="AO84" i="40"/>
  <c r="AO83" i="40"/>
  <c r="AO82" i="40"/>
  <c r="AO81" i="40"/>
  <c r="AO80" i="40"/>
  <c r="AO79" i="40"/>
  <c r="AO78" i="40"/>
  <c r="AO77" i="40"/>
  <c r="AO76" i="40"/>
  <c r="AO75" i="40"/>
  <c r="AO74" i="40"/>
  <c r="L74" i="40"/>
  <c r="L75" i="40" s="1"/>
  <c r="L76" i="40" s="1"/>
  <c r="L77" i="40" s="1"/>
  <c r="L78" i="40" s="1"/>
  <c r="L79" i="40" s="1"/>
  <c r="L80" i="40" s="1"/>
  <c r="L81" i="40" s="1"/>
  <c r="L82" i="40" s="1"/>
  <c r="L83" i="40" s="1"/>
  <c r="L84" i="40" s="1"/>
  <c r="L85" i="40" s="1"/>
  <c r="L86" i="40" s="1"/>
  <c r="L87" i="40" s="1"/>
  <c r="L88" i="40" s="1"/>
  <c r="L89" i="40" s="1"/>
  <c r="L90" i="40" s="1"/>
  <c r="L91" i="40" s="1"/>
  <c r="F74" i="40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AO73" i="40"/>
  <c r="L25" i="40"/>
  <c r="L26" i="40" s="1"/>
  <c r="AL24" i="40"/>
  <c r="AL25" i="40" s="1"/>
  <c r="L24" i="40"/>
  <c r="H24" i="40"/>
  <c r="AQ24" i="40" s="1"/>
  <c r="AT24" i="40" s="1"/>
  <c r="AW24" i="40" s="1"/>
  <c r="AU23" i="40"/>
  <c r="AR23" i="40"/>
  <c r="J23" i="40" s="1"/>
  <c r="AQ23" i="40"/>
  <c r="AT23" i="40" s="1"/>
  <c r="AW23" i="40" s="1"/>
  <c r="AF23" i="40"/>
  <c r="AB23" i="40"/>
  <c r="N15" i="40"/>
  <c r="H14" i="40"/>
  <c r="T11" i="40"/>
  <c r="H11" i="40"/>
  <c r="U9" i="40"/>
  <c r="B4" i="40" s="1"/>
  <c r="T9" i="40"/>
  <c r="N9" i="40"/>
  <c r="H9" i="40"/>
  <c r="E9" i="40"/>
  <c r="U8" i="40"/>
  <c r="N8" i="40"/>
  <c r="B8" i="40"/>
  <c r="U7" i="40"/>
  <c r="B7" i="40"/>
  <c r="U6" i="40"/>
  <c r="U5" i="40"/>
  <c r="U4" i="40"/>
  <c r="E278" i="39"/>
  <c r="F278" i="39"/>
  <c r="E279" i="39"/>
  <c r="F279" i="39"/>
  <c r="E280" i="39"/>
  <c r="F280" i="39"/>
  <c r="E281" i="39"/>
  <c r="F281" i="39"/>
  <c r="E282" i="39"/>
  <c r="F282" i="39"/>
  <c r="E283" i="39"/>
  <c r="F283" i="39"/>
  <c r="F268" i="39"/>
  <c r="F274" i="39"/>
  <c r="F275" i="39"/>
  <c r="AB292" i="39"/>
  <c r="AF292" i="39" s="1"/>
  <c r="BB292" i="39" s="1"/>
  <c r="AR292" i="39"/>
  <c r="AU292" i="39" s="1"/>
  <c r="AQ292" i="39"/>
  <c r="AT292" i="39" s="1"/>
  <c r="AW292" i="39" s="1"/>
  <c r="AL174" i="39"/>
  <c r="AL175" i="39" s="1"/>
  <c r="AL176" i="39" s="1"/>
  <c r="AL177" i="39" s="1"/>
  <c r="AL178" i="39" s="1"/>
  <c r="AL179" i="39" s="1"/>
  <c r="AL180" i="39" s="1"/>
  <c r="AL181" i="39" s="1"/>
  <c r="AL182" i="39" s="1"/>
  <c r="AL183" i="39" s="1"/>
  <c r="AL184" i="39" s="1"/>
  <c r="AL185" i="39" s="1"/>
  <c r="AL186" i="39" s="1"/>
  <c r="AL187" i="39" s="1"/>
  <c r="AL188" i="39" s="1"/>
  <c r="AL189" i="39" s="1"/>
  <c r="AL190" i="39" s="1"/>
  <c r="AL191" i="39" s="1"/>
  <c r="AL192" i="39" s="1"/>
  <c r="B334" i="39"/>
  <c r="B333" i="39" s="1"/>
  <c r="B335" i="39" s="1"/>
  <c r="G333" i="39" s="1"/>
  <c r="AR328" i="39"/>
  <c r="F328" i="39"/>
  <c r="E328" i="39"/>
  <c r="A328" i="39"/>
  <c r="B328" i="39" s="1"/>
  <c r="C328" i="39" s="1"/>
  <c r="D300" i="39"/>
  <c r="D301" i="39" s="1"/>
  <c r="AH277" i="39"/>
  <c r="F277" i="39" s="1"/>
  <c r="AG277" i="39"/>
  <c r="E277" i="39"/>
  <c r="AH276" i="39"/>
  <c r="F276" i="39" s="1"/>
  <c r="AG276" i="39"/>
  <c r="E276" i="39"/>
  <c r="AH275" i="39"/>
  <c r="AG275" i="39"/>
  <c r="E275" i="39"/>
  <c r="AH274" i="39"/>
  <c r="AG274" i="39"/>
  <c r="E274" i="39"/>
  <c r="AH273" i="39"/>
  <c r="F273" i="39" s="1"/>
  <c r="AG273" i="39"/>
  <c r="E273" i="39"/>
  <c r="AH272" i="39"/>
  <c r="F272" i="39" s="1"/>
  <c r="AG272" i="39"/>
  <c r="E272" i="39"/>
  <c r="AH271" i="39"/>
  <c r="F271" i="39" s="1"/>
  <c r="AG271" i="39"/>
  <c r="E271" i="39"/>
  <c r="AH270" i="39"/>
  <c r="F270" i="39" s="1"/>
  <c r="AG270" i="39"/>
  <c r="E270" i="39"/>
  <c r="AH269" i="39"/>
  <c r="F269" i="39" s="1"/>
  <c r="AG269" i="39"/>
  <c r="E269" i="39"/>
  <c r="AH268" i="39"/>
  <c r="AG268" i="39"/>
  <c r="E268" i="39"/>
  <c r="AH267" i="39"/>
  <c r="F267" i="39" s="1"/>
  <c r="AG267" i="39"/>
  <c r="E267" i="39"/>
  <c r="AH266" i="39"/>
  <c r="F266" i="39" s="1"/>
  <c r="AG266" i="39"/>
  <c r="E266" i="39"/>
  <c r="AH265" i="39"/>
  <c r="F265" i="39" s="1"/>
  <c r="AG265" i="39"/>
  <c r="E265" i="39"/>
  <c r="AH264" i="39"/>
  <c r="F264" i="39" s="1"/>
  <c r="AG264" i="39"/>
  <c r="E264" i="39"/>
  <c r="B264" i="39"/>
  <c r="AH263" i="39"/>
  <c r="F263" i="39" s="1"/>
  <c r="AG263" i="39"/>
  <c r="E263" i="39"/>
  <c r="AH262" i="39"/>
  <c r="F262" i="39" s="1"/>
  <c r="AG262" i="39"/>
  <c r="E262" i="39"/>
  <c r="AH261" i="39"/>
  <c r="F261" i="39" s="1"/>
  <c r="AG261" i="39"/>
  <c r="E261" i="39"/>
  <c r="AH260" i="39"/>
  <c r="F260" i="39" s="1"/>
  <c r="AG260" i="39"/>
  <c r="E260" i="39"/>
  <c r="AH259" i="39"/>
  <c r="F259" i="39" s="1"/>
  <c r="AG259" i="39"/>
  <c r="E259" i="39"/>
  <c r="AH258" i="39"/>
  <c r="F258" i="39" s="1"/>
  <c r="AG258" i="39"/>
  <c r="E258" i="39"/>
  <c r="AH257" i="39"/>
  <c r="AG257" i="39"/>
  <c r="E257" i="39"/>
  <c r="L233" i="39"/>
  <c r="L208" i="39"/>
  <c r="H208" i="39"/>
  <c r="AQ208" i="39" s="1"/>
  <c r="AT208" i="39" s="1"/>
  <c r="AW208" i="39" s="1"/>
  <c r="AR207" i="39"/>
  <c r="AQ207" i="39"/>
  <c r="AT207" i="39" s="1"/>
  <c r="AW207" i="39" s="1"/>
  <c r="C199" i="39"/>
  <c r="C198" i="39"/>
  <c r="L149" i="39"/>
  <c r="F149" i="39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L100" i="39"/>
  <c r="L101" i="39" s="1"/>
  <c r="L102" i="39" s="1"/>
  <c r="L103" i="39" s="1"/>
  <c r="L104" i="39" s="1"/>
  <c r="L105" i="39" s="1"/>
  <c r="L106" i="39" s="1"/>
  <c r="L107" i="39" s="1"/>
  <c r="L108" i="39" s="1"/>
  <c r="L109" i="39" s="1"/>
  <c r="L110" i="39" s="1"/>
  <c r="L111" i="39" s="1"/>
  <c r="L112" i="39" s="1"/>
  <c r="L113" i="39" s="1"/>
  <c r="L114" i="39" s="1"/>
  <c r="L115" i="39" s="1"/>
  <c r="L116" i="39" s="1"/>
  <c r="L117" i="39" s="1"/>
  <c r="L118" i="39" s="1"/>
  <c r="L123" i="39" s="1"/>
  <c r="L99" i="39"/>
  <c r="AL74" i="39"/>
  <c r="AL75" i="39" s="1"/>
  <c r="AL76" i="39" s="1"/>
  <c r="AL77" i="39" s="1"/>
  <c r="L49" i="39"/>
  <c r="L50" i="39" s="1"/>
  <c r="L51" i="39" s="1"/>
  <c r="L52" i="39" s="1"/>
  <c r="L53" i="39" s="1"/>
  <c r="H49" i="39"/>
  <c r="F49" i="39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AR48" i="39"/>
  <c r="J48" i="39" s="1"/>
  <c r="AZ48" i="39" s="1"/>
  <c r="AP48" i="39" s="1"/>
  <c r="AQ48" i="39"/>
  <c r="AT48" i="39" s="1"/>
  <c r="AW48" i="39" s="1"/>
  <c r="AL24" i="39"/>
  <c r="AL25" i="39" s="1"/>
  <c r="L24" i="39"/>
  <c r="L25" i="39" s="1"/>
  <c r="H24" i="39"/>
  <c r="AR24" i="39" s="1"/>
  <c r="AR23" i="39"/>
  <c r="AQ23" i="39"/>
  <c r="AT23" i="39" s="1"/>
  <c r="AW23" i="39" s="1"/>
  <c r="AB23" i="39"/>
  <c r="N13" i="39"/>
  <c r="T9" i="39"/>
  <c r="U9" i="39" s="1"/>
  <c r="B4" i="39" s="1"/>
  <c r="N9" i="39"/>
  <c r="H9" i="39"/>
  <c r="H14" i="39" s="1"/>
  <c r="E9" i="39"/>
  <c r="H11" i="39" s="1"/>
  <c r="U8" i="39"/>
  <c r="N8" i="39"/>
  <c r="B8" i="39"/>
  <c r="U7" i="39"/>
  <c r="Q7" i="39"/>
  <c r="B7" i="39"/>
  <c r="U6" i="39"/>
  <c r="U5" i="39"/>
  <c r="U4" i="39"/>
  <c r="AR292" i="27"/>
  <c r="J292" i="27" s="1"/>
  <c r="AZ292" i="27" s="1"/>
  <c r="AP292" i="27" s="1"/>
  <c r="AI292" i="27" s="1"/>
  <c r="AQ292" i="27"/>
  <c r="AT292" i="27" s="1"/>
  <c r="AW292" i="27" s="1"/>
  <c r="AF292" i="27"/>
  <c r="BB292" i="27" s="1"/>
  <c r="F283" i="27"/>
  <c r="E283" i="27"/>
  <c r="F282" i="27"/>
  <c r="E282" i="27"/>
  <c r="F281" i="27"/>
  <c r="E281" i="27"/>
  <c r="F280" i="27"/>
  <c r="E280" i="27"/>
  <c r="F279" i="27"/>
  <c r="E279" i="27"/>
  <c r="F278" i="27"/>
  <c r="E278" i="27"/>
  <c r="E277" i="27"/>
  <c r="E276" i="27"/>
  <c r="E275" i="27"/>
  <c r="E274" i="27"/>
  <c r="E273" i="27"/>
  <c r="E272" i="27"/>
  <c r="E271" i="27"/>
  <c r="E270" i="27"/>
  <c r="E269" i="27"/>
  <c r="E268" i="27"/>
  <c r="E267" i="27"/>
  <c r="E266" i="27"/>
  <c r="E265" i="27"/>
  <c r="E264" i="27"/>
  <c r="E263" i="27"/>
  <c r="E262" i="27"/>
  <c r="E261" i="27"/>
  <c r="E260" i="27"/>
  <c r="E259" i="27"/>
  <c r="E258" i="27"/>
  <c r="E257" i="27"/>
  <c r="AH277" i="27"/>
  <c r="AG277" i="27"/>
  <c r="AH276" i="27"/>
  <c r="AG276" i="27"/>
  <c r="AH275" i="27"/>
  <c r="AG275" i="27"/>
  <c r="AH274" i="27"/>
  <c r="AG274" i="27"/>
  <c r="AH273" i="27"/>
  <c r="AG273" i="27"/>
  <c r="AH272" i="27"/>
  <c r="AG272" i="27"/>
  <c r="AH271" i="27"/>
  <c r="AG271" i="27"/>
  <c r="AH270" i="27"/>
  <c r="AG270" i="27"/>
  <c r="AH269" i="27"/>
  <c r="AG269" i="27"/>
  <c r="AH268" i="27"/>
  <c r="AG268" i="27"/>
  <c r="AH267" i="27"/>
  <c r="AG267" i="27"/>
  <c r="AH266" i="27"/>
  <c r="AG266" i="27"/>
  <c r="AH265" i="27"/>
  <c r="AG265" i="27"/>
  <c r="AH264" i="27"/>
  <c r="AG264" i="27"/>
  <c r="AH263" i="27"/>
  <c r="AG263" i="27"/>
  <c r="AH262" i="27"/>
  <c r="AG262" i="27"/>
  <c r="AH261" i="27"/>
  <c r="AG261" i="27"/>
  <c r="AH260" i="27"/>
  <c r="AG260" i="27"/>
  <c r="AH259" i="27"/>
  <c r="AG259" i="27"/>
  <c r="AH258" i="27"/>
  <c r="AG258" i="27"/>
  <c r="AH257" i="27"/>
  <c r="AG257" i="27"/>
  <c r="N15" i="27"/>
  <c r="AB195" i="36"/>
  <c r="AB23" i="27"/>
  <c r="H328" i="36"/>
  <c r="AR328" i="36" s="1"/>
  <c r="F328" i="36"/>
  <c r="E328" i="36"/>
  <c r="A328" i="36"/>
  <c r="B328" i="36" s="1"/>
  <c r="C328" i="36" s="1"/>
  <c r="AB23" i="36"/>
  <c r="AF23" i="36" s="1"/>
  <c r="BB23" i="36" s="1"/>
  <c r="AB49" i="36"/>
  <c r="G47" i="35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46" i="35"/>
  <c r="H56" i="35"/>
  <c r="H55" i="35"/>
  <c r="H54" i="35"/>
  <c r="H53" i="35"/>
  <c r="H52" i="35"/>
  <c r="H51" i="35"/>
  <c r="H50" i="35"/>
  <c r="H49" i="35"/>
  <c r="H48" i="35"/>
  <c r="H47" i="35"/>
  <c r="H46" i="35"/>
  <c r="H45" i="35"/>
  <c r="F25" i="35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24" i="35"/>
  <c r="F278" i="36"/>
  <c r="F279" i="36"/>
  <c r="F280" i="36"/>
  <c r="F281" i="36"/>
  <c r="F282" i="36"/>
  <c r="F283" i="36"/>
  <c r="AG274" i="36"/>
  <c r="AG275" i="36"/>
  <c r="AG276" i="36"/>
  <c r="AG277" i="36"/>
  <c r="AG273" i="36"/>
  <c r="AG269" i="36"/>
  <c r="AG270" i="36"/>
  <c r="AG271" i="36"/>
  <c r="AG272" i="36"/>
  <c r="AG268" i="36"/>
  <c r="AG264" i="36"/>
  <c r="AG265" i="36"/>
  <c r="AG266" i="36"/>
  <c r="AG267" i="36"/>
  <c r="AG263" i="36"/>
  <c r="AG258" i="36"/>
  <c r="AG259" i="36"/>
  <c r="AG260" i="36"/>
  <c r="AG261" i="36"/>
  <c r="AG262" i="36"/>
  <c r="AG257" i="36"/>
  <c r="E258" i="36"/>
  <c r="E259" i="36"/>
  <c r="E260" i="36"/>
  <c r="E261" i="36"/>
  <c r="E262" i="36"/>
  <c r="E263" i="36"/>
  <c r="E264" i="36"/>
  <c r="E265" i="36"/>
  <c r="E266" i="36"/>
  <c r="E267" i="36"/>
  <c r="E268" i="36"/>
  <c r="E269" i="36"/>
  <c r="E270" i="36"/>
  <c r="E271" i="36"/>
  <c r="E272" i="36"/>
  <c r="E273" i="36"/>
  <c r="E274" i="36"/>
  <c r="E275" i="36"/>
  <c r="E276" i="36"/>
  <c r="E277" i="36"/>
  <c r="E278" i="36"/>
  <c r="E279" i="36"/>
  <c r="E280" i="36"/>
  <c r="E281" i="36"/>
  <c r="E282" i="36"/>
  <c r="E283" i="36"/>
  <c r="E257" i="36"/>
  <c r="AH277" i="36"/>
  <c r="AH276" i="36"/>
  <c r="AH275" i="36"/>
  <c r="AH274" i="36"/>
  <c r="AH273" i="36"/>
  <c r="AH272" i="36"/>
  <c r="AH271" i="36"/>
  <c r="AH270" i="36"/>
  <c r="AH269" i="36"/>
  <c r="AH268" i="36"/>
  <c r="AH267" i="36"/>
  <c r="AH266" i="36"/>
  <c r="AH265" i="36"/>
  <c r="AH264" i="36"/>
  <c r="AH263" i="36"/>
  <c r="AH262" i="36"/>
  <c r="AH261" i="36"/>
  <c r="AH260" i="36"/>
  <c r="AH259" i="36"/>
  <c r="AH258" i="36"/>
  <c r="AH257" i="36"/>
  <c r="AR292" i="36"/>
  <c r="AU292" i="36" s="1"/>
  <c r="AQ292" i="36"/>
  <c r="AT292" i="36" s="1"/>
  <c r="AW292" i="36" s="1"/>
  <c r="AF292" i="36"/>
  <c r="B334" i="36"/>
  <c r="B333" i="36" s="1"/>
  <c r="B335" i="36" s="1"/>
  <c r="G333" i="36" s="1"/>
  <c r="D299" i="36"/>
  <c r="E299" i="36" s="1"/>
  <c r="B264" i="36"/>
  <c r="L233" i="36"/>
  <c r="L208" i="36"/>
  <c r="L209" i="36" s="1"/>
  <c r="H208" i="36"/>
  <c r="AR208" i="36" s="1"/>
  <c r="AB208" i="36" s="1"/>
  <c r="AR207" i="36"/>
  <c r="J207" i="36" s="1"/>
  <c r="AZ207" i="36" s="1"/>
  <c r="AP207" i="36" s="1"/>
  <c r="AQ207" i="36"/>
  <c r="AT207" i="36" s="1"/>
  <c r="AW207" i="36" s="1"/>
  <c r="C199" i="36"/>
  <c r="C198" i="36"/>
  <c r="L149" i="36"/>
  <c r="L150" i="36" s="1"/>
  <c r="F149" i="36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L99" i="36"/>
  <c r="L100" i="36" s="1"/>
  <c r="L101" i="36" s="1"/>
  <c r="AL74" i="36"/>
  <c r="AL75" i="36" s="1"/>
  <c r="AL76" i="36" s="1"/>
  <c r="AL77" i="36" s="1"/>
  <c r="L49" i="36"/>
  <c r="L50" i="36" s="1"/>
  <c r="H49" i="36"/>
  <c r="AR49" i="36" s="1"/>
  <c r="F49" i="36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AR48" i="36"/>
  <c r="AB48" i="36" s="1"/>
  <c r="AQ48" i="36"/>
  <c r="AL24" i="36"/>
  <c r="AL25" i="36" s="1"/>
  <c r="AL26" i="36" s="1"/>
  <c r="L24" i="36"/>
  <c r="L25" i="36" s="1"/>
  <c r="L26" i="36" s="1"/>
  <c r="H24" i="36"/>
  <c r="AR23" i="36"/>
  <c r="AQ23" i="36"/>
  <c r="AT23" i="36" s="1"/>
  <c r="AW23" i="36" s="1"/>
  <c r="N13" i="36"/>
  <c r="T9" i="36"/>
  <c r="U9" i="36" s="1"/>
  <c r="Q7" i="36"/>
  <c r="K3" i="30" s="1"/>
  <c r="H9" i="36"/>
  <c r="H14" i="36" s="1"/>
  <c r="E9" i="36"/>
  <c r="H11" i="36" s="1"/>
  <c r="U8" i="36"/>
  <c r="B8" i="36"/>
  <c r="U7" i="36"/>
  <c r="B7" i="36"/>
  <c r="U6" i="36"/>
  <c r="U5" i="36"/>
  <c r="U4" i="36"/>
  <c r="M41" i="35"/>
  <c r="M26" i="35"/>
  <c r="N13" i="35"/>
  <c r="T9" i="35"/>
  <c r="U9" i="35" s="1"/>
  <c r="N9" i="35"/>
  <c r="Q7" i="35" s="1"/>
  <c r="H9" i="35"/>
  <c r="H14" i="35" s="1"/>
  <c r="E9" i="35"/>
  <c r="H11" i="35" s="1"/>
  <c r="U8" i="35"/>
  <c r="N8" i="35"/>
  <c r="B8" i="35"/>
  <c r="U7" i="35"/>
  <c r="B7" i="35"/>
  <c r="U6" i="35"/>
  <c r="U5" i="35"/>
  <c r="U4" i="35"/>
  <c r="T9" i="27"/>
  <c r="U9" i="27" s="1"/>
  <c r="U8" i="27"/>
  <c r="U7" i="27"/>
  <c r="U6" i="27"/>
  <c r="U5" i="27"/>
  <c r="U4" i="27"/>
  <c r="D25" i="17"/>
  <c r="G25" i="17" s="1"/>
  <c r="E25" i="17"/>
  <c r="D29" i="17"/>
  <c r="D30" i="17" s="1"/>
  <c r="N28" i="17"/>
  <c r="AS24" i="50" l="1"/>
  <c r="AV24" i="50" s="1"/>
  <c r="L27" i="50"/>
  <c r="AI23" i="50"/>
  <c r="K48" i="50"/>
  <c r="P48" i="50" s="1"/>
  <c r="AR25" i="50"/>
  <c r="H26" i="50"/>
  <c r="AQ25" i="50"/>
  <c r="AT25" i="50" s="1"/>
  <c r="AW25" i="50" s="1"/>
  <c r="AL27" i="50"/>
  <c r="L101" i="50"/>
  <c r="J208" i="50"/>
  <c r="AZ208" i="50" s="1"/>
  <c r="AP208" i="50" s="1"/>
  <c r="AI208" i="50" s="1"/>
  <c r="L209" i="50"/>
  <c r="AS23" i="50"/>
  <c r="AV23" i="50" s="1"/>
  <c r="B4" i="50"/>
  <c r="J24" i="50"/>
  <c r="AZ24" i="50" s="1"/>
  <c r="AP24" i="50" s="1"/>
  <c r="H51" i="50"/>
  <c r="AR50" i="50"/>
  <c r="B268" i="50"/>
  <c r="B312" i="50"/>
  <c r="AF23" i="50"/>
  <c r="AD23" i="50"/>
  <c r="AS49" i="50"/>
  <c r="AV49" i="50" s="1"/>
  <c r="AU24" i="50"/>
  <c r="AB24" i="50"/>
  <c r="L154" i="50"/>
  <c r="J50" i="50"/>
  <c r="AZ50" i="50" s="1"/>
  <c r="AP50" i="50" s="1"/>
  <c r="K23" i="50"/>
  <c r="AQ24" i="50"/>
  <c r="AT24" i="50" s="1"/>
  <c r="AW24" i="50" s="1"/>
  <c r="J49" i="50"/>
  <c r="AZ49" i="50" s="1"/>
  <c r="AP49" i="50" s="1"/>
  <c r="AL75" i="50"/>
  <c r="AF208" i="50"/>
  <c r="AS207" i="50"/>
  <c r="AV207" i="50" s="1"/>
  <c r="AB207" i="50"/>
  <c r="K207" i="50"/>
  <c r="AU207" i="50"/>
  <c r="AQ209" i="50"/>
  <c r="AT209" i="50" s="1"/>
  <c r="AW209" i="50" s="1"/>
  <c r="AR209" i="50"/>
  <c r="H210" i="50"/>
  <c r="E301" i="50"/>
  <c r="D302" i="50"/>
  <c r="AS208" i="50"/>
  <c r="AV208" i="50" s="1"/>
  <c r="AU208" i="50"/>
  <c r="L238" i="50"/>
  <c r="AS292" i="50"/>
  <c r="AV292" i="50" s="1"/>
  <c r="AB328" i="50"/>
  <c r="AU328" i="50"/>
  <c r="AQ328" i="50"/>
  <c r="E299" i="50"/>
  <c r="O146" i="48"/>
  <c r="Q146" i="48"/>
  <c r="R146" i="48" s="1"/>
  <c r="X146" i="48" s="1"/>
  <c r="N145" i="48"/>
  <c r="P145" i="48"/>
  <c r="AH145" i="48"/>
  <c r="AC145" i="48"/>
  <c r="AE145" i="48"/>
  <c r="P144" i="48"/>
  <c r="N144" i="48"/>
  <c r="AC144" i="48"/>
  <c r="AE144" i="48"/>
  <c r="AH144" i="48" s="1"/>
  <c r="P143" i="48"/>
  <c r="N143" i="48"/>
  <c r="AC143" i="48"/>
  <c r="AE143" i="48"/>
  <c r="P142" i="48"/>
  <c r="N142" i="48"/>
  <c r="AH142" i="48"/>
  <c r="AC142" i="48"/>
  <c r="AE142" i="48"/>
  <c r="P141" i="48"/>
  <c r="N141" i="48"/>
  <c r="AC141" i="48"/>
  <c r="AE141" i="48"/>
  <c r="N140" i="48"/>
  <c r="P140" i="48"/>
  <c r="AH140" i="48"/>
  <c r="AC140" i="48"/>
  <c r="AE140" i="48"/>
  <c r="N139" i="48"/>
  <c r="P139" i="48"/>
  <c r="AC139" i="48"/>
  <c r="AE139" i="48"/>
  <c r="P138" i="48"/>
  <c r="N138" i="48"/>
  <c r="AH138" i="48"/>
  <c r="AC138" i="48"/>
  <c r="AE138" i="48"/>
  <c r="P137" i="48"/>
  <c r="N137" i="48"/>
  <c r="AC137" i="48"/>
  <c r="AE137" i="48"/>
  <c r="N136" i="48"/>
  <c r="P136" i="48"/>
  <c r="AH136" i="48"/>
  <c r="AC136" i="48"/>
  <c r="AE136" i="48"/>
  <c r="N135" i="48"/>
  <c r="P135" i="48"/>
  <c r="AC135" i="48"/>
  <c r="AE135" i="48"/>
  <c r="N134" i="48"/>
  <c r="P134" i="48"/>
  <c r="AA134" i="48"/>
  <c r="AU134" i="48"/>
  <c r="N133" i="48"/>
  <c r="P133" i="48"/>
  <c r="AH133" i="48"/>
  <c r="AC133" i="48"/>
  <c r="AE133" i="48"/>
  <c r="P132" i="48"/>
  <c r="N132" i="48"/>
  <c r="AH132" i="48"/>
  <c r="AC132" i="48"/>
  <c r="AE132" i="48"/>
  <c r="N131" i="48"/>
  <c r="P131" i="48"/>
  <c r="AH131" i="48"/>
  <c r="AC131" i="48"/>
  <c r="AE131" i="48"/>
  <c r="P130" i="48"/>
  <c r="N130" i="48"/>
  <c r="AH130" i="48"/>
  <c r="AC130" i="48"/>
  <c r="AE130" i="48"/>
  <c r="P129" i="48"/>
  <c r="N129" i="48"/>
  <c r="AE129" i="48"/>
  <c r="AH129" i="48" s="1"/>
  <c r="AC129" i="48"/>
  <c r="P128" i="48"/>
  <c r="N128" i="48"/>
  <c r="AH128" i="48"/>
  <c r="AC128" i="48"/>
  <c r="AE128" i="48"/>
  <c r="N127" i="48"/>
  <c r="P127" i="48"/>
  <c r="AC127" i="48"/>
  <c r="AE127" i="48"/>
  <c r="P126" i="48"/>
  <c r="N126" i="48"/>
  <c r="AH126" i="48"/>
  <c r="AC126" i="48"/>
  <c r="AE126" i="48"/>
  <c r="P125" i="48"/>
  <c r="N125" i="48"/>
  <c r="AC125" i="48"/>
  <c r="AE125" i="48"/>
  <c r="AH125" i="48" s="1"/>
  <c r="N124" i="48"/>
  <c r="P124" i="48"/>
  <c r="AC124" i="48"/>
  <c r="AE124" i="48"/>
  <c r="N123" i="48"/>
  <c r="P123" i="48"/>
  <c r="AH123" i="48"/>
  <c r="AC123" i="48"/>
  <c r="AE123" i="48"/>
  <c r="N122" i="48"/>
  <c r="P122" i="48"/>
  <c r="AH122" i="48"/>
  <c r="AC122" i="48"/>
  <c r="AE122" i="48"/>
  <c r="N121" i="48"/>
  <c r="P121" i="48"/>
  <c r="AC121" i="48"/>
  <c r="AE121" i="48"/>
  <c r="AH121" i="48" s="1"/>
  <c r="P120" i="48"/>
  <c r="N120" i="48"/>
  <c r="AH120" i="48"/>
  <c r="AC120" i="48"/>
  <c r="AE120" i="48"/>
  <c r="N119" i="48"/>
  <c r="P119" i="48"/>
  <c r="AC119" i="48"/>
  <c r="AE119" i="48"/>
  <c r="AH119" i="48" s="1"/>
  <c r="P118" i="48"/>
  <c r="N118" i="48"/>
  <c r="AH118" i="48"/>
  <c r="AC118" i="48"/>
  <c r="AE118" i="48"/>
  <c r="P117" i="48"/>
  <c r="N117" i="48"/>
  <c r="AH117" i="48"/>
  <c r="AC117" i="48"/>
  <c r="AE117" i="48"/>
  <c r="P116" i="48"/>
  <c r="N116" i="48"/>
  <c r="AE116" i="48"/>
  <c r="AC116" i="48"/>
  <c r="P115" i="48"/>
  <c r="N115" i="48"/>
  <c r="AH115" i="48"/>
  <c r="AC115" i="48"/>
  <c r="AE115" i="48"/>
  <c r="N114" i="48"/>
  <c r="P114" i="48"/>
  <c r="AC114" i="48"/>
  <c r="AE114" i="48"/>
  <c r="AH114" i="48" s="1"/>
  <c r="N113" i="48"/>
  <c r="P113" i="48"/>
  <c r="AH113" i="48"/>
  <c r="AC113" i="48"/>
  <c r="AE113" i="48"/>
  <c r="N112" i="48"/>
  <c r="P112" i="48"/>
  <c r="AH112" i="48"/>
  <c r="AC112" i="48"/>
  <c r="AE112" i="48"/>
  <c r="P111" i="48"/>
  <c r="N111" i="48"/>
  <c r="AC111" i="48"/>
  <c r="AE111" i="48"/>
  <c r="AH110" i="48"/>
  <c r="P110" i="48"/>
  <c r="N110" i="48"/>
  <c r="AC110" i="48"/>
  <c r="AE110" i="48"/>
  <c r="P109" i="48"/>
  <c r="N109" i="48"/>
  <c r="AH109" i="48"/>
  <c r="AC109" i="48"/>
  <c r="AE109" i="48"/>
  <c r="N108" i="48"/>
  <c r="P108" i="48"/>
  <c r="AH108" i="48"/>
  <c r="AC108" i="48"/>
  <c r="AE108" i="48"/>
  <c r="M24" i="48"/>
  <c r="K26" i="48"/>
  <c r="M25" i="48"/>
  <c r="M26" i="48"/>
  <c r="K27" i="48"/>
  <c r="AR24" i="48"/>
  <c r="AQ24" i="48"/>
  <c r="AT24" i="48" s="1"/>
  <c r="AW24" i="48" s="1"/>
  <c r="N23" i="48"/>
  <c r="O23" i="48"/>
  <c r="AE23" i="48"/>
  <c r="AC23" i="48"/>
  <c r="L27" i="48"/>
  <c r="D9" i="41"/>
  <c r="AS23" i="40"/>
  <c r="AV23" i="40" s="1"/>
  <c r="AR24" i="40"/>
  <c r="AU24" i="40" s="1"/>
  <c r="K23" i="40"/>
  <c r="AZ23" i="40"/>
  <c r="AP23" i="40" s="1"/>
  <c r="AI23" i="40" s="1"/>
  <c r="AL26" i="40"/>
  <c r="L27" i="40"/>
  <c r="H25" i="40"/>
  <c r="B311" i="40"/>
  <c r="B268" i="40"/>
  <c r="L92" i="40"/>
  <c r="L211" i="40"/>
  <c r="AS208" i="40"/>
  <c r="AV208" i="40" s="1"/>
  <c r="AB208" i="40"/>
  <c r="H210" i="40"/>
  <c r="AQ209" i="40"/>
  <c r="AT209" i="40" s="1"/>
  <c r="AW209" i="40" s="1"/>
  <c r="AR209" i="40"/>
  <c r="J209" i="40" s="1"/>
  <c r="AZ209" i="40" s="1"/>
  <c r="AP209" i="40" s="1"/>
  <c r="J208" i="40"/>
  <c r="AZ208" i="40" s="1"/>
  <c r="AP208" i="40" s="1"/>
  <c r="AU207" i="40"/>
  <c r="K207" i="40"/>
  <c r="AS207" i="40"/>
  <c r="AV207" i="40" s="1"/>
  <c r="AB207" i="40"/>
  <c r="L235" i="40"/>
  <c r="M327" i="40"/>
  <c r="BA292" i="40"/>
  <c r="BB292" i="40"/>
  <c r="AT292" i="40"/>
  <c r="AW292" i="40" s="1"/>
  <c r="AS292" i="40"/>
  <c r="AV292" i="40" s="1"/>
  <c r="P327" i="40"/>
  <c r="N327" i="40"/>
  <c r="D299" i="40"/>
  <c r="E298" i="40"/>
  <c r="AB327" i="40"/>
  <c r="E299" i="39"/>
  <c r="L269" i="39"/>
  <c r="J292" i="39"/>
  <c r="AZ292" i="39" s="1"/>
  <c r="AP292" i="39" s="1"/>
  <c r="AI292" i="39" s="1"/>
  <c r="U14" i="39"/>
  <c r="AS292" i="39"/>
  <c r="AV292" i="39" s="1"/>
  <c r="BA292" i="39"/>
  <c r="AS23" i="39"/>
  <c r="AV23" i="39" s="1"/>
  <c r="AU23" i="39"/>
  <c r="J23" i="39"/>
  <c r="AZ23" i="39" s="1"/>
  <c r="AP23" i="39" s="1"/>
  <c r="L54" i="39"/>
  <c r="AB24" i="39"/>
  <c r="J24" i="39"/>
  <c r="AZ24" i="39" s="1"/>
  <c r="AP24" i="39" s="1"/>
  <c r="AU24" i="39"/>
  <c r="AL26" i="39"/>
  <c r="B312" i="39"/>
  <c r="B268" i="39"/>
  <c r="AU48" i="39"/>
  <c r="AF23" i="39"/>
  <c r="H50" i="39"/>
  <c r="AR49" i="39"/>
  <c r="AQ49" i="39"/>
  <c r="AT49" i="39" s="1"/>
  <c r="AW49" i="39" s="1"/>
  <c r="L124" i="39"/>
  <c r="T11" i="39"/>
  <c r="AQ24" i="39"/>
  <c r="AT24" i="39" s="1"/>
  <c r="AW24" i="39" s="1"/>
  <c r="H25" i="39"/>
  <c r="L26" i="39"/>
  <c r="AL78" i="39"/>
  <c r="AS48" i="39"/>
  <c r="AV48" i="39" s="1"/>
  <c r="K48" i="39"/>
  <c r="AB48" i="39"/>
  <c r="L150" i="39"/>
  <c r="L209" i="39"/>
  <c r="J207" i="39"/>
  <c r="AS207" i="39"/>
  <c r="AV207" i="39" s="1"/>
  <c r="AB207" i="39"/>
  <c r="AU207" i="39"/>
  <c r="AR208" i="39"/>
  <c r="H209" i="39"/>
  <c r="L234" i="39"/>
  <c r="D302" i="39"/>
  <c r="E301" i="39"/>
  <c r="J328" i="39"/>
  <c r="AZ328" i="39" s="1"/>
  <c r="AP328" i="39" s="1"/>
  <c r="AB328" i="39"/>
  <c r="AU328" i="39"/>
  <c r="AQ328" i="39"/>
  <c r="AT328" i="39" s="1"/>
  <c r="AW328" i="39" s="1"/>
  <c r="E300" i="39"/>
  <c r="AS292" i="27"/>
  <c r="AV292" i="27" s="1"/>
  <c r="B260" i="27" s="1"/>
  <c r="AU292" i="27"/>
  <c r="BA292" i="27"/>
  <c r="T11" i="27"/>
  <c r="B4" i="27"/>
  <c r="AQ328" i="36"/>
  <c r="AT328" i="36" s="1"/>
  <c r="AW328" i="36" s="1"/>
  <c r="AB207" i="36"/>
  <c r="AF207" i="36" s="1"/>
  <c r="AI207" i="36" s="1"/>
  <c r="U14" i="36"/>
  <c r="AS328" i="36"/>
  <c r="AV328" i="36" s="1"/>
  <c r="J328" i="36"/>
  <c r="AZ328" i="36" s="1"/>
  <c r="AP328" i="36" s="1"/>
  <c r="AB328" i="36"/>
  <c r="AU328" i="36"/>
  <c r="H25" i="36"/>
  <c r="AR25" i="36" s="1"/>
  <c r="AB25" i="36" s="1"/>
  <c r="J208" i="36"/>
  <c r="AZ208" i="36" s="1"/>
  <c r="AP208" i="36" s="1"/>
  <c r="AS292" i="36"/>
  <c r="AV292" i="36" s="1"/>
  <c r="B260" i="36" s="1"/>
  <c r="AS48" i="36"/>
  <c r="AV48" i="36" s="1"/>
  <c r="J292" i="36"/>
  <c r="AZ292" i="36" s="1"/>
  <c r="AP292" i="36" s="1"/>
  <c r="AI292" i="36" s="1"/>
  <c r="AT48" i="36"/>
  <c r="AW48" i="36" s="1"/>
  <c r="AQ24" i="36"/>
  <c r="AT24" i="36" s="1"/>
  <c r="AW24" i="36" s="1"/>
  <c r="AU23" i="36"/>
  <c r="J23" i="36"/>
  <c r="AZ23" i="36" s="1"/>
  <c r="AR24" i="36"/>
  <c r="BB292" i="36"/>
  <c r="BA292" i="36"/>
  <c r="J48" i="36"/>
  <c r="AZ48" i="36" s="1"/>
  <c r="AP48" i="36" s="1"/>
  <c r="AU48" i="36"/>
  <c r="AS207" i="36"/>
  <c r="AV207" i="36" s="1"/>
  <c r="K207" i="36" s="1"/>
  <c r="N207" i="36" s="1"/>
  <c r="AU207" i="36"/>
  <c r="L27" i="36"/>
  <c r="AL27" i="36"/>
  <c r="AU49" i="36"/>
  <c r="J49" i="36"/>
  <c r="AZ49" i="36" s="1"/>
  <c r="AP49" i="36" s="1"/>
  <c r="AU25" i="36"/>
  <c r="AL78" i="36"/>
  <c r="L51" i="36"/>
  <c r="B4" i="36"/>
  <c r="T11" i="36"/>
  <c r="H50" i="36"/>
  <c r="B268" i="36"/>
  <c r="B312" i="36"/>
  <c r="L102" i="36"/>
  <c r="AS23" i="36"/>
  <c r="AV23" i="36" s="1"/>
  <c r="AQ49" i="36"/>
  <c r="AT49" i="36" s="1"/>
  <c r="AW49" i="36" s="1"/>
  <c r="H26" i="36"/>
  <c r="BA23" i="36"/>
  <c r="L151" i="36"/>
  <c r="L210" i="36"/>
  <c r="AU208" i="36"/>
  <c r="AQ208" i="36"/>
  <c r="AT208" i="36" s="1"/>
  <c r="AW208" i="36" s="1"/>
  <c r="H209" i="36"/>
  <c r="L234" i="36"/>
  <c r="D300" i="36"/>
  <c r="T11" i="35"/>
  <c r="B4" i="35"/>
  <c r="F25" i="17"/>
  <c r="I25" i="17" s="1"/>
  <c r="H25" i="17"/>
  <c r="D31" i="17"/>
  <c r="N30" i="17"/>
  <c r="N29" i="17"/>
  <c r="AD48" i="50" l="1"/>
  <c r="N48" i="50"/>
  <c r="B260" i="50"/>
  <c r="D303" i="50"/>
  <c r="E302" i="50"/>
  <c r="L102" i="50"/>
  <c r="O48" i="50"/>
  <c r="Q48" i="50"/>
  <c r="R48" i="50" s="1"/>
  <c r="Y48" i="50" s="1"/>
  <c r="AT328" i="50"/>
  <c r="AW328" i="50" s="1"/>
  <c r="AS328" i="50"/>
  <c r="AV328" i="50" s="1"/>
  <c r="H211" i="50"/>
  <c r="AR210" i="50"/>
  <c r="AQ210" i="50"/>
  <c r="AT210" i="50" s="1"/>
  <c r="AW210" i="50" s="1"/>
  <c r="P207" i="50"/>
  <c r="N207" i="50"/>
  <c r="AF24" i="50"/>
  <c r="AS209" i="50"/>
  <c r="AV209" i="50" s="1"/>
  <c r="AB209" i="50"/>
  <c r="AU209" i="50"/>
  <c r="BB23" i="50"/>
  <c r="BA23" i="50"/>
  <c r="K50" i="50"/>
  <c r="AU50" i="50"/>
  <c r="AS50" i="50"/>
  <c r="AV50" i="50" s="1"/>
  <c r="AB50" i="50"/>
  <c r="N17" i="50"/>
  <c r="P23" i="50"/>
  <c r="N23" i="50"/>
  <c r="AR26" i="50"/>
  <c r="H27" i="50"/>
  <c r="AQ26" i="50"/>
  <c r="AT26" i="50" s="1"/>
  <c r="AW26" i="50" s="1"/>
  <c r="L28" i="50"/>
  <c r="AF328" i="50"/>
  <c r="K24" i="50"/>
  <c r="P24" i="50" s="1"/>
  <c r="AQ51" i="50"/>
  <c r="AT51" i="50" s="1"/>
  <c r="AW51" i="50" s="1"/>
  <c r="AR51" i="50"/>
  <c r="H52" i="50"/>
  <c r="AS25" i="50"/>
  <c r="AV25" i="50" s="1"/>
  <c r="AB25" i="50"/>
  <c r="AU25" i="50"/>
  <c r="J25" i="50"/>
  <c r="AZ25" i="50" s="1"/>
  <c r="AP25" i="50" s="1"/>
  <c r="M207" i="50"/>
  <c r="L239" i="50"/>
  <c r="K208" i="50"/>
  <c r="AD207" i="50"/>
  <c r="AF207" i="50"/>
  <c r="AL76" i="50"/>
  <c r="K49" i="50"/>
  <c r="P49" i="50" s="1"/>
  <c r="AL28" i="50"/>
  <c r="K292" i="50"/>
  <c r="M23" i="50"/>
  <c r="L155" i="50"/>
  <c r="J209" i="50"/>
  <c r="AZ209" i="50" s="1"/>
  <c r="AP209" i="50" s="1"/>
  <c r="L210" i="50"/>
  <c r="M48" i="50"/>
  <c r="AM48" i="50" s="1"/>
  <c r="Q145" i="48"/>
  <c r="R145" i="48" s="1"/>
  <c r="X145" i="48" s="1"/>
  <c r="O145" i="48"/>
  <c r="Q144" i="48"/>
  <c r="R144" i="48" s="1"/>
  <c r="X144" i="48" s="1"/>
  <c r="O144" i="48"/>
  <c r="O143" i="48"/>
  <c r="Q143" i="48"/>
  <c r="R143" i="48" s="1"/>
  <c r="X143" i="48" s="1"/>
  <c r="AH143" i="48"/>
  <c r="O142" i="48"/>
  <c r="Q142" i="48"/>
  <c r="R142" i="48" s="1"/>
  <c r="X142" i="48" s="1"/>
  <c r="Q141" i="48"/>
  <c r="R141" i="48" s="1"/>
  <c r="X141" i="48" s="1"/>
  <c r="O141" i="48"/>
  <c r="AH141" i="48"/>
  <c r="O140" i="48"/>
  <c r="Q140" i="48"/>
  <c r="R140" i="48" s="1"/>
  <c r="X140" i="48" s="1"/>
  <c r="O139" i="48"/>
  <c r="Q139" i="48"/>
  <c r="R139" i="48" s="1"/>
  <c r="X139" i="48" s="1"/>
  <c r="AH139" i="48"/>
  <c r="Q138" i="48"/>
  <c r="R138" i="48" s="1"/>
  <c r="X138" i="48" s="1"/>
  <c r="O138" i="48"/>
  <c r="Q137" i="48"/>
  <c r="R137" i="48" s="1"/>
  <c r="X137" i="48" s="1"/>
  <c r="O137" i="48"/>
  <c r="AH137" i="48"/>
  <c r="Q136" i="48"/>
  <c r="R136" i="48" s="1"/>
  <c r="X136" i="48" s="1"/>
  <c r="O136" i="48"/>
  <c r="O135" i="48"/>
  <c r="Q135" i="48"/>
  <c r="R135" i="48" s="1"/>
  <c r="X135" i="48" s="1"/>
  <c r="AH135" i="48"/>
  <c r="AE134" i="48"/>
  <c r="AC134" i="48"/>
  <c r="Q134" i="48"/>
  <c r="R134" i="48" s="1"/>
  <c r="X134" i="48" s="1"/>
  <c r="O134" i="48"/>
  <c r="O133" i="48"/>
  <c r="Q133" i="48"/>
  <c r="R133" i="48" s="1"/>
  <c r="X133" i="48" s="1"/>
  <c r="O132" i="48"/>
  <c r="Q132" i="48"/>
  <c r="R132" i="48" s="1"/>
  <c r="X132" i="48" s="1"/>
  <c r="O131" i="48"/>
  <c r="Q131" i="48"/>
  <c r="R131" i="48" s="1"/>
  <c r="X131" i="48" s="1"/>
  <c r="O130" i="48"/>
  <c r="Q130" i="48"/>
  <c r="R130" i="48" s="1"/>
  <c r="X130" i="48" s="1"/>
  <c r="Q129" i="48"/>
  <c r="R129" i="48" s="1"/>
  <c r="X129" i="48" s="1"/>
  <c r="O129" i="48"/>
  <c r="Q128" i="48"/>
  <c r="R128" i="48" s="1"/>
  <c r="X128" i="48" s="1"/>
  <c r="O128" i="48"/>
  <c r="Q127" i="48"/>
  <c r="R127" i="48" s="1"/>
  <c r="X127" i="48" s="1"/>
  <c r="O127" i="48"/>
  <c r="AH127" i="48"/>
  <c r="Q126" i="48"/>
  <c r="R126" i="48" s="1"/>
  <c r="X126" i="48" s="1"/>
  <c r="O126" i="48"/>
  <c r="O125" i="48"/>
  <c r="Q125" i="48"/>
  <c r="R125" i="48" s="1"/>
  <c r="X125" i="48" s="1"/>
  <c r="Q124" i="48"/>
  <c r="R124" i="48" s="1"/>
  <c r="X124" i="48" s="1"/>
  <c r="O124" i="48"/>
  <c r="AH124" i="48"/>
  <c r="Q123" i="48"/>
  <c r="R123" i="48" s="1"/>
  <c r="X123" i="48" s="1"/>
  <c r="O123" i="48"/>
  <c r="O122" i="48"/>
  <c r="Q122" i="48"/>
  <c r="R122" i="48" s="1"/>
  <c r="X122" i="48" s="1"/>
  <c r="O121" i="48"/>
  <c r="Q121" i="48"/>
  <c r="R121" i="48" s="1"/>
  <c r="X121" i="48" s="1"/>
  <c r="Q120" i="48"/>
  <c r="R120" i="48" s="1"/>
  <c r="X120" i="48" s="1"/>
  <c r="O120" i="48"/>
  <c r="Q119" i="48"/>
  <c r="R119" i="48" s="1"/>
  <c r="X119" i="48" s="1"/>
  <c r="O119" i="48"/>
  <c r="Q118" i="48"/>
  <c r="R118" i="48" s="1"/>
  <c r="X118" i="48" s="1"/>
  <c r="O118" i="48"/>
  <c r="Q117" i="48"/>
  <c r="R117" i="48" s="1"/>
  <c r="X117" i="48" s="1"/>
  <c r="O117" i="48"/>
  <c r="AH116" i="48"/>
  <c r="Q116" i="48"/>
  <c r="R116" i="48" s="1"/>
  <c r="X116" i="48" s="1"/>
  <c r="O116" i="48"/>
  <c r="Q115" i="48"/>
  <c r="R115" i="48" s="1"/>
  <c r="X115" i="48" s="1"/>
  <c r="O115" i="48"/>
  <c r="Q114" i="48"/>
  <c r="R114" i="48" s="1"/>
  <c r="X114" i="48" s="1"/>
  <c r="O114" i="48"/>
  <c r="O113" i="48"/>
  <c r="Q113" i="48"/>
  <c r="R113" i="48" s="1"/>
  <c r="X113" i="48" s="1"/>
  <c r="O112" i="48"/>
  <c r="Q112" i="48"/>
  <c r="R112" i="48" s="1"/>
  <c r="X112" i="48" s="1"/>
  <c r="Q111" i="48"/>
  <c r="R111" i="48" s="1"/>
  <c r="X111" i="48" s="1"/>
  <c r="O111" i="48"/>
  <c r="AH111" i="48"/>
  <c r="Q110" i="48"/>
  <c r="R110" i="48" s="1"/>
  <c r="X110" i="48" s="1"/>
  <c r="O110" i="48"/>
  <c r="O109" i="48"/>
  <c r="Q109" i="48"/>
  <c r="R109" i="48" s="1"/>
  <c r="X109" i="48" s="1"/>
  <c r="Q108" i="48"/>
  <c r="R108" i="48" s="1"/>
  <c r="X108" i="48" s="1"/>
  <c r="O108" i="48"/>
  <c r="M27" i="48"/>
  <c r="K28" i="48"/>
  <c r="L28" i="48"/>
  <c r="AS24" i="48"/>
  <c r="AV24" i="48" s="1"/>
  <c r="AU24" i="48"/>
  <c r="AA24" i="48"/>
  <c r="AR25" i="48"/>
  <c r="AQ25" i="48"/>
  <c r="AT25" i="48" s="1"/>
  <c r="AW25" i="48" s="1"/>
  <c r="J24" i="40"/>
  <c r="AZ24" i="40" s="1"/>
  <c r="AP24" i="40" s="1"/>
  <c r="AB24" i="40"/>
  <c r="AF24" i="40" s="1"/>
  <c r="AS24" i="40"/>
  <c r="AV24" i="40" s="1"/>
  <c r="L236" i="40"/>
  <c r="L212" i="40"/>
  <c r="AR25" i="40"/>
  <c r="H26" i="40"/>
  <c r="AQ25" i="40"/>
  <c r="AT25" i="40" s="1"/>
  <c r="AW25" i="40" s="1"/>
  <c r="AD327" i="40"/>
  <c r="AF208" i="40"/>
  <c r="AL27" i="40"/>
  <c r="AD207" i="40"/>
  <c r="AF207" i="40"/>
  <c r="L28" i="40"/>
  <c r="N208" i="40"/>
  <c r="P207" i="40"/>
  <c r="N207" i="40"/>
  <c r="AU209" i="40"/>
  <c r="AS209" i="40"/>
  <c r="AV209" i="40" s="1"/>
  <c r="AB209" i="40"/>
  <c r="K209" i="40"/>
  <c r="K208" i="40"/>
  <c r="AD208" i="40" s="1"/>
  <c r="L93" i="40"/>
  <c r="M23" i="40"/>
  <c r="Q327" i="40"/>
  <c r="R327" i="40" s="1"/>
  <c r="Y327" i="40" s="1"/>
  <c r="O327" i="40"/>
  <c r="M207" i="40"/>
  <c r="N23" i="40"/>
  <c r="D300" i="40"/>
  <c r="E299" i="40"/>
  <c r="AI208" i="40"/>
  <c r="N292" i="40"/>
  <c r="B260" i="40"/>
  <c r="P292" i="40"/>
  <c r="K292" i="40"/>
  <c r="AR210" i="40"/>
  <c r="H211" i="40"/>
  <c r="AQ210" i="40"/>
  <c r="AT210" i="40" s="1"/>
  <c r="AW210" i="40" s="1"/>
  <c r="P23" i="40"/>
  <c r="AD23" i="40"/>
  <c r="K292" i="39"/>
  <c r="N292" i="39" s="1"/>
  <c r="AI23" i="39"/>
  <c r="M292" i="39"/>
  <c r="K23" i="39"/>
  <c r="P23" i="39" s="1"/>
  <c r="AZ207" i="39"/>
  <c r="AP207" i="39" s="1"/>
  <c r="K207" i="39"/>
  <c r="AL79" i="39"/>
  <c r="AF24" i="39"/>
  <c r="AI24" i="39" s="1"/>
  <c r="L55" i="39"/>
  <c r="D303" i="39"/>
  <c r="E302" i="39"/>
  <c r="AF328" i="39"/>
  <c r="AI328" i="39" s="1"/>
  <c r="AN328" i="39" s="1"/>
  <c r="H210" i="39"/>
  <c r="AR209" i="39"/>
  <c r="AQ209" i="39"/>
  <c r="AT209" i="39" s="1"/>
  <c r="AW209" i="39" s="1"/>
  <c r="AB49" i="39"/>
  <c r="AS49" i="39"/>
  <c r="AV49" i="39" s="1"/>
  <c r="AU49" i="39"/>
  <c r="AS24" i="39"/>
  <c r="AV24" i="39" s="1"/>
  <c r="L235" i="39"/>
  <c r="M48" i="39"/>
  <c r="AM48" i="39" s="1"/>
  <c r="N207" i="39"/>
  <c r="P207" i="39"/>
  <c r="P48" i="39"/>
  <c r="N48" i="39"/>
  <c r="AS208" i="39"/>
  <c r="AV208" i="39" s="1"/>
  <c r="AB208" i="39"/>
  <c r="AU208" i="39"/>
  <c r="L210" i="39"/>
  <c r="J49" i="39"/>
  <c r="AZ49" i="39" s="1"/>
  <c r="AP49" i="39" s="1"/>
  <c r="H51" i="39"/>
  <c r="AR50" i="39"/>
  <c r="AQ50" i="39"/>
  <c r="AT50" i="39" s="1"/>
  <c r="AW50" i="39" s="1"/>
  <c r="AL27" i="39"/>
  <c r="AF207" i="39"/>
  <c r="L151" i="39"/>
  <c r="AQ25" i="39"/>
  <c r="AT25" i="39" s="1"/>
  <c r="AW25" i="39" s="1"/>
  <c r="H26" i="39"/>
  <c r="AR25" i="39"/>
  <c r="L125" i="39"/>
  <c r="B260" i="39"/>
  <c r="AS328" i="39"/>
  <c r="AV328" i="39" s="1"/>
  <c r="J208" i="39"/>
  <c r="AZ208" i="39" s="1"/>
  <c r="AP208" i="39" s="1"/>
  <c r="AD48" i="39"/>
  <c r="L27" i="39"/>
  <c r="BA23" i="39"/>
  <c r="BB23" i="39"/>
  <c r="K292" i="27"/>
  <c r="AQ25" i="36"/>
  <c r="AT25" i="36" s="1"/>
  <c r="AW25" i="36" s="1"/>
  <c r="J25" i="36"/>
  <c r="AZ25" i="36" s="1"/>
  <c r="AP25" i="36" s="1"/>
  <c r="AF328" i="36"/>
  <c r="K328" i="36"/>
  <c r="N328" i="36" s="1"/>
  <c r="AP23" i="36"/>
  <c r="AI23" i="36" s="1"/>
  <c r="K48" i="36"/>
  <c r="N48" i="36" s="1"/>
  <c r="K292" i="36"/>
  <c r="AD292" i="36" s="1"/>
  <c r="K23" i="36"/>
  <c r="AD23" i="36" s="1"/>
  <c r="AD207" i="36"/>
  <c r="AS49" i="36"/>
  <c r="AV49" i="36" s="1"/>
  <c r="K49" i="36" s="1"/>
  <c r="AS24" i="36"/>
  <c r="AV24" i="36" s="1"/>
  <c r="AU24" i="36"/>
  <c r="J24" i="36"/>
  <c r="AL28" i="36"/>
  <c r="L152" i="36"/>
  <c r="L103" i="36"/>
  <c r="L52" i="36"/>
  <c r="AF208" i="36"/>
  <c r="H27" i="36"/>
  <c r="AR26" i="36"/>
  <c r="AB26" i="36" s="1"/>
  <c r="AQ26" i="36"/>
  <c r="AT26" i="36" s="1"/>
  <c r="AW26" i="36" s="1"/>
  <c r="E300" i="36"/>
  <c r="D301" i="36"/>
  <c r="AR209" i="36"/>
  <c r="AB209" i="36" s="1"/>
  <c r="AQ209" i="36"/>
  <c r="AT209" i="36" s="1"/>
  <c r="AW209" i="36" s="1"/>
  <c r="H210" i="36"/>
  <c r="M207" i="36"/>
  <c r="P207" i="36"/>
  <c r="L235" i="36"/>
  <c r="AS208" i="36"/>
  <c r="AV208" i="36" s="1"/>
  <c r="L211" i="36"/>
  <c r="AL79" i="36"/>
  <c r="L28" i="36"/>
  <c r="AR50" i="36"/>
  <c r="AB50" i="36" s="1"/>
  <c r="AQ50" i="36"/>
  <c r="AT50" i="36" s="1"/>
  <c r="AW50" i="36" s="1"/>
  <c r="H51" i="36"/>
  <c r="AF25" i="36"/>
  <c r="BB25" i="36" s="1"/>
  <c r="D32" i="17"/>
  <c r="N31" i="17"/>
  <c r="AS25" i="36" l="1"/>
  <c r="AV25" i="36" s="1"/>
  <c r="K25" i="36" s="1"/>
  <c r="M25" i="36" s="1"/>
  <c r="N17" i="36"/>
  <c r="AD24" i="50"/>
  <c r="N24" i="50"/>
  <c r="N49" i="50"/>
  <c r="Q49" i="50"/>
  <c r="R49" i="50" s="1"/>
  <c r="Y49" i="50" s="1"/>
  <c r="O49" i="50"/>
  <c r="AL77" i="50"/>
  <c r="M292" i="50"/>
  <c r="AD292" i="50"/>
  <c r="AI207" i="50"/>
  <c r="AI328" i="50"/>
  <c r="AN328" i="50" s="1"/>
  <c r="M50" i="50"/>
  <c r="AM50" i="50" s="1"/>
  <c r="AF209" i="50"/>
  <c r="AI209" i="50" s="1"/>
  <c r="AL29" i="50"/>
  <c r="K25" i="50"/>
  <c r="AS51" i="50"/>
  <c r="AV51" i="50" s="1"/>
  <c r="AB51" i="50"/>
  <c r="AU51" i="50"/>
  <c r="J51" i="50"/>
  <c r="AZ51" i="50" s="1"/>
  <c r="AP51" i="50" s="1"/>
  <c r="L29" i="50"/>
  <c r="Q23" i="50"/>
  <c r="R23" i="50" s="1"/>
  <c r="Y23" i="50" s="1"/>
  <c r="O23" i="50"/>
  <c r="BB24" i="50"/>
  <c r="BA24" i="50"/>
  <c r="AU210" i="50"/>
  <c r="AB210" i="50"/>
  <c r="AS210" i="50"/>
  <c r="AV210" i="50" s="1"/>
  <c r="K210" i="50"/>
  <c r="L103" i="50"/>
  <c r="E303" i="50"/>
  <c r="D304" i="50"/>
  <c r="M208" i="50"/>
  <c r="AD208" i="50"/>
  <c r="AF25" i="50"/>
  <c r="P208" i="50"/>
  <c r="AR211" i="50"/>
  <c r="AQ211" i="50"/>
  <c r="AT211" i="50" s="1"/>
  <c r="AW211" i="50" s="1"/>
  <c r="H212" i="50"/>
  <c r="N292" i="50"/>
  <c r="AU26" i="50"/>
  <c r="AB26" i="50"/>
  <c r="AS26" i="50"/>
  <c r="AV26" i="50" s="1"/>
  <c r="J26" i="50"/>
  <c r="AZ26" i="50" s="1"/>
  <c r="AP26" i="50" s="1"/>
  <c r="O207" i="50"/>
  <c r="Q207" i="50"/>
  <c r="R207" i="50" s="1"/>
  <c r="Y207" i="50" s="1"/>
  <c r="Q24" i="50"/>
  <c r="R24" i="50" s="1"/>
  <c r="Y24" i="50" s="1"/>
  <c r="O24" i="50"/>
  <c r="L156" i="50"/>
  <c r="AQ52" i="50"/>
  <c r="AT52" i="50" s="1"/>
  <c r="AW52" i="50" s="1"/>
  <c r="AR52" i="50"/>
  <c r="H53" i="50"/>
  <c r="L211" i="50"/>
  <c r="J210" i="50"/>
  <c r="AZ210" i="50" s="1"/>
  <c r="AP210" i="50" s="1"/>
  <c r="M49" i="50"/>
  <c r="AM49" i="50" s="1"/>
  <c r="AD49" i="50"/>
  <c r="M24" i="50"/>
  <c r="AD50" i="50"/>
  <c r="N208" i="50"/>
  <c r="K328" i="50"/>
  <c r="P328" i="50" s="1"/>
  <c r="AI24" i="50"/>
  <c r="P292" i="50"/>
  <c r="L240" i="50"/>
  <c r="AR27" i="50"/>
  <c r="AQ27" i="50"/>
  <c r="AT27" i="50" s="1"/>
  <c r="AW27" i="50" s="1"/>
  <c r="H28" i="50"/>
  <c r="P50" i="50"/>
  <c r="N50" i="50"/>
  <c r="K209" i="50"/>
  <c r="N209" i="50" s="1"/>
  <c r="AH134" i="48"/>
  <c r="K29" i="48"/>
  <c r="M28" i="48"/>
  <c r="N24" i="48"/>
  <c r="P24" i="48"/>
  <c r="AR26" i="48"/>
  <c r="AQ26" i="48"/>
  <c r="AT26" i="48" s="1"/>
  <c r="AW26" i="48" s="1"/>
  <c r="AE24" i="48"/>
  <c r="AC24" i="48"/>
  <c r="AH24" i="48"/>
  <c r="AU25" i="48"/>
  <c r="AA25" i="48"/>
  <c r="AS25" i="48"/>
  <c r="AV25" i="48" s="1"/>
  <c r="L29" i="48"/>
  <c r="AI24" i="40"/>
  <c r="K24" i="40"/>
  <c r="N24" i="40" s="1"/>
  <c r="Q23" i="40"/>
  <c r="R23" i="40" s="1"/>
  <c r="Y23" i="40" s="1"/>
  <c r="O23" i="40"/>
  <c r="H212" i="40"/>
  <c r="AQ211" i="40"/>
  <c r="AT211" i="40" s="1"/>
  <c r="AW211" i="40" s="1"/>
  <c r="AR211" i="40"/>
  <c r="P209" i="40"/>
  <c r="N209" i="40"/>
  <c r="P208" i="40"/>
  <c r="L213" i="40"/>
  <c r="K210" i="40"/>
  <c r="AU210" i="40"/>
  <c r="AS210" i="40"/>
  <c r="AV210" i="40" s="1"/>
  <c r="AB210" i="40"/>
  <c r="J210" i="40"/>
  <c r="AZ210" i="40" s="1"/>
  <c r="AP210" i="40" s="1"/>
  <c r="AL28" i="40"/>
  <c r="AD209" i="40"/>
  <c r="AF209" i="40"/>
  <c r="M292" i="40"/>
  <c r="AD292" i="40"/>
  <c r="D301" i="40"/>
  <c r="E300" i="40"/>
  <c r="L94" i="40"/>
  <c r="H27" i="40"/>
  <c r="AR26" i="40"/>
  <c r="AQ26" i="40"/>
  <c r="AT26" i="40" s="1"/>
  <c r="AW26" i="40" s="1"/>
  <c r="L237" i="40"/>
  <c r="Q292" i="40"/>
  <c r="R292" i="40" s="1"/>
  <c r="O292" i="40"/>
  <c r="M208" i="40"/>
  <c r="Q207" i="40"/>
  <c r="R207" i="40" s="1"/>
  <c r="Y207" i="40" s="1"/>
  <c r="O207" i="40"/>
  <c r="L29" i="40"/>
  <c r="AU25" i="40"/>
  <c r="AB25" i="40"/>
  <c r="AS25" i="40"/>
  <c r="AV25" i="40" s="1"/>
  <c r="J25" i="40"/>
  <c r="AZ25" i="40" s="1"/>
  <c r="AP25" i="40" s="1"/>
  <c r="M209" i="40"/>
  <c r="AI207" i="40"/>
  <c r="AD292" i="39"/>
  <c r="P292" i="39"/>
  <c r="M23" i="39"/>
  <c r="O292" i="39"/>
  <c r="Q292" i="39"/>
  <c r="R292" i="39" s="1"/>
  <c r="Y292" i="39" s="1"/>
  <c r="N23" i="39"/>
  <c r="AD23" i="39"/>
  <c r="AQ210" i="39"/>
  <c r="AT210" i="39" s="1"/>
  <c r="AW210" i="39" s="1"/>
  <c r="H211" i="39"/>
  <c r="AR210" i="39"/>
  <c r="K208" i="39"/>
  <c r="P208" i="39" s="1"/>
  <c r="AI207" i="39"/>
  <c r="AR26" i="39"/>
  <c r="H27" i="39"/>
  <c r="AQ26" i="39"/>
  <c r="AT26" i="39" s="1"/>
  <c r="AW26" i="39" s="1"/>
  <c r="L236" i="39"/>
  <c r="AS209" i="39"/>
  <c r="AV209" i="39" s="1"/>
  <c r="AB209" i="39"/>
  <c r="AU209" i="39"/>
  <c r="Q207" i="39"/>
  <c r="R207" i="39" s="1"/>
  <c r="Y207" i="39" s="1"/>
  <c r="O207" i="39"/>
  <c r="AL80" i="39"/>
  <c r="AL28" i="39"/>
  <c r="J209" i="39"/>
  <c r="AZ209" i="39" s="1"/>
  <c r="AP209" i="39" s="1"/>
  <c r="M207" i="39"/>
  <c r="L28" i="39"/>
  <c r="K328" i="39"/>
  <c r="N328" i="39" s="1"/>
  <c r="L126" i="39"/>
  <c r="AD207" i="39"/>
  <c r="AU50" i="39"/>
  <c r="AB50" i="39"/>
  <c r="AS50" i="39"/>
  <c r="AV50" i="39" s="1"/>
  <c r="J50" i="39"/>
  <c r="AZ50" i="39" s="1"/>
  <c r="AP50" i="39" s="1"/>
  <c r="K49" i="39"/>
  <c r="P49" i="39" s="1"/>
  <c r="O23" i="39"/>
  <c r="Q23" i="39"/>
  <c r="R23" i="39" s="1"/>
  <c r="O48" i="39"/>
  <c r="Q48" i="39"/>
  <c r="R48" i="39" s="1"/>
  <c r="Y48" i="39" s="1"/>
  <c r="K24" i="39"/>
  <c r="N24" i="39" s="1"/>
  <c r="D304" i="39"/>
  <c r="E303" i="39"/>
  <c r="J210" i="39"/>
  <c r="AZ210" i="39" s="1"/>
  <c r="AP210" i="39" s="1"/>
  <c r="L211" i="39"/>
  <c r="L152" i="39"/>
  <c r="L56" i="39"/>
  <c r="AU25" i="39"/>
  <c r="AB25" i="39"/>
  <c r="AS25" i="39"/>
  <c r="AV25" i="39" s="1"/>
  <c r="J25" i="39"/>
  <c r="AZ25" i="39" s="1"/>
  <c r="AP25" i="39" s="1"/>
  <c r="AR51" i="39"/>
  <c r="AQ51" i="39"/>
  <c r="AT51" i="39" s="1"/>
  <c r="AW51" i="39" s="1"/>
  <c r="H52" i="39"/>
  <c r="AF208" i="39"/>
  <c r="AD208" i="39"/>
  <c r="BA24" i="39"/>
  <c r="BB24" i="39"/>
  <c r="M292" i="27"/>
  <c r="AD292" i="27"/>
  <c r="N292" i="27"/>
  <c r="P328" i="36"/>
  <c r="AD328" i="36"/>
  <c r="Q328" i="36"/>
  <c r="R328" i="36" s="1"/>
  <c r="Y328" i="36" s="1"/>
  <c r="O328" i="36"/>
  <c r="M328" i="36"/>
  <c r="AI328" i="36"/>
  <c r="AN328" i="36" s="1"/>
  <c r="M292" i="36"/>
  <c r="P48" i="36"/>
  <c r="Q48" i="36" s="1"/>
  <c r="R48" i="36" s="1"/>
  <c r="Y48" i="36" s="1"/>
  <c r="M48" i="36"/>
  <c r="AM48" i="36" s="1"/>
  <c r="AD48" i="36"/>
  <c r="N23" i="36"/>
  <c r="P292" i="36"/>
  <c r="N292" i="36"/>
  <c r="P23" i="36"/>
  <c r="Q23" i="36" s="1"/>
  <c r="R23" i="36" s="1"/>
  <c r="M23" i="36"/>
  <c r="K24" i="36"/>
  <c r="AD24" i="36" s="1"/>
  <c r="AZ24" i="36"/>
  <c r="AP24" i="36" s="1"/>
  <c r="AD25" i="36"/>
  <c r="AF24" i="36"/>
  <c r="N25" i="36"/>
  <c r="P25" i="36"/>
  <c r="Q25" i="36" s="1"/>
  <c r="R25" i="36" s="1"/>
  <c r="Y25" i="36" s="1"/>
  <c r="M49" i="36"/>
  <c r="AM49" i="36" s="1"/>
  <c r="AR27" i="36"/>
  <c r="AB27" i="36" s="1"/>
  <c r="AQ27" i="36"/>
  <c r="AT27" i="36" s="1"/>
  <c r="AW27" i="36" s="1"/>
  <c r="H28" i="36"/>
  <c r="L153" i="36"/>
  <c r="AS50" i="36"/>
  <c r="AV50" i="36" s="1"/>
  <c r="AU50" i="36"/>
  <c r="J50" i="36"/>
  <c r="AZ50" i="36" s="1"/>
  <c r="AP50" i="36" s="1"/>
  <c r="AI208" i="36"/>
  <c r="AL80" i="36"/>
  <c r="BA25" i="36"/>
  <c r="N49" i="36"/>
  <c r="AR51" i="36"/>
  <c r="AB51" i="36" s="1"/>
  <c r="AQ51" i="36"/>
  <c r="AT51" i="36" s="1"/>
  <c r="AW51" i="36" s="1"/>
  <c r="H52" i="36"/>
  <c r="P49" i="36"/>
  <c r="L53" i="36"/>
  <c r="L212" i="36"/>
  <c r="AQ210" i="36"/>
  <c r="AT210" i="36" s="1"/>
  <c r="AW210" i="36" s="1"/>
  <c r="H211" i="36"/>
  <c r="AR210" i="36"/>
  <c r="AB210" i="36" s="1"/>
  <c r="AD49" i="36"/>
  <c r="L104" i="36"/>
  <c r="K208" i="36"/>
  <c r="AU209" i="36"/>
  <c r="AS209" i="36"/>
  <c r="AV209" i="36" s="1"/>
  <c r="J209" i="36"/>
  <c r="AZ209" i="36" s="1"/>
  <c r="AP209" i="36" s="1"/>
  <c r="AI25" i="36"/>
  <c r="E301" i="36"/>
  <c r="D302" i="36"/>
  <c r="L29" i="36"/>
  <c r="L236" i="36"/>
  <c r="Q207" i="36"/>
  <c r="R207" i="36" s="1"/>
  <c r="O207" i="36"/>
  <c r="AU26" i="36"/>
  <c r="AS26" i="36"/>
  <c r="AV26" i="36" s="1"/>
  <c r="J26" i="36"/>
  <c r="AZ26" i="36" s="1"/>
  <c r="AP26" i="36" s="1"/>
  <c r="AL29" i="36"/>
  <c r="N32" i="17"/>
  <c r="D33" i="17"/>
  <c r="O328" i="50" l="1"/>
  <c r="Q328" i="50"/>
  <c r="R328" i="50" s="1"/>
  <c r="Y328" i="50" s="1"/>
  <c r="AS27" i="50"/>
  <c r="AV27" i="50" s="1"/>
  <c r="AU27" i="50"/>
  <c r="AB27" i="50"/>
  <c r="J27" i="50"/>
  <c r="AZ27" i="50" s="1"/>
  <c r="AP27" i="50" s="1"/>
  <c r="BB25" i="50"/>
  <c r="BA25" i="50"/>
  <c r="AR212" i="50"/>
  <c r="AQ212" i="50"/>
  <c r="AT212" i="50" s="1"/>
  <c r="AW212" i="50" s="1"/>
  <c r="H213" i="50"/>
  <c r="L241" i="50"/>
  <c r="AF26" i="50"/>
  <c r="L104" i="50"/>
  <c r="L30" i="50"/>
  <c r="AL78" i="50"/>
  <c r="Q50" i="50"/>
  <c r="R50" i="50" s="1"/>
  <c r="Y50" i="50" s="1"/>
  <c r="O50" i="50"/>
  <c r="AU52" i="50"/>
  <c r="AS52" i="50"/>
  <c r="AV52" i="50" s="1"/>
  <c r="AB52" i="50"/>
  <c r="J52" i="50"/>
  <c r="AZ52" i="50" s="1"/>
  <c r="AP52" i="50" s="1"/>
  <c r="M25" i="50"/>
  <c r="H29" i="50"/>
  <c r="AR28" i="50"/>
  <c r="AQ28" i="50"/>
  <c r="AT28" i="50" s="1"/>
  <c r="AW28" i="50" s="1"/>
  <c r="P25" i="50"/>
  <c r="AI210" i="50"/>
  <c r="K26" i="50"/>
  <c r="Q208" i="50"/>
  <c r="R208" i="50" s="1"/>
  <c r="Y208" i="50" s="1"/>
  <c r="O208" i="50"/>
  <c r="N210" i="50"/>
  <c r="P210" i="50"/>
  <c r="AI26" i="50"/>
  <c r="M209" i="50"/>
  <c r="M328" i="50"/>
  <c r="AD328" i="50"/>
  <c r="L157" i="50"/>
  <c r="AD209" i="50"/>
  <c r="N328" i="50"/>
  <c r="H54" i="50"/>
  <c r="AR53" i="50"/>
  <c r="AQ53" i="50"/>
  <c r="AT53" i="50" s="1"/>
  <c r="AW53" i="50" s="1"/>
  <c r="K51" i="50"/>
  <c r="AS211" i="50"/>
  <c r="AV211" i="50" s="1"/>
  <c r="AB211" i="50"/>
  <c r="AU211" i="50"/>
  <c r="M210" i="50"/>
  <c r="O292" i="50"/>
  <c r="Q292" i="50"/>
  <c r="R292" i="50" s="1"/>
  <c r="N25" i="50"/>
  <c r="J211" i="50"/>
  <c r="AZ211" i="50" s="1"/>
  <c r="AP211" i="50" s="1"/>
  <c r="L212" i="50"/>
  <c r="AI25" i="50"/>
  <c r="AD25" i="50"/>
  <c r="E304" i="50"/>
  <c r="D305" i="50"/>
  <c r="AF210" i="50"/>
  <c r="AD210" i="50"/>
  <c r="P209" i="50"/>
  <c r="AL30" i="50"/>
  <c r="M29" i="48"/>
  <c r="K30" i="48"/>
  <c r="L30" i="48"/>
  <c r="AS26" i="48"/>
  <c r="AV26" i="48" s="1"/>
  <c r="AA26" i="48"/>
  <c r="AU26" i="48"/>
  <c r="Q24" i="48"/>
  <c r="R24" i="48" s="1"/>
  <c r="X24" i="48" s="1"/>
  <c r="O24" i="48"/>
  <c r="AE25" i="48"/>
  <c r="AH25" i="48" s="1"/>
  <c r="AC25" i="48"/>
  <c r="AR27" i="48"/>
  <c r="AQ27" i="48"/>
  <c r="AT27" i="48" s="1"/>
  <c r="AW27" i="48" s="1"/>
  <c r="P25" i="48"/>
  <c r="N25" i="48"/>
  <c r="K25" i="40"/>
  <c r="M25" i="40" s="1"/>
  <c r="M24" i="40"/>
  <c r="P24" i="40"/>
  <c r="AD24" i="40"/>
  <c r="L238" i="40"/>
  <c r="L95" i="40"/>
  <c r="AU211" i="40"/>
  <c r="AS211" i="40"/>
  <c r="AV211" i="40" s="1"/>
  <c r="AB211" i="40"/>
  <c r="J211" i="40"/>
  <c r="AZ211" i="40" s="1"/>
  <c r="AP211" i="40" s="1"/>
  <c r="L30" i="40"/>
  <c r="AI209" i="40"/>
  <c r="AF210" i="40"/>
  <c r="AI210" i="40" s="1"/>
  <c r="AD210" i="40"/>
  <c r="L214" i="40"/>
  <c r="M210" i="40"/>
  <c r="AI25" i="40"/>
  <c r="P25" i="40"/>
  <c r="N25" i="40"/>
  <c r="AU26" i="40"/>
  <c r="AB26" i="40"/>
  <c r="AS26" i="40"/>
  <c r="AV26" i="40" s="1"/>
  <c r="J26" i="40"/>
  <c r="AZ26" i="40" s="1"/>
  <c r="AP26" i="40" s="1"/>
  <c r="E301" i="40"/>
  <c r="D302" i="40"/>
  <c r="P210" i="40"/>
  <c r="N210" i="40"/>
  <c r="O208" i="40"/>
  <c r="Q208" i="40"/>
  <c r="R208" i="40" s="1"/>
  <c r="AR212" i="40"/>
  <c r="H213" i="40"/>
  <c r="AQ212" i="40"/>
  <c r="AT212" i="40" s="1"/>
  <c r="AW212" i="40" s="1"/>
  <c r="AL29" i="40"/>
  <c r="Q209" i="40"/>
  <c r="R209" i="40" s="1"/>
  <c r="Y209" i="40" s="1"/>
  <c r="O209" i="40"/>
  <c r="AD25" i="40"/>
  <c r="AF25" i="40"/>
  <c r="Y292" i="40"/>
  <c r="B261" i="40"/>
  <c r="H28" i="40"/>
  <c r="AR27" i="40"/>
  <c r="AQ27" i="40"/>
  <c r="AT27" i="40" s="1"/>
  <c r="AW27" i="40" s="1"/>
  <c r="K50" i="39"/>
  <c r="AD50" i="39" s="1"/>
  <c r="AD49" i="39"/>
  <c r="K25" i="39"/>
  <c r="AD25" i="39" s="1"/>
  <c r="Q49" i="39"/>
  <c r="R49" i="39" s="1"/>
  <c r="Y49" i="39" s="1"/>
  <c r="O49" i="39"/>
  <c r="AF209" i="39"/>
  <c r="H53" i="39"/>
  <c r="AR52" i="39"/>
  <c r="AQ52" i="39"/>
  <c r="AT52" i="39" s="1"/>
  <c r="AW52" i="39" s="1"/>
  <c r="AS210" i="39"/>
  <c r="AV210" i="39" s="1"/>
  <c r="K210" i="39" s="1"/>
  <c r="AB210" i="39"/>
  <c r="AU210" i="39"/>
  <c r="AF25" i="39"/>
  <c r="M50" i="39"/>
  <c r="AM50" i="39" s="1"/>
  <c r="AR211" i="39"/>
  <c r="H212" i="39"/>
  <c r="AQ211" i="39"/>
  <c r="AT211" i="39" s="1"/>
  <c r="AW211" i="39" s="1"/>
  <c r="AS51" i="39"/>
  <c r="AV51" i="39" s="1"/>
  <c r="AU51" i="39"/>
  <c r="AB51" i="39"/>
  <c r="J51" i="39"/>
  <c r="AZ51" i="39" s="1"/>
  <c r="AP51" i="39" s="1"/>
  <c r="L153" i="39"/>
  <c r="E304" i="39"/>
  <c r="D305" i="39"/>
  <c r="Y23" i="39"/>
  <c r="L237" i="39"/>
  <c r="AB26" i="39"/>
  <c r="AS26" i="39"/>
  <c r="AV26" i="39" s="1"/>
  <c r="AU26" i="39"/>
  <c r="J26" i="39"/>
  <c r="AZ26" i="39" s="1"/>
  <c r="AP26" i="39" s="1"/>
  <c r="M208" i="39"/>
  <c r="M328" i="39"/>
  <c r="AD328" i="39"/>
  <c r="Q208" i="39"/>
  <c r="R208" i="39" s="1"/>
  <c r="Y208" i="39" s="1"/>
  <c r="O208" i="39"/>
  <c r="M49" i="39"/>
  <c r="AM49" i="39" s="1"/>
  <c r="P328" i="39"/>
  <c r="N49" i="39"/>
  <c r="K209" i="39"/>
  <c r="P209" i="39" s="1"/>
  <c r="AR27" i="39"/>
  <c r="H28" i="39"/>
  <c r="AQ27" i="39"/>
  <c r="AT27" i="39" s="1"/>
  <c r="AW27" i="39" s="1"/>
  <c r="M24" i="39"/>
  <c r="AD24" i="39"/>
  <c r="L29" i="39"/>
  <c r="AI208" i="39"/>
  <c r="P25" i="39"/>
  <c r="L57" i="39"/>
  <c r="AL29" i="39"/>
  <c r="AL81" i="39"/>
  <c r="AI25" i="39"/>
  <c r="B261" i="39"/>
  <c r="L212" i="39"/>
  <c r="P24" i="39"/>
  <c r="N50" i="39"/>
  <c r="P50" i="39"/>
  <c r="L127" i="39"/>
  <c r="N208" i="39"/>
  <c r="O48" i="36"/>
  <c r="K26" i="36"/>
  <c r="P26" i="36" s="1"/>
  <c r="O23" i="36"/>
  <c r="O292" i="36"/>
  <c r="Q292" i="36"/>
  <c r="R292" i="36" s="1"/>
  <c r="O25" i="36"/>
  <c r="K209" i="36"/>
  <c r="AD209" i="36" s="1"/>
  <c r="BB24" i="36"/>
  <c r="BA24" i="36"/>
  <c r="AI24" i="36"/>
  <c r="N24" i="36"/>
  <c r="P24" i="36"/>
  <c r="M24" i="36"/>
  <c r="AL30" i="36"/>
  <c r="L105" i="36"/>
  <c r="L154" i="36"/>
  <c r="AR28" i="36"/>
  <c r="AB28" i="36" s="1"/>
  <c r="AQ28" i="36"/>
  <c r="AT28" i="36" s="1"/>
  <c r="AW28" i="36" s="1"/>
  <c r="H29" i="36"/>
  <c r="M208" i="36"/>
  <c r="AD208" i="36"/>
  <c r="AR52" i="36"/>
  <c r="AB52" i="36" s="1"/>
  <c r="AQ52" i="36"/>
  <c r="AT52" i="36" s="1"/>
  <c r="AW52" i="36" s="1"/>
  <c r="H53" i="36"/>
  <c r="E302" i="36"/>
  <c r="D303" i="36"/>
  <c r="AS27" i="36"/>
  <c r="AV27" i="36" s="1"/>
  <c r="AU27" i="36"/>
  <c r="J27" i="36"/>
  <c r="AZ27" i="36" s="1"/>
  <c r="AP27" i="36" s="1"/>
  <c r="L30" i="36"/>
  <c r="AF209" i="36"/>
  <c r="AI209" i="36" s="1"/>
  <c r="AL81" i="36"/>
  <c r="Q49" i="36"/>
  <c r="R49" i="36" s="1"/>
  <c r="Y49" i="36" s="1"/>
  <c r="O49" i="36"/>
  <c r="AF26" i="36"/>
  <c r="BB26" i="36" s="1"/>
  <c r="Y207" i="36"/>
  <c r="P208" i="36"/>
  <c r="L213" i="36"/>
  <c r="L237" i="36"/>
  <c r="N208" i="36"/>
  <c r="AU210" i="36"/>
  <c r="AS210" i="36"/>
  <c r="AV210" i="36" s="1"/>
  <c r="J210" i="36"/>
  <c r="AZ210" i="36" s="1"/>
  <c r="AP210" i="36" s="1"/>
  <c r="AS51" i="36"/>
  <c r="AV51" i="36" s="1"/>
  <c r="AU51" i="36"/>
  <c r="J51" i="36"/>
  <c r="AZ51" i="36" s="1"/>
  <c r="AP51" i="36" s="1"/>
  <c r="K50" i="36"/>
  <c r="P50" i="36" s="1"/>
  <c r="AR211" i="36"/>
  <c r="AB211" i="36" s="1"/>
  <c r="AQ211" i="36"/>
  <c r="AT211" i="36" s="1"/>
  <c r="AW211" i="36" s="1"/>
  <c r="H212" i="36"/>
  <c r="L54" i="36"/>
  <c r="Y23" i="36"/>
  <c r="N33" i="17"/>
  <c r="D34" i="17"/>
  <c r="K52" i="50" l="1"/>
  <c r="AD52" i="50" s="1"/>
  <c r="D306" i="50"/>
  <c r="E305" i="50"/>
  <c r="M51" i="50"/>
  <c r="AM51" i="50" s="1"/>
  <c r="M26" i="50"/>
  <c r="AR29" i="50"/>
  <c r="H30" i="50"/>
  <c r="AQ29" i="50"/>
  <c r="AT29" i="50" s="1"/>
  <c r="AW29" i="50" s="1"/>
  <c r="AD26" i="50"/>
  <c r="AR213" i="50"/>
  <c r="H214" i="50"/>
  <c r="AQ213" i="50"/>
  <c r="AT213" i="50" s="1"/>
  <c r="AW213" i="50" s="1"/>
  <c r="AF27" i="50"/>
  <c r="AL31" i="50"/>
  <c r="K211" i="50"/>
  <c r="O210" i="50"/>
  <c r="Q210" i="50"/>
  <c r="R210" i="50" s="1"/>
  <c r="Y210" i="50" s="1"/>
  <c r="M52" i="50"/>
  <c r="AM52" i="50" s="1"/>
  <c r="L31" i="50"/>
  <c r="AD51" i="50"/>
  <c r="AB53" i="50"/>
  <c r="AU53" i="50"/>
  <c r="AS53" i="50"/>
  <c r="AV53" i="50" s="1"/>
  <c r="J53" i="50"/>
  <c r="AZ53" i="50" s="1"/>
  <c r="AP53" i="50" s="1"/>
  <c r="Q25" i="50"/>
  <c r="R25" i="50" s="1"/>
  <c r="Y25" i="50" s="1"/>
  <c r="O25" i="50"/>
  <c r="L105" i="50"/>
  <c r="AB212" i="50"/>
  <c r="AU212" i="50"/>
  <c r="AS212" i="50"/>
  <c r="AV212" i="50" s="1"/>
  <c r="O209" i="50"/>
  <c r="Q209" i="50"/>
  <c r="R209" i="50" s="1"/>
  <c r="Y292" i="50"/>
  <c r="B261" i="50"/>
  <c r="AF211" i="50"/>
  <c r="AD211" i="50"/>
  <c r="AR54" i="50"/>
  <c r="AQ54" i="50"/>
  <c r="AT54" i="50" s="1"/>
  <c r="AW54" i="50" s="1"/>
  <c r="H55" i="50"/>
  <c r="L158" i="50"/>
  <c r="L242" i="50"/>
  <c r="N26" i="50"/>
  <c r="N211" i="50"/>
  <c r="AL79" i="50"/>
  <c r="BB26" i="50"/>
  <c r="BA26" i="50"/>
  <c r="N51" i="50"/>
  <c r="P26" i="50"/>
  <c r="AI27" i="50"/>
  <c r="J212" i="50"/>
  <c r="AZ212" i="50" s="1"/>
  <c r="AP212" i="50" s="1"/>
  <c r="L213" i="50"/>
  <c r="AU28" i="50"/>
  <c r="AB28" i="50"/>
  <c r="AS28" i="50"/>
  <c r="AV28" i="50" s="1"/>
  <c r="J28" i="50"/>
  <c r="AZ28" i="50" s="1"/>
  <c r="AP28" i="50" s="1"/>
  <c r="N52" i="50"/>
  <c r="P52" i="50"/>
  <c r="P51" i="50"/>
  <c r="K27" i="50"/>
  <c r="P27" i="50" s="1"/>
  <c r="K31" i="48"/>
  <c r="M30" i="48"/>
  <c r="AE26" i="48"/>
  <c r="AH26" i="48" s="1"/>
  <c r="AC26" i="48"/>
  <c r="AS27" i="48"/>
  <c r="AV27" i="48" s="1"/>
  <c r="AA27" i="48"/>
  <c r="AU27" i="48"/>
  <c r="P26" i="48"/>
  <c r="N26" i="48"/>
  <c r="AQ28" i="48"/>
  <c r="AT28" i="48" s="1"/>
  <c r="AW28" i="48" s="1"/>
  <c r="AR28" i="48"/>
  <c r="L31" i="48"/>
  <c r="O25" i="48"/>
  <c r="Q25" i="48"/>
  <c r="R25" i="48" s="1"/>
  <c r="X25" i="48" s="1"/>
  <c r="K26" i="40"/>
  <c r="M26" i="40" s="1"/>
  <c r="Q24" i="40"/>
  <c r="R24" i="40" s="1"/>
  <c r="Y24" i="40" s="1"/>
  <c r="O24" i="40"/>
  <c r="AQ213" i="40"/>
  <c r="AT213" i="40" s="1"/>
  <c r="AW213" i="40" s="1"/>
  <c r="H214" i="40"/>
  <c r="AR213" i="40"/>
  <c r="N211" i="40"/>
  <c r="AS212" i="40"/>
  <c r="AV212" i="40" s="1"/>
  <c r="AB212" i="40"/>
  <c r="AU212" i="40"/>
  <c r="J212" i="40"/>
  <c r="AZ212" i="40" s="1"/>
  <c r="AP212" i="40" s="1"/>
  <c r="L239" i="40"/>
  <c r="AR28" i="40"/>
  <c r="H29" i="40"/>
  <c r="AQ28" i="40"/>
  <c r="AT28" i="40" s="1"/>
  <c r="AW28" i="40" s="1"/>
  <c r="Y208" i="40"/>
  <c r="Q25" i="40"/>
  <c r="R25" i="40" s="1"/>
  <c r="Y25" i="40" s="1"/>
  <c r="O25" i="40"/>
  <c r="L31" i="40"/>
  <c r="AL30" i="40"/>
  <c r="E302" i="40"/>
  <c r="D303" i="40"/>
  <c r="AS27" i="40"/>
  <c r="AV27" i="40" s="1"/>
  <c r="AB27" i="40"/>
  <c r="AU27" i="40"/>
  <c r="J27" i="40"/>
  <c r="AZ27" i="40" s="1"/>
  <c r="AP27" i="40" s="1"/>
  <c r="P26" i="40"/>
  <c r="N26" i="40"/>
  <c r="K211" i="40"/>
  <c r="L96" i="40"/>
  <c r="L215" i="40"/>
  <c r="O210" i="40"/>
  <c r="Q210" i="40"/>
  <c r="R210" i="40" s="1"/>
  <c r="Y210" i="40" s="1"/>
  <c r="AD26" i="40"/>
  <c r="AF26" i="40"/>
  <c r="AF211" i="40"/>
  <c r="N209" i="39"/>
  <c r="N25" i="39"/>
  <c r="K26" i="39"/>
  <c r="M26" i="39" s="1"/>
  <c r="M25" i="39"/>
  <c r="L58" i="39"/>
  <c r="Q328" i="39"/>
  <c r="R328" i="39" s="1"/>
  <c r="O328" i="39"/>
  <c r="AQ212" i="39"/>
  <c r="AT212" i="39" s="1"/>
  <c r="AW212" i="39" s="1"/>
  <c r="H213" i="39"/>
  <c r="AR212" i="39"/>
  <c r="O24" i="39"/>
  <c r="Q24" i="39"/>
  <c r="R24" i="39" s="1"/>
  <c r="AS211" i="39"/>
  <c r="AV211" i="39" s="1"/>
  <c r="AB211" i="39"/>
  <c r="AU211" i="39"/>
  <c r="J212" i="39"/>
  <c r="AZ212" i="39" s="1"/>
  <c r="AP212" i="39" s="1"/>
  <c r="L213" i="39"/>
  <c r="AL82" i="39"/>
  <c r="Q25" i="39"/>
  <c r="R25" i="39" s="1"/>
  <c r="Y25" i="39" s="1"/>
  <c r="O25" i="39"/>
  <c r="H29" i="39"/>
  <c r="AQ28" i="39"/>
  <c r="AT28" i="39" s="1"/>
  <c r="AW28" i="39" s="1"/>
  <c r="AR28" i="39"/>
  <c r="N26" i="39"/>
  <c r="D306" i="39"/>
  <c r="E305" i="39"/>
  <c r="AB27" i="39"/>
  <c r="AS27" i="39"/>
  <c r="AV27" i="39" s="1"/>
  <c r="AU27" i="39"/>
  <c r="J27" i="39"/>
  <c r="AZ27" i="39" s="1"/>
  <c r="AP27" i="39" s="1"/>
  <c r="AF26" i="39"/>
  <c r="AD26" i="39"/>
  <c r="K51" i="39"/>
  <c r="AD51" i="39" s="1"/>
  <c r="AF210" i="39"/>
  <c r="AD210" i="39"/>
  <c r="AB52" i="39"/>
  <c r="AU52" i="39"/>
  <c r="AS52" i="39"/>
  <c r="AV52" i="39" s="1"/>
  <c r="J52" i="39"/>
  <c r="AZ52" i="39" s="1"/>
  <c r="AP52" i="39" s="1"/>
  <c r="M210" i="39"/>
  <c r="J211" i="39"/>
  <c r="AZ211" i="39" s="1"/>
  <c r="AP211" i="39" s="1"/>
  <c r="AL30" i="39"/>
  <c r="L128" i="39"/>
  <c r="M209" i="39"/>
  <c r="L238" i="39"/>
  <c r="L154" i="39"/>
  <c r="P210" i="39"/>
  <c r="N210" i="39"/>
  <c r="H54" i="39"/>
  <c r="AR53" i="39"/>
  <c r="AQ53" i="39"/>
  <c r="AT53" i="39" s="1"/>
  <c r="AW53" i="39" s="1"/>
  <c r="L30" i="39"/>
  <c r="Q209" i="39"/>
  <c r="R209" i="39" s="1"/>
  <c r="Y209" i="39" s="1"/>
  <c r="O209" i="39"/>
  <c r="Q50" i="39"/>
  <c r="R50" i="39" s="1"/>
  <c r="Y50" i="39" s="1"/>
  <c r="O50" i="39"/>
  <c r="AI209" i="39"/>
  <c r="BA25" i="39"/>
  <c r="BB25" i="39"/>
  <c r="AD209" i="39"/>
  <c r="AD26" i="36"/>
  <c r="N26" i="36"/>
  <c r="M26" i="36"/>
  <c r="N50" i="36"/>
  <c r="Y292" i="36"/>
  <c r="B261" i="36"/>
  <c r="N209" i="36"/>
  <c r="M209" i="36"/>
  <c r="P209" i="36"/>
  <c r="Q209" i="36" s="1"/>
  <c r="R209" i="36" s="1"/>
  <c r="Y209" i="36" s="1"/>
  <c r="AI26" i="36"/>
  <c r="Q24" i="36"/>
  <c r="R24" i="36" s="1"/>
  <c r="Y24" i="36" s="1"/>
  <c r="O24" i="36"/>
  <c r="AS211" i="36"/>
  <c r="AV211" i="36" s="1"/>
  <c r="AU211" i="36"/>
  <c r="J211" i="36"/>
  <c r="AZ211" i="36" s="1"/>
  <c r="AP211" i="36" s="1"/>
  <c r="AQ212" i="36"/>
  <c r="AT212" i="36" s="1"/>
  <c r="AW212" i="36" s="1"/>
  <c r="H213" i="36"/>
  <c r="AR212" i="36"/>
  <c r="AB212" i="36" s="1"/>
  <c r="AL82" i="36"/>
  <c r="AF210" i="36"/>
  <c r="L155" i="36"/>
  <c r="L31" i="36"/>
  <c r="AS52" i="36"/>
  <c r="AV52" i="36" s="1"/>
  <c r="AU52" i="36"/>
  <c r="J52" i="36"/>
  <c r="AZ52" i="36" s="1"/>
  <c r="AP52" i="36" s="1"/>
  <c r="D304" i="36"/>
  <c r="E303" i="36"/>
  <c r="K210" i="36"/>
  <c r="AD210" i="36" s="1"/>
  <c r="L238" i="36"/>
  <c r="K51" i="36"/>
  <c r="P51" i="36" s="1"/>
  <c r="L214" i="36"/>
  <c r="AF27" i="36"/>
  <c r="BB27" i="36" s="1"/>
  <c r="H30" i="36"/>
  <c r="AR29" i="36"/>
  <c r="AB29" i="36" s="1"/>
  <c r="AQ29" i="36"/>
  <c r="AT29" i="36" s="1"/>
  <c r="AW29" i="36" s="1"/>
  <c r="AL31" i="36"/>
  <c r="Q208" i="36"/>
  <c r="R208" i="36" s="1"/>
  <c r="Y208" i="36" s="1"/>
  <c r="O208" i="36"/>
  <c r="AU28" i="36"/>
  <c r="AS28" i="36"/>
  <c r="AV28" i="36" s="1"/>
  <c r="J28" i="36"/>
  <c r="AZ28" i="36" s="1"/>
  <c r="AP28" i="36" s="1"/>
  <c r="AR53" i="36"/>
  <c r="AB53" i="36" s="1"/>
  <c r="AQ53" i="36"/>
  <c r="AT53" i="36" s="1"/>
  <c r="AW53" i="36" s="1"/>
  <c r="H54" i="36"/>
  <c r="Q50" i="36"/>
  <c r="R50" i="36" s="1"/>
  <c r="Y50" i="36" s="1"/>
  <c r="O50" i="36"/>
  <c r="Q26" i="36"/>
  <c r="R26" i="36" s="1"/>
  <c r="Y26" i="36" s="1"/>
  <c r="O26" i="36"/>
  <c r="M50" i="36"/>
  <c r="AM50" i="36" s="1"/>
  <c r="L55" i="36"/>
  <c r="BA26" i="36"/>
  <c r="K27" i="36"/>
  <c r="P27" i="36" s="1"/>
  <c r="AD50" i="36"/>
  <c r="L106" i="36"/>
  <c r="N34" i="17"/>
  <c r="D35" i="17"/>
  <c r="K53" i="50" l="1"/>
  <c r="M53" i="50" s="1"/>
  <c r="AM53" i="50" s="1"/>
  <c r="N27" i="50"/>
  <c r="K28" i="50"/>
  <c r="M28" i="50" s="1"/>
  <c r="AD27" i="50"/>
  <c r="Q52" i="50"/>
  <c r="R52" i="50" s="1"/>
  <c r="Y52" i="50" s="1"/>
  <c r="O52" i="50"/>
  <c r="AB54" i="50"/>
  <c r="AS54" i="50"/>
  <c r="AV54" i="50" s="1"/>
  <c r="AU54" i="50"/>
  <c r="J54" i="50"/>
  <c r="AZ54" i="50" s="1"/>
  <c r="AP54" i="50" s="1"/>
  <c r="Y209" i="50"/>
  <c r="AD53" i="50"/>
  <c r="AF212" i="50"/>
  <c r="BB27" i="50"/>
  <c r="BA27" i="50"/>
  <c r="AI28" i="50"/>
  <c r="Q26" i="50"/>
  <c r="R26" i="50" s="1"/>
  <c r="Y26" i="50" s="1"/>
  <c r="O26" i="50"/>
  <c r="AL80" i="50"/>
  <c r="L159" i="50"/>
  <c r="O27" i="50"/>
  <c r="Q27" i="50"/>
  <c r="R27" i="50" s="1"/>
  <c r="Y27" i="50" s="1"/>
  <c r="L106" i="50"/>
  <c r="M211" i="50"/>
  <c r="H31" i="50"/>
  <c r="AQ30" i="50"/>
  <c r="AT30" i="50" s="1"/>
  <c r="AW30" i="50" s="1"/>
  <c r="AR30" i="50"/>
  <c r="P28" i="50"/>
  <c r="N28" i="50"/>
  <c r="J213" i="50"/>
  <c r="AZ213" i="50" s="1"/>
  <c r="AP213" i="50" s="1"/>
  <c r="L214" i="50"/>
  <c r="P211" i="50"/>
  <c r="AS29" i="50"/>
  <c r="AV29" i="50" s="1"/>
  <c r="K29" i="50"/>
  <c r="AU29" i="50"/>
  <c r="AB29" i="50"/>
  <c r="J29" i="50"/>
  <c r="AZ29" i="50" s="1"/>
  <c r="AP29" i="50" s="1"/>
  <c r="AI211" i="50"/>
  <c r="L32" i="50"/>
  <c r="H215" i="50"/>
  <c r="AQ214" i="50"/>
  <c r="AT214" i="50" s="1"/>
  <c r="AW214" i="50" s="1"/>
  <c r="AR214" i="50"/>
  <c r="M27" i="50"/>
  <c r="AF28" i="50"/>
  <c r="AD28" i="50"/>
  <c r="AI212" i="50"/>
  <c r="AR55" i="50"/>
  <c r="AQ55" i="50"/>
  <c r="AT55" i="50" s="1"/>
  <c r="AW55" i="50" s="1"/>
  <c r="H56" i="50"/>
  <c r="N212" i="50"/>
  <c r="O51" i="50"/>
  <c r="Q51" i="50"/>
  <c r="R51" i="50" s="1"/>
  <c r="Y51" i="50" s="1"/>
  <c r="L243" i="50"/>
  <c r="K212" i="50"/>
  <c r="AL32" i="50"/>
  <c r="AS213" i="50"/>
  <c r="AV213" i="50" s="1"/>
  <c r="AB213" i="50"/>
  <c r="AU213" i="50"/>
  <c r="E306" i="50"/>
  <c r="D307" i="50"/>
  <c r="K32" i="48"/>
  <c r="M31" i="48"/>
  <c r="AQ29" i="48"/>
  <c r="AT29" i="48" s="1"/>
  <c r="AW29" i="48" s="1"/>
  <c r="AR29" i="48"/>
  <c r="AE27" i="48"/>
  <c r="AH27" i="48" s="1"/>
  <c r="AC27" i="48"/>
  <c r="N27" i="48"/>
  <c r="P27" i="48"/>
  <c r="Q26" i="48"/>
  <c r="R26" i="48" s="1"/>
  <c r="X26" i="48" s="1"/>
  <c r="O26" i="48"/>
  <c r="L32" i="48"/>
  <c r="AU28" i="48"/>
  <c r="AA28" i="48"/>
  <c r="AS28" i="48"/>
  <c r="AV28" i="48" s="1"/>
  <c r="L97" i="40"/>
  <c r="M211" i="40"/>
  <c r="K27" i="40"/>
  <c r="N27" i="40" s="1"/>
  <c r="P211" i="40"/>
  <c r="AD211" i="40"/>
  <c r="E303" i="40"/>
  <c r="D304" i="40"/>
  <c r="AU213" i="40"/>
  <c r="K213" i="40"/>
  <c r="AS213" i="40"/>
  <c r="AV213" i="40" s="1"/>
  <c r="AB213" i="40"/>
  <c r="J213" i="40"/>
  <c r="AZ213" i="40" s="1"/>
  <c r="AP213" i="40" s="1"/>
  <c r="AR29" i="40"/>
  <c r="AQ29" i="40"/>
  <c r="AT29" i="40" s="1"/>
  <c r="AW29" i="40" s="1"/>
  <c r="H30" i="40"/>
  <c r="AF212" i="40"/>
  <c r="AQ214" i="40"/>
  <c r="AT214" i="40" s="1"/>
  <c r="AW214" i="40" s="1"/>
  <c r="AR214" i="40"/>
  <c r="H215" i="40"/>
  <c r="AS28" i="40"/>
  <c r="AV28" i="40" s="1"/>
  <c r="AU28" i="40"/>
  <c r="AB28" i="40"/>
  <c r="J28" i="40"/>
  <c r="AZ28" i="40" s="1"/>
  <c r="AP28" i="40" s="1"/>
  <c r="N212" i="40"/>
  <c r="L32" i="40"/>
  <c r="L216" i="40"/>
  <c r="O26" i="40"/>
  <c r="Q26" i="40"/>
  <c r="R26" i="40" s="1"/>
  <c r="Y26" i="40" s="1"/>
  <c r="AF27" i="40"/>
  <c r="AD27" i="40"/>
  <c r="AI211" i="40"/>
  <c r="AL31" i="40"/>
  <c r="AI26" i="40"/>
  <c r="L240" i="40"/>
  <c r="K212" i="40"/>
  <c r="P212" i="40" s="1"/>
  <c r="P51" i="39"/>
  <c r="N51" i="39"/>
  <c r="K52" i="39"/>
  <c r="AD52" i="39" s="1"/>
  <c r="P26" i="39"/>
  <c r="L31" i="39"/>
  <c r="L239" i="39"/>
  <c r="AF27" i="39"/>
  <c r="AI27" i="39" s="1"/>
  <c r="P211" i="39"/>
  <c r="BB26" i="39"/>
  <c r="BA26" i="39"/>
  <c r="L214" i="39"/>
  <c r="K211" i="39"/>
  <c r="O51" i="39"/>
  <c r="Q51" i="39"/>
  <c r="R51" i="39" s="1"/>
  <c r="Y51" i="39" s="1"/>
  <c r="AL31" i="39"/>
  <c r="AR29" i="39"/>
  <c r="AQ29" i="39"/>
  <c r="AT29" i="39" s="1"/>
  <c r="AW29" i="39" s="1"/>
  <c r="H30" i="39"/>
  <c r="Y328" i="39"/>
  <c r="AI210" i="39"/>
  <c r="E306" i="39"/>
  <c r="D307" i="39"/>
  <c r="L59" i="39"/>
  <c r="L129" i="39"/>
  <c r="Y24" i="39"/>
  <c r="AU53" i="39"/>
  <c r="AS53" i="39"/>
  <c r="AV53" i="39" s="1"/>
  <c r="AB53" i="39"/>
  <c r="J53" i="39"/>
  <c r="AZ53" i="39" s="1"/>
  <c r="AP53" i="39" s="1"/>
  <c r="AQ54" i="39"/>
  <c r="AT54" i="39" s="1"/>
  <c r="AW54" i="39" s="1"/>
  <c r="AR54" i="39"/>
  <c r="H55" i="39"/>
  <c r="L155" i="39"/>
  <c r="P52" i="39"/>
  <c r="N52" i="39"/>
  <c r="M51" i="39"/>
  <c r="AM51" i="39" s="1"/>
  <c r="AS212" i="39"/>
  <c r="AV212" i="39" s="1"/>
  <c r="AB212" i="39"/>
  <c r="AU212" i="39"/>
  <c r="O210" i="39"/>
  <c r="Q210" i="39"/>
  <c r="R210" i="39" s="1"/>
  <c r="Y210" i="39" s="1"/>
  <c r="AS28" i="39"/>
  <c r="AV28" i="39" s="1"/>
  <c r="AU28" i="39"/>
  <c r="AB28" i="39"/>
  <c r="J28" i="39"/>
  <c r="AZ28" i="39" s="1"/>
  <c r="AP28" i="39" s="1"/>
  <c r="AI26" i="39"/>
  <c r="K27" i="39"/>
  <c r="AD27" i="39" s="1"/>
  <c r="Q26" i="39"/>
  <c r="R26" i="39" s="1"/>
  <c r="Y26" i="39" s="1"/>
  <c r="O26" i="39"/>
  <c r="AL83" i="39"/>
  <c r="AF211" i="39"/>
  <c r="AI211" i="39" s="1"/>
  <c r="AD211" i="39"/>
  <c r="H214" i="39"/>
  <c r="AR213" i="39"/>
  <c r="AQ213" i="39"/>
  <c r="AT213" i="39" s="1"/>
  <c r="AW213" i="39" s="1"/>
  <c r="AD51" i="36"/>
  <c r="O209" i="36"/>
  <c r="N51" i="36"/>
  <c r="K28" i="36"/>
  <c r="P28" i="36" s="1"/>
  <c r="O27" i="36"/>
  <c r="Q27" i="36"/>
  <c r="R27" i="36" s="1"/>
  <c r="Y27" i="36" s="1"/>
  <c r="H31" i="36"/>
  <c r="AR30" i="36"/>
  <c r="AB30" i="36" s="1"/>
  <c r="AQ30" i="36"/>
  <c r="AT30" i="36" s="1"/>
  <c r="AW30" i="36" s="1"/>
  <c r="L239" i="36"/>
  <c r="D305" i="36"/>
  <c r="E304" i="36"/>
  <c r="AD27" i="36"/>
  <c r="M51" i="36"/>
  <c r="AM51" i="36" s="1"/>
  <c r="M210" i="36"/>
  <c r="P210" i="36"/>
  <c r="AU212" i="36"/>
  <c r="AS212" i="36"/>
  <c r="AV212" i="36" s="1"/>
  <c r="J212" i="36"/>
  <c r="AZ212" i="36" s="1"/>
  <c r="AP212" i="36" s="1"/>
  <c r="AF211" i="36"/>
  <c r="L32" i="36"/>
  <c r="AR54" i="36"/>
  <c r="AB54" i="36" s="1"/>
  <c r="AQ54" i="36"/>
  <c r="AT54" i="36" s="1"/>
  <c r="AW54" i="36" s="1"/>
  <c r="H55" i="36"/>
  <c r="BA27" i="36"/>
  <c r="N210" i="36"/>
  <c r="AR213" i="36"/>
  <c r="AB213" i="36" s="1"/>
  <c r="AQ213" i="36"/>
  <c r="AT213" i="36" s="1"/>
  <c r="AW213" i="36" s="1"/>
  <c r="H214" i="36"/>
  <c r="AU29" i="36"/>
  <c r="AS29" i="36"/>
  <c r="AV29" i="36" s="1"/>
  <c r="J29" i="36"/>
  <c r="AZ29" i="36" s="1"/>
  <c r="AP29" i="36" s="1"/>
  <c r="L215" i="36"/>
  <c r="Q51" i="36"/>
  <c r="R51" i="36" s="1"/>
  <c r="Y51" i="36" s="1"/>
  <c r="O51" i="36"/>
  <c r="M27" i="36"/>
  <c r="AL32" i="36"/>
  <c r="AI27" i="36"/>
  <c r="N27" i="36"/>
  <c r="K52" i="36"/>
  <c r="AD52" i="36" s="1"/>
  <c r="AL83" i="36"/>
  <c r="K211" i="36"/>
  <c r="P211" i="36" s="1"/>
  <c r="L107" i="36"/>
  <c r="L56" i="36"/>
  <c r="AS53" i="36"/>
  <c r="AV53" i="36" s="1"/>
  <c r="AU53" i="36"/>
  <c r="J53" i="36"/>
  <c r="AZ53" i="36" s="1"/>
  <c r="AP53" i="36" s="1"/>
  <c r="AF28" i="36"/>
  <c r="BB28" i="36" s="1"/>
  <c r="AI210" i="36"/>
  <c r="L156" i="36"/>
  <c r="M33" i="35"/>
  <c r="N35" i="17"/>
  <c r="D36" i="17"/>
  <c r="N53" i="50" l="1"/>
  <c r="P53" i="50"/>
  <c r="Q53" i="50" s="1"/>
  <c r="R53" i="50" s="1"/>
  <c r="Y53" i="50" s="1"/>
  <c r="K54" i="50"/>
  <c r="AD54" i="50" s="1"/>
  <c r="AS55" i="50"/>
  <c r="AV55" i="50" s="1"/>
  <c r="AU55" i="50"/>
  <c r="AB55" i="50"/>
  <c r="J55" i="50"/>
  <c r="AZ55" i="50" s="1"/>
  <c r="AP55" i="50" s="1"/>
  <c r="AF29" i="50"/>
  <c r="AD29" i="50"/>
  <c r="E307" i="50"/>
  <c r="D308" i="50"/>
  <c r="AL33" i="50"/>
  <c r="L33" i="50"/>
  <c r="M29" i="50"/>
  <c r="Q211" i="50"/>
  <c r="R211" i="50" s="1"/>
  <c r="O211" i="50"/>
  <c r="Q28" i="50"/>
  <c r="R28" i="50" s="1"/>
  <c r="Y28" i="50" s="1"/>
  <c r="O28" i="50"/>
  <c r="L160" i="50"/>
  <c r="K213" i="50"/>
  <c r="M212" i="50"/>
  <c r="P212" i="50"/>
  <c r="AU214" i="50"/>
  <c r="AB214" i="50"/>
  <c r="K214" i="50"/>
  <c r="AS214" i="50"/>
  <c r="AV214" i="50" s="1"/>
  <c r="O53" i="50"/>
  <c r="N29" i="50"/>
  <c r="P29" i="50"/>
  <c r="AU30" i="50"/>
  <c r="AB30" i="50"/>
  <c r="AS30" i="50"/>
  <c r="AV30" i="50" s="1"/>
  <c r="J30" i="50"/>
  <c r="AZ30" i="50" s="1"/>
  <c r="AP30" i="50" s="1"/>
  <c r="L107" i="50"/>
  <c r="H57" i="50"/>
  <c r="AR56" i="50"/>
  <c r="AQ56" i="50"/>
  <c r="AT56" i="50" s="1"/>
  <c r="AW56" i="50" s="1"/>
  <c r="BB28" i="50"/>
  <c r="BA28" i="50"/>
  <c r="AD212" i="50"/>
  <c r="AD213" i="50"/>
  <c r="AF213" i="50"/>
  <c r="AI213" i="50" s="1"/>
  <c r="L244" i="50"/>
  <c r="AQ215" i="50"/>
  <c r="AT215" i="50" s="1"/>
  <c r="AW215" i="50" s="1"/>
  <c r="AR215" i="50"/>
  <c r="H216" i="50"/>
  <c r="AI29" i="50"/>
  <c r="L215" i="50"/>
  <c r="J214" i="50"/>
  <c r="AZ214" i="50" s="1"/>
  <c r="AP214" i="50" s="1"/>
  <c r="AR31" i="50"/>
  <c r="H32" i="50"/>
  <c r="AQ31" i="50"/>
  <c r="AT31" i="50" s="1"/>
  <c r="AW31" i="50" s="1"/>
  <c r="AL81" i="50"/>
  <c r="M32" i="48"/>
  <c r="K33" i="48"/>
  <c r="L33" i="48"/>
  <c r="AH28" i="48"/>
  <c r="P28" i="48"/>
  <c r="N28" i="48"/>
  <c r="O27" i="48"/>
  <c r="Q27" i="48"/>
  <c r="R27" i="48" s="1"/>
  <c r="X27" i="48" s="1"/>
  <c r="AU29" i="48"/>
  <c r="AS29" i="48"/>
  <c r="AV29" i="48" s="1"/>
  <c r="AA29" i="48"/>
  <c r="AC28" i="48"/>
  <c r="AE28" i="48"/>
  <c r="AQ30" i="48"/>
  <c r="AT30" i="48" s="1"/>
  <c r="AW30" i="48" s="1"/>
  <c r="AR30" i="48"/>
  <c r="O212" i="40"/>
  <c r="Q212" i="40"/>
  <c r="R212" i="40" s="1"/>
  <c r="Y212" i="40" s="1"/>
  <c r="AQ30" i="40"/>
  <c r="AT30" i="40" s="1"/>
  <c r="AW30" i="40" s="1"/>
  <c r="AR30" i="40"/>
  <c r="H31" i="40"/>
  <c r="P213" i="40"/>
  <c r="N213" i="40"/>
  <c r="P27" i="40"/>
  <c r="AQ215" i="40"/>
  <c r="AT215" i="40" s="1"/>
  <c r="AW215" i="40" s="1"/>
  <c r="AR215" i="40"/>
  <c r="H216" i="40"/>
  <c r="M213" i="40"/>
  <c r="Q211" i="40"/>
  <c r="R211" i="40" s="1"/>
  <c r="O211" i="40"/>
  <c r="AF213" i="40"/>
  <c r="AD213" i="40"/>
  <c r="L33" i="40"/>
  <c r="AL32" i="40"/>
  <c r="AF28" i="40"/>
  <c r="AD28" i="40"/>
  <c r="AU214" i="40"/>
  <c r="AS214" i="40"/>
  <c r="AV214" i="40" s="1"/>
  <c r="AB214" i="40"/>
  <c r="J214" i="40"/>
  <c r="AZ214" i="40" s="1"/>
  <c r="AP214" i="40" s="1"/>
  <c r="AS29" i="40"/>
  <c r="AV29" i="40" s="1"/>
  <c r="AU29" i="40"/>
  <c r="AB29" i="40"/>
  <c r="J29" i="40"/>
  <c r="AZ29" i="40" s="1"/>
  <c r="AP29" i="40" s="1"/>
  <c r="M27" i="40"/>
  <c r="L98" i="40"/>
  <c r="M212" i="40"/>
  <c r="AI27" i="40"/>
  <c r="L241" i="40"/>
  <c r="L217" i="40"/>
  <c r="K28" i="40"/>
  <c r="P28" i="40" s="1"/>
  <c r="AD212" i="40"/>
  <c r="D305" i="40"/>
  <c r="E304" i="40"/>
  <c r="AI212" i="40"/>
  <c r="K53" i="39"/>
  <c r="M52" i="39"/>
  <c r="AM52" i="39" s="1"/>
  <c r="M53" i="39"/>
  <c r="AM53" i="39" s="1"/>
  <c r="AL84" i="39"/>
  <c r="AS54" i="39"/>
  <c r="AV54" i="39" s="1"/>
  <c r="AB54" i="39"/>
  <c r="AU54" i="39"/>
  <c r="J54" i="39"/>
  <c r="AZ54" i="39" s="1"/>
  <c r="AP54" i="39" s="1"/>
  <c r="M27" i="39"/>
  <c r="Q52" i="39"/>
  <c r="R52" i="39" s="1"/>
  <c r="Y52" i="39" s="1"/>
  <c r="O52" i="39"/>
  <c r="AS29" i="39"/>
  <c r="AV29" i="39" s="1"/>
  <c r="AU29" i="39"/>
  <c r="AB29" i="39"/>
  <c r="J29" i="39"/>
  <c r="AZ29" i="39" s="1"/>
  <c r="AP29" i="39" s="1"/>
  <c r="M211" i="39"/>
  <c r="L32" i="39"/>
  <c r="AF28" i="39"/>
  <c r="AI28" i="39" s="1"/>
  <c r="N53" i="39"/>
  <c r="P53" i="39"/>
  <c r="Q211" i="39"/>
  <c r="R211" i="39" s="1"/>
  <c r="Y211" i="39" s="1"/>
  <c r="O211" i="39"/>
  <c r="AF212" i="39"/>
  <c r="L240" i="39"/>
  <c r="N27" i="39"/>
  <c r="E307" i="39"/>
  <c r="D308" i="39"/>
  <c r="L215" i="39"/>
  <c r="AS213" i="39"/>
  <c r="AV213" i="39" s="1"/>
  <c r="AB213" i="39"/>
  <c r="AU213" i="39"/>
  <c r="H56" i="39"/>
  <c r="AR55" i="39"/>
  <c r="AQ55" i="39"/>
  <c r="AT55" i="39" s="1"/>
  <c r="AW55" i="39" s="1"/>
  <c r="L130" i="39"/>
  <c r="H31" i="39"/>
  <c r="AQ30" i="39"/>
  <c r="AT30" i="39" s="1"/>
  <c r="AW30" i="39" s="1"/>
  <c r="AR30" i="39"/>
  <c r="AQ214" i="39"/>
  <c r="AT214" i="39" s="1"/>
  <c r="AW214" i="39" s="1"/>
  <c r="H215" i="39"/>
  <c r="AR214" i="39"/>
  <c r="L60" i="39"/>
  <c r="BB27" i="39"/>
  <c r="BA27" i="39"/>
  <c r="K28" i="39"/>
  <c r="AD28" i="39" s="1"/>
  <c r="K212" i="39"/>
  <c r="P27" i="39"/>
  <c r="L156" i="39"/>
  <c r="AD53" i="39"/>
  <c r="AL32" i="39"/>
  <c r="J213" i="39"/>
  <c r="AZ213" i="39" s="1"/>
  <c r="AP213" i="39" s="1"/>
  <c r="N211" i="39"/>
  <c r="M28" i="36"/>
  <c r="N28" i="36"/>
  <c r="AD28" i="36"/>
  <c r="K53" i="36"/>
  <c r="M53" i="36" s="1"/>
  <c r="AM53" i="36" s="1"/>
  <c r="K29" i="36"/>
  <c r="M29" i="36" s="1"/>
  <c r="AD211" i="36"/>
  <c r="AI28" i="36"/>
  <c r="N52" i="36"/>
  <c r="AR31" i="36"/>
  <c r="AB31" i="36" s="1"/>
  <c r="AQ31" i="36"/>
  <c r="AT31" i="36" s="1"/>
  <c r="AW31" i="36" s="1"/>
  <c r="H32" i="36"/>
  <c r="H215" i="36"/>
  <c r="AQ214" i="36"/>
  <c r="AT214" i="36" s="1"/>
  <c r="AW214" i="36" s="1"/>
  <c r="AR214" i="36"/>
  <c r="AB214" i="36" s="1"/>
  <c r="L108" i="36"/>
  <c r="AS213" i="36"/>
  <c r="AV213" i="36" s="1"/>
  <c r="AU213" i="36"/>
  <c r="J213" i="36"/>
  <c r="AZ213" i="36" s="1"/>
  <c r="AP213" i="36" s="1"/>
  <c r="AS54" i="36"/>
  <c r="AV54" i="36" s="1"/>
  <c r="AU54" i="36"/>
  <c r="J54" i="36"/>
  <c r="AZ54" i="36" s="1"/>
  <c r="AP54" i="36" s="1"/>
  <c r="M211" i="36"/>
  <c r="L216" i="36"/>
  <c r="L33" i="36"/>
  <c r="Q210" i="36"/>
  <c r="R210" i="36" s="1"/>
  <c r="Y210" i="36" s="1"/>
  <c r="O210" i="36"/>
  <c r="E305" i="36"/>
  <c r="D306" i="36"/>
  <c r="AI211" i="36"/>
  <c r="K212" i="36"/>
  <c r="AD212" i="36" s="1"/>
  <c r="L240" i="36"/>
  <c r="M52" i="36"/>
  <c r="AM52" i="36" s="1"/>
  <c r="AL33" i="36"/>
  <c r="AF29" i="36"/>
  <c r="BB29" i="36" s="1"/>
  <c r="AR55" i="36"/>
  <c r="AB55" i="36" s="1"/>
  <c r="AQ55" i="36"/>
  <c r="AT55" i="36" s="1"/>
  <c r="AW55" i="36" s="1"/>
  <c r="H56" i="36"/>
  <c r="AS30" i="36"/>
  <c r="AV30" i="36" s="1"/>
  <c r="AU30" i="36"/>
  <c r="J30" i="36"/>
  <c r="AZ30" i="36" s="1"/>
  <c r="AP30" i="36" s="1"/>
  <c r="L157" i="36"/>
  <c r="BA28" i="36"/>
  <c r="AL84" i="36"/>
  <c r="O28" i="36"/>
  <c r="Q28" i="36"/>
  <c r="R28" i="36" s="1"/>
  <c r="Y28" i="36" s="1"/>
  <c r="Q211" i="36"/>
  <c r="R211" i="36" s="1"/>
  <c r="Y211" i="36" s="1"/>
  <c r="O211" i="36"/>
  <c r="P52" i="36"/>
  <c r="L57" i="36"/>
  <c r="N211" i="36"/>
  <c r="AF212" i="36"/>
  <c r="AI212" i="36" s="1"/>
  <c r="M34" i="35"/>
  <c r="N36" i="17"/>
  <c r="D37" i="17"/>
  <c r="N54" i="50" l="1"/>
  <c r="P54" i="50"/>
  <c r="O54" i="50" s="1"/>
  <c r="M54" i="50"/>
  <c r="AM54" i="50" s="1"/>
  <c r="K30" i="50"/>
  <c r="M30" i="50" s="1"/>
  <c r="M214" i="50"/>
  <c r="AR32" i="50"/>
  <c r="AQ32" i="50"/>
  <c r="AT32" i="50" s="1"/>
  <c r="AW32" i="50" s="1"/>
  <c r="H33" i="50"/>
  <c r="AS215" i="50"/>
  <c r="AV215" i="50" s="1"/>
  <c r="K215" i="50" s="1"/>
  <c r="AB215" i="50"/>
  <c r="AU215" i="50"/>
  <c r="L108" i="50"/>
  <c r="Q29" i="50"/>
  <c r="R29" i="50" s="1"/>
  <c r="Y29" i="50" s="1"/>
  <c r="O29" i="50"/>
  <c r="AF214" i="50"/>
  <c r="AD214" i="50"/>
  <c r="M213" i="50"/>
  <c r="AL34" i="50"/>
  <c r="Q54" i="50"/>
  <c r="R54" i="50" s="1"/>
  <c r="Y54" i="50" s="1"/>
  <c r="AS31" i="50"/>
  <c r="AV31" i="50" s="1"/>
  <c r="AU31" i="50"/>
  <c r="AB31" i="50"/>
  <c r="J31" i="50"/>
  <c r="AZ31" i="50" s="1"/>
  <c r="AP31" i="50" s="1"/>
  <c r="E308" i="50"/>
  <c r="D309" i="50"/>
  <c r="AI214" i="50"/>
  <c r="AS56" i="50"/>
  <c r="AV56" i="50" s="1"/>
  <c r="AB56" i="50"/>
  <c r="AU56" i="50"/>
  <c r="J56" i="50"/>
  <c r="AZ56" i="50" s="1"/>
  <c r="AP56" i="50" s="1"/>
  <c r="Y211" i="50"/>
  <c r="BA29" i="50"/>
  <c r="BB29" i="50"/>
  <c r="K55" i="50"/>
  <c r="P55" i="50" s="1"/>
  <c r="J215" i="50"/>
  <c r="AZ215" i="50" s="1"/>
  <c r="AP215" i="50" s="1"/>
  <c r="L216" i="50"/>
  <c r="L245" i="50"/>
  <c r="AR57" i="50"/>
  <c r="H58" i="50"/>
  <c r="AQ57" i="50"/>
  <c r="AT57" i="50" s="1"/>
  <c r="AW57" i="50" s="1"/>
  <c r="AF30" i="50"/>
  <c r="Q212" i="50"/>
  <c r="R212" i="50" s="1"/>
  <c r="O212" i="50"/>
  <c r="L161" i="50"/>
  <c r="L34" i="50"/>
  <c r="N213" i="50"/>
  <c r="AR216" i="50"/>
  <c r="H217" i="50"/>
  <c r="AQ216" i="50"/>
  <c r="AT216" i="50" s="1"/>
  <c r="AW216" i="50" s="1"/>
  <c r="AL82" i="50"/>
  <c r="N214" i="50"/>
  <c r="P214" i="50"/>
  <c r="P213" i="50"/>
  <c r="K34" i="48"/>
  <c r="M33" i="48"/>
  <c r="AR31" i="48"/>
  <c r="AQ31" i="48"/>
  <c r="AT31" i="48" s="1"/>
  <c r="AW31" i="48" s="1"/>
  <c r="AC29" i="48"/>
  <c r="AE29" i="48"/>
  <c r="O28" i="48"/>
  <c r="Q28" i="48"/>
  <c r="R28" i="48" s="1"/>
  <c r="X28" i="48" s="1"/>
  <c r="P29" i="48"/>
  <c r="N29" i="48"/>
  <c r="L34" i="48"/>
  <c r="AH29" i="48"/>
  <c r="AS30" i="48"/>
  <c r="AV30" i="48" s="1"/>
  <c r="AA30" i="48"/>
  <c r="AU30" i="48"/>
  <c r="N28" i="40"/>
  <c r="K29" i="40"/>
  <c r="P29" i="40" s="1"/>
  <c r="O28" i="40"/>
  <c r="Q28" i="40"/>
  <c r="R28" i="40" s="1"/>
  <c r="Y28" i="40" s="1"/>
  <c r="E305" i="40"/>
  <c r="D306" i="40"/>
  <c r="AF214" i="40"/>
  <c r="AI213" i="40"/>
  <c r="AF29" i="40"/>
  <c r="AD29" i="40"/>
  <c r="L242" i="40"/>
  <c r="AL33" i="40"/>
  <c r="AQ216" i="40"/>
  <c r="AT216" i="40" s="1"/>
  <c r="AW216" i="40" s="1"/>
  <c r="AR216" i="40"/>
  <c r="H217" i="40"/>
  <c r="Q213" i="40"/>
  <c r="R213" i="40" s="1"/>
  <c r="Y213" i="40" s="1"/>
  <c r="O213" i="40"/>
  <c r="M29" i="40"/>
  <c r="L218" i="40"/>
  <c r="AI29" i="40"/>
  <c r="O27" i="40"/>
  <c r="Q27" i="40"/>
  <c r="R27" i="40" s="1"/>
  <c r="M28" i="40"/>
  <c r="L99" i="40"/>
  <c r="K214" i="40"/>
  <c r="P214" i="40" s="1"/>
  <c r="L34" i="40"/>
  <c r="AU215" i="40"/>
  <c r="AS215" i="40"/>
  <c r="AV215" i="40" s="1"/>
  <c r="AB215" i="40"/>
  <c r="J215" i="40"/>
  <c r="AZ215" i="40" s="1"/>
  <c r="AP215" i="40" s="1"/>
  <c r="AR31" i="40"/>
  <c r="H32" i="40"/>
  <c r="AQ31" i="40"/>
  <c r="AT31" i="40" s="1"/>
  <c r="AW31" i="40" s="1"/>
  <c r="AS30" i="40"/>
  <c r="AV30" i="40" s="1"/>
  <c r="AU30" i="40"/>
  <c r="AB30" i="40"/>
  <c r="J30" i="40"/>
  <c r="AZ30" i="40" s="1"/>
  <c r="AP30" i="40" s="1"/>
  <c r="Y211" i="40"/>
  <c r="AI28" i="40"/>
  <c r="K54" i="39"/>
  <c r="N28" i="39"/>
  <c r="H57" i="39"/>
  <c r="AR56" i="39"/>
  <c r="AQ56" i="39"/>
  <c r="AT56" i="39" s="1"/>
  <c r="AW56" i="39" s="1"/>
  <c r="AI212" i="39"/>
  <c r="BB28" i="39"/>
  <c r="BA28" i="39"/>
  <c r="AL33" i="39"/>
  <c r="M54" i="39"/>
  <c r="AM54" i="39" s="1"/>
  <c r="O27" i="39"/>
  <c r="Q27" i="39"/>
  <c r="R27" i="39" s="1"/>
  <c r="Y27" i="39" s="1"/>
  <c r="AR215" i="39"/>
  <c r="H216" i="39"/>
  <c r="AQ215" i="39"/>
  <c r="AT215" i="39" s="1"/>
  <c r="AW215" i="39" s="1"/>
  <c r="E308" i="39"/>
  <c r="D309" i="39"/>
  <c r="M212" i="39"/>
  <c r="L61" i="39"/>
  <c r="L131" i="39"/>
  <c r="AF213" i="39"/>
  <c r="L241" i="39"/>
  <c r="P54" i="39"/>
  <c r="N54" i="39"/>
  <c r="Q53" i="39"/>
  <c r="R53" i="39" s="1"/>
  <c r="Y53" i="39" s="1"/>
  <c r="O53" i="39"/>
  <c r="L33" i="39"/>
  <c r="N212" i="39"/>
  <c r="L157" i="39"/>
  <c r="L216" i="39"/>
  <c r="AL85" i="39"/>
  <c r="AS214" i="39"/>
  <c r="AV214" i="39" s="1"/>
  <c r="AB214" i="39"/>
  <c r="AU214" i="39"/>
  <c r="AQ31" i="39"/>
  <c r="AT31" i="39" s="1"/>
  <c r="AW31" i="39" s="1"/>
  <c r="AR31" i="39"/>
  <c r="H32" i="39"/>
  <c r="J214" i="39"/>
  <c r="AZ214" i="39" s="1"/>
  <c r="AP214" i="39" s="1"/>
  <c r="AF29" i="39"/>
  <c r="AD54" i="39"/>
  <c r="M28" i="39"/>
  <c r="P28" i="39"/>
  <c r="AS30" i="39"/>
  <c r="AV30" i="39" s="1"/>
  <c r="AU30" i="39"/>
  <c r="AB30" i="39"/>
  <c r="J30" i="39"/>
  <c r="AZ30" i="39" s="1"/>
  <c r="AP30" i="39" s="1"/>
  <c r="AB55" i="39"/>
  <c r="AS55" i="39"/>
  <c r="AV55" i="39" s="1"/>
  <c r="AU55" i="39"/>
  <c r="J55" i="39"/>
  <c r="AZ55" i="39" s="1"/>
  <c r="AP55" i="39" s="1"/>
  <c r="K213" i="39"/>
  <c r="N213" i="39" s="1"/>
  <c r="AD212" i="39"/>
  <c r="K29" i="39"/>
  <c r="N29" i="39" s="1"/>
  <c r="P212" i="39"/>
  <c r="AD53" i="36"/>
  <c r="N53" i="36"/>
  <c r="N29" i="36"/>
  <c r="AD29" i="36"/>
  <c r="P29" i="36"/>
  <c r="Q29" i="36" s="1"/>
  <c r="R29" i="36" s="1"/>
  <c r="Y29" i="36" s="1"/>
  <c r="P53" i="36"/>
  <c r="O53" i="36" s="1"/>
  <c r="N212" i="36"/>
  <c r="K30" i="36"/>
  <c r="AD30" i="36" s="1"/>
  <c r="AF30" i="36"/>
  <c r="BB30" i="36" s="1"/>
  <c r="BA29" i="36"/>
  <c r="L34" i="36"/>
  <c r="AR56" i="36"/>
  <c r="AB56" i="36" s="1"/>
  <c r="AQ56" i="36"/>
  <c r="AT56" i="36" s="1"/>
  <c r="AW56" i="36" s="1"/>
  <c r="H57" i="36"/>
  <c r="AR215" i="36"/>
  <c r="AB215" i="36" s="1"/>
  <c r="AQ215" i="36"/>
  <c r="AT215" i="36" s="1"/>
  <c r="AW215" i="36" s="1"/>
  <c r="H216" i="36"/>
  <c r="L217" i="36"/>
  <c r="L158" i="36"/>
  <c r="AU31" i="36"/>
  <c r="AS31" i="36"/>
  <c r="AV31" i="36" s="1"/>
  <c r="J31" i="36"/>
  <c r="AZ31" i="36" s="1"/>
  <c r="AP31" i="36" s="1"/>
  <c r="L58" i="36"/>
  <c r="L241" i="36"/>
  <c r="D307" i="36"/>
  <c r="E306" i="36"/>
  <c r="AU214" i="36"/>
  <c r="AS214" i="36"/>
  <c r="AV214" i="36" s="1"/>
  <c r="J214" i="36"/>
  <c r="AZ214" i="36" s="1"/>
  <c r="AP214" i="36" s="1"/>
  <c r="AF213" i="36"/>
  <c r="AI213" i="36" s="1"/>
  <c r="Q52" i="36"/>
  <c r="R52" i="36" s="1"/>
  <c r="O52" i="36"/>
  <c r="AL85" i="36"/>
  <c r="AL34" i="36"/>
  <c r="AI29" i="36"/>
  <c r="L109" i="36"/>
  <c r="AS55" i="36"/>
  <c r="AV55" i="36" s="1"/>
  <c r="AU55" i="36"/>
  <c r="J55" i="36"/>
  <c r="AZ55" i="36" s="1"/>
  <c r="AP55" i="36" s="1"/>
  <c r="M212" i="36"/>
  <c r="K54" i="36"/>
  <c r="P54" i="36" s="1"/>
  <c r="K213" i="36"/>
  <c r="H33" i="36"/>
  <c r="AR32" i="36"/>
  <c r="AB32" i="36" s="1"/>
  <c r="AQ32" i="36"/>
  <c r="AT32" i="36" s="1"/>
  <c r="AW32" i="36" s="1"/>
  <c r="P212" i="36"/>
  <c r="N37" i="17"/>
  <c r="D38" i="17"/>
  <c r="N30" i="50" l="1"/>
  <c r="AD30" i="50"/>
  <c r="P30" i="50"/>
  <c r="O30" i="50" s="1"/>
  <c r="AD55" i="50"/>
  <c r="K56" i="50"/>
  <c r="P56" i="50" s="1"/>
  <c r="K31" i="50"/>
  <c r="M31" i="50" s="1"/>
  <c r="O55" i="50"/>
  <c r="Q55" i="50"/>
  <c r="R55" i="50" s="1"/>
  <c r="Y55" i="50" s="1"/>
  <c r="M215" i="50"/>
  <c r="Y212" i="50"/>
  <c r="AU57" i="50"/>
  <c r="AB57" i="50"/>
  <c r="AS57" i="50"/>
  <c r="AV57" i="50" s="1"/>
  <c r="J57" i="50"/>
  <c r="AZ57" i="50" s="1"/>
  <c r="AP57" i="50" s="1"/>
  <c r="L109" i="50"/>
  <c r="AR33" i="50"/>
  <c r="H34" i="50"/>
  <c r="AQ33" i="50"/>
  <c r="AT33" i="50" s="1"/>
  <c r="AW33" i="50" s="1"/>
  <c r="L35" i="50"/>
  <c r="BB30" i="50"/>
  <c r="BA30" i="50"/>
  <c r="Q30" i="50"/>
  <c r="R30" i="50" s="1"/>
  <c r="Y30" i="50" s="1"/>
  <c r="O213" i="50"/>
  <c r="Q213" i="50"/>
  <c r="R213" i="50" s="1"/>
  <c r="Y213" i="50" s="1"/>
  <c r="L246" i="50"/>
  <c r="N55" i="50"/>
  <c r="AI30" i="50"/>
  <c r="K32" i="50"/>
  <c r="AU32" i="50"/>
  <c r="AB32" i="50"/>
  <c r="AS32" i="50"/>
  <c r="AV32" i="50" s="1"/>
  <c r="J32" i="50"/>
  <c r="AZ32" i="50" s="1"/>
  <c r="AP32" i="50" s="1"/>
  <c r="AR217" i="50"/>
  <c r="H218" i="50"/>
  <c r="AQ217" i="50"/>
  <c r="AT217" i="50" s="1"/>
  <c r="AW217" i="50" s="1"/>
  <c r="J216" i="50"/>
  <c r="AZ216" i="50" s="1"/>
  <c r="AP216" i="50" s="1"/>
  <c r="L217" i="50"/>
  <c r="AI31" i="50"/>
  <c r="AL83" i="50"/>
  <c r="AU216" i="50"/>
  <c r="AB216" i="50"/>
  <c r="AS216" i="50"/>
  <c r="AV216" i="50" s="1"/>
  <c r="L162" i="50"/>
  <c r="AI215" i="50"/>
  <c r="AF31" i="50"/>
  <c r="AL35" i="50"/>
  <c r="AF215" i="50"/>
  <c r="AD215" i="50"/>
  <c r="O214" i="50"/>
  <c r="Q214" i="50"/>
  <c r="R214" i="50" s="1"/>
  <c r="Y214" i="50" s="1"/>
  <c r="AR58" i="50"/>
  <c r="H59" i="50"/>
  <c r="AQ58" i="50"/>
  <c r="AT58" i="50" s="1"/>
  <c r="AW58" i="50" s="1"/>
  <c r="M55" i="50"/>
  <c r="AM55" i="50" s="1"/>
  <c r="D310" i="50"/>
  <c r="E309" i="50"/>
  <c r="P215" i="50"/>
  <c r="N215" i="50"/>
  <c r="M34" i="48"/>
  <c r="K35" i="48"/>
  <c r="AE30" i="48"/>
  <c r="AH30" i="48" s="1"/>
  <c r="AC30" i="48"/>
  <c r="P30" i="48"/>
  <c r="N30" i="48"/>
  <c r="Q29" i="48"/>
  <c r="R29" i="48" s="1"/>
  <c r="X29" i="48" s="1"/>
  <c r="O29" i="48"/>
  <c r="AU31" i="48"/>
  <c r="AA31" i="48"/>
  <c r="AS31" i="48"/>
  <c r="AV31" i="48" s="1"/>
  <c r="L35" i="48"/>
  <c r="AQ32" i="48"/>
  <c r="AT32" i="48" s="1"/>
  <c r="AW32" i="48" s="1"/>
  <c r="AR32" i="48"/>
  <c r="N29" i="40"/>
  <c r="Q214" i="40"/>
  <c r="R214" i="40" s="1"/>
  <c r="Y214" i="40" s="1"/>
  <c r="O214" i="40"/>
  <c r="Q29" i="40"/>
  <c r="R29" i="40" s="1"/>
  <c r="Y29" i="40" s="1"/>
  <c r="O29" i="40"/>
  <c r="AF30" i="40"/>
  <c r="AI30" i="40" s="1"/>
  <c r="H33" i="40"/>
  <c r="AR32" i="40"/>
  <c r="AQ32" i="40"/>
  <c r="AT32" i="40" s="1"/>
  <c r="AW32" i="40" s="1"/>
  <c r="K215" i="40"/>
  <c r="Y27" i="40"/>
  <c r="AU31" i="40"/>
  <c r="AB31" i="40"/>
  <c r="AS31" i="40"/>
  <c r="AV31" i="40" s="1"/>
  <c r="J31" i="40"/>
  <c r="AZ31" i="40" s="1"/>
  <c r="AP31" i="40" s="1"/>
  <c r="L35" i="40"/>
  <c r="L100" i="40"/>
  <c r="AL34" i="40"/>
  <c r="E306" i="40"/>
  <c r="D307" i="40"/>
  <c r="K30" i="40"/>
  <c r="P30" i="40" s="1"/>
  <c r="AF215" i="40"/>
  <c r="M214" i="40"/>
  <c r="AQ217" i="40"/>
  <c r="AT217" i="40" s="1"/>
  <c r="AW217" i="40" s="1"/>
  <c r="AR217" i="40"/>
  <c r="H218" i="40"/>
  <c r="N214" i="40"/>
  <c r="AI214" i="40"/>
  <c r="L219" i="40"/>
  <c r="AU216" i="40"/>
  <c r="AS216" i="40"/>
  <c r="AV216" i="40" s="1"/>
  <c r="AB216" i="40"/>
  <c r="J216" i="40"/>
  <c r="AZ216" i="40" s="1"/>
  <c r="AP216" i="40" s="1"/>
  <c r="L243" i="40"/>
  <c r="AD214" i="40"/>
  <c r="K214" i="39"/>
  <c r="AD214" i="39" s="1"/>
  <c r="O212" i="39"/>
  <c r="Q212" i="39"/>
  <c r="R212" i="39" s="1"/>
  <c r="Y212" i="39" s="1"/>
  <c r="AL34" i="39"/>
  <c r="AF30" i="39"/>
  <c r="AI30" i="39" s="1"/>
  <c r="AL86" i="39"/>
  <c r="K30" i="39"/>
  <c r="N30" i="39" s="1"/>
  <c r="BB29" i="39"/>
  <c r="BA29" i="39"/>
  <c r="L217" i="39"/>
  <c r="M213" i="39"/>
  <c r="AU31" i="39"/>
  <c r="AB31" i="39"/>
  <c r="AS31" i="39"/>
  <c r="AV31" i="39" s="1"/>
  <c r="J31" i="39"/>
  <c r="AZ31" i="39" s="1"/>
  <c r="AP31" i="39" s="1"/>
  <c r="L34" i="39"/>
  <c r="AS215" i="39"/>
  <c r="AV215" i="39" s="1"/>
  <c r="AB215" i="39"/>
  <c r="AU215" i="39"/>
  <c r="AI213" i="39"/>
  <c r="O54" i="39"/>
  <c r="Q54" i="39"/>
  <c r="R54" i="39" s="1"/>
  <c r="Y54" i="39" s="1"/>
  <c r="M29" i="39"/>
  <c r="AD29" i="39"/>
  <c r="M214" i="39"/>
  <c r="D310" i="39"/>
  <c r="E309" i="39"/>
  <c r="AF214" i="39"/>
  <c r="J215" i="39"/>
  <c r="AZ215" i="39" s="1"/>
  <c r="AP215" i="39" s="1"/>
  <c r="P29" i="39"/>
  <c r="P213" i="39"/>
  <c r="L242" i="39"/>
  <c r="L62" i="39"/>
  <c r="AU56" i="39"/>
  <c r="AB56" i="39"/>
  <c r="AS56" i="39"/>
  <c r="AV56" i="39" s="1"/>
  <c r="J56" i="39"/>
  <c r="AZ56" i="39" s="1"/>
  <c r="AP56" i="39" s="1"/>
  <c r="L132" i="39"/>
  <c r="K55" i="39"/>
  <c r="AD55" i="39" s="1"/>
  <c r="Q28" i="39"/>
  <c r="R28" i="39" s="1"/>
  <c r="O28" i="39"/>
  <c r="H33" i="39"/>
  <c r="AQ32" i="39"/>
  <c r="AT32" i="39" s="1"/>
  <c r="AW32" i="39" s="1"/>
  <c r="AR32" i="39"/>
  <c r="P214" i="39"/>
  <c r="N214" i="39"/>
  <c r="L158" i="39"/>
  <c r="AD213" i="39"/>
  <c r="AQ216" i="39"/>
  <c r="AT216" i="39" s="1"/>
  <c r="AW216" i="39" s="1"/>
  <c r="H217" i="39"/>
  <c r="AR216" i="39"/>
  <c r="J216" i="39" s="1"/>
  <c r="AZ216" i="39" s="1"/>
  <c r="AP216" i="39" s="1"/>
  <c r="AI29" i="39"/>
  <c r="AR57" i="39"/>
  <c r="H58" i="39"/>
  <c r="AQ57" i="39"/>
  <c r="AT57" i="39" s="1"/>
  <c r="AW57" i="39" s="1"/>
  <c r="Q53" i="36"/>
  <c r="R53" i="36" s="1"/>
  <c r="Y53" i="36" s="1"/>
  <c r="O29" i="36"/>
  <c r="AI30" i="36"/>
  <c r="AD54" i="36"/>
  <c r="K31" i="36"/>
  <c r="N31" i="36" s="1"/>
  <c r="N30" i="36"/>
  <c r="P30" i="36"/>
  <c r="O30" i="36" s="1"/>
  <c r="M30" i="36"/>
  <c r="N54" i="36"/>
  <c r="D308" i="36"/>
  <c r="E307" i="36"/>
  <c r="L35" i="36"/>
  <c r="AU32" i="36"/>
  <c r="AS32" i="36"/>
  <c r="AV32" i="36" s="1"/>
  <c r="J32" i="36"/>
  <c r="AZ32" i="36" s="1"/>
  <c r="AP32" i="36" s="1"/>
  <c r="L218" i="36"/>
  <c r="Q212" i="36"/>
  <c r="R212" i="36" s="1"/>
  <c r="O212" i="36"/>
  <c r="AR33" i="36"/>
  <c r="AB33" i="36" s="1"/>
  <c r="AQ33" i="36"/>
  <c r="AT33" i="36" s="1"/>
  <c r="AW33" i="36" s="1"/>
  <c r="H34" i="36"/>
  <c r="Y52" i="36"/>
  <c r="L59" i="36"/>
  <c r="Q54" i="36"/>
  <c r="R54" i="36" s="1"/>
  <c r="Y54" i="36" s="1"/>
  <c r="O54" i="36"/>
  <c r="M213" i="36"/>
  <c r="L110" i="36"/>
  <c r="H217" i="36"/>
  <c r="AR216" i="36"/>
  <c r="AB216" i="36" s="1"/>
  <c r="AQ216" i="36"/>
  <c r="AT216" i="36" s="1"/>
  <c r="AW216" i="36" s="1"/>
  <c r="M54" i="36"/>
  <c r="AM54" i="36" s="1"/>
  <c r="P213" i="36"/>
  <c r="K55" i="36"/>
  <c r="AD55" i="36" s="1"/>
  <c r="N213" i="36"/>
  <c r="AD213" i="36"/>
  <c r="AF214" i="36"/>
  <c r="AU215" i="36"/>
  <c r="AS215" i="36"/>
  <c r="AV215" i="36" s="1"/>
  <c r="J215" i="36"/>
  <c r="AZ215" i="36" s="1"/>
  <c r="AP215" i="36" s="1"/>
  <c r="AS56" i="36"/>
  <c r="AV56" i="36" s="1"/>
  <c r="AU56" i="36"/>
  <c r="J56" i="36"/>
  <c r="AZ56" i="36" s="1"/>
  <c r="AP56" i="36" s="1"/>
  <c r="BA30" i="36"/>
  <c r="AL35" i="36"/>
  <c r="AR57" i="36"/>
  <c r="AB57" i="36" s="1"/>
  <c r="AQ57" i="36"/>
  <c r="AT57" i="36" s="1"/>
  <c r="AW57" i="36" s="1"/>
  <c r="H58" i="36"/>
  <c r="AL86" i="36"/>
  <c r="K214" i="36"/>
  <c r="P214" i="36" s="1"/>
  <c r="L242" i="36"/>
  <c r="AF31" i="36"/>
  <c r="BB31" i="36" s="1"/>
  <c r="L159" i="36"/>
  <c r="M36" i="35"/>
  <c r="N38" i="17"/>
  <c r="D39" i="17"/>
  <c r="P31" i="50" l="1"/>
  <c r="AD31" i="50"/>
  <c r="M56" i="50"/>
  <c r="AM56" i="50" s="1"/>
  <c r="N56" i="50"/>
  <c r="AD56" i="50"/>
  <c r="N31" i="50"/>
  <c r="AL36" i="50"/>
  <c r="AF216" i="50"/>
  <c r="AD216" i="50"/>
  <c r="AS217" i="50"/>
  <c r="AV217" i="50" s="1"/>
  <c r="AB217" i="50"/>
  <c r="AU217" i="50"/>
  <c r="M32" i="50"/>
  <c r="L36" i="50"/>
  <c r="L110" i="50"/>
  <c r="Q215" i="50"/>
  <c r="R215" i="50" s="1"/>
  <c r="Y215" i="50" s="1"/>
  <c r="O215" i="50"/>
  <c r="BB31" i="50"/>
  <c r="BA31" i="50"/>
  <c r="K57" i="50"/>
  <c r="AD57" i="50" s="1"/>
  <c r="H60" i="50"/>
  <c r="AR59" i="50"/>
  <c r="AQ59" i="50"/>
  <c r="AT59" i="50" s="1"/>
  <c r="AW59" i="50" s="1"/>
  <c r="AL84" i="50"/>
  <c r="P32" i="50"/>
  <c r="N32" i="50"/>
  <c r="Q56" i="50"/>
  <c r="R56" i="50" s="1"/>
  <c r="Y56" i="50" s="1"/>
  <c r="O56" i="50"/>
  <c r="AU58" i="50"/>
  <c r="AB58" i="50"/>
  <c r="AS58" i="50"/>
  <c r="AV58" i="50" s="1"/>
  <c r="J58" i="50"/>
  <c r="AZ58" i="50" s="1"/>
  <c r="AP58" i="50" s="1"/>
  <c r="N216" i="50"/>
  <c r="AD32" i="50"/>
  <c r="AF32" i="50"/>
  <c r="L247" i="50"/>
  <c r="Q31" i="50"/>
  <c r="R31" i="50" s="1"/>
  <c r="Y31" i="50" s="1"/>
  <c r="O31" i="50"/>
  <c r="AS33" i="50"/>
  <c r="AV33" i="50" s="1"/>
  <c r="K33" i="50"/>
  <c r="AU33" i="50"/>
  <c r="AB33" i="50"/>
  <c r="J33" i="50"/>
  <c r="AZ33" i="50" s="1"/>
  <c r="AP33" i="50" s="1"/>
  <c r="P57" i="50"/>
  <c r="N57" i="50"/>
  <c r="L163" i="50"/>
  <c r="J217" i="50"/>
  <c r="AZ217" i="50" s="1"/>
  <c r="AP217" i="50" s="1"/>
  <c r="L218" i="50"/>
  <c r="D311" i="50"/>
  <c r="E310" i="50"/>
  <c r="AR34" i="50"/>
  <c r="H35" i="50"/>
  <c r="AQ34" i="50"/>
  <c r="AT34" i="50" s="1"/>
  <c r="AW34" i="50" s="1"/>
  <c r="K216" i="50"/>
  <c r="AR218" i="50"/>
  <c r="AQ218" i="50"/>
  <c r="AT218" i="50" s="1"/>
  <c r="AW218" i="50" s="1"/>
  <c r="H219" i="50"/>
  <c r="M35" i="48"/>
  <c r="K36" i="48"/>
  <c r="AQ33" i="48"/>
  <c r="AT33" i="48" s="1"/>
  <c r="AW33" i="48" s="1"/>
  <c r="AR33" i="48"/>
  <c r="P31" i="48"/>
  <c r="N31" i="48"/>
  <c r="AE31" i="48"/>
  <c r="AH31" i="48" s="1"/>
  <c r="AC31" i="48"/>
  <c r="Q30" i="48"/>
  <c r="R30" i="48" s="1"/>
  <c r="X30" i="48" s="1"/>
  <c r="O30" i="48"/>
  <c r="L36" i="48"/>
  <c r="AS32" i="48"/>
  <c r="AV32" i="48" s="1"/>
  <c r="AA32" i="48"/>
  <c r="AU32" i="48"/>
  <c r="N30" i="40"/>
  <c r="K31" i="40"/>
  <c r="P31" i="40" s="1"/>
  <c r="AD30" i="40"/>
  <c r="Q30" i="40"/>
  <c r="R30" i="40" s="1"/>
  <c r="Y30" i="40" s="1"/>
  <c r="O30" i="40"/>
  <c r="L244" i="40"/>
  <c r="M215" i="40"/>
  <c r="L220" i="40"/>
  <c r="AF216" i="40"/>
  <c r="AD216" i="40"/>
  <c r="AU32" i="40"/>
  <c r="AB32" i="40"/>
  <c r="AS32" i="40"/>
  <c r="AV32" i="40" s="1"/>
  <c r="J32" i="40"/>
  <c r="AZ32" i="40" s="1"/>
  <c r="AP32" i="40" s="1"/>
  <c r="AI216" i="40"/>
  <c r="AI215" i="40"/>
  <c r="AL35" i="40"/>
  <c r="N31" i="40"/>
  <c r="H34" i="40"/>
  <c r="AR33" i="40"/>
  <c r="AQ33" i="40"/>
  <c r="AT33" i="40" s="1"/>
  <c r="AW33" i="40" s="1"/>
  <c r="L36" i="40"/>
  <c r="P215" i="40"/>
  <c r="E307" i="40"/>
  <c r="D308" i="40"/>
  <c r="L101" i="40"/>
  <c r="AD31" i="40"/>
  <c r="AF31" i="40"/>
  <c r="AI31" i="40" s="1"/>
  <c r="AQ218" i="40"/>
  <c r="AT218" i="40" s="1"/>
  <c r="AW218" i="40" s="1"/>
  <c r="AR218" i="40"/>
  <c r="H219" i="40"/>
  <c r="M31" i="40"/>
  <c r="AU217" i="40"/>
  <c r="AS217" i="40"/>
  <c r="AV217" i="40" s="1"/>
  <c r="AB217" i="40"/>
  <c r="J217" i="40"/>
  <c r="AZ217" i="40" s="1"/>
  <c r="AP217" i="40" s="1"/>
  <c r="M30" i="40"/>
  <c r="K216" i="40"/>
  <c r="N215" i="40"/>
  <c r="AD215" i="40"/>
  <c r="K56" i="39"/>
  <c r="P55" i="39"/>
  <c r="P30" i="39"/>
  <c r="Q30" i="39" s="1"/>
  <c r="R30" i="39" s="1"/>
  <c r="Y30" i="39" s="1"/>
  <c r="AD30" i="39"/>
  <c r="K31" i="39"/>
  <c r="M31" i="39" s="1"/>
  <c r="L133" i="39"/>
  <c r="Q29" i="39"/>
  <c r="R29" i="39" s="1"/>
  <c r="O29" i="39"/>
  <c r="Q55" i="39"/>
  <c r="R55" i="39" s="1"/>
  <c r="Y55" i="39" s="1"/>
  <c r="O55" i="39"/>
  <c r="L63" i="39"/>
  <c r="K215" i="39"/>
  <c r="AD215" i="39" s="1"/>
  <c r="H218" i="39"/>
  <c r="AR217" i="39"/>
  <c r="AQ217" i="39"/>
  <c r="AT217" i="39" s="1"/>
  <c r="AW217" i="39" s="1"/>
  <c r="Q214" i="39"/>
  <c r="R214" i="39" s="1"/>
  <c r="Y214" i="39" s="1"/>
  <c r="O214" i="39"/>
  <c r="Y28" i="39"/>
  <c r="N56" i="39"/>
  <c r="P56" i="39"/>
  <c r="L243" i="39"/>
  <c r="L35" i="39"/>
  <c r="AL87" i="39"/>
  <c r="M56" i="39"/>
  <c r="AM56" i="39" s="1"/>
  <c r="AF31" i="39"/>
  <c r="AI31" i="39" s="1"/>
  <c r="AS32" i="39"/>
  <c r="AV32" i="39" s="1"/>
  <c r="AB32" i="39"/>
  <c r="AU32" i="39"/>
  <c r="J32" i="39"/>
  <c r="AZ32" i="39" s="1"/>
  <c r="AP32" i="39" s="1"/>
  <c r="H59" i="39"/>
  <c r="AR58" i="39"/>
  <c r="AQ58" i="39"/>
  <c r="AT58" i="39" s="1"/>
  <c r="AW58" i="39" s="1"/>
  <c r="AD56" i="39"/>
  <c r="AI214" i="39"/>
  <c r="M30" i="39"/>
  <c r="AS216" i="39"/>
  <c r="AV216" i="39" s="1"/>
  <c r="AB216" i="39"/>
  <c r="AU216" i="39"/>
  <c r="M55" i="39"/>
  <c r="AM55" i="39" s="1"/>
  <c r="AS57" i="39"/>
  <c r="AV57" i="39" s="1"/>
  <c r="AU57" i="39"/>
  <c r="AB57" i="39"/>
  <c r="J57" i="39"/>
  <c r="AZ57" i="39" s="1"/>
  <c r="AP57" i="39" s="1"/>
  <c r="L159" i="39"/>
  <c r="H34" i="39"/>
  <c r="AR33" i="39"/>
  <c r="AQ33" i="39"/>
  <c r="AT33" i="39" s="1"/>
  <c r="AW33" i="39" s="1"/>
  <c r="Q213" i="39"/>
  <c r="R213" i="39" s="1"/>
  <c r="O213" i="39"/>
  <c r="O30" i="39"/>
  <c r="D311" i="39"/>
  <c r="E310" i="39"/>
  <c r="AF215" i="39"/>
  <c r="L218" i="39"/>
  <c r="N55" i="39"/>
  <c r="BA30" i="39"/>
  <c r="BB30" i="39"/>
  <c r="AL35" i="39"/>
  <c r="P31" i="36"/>
  <c r="O31" i="36" s="1"/>
  <c r="M31" i="36"/>
  <c r="AD31" i="36"/>
  <c r="Q30" i="36"/>
  <c r="R30" i="36" s="1"/>
  <c r="Y30" i="36" s="1"/>
  <c r="K56" i="36"/>
  <c r="P56" i="36" s="1"/>
  <c r="Q214" i="36"/>
  <c r="R214" i="36" s="1"/>
  <c r="Y214" i="36" s="1"/>
  <c r="O214" i="36"/>
  <c r="AR217" i="36"/>
  <c r="AB217" i="36" s="1"/>
  <c r="H218" i="36"/>
  <c r="AQ217" i="36"/>
  <c r="AT217" i="36" s="1"/>
  <c r="AW217" i="36" s="1"/>
  <c r="L60" i="36"/>
  <c r="BA31" i="36"/>
  <c r="AR58" i="36"/>
  <c r="AB58" i="36" s="1"/>
  <c r="AQ58" i="36"/>
  <c r="AT58" i="36" s="1"/>
  <c r="AW58" i="36" s="1"/>
  <c r="H59" i="36"/>
  <c r="AF32" i="36"/>
  <c r="BB32" i="36" s="1"/>
  <c r="AS57" i="36"/>
  <c r="AV57" i="36" s="1"/>
  <c r="AU57" i="36"/>
  <c r="J57" i="36"/>
  <c r="AZ57" i="36" s="1"/>
  <c r="AP57" i="36" s="1"/>
  <c r="K215" i="36"/>
  <c r="P215" i="36" s="1"/>
  <c r="Q213" i="36"/>
  <c r="R213" i="36" s="1"/>
  <c r="Y213" i="36" s="1"/>
  <c r="O213" i="36"/>
  <c r="AR34" i="36"/>
  <c r="AB34" i="36" s="1"/>
  <c r="AQ34" i="36"/>
  <c r="AT34" i="36" s="1"/>
  <c r="AW34" i="36" s="1"/>
  <c r="H35" i="36"/>
  <c r="L219" i="36"/>
  <c r="AL87" i="36"/>
  <c r="Y212" i="36"/>
  <c r="L160" i="36"/>
  <c r="AD214" i="36"/>
  <c r="L111" i="36"/>
  <c r="K32" i="36"/>
  <c r="AD32" i="36" s="1"/>
  <c r="D309" i="36"/>
  <c r="E308" i="36"/>
  <c r="M55" i="36"/>
  <c r="AM55" i="36" s="1"/>
  <c r="AI31" i="36"/>
  <c r="L243" i="36"/>
  <c r="N55" i="36"/>
  <c r="M214" i="36"/>
  <c r="P55" i="36"/>
  <c r="AL36" i="36"/>
  <c r="AF215" i="36"/>
  <c r="AU216" i="36"/>
  <c r="AS216" i="36"/>
  <c r="AV216" i="36" s="1"/>
  <c r="J216" i="36"/>
  <c r="AZ216" i="36" s="1"/>
  <c r="AP216" i="36" s="1"/>
  <c r="AS33" i="36"/>
  <c r="AV33" i="36" s="1"/>
  <c r="AU33" i="36"/>
  <c r="J33" i="36"/>
  <c r="AZ33" i="36" s="1"/>
  <c r="AP33" i="36" s="1"/>
  <c r="N214" i="36"/>
  <c r="L36" i="36"/>
  <c r="AI214" i="36"/>
  <c r="N39" i="17"/>
  <c r="D40" i="17"/>
  <c r="H220" i="50" l="1"/>
  <c r="AR219" i="50"/>
  <c r="AQ219" i="50"/>
  <c r="AT219" i="50" s="1"/>
  <c r="AW219" i="50" s="1"/>
  <c r="N33" i="50"/>
  <c r="P33" i="50"/>
  <c r="BB32" i="50"/>
  <c r="BA32" i="50"/>
  <c r="P217" i="50"/>
  <c r="N217" i="50"/>
  <c r="AI32" i="50"/>
  <c r="M216" i="50"/>
  <c r="AS59" i="50"/>
  <c r="AV59" i="50" s="1"/>
  <c r="AU59" i="50"/>
  <c r="AB59" i="50"/>
  <c r="J59" i="50"/>
  <c r="AZ59" i="50" s="1"/>
  <c r="AP59" i="50" s="1"/>
  <c r="K34" i="50"/>
  <c r="AU34" i="50"/>
  <c r="AB34" i="50"/>
  <c r="AS34" i="50"/>
  <c r="AV34" i="50" s="1"/>
  <c r="J34" i="50"/>
  <c r="AZ34" i="50" s="1"/>
  <c r="AP34" i="50" s="1"/>
  <c r="M33" i="50"/>
  <c r="L164" i="50"/>
  <c r="L37" i="50"/>
  <c r="D312" i="50"/>
  <c r="E311" i="50"/>
  <c r="AL85" i="50"/>
  <c r="AU218" i="50"/>
  <c r="AB218" i="50"/>
  <c r="AS218" i="50"/>
  <c r="AV218" i="50" s="1"/>
  <c r="K218" i="50"/>
  <c r="O57" i="50"/>
  <c r="Q57" i="50"/>
  <c r="R57" i="50" s="1"/>
  <c r="Y57" i="50" s="1"/>
  <c r="AF33" i="50"/>
  <c r="AD33" i="50"/>
  <c r="P216" i="50"/>
  <c r="K58" i="50"/>
  <c r="N58" i="50" s="1"/>
  <c r="L111" i="50"/>
  <c r="K217" i="50"/>
  <c r="AL37" i="50"/>
  <c r="AR35" i="50"/>
  <c r="AQ35" i="50"/>
  <c r="AT35" i="50" s="1"/>
  <c r="AW35" i="50" s="1"/>
  <c r="H36" i="50"/>
  <c r="L219" i="50"/>
  <c r="J218" i="50"/>
  <c r="AZ218" i="50" s="1"/>
  <c r="AP218" i="50" s="1"/>
  <c r="L248" i="50"/>
  <c r="Q32" i="50"/>
  <c r="R32" i="50" s="1"/>
  <c r="Y32" i="50" s="1"/>
  <c r="O32" i="50"/>
  <c r="H61" i="50"/>
  <c r="AR60" i="50"/>
  <c r="AQ60" i="50"/>
  <c r="AT60" i="50" s="1"/>
  <c r="AW60" i="50" s="1"/>
  <c r="AI216" i="50"/>
  <c r="M57" i="50"/>
  <c r="AM57" i="50" s="1"/>
  <c r="AD217" i="50"/>
  <c r="AF217" i="50"/>
  <c r="K37" i="48"/>
  <c r="M36" i="48"/>
  <c r="AC32" i="48"/>
  <c r="AE32" i="48"/>
  <c r="N32" i="48"/>
  <c r="P32" i="48"/>
  <c r="O31" i="48"/>
  <c r="Q31" i="48"/>
  <c r="R31" i="48" s="1"/>
  <c r="X31" i="48" s="1"/>
  <c r="AS33" i="48"/>
  <c r="AV33" i="48" s="1"/>
  <c r="AU33" i="48"/>
  <c r="AA33" i="48"/>
  <c r="L37" i="48"/>
  <c r="AR34" i="48"/>
  <c r="AQ34" i="48"/>
  <c r="AT34" i="48" s="1"/>
  <c r="AW34" i="48" s="1"/>
  <c r="Q215" i="40"/>
  <c r="R215" i="40" s="1"/>
  <c r="Y215" i="40" s="1"/>
  <c r="O215" i="40"/>
  <c r="AL36" i="40"/>
  <c r="AQ219" i="40"/>
  <c r="AT219" i="40" s="1"/>
  <c r="AW219" i="40" s="1"/>
  <c r="AR219" i="40"/>
  <c r="H220" i="40"/>
  <c r="N217" i="40"/>
  <c r="AU218" i="40"/>
  <c r="AS218" i="40"/>
  <c r="AV218" i="40" s="1"/>
  <c r="AB218" i="40"/>
  <c r="J218" i="40"/>
  <c r="AZ218" i="40" s="1"/>
  <c r="AP218" i="40" s="1"/>
  <c r="L102" i="40"/>
  <c r="AU33" i="40"/>
  <c r="AB33" i="40"/>
  <c r="AS33" i="40"/>
  <c r="AV33" i="40" s="1"/>
  <c r="K33" i="40" s="1"/>
  <c r="J33" i="40"/>
  <c r="AZ33" i="40" s="1"/>
  <c r="AP33" i="40" s="1"/>
  <c r="K32" i="40"/>
  <c r="N32" i="40" s="1"/>
  <c r="M216" i="40"/>
  <c r="L37" i="40"/>
  <c r="AR34" i="40"/>
  <c r="H35" i="40"/>
  <c r="AQ34" i="40"/>
  <c r="AT34" i="40" s="1"/>
  <c r="AW34" i="40" s="1"/>
  <c r="P32" i="40"/>
  <c r="L245" i="40"/>
  <c r="AF217" i="40"/>
  <c r="AD217" i="40"/>
  <c r="K217" i="40"/>
  <c r="D309" i="40"/>
  <c r="E308" i="40"/>
  <c r="P216" i="40"/>
  <c r="AD32" i="40"/>
  <c r="AF32" i="40"/>
  <c r="AI32" i="40" s="1"/>
  <c r="L221" i="40"/>
  <c r="Q31" i="40"/>
  <c r="R31" i="40" s="1"/>
  <c r="Y31" i="40" s="1"/>
  <c r="O31" i="40"/>
  <c r="N216" i="40"/>
  <c r="K57" i="39"/>
  <c r="P31" i="39"/>
  <c r="N31" i="39"/>
  <c r="AD31" i="39"/>
  <c r="K32" i="39"/>
  <c r="AD32" i="39" s="1"/>
  <c r="D312" i="39"/>
  <c r="E311" i="39"/>
  <c r="AS33" i="39"/>
  <c r="AV33" i="39" s="1"/>
  <c r="AU33" i="39"/>
  <c r="AB33" i="39"/>
  <c r="J33" i="39"/>
  <c r="AZ33" i="39" s="1"/>
  <c r="AP33" i="39" s="1"/>
  <c r="AF32" i="39"/>
  <c r="AI32" i="39" s="1"/>
  <c r="L64" i="39"/>
  <c r="Q31" i="39"/>
  <c r="R31" i="39" s="1"/>
  <c r="Y31" i="39" s="1"/>
  <c r="O31" i="39"/>
  <c r="H35" i="39"/>
  <c r="AQ34" i="39"/>
  <c r="AT34" i="39" s="1"/>
  <c r="AW34" i="39" s="1"/>
  <c r="AR34" i="39"/>
  <c r="AF216" i="39"/>
  <c r="L160" i="39"/>
  <c r="AB58" i="39"/>
  <c r="AU58" i="39"/>
  <c r="AS58" i="39"/>
  <c r="AV58" i="39" s="1"/>
  <c r="J58" i="39"/>
  <c r="AZ58" i="39" s="1"/>
  <c r="AP58" i="39" s="1"/>
  <c r="L36" i="39"/>
  <c r="L244" i="39"/>
  <c r="AS217" i="39"/>
  <c r="AV217" i="39" s="1"/>
  <c r="AB217" i="39"/>
  <c r="AU217" i="39"/>
  <c r="L134" i="39"/>
  <c r="H60" i="39"/>
  <c r="AR59" i="39"/>
  <c r="AQ59" i="39"/>
  <c r="AT59" i="39" s="1"/>
  <c r="AW59" i="39" s="1"/>
  <c r="AI215" i="39"/>
  <c r="Q56" i="39"/>
  <c r="R56" i="39" s="1"/>
  <c r="Y56" i="39" s="1"/>
  <c r="O56" i="39"/>
  <c r="AQ218" i="39"/>
  <c r="AT218" i="39" s="1"/>
  <c r="AW218" i="39" s="1"/>
  <c r="H219" i="39"/>
  <c r="AR218" i="39"/>
  <c r="L219" i="39"/>
  <c r="Y213" i="39"/>
  <c r="BB31" i="39"/>
  <c r="BA31" i="39"/>
  <c r="M215" i="39"/>
  <c r="N215" i="39"/>
  <c r="M57" i="39"/>
  <c r="AM57" i="39" s="1"/>
  <c r="AL88" i="39"/>
  <c r="Y29" i="39"/>
  <c r="N57" i="39"/>
  <c r="P57" i="39"/>
  <c r="P32" i="39"/>
  <c r="AL36" i="39"/>
  <c r="J217" i="39"/>
  <c r="AZ217" i="39" s="1"/>
  <c r="AP217" i="39" s="1"/>
  <c r="AD57" i="39"/>
  <c r="K216" i="39"/>
  <c r="P216" i="39" s="1"/>
  <c r="P215" i="39"/>
  <c r="AI32" i="36"/>
  <c r="Q31" i="36"/>
  <c r="R31" i="36" s="1"/>
  <c r="Y31" i="36" s="1"/>
  <c r="AD56" i="36"/>
  <c r="N56" i="36"/>
  <c r="AD215" i="36"/>
  <c r="M56" i="36"/>
  <c r="AM56" i="36" s="1"/>
  <c r="M215" i="36"/>
  <c r="Q56" i="36"/>
  <c r="R56" i="36" s="1"/>
  <c r="Y56" i="36" s="1"/>
  <c r="O56" i="36"/>
  <c r="N215" i="36"/>
  <c r="AI215" i="36"/>
  <c r="L161" i="36"/>
  <c r="AL88" i="36"/>
  <c r="AU34" i="36"/>
  <c r="AS34" i="36"/>
  <c r="AV34" i="36" s="1"/>
  <c r="J34" i="36"/>
  <c r="AZ34" i="36" s="1"/>
  <c r="AP34" i="36" s="1"/>
  <c r="AR59" i="36"/>
  <c r="AB59" i="36" s="1"/>
  <c r="AQ59" i="36"/>
  <c r="AT59" i="36" s="1"/>
  <c r="AW59" i="36" s="1"/>
  <c r="H60" i="36"/>
  <c r="L61" i="36"/>
  <c r="O215" i="36"/>
  <c r="Q215" i="36"/>
  <c r="R215" i="36" s="1"/>
  <c r="Y215" i="36" s="1"/>
  <c r="M32" i="36"/>
  <c r="L244" i="36"/>
  <c r="AF33" i="36"/>
  <c r="BB33" i="36" s="1"/>
  <c r="K216" i="36"/>
  <c r="N216" i="36" s="1"/>
  <c r="AL37" i="36"/>
  <c r="BA32" i="36"/>
  <c r="E309" i="36"/>
  <c r="D310" i="36"/>
  <c r="H36" i="36"/>
  <c r="AR35" i="36"/>
  <c r="AB35" i="36" s="1"/>
  <c r="AQ35" i="36"/>
  <c r="AT35" i="36" s="1"/>
  <c r="AW35" i="36" s="1"/>
  <c r="AF216" i="36"/>
  <c r="AI216" i="36" s="1"/>
  <c r="L37" i="36"/>
  <c r="K33" i="36"/>
  <c r="AD33" i="36" s="1"/>
  <c r="Q55" i="36"/>
  <c r="R55" i="36" s="1"/>
  <c r="Y55" i="36" s="1"/>
  <c r="O55" i="36"/>
  <c r="N32" i="36"/>
  <c r="AS58" i="36"/>
  <c r="AV58" i="36" s="1"/>
  <c r="AU58" i="36"/>
  <c r="J58" i="36"/>
  <c r="AZ58" i="36" s="1"/>
  <c r="AP58" i="36" s="1"/>
  <c r="AR218" i="36"/>
  <c r="AB218" i="36" s="1"/>
  <c r="H219" i="36"/>
  <c r="AQ218" i="36"/>
  <c r="AT218" i="36" s="1"/>
  <c r="AW218" i="36" s="1"/>
  <c r="L112" i="36"/>
  <c r="L220" i="36"/>
  <c r="K57" i="36"/>
  <c r="N57" i="36" s="1"/>
  <c r="P32" i="36"/>
  <c r="AU217" i="36"/>
  <c r="AS217" i="36"/>
  <c r="AV217" i="36" s="1"/>
  <c r="J217" i="36"/>
  <c r="AZ217" i="36" s="1"/>
  <c r="AP217" i="36" s="1"/>
  <c r="M38" i="35"/>
  <c r="N40" i="17"/>
  <c r="D41" i="17"/>
  <c r="AS35" i="50" l="1"/>
  <c r="AV35" i="50" s="1"/>
  <c r="AU35" i="50"/>
  <c r="AB35" i="50"/>
  <c r="J35" i="50"/>
  <c r="AZ35" i="50" s="1"/>
  <c r="AP35" i="50" s="1"/>
  <c r="M34" i="50"/>
  <c r="AS60" i="50"/>
  <c r="AV60" i="50" s="1"/>
  <c r="AB60" i="50"/>
  <c r="AU60" i="50"/>
  <c r="J60" i="50"/>
  <c r="AZ60" i="50" s="1"/>
  <c r="AP60" i="50" s="1"/>
  <c r="Q216" i="50"/>
  <c r="R216" i="50" s="1"/>
  <c r="O216" i="50"/>
  <c r="N218" i="50"/>
  <c r="P218" i="50"/>
  <c r="P58" i="50"/>
  <c r="M217" i="50"/>
  <c r="AF218" i="50"/>
  <c r="AD218" i="50"/>
  <c r="AD58" i="50"/>
  <c r="P34" i="50"/>
  <c r="N34" i="50"/>
  <c r="AS219" i="50"/>
  <c r="AV219" i="50" s="1"/>
  <c r="AB219" i="50"/>
  <c r="AU219" i="50"/>
  <c r="AQ36" i="50"/>
  <c r="AT36" i="50" s="1"/>
  <c r="AW36" i="50" s="1"/>
  <c r="H37" i="50"/>
  <c r="AR36" i="50"/>
  <c r="L112" i="50"/>
  <c r="BB33" i="50"/>
  <c r="BA33" i="50"/>
  <c r="AI33" i="50"/>
  <c r="L165" i="50"/>
  <c r="AF34" i="50"/>
  <c r="AD34" i="50"/>
  <c r="AR220" i="50"/>
  <c r="AQ220" i="50"/>
  <c r="AT220" i="50" s="1"/>
  <c r="AW220" i="50" s="1"/>
  <c r="H221" i="50"/>
  <c r="O33" i="50"/>
  <c r="Q33" i="50"/>
  <c r="R33" i="50" s="1"/>
  <c r="Y33" i="50" s="1"/>
  <c r="L249" i="50"/>
  <c r="AL38" i="50"/>
  <c r="M58" i="50"/>
  <c r="AM58" i="50" s="1"/>
  <c r="M218" i="50"/>
  <c r="L38" i="50"/>
  <c r="AI218" i="50"/>
  <c r="AI34" i="50"/>
  <c r="O217" i="50"/>
  <c r="Q217" i="50"/>
  <c r="R217" i="50" s="1"/>
  <c r="Y217" i="50" s="1"/>
  <c r="AR61" i="50"/>
  <c r="AQ61" i="50"/>
  <c r="AT61" i="50" s="1"/>
  <c r="AW61" i="50" s="1"/>
  <c r="H62" i="50"/>
  <c r="J219" i="50"/>
  <c r="AZ219" i="50" s="1"/>
  <c r="AP219" i="50" s="1"/>
  <c r="L220" i="50"/>
  <c r="AL86" i="50"/>
  <c r="E312" i="50"/>
  <c r="D313" i="50"/>
  <c r="K59" i="50"/>
  <c r="AI217" i="50"/>
  <c r="M37" i="48"/>
  <c r="K38" i="48"/>
  <c r="P33" i="48"/>
  <c r="N33" i="48"/>
  <c r="AU34" i="48"/>
  <c r="AA34" i="48"/>
  <c r="AS34" i="48"/>
  <c r="AV34" i="48" s="1"/>
  <c r="AH32" i="48"/>
  <c r="AQ35" i="48"/>
  <c r="AT35" i="48" s="1"/>
  <c r="AW35" i="48" s="1"/>
  <c r="AR35" i="48"/>
  <c r="AH33" i="48"/>
  <c r="Q32" i="48"/>
  <c r="R32" i="48" s="1"/>
  <c r="X32" i="48" s="1"/>
  <c r="O32" i="48"/>
  <c r="L38" i="48"/>
  <c r="AE33" i="48"/>
  <c r="AC33" i="48"/>
  <c r="Q216" i="40"/>
  <c r="R216" i="40" s="1"/>
  <c r="Y216" i="40" s="1"/>
  <c r="O216" i="40"/>
  <c r="N33" i="40"/>
  <c r="P33" i="40"/>
  <c r="AF218" i="40"/>
  <c r="AI218" i="40" s="1"/>
  <c r="AI217" i="40"/>
  <c r="AR35" i="40"/>
  <c r="AQ35" i="40"/>
  <c r="AT35" i="40" s="1"/>
  <c r="AW35" i="40" s="1"/>
  <c r="H36" i="40"/>
  <c r="AF33" i="40"/>
  <c r="AI33" i="40" s="1"/>
  <c r="AD33" i="40"/>
  <c r="L222" i="40"/>
  <c r="AS34" i="40"/>
  <c r="AV34" i="40" s="1"/>
  <c r="AU34" i="40"/>
  <c r="AB34" i="40"/>
  <c r="J34" i="40"/>
  <c r="AZ34" i="40" s="1"/>
  <c r="AP34" i="40" s="1"/>
  <c r="M32" i="40"/>
  <c r="AQ220" i="40"/>
  <c r="AT220" i="40" s="1"/>
  <c r="AW220" i="40" s="1"/>
  <c r="AR220" i="40"/>
  <c r="H221" i="40"/>
  <c r="AL37" i="40"/>
  <c r="D310" i="40"/>
  <c r="E309" i="40"/>
  <c r="L246" i="40"/>
  <c r="K218" i="40"/>
  <c r="AU219" i="40"/>
  <c r="AS219" i="40"/>
  <c r="AV219" i="40" s="1"/>
  <c r="AB219" i="40"/>
  <c r="J219" i="40"/>
  <c r="AZ219" i="40" s="1"/>
  <c r="AP219" i="40" s="1"/>
  <c r="O32" i="40"/>
  <c r="Q32" i="40"/>
  <c r="R32" i="40" s="1"/>
  <c r="Y32" i="40" s="1"/>
  <c r="M33" i="40"/>
  <c r="M217" i="40"/>
  <c r="L38" i="40"/>
  <c r="L103" i="40"/>
  <c r="P217" i="40"/>
  <c r="K217" i="39"/>
  <c r="M217" i="39" s="1"/>
  <c r="M32" i="39"/>
  <c r="N32" i="39"/>
  <c r="K33" i="39"/>
  <c r="M33" i="39" s="1"/>
  <c r="O57" i="39"/>
  <c r="Q57" i="39"/>
  <c r="R57" i="39" s="1"/>
  <c r="Y57" i="39" s="1"/>
  <c r="AS218" i="39"/>
  <c r="AV218" i="39" s="1"/>
  <c r="AB218" i="39"/>
  <c r="AU218" i="39"/>
  <c r="O216" i="39"/>
  <c r="Q216" i="39"/>
  <c r="R216" i="39" s="1"/>
  <c r="Y216" i="39" s="1"/>
  <c r="AS34" i="39"/>
  <c r="AV34" i="39" s="1"/>
  <c r="AU34" i="39"/>
  <c r="AB34" i="39"/>
  <c r="J34" i="39"/>
  <c r="AZ34" i="39" s="1"/>
  <c r="AP34" i="39" s="1"/>
  <c r="BB32" i="39"/>
  <c r="BA32" i="39"/>
  <c r="AR219" i="39"/>
  <c r="J219" i="39" s="1"/>
  <c r="AZ219" i="39" s="1"/>
  <c r="AP219" i="39" s="1"/>
  <c r="AQ219" i="39"/>
  <c r="AT219" i="39" s="1"/>
  <c r="AW219" i="39" s="1"/>
  <c r="H220" i="39"/>
  <c r="Q32" i="39"/>
  <c r="R32" i="39" s="1"/>
  <c r="Y32" i="39" s="1"/>
  <c r="O32" i="39"/>
  <c r="AQ60" i="39"/>
  <c r="AT60" i="39" s="1"/>
  <c r="AW60" i="39" s="1"/>
  <c r="AR60" i="39"/>
  <c r="H61" i="39"/>
  <c r="K58" i="39"/>
  <c r="AD58" i="39" s="1"/>
  <c r="P58" i="39"/>
  <c r="M216" i="39"/>
  <c r="AL37" i="39"/>
  <c r="L135" i="39"/>
  <c r="L245" i="39"/>
  <c r="N33" i="39"/>
  <c r="P33" i="39"/>
  <c r="AU59" i="39"/>
  <c r="AS59" i="39"/>
  <c r="AV59" i="39" s="1"/>
  <c r="AB59" i="39"/>
  <c r="J59" i="39"/>
  <c r="AZ59" i="39" s="1"/>
  <c r="AP59" i="39" s="1"/>
  <c r="AQ35" i="39"/>
  <c r="AT35" i="39" s="1"/>
  <c r="AW35" i="39" s="1"/>
  <c r="AR35" i="39"/>
  <c r="H36" i="39"/>
  <c r="L220" i="39"/>
  <c r="AF217" i="39"/>
  <c r="AD217" i="39"/>
  <c r="L37" i="39"/>
  <c r="AD216" i="39"/>
  <c r="Q215" i="39"/>
  <c r="R215" i="39" s="1"/>
  <c r="Y215" i="39" s="1"/>
  <c r="O215" i="39"/>
  <c r="AI217" i="39"/>
  <c r="N216" i="39"/>
  <c r="AL89" i="39"/>
  <c r="J218" i="39"/>
  <c r="AZ218" i="39" s="1"/>
  <c r="AP218" i="39" s="1"/>
  <c r="P217" i="39"/>
  <c r="N217" i="39"/>
  <c r="L161" i="39"/>
  <c r="AI216" i="39"/>
  <c r="L65" i="39"/>
  <c r="AF33" i="39"/>
  <c r="AI33" i="39" s="1"/>
  <c r="AD33" i="39"/>
  <c r="D313" i="39"/>
  <c r="E312" i="39"/>
  <c r="P33" i="36"/>
  <c r="O33" i="36" s="1"/>
  <c r="K217" i="36"/>
  <c r="P217" i="36" s="1"/>
  <c r="N33" i="36"/>
  <c r="K34" i="36"/>
  <c r="N34" i="36" s="1"/>
  <c r="AD57" i="36"/>
  <c r="AD216" i="36"/>
  <c r="AI33" i="36"/>
  <c r="P216" i="36"/>
  <c r="Q216" i="36" s="1"/>
  <c r="R216" i="36" s="1"/>
  <c r="Y216" i="36" s="1"/>
  <c r="P57" i="36"/>
  <c r="O57" i="36" s="1"/>
  <c r="AR36" i="36"/>
  <c r="AB36" i="36" s="1"/>
  <c r="H37" i="36"/>
  <c r="AQ36" i="36"/>
  <c r="AT36" i="36" s="1"/>
  <c r="AW36" i="36" s="1"/>
  <c r="AR60" i="36"/>
  <c r="AB60" i="36" s="1"/>
  <c r="AQ60" i="36"/>
  <c r="AT60" i="36" s="1"/>
  <c r="AW60" i="36" s="1"/>
  <c r="H61" i="36"/>
  <c r="M33" i="36"/>
  <c r="AS59" i="36"/>
  <c r="AV59" i="36" s="1"/>
  <c r="AU59" i="36"/>
  <c r="J59" i="36"/>
  <c r="AZ59" i="36" s="1"/>
  <c r="AP59" i="36" s="1"/>
  <c r="K58" i="36"/>
  <c r="AD58" i="36" s="1"/>
  <c r="Q32" i="36"/>
  <c r="R32" i="36" s="1"/>
  <c r="Y32" i="36" s="1"/>
  <c r="O32" i="36"/>
  <c r="L113" i="36"/>
  <c r="H220" i="36"/>
  <c r="AR219" i="36"/>
  <c r="AB219" i="36" s="1"/>
  <c r="AQ219" i="36"/>
  <c r="AT219" i="36" s="1"/>
  <c r="AW219" i="36" s="1"/>
  <c r="AL38" i="36"/>
  <c r="L62" i="36"/>
  <c r="L162" i="36"/>
  <c r="L221" i="36"/>
  <c r="E310" i="36"/>
  <c r="D311" i="36"/>
  <c r="AF34" i="36"/>
  <c r="BB34" i="36" s="1"/>
  <c r="AF217" i="36"/>
  <c r="BA33" i="36"/>
  <c r="M57" i="36"/>
  <c r="AM57" i="36" s="1"/>
  <c r="AU218" i="36"/>
  <c r="AS218" i="36"/>
  <c r="AV218" i="36" s="1"/>
  <c r="J218" i="36"/>
  <c r="AZ218" i="36" s="1"/>
  <c r="AP218" i="36" s="1"/>
  <c r="L38" i="36"/>
  <c r="AU35" i="36"/>
  <c r="AS35" i="36"/>
  <c r="AV35" i="36" s="1"/>
  <c r="J35" i="36"/>
  <c r="AZ35" i="36" s="1"/>
  <c r="AP35" i="36" s="1"/>
  <c r="M216" i="36"/>
  <c r="L245" i="36"/>
  <c r="AL89" i="36"/>
  <c r="M39" i="35"/>
  <c r="N41" i="17"/>
  <c r="D42" i="17"/>
  <c r="L39" i="50" l="1"/>
  <c r="AQ221" i="50"/>
  <c r="AT221" i="50" s="1"/>
  <c r="AW221" i="50" s="1"/>
  <c r="H222" i="50"/>
  <c r="AR221" i="50"/>
  <c r="M59" i="50"/>
  <c r="AM59" i="50" s="1"/>
  <c r="AF35" i="50"/>
  <c r="AI35" i="50" s="1"/>
  <c r="E313" i="50"/>
  <c r="D314" i="50"/>
  <c r="L250" i="50"/>
  <c r="H63" i="50"/>
  <c r="AR62" i="50"/>
  <c r="AQ62" i="50"/>
  <c r="AT62" i="50" s="1"/>
  <c r="AW62" i="50" s="1"/>
  <c r="K219" i="50"/>
  <c r="Q218" i="50"/>
  <c r="R218" i="50" s="1"/>
  <c r="Y218" i="50" s="1"/>
  <c r="O218" i="50"/>
  <c r="K60" i="50"/>
  <c r="N60" i="50" s="1"/>
  <c r="AL87" i="50"/>
  <c r="P59" i="50"/>
  <c r="L166" i="50"/>
  <c r="L113" i="50"/>
  <c r="AF219" i="50"/>
  <c r="AD219" i="50"/>
  <c r="AD60" i="50"/>
  <c r="AQ37" i="50"/>
  <c r="AT37" i="50" s="1"/>
  <c r="AW37" i="50" s="1"/>
  <c r="AR37" i="50"/>
  <c r="H38" i="50"/>
  <c r="Y216" i="50"/>
  <c r="J220" i="50"/>
  <c r="AZ220" i="50" s="1"/>
  <c r="AP220" i="50" s="1"/>
  <c r="L221" i="50"/>
  <c r="BB34" i="50"/>
  <c r="BA34" i="50"/>
  <c r="Q34" i="50"/>
  <c r="R34" i="50" s="1"/>
  <c r="Y34" i="50" s="1"/>
  <c r="O34" i="50"/>
  <c r="AI219" i="50"/>
  <c r="AS220" i="50"/>
  <c r="AV220" i="50" s="1"/>
  <c r="AU220" i="50"/>
  <c r="AB220" i="50"/>
  <c r="Q58" i="50"/>
  <c r="R58" i="50" s="1"/>
  <c r="O58" i="50"/>
  <c r="AD59" i="50"/>
  <c r="K35" i="50"/>
  <c r="AD35" i="50" s="1"/>
  <c r="AS61" i="50"/>
  <c r="AV61" i="50" s="1"/>
  <c r="AB61" i="50"/>
  <c r="AU61" i="50"/>
  <c r="J61" i="50"/>
  <c r="AZ61" i="50" s="1"/>
  <c r="AP61" i="50" s="1"/>
  <c r="AL39" i="50"/>
  <c r="N59" i="50"/>
  <c r="AS36" i="50"/>
  <c r="AV36" i="50" s="1"/>
  <c r="AB36" i="50"/>
  <c r="AU36" i="50"/>
  <c r="J36" i="50"/>
  <c r="AZ36" i="50" s="1"/>
  <c r="AP36" i="50" s="1"/>
  <c r="K39" i="48"/>
  <c r="M38" i="48"/>
  <c r="N34" i="48"/>
  <c r="P34" i="48"/>
  <c r="L39" i="48"/>
  <c r="AR36" i="48"/>
  <c r="AQ36" i="48"/>
  <c r="AT36" i="48" s="1"/>
  <c r="AW36" i="48" s="1"/>
  <c r="AC34" i="48"/>
  <c r="AE34" i="48"/>
  <c r="AU35" i="48"/>
  <c r="AA35" i="48"/>
  <c r="AS35" i="48"/>
  <c r="AV35" i="48" s="1"/>
  <c r="Q33" i="48"/>
  <c r="R33" i="48" s="1"/>
  <c r="X33" i="48" s="1"/>
  <c r="O33" i="48"/>
  <c r="M218" i="40"/>
  <c r="N218" i="40"/>
  <c r="AS35" i="40"/>
  <c r="AV35" i="40" s="1"/>
  <c r="AU35" i="40"/>
  <c r="AB35" i="40"/>
  <c r="J35" i="40"/>
  <c r="AZ35" i="40" s="1"/>
  <c r="AP35" i="40" s="1"/>
  <c r="AI219" i="40"/>
  <c r="L104" i="40"/>
  <c r="AF219" i="40"/>
  <c r="L247" i="40"/>
  <c r="AL38" i="40"/>
  <c r="L223" i="40"/>
  <c r="AD218" i="40"/>
  <c r="Q217" i="40"/>
  <c r="R217" i="40" s="1"/>
  <c r="O217" i="40"/>
  <c r="P219" i="40"/>
  <c r="AF34" i="40"/>
  <c r="L39" i="40"/>
  <c r="D311" i="40"/>
  <c r="E310" i="40"/>
  <c r="AU220" i="40"/>
  <c r="AS220" i="40"/>
  <c r="AV220" i="40" s="1"/>
  <c r="AB220" i="40"/>
  <c r="J220" i="40"/>
  <c r="AZ220" i="40" s="1"/>
  <c r="AP220" i="40" s="1"/>
  <c r="K34" i="40"/>
  <c r="AD34" i="40" s="1"/>
  <c r="AQ36" i="40"/>
  <c r="AT36" i="40" s="1"/>
  <c r="AW36" i="40" s="1"/>
  <c r="H37" i="40"/>
  <c r="AR36" i="40"/>
  <c r="O33" i="40"/>
  <c r="Q33" i="40"/>
  <c r="R33" i="40" s="1"/>
  <c r="Y33" i="40" s="1"/>
  <c r="AQ221" i="40"/>
  <c r="AT221" i="40" s="1"/>
  <c r="AW221" i="40" s="1"/>
  <c r="AR221" i="40"/>
  <c r="H222" i="40"/>
  <c r="K219" i="40"/>
  <c r="P218" i="40"/>
  <c r="N58" i="39"/>
  <c r="Q58" i="39"/>
  <c r="R58" i="39" s="1"/>
  <c r="Y58" i="39" s="1"/>
  <c r="O58" i="39"/>
  <c r="H37" i="39"/>
  <c r="AQ36" i="39"/>
  <c r="AT36" i="39" s="1"/>
  <c r="AW36" i="39" s="1"/>
  <c r="AR36" i="39"/>
  <c r="AF34" i="39"/>
  <c r="AI34" i="39" s="1"/>
  <c r="D314" i="39"/>
  <c r="E313" i="39"/>
  <c r="Q217" i="39"/>
  <c r="R217" i="39" s="1"/>
  <c r="Y217" i="39" s="1"/>
  <c r="O217" i="39"/>
  <c r="BB33" i="39"/>
  <c r="BA33" i="39"/>
  <c r="L162" i="39"/>
  <c r="AS35" i="39"/>
  <c r="AV35" i="39" s="1"/>
  <c r="AU35" i="39"/>
  <c r="AB35" i="39"/>
  <c r="J35" i="39"/>
  <c r="AZ35" i="39" s="1"/>
  <c r="AP35" i="39" s="1"/>
  <c r="L246" i="39"/>
  <c r="M58" i="39"/>
  <c r="AM58" i="39" s="1"/>
  <c r="AS219" i="39"/>
  <c r="AV219" i="39" s="1"/>
  <c r="AB219" i="39"/>
  <c r="AU219" i="39"/>
  <c r="Q33" i="39"/>
  <c r="R33" i="39" s="1"/>
  <c r="Y33" i="39" s="1"/>
  <c r="O33" i="39"/>
  <c r="AF218" i="39"/>
  <c r="AL38" i="39"/>
  <c r="H221" i="39"/>
  <c r="AR220" i="39"/>
  <c r="AQ220" i="39"/>
  <c r="AT220" i="39" s="1"/>
  <c r="AW220" i="39" s="1"/>
  <c r="K59" i="39"/>
  <c r="N59" i="39" s="1"/>
  <c r="L136" i="39"/>
  <c r="H62" i="39"/>
  <c r="AR61" i="39"/>
  <c r="AQ61" i="39"/>
  <c r="AT61" i="39" s="1"/>
  <c r="AW61" i="39" s="1"/>
  <c r="K34" i="39"/>
  <c r="N34" i="39" s="1"/>
  <c r="K218" i="39"/>
  <c r="N218" i="39" s="1"/>
  <c r="L38" i="39"/>
  <c r="L66" i="39"/>
  <c r="AL90" i="39"/>
  <c r="L221" i="39"/>
  <c r="AS60" i="39"/>
  <c r="AV60" i="39" s="1"/>
  <c r="AB60" i="39"/>
  <c r="AU60" i="39"/>
  <c r="J60" i="39"/>
  <c r="AZ60" i="39" s="1"/>
  <c r="AP60" i="39" s="1"/>
  <c r="Q33" i="36"/>
  <c r="R33" i="36" s="1"/>
  <c r="Y33" i="36" s="1"/>
  <c r="AD34" i="36"/>
  <c r="P34" i="36"/>
  <c r="Q34" i="36" s="1"/>
  <c r="R34" i="36" s="1"/>
  <c r="Y34" i="36" s="1"/>
  <c r="M34" i="36"/>
  <c r="AD217" i="36"/>
  <c r="O216" i="36"/>
  <c r="N217" i="36"/>
  <c r="M217" i="36"/>
  <c r="Q57" i="36"/>
  <c r="R57" i="36" s="1"/>
  <c r="Y57" i="36" s="1"/>
  <c r="AI34" i="36"/>
  <c r="P58" i="36"/>
  <c r="Q58" i="36" s="1"/>
  <c r="R58" i="36" s="1"/>
  <c r="Y58" i="36" s="1"/>
  <c r="K59" i="36"/>
  <c r="M59" i="36" s="1"/>
  <c r="AM59" i="36" s="1"/>
  <c r="N58" i="36"/>
  <c r="AL39" i="36"/>
  <c r="AR61" i="36"/>
  <c r="AB61" i="36" s="1"/>
  <c r="AQ61" i="36"/>
  <c r="AT61" i="36" s="1"/>
  <c r="AW61" i="36" s="1"/>
  <c r="H62" i="36"/>
  <c r="AS60" i="36"/>
  <c r="AV60" i="36" s="1"/>
  <c r="AU60" i="36"/>
  <c r="J60" i="36"/>
  <c r="AZ60" i="36" s="1"/>
  <c r="AP60" i="36" s="1"/>
  <c r="L163" i="36"/>
  <c r="AS36" i="36"/>
  <c r="AV36" i="36" s="1"/>
  <c r="AU36" i="36"/>
  <c r="J36" i="36"/>
  <c r="AZ36" i="36" s="1"/>
  <c r="AP36" i="36" s="1"/>
  <c r="L246" i="36"/>
  <c r="AF35" i="36"/>
  <c r="BB35" i="36" s="1"/>
  <c r="AL90" i="36"/>
  <c r="E311" i="36"/>
  <c r="D312" i="36"/>
  <c r="AR220" i="36"/>
  <c r="AB220" i="36" s="1"/>
  <c r="H221" i="36"/>
  <c r="AQ220" i="36"/>
  <c r="AT220" i="36" s="1"/>
  <c r="AW220" i="36" s="1"/>
  <c r="AR37" i="36"/>
  <c r="AB37" i="36" s="1"/>
  <c r="AQ37" i="36"/>
  <c r="AT37" i="36" s="1"/>
  <c r="AW37" i="36" s="1"/>
  <c r="H38" i="36"/>
  <c r="L114" i="36"/>
  <c r="AI217" i="36"/>
  <c r="L63" i="36"/>
  <c r="K35" i="36"/>
  <c r="AF218" i="36"/>
  <c r="L39" i="36"/>
  <c r="K218" i="36"/>
  <c r="P218" i="36" s="1"/>
  <c r="BA34" i="36"/>
  <c r="L222" i="36"/>
  <c r="AU219" i="36"/>
  <c r="AS219" i="36"/>
  <c r="AV219" i="36" s="1"/>
  <c r="J219" i="36"/>
  <c r="AZ219" i="36" s="1"/>
  <c r="AP219" i="36" s="1"/>
  <c r="M58" i="36"/>
  <c r="AM58" i="36" s="1"/>
  <c r="O217" i="36"/>
  <c r="Q217" i="36"/>
  <c r="R217" i="36" s="1"/>
  <c r="Y217" i="36" s="1"/>
  <c r="N42" i="17"/>
  <c r="D43" i="17"/>
  <c r="P60" i="50" l="1"/>
  <c r="N35" i="50"/>
  <c r="AQ38" i="50"/>
  <c r="AT38" i="50" s="1"/>
  <c r="AW38" i="50" s="1"/>
  <c r="AR38" i="50"/>
  <c r="H39" i="50"/>
  <c r="Q59" i="50"/>
  <c r="R59" i="50" s="1"/>
  <c r="Y59" i="50" s="1"/>
  <c r="O59" i="50"/>
  <c r="K36" i="50"/>
  <c r="P36" i="50" s="1"/>
  <c r="AL40" i="50"/>
  <c r="J221" i="50"/>
  <c r="AZ221" i="50" s="1"/>
  <c r="AP221" i="50" s="1"/>
  <c r="L222" i="50"/>
  <c r="AI220" i="50"/>
  <c r="AL88" i="50"/>
  <c r="D315" i="50"/>
  <c r="E314" i="50"/>
  <c r="O60" i="50"/>
  <c r="Q60" i="50"/>
  <c r="R60" i="50" s="1"/>
  <c r="Y60" i="50" s="1"/>
  <c r="AF36" i="50"/>
  <c r="L114" i="50"/>
  <c r="M60" i="50"/>
  <c r="AM60" i="50" s="1"/>
  <c r="AQ63" i="50"/>
  <c r="AT63" i="50" s="1"/>
  <c r="AW63" i="50" s="1"/>
  <c r="AR63" i="50"/>
  <c r="H64" i="50"/>
  <c r="AI36" i="50"/>
  <c r="M219" i="50"/>
  <c r="AS221" i="50"/>
  <c r="AV221" i="50" s="1"/>
  <c r="AB221" i="50"/>
  <c r="AU221" i="50"/>
  <c r="H223" i="50"/>
  <c r="AQ222" i="50"/>
  <c r="AT222" i="50" s="1"/>
  <c r="AW222" i="50" s="1"/>
  <c r="AR222" i="50"/>
  <c r="N219" i="50"/>
  <c r="K61" i="50"/>
  <c r="K220" i="50"/>
  <c r="N220" i="50" s="1"/>
  <c r="L167" i="50"/>
  <c r="Y58" i="50"/>
  <c r="L251" i="50"/>
  <c r="AF220" i="50"/>
  <c r="AB37" i="50"/>
  <c r="AU37" i="50"/>
  <c r="AS37" i="50"/>
  <c r="AV37" i="50" s="1"/>
  <c r="J37" i="50"/>
  <c r="AZ37" i="50" s="1"/>
  <c r="AP37" i="50" s="1"/>
  <c r="M35" i="50"/>
  <c r="AB62" i="50"/>
  <c r="AU62" i="50"/>
  <c r="AS62" i="50"/>
  <c r="AV62" i="50" s="1"/>
  <c r="J62" i="50"/>
  <c r="AZ62" i="50" s="1"/>
  <c r="AP62" i="50" s="1"/>
  <c r="P219" i="50"/>
  <c r="P35" i="50"/>
  <c r="BB35" i="50"/>
  <c r="BA35" i="50"/>
  <c r="L40" i="50"/>
  <c r="K40" i="48"/>
  <c r="M39" i="48"/>
  <c r="L40" i="48"/>
  <c r="P35" i="48"/>
  <c r="N35" i="48"/>
  <c r="AC35" i="48"/>
  <c r="AE35" i="48"/>
  <c r="AH34" i="48"/>
  <c r="O34" i="48"/>
  <c r="Q34" i="48"/>
  <c r="R34" i="48" s="1"/>
  <c r="X34" i="48" s="1"/>
  <c r="AQ37" i="48"/>
  <c r="AT37" i="48" s="1"/>
  <c r="AW37" i="48" s="1"/>
  <c r="AR37" i="48"/>
  <c r="AS36" i="48"/>
  <c r="AV36" i="48" s="1"/>
  <c r="AA36" i="48"/>
  <c r="AU36" i="48"/>
  <c r="AH35" i="48"/>
  <c r="P34" i="40"/>
  <c r="O34" i="40" s="1"/>
  <c r="Q218" i="40"/>
  <c r="R218" i="40" s="1"/>
  <c r="Y218" i="40" s="1"/>
  <c r="O218" i="40"/>
  <c r="M219" i="40"/>
  <c r="L40" i="40"/>
  <c r="N34" i="40"/>
  <c r="AS36" i="40"/>
  <c r="AV36" i="40" s="1"/>
  <c r="AB36" i="40"/>
  <c r="AU36" i="40"/>
  <c r="J36" i="40"/>
  <c r="AZ36" i="40" s="1"/>
  <c r="AP36" i="40" s="1"/>
  <c r="L248" i="40"/>
  <c r="AF35" i="40"/>
  <c r="AI35" i="40" s="1"/>
  <c r="D312" i="40"/>
  <c r="E311" i="40"/>
  <c r="Q219" i="40"/>
  <c r="R219" i="40" s="1"/>
  <c r="Y219" i="40" s="1"/>
  <c r="O219" i="40"/>
  <c r="Q34" i="40"/>
  <c r="R34" i="40" s="1"/>
  <c r="Y34" i="40" s="1"/>
  <c r="AF220" i="40"/>
  <c r="AD220" i="40"/>
  <c r="N219" i="40"/>
  <c r="AL39" i="40"/>
  <c r="L105" i="40"/>
  <c r="K35" i="40"/>
  <c r="P35" i="40" s="1"/>
  <c r="AQ222" i="40"/>
  <c r="AT222" i="40" s="1"/>
  <c r="AW222" i="40" s="1"/>
  <c r="H223" i="40"/>
  <c r="AR222" i="40"/>
  <c r="H38" i="40"/>
  <c r="AR37" i="40"/>
  <c r="AQ37" i="40"/>
  <c r="AT37" i="40" s="1"/>
  <c r="AW37" i="40" s="1"/>
  <c r="AU221" i="40"/>
  <c r="AS221" i="40"/>
  <c r="AV221" i="40" s="1"/>
  <c r="AB221" i="40"/>
  <c r="J221" i="40"/>
  <c r="AZ221" i="40" s="1"/>
  <c r="AP221" i="40" s="1"/>
  <c r="K220" i="40"/>
  <c r="N220" i="40" s="1"/>
  <c r="L224" i="40"/>
  <c r="AD219" i="40"/>
  <c r="M34" i="40"/>
  <c r="Y217" i="40"/>
  <c r="AI34" i="40"/>
  <c r="AD34" i="39"/>
  <c r="P34" i="39"/>
  <c r="L67" i="39"/>
  <c r="AB61" i="39"/>
  <c r="AS61" i="39"/>
  <c r="AV61" i="39" s="1"/>
  <c r="AU61" i="39"/>
  <c r="J61" i="39"/>
  <c r="AZ61" i="39" s="1"/>
  <c r="AP61" i="39" s="1"/>
  <c r="AU220" i="39"/>
  <c r="AB220" i="39"/>
  <c r="AS220" i="39"/>
  <c r="AV220" i="39" s="1"/>
  <c r="K219" i="39"/>
  <c r="AD219" i="39" s="1"/>
  <c r="AF35" i="39"/>
  <c r="AI35" i="39" s="1"/>
  <c r="H38" i="39"/>
  <c r="AR37" i="39"/>
  <c r="AQ37" i="39"/>
  <c r="AT37" i="39" s="1"/>
  <c r="AW37" i="39" s="1"/>
  <c r="K60" i="39"/>
  <c r="J220" i="39"/>
  <c r="AZ220" i="39" s="1"/>
  <c r="AP220" i="39" s="1"/>
  <c r="L39" i="39"/>
  <c r="H63" i="39"/>
  <c r="AR62" i="39"/>
  <c r="AQ62" i="39"/>
  <c r="AT62" i="39" s="1"/>
  <c r="AW62" i="39" s="1"/>
  <c r="AR221" i="39"/>
  <c r="H222" i="39"/>
  <c r="AQ221" i="39"/>
  <c r="AT221" i="39" s="1"/>
  <c r="AW221" i="39" s="1"/>
  <c r="P59" i="39"/>
  <c r="AL91" i="39"/>
  <c r="AL39" i="39"/>
  <c r="D315" i="39"/>
  <c r="E314" i="39"/>
  <c r="L163" i="39"/>
  <c r="Q34" i="39"/>
  <c r="R34" i="39" s="1"/>
  <c r="Y34" i="39" s="1"/>
  <c r="O34" i="39"/>
  <c r="AD60" i="39"/>
  <c r="M218" i="39"/>
  <c r="P218" i="39"/>
  <c r="L247" i="39"/>
  <c r="K35" i="39"/>
  <c r="N35" i="39" s="1"/>
  <c r="AS36" i="39"/>
  <c r="AV36" i="39" s="1"/>
  <c r="AU36" i="39"/>
  <c r="AB36" i="39"/>
  <c r="J36" i="39"/>
  <c r="AZ36" i="39" s="1"/>
  <c r="AP36" i="39" s="1"/>
  <c r="M59" i="39"/>
  <c r="AM59" i="39" s="1"/>
  <c r="AD59" i="39"/>
  <c r="L222" i="39"/>
  <c r="J221" i="39"/>
  <c r="AZ221" i="39" s="1"/>
  <c r="AP221" i="39" s="1"/>
  <c r="P60" i="39"/>
  <c r="N60" i="39"/>
  <c r="M34" i="39"/>
  <c r="L137" i="39"/>
  <c r="AD218" i="39"/>
  <c r="AF219" i="39"/>
  <c r="AI218" i="39"/>
  <c r="BB34" i="39"/>
  <c r="BA34" i="39"/>
  <c r="O34" i="36"/>
  <c r="AD59" i="36"/>
  <c r="N59" i="36"/>
  <c r="O58" i="36"/>
  <c r="P59" i="36"/>
  <c r="Q59" i="36" s="1"/>
  <c r="R59" i="36" s="1"/>
  <c r="Y59" i="36" s="1"/>
  <c r="AI35" i="36"/>
  <c r="K219" i="36"/>
  <c r="M219" i="36" s="1"/>
  <c r="AD218" i="36"/>
  <c r="K60" i="36"/>
  <c r="AD60" i="36" s="1"/>
  <c r="O218" i="36"/>
  <c r="Q218" i="36"/>
  <c r="R218" i="36" s="1"/>
  <c r="Y218" i="36" s="1"/>
  <c r="M35" i="36"/>
  <c r="N218" i="36"/>
  <c r="AL91" i="36"/>
  <c r="L40" i="36"/>
  <c r="H222" i="36"/>
  <c r="AR221" i="36"/>
  <c r="AB221" i="36" s="1"/>
  <c r="AQ221" i="36"/>
  <c r="AT221" i="36" s="1"/>
  <c r="AW221" i="36" s="1"/>
  <c r="AD35" i="36"/>
  <c r="N35" i="36"/>
  <c r="AU37" i="36"/>
  <c r="AS37" i="36"/>
  <c r="AV37" i="36" s="1"/>
  <c r="J37" i="36"/>
  <c r="AZ37" i="36" s="1"/>
  <c r="AP37" i="36" s="1"/>
  <c r="L247" i="36"/>
  <c r="AS61" i="36"/>
  <c r="AV61" i="36" s="1"/>
  <c r="AU61" i="36"/>
  <c r="J61" i="36"/>
  <c r="AZ61" i="36" s="1"/>
  <c r="AP61" i="36" s="1"/>
  <c r="AF219" i="36"/>
  <c r="AI219" i="36" s="1"/>
  <c r="M218" i="36"/>
  <c r="H39" i="36"/>
  <c r="AR38" i="36"/>
  <c r="AB38" i="36" s="1"/>
  <c r="AQ38" i="36"/>
  <c r="AT38" i="36" s="1"/>
  <c r="AW38" i="36" s="1"/>
  <c r="AU220" i="36"/>
  <c r="AS220" i="36"/>
  <c r="AV220" i="36" s="1"/>
  <c r="J220" i="36"/>
  <c r="AZ220" i="36" s="1"/>
  <c r="AP220" i="36" s="1"/>
  <c r="AF36" i="36"/>
  <c r="BB36" i="36" s="1"/>
  <c r="AR62" i="36"/>
  <c r="AB62" i="36" s="1"/>
  <c r="AQ62" i="36"/>
  <c r="AT62" i="36" s="1"/>
  <c r="AW62" i="36" s="1"/>
  <c r="H63" i="36"/>
  <c r="P35" i="36"/>
  <c r="L64" i="36"/>
  <c r="AI218" i="36"/>
  <c r="L164" i="36"/>
  <c r="AL40" i="36"/>
  <c r="L223" i="36"/>
  <c r="L115" i="36"/>
  <c r="E312" i="36"/>
  <c r="D313" i="36"/>
  <c r="BA35" i="36"/>
  <c r="K36" i="36"/>
  <c r="AD36" i="36" s="1"/>
  <c r="N43" i="17"/>
  <c r="D44" i="17"/>
  <c r="AD36" i="50" l="1"/>
  <c r="K62" i="50"/>
  <c r="P62" i="50" s="1"/>
  <c r="K37" i="50"/>
  <c r="Q36" i="50"/>
  <c r="R36" i="50" s="1"/>
  <c r="Y36" i="50" s="1"/>
  <c r="O36" i="50"/>
  <c r="L41" i="50"/>
  <c r="AD221" i="50"/>
  <c r="AF221" i="50"/>
  <c r="H65" i="50"/>
  <c r="AR64" i="50"/>
  <c r="AQ64" i="50"/>
  <c r="AT64" i="50" s="1"/>
  <c r="AW64" i="50" s="1"/>
  <c r="BB36" i="50"/>
  <c r="BA36" i="50"/>
  <c r="AU63" i="50"/>
  <c r="AS63" i="50"/>
  <c r="AV63" i="50" s="1"/>
  <c r="AB63" i="50"/>
  <c r="J63" i="50"/>
  <c r="AZ63" i="50" s="1"/>
  <c r="AP63" i="50" s="1"/>
  <c r="AL89" i="50"/>
  <c r="N62" i="50"/>
  <c r="M61" i="50"/>
  <c r="AM61" i="50" s="1"/>
  <c r="P61" i="50"/>
  <c r="L223" i="50"/>
  <c r="J222" i="50"/>
  <c r="AZ222" i="50" s="1"/>
  <c r="AP222" i="50" s="1"/>
  <c r="Q35" i="50"/>
  <c r="R35" i="50" s="1"/>
  <c r="O35" i="50"/>
  <c r="L115" i="50"/>
  <c r="D316" i="50"/>
  <c r="E315" i="50"/>
  <c r="AS38" i="50"/>
  <c r="AV38" i="50" s="1"/>
  <c r="AU38" i="50"/>
  <c r="AB38" i="50"/>
  <c r="J38" i="50"/>
  <c r="AZ38" i="50" s="1"/>
  <c r="AP38" i="50" s="1"/>
  <c r="Q219" i="50"/>
  <c r="R219" i="50" s="1"/>
  <c r="Y219" i="50" s="1"/>
  <c r="O219" i="50"/>
  <c r="AF37" i="50"/>
  <c r="AD37" i="50"/>
  <c r="AU222" i="50"/>
  <c r="AB222" i="50"/>
  <c r="AS222" i="50"/>
  <c r="AV222" i="50" s="1"/>
  <c r="K222" i="50"/>
  <c r="AL41" i="50"/>
  <c r="M37" i="50"/>
  <c r="L252" i="50"/>
  <c r="M220" i="50"/>
  <c r="P221" i="50"/>
  <c r="N221" i="50"/>
  <c r="P220" i="50"/>
  <c r="M36" i="50"/>
  <c r="AD220" i="50"/>
  <c r="AQ223" i="50"/>
  <c r="AT223" i="50" s="1"/>
  <c r="AW223" i="50" s="1"/>
  <c r="AR223" i="50"/>
  <c r="H224" i="50"/>
  <c r="AD62" i="50"/>
  <c r="N37" i="50"/>
  <c r="P37" i="50"/>
  <c r="L168" i="50"/>
  <c r="N36" i="50"/>
  <c r="K221" i="50"/>
  <c r="N61" i="50"/>
  <c r="AD61" i="50"/>
  <c r="AI221" i="50"/>
  <c r="AR39" i="50"/>
  <c r="AQ39" i="50"/>
  <c r="AT39" i="50" s="1"/>
  <c r="AW39" i="50" s="1"/>
  <c r="H40" i="50"/>
  <c r="M40" i="48"/>
  <c r="K41" i="48"/>
  <c r="Q35" i="48"/>
  <c r="R35" i="48" s="1"/>
  <c r="X35" i="48" s="1"/>
  <c r="O35" i="48"/>
  <c r="AU37" i="48"/>
  <c r="AA37" i="48"/>
  <c r="AS37" i="48"/>
  <c r="AV37" i="48" s="1"/>
  <c r="L41" i="48"/>
  <c r="N36" i="48"/>
  <c r="P36" i="48"/>
  <c r="AQ38" i="48"/>
  <c r="AT38" i="48" s="1"/>
  <c r="AW38" i="48" s="1"/>
  <c r="AR38" i="48"/>
  <c r="AC36" i="48"/>
  <c r="AE36" i="48"/>
  <c r="AH36" i="48"/>
  <c r="K36" i="40"/>
  <c r="AD36" i="40" s="1"/>
  <c r="Q35" i="40"/>
  <c r="R35" i="40" s="1"/>
  <c r="Y35" i="40" s="1"/>
  <c r="O35" i="40"/>
  <c r="AS37" i="40"/>
  <c r="AV37" i="40" s="1"/>
  <c r="AU37" i="40"/>
  <c r="AB37" i="40"/>
  <c r="J37" i="40"/>
  <c r="AZ37" i="40" s="1"/>
  <c r="AP37" i="40" s="1"/>
  <c r="D313" i="40"/>
  <c r="E312" i="40"/>
  <c r="L249" i="40"/>
  <c r="H39" i="40"/>
  <c r="AR38" i="40"/>
  <c r="AQ38" i="40"/>
  <c r="AT38" i="40" s="1"/>
  <c r="AW38" i="40" s="1"/>
  <c r="L106" i="40"/>
  <c r="AI220" i="40"/>
  <c r="P220" i="40"/>
  <c r="P36" i="40"/>
  <c r="N36" i="40"/>
  <c r="L225" i="40"/>
  <c r="AU222" i="40"/>
  <c r="AS222" i="40"/>
  <c r="AV222" i="40" s="1"/>
  <c r="AB222" i="40"/>
  <c r="J222" i="40"/>
  <c r="AZ222" i="40" s="1"/>
  <c r="AP222" i="40" s="1"/>
  <c r="AD35" i="40"/>
  <c r="AF36" i="40"/>
  <c r="K221" i="40"/>
  <c r="AD221" i="40" s="1"/>
  <c r="AQ223" i="40"/>
  <c r="AT223" i="40" s="1"/>
  <c r="AW223" i="40" s="1"/>
  <c r="H224" i="40"/>
  <c r="AR223" i="40"/>
  <c r="AL40" i="40"/>
  <c r="M35" i="40"/>
  <c r="AF221" i="40"/>
  <c r="N35" i="40"/>
  <c r="M220" i="40"/>
  <c r="L41" i="40"/>
  <c r="P219" i="39"/>
  <c r="Q219" i="39"/>
  <c r="R219" i="39" s="1"/>
  <c r="Y219" i="39" s="1"/>
  <c r="O219" i="39"/>
  <c r="Q59" i="39"/>
  <c r="R59" i="39" s="1"/>
  <c r="O59" i="39"/>
  <c r="L138" i="39"/>
  <c r="AL40" i="39"/>
  <c r="L40" i="39"/>
  <c r="H39" i="39"/>
  <c r="AQ38" i="39"/>
  <c r="AT38" i="39" s="1"/>
  <c r="AW38" i="39" s="1"/>
  <c r="AR38" i="39"/>
  <c r="K220" i="39"/>
  <c r="AD220" i="39" s="1"/>
  <c r="L68" i="39"/>
  <c r="L164" i="39"/>
  <c r="L223" i="39"/>
  <c r="J222" i="39"/>
  <c r="AZ222" i="39" s="1"/>
  <c r="AP222" i="39" s="1"/>
  <c r="AF36" i="39"/>
  <c r="AI36" i="39" s="1"/>
  <c r="L248" i="39"/>
  <c r="H223" i="39"/>
  <c r="AR222" i="39"/>
  <c r="AQ222" i="39"/>
  <c r="AT222" i="39" s="1"/>
  <c r="AW222" i="39" s="1"/>
  <c r="O60" i="39"/>
  <c r="Q60" i="39"/>
  <c r="R60" i="39" s="1"/>
  <c r="Y60" i="39" s="1"/>
  <c r="AU62" i="39"/>
  <c r="AB62" i="39"/>
  <c r="AS62" i="39"/>
  <c r="AV62" i="39" s="1"/>
  <c r="J62" i="39"/>
  <c r="AZ62" i="39" s="1"/>
  <c r="AP62" i="39" s="1"/>
  <c r="M35" i="39"/>
  <c r="AR63" i="39"/>
  <c r="H64" i="39"/>
  <c r="AQ63" i="39"/>
  <c r="AT63" i="39" s="1"/>
  <c r="AW63" i="39" s="1"/>
  <c r="M219" i="39"/>
  <c r="AI219" i="39"/>
  <c r="O218" i="39"/>
  <c r="Q218" i="39"/>
  <c r="R218" i="39" s="1"/>
  <c r="E315" i="39"/>
  <c r="D316" i="39"/>
  <c r="AU221" i="39"/>
  <c r="AB221" i="39"/>
  <c r="AS221" i="39"/>
  <c r="AV221" i="39" s="1"/>
  <c r="K221" i="39" s="1"/>
  <c r="BB35" i="39"/>
  <c r="BA35" i="39"/>
  <c r="AF220" i="39"/>
  <c r="AI220" i="39" s="1"/>
  <c r="K61" i="39"/>
  <c r="N61" i="39" s="1"/>
  <c r="AS37" i="39"/>
  <c r="AV37" i="39" s="1"/>
  <c r="AB37" i="39"/>
  <c r="AU37" i="39"/>
  <c r="J37" i="39"/>
  <c r="AZ37" i="39" s="1"/>
  <c r="AP37" i="39" s="1"/>
  <c r="K36" i="39"/>
  <c r="AD36" i="39" s="1"/>
  <c r="P35" i="39"/>
  <c r="AL92" i="39"/>
  <c r="M60" i="39"/>
  <c r="AM60" i="39" s="1"/>
  <c r="AD35" i="39"/>
  <c r="N219" i="39"/>
  <c r="O59" i="36"/>
  <c r="AD219" i="36"/>
  <c r="P219" i="36"/>
  <c r="Q219" i="36" s="1"/>
  <c r="R219" i="36" s="1"/>
  <c r="Y219" i="36" s="1"/>
  <c r="N219" i="36"/>
  <c r="P36" i="36"/>
  <c r="O36" i="36" s="1"/>
  <c r="M60" i="36"/>
  <c r="AM60" i="36" s="1"/>
  <c r="N60" i="36"/>
  <c r="P60" i="36"/>
  <c r="Q60" i="36" s="1"/>
  <c r="R60" i="36" s="1"/>
  <c r="Y60" i="36" s="1"/>
  <c r="K220" i="36"/>
  <c r="N220" i="36" s="1"/>
  <c r="AR222" i="36"/>
  <c r="AB222" i="36" s="1"/>
  <c r="H223" i="36"/>
  <c r="AQ222" i="36"/>
  <c r="AT222" i="36" s="1"/>
  <c r="AW222" i="36" s="1"/>
  <c r="E313" i="36"/>
  <c r="D314" i="36"/>
  <c r="Q35" i="36"/>
  <c r="R35" i="36" s="1"/>
  <c r="Y35" i="36" s="1"/>
  <c r="O35" i="36"/>
  <c r="AF37" i="36"/>
  <c r="BB37" i="36" s="1"/>
  <c r="M36" i="36"/>
  <c r="AU38" i="36"/>
  <c r="AS38" i="36"/>
  <c r="AV38" i="36" s="1"/>
  <c r="J38" i="36"/>
  <c r="AZ38" i="36" s="1"/>
  <c r="AP38" i="36" s="1"/>
  <c r="K61" i="36"/>
  <c r="AD61" i="36" s="1"/>
  <c r="N36" i="36"/>
  <c r="AL92" i="36"/>
  <c r="AR63" i="36"/>
  <c r="AB63" i="36" s="1"/>
  <c r="AQ63" i="36"/>
  <c r="AT63" i="36" s="1"/>
  <c r="AW63" i="36" s="1"/>
  <c r="H64" i="36"/>
  <c r="AR39" i="36"/>
  <c r="AB39" i="36" s="1"/>
  <c r="AQ39" i="36"/>
  <c r="AT39" i="36" s="1"/>
  <c r="AW39" i="36" s="1"/>
  <c r="H40" i="36"/>
  <c r="L248" i="36"/>
  <c r="K37" i="36"/>
  <c r="AD37" i="36" s="1"/>
  <c r="L224" i="36"/>
  <c r="L165" i="36"/>
  <c r="BA36" i="36"/>
  <c r="L41" i="36"/>
  <c r="L116" i="36"/>
  <c r="AL41" i="36"/>
  <c r="AS62" i="36"/>
  <c r="AV62" i="36" s="1"/>
  <c r="AU62" i="36"/>
  <c r="J62" i="36"/>
  <c r="AZ62" i="36" s="1"/>
  <c r="AP62" i="36" s="1"/>
  <c r="AI36" i="36"/>
  <c r="L65" i="36"/>
  <c r="AF220" i="36"/>
  <c r="O219" i="36"/>
  <c r="AU221" i="36"/>
  <c r="AS221" i="36"/>
  <c r="AV221" i="36" s="1"/>
  <c r="J221" i="36"/>
  <c r="AZ221" i="36" s="1"/>
  <c r="AP221" i="36" s="1"/>
  <c r="D45" i="17"/>
  <c r="N44" i="17"/>
  <c r="M62" i="50" l="1"/>
  <c r="AM62" i="50" s="1"/>
  <c r="K38" i="50"/>
  <c r="AL42" i="50"/>
  <c r="AF38" i="50"/>
  <c r="AD38" i="50"/>
  <c r="J223" i="50"/>
  <c r="AZ223" i="50" s="1"/>
  <c r="AP223" i="50" s="1"/>
  <c r="L224" i="50"/>
  <c r="L192" i="50"/>
  <c r="AR224" i="50"/>
  <c r="H225" i="50"/>
  <c r="AQ224" i="50"/>
  <c r="AT224" i="50" s="1"/>
  <c r="AW224" i="50" s="1"/>
  <c r="Q220" i="50"/>
  <c r="R220" i="50" s="1"/>
  <c r="O220" i="50"/>
  <c r="L116" i="50"/>
  <c r="Q61" i="50"/>
  <c r="R61" i="50" s="1"/>
  <c r="Y61" i="50" s="1"/>
  <c r="O61" i="50"/>
  <c r="K63" i="50"/>
  <c r="P63" i="50" s="1"/>
  <c r="Q37" i="50"/>
  <c r="R37" i="50" s="1"/>
  <c r="Y37" i="50" s="1"/>
  <c r="O37" i="50"/>
  <c r="AS223" i="50"/>
  <c r="AV223" i="50" s="1"/>
  <c r="AB223" i="50"/>
  <c r="AU223" i="50"/>
  <c r="K223" i="50"/>
  <c r="M222" i="50"/>
  <c r="BB37" i="50"/>
  <c r="BA37" i="50"/>
  <c r="M38" i="50"/>
  <c r="Q62" i="50"/>
  <c r="R62" i="50" s="1"/>
  <c r="Y62" i="50" s="1"/>
  <c r="O62" i="50"/>
  <c r="L42" i="50"/>
  <c r="O221" i="50"/>
  <c r="Q221" i="50"/>
  <c r="R221" i="50" s="1"/>
  <c r="Y221" i="50" s="1"/>
  <c r="N222" i="50"/>
  <c r="P222" i="50"/>
  <c r="N38" i="50"/>
  <c r="P38" i="50"/>
  <c r="AU64" i="50"/>
  <c r="AS64" i="50"/>
  <c r="AV64" i="50" s="1"/>
  <c r="AB64" i="50"/>
  <c r="J64" i="50"/>
  <c r="AZ64" i="50" s="1"/>
  <c r="AP64" i="50" s="1"/>
  <c r="H41" i="50"/>
  <c r="AR40" i="50"/>
  <c r="AQ40" i="50"/>
  <c r="AT40" i="50" s="1"/>
  <c r="AW40" i="50" s="1"/>
  <c r="M221" i="50"/>
  <c r="AF222" i="50"/>
  <c r="AD222" i="50"/>
  <c r="Y35" i="50"/>
  <c r="AI37" i="50"/>
  <c r="AL90" i="50"/>
  <c r="H66" i="50"/>
  <c r="AR65" i="50"/>
  <c r="AQ65" i="50"/>
  <c r="AT65" i="50" s="1"/>
  <c r="AW65" i="50" s="1"/>
  <c r="D317" i="50"/>
  <c r="E316" i="50"/>
  <c r="AI222" i="50"/>
  <c r="AU39" i="50"/>
  <c r="AB39" i="50"/>
  <c r="AS39" i="50"/>
  <c r="AV39" i="50" s="1"/>
  <c r="J39" i="50"/>
  <c r="AZ39" i="50" s="1"/>
  <c r="AP39" i="50" s="1"/>
  <c r="M41" i="48"/>
  <c r="K42" i="48"/>
  <c r="AE37" i="48"/>
  <c r="AC37" i="48"/>
  <c r="AU38" i="48"/>
  <c r="AA38" i="48"/>
  <c r="AS38" i="48"/>
  <c r="AV38" i="48" s="1"/>
  <c r="L42" i="48"/>
  <c r="AQ39" i="48"/>
  <c r="AT39" i="48" s="1"/>
  <c r="AW39" i="48" s="1"/>
  <c r="AR39" i="48"/>
  <c r="AH37" i="48"/>
  <c r="O36" i="48"/>
  <c r="Q36" i="48"/>
  <c r="R36" i="48" s="1"/>
  <c r="X36" i="48" s="1"/>
  <c r="P37" i="48"/>
  <c r="N37" i="48"/>
  <c r="M36" i="40"/>
  <c r="L107" i="40"/>
  <c r="N221" i="40"/>
  <c r="P37" i="40"/>
  <c r="AL41" i="40"/>
  <c r="AF222" i="40"/>
  <c r="D314" i="40"/>
  <c r="E313" i="40"/>
  <c r="K37" i="40"/>
  <c r="N37" i="40" s="1"/>
  <c r="L42" i="40"/>
  <c r="AU223" i="40"/>
  <c r="AS223" i="40"/>
  <c r="AV223" i="40" s="1"/>
  <c r="AB223" i="40"/>
  <c r="J223" i="40"/>
  <c r="AZ223" i="40" s="1"/>
  <c r="AP223" i="40" s="1"/>
  <c r="Q36" i="40"/>
  <c r="R36" i="40" s="1"/>
  <c r="Y36" i="40" s="1"/>
  <c r="O36" i="40"/>
  <c r="AU38" i="40"/>
  <c r="AB38" i="40"/>
  <c r="AS38" i="40"/>
  <c r="AV38" i="40" s="1"/>
  <c r="K38" i="40" s="1"/>
  <c r="J38" i="40"/>
  <c r="AZ38" i="40" s="1"/>
  <c r="AP38" i="40" s="1"/>
  <c r="L250" i="40"/>
  <c r="AI221" i="40"/>
  <c r="AQ224" i="40"/>
  <c r="AT224" i="40" s="1"/>
  <c r="AW224" i="40" s="1"/>
  <c r="AR224" i="40"/>
  <c r="H225" i="40"/>
  <c r="AI36" i="40"/>
  <c r="K222" i="40"/>
  <c r="AD222" i="40" s="1"/>
  <c r="Q220" i="40"/>
  <c r="R220" i="40" s="1"/>
  <c r="O220" i="40"/>
  <c r="AR39" i="40"/>
  <c r="AQ39" i="40"/>
  <c r="AT39" i="40" s="1"/>
  <c r="AW39" i="40" s="1"/>
  <c r="H40" i="40"/>
  <c r="AF37" i="40"/>
  <c r="AD37" i="40"/>
  <c r="M221" i="40"/>
  <c r="L226" i="40"/>
  <c r="P221" i="40"/>
  <c r="K62" i="39"/>
  <c r="N62" i="39" s="1"/>
  <c r="P220" i="39"/>
  <c r="O220" i="39" s="1"/>
  <c r="N220" i="39"/>
  <c r="AD61" i="39"/>
  <c r="K37" i="39"/>
  <c r="P36" i="39"/>
  <c r="O36" i="39" s="1"/>
  <c r="E316" i="39"/>
  <c r="D317" i="39"/>
  <c r="M61" i="39"/>
  <c r="AM61" i="39" s="1"/>
  <c r="N36" i="39"/>
  <c r="Q220" i="39"/>
  <c r="R220" i="39" s="1"/>
  <c r="Y220" i="39" s="1"/>
  <c r="P61" i="39"/>
  <c r="L41" i="39"/>
  <c r="AQ39" i="39"/>
  <c r="AT39" i="39" s="1"/>
  <c r="AW39" i="39" s="1"/>
  <c r="AR39" i="39"/>
  <c r="H40" i="39"/>
  <c r="L224" i="39"/>
  <c r="M221" i="39"/>
  <c r="Y218" i="39"/>
  <c r="P62" i="39"/>
  <c r="BB36" i="39"/>
  <c r="BA36" i="39"/>
  <c r="L165" i="39"/>
  <c r="M220" i="39"/>
  <c r="AL41" i="39"/>
  <c r="L139" i="39"/>
  <c r="M62" i="39"/>
  <c r="AM62" i="39" s="1"/>
  <c r="Y59" i="39"/>
  <c r="Q36" i="39"/>
  <c r="R36" i="39" s="1"/>
  <c r="Y36" i="39" s="1"/>
  <c r="L249" i="39"/>
  <c r="Q35" i="39"/>
  <c r="R35" i="39" s="1"/>
  <c r="O35" i="39"/>
  <c r="AF37" i="39"/>
  <c r="AI37" i="39" s="1"/>
  <c r="AD37" i="39"/>
  <c r="P221" i="39"/>
  <c r="N221" i="39"/>
  <c r="H65" i="39"/>
  <c r="AR64" i="39"/>
  <c r="AQ64" i="39"/>
  <c r="AT64" i="39" s="1"/>
  <c r="AW64" i="39" s="1"/>
  <c r="AD62" i="39"/>
  <c r="AS38" i="39"/>
  <c r="AV38" i="39" s="1"/>
  <c r="AB38" i="39"/>
  <c r="AU38" i="39"/>
  <c r="J38" i="39"/>
  <c r="AZ38" i="39" s="1"/>
  <c r="AP38" i="39" s="1"/>
  <c r="M37" i="39"/>
  <c r="AR223" i="39"/>
  <c r="J223" i="39" s="1"/>
  <c r="AZ223" i="39" s="1"/>
  <c r="AP223" i="39" s="1"/>
  <c r="AQ223" i="39"/>
  <c r="AT223" i="39" s="1"/>
  <c r="AW223" i="39" s="1"/>
  <c r="H224" i="39"/>
  <c r="M36" i="39"/>
  <c r="N37" i="39"/>
  <c r="P37" i="39"/>
  <c r="AD221" i="39"/>
  <c r="AF221" i="39"/>
  <c r="AS63" i="39"/>
  <c r="AV63" i="39" s="1"/>
  <c r="AU63" i="39"/>
  <c r="AB63" i="39"/>
  <c r="J63" i="39"/>
  <c r="AZ63" i="39" s="1"/>
  <c r="AP63" i="39" s="1"/>
  <c r="AU222" i="39"/>
  <c r="AB222" i="39"/>
  <c r="AS222" i="39"/>
  <c r="AV222" i="39" s="1"/>
  <c r="K222" i="39" s="1"/>
  <c r="L73" i="39"/>
  <c r="Q36" i="36"/>
  <c r="R36" i="36" s="1"/>
  <c r="Y36" i="36" s="1"/>
  <c r="N61" i="36"/>
  <c r="AD220" i="36"/>
  <c r="O60" i="36"/>
  <c r="P61" i="36"/>
  <c r="O61" i="36" s="1"/>
  <c r="N37" i="36"/>
  <c r="M220" i="36"/>
  <c r="P220" i="36"/>
  <c r="Q220" i="36" s="1"/>
  <c r="R220" i="36" s="1"/>
  <c r="Y220" i="36" s="1"/>
  <c r="K38" i="36"/>
  <c r="P38" i="36" s="1"/>
  <c r="P37" i="36"/>
  <c r="O37" i="36" s="1"/>
  <c r="AI37" i="36"/>
  <c r="AF221" i="36"/>
  <c r="AI221" i="36" s="1"/>
  <c r="L117" i="36"/>
  <c r="L225" i="36"/>
  <c r="K62" i="36"/>
  <c r="AD62" i="36" s="1"/>
  <c r="L42" i="36"/>
  <c r="M37" i="36"/>
  <c r="H65" i="36"/>
  <c r="AQ64" i="36"/>
  <c r="AT64" i="36" s="1"/>
  <c r="AW64" i="36" s="1"/>
  <c r="AR64" i="36"/>
  <c r="AB64" i="36" s="1"/>
  <c r="BA37" i="36"/>
  <c r="AU222" i="36"/>
  <c r="AS222" i="36"/>
  <c r="AV222" i="36" s="1"/>
  <c r="J222" i="36"/>
  <c r="AZ222" i="36" s="1"/>
  <c r="AP222" i="36" s="1"/>
  <c r="AL42" i="36"/>
  <c r="AS39" i="36"/>
  <c r="AV39" i="36" s="1"/>
  <c r="AU39" i="36"/>
  <c r="J39" i="36"/>
  <c r="AZ39" i="36" s="1"/>
  <c r="AP39" i="36" s="1"/>
  <c r="M61" i="36"/>
  <c r="AM61" i="36" s="1"/>
  <c r="L66" i="36"/>
  <c r="L249" i="36"/>
  <c r="AR40" i="36"/>
  <c r="AB40" i="36" s="1"/>
  <c r="H41" i="36"/>
  <c r="AQ40" i="36"/>
  <c r="AT40" i="36" s="1"/>
  <c r="AW40" i="36" s="1"/>
  <c r="K221" i="36"/>
  <c r="N221" i="36" s="1"/>
  <c r="AI220" i="36"/>
  <c r="H224" i="36"/>
  <c r="AR223" i="36"/>
  <c r="AB223" i="36" s="1"/>
  <c r="AQ223" i="36"/>
  <c r="AT223" i="36" s="1"/>
  <c r="AW223" i="36" s="1"/>
  <c r="L166" i="36"/>
  <c r="AS63" i="36"/>
  <c r="AV63" i="36" s="1"/>
  <c r="AU63" i="36"/>
  <c r="J63" i="36"/>
  <c r="AZ63" i="36" s="1"/>
  <c r="AP63" i="36" s="1"/>
  <c r="AF38" i="36"/>
  <c r="E314" i="36"/>
  <c r="D315" i="36"/>
  <c r="M43" i="35"/>
  <c r="D46" i="17"/>
  <c r="N45" i="17"/>
  <c r="K39" i="50" l="1"/>
  <c r="K64" i="50"/>
  <c r="O63" i="50"/>
  <c r="Q63" i="50"/>
  <c r="R63" i="50" s="1"/>
  <c r="Y63" i="50" s="1"/>
  <c r="M39" i="50"/>
  <c r="AD39" i="50"/>
  <c r="AF39" i="50"/>
  <c r="M64" i="50"/>
  <c r="AM64" i="50" s="1"/>
  <c r="M223" i="50"/>
  <c r="AB224" i="50"/>
  <c r="AS224" i="50"/>
  <c r="AV224" i="50" s="1"/>
  <c r="AU224" i="50"/>
  <c r="BB38" i="50"/>
  <c r="BA38" i="50"/>
  <c r="AS40" i="50"/>
  <c r="AV40" i="50" s="1"/>
  <c r="AU40" i="50"/>
  <c r="AB40" i="50"/>
  <c r="J40" i="50"/>
  <c r="AZ40" i="50" s="1"/>
  <c r="AP40" i="50" s="1"/>
  <c r="O222" i="50"/>
  <c r="Q222" i="50"/>
  <c r="R222" i="50" s="1"/>
  <c r="Y222" i="50" s="1"/>
  <c r="L43" i="50"/>
  <c r="L73" i="50"/>
  <c r="AI38" i="50"/>
  <c r="H67" i="50"/>
  <c r="AR66" i="50"/>
  <c r="AQ66" i="50"/>
  <c r="AT66" i="50" s="1"/>
  <c r="AW66" i="50" s="1"/>
  <c r="H42" i="50"/>
  <c r="AR41" i="50"/>
  <c r="AQ41" i="50"/>
  <c r="AT41" i="50" s="1"/>
  <c r="AW41" i="50" s="1"/>
  <c r="P223" i="50"/>
  <c r="N223" i="50"/>
  <c r="Y220" i="50"/>
  <c r="O38" i="50"/>
  <c r="Q38" i="50"/>
  <c r="R38" i="50" s="1"/>
  <c r="Y38" i="50" s="1"/>
  <c r="P64" i="50"/>
  <c r="N64" i="50"/>
  <c r="M63" i="50"/>
  <c r="AM63" i="50" s="1"/>
  <c r="L191" i="50"/>
  <c r="D318" i="50"/>
  <c r="E318" i="50"/>
  <c r="E317" i="50"/>
  <c r="K65" i="50"/>
  <c r="AU65" i="50"/>
  <c r="AS65" i="50"/>
  <c r="AV65" i="50" s="1"/>
  <c r="AB65" i="50"/>
  <c r="J65" i="50"/>
  <c r="AZ65" i="50" s="1"/>
  <c r="AP65" i="50" s="1"/>
  <c r="AD223" i="50"/>
  <c r="AF223" i="50"/>
  <c r="AI223" i="50" s="1"/>
  <c r="AI39" i="50"/>
  <c r="N63" i="50"/>
  <c r="J224" i="50"/>
  <c r="AZ224" i="50" s="1"/>
  <c r="AP224" i="50" s="1"/>
  <c r="L225" i="50"/>
  <c r="N39" i="50"/>
  <c r="P39" i="50"/>
  <c r="AL91" i="50"/>
  <c r="AD64" i="50"/>
  <c r="AD63" i="50"/>
  <c r="L117" i="50"/>
  <c r="H226" i="50"/>
  <c r="AQ225" i="50"/>
  <c r="AT225" i="50" s="1"/>
  <c r="AW225" i="50" s="1"/>
  <c r="AR225" i="50"/>
  <c r="K43" i="48"/>
  <c r="M42" i="48"/>
  <c r="P38" i="48"/>
  <c r="N38" i="48"/>
  <c r="AC38" i="48"/>
  <c r="AE38" i="48"/>
  <c r="AH38" i="48" s="1"/>
  <c r="L43" i="48"/>
  <c r="AR40" i="48"/>
  <c r="AQ40" i="48"/>
  <c r="AT40" i="48" s="1"/>
  <c r="AW40" i="48" s="1"/>
  <c r="O37" i="48"/>
  <c r="Q37" i="48"/>
  <c r="R37" i="48" s="1"/>
  <c r="X37" i="48" s="1"/>
  <c r="AS39" i="48"/>
  <c r="AV39" i="48" s="1"/>
  <c r="AA39" i="48"/>
  <c r="AU39" i="48"/>
  <c r="AS224" i="40"/>
  <c r="AV224" i="40" s="1"/>
  <c r="AB224" i="40"/>
  <c r="AU224" i="40"/>
  <c r="J224" i="40"/>
  <c r="AZ224" i="40" s="1"/>
  <c r="AP224" i="40" s="1"/>
  <c r="P38" i="40"/>
  <c r="N38" i="40"/>
  <c r="E314" i="40"/>
  <c r="D315" i="40"/>
  <c r="Q221" i="40"/>
  <c r="R221" i="40" s="1"/>
  <c r="Y221" i="40" s="1"/>
  <c r="O221" i="40"/>
  <c r="AQ225" i="40"/>
  <c r="AT225" i="40" s="1"/>
  <c r="AW225" i="40" s="1"/>
  <c r="H226" i="40"/>
  <c r="AR225" i="40"/>
  <c r="M38" i="40"/>
  <c r="Y220" i="40"/>
  <c r="AI37" i="40"/>
  <c r="AF38" i="40"/>
  <c r="AI38" i="40" s="1"/>
  <c r="AD38" i="40"/>
  <c r="P222" i="40"/>
  <c r="K223" i="40"/>
  <c r="AU39" i="40"/>
  <c r="AS39" i="40"/>
  <c r="AV39" i="40" s="1"/>
  <c r="AB39" i="40"/>
  <c r="J39" i="40"/>
  <c r="AZ39" i="40" s="1"/>
  <c r="AP39" i="40" s="1"/>
  <c r="Q37" i="40"/>
  <c r="R37" i="40" s="1"/>
  <c r="Y37" i="40" s="1"/>
  <c r="O37" i="40"/>
  <c r="L227" i="40"/>
  <c r="M222" i="40"/>
  <c r="L251" i="40"/>
  <c r="N222" i="40"/>
  <c r="L108" i="40"/>
  <c r="N223" i="40"/>
  <c r="P223" i="40"/>
  <c r="AQ40" i="40"/>
  <c r="AT40" i="40" s="1"/>
  <c r="AW40" i="40" s="1"/>
  <c r="AR40" i="40"/>
  <c r="H41" i="40"/>
  <c r="AI223" i="40"/>
  <c r="L43" i="40"/>
  <c r="AF223" i="40"/>
  <c r="AD223" i="40"/>
  <c r="M37" i="40"/>
  <c r="AL42" i="40"/>
  <c r="AI222" i="40"/>
  <c r="Q62" i="39"/>
  <c r="R62" i="39" s="1"/>
  <c r="Y62" i="39" s="1"/>
  <c r="O62" i="39"/>
  <c r="L74" i="39"/>
  <c r="H225" i="39"/>
  <c r="AR224" i="39"/>
  <c r="J224" i="39" s="1"/>
  <c r="AZ224" i="39" s="1"/>
  <c r="AP224" i="39" s="1"/>
  <c r="AQ224" i="39"/>
  <c r="AT224" i="39" s="1"/>
  <c r="AW224" i="39" s="1"/>
  <c r="O221" i="39"/>
  <c r="Q221" i="39"/>
  <c r="R221" i="39" s="1"/>
  <c r="Y221" i="39" s="1"/>
  <c r="L140" i="39"/>
  <c r="Y35" i="39"/>
  <c r="AL42" i="39"/>
  <c r="L225" i="39"/>
  <c r="E317" i="39"/>
  <c r="D318" i="39"/>
  <c r="BB37" i="39"/>
  <c r="BA37" i="39"/>
  <c r="L42" i="39"/>
  <c r="AI221" i="39"/>
  <c r="Q37" i="39"/>
  <c r="R37" i="39" s="1"/>
  <c r="Y37" i="39" s="1"/>
  <c r="O37" i="39"/>
  <c r="N222" i="39"/>
  <c r="P222" i="39"/>
  <c r="AF38" i="39"/>
  <c r="AD222" i="39"/>
  <c r="AF222" i="39"/>
  <c r="K38" i="39"/>
  <c r="P38" i="39" s="1"/>
  <c r="AB64" i="39"/>
  <c r="AU64" i="39"/>
  <c r="AS64" i="39"/>
  <c r="AV64" i="39" s="1"/>
  <c r="J64" i="39"/>
  <c r="AZ64" i="39" s="1"/>
  <c r="AP64" i="39" s="1"/>
  <c r="H41" i="39"/>
  <c r="AQ40" i="39"/>
  <c r="AT40" i="39" s="1"/>
  <c r="AW40" i="39" s="1"/>
  <c r="AR40" i="39"/>
  <c r="Q61" i="39"/>
  <c r="R61" i="39" s="1"/>
  <c r="O61" i="39"/>
  <c r="L166" i="39"/>
  <c r="M222" i="39"/>
  <c r="K63" i="39"/>
  <c r="AU223" i="39"/>
  <c r="AS223" i="39"/>
  <c r="AV223" i="39" s="1"/>
  <c r="AB223" i="39"/>
  <c r="H66" i="39"/>
  <c r="AR65" i="39"/>
  <c r="AQ65" i="39"/>
  <c r="AT65" i="39" s="1"/>
  <c r="AW65" i="39" s="1"/>
  <c r="L250" i="39"/>
  <c r="AS39" i="39"/>
  <c r="AV39" i="39" s="1"/>
  <c r="AB39" i="39"/>
  <c r="AU39" i="39"/>
  <c r="J39" i="39"/>
  <c r="AZ39" i="39" s="1"/>
  <c r="AP39" i="39" s="1"/>
  <c r="M38" i="36"/>
  <c r="Q37" i="36"/>
  <c r="R37" i="36" s="1"/>
  <c r="Y37" i="36" s="1"/>
  <c r="Q61" i="36"/>
  <c r="R61" i="36" s="1"/>
  <c r="Y61" i="36" s="1"/>
  <c r="O220" i="36"/>
  <c r="K39" i="36"/>
  <c r="P39" i="36" s="1"/>
  <c r="N38" i="36"/>
  <c r="AD38" i="36"/>
  <c r="AI38" i="36"/>
  <c r="BB38" i="36"/>
  <c r="AD221" i="36"/>
  <c r="P221" i="36"/>
  <c r="O221" i="36" s="1"/>
  <c r="Q38" i="36"/>
  <c r="R38" i="36" s="1"/>
  <c r="Y38" i="36" s="1"/>
  <c r="O38" i="36"/>
  <c r="N62" i="36"/>
  <c r="H66" i="36"/>
  <c r="AQ65" i="36"/>
  <c r="AT65" i="36" s="1"/>
  <c r="AW65" i="36" s="1"/>
  <c r="AR65" i="36"/>
  <c r="AB65" i="36" s="1"/>
  <c r="P62" i="36"/>
  <c r="M221" i="36"/>
  <c r="H42" i="36"/>
  <c r="AR41" i="36"/>
  <c r="AB41" i="36" s="1"/>
  <c r="AQ41" i="36"/>
  <c r="AT41" i="36" s="1"/>
  <c r="AW41" i="36" s="1"/>
  <c r="AR224" i="36"/>
  <c r="AB224" i="36" s="1"/>
  <c r="H225" i="36"/>
  <c r="AQ224" i="36"/>
  <c r="AT224" i="36" s="1"/>
  <c r="AW224" i="36" s="1"/>
  <c r="L250" i="36"/>
  <c r="E315" i="36"/>
  <c r="D316" i="36"/>
  <c r="AU40" i="36"/>
  <c r="AS40" i="36"/>
  <c r="AV40" i="36" s="1"/>
  <c r="J40" i="36"/>
  <c r="AZ40" i="36" s="1"/>
  <c r="AP40" i="36" s="1"/>
  <c r="L67" i="36"/>
  <c r="AF222" i="36"/>
  <c r="L43" i="36"/>
  <c r="L226" i="36"/>
  <c r="L167" i="36"/>
  <c r="M62" i="36"/>
  <c r="AM62" i="36" s="1"/>
  <c r="L118" i="36"/>
  <c r="AF39" i="36"/>
  <c r="BB39" i="36" s="1"/>
  <c r="K63" i="36"/>
  <c r="AD63" i="36" s="1"/>
  <c r="BA38" i="36"/>
  <c r="AU223" i="36"/>
  <c r="AS223" i="36"/>
  <c r="AV223" i="36" s="1"/>
  <c r="J223" i="36"/>
  <c r="AZ223" i="36" s="1"/>
  <c r="AP223" i="36" s="1"/>
  <c r="K222" i="36"/>
  <c r="P222" i="36" s="1"/>
  <c r="AS64" i="36"/>
  <c r="AV64" i="36" s="1"/>
  <c r="AU64" i="36"/>
  <c r="J64" i="36"/>
  <c r="AZ64" i="36" s="1"/>
  <c r="AP64" i="36" s="1"/>
  <c r="D47" i="17"/>
  <c r="N46" i="17"/>
  <c r="AU41" i="50" l="1"/>
  <c r="AB41" i="50"/>
  <c r="AS41" i="50"/>
  <c r="AV41" i="50" s="1"/>
  <c r="J41" i="50"/>
  <c r="AZ41" i="50" s="1"/>
  <c r="AP41" i="50" s="1"/>
  <c r="H43" i="50"/>
  <c r="AQ42" i="50"/>
  <c r="AT42" i="50" s="1"/>
  <c r="AW42" i="50" s="1"/>
  <c r="AR42" i="50"/>
  <c r="AL92" i="50"/>
  <c r="AU66" i="50"/>
  <c r="AS66" i="50"/>
  <c r="AV66" i="50" s="1"/>
  <c r="AB66" i="50"/>
  <c r="J66" i="50"/>
  <c r="AZ66" i="50" s="1"/>
  <c r="AP66" i="50" s="1"/>
  <c r="K40" i="50"/>
  <c r="P224" i="50"/>
  <c r="N224" i="50"/>
  <c r="L118" i="50"/>
  <c r="L74" i="50"/>
  <c r="J225" i="50"/>
  <c r="AZ225" i="50" s="1"/>
  <c r="AP225" i="50" s="1"/>
  <c r="L226" i="50"/>
  <c r="M65" i="50"/>
  <c r="AM65" i="50" s="1"/>
  <c r="O223" i="50"/>
  <c r="Q223" i="50"/>
  <c r="R223" i="50" s="1"/>
  <c r="Y223" i="50" s="1"/>
  <c r="AF40" i="50"/>
  <c r="AD40" i="50"/>
  <c r="AI224" i="50"/>
  <c r="AS225" i="50"/>
  <c r="AV225" i="50" s="1"/>
  <c r="AB225" i="50"/>
  <c r="AU225" i="50"/>
  <c r="K225" i="50"/>
  <c r="Q39" i="50"/>
  <c r="R39" i="50" s="1"/>
  <c r="Y39" i="50" s="1"/>
  <c r="O39" i="50"/>
  <c r="AD65" i="50"/>
  <c r="H68" i="50"/>
  <c r="AR67" i="50"/>
  <c r="AQ67" i="50"/>
  <c r="AT67" i="50" s="1"/>
  <c r="AW67" i="50" s="1"/>
  <c r="N40" i="50"/>
  <c r="K224" i="50"/>
  <c r="AR226" i="50"/>
  <c r="H227" i="50"/>
  <c r="AQ226" i="50"/>
  <c r="AT226" i="50" s="1"/>
  <c r="AW226" i="50" s="1"/>
  <c r="P65" i="50"/>
  <c r="N65" i="50"/>
  <c r="L190" i="50"/>
  <c r="O64" i="50"/>
  <c r="Q64" i="50"/>
  <c r="R64" i="50" s="1"/>
  <c r="Y64" i="50" s="1"/>
  <c r="AF224" i="50"/>
  <c r="AD224" i="50"/>
  <c r="BB39" i="50"/>
  <c r="BA39" i="50"/>
  <c r="K44" i="48"/>
  <c r="M43" i="48"/>
  <c r="AQ41" i="48"/>
  <c r="AT41" i="48" s="1"/>
  <c r="AW41" i="48" s="1"/>
  <c r="AR41" i="48"/>
  <c r="L44" i="48"/>
  <c r="AE39" i="48"/>
  <c r="AC39" i="48"/>
  <c r="P39" i="48"/>
  <c r="N39" i="48"/>
  <c r="AU40" i="48"/>
  <c r="AA40" i="48"/>
  <c r="AS40" i="48"/>
  <c r="AV40" i="48" s="1"/>
  <c r="Q38" i="48"/>
  <c r="R38" i="48" s="1"/>
  <c r="X38" i="48" s="1"/>
  <c r="O38" i="48"/>
  <c r="K39" i="40"/>
  <c r="P39" i="40" s="1"/>
  <c r="Q223" i="40"/>
  <c r="R223" i="40" s="1"/>
  <c r="Y223" i="40" s="1"/>
  <c r="O223" i="40"/>
  <c r="M39" i="40"/>
  <c r="O38" i="40"/>
  <c r="Q38" i="40"/>
  <c r="R38" i="40" s="1"/>
  <c r="Y38" i="40" s="1"/>
  <c r="AR41" i="40"/>
  <c r="H42" i="40"/>
  <c r="AQ41" i="40"/>
  <c r="AT41" i="40" s="1"/>
  <c r="AW41" i="40" s="1"/>
  <c r="L109" i="40"/>
  <c r="AU225" i="40"/>
  <c r="AS225" i="40"/>
  <c r="AV225" i="40" s="1"/>
  <c r="AB225" i="40"/>
  <c r="J225" i="40"/>
  <c r="AZ225" i="40" s="1"/>
  <c r="AP225" i="40" s="1"/>
  <c r="D316" i="40"/>
  <c r="E315" i="40"/>
  <c r="AF224" i="40"/>
  <c r="AI224" i="40" s="1"/>
  <c r="AL43" i="40"/>
  <c r="AS40" i="40"/>
  <c r="AV40" i="40" s="1"/>
  <c r="AB40" i="40"/>
  <c r="AU40" i="40"/>
  <c r="J40" i="40"/>
  <c r="AZ40" i="40" s="1"/>
  <c r="AP40" i="40" s="1"/>
  <c r="AI39" i="40"/>
  <c r="M223" i="40"/>
  <c r="AR226" i="40"/>
  <c r="AQ226" i="40"/>
  <c r="AT226" i="40" s="1"/>
  <c r="AW226" i="40" s="1"/>
  <c r="H227" i="40"/>
  <c r="P224" i="40"/>
  <c r="L252" i="40"/>
  <c r="L44" i="40"/>
  <c r="AF39" i="40"/>
  <c r="AD39" i="40"/>
  <c r="Q222" i="40"/>
  <c r="R222" i="40" s="1"/>
  <c r="Y222" i="40" s="1"/>
  <c r="O222" i="40"/>
  <c r="K224" i="40"/>
  <c r="K64" i="39"/>
  <c r="K39" i="39"/>
  <c r="AF223" i="39"/>
  <c r="M64" i="39"/>
  <c r="AM64" i="39" s="1"/>
  <c r="AD64" i="39"/>
  <c r="Q38" i="39"/>
  <c r="R38" i="39" s="1"/>
  <c r="Y38" i="39" s="1"/>
  <c r="O38" i="39"/>
  <c r="M38" i="39"/>
  <c r="BB38" i="39"/>
  <c r="BA38" i="39"/>
  <c r="AU65" i="39"/>
  <c r="AS65" i="39"/>
  <c r="AV65" i="39" s="1"/>
  <c r="AB65" i="39"/>
  <c r="J65" i="39"/>
  <c r="AZ65" i="39" s="1"/>
  <c r="AP65" i="39" s="1"/>
  <c r="AI222" i="39"/>
  <c r="N38" i="39"/>
  <c r="M63" i="39"/>
  <c r="AM63" i="39" s="1"/>
  <c r="AD38" i="39"/>
  <c r="L226" i="39"/>
  <c r="AD63" i="39"/>
  <c r="M39" i="39"/>
  <c r="L167" i="39"/>
  <c r="Q222" i="39"/>
  <c r="R222" i="39" s="1"/>
  <c r="Y222" i="39" s="1"/>
  <c r="O222" i="39"/>
  <c r="AD39" i="39"/>
  <c r="AF39" i="39"/>
  <c r="AI39" i="39" s="1"/>
  <c r="L251" i="39"/>
  <c r="Y61" i="39"/>
  <c r="P64" i="39"/>
  <c r="N64" i="39"/>
  <c r="P63" i="39"/>
  <c r="AI38" i="39"/>
  <c r="AU224" i="39"/>
  <c r="AS224" i="39"/>
  <c r="AV224" i="39" s="1"/>
  <c r="K224" i="39" s="1"/>
  <c r="AB224" i="39"/>
  <c r="AQ66" i="39"/>
  <c r="AT66" i="39" s="1"/>
  <c r="AW66" i="39" s="1"/>
  <c r="H67" i="39"/>
  <c r="AR66" i="39"/>
  <c r="H42" i="39"/>
  <c r="AR41" i="39"/>
  <c r="AQ41" i="39"/>
  <c r="AT41" i="39" s="1"/>
  <c r="AW41" i="39" s="1"/>
  <c r="L43" i="39"/>
  <c r="L141" i="39"/>
  <c r="AR225" i="39"/>
  <c r="J225" i="39" s="1"/>
  <c r="AZ225" i="39" s="1"/>
  <c r="AP225" i="39" s="1"/>
  <c r="AQ225" i="39"/>
  <c r="AT225" i="39" s="1"/>
  <c r="AW225" i="39" s="1"/>
  <c r="H226" i="39"/>
  <c r="N39" i="39"/>
  <c r="P39" i="39"/>
  <c r="K223" i="39"/>
  <c r="AD223" i="39" s="1"/>
  <c r="AS40" i="39"/>
  <c r="AV40" i="39" s="1"/>
  <c r="AB40" i="39"/>
  <c r="AU40" i="39"/>
  <c r="J40" i="39"/>
  <c r="AZ40" i="39" s="1"/>
  <c r="AP40" i="39" s="1"/>
  <c r="N63" i="39"/>
  <c r="L75" i="39"/>
  <c r="AD39" i="36"/>
  <c r="M39" i="36"/>
  <c r="N39" i="36"/>
  <c r="N63" i="36"/>
  <c r="P63" i="36"/>
  <c r="Q63" i="36" s="1"/>
  <c r="R63" i="36" s="1"/>
  <c r="Y63" i="36" s="1"/>
  <c r="K40" i="36"/>
  <c r="P40" i="36" s="1"/>
  <c r="Q221" i="36"/>
  <c r="R221" i="36" s="1"/>
  <c r="Y221" i="36" s="1"/>
  <c r="K64" i="36"/>
  <c r="M64" i="36" s="1"/>
  <c r="AM64" i="36" s="1"/>
  <c r="AU224" i="36"/>
  <c r="AS224" i="36"/>
  <c r="AV224" i="36" s="1"/>
  <c r="J224" i="36"/>
  <c r="AZ224" i="36" s="1"/>
  <c r="AP224" i="36" s="1"/>
  <c r="L68" i="36"/>
  <c r="AU41" i="36"/>
  <c r="AS41" i="36"/>
  <c r="AV41" i="36" s="1"/>
  <c r="J41" i="36"/>
  <c r="AZ41" i="36" s="1"/>
  <c r="AP41" i="36" s="1"/>
  <c r="L251" i="36"/>
  <c r="O222" i="36"/>
  <c r="Q222" i="36"/>
  <c r="R222" i="36" s="1"/>
  <c r="Y222" i="36" s="1"/>
  <c r="AR42" i="36"/>
  <c r="AB42" i="36" s="1"/>
  <c r="AQ42" i="36"/>
  <c r="AT42" i="36" s="1"/>
  <c r="AW42" i="36" s="1"/>
  <c r="H43" i="36"/>
  <c r="M222" i="36"/>
  <c r="K223" i="36"/>
  <c r="N223" i="36" s="1"/>
  <c r="L168" i="36"/>
  <c r="N222" i="36"/>
  <c r="H67" i="36"/>
  <c r="AQ66" i="36"/>
  <c r="AT66" i="36" s="1"/>
  <c r="AW66" i="36" s="1"/>
  <c r="AR66" i="36"/>
  <c r="AB66" i="36" s="1"/>
  <c r="L123" i="36"/>
  <c r="AF40" i="36"/>
  <c r="BB40" i="36" s="1"/>
  <c r="O39" i="36"/>
  <c r="Q39" i="36"/>
  <c r="R39" i="36" s="1"/>
  <c r="Y39" i="36" s="1"/>
  <c r="Q62" i="36"/>
  <c r="R62" i="36" s="1"/>
  <c r="Y62" i="36" s="1"/>
  <c r="O62" i="36"/>
  <c r="E316" i="36"/>
  <c r="D317" i="36"/>
  <c r="BA39" i="36"/>
  <c r="L227" i="36"/>
  <c r="AF223" i="36"/>
  <c r="AI223" i="36" s="1"/>
  <c r="M63" i="36"/>
  <c r="AM63" i="36" s="1"/>
  <c r="AI39" i="36"/>
  <c r="AI222" i="36"/>
  <c r="AD222" i="36"/>
  <c r="H226" i="36"/>
  <c r="AR225" i="36"/>
  <c r="AB225" i="36" s="1"/>
  <c r="AQ225" i="36"/>
  <c r="AT225" i="36" s="1"/>
  <c r="AW225" i="36" s="1"/>
  <c r="AS65" i="36"/>
  <c r="AV65" i="36" s="1"/>
  <c r="AU65" i="36"/>
  <c r="J65" i="36"/>
  <c r="AZ65" i="36" s="1"/>
  <c r="AP65" i="36" s="1"/>
  <c r="N47" i="17"/>
  <c r="D48" i="17"/>
  <c r="AI41" i="50" l="1"/>
  <c r="L189" i="50"/>
  <c r="AR227" i="50"/>
  <c r="H232" i="50"/>
  <c r="AQ227" i="50"/>
  <c r="AT227" i="50" s="1"/>
  <c r="AW227" i="50" s="1"/>
  <c r="AS67" i="50"/>
  <c r="AV67" i="50" s="1"/>
  <c r="AU67" i="50"/>
  <c r="AB67" i="50"/>
  <c r="J67" i="50"/>
  <c r="AZ67" i="50" s="1"/>
  <c r="AP67" i="50" s="1"/>
  <c r="AD225" i="50"/>
  <c r="AF225" i="50"/>
  <c r="BB40" i="50"/>
  <c r="BA40" i="50"/>
  <c r="M40" i="50"/>
  <c r="AF41" i="50"/>
  <c r="AU226" i="50"/>
  <c r="AB226" i="50"/>
  <c r="AS226" i="50"/>
  <c r="AV226" i="50" s="1"/>
  <c r="AR68" i="50"/>
  <c r="H73" i="50"/>
  <c r="AQ68" i="50"/>
  <c r="AT68" i="50" s="1"/>
  <c r="AW68" i="50" s="1"/>
  <c r="M224" i="50"/>
  <c r="L123" i="50"/>
  <c r="K41" i="50"/>
  <c r="P41" i="50" s="1"/>
  <c r="M225" i="50"/>
  <c r="L75" i="50"/>
  <c r="Q224" i="50"/>
  <c r="R224" i="50" s="1"/>
  <c r="Y224" i="50" s="1"/>
  <c r="O224" i="50"/>
  <c r="AS42" i="50"/>
  <c r="AV42" i="50" s="1"/>
  <c r="AU42" i="50"/>
  <c r="AB42" i="50"/>
  <c r="J42" i="50"/>
  <c r="AZ42" i="50" s="1"/>
  <c r="AP42" i="50" s="1"/>
  <c r="P225" i="50"/>
  <c r="N225" i="50"/>
  <c r="L227" i="50"/>
  <c r="J227" i="50" s="1"/>
  <c r="AZ227" i="50" s="1"/>
  <c r="AP227" i="50" s="1"/>
  <c r="J226" i="50"/>
  <c r="AZ226" i="50" s="1"/>
  <c r="AP226" i="50" s="1"/>
  <c r="AQ43" i="50"/>
  <c r="AT43" i="50" s="1"/>
  <c r="AW43" i="50" s="1"/>
  <c r="AR43" i="50"/>
  <c r="Q65" i="50"/>
  <c r="R65" i="50" s="1"/>
  <c r="Y65" i="50" s="1"/>
  <c r="O65" i="50"/>
  <c r="P40" i="50"/>
  <c r="K66" i="50"/>
  <c r="AD66" i="50" s="1"/>
  <c r="AI40" i="50"/>
  <c r="M44" i="48"/>
  <c r="K45" i="48"/>
  <c r="P40" i="48"/>
  <c r="N40" i="48"/>
  <c r="AE40" i="48"/>
  <c r="AH40" i="48" s="1"/>
  <c r="AC40" i="48"/>
  <c r="AS41" i="48"/>
  <c r="AV41" i="48" s="1"/>
  <c r="AU41" i="48"/>
  <c r="AA41" i="48"/>
  <c r="AR42" i="48"/>
  <c r="AQ42" i="48"/>
  <c r="AT42" i="48" s="1"/>
  <c r="AW42" i="48" s="1"/>
  <c r="L45" i="48"/>
  <c r="Q39" i="48"/>
  <c r="R39" i="48" s="1"/>
  <c r="X39" i="48" s="1"/>
  <c r="O39" i="48"/>
  <c r="AH39" i="48"/>
  <c r="N39" i="40"/>
  <c r="L45" i="40"/>
  <c r="AQ227" i="40"/>
  <c r="AT227" i="40" s="1"/>
  <c r="AW227" i="40" s="1"/>
  <c r="H232" i="40"/>
  <c r="AR227" i="40"/>
  <c r="AL44" i="40"/>
  <c r="AU41" i="40"/>
  <c r="AB41" i="40"/>
  <c r="AS41" i="40"/>
  <c r="AV41" i="40" s="1"/>
  <c r="J41" i="40"/>
  <c r="AZ41" i="40" s="1"/>
  <c r="AP41" i="40" s="1"/>
  <c r="Q224" i="40"/>
  <c r="R224" i="40" s="1"/>
  <c r="Y224" i="40" s="1"/>
  <c r="O224" i="40"/>
  <c r="AF225" i="40"/>
  <c r="AI225" i="40" s="1"/>
  <c r="M224" i="40"/>
  <c r="AS226" i="40"/>
  <c r="AV226" i="40" s="1"/>
  <c r="AB226" i="40"/>
  <c r="AU226" i="40"/>
  <c r="J226" i="40"/>
  <c r="AZ226" i="40" s="1"/>
  <c r="AP226" i="40" s="1"/>
  <c r="AF40" i="40"/>
  <c r="AD224" i="40"/>
  <c r="N225" i="40"/>
  <c r="P225" i="40"/>
  <c r="O39" i="40"/>
  <c r="Q39" i="40"/>
  <c r="R39" i="40" s="1"/>
  <c r="Y39" i="40" s="1"/>
  <c r="AQ42" i="40"/>
  <c r="AT42" i="40" s="1"/>
  <c r="AW42" i="40" s="1"/>
  <c r="H43" i="40"/>
  <c r="AR42" i="40"/>
  <c r="K40" i="40"/>
  <c r="P40" i="40" s="1"/>
  <c r="K225" i="40"/>
  <c r="L110" i="40"/>
  <c r="E316" i="40"/>
  <c r="D317" i="40"/>
  <c r="E317" i="40" s="1"/>
  <c r="N224" i="40"/>
  <c r="L142" i="39"/>
  <c r="AF40" i="39"/>
  <c r="AQ226" i="39"/>
  <c r="AT226" i="39" s="1"/>
  <c r="AW226" i="39" s="1"/>
  <c r="AR226" i="39"/>
  <c r="H227" i="39"/>
  <c r="N223" i="39"/>
  <c r="Q39" i="39"/>
  <c r="R39" i="39" s="1"/>
  <c r="Y39" i="39" s="1"/>
  <c r="O39" i="39"/>
  <c r="K40" i="39"/>
  <c r="AD40" i="39" s="1"/>
  <c r="M224" i="39"/>
  <c r="O63" i="39"/>
  <c r="Q63" i="39"/>
  <c r="R63" i="39" s="1"/>
  <c r="Y63" i="39" s="1"/>
  <c r="P223" i="39"/>
  <c r="AI40" i="39"/>
  <c r="AU225" i="39"/>
  <c r="AS225" i="39"/>
  <c r="AV225" i="39" s="1"/>
  <c r="K225" i="39" s="1"/>
  <c r="AB225" i="39"/>
  <c r="AS41" i="39"/>
  <c r="AV41" i="39" s="1"/>
  <c r="AU41" i="39"/>
  <c r="AB41" i="39"/>
  <c r="J41" i="39"/>
  <c r="AZ41" i="39" s="1"/>
  <c r="AP41" i="39" s="1"/>
  <c r="AD224" i="39"/>
  <c r="AF224" i="39"/>
  <c r="L252" i="39"/>
  <c r="L168" i="39"/>
  <c r="L227" i="39"/>
  <c r="AI223" i="39"/>
  <c r="AS66" i="39"/>
  <c r="AV66" i="39" s="1"/>
  <c r="AB66" i="39"/>
  <c r="AU66" i="39"/>
  <c r="J66" i="39"/>
  <c r="AZ66" i="39" s="1"/>
  <c r="AP66" i="39" s="1"/>
  <c r="H68" i="39"/>
  <c r="AR67" i="39"/>
  <c r="AQ67" i="39"/>
  <c r="AT67" i="39" s="1"/>
  <c r="AW67" i="39" s="1"/>
  <c r="L76" i="39"/>
  <c r="M223" i="39"/>
  <c r="H43" i="39"/>
  <c r="AQ42" i="39"/>
  <c r="AT42" i="39" s="1"/>
  <c r="AW42" i="39" s="1"/>
  <c r="AR42" i="39"/>
  <c r="P224" i="39"/>
  <c r="N224" i="39"/>
  <c r="Q64" i="39"/>
  <c r="R64" i="39" s="1"/>
  <c r="Y64" i="39" s="1"/>
  <c r="O64" i="39"/>
  <c r="BB39" i="39"/>
  <c r="BA39" i="39"/>
  <c r="K65" i="39"/>
  <c r="AD64" i="36"/>
  <c r="O63" i="36"/>
  <c r="M40" i="36"/>
  <c r="N40" i="36"/>
  <c r="AD40" i="36"/>
  <c r="AD223" i="36"/>
  <c r="N64" i="36"/>
  <c r="P64" i="36"/>
  <c r="O64" i="36" s="1"/>
  <c r="L124" i="36"/>
  <c r="P223" i="36"/>
  <c r="Q40" i="36"/>
  <c r="R40" i="36" s="1"/>
  <c r="Y40" i="36" s="1"/>
  <c r="O40" i="36"/>
  <c r="AU225" i="36"/>
  <c r="AS225" i="36"/>
  <c r="AV225" i="36" s="1"/>
  <c r="J225" i="36"/>
  <c r="AZ225" i="36" s="1"/>
  <c r="AP225" i="36" s="1"/>
  <c r="AF224" i="36"/>
  <c r="AI224" i="36" s="1"/>
  <c r="AS66" i="36"/>
  <c r="AV66" i="36" s="1"/>
  <c r="AU66" i="36"/>
  <c r="J66" i="36"/>
  <c r="AZ66" i="36" s="1"/>
  <c r="AP66" i="36" s="1"/>
  <c r="M223" i="36"/>
  <c r="AF41" i="36"/>
  <c r="BB41" i="36" s="1"/>
  <c r="K65" i="36"/>
  <c r="N65" i="36" s="1"/>
  <c r="AR226" i="36"/>
  <c r="AB226" i="36" s="1"/>
  <c r="H227" i="36"/>
  <c r="AQ226" i="36"/>
  <c r="AT226" i="36" s="1"/>
  <c r="AW226" i="36" s="1"/>
  <c r="BA40" i="36"/>
  <c r="L192" i="36"/>
  <c r="AQ43" i="36"/>
  <c r="AT43" i="36" s="1"/>
  <c r="AW43" i="36" s="1"/>
  <c r="AR43" i="36"/>
  <c r="AB43" i="36" s="1"/>
  <c r="L252" i="36"/>
  <c r="K41" i="36"/>
  <c r="AD41" i="36" s="1"/>
  <c r="K224" i="36"/>
  <c r="P224" i="36" s="1"/>
  <c r="E318" i="36"/>
  <c r="E317" i="36"/>
  <c r="D318" i="36"/>
  <c r="AS42" i="36"/>
  <c r="AV42" i="36" s="1"/>
  <c r="AU42" i="36"/>
  <c r="J42" i="36"/>
  <c r="AZ42" i="36" s="1"/>
  <c r="AP42" i="36" s="1"/>
  <c r="L73" i="36"/>
  <c r="H68" i="36"/>
  <c r="AQ67" i="36"/>
  <c r="AT67" i="36" s="1"/>
  <c r="AW67" i="36" s="1"/>
  <c r="AR67" i="36"/>
  <c r="AB67" i="36" s="1"/>
  <c r="AI40" i="36"/>
  <c r="D49" i="17"/>
  <c r="N48" i="17"/>
  <c r="N41" i="50" l="1"/>
  <c r="N66" i="50"/>
  <c r="Q41" i="50"/>
  <c r="R41" i="50" s="1"/>
  <c r="Y41" i="50" s="1"/>
  <c r="O41" i="50"/>
  <c r="M41" i="50"/>
  <c r="AI225" i="50"/>
  <c r="AF226" i="50"/>
  <c r="AI226" i="50"/>
  <c r="P66" i="50"/>
  <c r="AF42" i="50"/>
  <c r="AD42" i="50"/>
  <c r="AQ73" i="50"/>
  <c r="AT73" i="50" s="1"/>
  <c r="AW73" i="50" s="1"/>
  <c r="H74" i="50"/>
  <c r="AR73" i="50"/>
  <c r="L76" i="50"/>
  <c r="AU68" i="50"/>
  <c r="AS68" i="50"/>
  <c r="AV68" i="50" s="1"/>
  <c r="AB68" i="50"/>
  <c r="J68" i="50"/>
  <c r="AZ68" i="50" s="1"/>
  <c r="AP68" i="50" s="1"/>
  <c r="AD41" i="50"/>
  <c r="K67" i="50"/>
  <c r="AD67" i="50" s="1"/>
  <c r="L188" i="50"/>
  <c r="AU43" i="50"/>
  <c r="AS43" i="50"/>
  <c r="AV43" i="50" s="1"/>
  <c r="AB43" i="50"/>
  <c r="J43" i="50"/>
  <c r="AZ43" i="50" s="1"/>
  <c r="AP43" i="50" s="1"/>
  <c r="L124" i="50"/>
  <c r="P67" i="50"/>
  <c r="M66" i="50"/>
  <c r="AM66" i="50" s="1"/>
  <c r="AI42" i="50"/>
  <c r="AR232" i="50"/>
  <c r="H233" i="50"/>
  <c r="AQ232" i="50"/>
  <c r="AT232" i="50" s="1"/>
  <c r="AW232" i="50" s="1"/>
  <c r="Q40" i="50"/>
  <c r="R40" i="50" s="1"/>
  <c r="O40" i="50"/>
  <c r="AS227" i="50"/>
  <c r="AV227" i="50" s="1"/>
  <c r="AB227" i="50"/>
  <c r="AU227" i="50"/>
  <c r="K42" i="50"/>
  <c r="N42" i="50" s="1"/>
  <c r="O225" i="50"/>
  <c r="Q225" i="50"/>
  <c r="R225" i="50" s="1"/>
  <c r="Y225" i="50" s="1"/>
  <c r="K226" i="50"/>
  <c r="N226" i="50" s="1"/>
  <c r="BB41" i="50"/>
  <c r="BA41" i="50"/>
  <c r="M45" i="48"/>
  <c r="K46" i="48"/>
  <c r="AS42" i="48"/>
  <c r="AV42" i="48" s="1"/>
  <c r="AA42" i="48"/>
  <c r="AU42" i="48"/>
  <c r="AC41" i="48"/>
  <c r="AE41" i="48"/>
  <c r="AH41" i="48"/>
  <c r="AQ43" i="48"/>
  <c r="AT43" i="48" s="1"/>
  <c r="AW43" i="48" s="1"/>
  <c r="AR43" i="48"/>
  <c r="O40" i="48"/>
  <c r="Q40" i="48"/>
  <c r="R40" i="48" s="1"/>
  <c r="X40" i="48" s="1"/>
  <c r="L46" i="48"/>
  <c r="N41" i="48"/>
  <c r="P41" i="48"/>
  <c r="Q40" i="40"/>
  <c r="R40" i="40" s="1"/>
  <c r="Y40" i="40" s="1"/>
  <c r="O40" i="40"/>
  <c r="Q225" i="40"/>
  <c r="R225" i="40" s="1"/>
  <c r="Y225" i="40" s="1"/>
  <c r="O225" i="40"/>
  <c r="K41" i="40"/>
  <c r="P41" i="40" s="1"/>
  <c r="H233" i="40"/>
  <c r="AR232" i="40"/>
  <c r="AQ232" i="40"/>
  <c r="AT232" i="40" s="1"/>
  <c r="AW232" i="40" s="1"/>
  <c r="AU42" i="40"/>
  <c r="AB42" i="40"/>
  <c r="AS42" i="40"/>
  <c r="AV42" i="40" s="1"/>
  <c r="J42" i="40"/>
  <c r="AZ42" i="40" s="1"/>
  <c r="AP42" i="40" s="1"/>
  <c r="AU227" i="40"/>
  <c r="AB227" i="40"/>
  <c r="AS227" i="40"/>
  <c r="AV227" i="40" s="1"/>
  <c r="J227" i="40"/>
  <c r="AZ227" i="40" s="1"/>
  <c r="AP227" i="40" s="1"/>
  <c r="AI41" i="40"/>
  <c r="M225" i="40"/>
  <c r="AL45" i="40"/>
  <c r="M40" i="40"/>
  <c r="L111" i="40"/>
  <c r="AQ43" i="40"/>
  <c r="AT43" i="40" s="1"/>
  <c r="AW43" i="40" s="1"/>
  <c r="H44" i="40"/>
  <c r="AR43" i="40"/>
  <c r="AF226" i="40"/>
  <c r="AI226" i="40" s="1"/>
  <c r="L46" i="40"/>
  <c r="N40" i="40"/>
  <c r="AD40" i="40"/>
  <c r="K226" i="40"/>
  <c r="N226" i="40" s="1"/>
  <c r="AD225" i="40"/>
  <c r="AF41" i="40"/>
  <c r="AI40" i="40"/>
  <c r="K66" i="39"/>
  <c r="P40" i="39"/>
  <c r="M225" i="39"/>
  <c r="O223" i="39"/>
  <c r="Q223" i="39"/>
  <c r="R223" i="39" s="1"/>
  <c r="Y223" i="39" s="1"/>
  <c r="M65" i="39"/>
  <c r="AM65" i="39" s="1"/>
  <c r="AF225" i="39"/>
  <c r="AD225" i="39"/>
  <c r="M66" i="39"/>
  <c r="AM66" i="39" s="1"/>
  <c r="AF41" i="39"/>
  <c r="AI41" i="39" s="1"/>
  <c r="P225" i="39"/>
  <c r="N225" i="39"/>
  <c r="AQ227" i="39"/>
  <c r="AT227" i="39" s="1"/>
  <c r="AW227" i="39" s="1"/>
  <c r="AR227" i="39"/>
  <c r="H232" i="39"/>
  <c r="AQ43" i="39"/>
  <c r="AT43" i="39" s="1"/>
  <c r="AW43" i="39" s="1"/>
  <c r="AR43" i="39"/>
  <c r="AB67" i="39"/>
  <c r="AS67" i="39"/>
  <c r="AV67" i="39" s="1"/>
  <c r="AU67" i="39"/>
  <c r="J67" i="39"/>
  <c r="AZ67" i="39" s="1"/>
  <c r="AP67" i="39" s="1"/>
  <c r="P65" i="39"/>
  <c r="AS226" i="39"/>
  <c r="AV226" i="39" s="1"/>
  <c r="AB226" i="39"/>
  <c r="AU226" i="39"/>
  <c r="AS42" i="39"/>
  <c r="AV42" i="39" s="1"/>
  <c r="AU42" i="39"/>
  <c r="AB42" i="39"/>
  <c r="J42" i="39"/>
  <c r="AZ42" i="39" s="1"/>
  <c r="AP42" i="39" s="1"/>
  <c r="L77" i="39"/>
  <c r="AR68" i="39"/>
  <c r="AQ68" i="39"/>
  <c r="AT68" i="39" s="1"/>
  <c r="AW68" i="39" s="1"/>
  <c r="H73" i="39"/>
  <c r="AD66" i="39"/>
  <c r="J227" i="39"/>
  <c r="AZ227" i="39" s="1"/>
  <c r="AP227" i="39" s="1"/>
  <c r="Q40" i="39"/>
  <c r="R40" i="39" s="1"/>
  <c r="Y40" i="39" s="1"/>
  <c r="O40" i="39"/>
  <c r="N65" i="39"/>
  <c r="M40" i="39"/>
  <c r="AD65" i="39"/>
  <c r="L143" i="39"/>
  <c r="L192" i="39"/>
  <c r="O224" i="39"/>
  <c r="Q224" i="39"/>
  <c r="R224" i="39" s="1"/>
  <c r="Y224" i="39" s="1"/>
  <c r="P66" i="39"/>
  <c r="N66" i="39"/>
  <c r="J226" i="39"/>
  <c r="AZ226" i="39" s="1"/>
  <c r="AP226" i="39" s="1"/>
  <c r="AI224" i="39"/>
  <c r="K41" i="39"/>
  <c r="P41" i="39" s="1"/>
  <c r="N40" i="39"/>
  <c r="BB40" i="39"/>
  <c r="BA40" i="39"/>
  <c r="Q64" i="36"/>
  <c r="R64" i="36" s="1"/>
  <c r="Y64" i="36" s="1"/>
  <c r="P65" i="36"/>
  <c r="O65" i="36" s="1"/>
  <c r="AD65" i="36"/>
  <c r="O224" i="36"/>
  <c r="Q224" i="36"/>
  <c r="R224" i="36" s="1"/>
  <c r="Y224" i="36" s="1"/>
  <c r="L125" i="36"/>
  <c r="AQ68" i="36"/>
  <c r="AT68" i="36" s="1"/>
  <c r="AW68" i="36" s="1"/>
  <c r="H73" i="36"/>
  <c r="AR68" i="36"/>
  <c r="AB68" i="36" s="1"/>
  <c r="M41" i="36"/>
  <c r="BA41" i="36"/>
  <c r="N41" i="36"/>
  <c r="K42" i="36"/>
  <c r="AD42" i="36" s="1"/>
  <c r="AQ227" i="36"/>
  <c r="AT227" i="36" s="1"/>
  <c r="AW227" i="36" s="1"/>
  <c r="H232" i="36"/>
  <c r="AR227" i="36"/>
  <c r="AB227" i="36" s="1"/>
  <c r="AF225" i="36"/>
  <c r="AI225" i="36" s="1"/>
  <c r="P41" i="36"/>
  <c r="AI41" i="36"/>
  <c r="M224" i="36"/>
  <c r="N224" i="36"/>
  <c r="AS43" i="36"/>
  <c r="AV43" i="36" s="1"/>
  <c r="AU43" i="36"/>
  <c r="J43" i="36"/>
  <c r="AZ43" i="36" s="1"/>
  <c r="AP43" i="36" s="1"/>
  <c r="AU226" i="36"/>
  <c r="AS226" i="36"/>
  <c r="AV226" i="36" s="1"/>
  <c r="J226" i="36"/>
  <c r="AZ226" i="36" s="1"/>
  <c r="AP226" i="36" s="1"/>
  <c r="K225" i="36"/>
  <c r="N225" i="36" s="1"/>
  <c r="AF42" i="36"/>
  <c r="BB42" i="36" s="1"/>
  <c r="L191" i="36"/>
  <c r="K66" i="36"/>
  <c r="P66" i="36" s="1"/>
  <c r="AS67" i="36"/>
  <c r="AV67" i="36" s="1"/>
  <c r="AU67" i="36"/>
  <c r="J67" i="36"/>
  <c r="AZ67" i="36" s="1"/>
  <c r="AP67" i="36" s="1"/>
  <c r="L74" i="36"/>
  <c r="M65" i="36"/>
  <c r="AM65" i="36" s="1"/>
  <c r="AD224" i="36"/>
  <c r="O223" i="36"/>
  <c r="Q223" i="36"/>
  <c r="R223" i="36" s="1"/>
  <c r="N49" i="17"/>
  <c r="D50" i="17"/>
  <c r="L187" i="50" l="1"/>
  <c r="BB42" i="50"/>
  <c r="BA42" i="50"/>
  <c r="AD226" i="50"/>
  <c r="Y40" i="50"/>
  <c r="AF43" i="50"/>
  <c r="AU73" i="50"/>
  <c r="AS73" i="50"/>
  <c r="AV73" i="50" s="1"/>
  <c r="AB73" i="50"/>
  <c r="J73" i="50"/>
  <c r="AZ73" i="50" s="1"/>
  <c r="AP73" i="50" s="1"/>
  <c r="K227" i="50"/>
  <c r="N227" i="50" s="1"/>
  <c r="H234" i="50"/>
  <c r="AR233" i="50"/>
  <c r="AQ233" i="50"/>
  <c r="AT233" i="50" s="1"/>
  <c r="AW233" i="50" s="1"/>
  <c r="L77" i="50"/>
  <c r="Q67" i="50"/>
  <c r="R67" i="50" s="1"/>
  <c r="Y67" i="50" s="1"/>
  <c r="O67" i="50"/>
  <c r="M226" i="50"/>
  <c r="M42" i="50"/>
  <c r="P226" i="50"/>
  <c r="M67" i="50"/>
  <c r="AM67" i="50" s="1"/>
  <c r="K68" i="50"/>
  <c r="P68" i="50" s="1"/>
  <c r="N43" i="50"/>
  <c r="AQ74" i="50"/>
  <c r="AT74" i="50" s="1"/>
  <c r="AW74" i="50" s="1"/>
  <c r="H75" i="50"/>
  <c r="AR74" i="50"/>
  <c r="L125" i="50"/>
  <c r="AF227" i="50"/>
  <c r="AD227" i="50"/>
  <c r="AU232" i="50"/>
  <c r="AB232" i="50"/>
  <c r="K232" i="50"/>
  <c r="J232" i="50"/>
  <c r="AZ232" i="50" s="1"/>
  <c r="AP232" i="50" s="1"/>
  <c r="AS232" i="50"/>
  <c r="AV232" i="50" s="1"/>
  <c r="N67" i="50"/>
  <c r="P42" i="50"/>
  <c r="K43" i="50"/>
  <c r="P43" i="50" s="1"/>
  <c r="O66" i="50"/>
  <c r="Q66" i="50"/>
  <c r="R66" i="50" s="1"/>
  <c r="K47" i="48"/>
  <c r="M46" i="48"/>
  <c r="AE42" i="48"/>
  <c r="AC42" i="48"/>
  <c r="AQ44" i="48"/>
  <c r="AT44" i="48" s="1"/>
  <c r="AW44" i="48" s="1"/>
  <c r="AR44" i="48"/>
  <c r="Q41" i="48"/>
  <c r="R41" i="48" s="1"/>
  <c r="X41" i="48" s="1"/>
  <c r="O41" i="48"/>
  <c r="L47" i="48"/>
  <c r="AU43" i="48"/>
  <c r="AA43" i="48"/>
  <c r="AS43" i="48"/>
  <c r="AV43" i="48" s="1"/>
  <c r="P42" i="48"/>
  <c r="N42" i="48"/>
  <c r="AD41" i="40"/>
  <c r="N41" i="40"/>
  <c r="AU232" i="40"/>
  <c r="AB232" i="40"/>
  <c r="AS232" i="40"/>
  <c r="AV232" i="40" s="1"/>
  <c r="J232" i="40"/>
  <c r="AZ232" i="40" s="1"/>
  <c r="AP232" i="40" s="1"/>
  <c r="M226" i="40"/>
  <c r="Q41" i="40"/>
  <c r="R41" i="40" s="1"/>
  <c r="Y41" i="40" s="1"/>
  <c r="O41" i="40"/>
  <c r="P226" i="40"/>
  <c r="K227" i="40"/>
  <c r="H234" i="40"/>
  <c r="AR233" i="40"/>
  <c r="AQ233" i="40"/>
  <c r="AT233" i="40" s="1"/>
  <c r="AW233" i="40" s="1"/>
  <c r="H45" i="40"/>
  <c r="AR44" i="40"/>
  <c r="AQ44" i="40"/>
  <c r="AT44" i="40" s="1"/>
  <c r="AW44" i="40" s="1"/>
  <c r="L47" i="40"/>
  <c r="AL46" i="40"/>
  <c r="N227" i="40"/>
  <c r="P227" i="40"/>
  <c r="K42" i="40"/>
  <c r="P42" i="40" s="1"/>
  <c r="M41" i="40"/>
  <c r="AS43" i="40"/>
  <c r="AV43" i="40" s="1"/>
  <c r="AB43" i="40"/>
  <c r="AU43" i="40"/>
  <c r="J43" i="40"/>
  <c r="AZ43" i="40" s="1"/>
  <c r="AP43" i="40" s="1"/>
  <c r="AD226" i="40"/>
  <c r="L112" i="40"/>
  <c r="AF227" i="40"/>
  <c r="AI227" i="40" s="1"/>
  <c r="AD227" i="40"/>
  <c r="AF42" i="40"/>
  <c r="AI42" i="40" s="1"/>
  <c r="O225" i="39"/>
  <c r="Q225" i="39"/>
  <c r="R225" i="39" s="1"/>
  <c r="Y225" i="39" s="1"/>
  <c r="M41" i="39"/>
  <c r="H233" i="39"/>
  <c r="AR232" i="39"/>
  <c r="AQ232" i="39"/>
  <c r="AT232" i="39" s="1"/>
  <c r="AW232" i="39" s="1"/>
  <c r="AD41" i="39"/>
  <c r="K67" i="39"/>
  <c r="N67" i="39" s="1"/>
  <c r="AB227" i="39"/>
  <c r="AU227" i="39"/>
  <c r="AS227" i="39"/>
  <c r="AV227" i="39" s="1"/>
  <c r="BB41" i="39"/>
  <c r="BA41" i="39"/>
  <c r="AI225" i="39"/>
  <c r="Q41" i="39"/>
  <c r="R41" i="39" s="1"/>
  <c r="Y41" i="39" s="1"/>
  <c r="O41" i="39"/>
  <c r="N41" i="39"/>
  <c r="H74" i="39"/>
  <c r="AR73" i="39"/>
  <c r="AQ73" i="39"/>
  <c r="AT73" i="39" s="1"/>
  <c r="AW73" i="39" s="1"/>
  <c r="AF42" i="39"/>
  <c r="AI42" i="39" s="1"/>
  <c r="L191" i="39"/>
  <c r="O66" i="39"/>
  <c r="Q66" i="39"/>
  <c r="R66" i="39" s="1"/>
  <c r="Y66" i="39" s="1"/>
  <c r="L78" i="39"/>
  <c r="Q65" i="39"/>
  <c r="R65" i="39" s="1"/>
  <c r="Y65" i="39" s="1"/>
  <c r="O65" i="39"/>
  <c r="K226" i="39"/>
  <c r="P226" i="39" s="1"/>
  <c r="AU43" i="39"/>
  <c r="AB43" i="39"/>
  <c r="AS43" i="39"/>
  <c r="AV43" i="39" s="1"/>
  <c r="J43" i="39"/>
  <c r="AZ43" i="39" s="1"/>
  <c r="AP43" i="39" s="1"/>
  <c r="K68" i="39"/>
  <c r="AU68" i="39"/>
  <c r="AB68" i="39"/>
  <c r="AS68" i="39"/>
  <c r="AV68" i="39" s="1"/>
  <c r="J68" i="39"/>
  <c r="AZ68" i="39" s="1"/>
  <c r="AP68" i="39" s="1"/>
  <c r="K42" i="39"/>
  <c r="P42" i="39" s="1"/>
  <c r="AF226" i="39"/>
  <c r="Q65" i="36"/>
  <c r="R65" i="36" s="1"/>
  <c r="Y65" i="36" s="1"/>
  <c r="P42" i="36"/>
  <c r="Q42" i="36" s="1"/>
  <c r="R42" i="36" s="1"/>
  <c r="Y42" i="36" s="1"/>
  <c r="N66" i="36"/>
  <c r="AI42" i="36"/>
  <c r="N42" i="36"/>
  <c r="L190" i="36"/>
  <c r="AF226" i="36"/>
  <c r="AI226" i="36" s="1"/>
  <c r="Q41" i="36"/>
  <c r="R41" i="36" s="1"/>
  <c r="Y41" i="36" s="1"/>
  <c r="O41" i="36"/>
  <c r="K67" i="36"/>
  <c r="N67" i="36" s="1"/>
  <c r="O66" i="36"/>
  <c r="Q66" i="36"/>
  <c r="R66" i="36" s="1"/>
  <c r="Y66" i="36" s="1"/>
  <c r="AQ232" i="36"/>
  <c r="AT232" i="36" s="1"/>
  <c r="AW232" i="36" s="1"/>
  <c r="H233" i="36"/>
  <c r="AR232" i="36"/>
  <c r="AB232" i="36" s="1"/>
  <c r="P225" i="36"/>
  <c r="BA42" i="36"/>
  <c r="AD225" i="36"/>
  <c r="AR73" i="36"/>
  <c r="AB73" i="36" s="1"/>
  <c r="AQ73" i="36"/>
  <c r="AT73" i="36" s="1"/>
  <c r="AW73" i="36" s="1"/>
  <c r="H74" i="36"/>
  <c r="AF43" i="36"/>
  <c r="BB43" i="36" s="1"/>
  <c r="M225" i="36"/>
  <c r="Y223" i="36"/>
  <c r="AU227" i="36"/>
  <c r="AS227" i="36"/>
  <c r="AV227" i="36" s="1"/>
  <c r="J227" i="36"/>
  <c r="AZ227" i="36" s="1"/>
  <c r="AP227" i="36" s="1"/>
  <c r="AS68" i="36"/>
  <c r="AV68" i="36" s="1"/>
  <c r="AU68" i="36"/>
  <c r="J68" i="36"/>
  <c r="AZ68" i="36" s="1"/>
  <c r="AP68" i="36" s="1"/>
  <c r="L75" i="36"/>
  <c r="M66" i="36"/>
  <c r="AM66" i="36" s="1"/>
  <c r="K226" i="36"/>
  <c r="AD226" i="36" s="1"/>
  <c r="K43" i="36"/>
  <c r="P43" i="36" s="1"/>
  <c r="AD66" i="36"/>
  <c r="M42" i="36"/>
  <c r="L126" i="36"/>
  <c r="D51" i="17"/>
  <c r="N50" i="17"/>
  <c r="AD43" i="50" l="1"/>
  <c r="N68" i="50"/>
  <c r="Q43" i="50"/>
  <c r="R43" i="50" s="1"/>
  <c r="Y43" i="50" s="1"/>
  <c r="O43" i="50"/>
  <c r="L126" i="50"/>
  <c r="Q226" i="50"/>
  <c r="R226" i="50" s="1"/>
  <c r="O226" i="50"/>
  <c r="L78" i="50"/>
  <c r="AD232" i="50"/>
  <c r="BB43" i="50"/>
  <c r="BA43" i="50"/>
  <c r="Q42" i="50"/>
  <c r="R42" i="50" s="1"/>
  <c r="O42" i="50"/>
  <c r="AF73" i="50"/>
  <c r="M68" i="50"/>
  <c r="AM68" i="50" s="1"/>
  <c r="AU233" i="50"/>
  <c r="K233" i="50"/>
  <c r="AB233" i="50"/>
  <c r="AS233" i="50"/>
  <c r="AV233" i="50" s="1"/>
  <c r="J233" i="50"/>
  <c r="AZ233" i="50" s="1"/>
  <c r="AP233" i="50" s="1"/>
  <c r="N232" i="50"/>
  <c r="P232" i="50"/>
  <c r="AI227" i="50"/>
  <c r="AR234" i="50"/>
  <c r="AQ234" i="50"/>
  <c r="AT234" i="50" s="1"/>
  <c r="AW234" i="50" s="1"/>
  <c r="H235" i="50"/>
  <c r="M232" i="50"/>
  <c r="M43" i="50"/>
  <c r="K73" i="50"/>
  <c r="Y66" i="50"/>
  <c r="AB74" i="50"/>
  <c r="AU74" i="50"/>
  <c r="AS74" i="50"/>
  <c r="AV74" i="50" s="1"/>
  <c r="J74" i="50"/>
  <c r="AZ74" i="50" s="1"/>
  <c r="AP74" i="50" s="1"/>
  <c r="Q68" i="50"/>
  <c r="R68" i="50" s="1"/>
  <c r="Y68" i="50" s="1"/>
  <c r="O68" i="50"/>
  <c r="AQ75" i="50"/>
  <c r="AT75" i="50" s="1"/>
  <c r="AW75" i="50" s="1"/>
  <c r="AR75" i="50"/>
  <c r="H76" i="50"/>
  <c r="L186" i="50"/>
  <c r="AD68" i="50"/>
  <c r="M227" i="50"/>
  <c r="AI43" i="50"/>
  <c r="P227" i="50"/>
  <c r="M47" i="48"/>
  <c r="K48" i="48"/>
  <c r="Q42" i="48"/>
  <c r="R42" i="48" s="1"/>
  <c r="X42" i="48" s="1"/>
  <c r="O42" i="48"/>
  <c r="L48" i="48"/>
  <c r="AU44" i="48"/>
  <c r="AS44" i="48"/>
  <c r="AV44" i="48" s="1"/>
  <c r="AA44" i="48"/>
  <c r="AR45" i="48"/>
  <c r="AQ45" i="48"/>
  <c r="AT45" i="48" s="1"/>
  <c r="AW45" i="48" s="1"/>
  <c r="AH43" i="48"/>
  <c r="AH42" i="48"/>
  <c r="AC43" i="48"/>
  <c r="AE43" i="48"/>
  <c r="N43" i="48"/>
  <c r="P43" i="48"/>
  <c r="K43" i="40"/>
  <c r="N43" i="40" s="1"/>
  <c r="AD42" i="40"/>
  <c r="O42" i="40"/>
  <c r="Q42" i="40"/>
  <c r="R42" i="40" s="1"/>
  <c r="Y42" i="40" s="1"/>
  <c r="M43" i="40"/>
  <c r="H235" i="40"/>
  <c r="AR234" i="40"/>
  <c r="AQ234" i="40"/>
  <c r="AT234" i="40" s="1"/>
  <c r="AW234" i="40" s="1"/>
  <c r="L113" i="40"/>
  <c r="AU44" i="40"/>
  <c r="AB44" i="40"/>
  <c r="AS44" i="40"/>
  <c r="AV44" i="40" s="1"/>
  <c r="J44" i="40"/>
  <c r="AZ44" i="40" s="1"/>
  <c r="AP44" i="40" s="1"/>
  <c r="N42" i="40"/>
  <c r="P43" i="40"/>
  <c r="AL47" i="40"/>
  <c r="AR45" i="40"/>
  <c r="AQ45" i="40"/>
  <c r="AT45" i="40" s="1"/>
  <c r="AW45" i="40" s="1"/>
  <c r="H46" i="40"/>
  <c r="K232" i="40"/>
  <c r="P232" i="40" s="1"/>
  <c r="AS233" i="40"/>
  <c r="AV233" i="40" s="1"/>
  <c r="AB233" i="40"/>
  <c r="AU233" i="40"/>
  <c r="J233" i="40"/>
  <c r="AZ233" i="40" s="1"/>
  <c r="AP233" i="40" s="1"/>
  <c r="M227" i="40"/>
  <c r="AD232" i="40"/>
  <c r="Q227" i="40"/>
  <c r="R227" i="40" s="1"/>
  <c r="Y227" i="40" s="1"/>
  <c r="O227" i="40"/>
  <c r="AD43" i="40"/>
  <c r="AF43" i="40"/>
  <c r="M42" i="40"/>
  <c r="L48" i="40"/>
  <c r="Q226" i="40"/>
  <c r="R226" i="40" s="1"/>
  <c r="O226" i="40"/>
  <c r="AD226" i="39"/>
  <c r="N226" i="39"/>
  <c r="K43" i="39"/>
  <c r="P43" i="39" s="1"/>
  <c r="Q42" i="39"/>
  <c r="R42" i="39" s="1"/>
  <c r="Y42" i="39" s="1"/>
  <c r="O42" i="39"/>
  <c r="L79" i="39"/>
  <c r="BB42" i="39"/>
  <c r="BA42" i="39"/>
  <c r="K227" i="39"/>
  <c r="AS73" i="39"/>
  <c r="AV73" i="39" s="1"/>
  <c r="AB73" i="39"/>
  <c r="AU73" i="39"/>
  <c r="J73" i="39"/>
  <c r="AZ73" i="39" s="1"/>
  <c r="AP73" i="39" s="1"/>
  <c r="M42" i="39"/>
  <c r="M226" i="39"/>
  <c r="AD42" i="39"/>
  <c r="AD67" i="39"/>
  <c r="N42" i="39"/>
  <c r="L190" i="39"/>
  <c r="AR233" i="39"/>
  <c r="AQ233" i="39"/>
  <c r="AT233" i="39" s="1"/>
  <c r="AW233" i="39" s="1"/>
  <c r="H234" i="39"/>
  <c r="M68" i="39"/>
  <c r="AM68" i="39" s="1"/>
  <c r="N68" i="39"/>
  <c r="P68" i="39"/>
  <c r="N43" i="39"/>
  <c r="AI226" i="39"/>
  <c r="AF227" i="39"/>
  <c r="AQ74" i="39"/>
  <c r="AT74" i="39" s="1"/>
  <c r="AW74" i="39" s="1"/>
  <c r="H75" i="39"/>
  <c r="AR74" i="39"/>
  <c r="Q226" i="39"/>
  <c r="R226" i="39" s="1"/>
  <c r="Y226" i="39" s="1"/>
  <c r="O226" i="39"/>
  <c r="AD68" i="39"/>
  <c r="AD43" i="39"/>
  <c r="AF43" i="39"/>
  <c r="AI43" i="39" s="1"/>
  <c r="M67" i="39"/>
  <c r="AM67" i="39" s="1"/>
  <c r="AU232" i="39"/>
  <c r="J232" i="39"/>
  <c r="AZ232" i="39" s="1"/>
  <c r="AP232" i="39" s="1"/>
  <c r="AB232" i="39"/>
  <c r="AS232" i="39"/>
  <c r="AV232" i="39" s="1"/>
  <c r="P67" i="39"/>
  <c r="O42" i="36"/>
  <c r="P67" i="36"/>
  <c r="O67" i="36" s="1"/>
  <c r="AD67" i="36"/>
  <c r="AD43" i="36"/>
  <c r="N226" i="36"/>
  <c r="P226" i="36"/>
  <c r="O226" i="36" s="1"/>
  <c r="K227" i="36"/>
  <c r="M227" i="36" s="1"/>
  <c r="K68" i="36"/>
  <c r="P68" i="36" s="1"/>
  <c r="Q43" i="36"/>
  <c r="R43" i="36" s="1"/>
  <c r="Y43" i="36" s="1"/>
  <c r="O43" i="36"/>
  <c r="L76" i="36"/>
  <c r="AR74" i="36"/>
  <c r="AB74" i="36" s="1"/>
  <c r="AQ74" i="36"/>
  <c r="AT74" i="36" s="1"/>
  <c r="AW74" i="36" s="1"/>
  <c r="H75" i="36"/>
  <c r="M43" i="36"/>
  <c r="BA43" i="36"/>
  <c r="AI43" i="36"/>
  <c r="L127" i="36"/>
  <c r="M226" i="36"/>
  <c r="AS73" i="36"/>
  <c r="AV73" i="36" s="1"/>
  <c r="AU73" i="36"/>
  <c r="J73" i="36"/>
  <c r="AZ73" i="36" s="1"/>
  <c r="AP73" i="36" s="1"/>
  <c r="J232" i="36"/>
  <c r="AZ232" i="36" s="1"/>
  <c r="AP232" i="36" s="1"/>
  <c r="AS232" i="36"/>
  <c r="AV232" i="36" s="1"/>
  <c r="AU232" i="36"/>
  <c r="M67" i="36"/>
  <c r="AM67" i="36" s="1"/>
  <c r="AF227" i="36"/>
  <c r="AI227" i="36" s="1"/>
  <c r="O225" i="36"/>
  <c r="Q225" i="36"/>
  <c r="R225" i="36" s="1"/>
  <c r="N43" i="36"/>
  <c r="AQ233" i="36"/>
  <c r="AT233" i="36" s="1"/>
  <c r="AW233" i="36" s="1"/>
  <c r="AR233" i="36"/>
  <c r="AB233" i="36" s="1"/>
  <c r="H234" i="36"/>
  <c r="L189" i="36"/>
  <c r="D52" i="17"/>
  <c r="N51" i="17"/>
  <c r="Q227" i="50" l="1"/>
  <c r="R227" i="50" s="1"/>
  <c r="O227" i="50"/>
  <c r="M73" i="50"/>
  <c r="M233" i="50"/>
  <c r="BB73" i="50"/>
  <c r="BA73" i="50"/>
  <c r="BC73" i="50"/>
  <c r="AF74" i="50"/>
  <c r="H236" i="50"/>
  <c r="AQ235" i="50"/>
  <c r="AT235" i="50" s="1"/>
  <c r="AW235" i="50" s="1"/>
  <c r="AR235" i="50"/>
  <c r="Y42" i="50"/>
  <c r="N73" i="50"/>
  <c r="AI73" i="50"/>
  <c r="AS234" i="50"/>
  <c r="AV234" i="50" s="1"/>
  <c r="AU234" i="50"/>
  <c r="AB234" i="50"/>
  <c r="K234" i="50"/>
  <c r="J234" i="50"/>
  <c r="AZ234" i="50" s="1"/>
  <c r="AP234" i="50" s="1"/>
  <c r="P233" i="50"/>
  <c r="N233" i="50"/>
  <c r="AD73" i="50"/>
  <c r="L79" i="50"/>
  <c r="AS75" i="50"/>
  <c r="AV75" i="50" s="1"/>
  <c r="AU75" i="50"/>
  <c r="AB75" i="50"/>
  <c r="J75" i="50"/>
  <c r="AZ75" i="50" s="1"/>
  <c r="AP75" i="50" s="1"/>
  <c r="O232" i="50"/>
  <c r="Q232" i="50"/>
  <c r="R232" i="50" s="1"/>
  <c r="Y232" i="50" s="1"/>
  <c r="Y226" i="50"/>
  <c r="L185" i="50"/>
  <c r="P73" i="50"/>
  <c r="K74" i="50"/>
  <c r="L127" i="50"/>
  <c r="AQ76" i="50"/>
  <c r="AT76" i="50" s="1"/>
  <c r="AW76" i="50" s="1"/>
  <c r="H77" i="50"/>
  <c r="AR76" i="50"/>
  <c r="AD233" i="50"/>
  <c r="K49" i="48"/>
  <c r="M48" i="48"/>
  <c r="O43" i="48"/>
  <c r="Q43" i="48"/>
  <c r="R43" i="48" s="1"/>
  <c r="X43" i="48" s="1"/>
  <c r="L49" i="48"/>
  <c r="AC44" i="48"/>
  <c r="AE44" i="48"/>
  <c r="AH44" i="48"/>
  <c r="P44" i="48"/>
  <c r="N44" i="48"/>
  <c r="AS45" i="48"/>
  <c r="AV45" i="48" s="1"/>
  <c r="AA45" i="48"/>
  <c r="AU45" i="48"/>
  <c r="AQ46" i="48"/>
  <c r="AT46" i="48" s="1"/>
  <c r="AW46" i="48" s="1"/>
  <c r="AR46" i="48"/>
  <c r="Q232" i="40"/>
  <c r="R232" i="40" s="1"/>
  <c r="Y232" i="40" s="1"/>
  <c r="O232" i="40"/>
  <c r="Y226" i="40"/>
  <c r="K233" i="40"/>
  <c r="AB45" i="40"/>
  <c r="AU45" i="40"/>
  <c r="AS45" i="40"/>
  <c r="AV45" i="40" s="1"/>
  <c r="J45" i="40"/>
  <c r="AZ45" i="40" s="1"/>
  <c r="AP45" i="40" s="1"/>
  <c r="Q43" i="40"/>
  <c r="R43" i="40" s="1"/>
  <c r="Y43" i="40" s="1"/>
  <c r="O43" i="40"/>
  <c r="K44" i="40"/>
  <c r="AD233" i="40"/>
  <c r="L49" i="40"/>
  <c r="P233" i="40"/>
  <c r="N233" i="40"/>
  <c r="AL48" i="40"/>
  <c r="AF44" i="40"/>
  <c r="AI44" i="40" s="1"/>
  <c r="AD44" i="40"/>
  <c r="AU234" i="40"/>
  <c r="AB234" i="40"/>
  <c r="AS234" i="40"/>
  <c r="AV234" i="40" s="1"/>
  <c r="J234" i="40"/>
  <c r="AZ234" i="40" s="1"/>
  <c r="AP234" i="40" s="1"/>
  <c r="AQ46" i="40"/>
  <c r="AT46" i="40" s="1"/>
  <c r="AW46" i="40" s="1"/>
  <c r="H47" i="40"/>
  <c r="AR46" i="40"/>
  <c r="L114" i="40"/>
  <c r="M232" i="40"/>
  <c r="AI43" i="40"/>
  <c r="N232" i="40"/>
  <c r="H236" i="40"/>
  <c r="AR235" i="40"/>
  <c r="AQ235" i="40"/>
  <c r="AT235" i="40" s="1"/>
  <c r="AW235" i="40" s="1"/>
  <c r="M43" i="39"/>
  <c r="M227" i="39"/>
  <c r="K232" i="39"/>
  <c r="N232" i="39" s="1"/>
  <c r="Q68" i="39"/>
  <c r="R68" i="39" s="1"/>
  <c r="Y68" i="39" s="1"/>
  <c r="O68" i="39"/>
  <c r="AS233" i="39"/>
  <c r="AV233" i="39" s="1"/>
  <c r="AB233" i="39"/>
  <c r="AU233" i="39"/>
  <c r="J233" i="39"/>
  <c r="AZ233" i="39" s="1"/>
  <c r="AP233" i="39" s="1"/>
  <c r="P227" i="39"/>
  <c r="AB74" i="39"/>
  <c r="AU74" i="39"/>
  <c r="AS74" i="39"/>
  <c r="AV74" i="39" s="1"/>
  <c r="J74" i="39"/>
  <c r="AZ74" i="39" s="1"/>
  <c r="AP74" i="39" s="1"/>
  <c r="AD227" i="39"/>
  <c r="L189" i="39"/>
  <c r="AF73" i="39"/>
  <c r="AI73" i="39" s="1"/>
  <c r="N227" i="39"/>
  <c r="AI227" i="39"/>
  <c r="K73" i="39"/>
  <c r="Q67" i="39"/>
  <c r="R67" i="39" s="1"/>
  <c r="O67" i="39"/>
  <c r="P232" i="39"/>
  <c r="H76" i="39"/>
  <c r="AR75" i="39"/>
  <c r="AQ75" i="39"/>
  <c r="AT75" i="39" s="1"/>
  <c r="AW75" i="39" s="1"/>
  <c r="BA43" i="39"/>
  <c r="BB43" i="39"/>
  <c r="Q43" i="39"/>
  <c r="R43" i="39" s="1"/>
  <c r="Y43" i="39" s="1"/>
  <c r="O43" i="39"/>
  <c r="H235" i="39"/>
  <c r="AR234" i="39"/>
  <c r="AQ234" i="39"/>
  <c r="AT234" i="39" s="1"/>
  <c r="AW234" i="39" s="1"/>
  <c r="L80" i="39"/>
  <c r="Q67" i="36"/>
  <c r="R67" i="36" s="1"/>
  <c r="Y67" i="36" s="1"/>
  <c r="N68" i="36"/>
  <c r="AD68" i="36"/>
  <c r="M68" i="36"/>
  <c r="AM68" i="36" s="1"/>
  <c r="AD227" i="36"/>
  <c r="Q226" i="36"/>
  <c r="R226" i="36" s="1"/>
  <c r="Y226" i="36" s="1"/>
  <c r="N227" i="36"/>
  <c r="P227" i="36"/>
  <c r="O227" i="36" s="1"/>
  <c r="K232" i="36"/>
  <c r="P232" i="36" s="1"/>
  <c r="L77" i="36"/>
  <c r="Y225" i="36"/>
  <c r="AR75" i="36"/>
  <c r="AB75" i="36" s="1"/>
  <c r="AQ75" i="36"/>
  <c r="AT75" i="36" s="1"/>
  <c r="AW75" i="36" s="1"/>
  <c r="H76" i="36"/>
  <c r="AU233" i="36"/>
  <c r="AS233" i="36"/>
  <c r="AV233" i="36" s="1"/>
  <c r="J233" i="36"/>
  <c r="AZ233" i="36" s="1"/>
  <c r="AP233" i="36" s="1"/>
  <c r="AF73" i="36"/>
  <c r="L128" i="36"/>
  <c r="K73" i="36"/>
  <c r="P73" i="36" s="1"/>
  <c r="AS74" i="36"/>
  <c r="AV74" i="36" s="1"/>
  <c r="AU74" i="36"/>
  <c r="J74" i="36"/>
  <c r="AZ74" i="36" s="1"/>
  <c r="AP74" i="36" s="1"/>
  <c r="L188" i="36"/>
  <c r="H235" i="36"/>
  <c r="AR234" i="36"/>
  <c r="AB234" i="36" s="1"/>
  <c r="AQ234" i="36"/>
  <c r="AT234" i="36" s="1"/>
  <c r="AW234" i="36" s="1"/>
  <c r="O68" i="36"/>
  <c r="Q68" i="36"/>
  <c r="R68" i="36" s="1"/>
  <c r="Y68" i="36" s="1"/>
  <c r="D53" i="17"/>
  <c r="N52" i="17"/>
  <c r="L80" i="50" l="1"/>
  <c r="M234" i="50"/>
  <c r="M74" i="50"/>
  <c r="K75" i="50"/>
  <c r="N75" i="50" s="1"/>
  <c r="AD74" i="50"/>
  <c r="N74" i="50"/>
  <c r="AS76" i="50"/>
  <c r="AV76" i="50" s="1"/>
  <c r="AB76" i="50"/>
  <c r="AU76" i="50"/>
  <c r="J76" i="50"/>
  <c r="AZ76" i="50" s="1"/>
  <c r="AP76" i="50" s="1"/>
  <c r="O73" i="50"/>
  <c r="Q73" i="50"/>
  <c r="R73" i="50" s="1"/>
  <c r="Y73" i="50" s="1"/>
  <c r="AR77" i="50"/>
  <c r="H78" i="50"/>
  <c r="AQ77" i="50"/>
  <c r="AT77" i="50" s="1"/>
  <c r="AW77" i="50" s="1"/>
  <c r="Q233" i="50"/>
  <c r="R233" i="50" s="1"/>
  <c r="Y233" i="50" s="1"/>
  <c r="O233" i="50"/>
  <c r="Y227" i="50"/>
  <c r="L128" i="50"/>
  <c r="AF75" i="50"/>
  <c r="AI75" i="50" s="1"/>
  <c r="AD234" i="50"/>
  <c r="BC74" i="50"/>
  <c r="BA74" i="50"/>
  <c r="BB74" i="50"/>
  <c r="AI74" i="50"/>
  <c r="P234" i="50"/>
  <c r="N234" i="50"/>
  <c r="AU235" i="50"/>
  <c r="AB235" i="50"/>
  <c r="AS235" i="50"/>
  <c r="AV235" i="50" s="1"/>
  <c r="J235" i="50"/>
  <c r="AZ235" i="50" s="1"/>
  <c r="AP235" i="50" s="1"/>
  <c r="P74" i="50"/>
  <c r="L184" i="50"/>
  <c r="AR236" i="50"/>
  <c r="AQ236" i="50"/>
  <c r="AT236" i="50" s="1"/>
  <c r="AW236" i="50" s="1"/>
  <c r="H237" i="50"/>
  <c r="M49" i="48"/>
  <c r="K50" i="48"/>
  <c r="AC45" i="48"/>
  <c r="AE45" i="48"/>
  <c r="AH45" i="48" s="1"/>
  <c r="AQ47" i="48"/>
  <c r="AT47" i="48" s="1"/>
  <c r="AW47" i="48" s="1"/>
  <c r="AR47" i="48"/>
  <c r="Q44" i="48"/>
  <c r="R44" i="48" s="1"/>
  <c r="X44" i="48" s="1"/>
  <c r="O44" i="48"/>
  <c r="L50" i="48"/>
  <c r="AU46" i="48"/>
  <c r="AA46" i="48"/>
  <c r="AS46" i="48"/>
  <c r="AV46" i="48" s="1"/>
  <c r="P45" i="48"/>
  <c r="N45" i="48"/>
  <c r="AS46" i="40"/>
  <c r="AV46" i="40" s="1"/>
  <c r="AU46" i="40"/>
  <c r="AB46" i="40"/>
  <c r="J46" i="40"/>
  <c r="AZ46" i="40" s="1"/>
  <c r="AP46" i="40" s="1"/>
  <c r="AR47" i="40"/>
  <c r="H48" i="40"/>
  <c r="AQ47" i="40"/>
  <c r="AT47" i="40" s="1"/>
  <c r="AW47" i="40" s="1"/>
  <c r="AL49" i="40"/>
  <c r="M44" i="40"/>
  <c r="K45" i="40"/>
  <c r="N45" i="40" s="1"/>
  <c r="AS235" i="40"/>
  <c r="AV235" i="40" s="1"/>
  <c r="AB235" i="40"/>
  <c r="AU235" i="40"/>
  <c r="J235" i="40"/>
  <c r="AZ235" i="40" s="1"/>
  <c r="AP235" i="40" s="1"/>
  <c r="Q233" i="40"/>
  <c r="R233" i="40" s="1"/>
  <c r="Y233" i="40" s="1"/>
  <c r="O233" i="40"/>
  <c r="N44" i="40"/>
  <c r="AF45" i="40"/>
  <c r="AI45" i="40" s="1"/>
  <c r="H237" i="40"/>
  <c r="AR236" i="40"/>
  <c r="AQ236" i="40"/>
  <c r="AT236" i="40" s="1"/>
  <c r="AW236" i="40" s="1"/>
  <c r="P44" i="40"/>
  <c r="M233" i="40"/>
  <c r="L115" i="40"/>
  <c r="K234" i="40"/>
  <c r="L50" i="40"/>
  <c r="K74" i="39"/>
  <c r="Y67" i="39"/>
  <c r="L188" i="39"/>
  <c r="AS75" i="39"/>
  <c r="AV75" i="39" s="1"/>
  <c r="AB75" i="39"/>
  <c r="AU75" i="39"/>
  <c r="J75" i="39"/>
  <c r="AZ75" i="39" s="1"/>
  <c r="AP75" i="39" s="1"/>
  <c r="AF74" i="39"/>
  <c r="AD74" i="39"/>
  <c r="K233" i="39"/>
  <c r="P233" i="39" s="1"/>
  <c r="M232" i="39"/>
  <c r="AQ76" i="39"/>
  <c r="AT76" i="39" s="1"/>
  <c r="AW76" i="39" s="1"/>
  <c r="H77" i="39"/>
  <c r="AR76" i="39"/>
  <c r="M74" i="39"/>
  <c r="M73" i="39"/>
  <c r="Q227" i="39"/>
  <c r="R227" i="39" s="1"/>
  <c r="Y227" i="39" s="1"/>
  <c r="O227" i="39"/>
  <c r="AU234" i="39"/>
  <c r="AB234" i="39"/>
  <c r="AS234" i="39"/>
  <c r="AV234" i="39" s="1"/>
  <c r="J234" i="39"/>
  <c r="AZ234" i="39" s="1"/>
  <c r="AP234" i="39" s="1"/>
  <c r="L81" i="39"/>
  <c r="AR235" i="39"/>
  <c r="AQ235" i="39"/>
  <c r="AT235" i="39" s="1"/>
  <c r="AW235" i="39" s="1"/>
  <c r="H236" i="39"/>
  <c r="N73" i="39"/>
  <c r="Q232" i="39"/>
  <c r="R232" i="39" s="1"/>
  <c r="Y232" i="39" s="1"/>
  <c r="O232" i="39"/>
  <c r="AD73" i="39"/>
  <c r="AI74" i="39"/>
  <c r="AD232" i="39"/>
  <c r="P73" i="39"/>
  <c r="BC73" i="39"/>
  <c r="BB73" i="39"/>
  <c r="BA73" i="39"/>
  <c r="P74" i="39"/>
  <c r="N74" i="39"/>
  <c r="M232" i="36"/>
  <c r="N232" i="36"/>
  <c r="AD232" i="36"/>
  <c r="Q227" i="36"/>
  <c r="R227" i="36" s="1"/>
  <c r="Y227" i="36" s="1"/>
  <c r="K233" i="36"/>
  <c r="M233" i="36" s="1"/>
  <c r="BB73" i="36"/>
  <c r="BC73" i="36"/>
  <c r="Q73" i="36"/>
  <c r="R73" i="36" s="1"/>
  <c r="Y73" i="36" s="1"/>
  <c r="O73" i="36"/>
  <c r="N73" i="36"/>
  <c r="Q232" i="36"/>
  <c r="R232" i="36" s="1"/>
  <c r="Y232" i="36" s="1"/>
  <c r="O232" i="36"/>
  <c r="AD73" i="36"/>
  <c r="AF74" i="36"/>
  <c r="BA73" i="36"/>
  <c r="AI73" i="36"/>
  <c r="AU234" i="36"/>
  <c r="AS234" i="36"/>
  <c r="AV234" i="36" s="1"/>
  <c r="J234" i="36"/>
  <c r="AZ234" i="36" s="1"/>
  <c r="AP234" i="36" s="1"/>
  <c r="M73" i="36"/>
  <c r="AU75" i="36"/>
  <c r="AS75" i="36"/>
  <c r="AV75" i="36" s="1"/>
  <c r="J75" i="36"/>
  <c r="AZ75" i="36" s="1"/>
  <c r="AP75" i="36" s="1"/>
  <c r="K74" i="36"/>
  <c r="AD74" i="36" s="1"/>
  <c r="AQ76" i="36"/>
  <c r="AT76" i="36" s="1"/>
  <c r="AW76" i="36" s="1"/>
  <c r="H77" i="36"/>
  <c r="AR76" i="36"/>
  <c r="AB76" i="36" s="1"/>
  <c r="L187" i="36"/>
  <c r="AQ235" i="36"/>
  <c r="AT235" i="36" s="1"/>
  <c r="AW235" i="36" s="1"/>
  <c r="H236" i="36"/>
  <c r="AR235" i="36"/>
  <c r="AB235" i="36" s="1"/>
  <c r="L129" i="36"/>
  <c r="L78" i="36"/>
  <c r="D54" i="17"/>
  <c r="N53" i="17"/>
  <c r="AD75" i="50" l="1"/>
  <c r="P75" i="50"/>
  <c r="O75" i="50" s="1"/>
  <c r="K76" i="50"/>
  <c r="M76" i="50" s="1"/>
  <c r="AB77" i="50"/>
  <c r="AU77" i="50"/>
  <c r="AS77" i="50"/>
  <c r="AV77" i="50" s="1"/>
  <c r="J77" i="50"/>
  <c r="AZ77" i="50" s="1"/>
  <c r="AP77" i="50" s="1"/>
  <c r="H238" i="50"/>
  <c r="AR237" i="50"/>
  <c r="AQ237" i="50"/>
  <c r="AT237" i="50" s="1"/>
  <c r="AW237" i="50" s="1"/>
  <c r="L183" i="50"/>
  <c r="Q74" i="50"/>
  <c r="R74" i="50" s="1"/>
  <c r="Y74" i="50" s="1"/>
  <c r="O74" i="50"/>
  <c r="N235" i="50"/>
  <c r="P235" i="50"/>
  <c r="AD235" i="50"/>
  <c r="N76" i="50"/>
  <c r="P76" i="50"/>
  <c r="BA75" i="50"/>
  <c r="BC75" i="50"/>
  <c r="BB75" i="50"/>
  <c r="Q75" i="50"/>
  <c r="R75" i="50" s="1"/>
  <c r="Y75" i="50" s="1"/>
  <c r="AB236" i="50"/>
  <c r="AU236" i="50"/>
  <c r="AS236" i="50"/>
  <c r="AV236" i="50" s="1"/>
  <c r="J236" i="50"/>
  <c r="AZ236" i="50" s="1"/>
  <c r="AP236" i="50" s="1"/>
  <c r="O234" i="50"/>
  <c r="Q234" i="50"/>
  <c r="R234" i="50" s="1"/>
  <c r="Y234" i="50" s="1"/>
  <c r="K235" i="50"/>
  <c r="L129" i="50"/>
  <c r="AQ78" i="50"/>
  <c r="AT78" i="50" s="1"/>
  <c r="AW78" i="50" s="1"/>
  <c r="AR78" i="50"/>
  <c r="H79" i="50"/>
  <c r="AF76" i="50"/>
  <c r="AD76" i="50"/>
  <c r="M75" i="50"/>
  <c r="L81" i="50"/>
  <c r="K51" i="48"/>
  <c r="M50" i="48"/>
  <c r="AH46" i="48"/>
  <c r="N46" i="48"/>
  <c r="P46" i="48"/>
  <c r="AQ48" i="48"/>
  <c r="AT48" i="48" s="1"/>
  <c r="AW48" i="48" s="1"/>
  <c r="AR48" i="48"/>
  <c r="AE46" i="48"/>
  <c r="AC46" i="48"/>
  <c r="O45" i="48"/>
  <c r="Q45" i="48"/>
  <c r="R45" i="48" s="1"/>
  <c r="X45" i="48" s="1"/>
  <c r="L51" i="48"/>
  <c r="AU47" i="48"/>
  <c r="AA47" i="48"/>
  <c r="AS47" i="48"/>
  <c r="AV47" i="48" s="1"/>
  <c r="AQ237" i="40"/>
  <c r="AT237" i="40" s="1"/>
  <c r="AW237" i="40" s="1"/>
  <c r="H238" i="40"/>
  <c r="AR237" i="40"/>
  <c r="AU47" i="40"/>
  <c r="AB47" i="40"/>
  <c r="AS47" i="40"/>
  <c r="AV47" i="40" s="1"/>
  <c r="J47" i="40"/>
  <c r="AZ47" i="40" s="1"/>
  <c r="AP47" i="40" s="1"/>
  <c r="AF46" i="40"/>
  <c r="M234" i="40"/>
  <c r="Q44" i="40"/>
  <c r="R44" i="40" s="1"/>
  <c r="Y44" i="40" s="1"/>
  <c r="O44" i="40"/>
  <c r="P235" i="40"/>
  <c r="AL50" i="40"/>
  <c r="L116" i="40"/>
  <c r="M45" i="40"/>
  <c r="AD234" i="40"/>
  <c r="P45" i="40"/>
  <c r="K46" i="40"/>
  <c r="N46" i="40" s="1"/>
  <c r="AD45" i="40"/>
  <c r="N234" i="40"/>
  <c r="AS236" i="40"/>
  <c r="AV236" i="40" s="1"/>
  <c r="AB236" i="40"/>
  <c r="AU236" i="40"/>
  <c r="J236" i="40"/>
  <c r="AZ236" i="40" s="1"/>
  <c r="AP236" i="40" s="1"/>
  <c r="AQ48" i="40"/>
  <c r="AT48" i="40" s="1"/>
  <c r="AW48" i="40" s="1"/>
  <c r="H49" i="40"/>
  <c r="AR48" i="40"/>
  <c r="AD235" i="40"/>
  <c r="L51" i="40"/>
  <c r="K235" i="40"/>
  <c r="P234" i="40"/>
  <c r="N233" i="39"/>
  <c r="K234" i="39"/>
  <c r="Q74" i="39"/>
  <c r="R74" i="39" s="1"/>
  <c r="Y74" i="39" s="1"/>
  <c r="O74" i="39"/>
  <c r="L82" i="39"/>
  <c r="M233" i="39"/>
  <c r="AB76" i="39"/>
  <c r="AU76" i="39"/>
  <c r="AS76" i="39"/>
  <c r="AV76" i="39" s="1"/>
  <c r="J76" i="39"/>
  <c r="AZ76" i="39" s="1"/>
  <c r="AP76" i="39" s="1"/>
  <c r="AF75" i="39"/>
  <c r="L187" i="39"/>
  <c r="Q73" i="39"/>
  <c r="R73" i="39" s="1"/>
  <c r="Y73" i="39" s="1"/>
  <c r="O73" i="39"/>
  <c r="AS235" i="39"/>
  <c r="AV235" i="39" s="1"/>
  <c r="AB235" i="39"/>
  <c r="AU235" i="39"/>
  <c r="J235" i="39"/>
  <c r="AZ235" i="39" s="1"/>
  <c r="AP235" i="39" s="1"/>
  <c r="H78" i="39"/>
  <c r="AR77" i="39"/>
  <c r="AQ77" i="39"/>
  <c r="AT77" i="39" s="1"/>
  <c r="AW77" i="39" s="1"/>
  <c r="BC74" i="39"/>
  <c r="BB74" i="39"/>
  <c r="BA74" i="39"/>
  <c r="K75" i="39"/>
  <c r="P75" i="39" s="1"/>
  <c r="AD234" i="39"/>
  <c r="M234" i="39"/>
  <c r="O233" i="39"/>
  <c r="Q233" i="39"/>
  <c r="R233" i="39" s="1"/>
  <c r="Y233" i="39" s="1"/>
  <c r="H237" i="39"/>
  <c r="AQ236" i="39"/>
  <c r="AT236" i="39" s="1"/>
  <c r="AW236" i="39" s="1"/>
  <c r="AR236" i="39"/>
  <c r="P234" i="39"/>
  <c r="N234" i="39"/>
  <c r="AD233" i="39"/>
  <c r="P233" i="36"/>
  <c r="O233" i="36" s="1"/>
  <c r="AD233" i="36"/>
  <c r="N233" i="36"/>
  <c r="N74" i="36"/>
  <c r="P74" i="36"/>
  <c r="O74" i="36" s="1"/>
  <c r="AI74" i="36"/>
  <c r="BB74" i="36"/>
  <c r="BC74" i="36"/>
  <c r="AS235" i="36"/>
  <c r="AV235" i="36" s="1"/>
  <c r="AU235" i="36"/>
  <c r="J235" i="36"/>
  <c r="AZ235" i="36" s="1"/>
  <c r="AP235" i="36" s="1"/>
  <c r="L186" i="36"/>
  <c r="AU76" i="36"/>
  <c r="AS76" i="36"/>
  <c r="AV76" i="36" s="1"/>
  <c r="J76" i="36"/>
  <c r="AZ76" i="36" s="1"/>
  <c r="AP76" i="36" s="1"/>
  <c r="AF75" i="36"/>
  <c r="K75" i="36"/>
  <c r="AD75" i="36" s="1"/>
  <c r="L130" i="36"/>
  <c r="H78" i="36"/>
  <c r="AR77" i="36"/>
  <c r="AB77" i="36" s="1"/>
  <c r="AQ77" i="36"/>
  <c r="AT77" i="36" s="1"/>
  <c r="AW77" i="36" s="1"/>
  <c r="M74" i="36"/>
  <c r="K234" i="36"/>
  <c r="N234" i="36" s="1"/>
  <c r="BA74" i="36"/>
  <c r="Q233" i="36"/>
  <c r="R233" i="36" s="1"/>
  <c r="Y233" i="36" s="1"/>
  <c r="AQ236" i="36"/>
  <c r="AT236" i="36" s="1"/>
  <c r="AW236" i="36" s="1"/>
  <c r="H237" i="36"/>
  <c r="AR236" i="36"/>
  <c r="AB236" i="36" s="1"/>
  <c r="L79" i="36"/>
  <c r="D55" i="17"/>
  <c r="N54" i="17"/>
  <c r="AU237" i="50" l="1"/>
  <c r="AS237" i="50"/>
  <c r="AV237" i="50" s="1"/>
  <c r="AB237" i="50"/>
  <c r="J237" i="50"/>
  <c r="AZ237" i="50" s="1"/>
  <c r="AP237" i="50" s="1"/>
  <c r="L82" i="50"/>
  <c r="AQ79" i="50"/>
  <c r="AT79" i="50" s="1"/>
  <c r="AW79" i="50" s="1"/>
  <c r="AR79" i="50"/>
  <c r="H80" i="50"/>
  <c r="M235" i="50"/>
  <c r="K236" i="50"/>
  <c r="AR238" i="50"/>
  <c r="H239" i="50"/>
  <c r="AQ238" i="50"/>
  <c r="AT238" i="50" s="1"/>
  <c r="AW238" i="50" s="1"/>
  <c r="AF77" i="50"/>
  <c r="L130" i="50"/>
  <c r="K78" i="50"/>
  <c r="AB78" i="50"/>
  <c r="AS78" i="50"/>
  <c r="AV78" i="50" s="1"/>
  <c r="AU78" i="50"/>
  <c r="J78" i="50"/>
  <c r="AZ78" i="50" s="1"/>
  <c r="AP78" i="50" s="1"/>
  <c r="O235" i="50"/>
  <c r="Q235" i="50"/>
  <c r="R235" i="50" s="1"/>
  <c r="Y235" i="50" s="1"/>
  <c r="P236" i="50"/>
  <c r="N236" i="50"/>
  <c r="Q76" i="50"/>
  <c r="R76" i="50" s="1"/>
  <c r="Y76" i="50" s="1"/>
  <c r="O76" i="50"/>
  <c r="AI77" i="50"/>
  <c r="BC76" i="50"/>
  <c r="BA76" i="50"/>
  <c r="BB76" i="50"/>
  <c r="AI76" i="50"/>
  <c r="L182" i="50"/>
  <c r="AD236" i="50"/>
  <c r="K77" i="50"/>
  <c r="AD77" i="50" s="1"/>
  <c r="K52" i="48"/>
  <c r="M51" i="48"/>
  <c r="AQ49" i="48"/>
  <c r="AT49" i="48" s="1"/>
  <c r="AW49" i="48" s="1"/>
  <c r="AR49" i="48"/>
  <c r="P47" i="48"/>
  <c r="N47" i="48"/>
  <c r="L52" i="48"/>
  <c r="AU48" i="48"/>
  <c r="AS48" i="48"/>
  <c r="AV48" i="48" s="1"/>
  <c r="AA48" i="48"/>
  <c r="O46" i="48"/>
  <c r="Q46" i="48"/>
  <c r="R46" i="48" s="1"/>
  <c r="X46" i="48" s="1"/>
  <c r="AC47" i="48"/>
  <c r="AE47" i="48"/>
  <c r="P46" i="40"/>
  <c r="K47" i="40"/>
  <c r="M47" i="40" s="1"/>
  <c r="L52" i="40"/>
  <c r="Q46" i="40"/>
  <c r="R46" i="40" s="1"/>
  <c r="Y46" i="40" s="1"/>
  <c r="O46" i="40"/>
  <c r="M46" i="40"/>
  <c r="L117" i="40"/>
  <c r="H239" i="40"/>
  <c r="AR238" i="40"/>
  <c r="AQ238" i="40"/>
  <c r="AT238" i="40" s="1"/>
  <c r="AW238" i="40" s="1"/>
  <c r="AD46" i="40"/>
  <c r="Q234" i="40"/>
  <c r="R234" i="40" s="1"/>
  <c r="Y234" i="40" s="1"/>
  <c r="O234" i="40"/>
  <c r="K236" i="40"/>
  <c r="P236" i="40" s="1"/>
  <c r="M235" i="40"/>
  <c r="AL51" i="40"/>
  <c r="P47" i="40"/>
  <c r="N47" i="40"/>
  <c r="AI46" i="40"/>
  <c r="Q235" i="40"/>
  <c r="R235" i="40" s="1"/>
  <c r="Y235" i="40" s="1"/>
  <c r="O235" i="40"/>
  <c r="O45" i="40"/>
  <c r="Q45" i="40"/>
  <c r="R45" i="40" s="1"/>
  <c r="AS237" i="40"/>
  <c r="AV237" i="40" s="1"/>
  <c r="AB237" i="40"/>
  <c r="AU237" i="40"/>
  <c r="J237" i="40"/>
  <c r="AZ237" i="40" s="1"/>
  <c r="AP237" i="40" s="1"/>
  <c r="AU48" i="40"/>
  <c r="AB48" i="40"/>
  <c r="AS48" i="40"/>
  <c r="AV48" i="40" s="1"/>
  <c r="J48" i="40"/>
  <c r="AZ48" i="40" s="1"/>
  <c r="AP48" i="40" s="1"/>
  <c r="H50" i="40"/>
  <c r="AR49" i="40"/>
  <c r="AQ49" i="40"/>
  <c r="AT49" i="40" s="1"/>
  <c r="AW49" i="40" s="1"/>
  <c r="N235" i="40"/>
  <c r="AF47" i="40"/>
  <c r="AI47" i="40" s="1"/>
  <c r="AD47" i="40"/>
  <c r="K76" i="39"/>
  <c r="Q75" i="39"/>
  <c r="R75" i="39" s="1"/>
  <c r="Y75" i="39" s="1"/>
  <c r="O75" i="39"/>
  <c r="AS77" i="39"/>
  <c r="AV77" i="39" s="1"/>
  <c r="K77" i="39" s="1"/>
  <c r="AB77" i="39"/>
  <c r="AU77" i="39"/>
  <c r="J77" i="39"/>
  <c r="AZ77" i="39" s="1"/>
  <c r="AP77" i="39" s="1"/>
  <c r="L83" i="39"/>
  <c r="AU236" i="39"/>
  <c r="AS236" i="39"/>
  <c r="AV236" i="39" s="1"/>
  <c r="AB236" i="39"/>
  <c r="J236" i="39"/>
  <c r="AZ236" i="39" s="1"/>
  <c r="AP236" i="39" s="1"/>
  <c r="AQ78" i="39"/>
  <c r="AT78" i="39" s="1"/>
  <c r="AW78" i="39" s="1"/>
  <c r="AR78" i="39"/>
  <c r="H79" i="39"/>
  <c r="L186" i="39"/>
  <c r="BC75" i="39"/>
  <c r="BB75" i="39"/>
  <c r="BA75" i="39"/>
  <c r="M75" i="39"/>
  <c r="M76" i="39"/>
  <c r="N75" i="39"/>
  <c r="AR237" i="39"/>
  <c r="AQ237" i="39"/>
  <c r="AT237" i="39" s="1"/>
  <c r="AW237" i="39" s="1"/>
  <c r="H238" i="39"/>
  <c r="K235" i="39"/>
  <c r="P235" i="39" s="1"/>
  <c r="P76" i="39"/>
  <c r="N76" i="39"/>
  <c r="AF76" i="39"/>
  <c r="AI76" i="39" s="1"/>
  <c r="AD76" i="39"/>
  <c r="Q234" i="39"/>
  <c r="R234" i="39" s="1"/>
  <c r="Y234" i="39" s="1"/>
  <c r="O234" i="39"/>
  <c r="AD75" i="39"/>
  <c r="AI75" i="39"/>
  <c r="Q74" i="36"/>
  <c r="R74" i="36" s="1"/>
  <c r="Y74" i="36" s="1"/>
  <c r="K76" i="36"/>
  <c r="P76" i="36" s="1"/>
  <c r="AD234" i="36"/>
  <c r="K235" i="36"/>
  <c r="P235" i="36" s="1"/>
  <c r="N75" i="36"/>
  <c r="P234" i="36"/>
  <c r="Q234" i="36" s="1"/>
  <c r="R234" i="36" s="1"/>
  <c r="Y234" i="36" s="1"/>
  <c r="P75" i="36"/>
  <c r="Q75" i="36" s="1"/>
  <c r="R75" i="36" s="1"/>
  <c r="Y75" i="36" s="1"/>
  <c r="BB75" i="36"/>
  <c r="BC75" i="36"/>
  <c r="AI75" i="36"/>
  <c r="AR78" i="36"/>
  <c r="AB78" i="36" s="1"/>
  <c r="H79" i="36"/>
  <c r="AQ78" i="36"/>
  <c r="AT78" i="36" s="1"/>
  <c r="AW78" i="36" s="1"/>
  <c r="AU236" i="36"/>
  <c r="AS236" i="36"/>
  <c r="AV236" i="36" s="1"/>
  <c r="J236" i="36"/>
  <c r="AZ236" i="36" s="1"/>
  <c r="AP236" i="36" s="1"/>
  <c r="L131" i="36"/>
  <c r="AQ237" i="36"/>
  <c r="AT237" i="36" s="1"/>
  <c r="AW237" i="36" s="1"/>
  <c r="H238" i="36"/>
  <c r="AR237" i="36"/>
  <c r="AB237" i="36" s="1"/>
  <c r="L80" i="36"/>
  <c r="M234" i="36"/>
  <c r="M75" i="36"/>
  <c r="L185" i="36"/>
  <c r="AU77" i="36"/>
  <c r="AS77" i="36"/>
  <c r="AV77" i="36" s="1"/>
  <c r="J77" i="36"/>
  <c r="AZ77" i="36" s="1"/>
  <c r="AP77" i="36" s="1"/>
  <c r="BA75" i="36"/>
  <c r="AF76" i="36"/>
  <c r="N55" i="17"/>
  <c r="D56" i="17"/>
  <c r="M78" i="50" l="1"/>
  <c r="L181" i="50"/>
  <c r="H240" i="50"/>
  <c r="AR239" i="50"/>
  <c r="AQ239" i="50"/>
  <c r="AT239" i="50" s="1"/>
  <c r="AW239" i="50" s="1"/>
  <c r="AU79" i="50"/>
  <c r="AB79" i="50"/>
  <c r="AS79" i="50"/>
  <c r="AV79" i="50" s="1"/>
  <c r="J79" i="50"/>
  <c r="AZ79" i="50" s="1"/>
  <c r="AP79" i="50" s="1"/>
  <c r="K237" i="50"/>
  <c r="L131" i="50"/>
  <c r="AU238" i="50"/>
  <c r="AS238" i="50"/>
  <c r="AV238" i="50" s="1"/>
  <c r="AB238" i="50"/>
  <c r="J238" i="50"/>
  <c r="AZ238" i="50" s="1"/>
  <c r="AP238" i="50" s="1"/>
  <c r="P237" i="50"/>
  <c r="AD78" i="50"/>
  <c r="AF78" i="50"/>
  <c r="AI78" i="50" s="1"/>
  <c r="P77" i="50"/>
  <c r="M236" i="50"/>
  <c r="AQ80" i="50"/>
  <c r="AT80" i="50" s="1"/>
  <c r="AW80" i="50" s="1"/>
  <c r="H81" i="50"/>
  <c r="AR80" i="50"/>
  <c r="M77" i="50"/>
  <c r="N77" i="50"/>
  <c r="O236" i="50"/>
  <c r="Q236" i="50"/>
  <c r="R236" i="50" s="1"/>
  <c r="Y236" i="50" s="1"/>
  <c r="P78" i="50"/>
  <c r="N78" i="50"/>
  <c r="BA77" i="50"/>
  <c r="BC77" i="50"/>
  <c r="BB77" i="50"/>
  <c r="L83" i="50"/>
  <c r="K53" i="48"/>
  <c r="M52" i="48"/>
  <c r="Q47" i="48"/>
  <c r="R47" i="48" s="1"/>
  <c r="X47" i="48" s="1"/>
  <c r="O47" i="48"/>
  <c r="L53" i="48"/>
  <c r="AQ50" i="48"/>
  <c r="AT50" i="48" s="1"/>
  <c r="AW50" i="48" s="1"/>
  <c r="AR50" i="48"/>
  <c r="AC48" i="48"/>
  <c r="AE48" i="48"/>
  <c r="AS49" i="48"/>
  <c r="AV49" i="48" s="1"/>
  <c r="AA49" i="48"/>
  <c r="AU49" i="48"/>
  <c r="N48" i="48"/>
  <c r="P48" i="48"/>
  <c r="AH47" i="48"/>
  <c r="Q236" i="40"/>
  <c r="R236" i="40" s="1"/>
  <c r="Y236" i="40" s="1"/>
  <c r="O236" i="40"/>
  <c r="K237" i="40"/>
  <c r="AD237" i="40" s="1"/>
  <c r="H240" i="40"/>
  <c r="AR239" i="40"/>
  <c r="AQ239" i="40"/>
  <c r="AT239" i="40" s="1"/>
  <c r="AW239" i="40" s="1"/>
  <c r="AL52" i="40"/>
  <c r="N236" i="40"/>
  <c r="AD236" i="40"/>
  <c r="K48" i="40"/>
  <c r="P48" i="40" s="1"/>
  <c r="Q47" i="40"/>
  <c r="R47" i="40" s="1"/>
  <c r="Y47" i="40" s="1"/>
  <c r="O47" i="40"/>
  <c r="H51" i="40"/>
  <c r="AR50" i="40"/>
  <c r="AQ50" i="40"/>
  <c r="AT50" i="40" s="1"/>
  <c r="AW50" i="40" s="1"/>
  <c r="M236" i="40"/>
  <c r="AD48" i="40"/>
  <c r="AF48" i="40"/>
  <c r="L118" i="40"/>
  <c r="L53" i="40"/>
  <c r="AS238" i="40"/>
  <c r="AV238" i="40" s="1"/>
  <c r="AB238" i="40"/>
  <c r="AU238" i="40"/>
  <c r="J238" i="40"/>
  <c r="AZ238" i="40" s="1"/>
  <c r="AP238" i="40" s="1"/>
  <c r="AS49" i="40"/>
  <c r="AV49" i="40" s="1"/>
  <c r="AU49" i="40"/>
  <c r="AB49" i="40"/>
  <c r="J49" i="40"/>
  <c r="AZ49" i="40" s="1"/>
  <c r="AP49" i="40" s="1"/>
  <c r="Y45" i="40"/>
  <c r="AD235" i="39"/>
  <c r="K236" i="39"/>
  <c r="O235" i="39"/>
  <c r="Q235" i="39"/>
  <c r="R235" i="39" s="1"/>
  <c r="Y235" i="39" s="1"/>
  <c r="AS237" i="39"/>
  <c r="AV237" i="39" s="1"/>
  <c r="AB237" i="39"/>
  <c r="AU237" i="39"/>
  <c r="J237" i="39"/>
  <c r="AZ237" i="39" s="1"/>
  <c r="AP237" i="39" s="1"/>
  <c r="N235" i="39"/>
  <c r="M236" i="39"/>
  <c r="M77" i="39"/>
  <c r="L185" i="39"/>
  <c r="L84" i="39"/>
  <c r="Q76" i="39"/>
  <c r="R76" i="39" s="1"/>
  <c r="Y76" i="39" s="1"/>
  <c r="O76" i="39"/>
  <c r="H80" i="39"/>
  <c r="AR79" i="39"/>
  <c r="AQ79" i="39"/>
  <c r="AT79" i="39" s="1"/>
  <c r="AW79" i="39" s="1"/>
  <c r="AD236" i="39"/>
  <c r="AQ238" i="39"/>
  <c r="AT238" i="39" s="1"/>
  <c r="AW238" i="39" s="1"/>
  <c r="H239" i="39"/>
  <c r="AR238" i="39"/>
  <c r="N77" i="39"/>
  <c r="P77" i="39"/>
  <c r="BC76" i="39"/>
  <c r="BB76" i="39"/>
  <c r="BA76" i="39"/>
  <c r="M235" i="39"/>
  <c r="AB78" i="39"/>
  <c r="AU78" i="39"/>
  <c r="AS78" i="39"/>
  <c r="AV78" i="39" s="1"/>
  <c r="J78" i="39"/>
  <c r="AZ78" i="39" s="1"/>
  <c r="AP78" i="39" s="1"/>
  <c r="P236" i="39"/>
  <c r="N236" i="39"/>
  <c r="AF77" i="39"/>
  <c r="AD77" i="39"/>
  <c r="AD235" i="36"/>
  <c r="N235" i="36"/>
  <c r="AD76" i="36"/>
  <c r="N76" i="36"/>
  <c r="M76" i="36"/>
  <c r="M235" i="36"/>
  <c r="O234" i="36"/>
  <c r="O75" i="36"/>
  <c r="K236" i="36"/>
  <c r="M236" i="36" s="1"/>
  <c r="BC76" i="36"/>
  <c r="BB76" i="36"/>
  <c r="Q235" i="36"/>
  <c r="R235" i="36" s="1"/>
  <c r="Y235" i="36" s="1"/>
  <c r="O235" i="36"/>
  <c r="AS237" i="36"/>
  <c r="AV237" i="36" s="1"/>
  <c r="AU237" i="36"/>
  <c r="J237" i="36"/>
  <c r="AZ237" i="36" s="1"/>
  <c r="AP237" i="36" s="1"/>
  <c r="L132" i="36"/>
  <c r="H239" i="36"/>
  <c r="AR238" i="36"/>
  <c r="AB238" i="36" s="1"/>
  <c r="AQ238" i="36"/>
  <c r="AT238" i="36" s="1"/>
  <c r="AW238" i="36" s="1"/>
  <c r="BA76" i="36"/>
  <c r="K77" i="36"/>
  <c r="P77" i="36" s="1"/>
  <c r="Q76" i="36"/>
  <c r="R76" i="36" s="1"/>
  <c r="Y76" i="36" s="1"/>
  <c r="O76" i="36"/>
  <c r="L81" i="36"/>
  <c r="L184" i="36"/>
  <c r="AR79" i="36"/>
  <c r="AB79" i="36" s="1"/>
  <c r="AQ79" i="36"/>
  <c r="AT79" i="36" s="1"/>
  <c r="AW79" i="36" s="1"/>
  <c r="H80" i="36"/>
  <c r="AF77" i="36"/>
  <c r="AI76" i="36"/>
  <c r="AU78" i="36"/>
  <c r="AS78" i="36"/>
  <c r="AV78" i="36" s="1"/>
  <c r="J78" i="36"/>
  <c r="AZ78" i="36" s="1"/>
  <c r="AP78" i="36" s="1"/>
  <c r="D57" i="17"/>
  <c r="N56" i="17"/>
  <c r="H82" i="50" l="1"/>
  <c r="AR81" i="50"/>
  <c r="AQ81" i="50"/>
  <c r="AT81" i="50" s="1"/>
  <c r="AW81" i="50" s="1"/>
  <c r="AD238" i="50"/>
  <c r="L180" i="50"/>
  <c r="Q78" i="50"/>
  <c r="R78" i="50" s="1"/>
  <c r="Y78" i="50" s="1"/>
  <c r="O78" i="50"/>
  <c r="O77" i="50"/>
  <c r="Q77" i="50"/>
  <c r="R77" i="50" s="1"/>
  <c r="Y77" i="50" s="1"/>
  <c r="BC78" i="50"/>
  <c r="BA78" i="50"/>
  <c r="BB78" i="50"/>
  <c r="L132" i="50"/>
  <c r="N238" i="50"/>
  <c r="M237" i="50"/>
  <c r="Q237" i="50"/>
  <c r="R237" i="50" s="1"/>
  <c r="Y237" i="50" s="1"/>
  <c r="O237" i="50"/>
  <c r="AF79" i="50"/>
  <c r="K238" i="50"/>
  <c r="AU239" i="50"/>
  <c r="AB239" i="50"/>
  <c r="AS239" i="50"/>
  <c r="AV239" i="50" s="1"/>
  <c r="J239" i="50"/>
  <c r="AZ239" i="50" s="1"/>
  <c r="AP239" i="50" s="1"/>
  <c r="AS80" i="50"/>
  <c r="AV80" i="50" s="1"/>
  <c r="AU80" i="50"/>
  <c r="AB80" i="50"/>
  <c r="J80" i="50"/>
  <c r="AZ80" i="50" s="1"/>
  <c r="AP80" i="50" s="1"/>
  <c r="L84" i="50"/>
  <c r="AD237" i="50"/>
  <c r="N237" i="50"/>
  <c r="K79" i="50"/>
  <c r="P79" i="50" s="1"/>
  <c r="AR240" i="50"/>
  <c r="AQ240" i="50"/>
  <c r="AT240" i="50" s="1"/>
  <c r="AW240" i="50" s="1"/>
  <c r="H241" i="50"/>
  <c r="M53" i="48"/>
  <c r="K54" i="48"/>
  <c r="P49" i="48"/>
  <c r="N49" i="48"/>
  <c r="AH49" i="48"/>
  <c r="L54" i="48"/>
  <c r="AH48" i="48"/>
  <c r="AU50" i="48"/>
  <c r="AA50" i="48"/>
  <c r="AS50" i="48"/>
  <c r="AV50" i="48" s="1"/>
  <c r="O48" i="48"/>
  <c r="Q48" i="48"/>
  <c r="R48" i="48" s="1"/>
  <c r="X48" i="48" s="1"/>
  <c r="AC49" i="48"/>
  <c r="AE49" i="48"/>
  <c r="AQ51" i="48"/>
  <c r="AT51" i="48" s="1"/>
  <c r="AW51" i="48" s="1"/>
  <c r="AR51" i="48"/>
  <c r="N48" i="40"/>
  <c r="O48" i="40"/>
  <c r="Q48" i="40"/>
  <c r="R48" i="40" s="1"/>
  <c r="Y48" i="40" s="1"/>
  <c r="P237" i="40"/>
  <c r="AF49" i="40"/>
  <c r="AI49" i="40" s="1"/>
  <c r="AI48" i="40"/>
  <c r="AL53" i="40"/>
  <c r="L119" i="40"/>
  <c r="AU50" i="40"/>
  <c r="AB50" i="40"/>
  <c r="AS50" i="40"/>
  <c r="AV50" i="40" s="1"/>
  <c r="J50" i="40"/>
  <c r="AZ50" i="40" s="1"/>
  <c r="AP50" i="40" s="1"/>
  <c r="AU239" i="40"/>
  <c r="AB239" i="40"/>
  <c r="AS239" i="40"/>
  <c r="AV239" i="40" s="1"/>
  <c r="J239" i="40"/>
  <c r="AZ239" i="40" s="1"/>
  <c r="AP239" i="40" s="1"/>
  <c r="M237" i="40"/>
  <c r="K238" i="40"/>
  <c r="AR51" i="40"/>
  <c r="AQ51" i="40"/>
  <c r="AT51" i="40" s="1"/>
  <c r="AW51" i="40" s="1"/>
  <c r="H52" i="40"/>
  <c r="AR240" i="40"/>
  <c r="H241" i="40"/>
  <c r="AQ240" i="40"/>
  <c r="AT240" i="40" s="1"/>
  <c r="AW240" i="40" s="1"/>
  <c r="K49" i="40"/>
  <c r="P49" i="40" s="1"/>
  <c r="M48" i="40"/>
  <c r="L54" i="40"/>
  <c r="N237" i="40"/>
  <c r="K78" i="39"/>
  <c r="M78" i="39" s="1"/>
  <c r="L184" i="39"/>
  <c r="AF78" i="39"/>
  <c r="AI78" i="39" s="1"/>
  <c r="AD78" i="39"/>
  <c r="AB238" i="39"/>
  <c r="AU238" i="39"/>
  <c r="AS238" i="39"/>
  <c r="AV238" i="39" s="1"/>
  <c r="J238" i="39"/>
  <c r="AZ238" i="39" s="1"/>
  <c r="AP238" i="39" s="1"/>
  <c r="AS79" i="39"/>
  <c r="AV79" i="39" s="1"/>
  <c r="K79" i="39"/>
  <c r="AU79" i="39"/>
  <c r="AB79" i="39"/>
  <c r="J79" i="39"/>
  <c r="AZ79" i="39" s="1"/>
  <c r="AP79" i="39" s="1"/>
  <c r="H240" i="39"/>
  <c r="AR239" i="39"/>
  <c r="AQ239" i="39"/>
  <c r="AT239" i="39" s="1"/>
  <c r="AW239" i="39" s="1"/>
  <c r="AQ80" i="39"/>
  <c r="AT80" i="39" s="1"/>
  <c r="AW80" i="39" s="1"/>
  <c r="H81" i="39"/>
  <c r="AR80" i="39"/>
  <c r="BC77" i="39"/>
  <c r="BB77" i="39"/>
  <c r="BA77" i="39"/>
  <c r="Q236" i="39"/>
  <c r="R236" i="39" s="1"/>
  <c r="Y236" i="39" s="1"/>
  <c r="O236" i="39"/>
  <c r="L85" i="39"/>
  <c r="AI77" i="39"/>
  <c r="P78" i="39"/>
  <c r="N78" i="39"/>
  <c r="Q77" i="39"/>
  <c r="R77" i="39" s="1"/>
  <c r="Y77" i="39" s="1"/>
  <c r="O77" i="39"/>
  <c r="K237" i="39"/>
  <c r="P237" i="39" s="1"/>
  <c r="N236" i="36"/>
  <c r="AD236" i="36"/>
  <c r="P236" i="36"/>
  <c r="Q236" i="36" s="1"/>
  <c r="R236" i="36" s="1"/>
  <c r="Y236" i="36" s="1"/>
  <c r="AD77" i="36"/>
  <c r="BC77" i="36"/>
  <c r="BB77" i="36"/>
  <c r="O77" i="36"/>
  <c r="Q77" i="36"/>
  <c r="R77" i="36" s="1"/>
  <c r="Y77" i="36" s="1"/>
  <c r="BA77" i="36"/>
  <c r="L183" i="36"/>
  <c r="AS79" i="36"/>
  <c r="AV79" i="36" s="1"/>
  <c r="AU79" i="36"/>
  <c r="J79" i="36"/>
  <c r="AZ79" i="36" s="1"/>
  <c r="AP79" i="36" s="1"/>
  <c r="K78" i="36"/>
  <c r="AD78" i="36" s="1"/>
  <c r="N77" i="36"/>
  <c r="L133" i="36"/>
  <c r="K237" i="36"/>
  <c r="AD237" i="36" s="1"/>
  <c r="AF78" i="36"/>
  <c r="AU238" i="36"/>
  <c r="AS238" i="36"/>
  <c r="AV238" i="36" s="1"/>
  <c r="J238" i="36"/>
  <c r="AZ238" i="36" s="1"/>
  <c r="AP238" i="36" s="1"/>
  <c r="AR80" i="36"/>
  <c r="AB80" i="36" s="1"/>
  <c r="AQ80" i="36"/>
  <c r="AT80" i="36" s="1"/>
  <c r="AW80" i="36" s="1"/>
  <c r="H81" i="36"/>
  <c r="L82" i="36"/>
  <c r="AI77" i="36"/>
  <c r="M77" i="36"/>
  <c r="AQ239" i="36"/>
  <c r="AT239" i="36" s="1"/>
  <c r="AW239" i="36" s="1"/>
  <c r="H240" i="36"/>
  <c r="AR239" i="36"/>
  <c r="AB239" i="36" s="1"/>
  <c r="D58" i="17"/>
  <c r="N57" i="17"/>
  <c r="Q79" i="50" l="1"/>
  <c r="R79" i="50" s="1"/>
  <c r="Y79" i="50" s="1"/>
  <c r="O79" i="50"/>
  <c r="BA79" i="50"/>
  <c r="BB79" i="50"/>
  <c r="BC79" i="50"/>
  <c r="M79" i="50"/>
  <c r="AI80" i="50"/>
  <c r="N79" i="50"/>
  <c r="AD79" i="50"/>
  <c r="M238" i="50"/>
  <c r="P238" i="50"/>
  <c r="AS81" i="50"/>
  <c r="AV81" i="50" s="1"/>
  <c r="AU81" i="50"/>
  <c r="AB81" i="50"/>
  <c r="J81" i="50"/>
  <c r="AZ81" i="50" s="1"/>
  <c r="AP81" i="50" s="1"/>
  <c r="H242" i="50"/>
  <c r="AR241" i="50"/>
  <c r="AQ241" i="50"/>
  <c r="AT241" i="50" s="1"/>
  <c r="AW241" i="50" s="1"/>
  <c r="K239" i="50"/>
  <c r="AQ82" i="50"/>
  <c r="AT82" i="50" s="1"/>
  <c r="AW82" i="50" s="1"/>
  <c r="AR82" i="50"/>
  <c r="H83" i="50"/>
  <c r="K240" i="50"/>
  <c r="AB240" i="50"/>
  <c r="AU240" i="50"/>
  <c r="AS240" i="50"/>
  <c r="AV240" i="50" s="1"/>
  <c r="J240" i="50"/>
  <c r="AZ240" i="50" s="1"/>
  <c r="AP240" i="50" s="1"/>
  <c r="AF80" i="50"/>
  <c r="AI79" i="50"/>
  <c r="L179" i="50"/>
  <c r="L85" i="50"/>
  <c r="K80" i="50"/>
  <c r="L133" i="50"/>
  <c r="K55" i="48"/>
  <c r="M54" i="48"/>
  <c r="AE50" i="48"/>
  <c r="AH50" i="48" s="1"/>
  <c r="AC50" i="48"/>
  <c r="AQ52" i="48"/>
  <c r="AT52" i="48" s="1"/>
  <c r="AW52" i="48" s="1"/>
  <c r="AR52" i="48"/>
  <c r="N50" i="48"/>
  <c r="P50" i="48"/>
  <c r="AU51" i="48"/>
  <c r="AA51" i="48"/>
  <c r="AS51" i="48"/>
  <c r="AV51" i="48" s="1"/>
  <c r="L55" i="48"/>
  <c r="O49" i="48"/>
  <c r="Q49" i="48"/>
  <c r="R49" i="48" s="1"/>
  <c r="X49" i="48" s="1"/>
  <c r="Q49" i="40"/>
  <c r="R49" i="40" s="1"/>
  <c r="Y49" i="40" s="1"/>
  <c r="O49" i="40"/>
  <c r="H242" i="40"/>
  <c r="AQ241" i="40"/>
  <c r="AT241" i="40" s="1"/>
  <c r="AW241" i="40" s="1"/>
  <c r="AR241" i="40"/>
  <c r="M238" i="40"/>
  <c r="N239" i="40"/>
  <c r="K50" i="40"/>
  <c r="P50" i="40" s="1"/>
  <c r="N238" i="40"/>
  <c r="AU51" i="40"/>
  <c r="AS51" i="40"/>
  <c r="AV51" i="40" s="1"/>
  <c r="AB51" i="40"/>
  <c r="J51" i="40"/>
  <c r="AZ51" i="40" s="1"/>
  <c r="AP51" i="40" s="1"/>
  <c r="L120" i="40"/>
  <c r="AS240" i="40"/>
  <c r="AV240" i="40" s="1"/>
  <c r="K240" i="40"/>
  <c r="AU240" i="40"/>
  <c r="AB240" i="40"/>
  <c r="J240" i="40"/>
  <c r="AZ240" i="40" s="1"/>
  <c r="AP240" i="40" s="1"/>
  <c r="K239" i="40"/>
  <c r="P239" i="40" s="1"/>
  <c r="P238" i="40"/>
  <c r="AD238" i="40"/>
  <c r="Q237" i="40"/>
  <c r="R237" i="40" s="1"/>
  <c r="Y237" i="40" s="1"/>
  <c r="O237" i="40"/>
  <c r="M49" i="40"/>
  <c r="AQ52" i="40"/>
  <c r="AT52" i="40" s="1"/>
  <c r="AW52" i="40" s="1"/>
  <c r="AR52" i="40"/>
  <c r="H53" i="40"/>
  <c r="N49" i="40"/>
  <c r="AD239" i="40"/>
  <c r="AF50" i="40"/>
  <c r="AI50" i="40" s="1"/>
  <c r="L55" i="40"/>
  <c r="AL54" i="40"/>
  <c r="AD49" i="40"/>
  <c r="N237" i="39"/>
  <c r="K238" i="39"/>
  <c r="O237" i="39"/>
  <c r="Q237" i="39"/>
  <c r="R237" i="39" s="1"/>
  <c r="Y237" i="39" s="1"/>
  <c r="M238" i="39"/>
  <c r="L183" i="39"/>
  <c r="N79" i="39"/>
  <c r="P79" i="39"/>
  <c r="Q78" i="39"/>
  <c r="R78" i="39" s="1"/>
  <c r="Y78" i="39" s="1"/>
  <c r="O78" i="39"/>
  <c r="AS239" i="39"/>
  <c r="AV239" i="39" s="1"/>
  <c r="AB239" i="39"/>
  <c r="AU239" i="39"/>
  <c r="J239" i="39"/>
  <c r="AZ239" i="39" s="1"/>
  <c r="AP239" i="39" s="1"/>
  <c r="BC78" i="39"/>
  <c r="BB78" i="39"/>
  <c r="BA78" i="39"/>
  <c r="M79" i="39"/>
  <c r="M237" i="39"/>
  <c r="H241" i="39"/>
  <c r="AQ240" i="39"/>
  <c r="AT240" i="39" s="1"/>
  <c r="AW240" i="39" s="1"/>
  <c r="AR240" i="39"/>
  <c r="P238" i="39"/>
  <c r="N238" i="39"/>
  <c r="L86" i="39"/>
  <c r="H82" i="39"/>
  <c r="AR81" i="39"/>
  <c r="AQ81" i="39"/>
  <c r="AT81" i="39" s="1"/>
  <c r="AW81" i="39" s="1"/>
  <c r="AD238" i="39"/>
  <c r="AB80" i="39"/>
  <c r="AU80" i="39"/>
  <c r="AS80" i="39"/>
  <c r="AV80" i="39" s="1"/>
  <c r="J80" i="39"/>
  <c r="AZ80" i="39" s="1"/>
  <c r="AP80" i="39" s="1"/>
  <c r="AF79" i="39"/>
  <c r="AD79" i="39"/>
  <c r="AD237" i="39"/>
  <c r="O236" i="36"/>
  <c r="P237" i="36"/>
  <c r="O237" i="36" s="1"/>
  <c r="N237" i="36"/>
  <c r="K238" i="36"/>
  <c r="P238" i="36" s="1"/>
  <c r="P78" i="36"/>
  <c r="Q78" i="36" s="1"/>
  <c r="R78" i="36" s="1"/>
  <c r="Y78" i="36" s="1"/>
  <c r="N78" i="36"/>
  <c r="K79" i="36"/>
  <c r="P79" i="36" s="1"/>
  <c r="BC78" i="36"/>
  <c r="BB78" i="36"/>
  <c r="AS239" i="36"/>
  <c r="AV239" i="36" s="1"/>
  <c r="AU239" i="36"/>
  <c r="J239" i="36"/>
  <c r="AZ239" i="36" s="1"/>
  <c r="AP239" i="36" s="1"/>
  <c r="AR81" i="36"/>
  <c r="AB81" i="36" s="1"/>
  <c r="AQ81" i="36"/>
  <c r="AT81" i="36" s="1"/>
  <c r="AW81" i="36" s="1"/>
  <c r="H82" i="36"/>
  <c r="L182" i="36"/>
  <c r="Q237" i="36"/>
  <c r="R237" i="36" s="1"/>
  <c r="Y237" i="36" s="1"/>
  <c r="L134" i="36"/>
  <c r="L83" i="36"/>
  <c r="M78" i="36"/>
  <c r="BA78" i="36"/>
  <c r="AF79" i="36"/>
  <c r="AQ240" i="36"/>
  <c r="AT240" i="36" s="1"/>
  <c r="AW240" i="36" s="1"/>
  <c r="AR240" i="36"/>
  <c r="AB240" i="36" s="1"/>
  <c r="H241" i="36"/>
  <c r="AS80" i="36"/>
  <c r="AV80" i="36" s="1"/>
  <c r="AU80" i="36"/>
  <c r="J80" i="36"/>
  <c r="AZ80" i="36" s="1"/>
  <c r="AP80" i="36" s="1"/>
  <c r="AI78" i="36"/>
  <c r="M237" i="36"/>
  <c r="D59" i="17"/>
  <c r="N58" i="17"/>
  <c r="K81" i="50" l="1"/>
  <c r="N81" i="50" s="1"/>
  <c r="M80" i="50"/>
  <c r="M239" i="50"/>
  <c r="AD240" i="50"/>
  <c r="N80" i="50"/>
  <c r="L86" i="50"/>
  <c r="AD80" i="50"/>
  <c r="P80" i="50"/>
  <c r="L134" i="50"/>
  <c r="BC80" i="50"/>
  <c r="BA80" i="50"/>
  <c r="BB80" i="50"/>
  <c r="H84" i="50"/>
  <c r="AR83" i="50"/>
  <c r="AQ83" i="50"/>
  <c r="AT83" i="50" s="1"/>
  <c r="AW83" i="50" s="1"/>
  <c r="AD239" i="50"/>
  <c r="O238" i="50"/>
  <c r="Q238" i="50"/>
  <c r="R238" i="50" s="1"/>
  <c r="M240" i="50"/>
  <c r="AF81" i="50"/>
  <c r="AI81" i="50" s="1"/>
  <c r="P239" i="50"/>
  <c r="L178" i="50"/>
  <c r="AS82" i="50"/>
  <c r="AV82" i="50" s="1"/>
  <c r="AU82" i="50"/>
  <c r="AB82" i="50"/>
  <c r="J82" i="50"/>
  <c r="AZ82" i="50" s="1"/>
  <c r="AP82" i="50" s="1"/>
  <c r="AU241" i="50"/>
  <c r="AB241" i="50"/>
  <c r="AS241" i="50"/>
  <c r="AV241" i="50" s="1"/>
  <c r="J241" i="50"/>
  <c r="AZ241" i="50" s="1"/>
  <c r="AP241" i="50" s="1"/>
  <c r="P81" i="50"/>
  <c r="N239" i="50"/>
  <c r="P240" i="50"/>
  <c r="N240" i="50"/>
  <c r="AR242" i="50"/>
  <c r="AQ242" i="50"/>
  <c r="AT242" i="50" s="1"/>
  <c r="AW242" i="50" s="1"/>
  <c r="H243" i="50"/>
  <c r="M81" i="50"/>
  <c r="K56" i="48"/>
  <c r="M55" i="48"/>
  <c r="AS52" i="48"/>
  <c r="AV52" i="48" s="1"/>
  <c r="AA52" i="48"/>
  <c r="AU52" i="48"/>
  <c r="L56" i="48"/>
  <c r="AC51" i="48"/>
  <c r="AE51" i="48"/>
  <c r="AH51" i="48"/>
  <c r="AR53" i="48"/>
  <c r="AQ53" i="48"/>
  <c r="AT53" i="48" s="1"/>
  <c r="AW53" i="48" s="1"/>
  <c r="P51" i="48"/>
  <c r="N51" i="48"/>
  <c r="O50" i="48"/>
  <c r="Q50" i="48"/>
  <c r="R50" i="48" s="1"/>
  <c r="X50" i="48" s="1"/>
  <c r="Q239" i="40"/>
  <c r="R239" i="40" s="1"/>
  <c r="Y239" i="40" s="1"/>
  <c r="O239" i="40"/>
  <c r="Q50" i="40"/>
  <c r="R50" i="40" s="1"/>
  <c r="Y50" i="40" s="1"/>
  <c r="O50" i="40"/>
  <c r="N50" i="40"/>
  <c r="AF51" i="40"/>
  <c r="AI51" i="40" s="1"/>
  <c r="AR242" i="40"/>
  <c r="H243" i="40"/>
  <c r="AQ242" i="40"/>
  <c r="AT242" i="40" s="1"/>
  <c r="AW242" i="40" s="1"/>
  <c r="AL55" i="40"/>
  <c r="AD50" i="40"/>
  <c r="AR53" i="40"/>
  <c r="H54" i="40"/>
  <c r="AQ53" i="40"/>
  <c r="AT53" i="40" s="1"/>
  <c r="AW53" i="40" s="1"/>
  <c r="P240" i="40"/>
  <c r="N240" i="40"/>
  <c r="K51" i="40"/>
  <c r="N51" i="40" s="1"/>
  <c r="L56" i="40"/>
  <c r="Q238" i="40"/>
  <c r="R238" i="40" s="1"/>
  <c r="Y238" i="40" s="1"/>
  <c r="O238" i="40"/>
  <c r="M240" i="40"/>
  <c r="AS52" i="40"/>
  <c r="AV52" i="40" s="1"/>
  <c r="AB52" i="40"/>
  <c r="AU52" i="40"/>
  <c r="J52" i="40"/>
  <c r="AZ52" i="40" s="1"/>
  <c r="AP52" i="40" s="1"/>
  <c r="M239" i="40"/>
  <c r="L121" i="40"/>
  <c r="M50" i="40"/>
  <c r="AD240" i="40"/>
  <c r="AU241" i="40"/>
  <c r="AB241" i="40"/>
  <c r="AS241" i="40"/>
  <c r="AV241" i="40" s="1"/>
  <c r="J241" i="40"/>
  <c r="AZ241" i="40" s="1"/>
  <c r="AP241" i="40" s="1"/>
  <c r="K239" i="39"/>
  <c r="AR241" i="39"/>
  <c r="AQ241" i="39"/>
  <c r="AT241" i="39" s="1"/>
  <c r="AW241" i="39" s="1"/>
  <c r="H242" i="39"/>
  <c r="Q79" i="39"/>
  <c r="R79" i="39" s="1"/>
  <c r="Y79" i="39" s="1"/>
  <c r="O79" i="39"/>
  <c r="BC79" i="39"/>
  <c r="BB79" i="39"/>
  <c r="BA79" i="39"/>
  <c r="K80" i="39"/>
  <c r="AD80" i="39" s="1"/>
  <c r="O238" i="39"/>
  <c r="Q238" i="39"/>
  <c r="R238" i="39" s="1"/>
  <c r="Y238" i="39" s="1"/>
  <c r="P239" i="39"/>
  <c r="N239" i="39"/>
  <c r="L87" i="39"/>
  <c r="AS240" i="39"/>
  <c r="AV240" i="39" s="1"/>
  <c r="K240" i="39" s="1"/>
  <c r="AU240" i="39"/>
  <c r="AB240" i="39"/>
  <c r="J240" i="39"/>
  <c r="AZ240" i="39" s="1"/>
  <c r="AP240" i="39" s="1"/>
  <c r="AF80" i="39"/>
  <c r="AI80" i="39" s="1"/>
  <c r="AS81" i="39"/>
  <c r="AV81" i="39" s="1"/>
  <c r="AB81" i="39"/>
  <c r="AU81" i="39"/>
  <c r="J81" i="39"/>
  <c r="AZ81" i="39" s="1"/>
  <c r="AP81" i="39" s="1"/>
  <c r="AQ82" i="39"/>
  <c r="AT82" i="39" s="1"/>
  <c r="AW82" i="39" s="1"/>
  <c r="H83" i="39"/>
  <c r="AR82" i="39"/>
  <c r="AI79" i="39"/>
  <c r="L182" i="39"/>
  <c r="M238" i="36"/>
  <c r="AD238" i="36"/>
  <c r="N238" i="36"/>
  <c r="O78" i="36"/>
  <c r="N79" i="36"/>
  <c r="AD79" i="36"/>
  <c r="M79" i="36"/>
  <c r="BB79" i="36"/>
  <c r="BC79" i="36"/>
  <c r="BA79" i="36"/>
  <c r="AQ241" i="36"/>
  <c r="AT241" i="36" s="1"/>
  <c r="AW241" i="36" s="1"/>
  <c r="H242" i="36"/>
  <c r="AR241" i="36"/>
  <c r="AB241" i="36" s="1"/>
  <c r="L84" i="36"/>
  <c r="L181" i="36"/>
  <c r="AU81" i="36"/>
  <c r="AS81" i="36"/>
  <c r="AV81" i="36" s="1"/>
  <c r="J81" i="36"/>
  <c r="AZ81" i="36" s="1"/>
  <c r="AP81" i="36" s="1"/>
  <c r="Q238" i="36"/>
  <c r="R238" i="36" s="1"/>
  <c r="Y238" i="36" s="1"/>
  <c r="O238" i="36"/>
  <c r="AF80" i="36"/>
  <c r="AU240" i="36"/>
  <c r="AS240" i="36"/>
  <c r="AV240" i="36" s="1"/>
  <c r="J240" i="36"/>
  <c r="AZ240" i="36" s="1"/>
  <c r="AP240" i="36" s="1"/>
  <c r="AQ82" i="36"/>
  <c r="AT82" i="36" s="1"/>
  <c r="AW82" i="36" s="1"/>
  <c r="H83" i="36"/>
  <c r="AR82" i="36"/>
  <c r="AB82" i="36" s="1"/>
  <c r="K239" i="36"/>
  <c r="AD239" i="36" s="1"/>
  <c r="Q79" i="36"/>
  <c r="R79" i="36" s="1"/>
  <c r="Y79" i="36" s="1"/>
  <c r="O79" i="36"/>
  <c r="AI79" i="36"/>
  <c r="K80" i="36"/>
  <c r="AD80" i="36" s="1"/>
  <c r="L135" i="36"/>
  <c r="N59" i="17"/>
  <c r="D60" i="17"/>
  <c r="AD81" i="50" l="1"/>
  <c r="AF82" i="50"/>
  <c r="AI82" i="50" s="1"/>
  <c r="AU83" i="50"/>
  <c r="AB83" i="50"/>
  <c r="AS83" i="50"/>
  <c r="AV83" i="50" s="1"/>
  <c r="J83" i="50"/>
  <c r="AZ83" i="50" s="1"/>
  <c r="AP83" i="50" s="1"/>
  <c r="O239" i="50"/>
  <c r="Q239" i="50"/>
  <c r="R239" i="50" s="1"/>
  <c r="Y239" i="50" s="1"/>
  <c r="AQ84" i="50"/>
  <c r="AT84" i="50" s="1"/>
  <c r="AW84" i="50" s="1"/>
  <c r="H85" i="50"/>
  <c r="AR84" i="50"/>
  <c r="K241" i="50"/>
  <c r="Y238" i="50"/>
  <c r="Q80" i="50"/>
  <c r="R80" i="50" s="1"/>
  <c r="Y80" i="50" s="1"/>
  <c r="O80" i="50"/>
  <c r="AS242" i="50"/>
  <c r="AV242" i="50" s="1"/>
  <c r="AB242" i="50"/>
  <c r="AU242" i="50"/>
  <c r="J242" i="50"/>
  <c r="AZ242" i="50" s="1"/>
  <c r="AP242" i="50" s="1"/>
  <c r="L177" i="50"/>
  <c r="O240" i="50"/>
  <c r="Q240" i="50"/>
  <c r="R240" i="50" s="1"/>
  <c r="Y240" i="50" s="1"/>
  <c r="L135" i="50"/>
  <c r="H244" i="50"/>
  <c r="AR243" i="50"/>
  <c r="AQ243" i="50"/>
  <c r="AT243" i="50" s="1"/>
  <c r="AW243" i="50" s="1"/>
  <c r="K82" i="50"/>
  <c r="P82" i="50" s="1"/>
  <c r="Q81" i="50"/>
  <c r="R81" i="50" s="1"/>
  <c r="Y81" i="50" s="1"/>
  <c r="O81" i="50"/>
  <c r="BB81" i="50"/>
  <c r="BC81" i="50"/>
  <c r="BA81" i="50"/>
  <c r="L87" i="50"/>
  <c r="M56" i="48"/>
  <c r="K57" i="48"/>
  <c r="AQ54" i="48"/>
  <c r="AT54" i="48" s="1"/>
  <c r="AW54" i="48" s="1"/>
  <c r="AR54" i="48"/>
  <c r="Q51" i="48"/>
  <c r="R51" i="48" s="1"/>
  <c r="X51" i="48" s="1"/>
  <c r="O51" i="48"/>
  <c r="AE52" i="48"/>
  <c r="AC52" i="48"/>
  <c r="L57" i="48"/>
  <c r="AU53" i="48"/>
  <c r="AA53" i="48"/>
  <c r="AS53" i="48"/>
  <c r="AV53" i="48" s="1"/>
  <c r="N52" i="48"/>
  <c r="P52" i="48"/>
  <c r="P51" i="40"/>
  <c r="L57" i="40"/>
  <c r="AQ54" i="40"/>
  <c r="AT54" i="40" s="1"/>
  <c r="AW54" i="40" s="1"/>
  <c r="H55" i="40"/>
  <c r="AR54" i="40"/>
  <c r="H244" i="40"/>
  <c r="AR243" i="40"/>
  <c r="AQ243" i="40"/>
  <c r="AT243" i="40" s="1"/>
  <c r="AW243" i="40" s="1"/>
  <c r="AF52" i="40"/>
  <c r="AI52" i="40" s="1"/>
  <c r="AU53" i="40"/>
  <c r="AB53" i="40"/>
  <c r="AS53" i="40"/>
  <c r="AV53" i="40" s="1"/>
  <c r="J53" i="40"/>
  <c r="AZ53" i="40" s="1"/>
  <c r="AP53" i="40" s="1"/>
  <c r="AS242" i="40"/>
  <c r="AV242" i="40" s="1"/>
  <c r="K242" i="40"/>
  <c r="AU242" i="40"/>
  <c r="AB242" i="40"/>
  <c r="J242" i="40"/>
  <c r="AZ242" i="40" s="1"/>
  <c r="AP242" i="40" s="1"/>
  <c r="O51" i="40"/>
  <c r="Q51" i="40"/>
  <c r="R51" i="40" s="1"/>
  <c r="Y51" i="40" s="1"/>
  <c r="K52" i="40"/>
  <c r="M51" i="40"/>
  <c r="K241" i="40"/>
  <c r="AD51" i="40"/>
  <c r="AD241" i="40"/>
  <c r="L122" i="40"/>
  <c r="O240" i="40"/>
  <c r="Q240" i="40"/>
  <c r="R240" i="40" s="1"/>
  <c r="Y240" i="40" s="1"/>
  <c r="AL56" i="40"/>
  <c r="K81" i="39"/>
  <c r="AB82" i="39"/>
  <c r="AU82" i="39"/>
  <c r="AS82" i="39"/>
  <c r="AV82" i="39" s="1"/>
  <c r="J82" i="39"/>
  <c r="AZ82" i="39" s="1"/>
  <c r="AP82" i="39" s="1"/>
  <c r="M81" i="39"/>
  <c r="H84" i="39"/>
  <c r="AR83" i="39"/>
  <c r="AQ83" i="39"/>
  <c r="AT83" i="39" s="1"/>
  <c r="AW83" i="39" s="1"/>
  <c r="N81" i="39"/>
  <c r="P81" i="39"/>
  <c r="M239" i="39"/>
  <c r="P240" i="39"/>
  <c r="N240" i="39"/>
  <c r="L88" i="39"/>
  <c r="AD240" i="39"/>
  <c r="M80" i="39"/>
  <c r="N80" i="39"/>
  <c r="M240" i="39"/>
  <c r="AF81" i="39"/>
  <c r="AD81" i="39"/>
  <c r="O239" i="39"/>
  <c r="Q239" i="39"/>
  <c r="R239" i="39" s="1"/>
  <c r="Y239" i="39" s="1"/>
  <c r="AS241" i="39"/>
  <c r="AV241" i="39" s="1"/>
  <c r="AB241" i="39"/>
  <c r="AU241" i="39"/>
  <c r="J241" i="39"/>
  <c r="AZ241" i="39" s="1"/>
  <c r="AP241" i="39" s="1"/>
  <c r="L181" i="39"/>
  <c r="BC80" i="39"/>
  <c r="BB80" i="39"/>
  <c r="BA80" i="39"/>
  <c r="AD239" i="39"/>
  <c r="AR242" i="39"/>
  <c r="AQ242" i="39"/>
  <c r="AT242" i="39" s="1"/>
  <c r="AW242" i="39" s="1"/>
  <c r="H243" i="39"/>
  <c r="P80" i="39"/>
  <c r="BB80" i="36"/>
  <c r="BC80" i="36"/>
  <c r="N80" i="36"/>
  <c r="M80" i="36"/>
  <c r="AU241" i="36"/>
  <c r="AS241" i="36"/>
  <c r="AV241" i="36" s="1"/>
  <c r="J241" i="36"/>
  <c r="AZ241" i="36" s="1"/>
  <c r="AP241" i="36" s="1"/>
  <c r="M239" i="36"/>
  <c r="H243" i="36"/>
  <c r="AQ242" i="36"/>
  <c r="AT242" i="36" s="1"/>
  <c r="AW242" i="36" s="1"/>
  <c r="AR242" i="36"/>
  <c r="AB242" i="36" s="1"/>
  <c r="L85" i="36"/>
  <c r="L136" i="36"/>
  <c r="P80" i="36"/>
  <c r="BA80" i="36"/>
  <c r="P239" i="36"/>
  <c r="AU82" i="36"/>
  <c r="AS82" i="36"/>
  <c r="AV82" i="36" s="1"/>
  <c r="J82" i="36"/>
  <c r="AZ82" i="36" s="1"/>
  <c r="AP82" i="36" s="1"/>
  <c r="AF81" i="36"/>
  <c r="N239" i="36"/>
  <c r="H84" i="36"/>
  <c r="AR83" i="36"/>
  <c r="AB83" i="36" s="1"/>
  <c r="AQ83" i="36"/>
  <c r="AT83" i="36" s="1"/>
  <c r="AW83" i="36" s="1"/>
  <c r="K240" i="36"/>
  <c r="N240" i="36" s="1"/>
  <c r="AI80" i="36"/>
  <c r="K81" i="36"/>
  <c r="P81" i="36" s="1"/>
  <c r="L180" i="36"/>
  <c r="D61" i="17"/>
  <c r="N60" i="17"/>
  <c r="AD82" i="50" l="1"/>
  <c r="K83" i="50"/>
  <c r="AR244" i="50"/>
  <c r="H245" i="50"/>
  <c r="AQ244" i="50"/>
  <c r="AT244" i="50" s="1"/>
  <c r="AW244" i="50" s="1"/>
  <c r="L88" i="50"/>
  <c r="M241" i="50"/>
  <c r="AD241" i="50"/>
  <c r="N241" i="50"/>
  <c r="AF83" i="50"/>
  <c r="M82" i="50"/>
  <c r="K242" i="50"/>
  <c r="AU84" i="50"/>
  <c r="AB84" i="50"/>
  <c r="AS84" i="50"/>
  <c r="AV84" i="50" s="1"/>
  <c r="J84" i="50"/>
  <c r="AZ84" i="50" s="1"/>
  <c r="AP84" i="50" s="1"/>
  <c r="P241" i="50"/>
  <c r="Q82" i="50"/>
  <c r="R82" i="50" s="1"/>
  <c r="Y82" i="50" s="1"/>
  <c r="O82" i="50"/>
  <c r="L176" i="50"/>
  <c r="BC82" i="50"/>
  <c r="BB82" i="50"/>
  <c r="BA82" i="50"/>
  <c r="L136" i="50"/>
  <c r="AU243" i="50"/>
  <c r="AB243" i="50"/>
  <c r="AS243" i="50"/>
  <c r="AV243" i="50" s="1"/>
  <c r="J243" i="50"/>
  <c r="AZ243" i="50" s="1"/>
  <c r="AP243" i="50" s="1"/>
  <c r="N82" i="50"/>
  <c r="AQ85" i="50"/>
  <c r="AT85" i="50" s="1"/>
  <c r="AW85" i="50" s="1"/>
  <c r="H86" i="50"/>
  <c r="AR85" i="50"/>
  <c r="M57" i="48"/>
  <c r="K58" i="48"/>
  <c r="AH52" i="48"/>
  <c r="AR55" i="48"/>
  <c r="AQ55" i="48"/>
  <c r="AT55" i="48" s="1"/>
  <c r="AW55" i="48" s="1"/>
  <c r="N53" i="48"/>
  <c r="P53" i="48"/>
  <c r="AC53" i="48"/>
  <c r="AE53" i="48"/>
  <c r="AS54" i="48"/>
  <c r="AV54" i="48" s="1"/>
  <c r="AA54" i="48"/>
  <c r="AU54" i="48"/>
  <c r="Q52" i="48"/>
  <c r="R52" i="48" s="1"/>
  <c r="X52" i="48" s="1"/>
  <c r="O52" i="48"/>
  <c r="L58" i="48"/>
  <c r="M52" i="40"/>
  <c r="M241" i="40"/>
  <c r="M242" i="40"/>
  <c r="K53" i="40"/>
  <c r="P53" i="40" s="1"/>
  <c r="AU243" i="40"/>
  <c r="AB243" i="40"/>
  <c r="AS243" i="40"/>
  <c r="AV243" i="40" s="1"/>
  <c r="J243" i="40"/>
  <c r="AZ243" i="40" s="1"/>
  <c r="AP243" i="40" s="1"/>
  <c r="L123" i="40"/>
  <c r="N242" i="40"/>
  <c r="P242" i="40"/>
  <c r="AR244" i="40"/>
  <c r="H245" i="40"/>
  <c r="AQ244" i="40"/>
  <c r="AT244" i="40" s="1"/>
  <c r="AW244" i="40" s="1"/>
  <c r="AD52" i="40"/>
  <c r="AU54" i="40"/>
  <c r="AB54" i="40"/>
  <c r="AS54" i="40"/>
  <c r="AV54" i="40" s="1"/>
  <c r="J54" i="40"/>
  <c r="AZ54" i="40" s="1"/>
  <c r="AP54" i="40" s="1"/>
  <c r="N241" i="40"/>
  <c r="P52" i="40"/>
  <c r="N53" i="40"/>
  <c r="AQ55" i="40"/>
  <c r="AT55" i="40" s="1"/>
  <c r="AW55" i="40" s="1"/>
  <c r="H56" i="40"/>
  <c r="AR55" i="40"/>
  <c r="L58" i="40"/>
  <c r="AL57" i="40"/>
  <c r="P241" i="40"/>
  <c r="N52" i="40"/>
  <c r="AD242" i="40"/>
  <c r="AF53" i="40"/>
  <c r="Q240" i="39"/>
  <c r="R240" i="39" s="1"/>
  <c r="Y240" i="39" s="1"/>
  <c r="O240" i="39"/>
  <c r="Q81" i="39"/>
  <c r="R81" i="39" s="1"/>
  <c r="Y81" i="39" s="1"/>
  <c r="O81" i="39"/>
  <c r="Q80" i="39"/>
  <c r="R80" i="39" s="1"/>
  <c r="Y80" i="39" s="1"/>
  <c r="O80" i="39"/>
  <c r="K241" i="39"/>
  <c r="AD241" i="39" s="1"/>
  <c r="AQ84" i="39"/>
  <c r="AT84" i="39" s="1"/>
  <c r="AW84" i="39" s="1"/>
  <c r="H85" i="39"/>
  <c r="AR84" i="39"/>
  <c r="AF82" i="39"/>
  <c r="AI82" i="39" s="1"/>
  <c r="AQ243" i="39"/>
  <c r="AT243" i="39" s="1"/>
  <c r="AW243" i="39" s="1"/>
  <c r="AR243" i="39"/>
  <c r="H244" i="39"/>
  <c r="BC81" i="39"/>
  <c r="BA81" i="39"/>
  <c r="BB81" i="39"/>
  <c r="L89" i="39"/>
  <c r="AS83" i="39"/>
  <c r="AV83" i="39" s="1"/>
  <c r="AB83" i="39"/>
  <c r="AU83" i="39"/>
  <c r="J83" i="39"/>
  <c r="AZ83" i="39" s="1"/>
  <c r="AP83" i="39" s="1"/>
  <c r="AB242" i="39"/>
  <c r="AU242" i="39"/>
  <c r="AS242" i="39"/>
  <c r="AV242" i="39" s="1"/>
  <c r="J242" i="39"/>
  <c r="AZ242" i="39" s="1"/>
  <c r="AP242" i="39" s="1"/>
  <c r="AI81" i="39"/>
  <c r="L180" i="39"/>
  <c r="P241" i="39"/>
  <c r="K82" i="39"/>
  <c r="K241" i="36"/>
  <c r="N81" i="36"/>
  <c r="BB81" i="36"/>
  <c r="BC81" i="36"/>
  <c r="K82" i="36"/>
  <c r="P82" i="36" s="1"/>
  <c r="AD240" i="36"/>
  <c r="Q81" i="36"/>
  <c r="R81" i="36" s="1"/>
  <c r="Y81" i="36" s="1"/>
  <c r="O81" i="36"/>
  <c r="M241" i="36"/>
  <c r="AR84" i="36"/>
  <c r="AB84" i="36" s="1"/>
  <c r="H85" i="36"/>
  <c r="AQ84" i="36"/>
  <c r="AT84" i="36" s="1"/>
  <c r="AW84" i="36" s="1"/>
  <c r="L179" i="36"/>
  <c r="L86" i="36"/>
  <c r="M81" i="36"/>
  <c r="AU242" i="36"/>
  <c r="AS242" i="36"/>
  <c r="AV242" i="36" s="1"/>
  <c r="J242" i="36"/>
  <c r="AZ242" i="36" s="1"/>
  <c r="AP242" i="36" s="1"/>
  <c r="BA81" i="36"/>
  <c r="AD241" i="36"/>
  <c r="O239" i="36"/>
  <c r="Q239" i="36"/>
  <c r="R239" i="36" s="1"/>
  <c r="Y239" i="36" s="1"/>
  <c r="AR243" i="36"/>
  <c r="AB243" i="36" s="1"/>
  <c r="AQ243" i="36"/>
  <c r="AT243" i="36" s="1"/>
  <c r="AW243" i="36" s="1"/>
  <c r="H244" i="36"/>
  <c r="N241" i="36"/>
  <c r="P241" i="36"/>
  <c r="AU83" i="36"/>
  <c r="AS83" i="36"/>
  <c r="AV83" i="36" s="1"/>
  <c r="J83" i="36"/>
  <c r="AZ83" i="36" s="1"/>
  <c r="AP83" i="36" s="1"/>
  <c r="Q80" i="36"/>
  <c r="R80" i="36" s="1"/>
  <c r="O80" i="36"/>
  <c r="M240" i="36"/>
  <c r="AD81" i="36"/>
  <c r="AF82" i="36"/>
  <c r="P240" i="36"/>
  <c r="L137" i="36"/>
  <c r="AI81" i="36"/>
  <c r="N61" i="17"/>
  <c r="D62" i="17"/>
  <c r="L137" i="50" l="1"/>
  <c r="Q241" i="50"/>
  <c r="R241" i="50" s="1"/>
  <c r="Y241" i="50" s="1"/>
  <c r="O241" i="50"/>
  <c r="M242" i="50"/>
  <c r="BC83" i="50"/>
  <c r="BB83" i="50"/>
  <c r="BA83" i="50"/>
  <c r="H246" i="50"/>
  <c r="AR245" i="50"/>
  <c r="AQ245" i="50"/>
  <c r="AT245" i="50" s="1"/>
  <c r="AW245" i="50" s="1"/>
  <c r="AQ86" i="50"/>
  <c r="AT86" i="50" s="1"/>
  <c r="AW86" i="50" s="1"/>
  <c r="H87" i="50"/>
  <c r="AR86" i="50"/>
  <c r="K243" i="50"/>
  <c r="AS244" i="50"/>
  <c r="AV244" i="50" s="1"/>
  <c r="K244" i="50"/>
  <c r="AU244" i="50"/>
  <c r="AB244" i="50"/>
  <c r="J244" i="50"/>
  <c r="AZ244" i="50" s="1"/>
  <c r="AP244" i="50" s="1"/>
  <c r="AD243" i="50"/>
  <c r="N242" i="50"/>
  <c r="AF84" i="50"/>
  <c r="L89" i="50"/>
  <c r="AU85" i="50"/>
  <c r="AS85" i="50"/>
  <c r="AV85" i="50" s="1"/>
  <c r="AB85" i="50"/>
  <c r="J85" i="50"/>
  <c r="AZ85" i="50" s="1"/>
  <c r="AP85" i="50" s="1"/>
  <c r="M83" i="50"/>
  <c r="P242" i="50"/>
  <c r="AI83" i="50"/>
  <c r="P83" i="50"/>
  <c r="AD242" i="50"/>
  <c r="L175" i="50"/>
  <c r="K84" i="50"/>
  <c r="P84" i="50" s="1"/>
  <c r="AD83" i="50"/>
  <c r="N83" i="50"/>
  <c r="K59" i="48"/>
  <c r="M58" i="48"/>
  <c r="L59" i="48"/>
  <c r="O53" i="48"/>
  <c r="Q53" i="48"/>
  <c r="R53" i="48" s="1"/>
  <c r="X53" i="48" s="1"/>
  <c r="AC54" i="48"/>
  <c r="AE54" i="48"/>
  <c r="AQ56" i="48"/>
  <c r="AT56" i="48" s="1"/>
  <c r="AW56" i="48" s="1"/>
  <c r="AR56" i="48"/>
  <c r="AS55" i="48"/>
  <c r="AV55" i="48" s="1"/>
  <c r="AU55" i="48"/>
  <c r="AA55" i="48"/>
  <c r="AH53" i="48"/>
  <c r="N54" i="48"/>
  <c r="P54" i="48"/>
  <c r="AD53" i="40"/>
  <c r="AL58" i="40"/>
  <c r="O242" i="40"/>
  <c r="Q242" i="40"/>
  <c r="R242" i="40" s="1"/>
  <c r="Y242" i="40" s="1"/>
  <c r="K243" i="40"/>
  <c r="Q53" i="40"/>
  <c r="R53" i="40" s="1"/>
  <c r="Y53" i="40" s="1"/>
  <c r="O53" i="40"/>
  <c r="K54" i="40"/>
  <c r="P54" i="40" s="1"/>
  <c r="P243" i="40"/>
  <c r="N243" i="40"/>
  <c r="L59" i="40"/>
  <c r="AD54" i="40"/>
  <c r="AF54" i="40"/>
  <c r="AD243" i="40"/>
  <c r="AS55" i="40"/>
  <c r="AV55" i="40" s="1"/>
  <c r="AB55" i="40"/>
  <c r="AU55" i="40"/>
  <c r="J55" i="40"/>
  <c r="AZ55" i="40" s="1"/>
  <c r="AP55" i="40" s="1"/>
  <c r="Q52" i="40"/>
  <c r="R52" i="40" s="1"/>
  <c r="Y52" i="40" s="1"/>
  <c r="O52" i="40"/>
  <c r="H246" i="40"/>
  <c r="AQ245" i="40"/>
  <c r="AT245" i="40" s="1"/>
  <c r="AW245" i="40" s="1"/>
  <c r="AR245" i="40"/>
  <c r="L124" i="40"/>
  <c r="AI54" i="40"/>
  <c r="AI53" i="40"/>
  <c r="Q241" i="40"/>
  <c r="R241" i="40" s="1"/>
  <c r="Y241" i="40" s="1"/>
  <c r="O241" i="40"/>
  <c r="H57" i="40"/>
  <c r="AR56" i="40"/>
  <c r="AQ56" i="40"/>
  <c r="AT56" i="40" s="1"/>
  <c r="AW56" i="40" s="1"/>
  <c r="AS244" i="40"/>
  <c r="AV244" i="40" s="1"/>
  <c r="AU244" i="40"/>
  <c r="AB244" i="40"/>
  <c r="J244" i="40"/>
  <c r="AZ244" i="40" s="1"/>
  <c r="AP244" i="40" s="1"/>
  <c r="M53" i="40"/>
  <c r="N241" i="39"/>
  <c r="K242" i="39"/>
  <c r="M82" i="39"/>
  <c r="L90" i="39"/>
  <c r="P242" i="39"/>
  <c r="N242" i="39"/>
  <c r="AF83" i="39"/>
  <c r="AI83" i="39" s="1"/>
  <c r="AR244" i="39"/>
  <c r="H245" i="39"/>
  <c r="AQ244" i="39"/>
  <c r="AT244" i="39" s="1"/>
  <c r="AW244" i="39" s="1"/>
  <c r="M241" i="39"/>
  <c r="M242" i="39"/>
  <c r="AD82" i="39"/>
  <c r="BC82" i="39"/>
  <c r="BB82" i="39"/>
  <c r="BA82" i="39"/>
  <c r="Q241" i="39"/>
  <c r="R241" i="39" s="1"/>
  <c r="Y241" i="39" s="1"/>
  <c r="O241" i="39"/>
  <c r="K83" i="39"/>
  <c r="N83" i="39" s="1"/>
  <c r="AS243" i="39"/>
  <c r="AV243" i="39" s="1"/>
  <c r="AB243" i="39"/>
  <c r="AU243" i="39"/>
  <c r="J243" i="39"/>
  <c r="AZ243" i="39" s="1"/>
  <c r="AP243" i="39" s="1"/>
  <c r="AB84" i="39"/>
  <c r="AU84" i="39"/>
  <c r="AS84" i="39"/>
  <c r="AV84" i="39" s="1"/>
  <c r="J84" i="39"/>
  <c r="AZ84" i="39" s="1"/>
  <c r="AP84" i="39" s="1"/>
  <c r="N82" i="39"/>
  <c r="L179" i="39"/>
  <c r="AD242" i="39"/>
  <c r="H86" i="39"/>
  <c r="AR85" i="39"/>
  <c r="AQ85" i="39"/>
  <c r="AT85" i="39" s="1"/>
  <c r="AW85" i="39" s="1"/>
  <c r="P82" i="39"/>
  <c r="M82" i="36"/>
  <c r="N82" i="36"/>
  <c r="AD82" i="36"/>
  <c r="BC82" i="36"/>
  <c r="BB82" i="36"/>
  <c r="BA82" i="36"/>
  <c r="AU84" i="36"/>
  <c r="AS84" i="36"/>
  <c r="AV84" i="36" s="1"/>
  <c r="J84" i="36"/>
  <c r="AZ84" i="36" s="1"/>
  <c r="AP84" i="36" s="1"/>
  <c r="AI82" i="36"/>
  <c r="AF83" i="36"/>
  <c r="AI83" i="36" s="1"/>
  <c r="AU243" i="36"/>
  <c r="AS243" i="36"/>
  <c r="AV243" i="36" s="1"/>
  <c r="J243" i="36"/>
  <c r="AZ243" i="36" s="1"/>
  <c r="AP243" i="36" s="1"/>
  <c r="Y80" i="36"/>
  <c r="Q82" i="36"/>
  <c r="R82" i="36" s="1"/>
  <c r="Y82" i="36" s="1"/>
  <c r="O82" i="36"/>
  <c r="H245" i="36"/>
  <c r="AR244" i="36"/>
  <c r="AB244" i="36" s="1"/>
  <c r="AQ244" i="36"/>
  <c r="AT244" i="36" s="1"/>
  <c r="AW244" i="36" s="1"/>
  <c r="O241" i="36"/>
  <c r="Q241" i="36"/>
  <c r="R241" i="36" s="1"/>
  <c r="Y241" i="36" s="1"/>
  <c r="K242" i="36"/>
  <c r="N242" i="36" s="1"/>
  <c r="L87" i="36"/>
  <c r="L178" i="36"/>
  <c r="L138" i="36"/>
  <c r="Q240" i="36"/>
  <c r="R240" i="36" s="1"/>
  <c r="O240" i="36"/>
  <c r="K83" i="36"/>
  <c r="AD83" i="36" s="1"/>
  <c r="AR85" i="36"/>
  <c r="AB85" i="36" s="1"/>
  <c r="AQ85" i="36"/>
  <c r="AT85" i="36" s="1"/>
  <c r="AW85" i="36" s="1"/>
  <c r="H86" i="36"/>
  <c r="D63" i="17"/>
  <c r="N62" i="17"/>
  <c r="Q84" i="50" l="1"/>
  <c r="R84" i="50" s="1"/>
  <c r="Y84" i="50" s="1"/>
  <c r="O84" i="50"/>
  <c r="AD244" i="50"/>
  <c r="M243" i="50"/>
  <c r="AR246" i="50"/>
  <c r="H247" i="50"/>
  <c r="AQ246" i="50"/>
  <c r="AT246" i="50" s="1"/>
  <c r="AW246" i="50" s="1"/>
  <c r="K85" i="50"/>
  <c r="AU86" i="50"/>
  <c r="AS86" i="50"/>
  <c r="AV86" i="50" s="1"/>
  <c r="AB86" i="50"/>
  <c r="J86" i="50"/>
  <c r="AZ86" i="50" s="1"/>
  <c r="AP86" i="50" s="1"/>
  <c r="O242" i="50"/>
  <c r="Q242" i="50"/>
  <c r="R242" i="50" s="1"/>
  <c r="Y242" i="50" s="1"/>
  <c r="AF85" i="50"/>
  <c r="AD84" i="50"/>
  <c r="H88" i="50"/>
  <c r="AR87" i="50"/>
  <c r="AQ87" i="50"/>
  <c r="AT87" i="50" s="1"/>
  <c r="AW87" i="50" s="1"/>
  <c r="P85" i="50"/>
  <c r="BC84" i="50"/>
  <c r="BB84" i="50"/>
  <c r="BA84" i="50"/>
  <c r="N84" i="50"/>
  <c r="N244" i="50"/>
  <c r="P244" i="50"/>
  <c r="L174" i="50"/>
  <c r="M244" i="50"/>
  <c r="Q83" i="50"/>
  <c r="R83" i="50" s="1"/>
  <c r="Y83" i="50" s="1"/>
  <c r="O83" i="50"/>
  <c r="P243" i="50"/>
  <c r="L138" i="50"/>
  <c r="M84" i="50"/>
  <c r="N243" i="50"/>
  <c r="L90" i="50"/>
  <c r="AI84" i="50"/>
  <c r="AU245" i="50"/>
  <c r="AB245" i="50"/>
  <c r="AS245" i="50"/>
  <c r="AV245" i="50" s="1"/>
  <c r="J245" i="50"/>
  <c r="AZ245" i="50" s="1"/>
  <c r="AP245" i="50" s="1"/>
  <c r="M59" i="48"/>
  <c r="K60" i="48"/>
  <c r="AQ57" i="48"/>
  <c r="AT57" i="48" s="1"/>
  <c r="AW57" i="48" s="1"/>
  <c r="AR57" i="48"/>
  <c r="AU56" i="48"/>
  <c r="AA56" i="48"/>
  <c r="AS56" i="48"/>
  <c r="AV56" i="48" s="1"/>
  <c r="Q54" i="48"/>
  <c r="R54" i="48" s="1"/>
  <c r="X54" i="48" s="1"/>
  <c r="O54" i="48"/>
  <c r="L60" i="48"/>
  <c r="P55" i="48"/>
  <c r="N55" i="48"/>
  <c r="AC55" i="48"/>
  <c r="AE55" i="48"/>
  <c r="AH54" i="48"/>
  <c r="AF55" i="40"/>
  <c r="AR246" i="40"/>
  <c r="AQ246" i="40"/>
  <c r="AT246" i="40" s="1"/>
  <c r="AW246" i="40" s="1"/>
  <c r="H247" i="40"/>
  <c r="AU56" i="40"/>
  <c r="AB56" i="40"/>
  <c r="AS56" i="40"/>
  <c r="AV56" i="40" s="1"/>
  <c r="J56" i="40"/>
  <c r="AZ56" i="40" s="1"/>
  <c r="AP56" i="40" s="1"/>
  <c r="K55" i="40"/>
  <c r="M243" i="40"/>
  <c r="K244" i="40"/>
  <c r="N244" i="40" s="1"/>
  <c r="AR57" i="40"/>
  <c r="AQ57" i="40"/>
  <c r="AT57" i="40" s="1"/>
  <c r="AW57" i="40" s="1"/>
  <c r="H58" i="40"/>
  <c r="Q243" i="40"/>
  <c r="R243" i="40" s="1"/>
  <c r="Y243" i="40" s="1"/>
  <c r="O243" i="40"/>
  <c r="AL59" i="40"/>
  <c r="AI55" i="40"/>
  <c r="O54" i="40"/>
  <c r="Q54" i="40"/>
  <c r="R54" i="40" s="1"/>
  <c r="Y54" i="40" s="1"/>
  <c r="L125" i="40"/>
  <c r="AU245" i="40"/>
  <c r="AS245" i="40"/>
  <c r="AV245" i="40" s="1"/>
  <c r="AB245" i="40"/>
  <c r="J245" i="40"/>
  <c r="AZ245" i="40" s="1"/>
  <c r="AP245" i="40" s="1"/>
  <c r="L60" i="40"/>
  <c r="M54" i="40"/>
  <c r="N54" i="40"/>
  <c r="K84" i="39"/>
  <c r="P83" i="39"/>
  <c r="O83" i="39" s="1"/>
  <c r="AD83" i="39"/>
  <c r="AQ86" i="39"/>
  <c r="AT86" i="39" s="1"/>
  <c r="AW86" i="39" s="1"/>
  <c r="H87" i="39"/>
  <c r="AR86" i="39"/>
  <c r="AF84" i="39"/>
  <c r="AI84" i="39" s="1"/>
  <c r="AD84" i="39"/>
  <c r="M84" i="39"/>
  <c r="AS85" i="39"/>
  <c r="AV85" i="39" s="1"/>
  <c r="AB85" i="39"/>
  <c r="AU85" i="39"/>
  <c r="J85" i="39"/>
  <c r="AZ85" i="39" s="1"/>
  <c r="AP85" i="39" s="1"/>
  <c r="AD243" i="39"/>
  <c r="Q82" i="39"/>
  <c r="R82" i="39" s="1"/>
  <c r="Y82" i="39" s="1"/>
  <c r="O82" i="39"/>
  <c r="L178" i="39"/>
  <c r="AU244" i="39"/>
  <c r="AS244" i="39"/>
  <c r="AV244" i="39" s="1"/>
  <c r="AB244" i="39"/>
  <c r="J244" i="39"/>
  <c r="AZ244" i="39" s="1"/>
  <c r="AP244" i="39" s="1"/>
  <c r="L91" i="39"/>
  <c r="Q83" i="39"/>
  <c r="R83" i="39" s="1"/>
  <c r="Y83" i="39" s="1"/>
  <c r="M83" i="39"/>
  <c r="BC83" i="39"/>
  <c r="BB83" i="39"/>
  <c r="BA83" i="39"/>
  <c r="P84" i="39"/>
  <c r="N84" i="39"/>
  <c r="K243" i="39"/>
  <c r="P243" i="39" s="1"/>
  <c r="H246" i="39"/>
  <c r="AR245" i="39"/>
  <c r="AQ245" i="39"/>
  <c r="AT245" i="39" s="1"/>
  <c r="AW245" i="39" s="1"/>
  <c r="Q242" i="39"/>
  <c r="R242" i="39" s="1"/>
  <c r="Y242" i="39" s="1"/>
  <c r="O242" i="39"/>
  <c r="P83" i="36"/>
  <c r="O83" i="36" s="1"/>
  <c r="P242" i="36"/>
  <c r="Q242" i="36" s="1"/>
  <c r="R242" i="36" s="1"/>
  <c r="Y242" i="36" s="1"/>
  <c r="BC83" i="36"/>
  <c r="BB83" i="36"/>
  <c r="L139" i="36"/>
  <c r="L88" i="36"/>
  <c r="AU244" i="36"/>
  <c r="AS244" i="36"/>
  <c r="AV244" i="36" s="1"/>
  <c r="J244" i="36"/>
  <c r="AZ244" i="36" s="1"/>
  <c r="AP244" i="36" s="1"/>
  <c r="AF84" i="36"/>
  <c r="AS85" i="36"/>
  <c r="AV85" i="36" s="1"/>
  <c r="AU85" i="36"/>
  <c r="J85" i="36"/>
  <c r="AZ85" i="36" s="1"/>
  <c r="AP85" i="36" s="1"/>
  <c r="BA83" i="36"/>
  <c r="K84" i="36"/>
  <c r="AD84" i="36" s="1"/>
  <c r="K243" i="36"/>
  <c r="AD243" i="36" s="1"/>
  <c r="M83" i="36"/>
  <c r="M242" i="36"/>
  <c r="AR245" i="36"/>
  <c r="AB245" i="36" s="1"/>
  <c r="AQ245" i="36"/>
  <c r="AT245" i="36" s="1"/>
  <c r="AW245" i="36" s="1"/>
  <c r="H246" i="36"/>
  <c r="L177" i="36"/>
  <c r="AR86" i="36"/>
  <c r="AB86" i="36" s="1"/>
  <c r="AQ86" i="36"/>
  <c r="AT86" i="36" s="1"/>
  <c r="AW86" i="36" s="1"/>
  <c r="H87" i="36"/>
  <c r="Y240" i="36"/>
  <c r="N83" i="36"/>
  <c r="AD242" i="36"/>
  <c r="D64" i="17"/>
  <c r="N63" i="17"/>
  <c r="K86" i="50" l="1"/>
  <c r="AQ88" i="50"/>
  <c r="AT88" i="50" s="1"/>
  <c r="AW88" i="50" s="1"/>
  <c r="H89" i="50"/>
  <c r="AR88" i="50"/>
  <c r="M85" i="50"/>
  <c r="K245" i="50"/>
  <c r="O244" i="50"/>
  <c r="Q244" i="50"/>
  <c r="R244" i="50" s="1"/>
  <c r="Y244" i="50" s="1"/>
  <c r="P245" i="50"/>
  <c r="N245" i="50"/>
  <c r="L173" i="50"/>
  <c r="O85" i="50"/>
  <c r="Q85" i="50"/>
  <c r="R85" i="50" s="1"/>
  <c r="Y85" i="50" s="1"/>
  <c r="BB85" i="50"/>
  <c r="BC85" i="50"/>
  <c r="BA85" i="50"/>
  <c r="AD86" i="50"/>
  <c r="AF86" i="50"/>
  <c r="L139" i="50"/>
  <c r="N85" i="50"/>
  <c r="AD85" i="50"/>
  <c r="P86" i="50"/>
  <c r="N86" i="50"/>
  <c r="H248" i="50"/>
  <c r="AQ247" i="50"/>
  <c r="AT247" i="50" s="1"/>
  <c r="AW247" i="50" s="1"/>
  <c r="AR247" i="50"/>
  <c r="AI85" i="50"/>
  <c r="L91" i="50"/>
  <c r="AD245" i="50"/>
  <c r="AB246" i="50"/>
  <c r="AS246" i="50"/>
  <c r="AV246" i="50" s="1"/>
  <c r="AU246" i="50"/>
  <c r="J246" i="50"/>
  <c r="AZ246" i="50" s="1"/>
  <c r="AP246" i="50" s="1"/>
  <c r="O243" i="50"/>
  <c r="Q243" i="50"/>
  <c r="R243" i="50" s="1"/>
  <c r="Y243" i="50" s="1"/>
  <c r="AS87" i="50"/>
  <c r="AV87" i="50" s="1"/>
  <c r="AU87" i="50"/>
  <c r="AB87" i="50"/>
  <c r="J87" i="50"/>
  <c r="AZ87" i="50" s="1"/>
  <c r="AP87" i="50" s="1"/>
  <c r="M86" i="50"/>
  <c r="K61" i="48"/>
  <c r="M60" i="48"/>
  <c r="L61" i="48"/>
  <c r="AU57" i="48"/>
  <c r="AA57" i="48"/>
  <c r="AS57" i="48"/>
  <c r="AV57" i="48" s="1"/>
  <c r="N56" i="48"/>
  <c r="P56" i="48"/>
  <c r="Q55" i="48"/>
  <c r="R55" i="48" s="1"/>
  <c r="X55" i="48" s="1"/>
  <c r="O55" i="48"/>
  <c r="AQ58" i="48"/>
  <c r="AT58" i="48" s="1"/>
  <c r="AW58" i="48" s="1"/>
  <c r="AR58" i="48"/>
  <c r="AH55" i="48"/>
  <c r="AC56" i="48"/>
  <c r="AE56" i="48"/>
  <c r="AH56" i="48" s="1"/>
  <c r="P244" i="40"/>
  <c r="M55" i="40"/>
  <c r="AD55" i="40"/>
  <c r="L126" i="40"/>
  <c r="N55" i="40"/>
  <c r="K245" i="40"/>
  <c r="AD245" i="40" s="1"/>
  <c r="H59" i="40"/>
  <c r="AQ58" i="40"/>
  <c r="AT58" i="40" s="1"/>
  <c r="AW58" i="40" s="1"/>
  <c r="AR58" i="40"/>
  <c r="K56" i="40"/>
  <c r="AD56" i="40" s="1"/>
  <c r="AS246" i="40"/>
  <c r="AV246" i="40" s="1"/>
  <c r="AB246" i="40"/>
  <c r="AU246" i="40"/>
  <c r="J246" i="40"/>
  <c r="AZ246" i="40" s="1"/>
  <c r="AP246" i="40" s="1"/>
  <c r="M244" i="40"/>
  <c r="P55" i="40"/>
  <c r="H248" i="40"/>
  <c r="AQ247" i="40"/>
  <c r="AT247" i="40" s="1"/>
  <c r="AW247" i="40" s="1"/>
  <c r="AR247" i="40"/>
  <c r="P245" i="40"/>
  <c r="N245" i="40"/>
  <c r="AL60" i="40"/>
  <c r="AD244" i="40"/>
  <c r="L61" i="40"/>
  <c r="AB57" i="40"/>
  <c r="AU57" i="40"/>
  <c r="AS57" i="40"/>
  <c r="AV57" i="40" s="1"/>
  <c r="J57" i="40"/>
  <c r="AZ57" i="40" s="1"/>
  <c r="AP57" i="40" s="1"/>
  <c r="AF56" i="40"/>
  <c r="AI56" i="40" s="1"/>
  <c r="K244" i="39"/>
  <c r="AD244" i="39" s="1"/>
  <c r="Q243" i="39"/>
  <c r="R243" i="39" s="1"/>
  <c r="Y243" i="39" s="1"/>
  <c r="O243" i="39"/>
  <c r="Q84" i="39"/>
  <c r="R84" i="39" s="1"/>
  <c r="Y84" i="39" s="1"/>
  <c r="O84" i="39"/>
  <c r="AS245" i="39"/>
  <c r="AV245" i="39" s="1"/>
  <c r="AB245" i="39"/>
  <c r="AU245" i="39"/>
  <c r="J245" i="39"/>
  <c r="AZ245" i="39" s="1"/>
  <c r="AP245" i="39" s="1"/>
  <c r="P244" i="39"/>
  <c r="N243" i="39"/>
  <c r="H88" i="39"/>
  <c r="AR87" i="39"/>
  <c r="AQ87" i="39"/>
  <c r="AT87" i="39" s="1"/>
  <c r="AW87" i="39" s="1"/>
  <c r="AR246" i="39"/>
  <c r="AQ246" i="39"/>
  <c r="AT246" i="39" s="1"/>
  <c r="AW246" i="39" s="1"/>
  <c r="H247" i="39"/>
  <c r="L92" i="39"/>
  <c r="AB86" i="39"/>
  <c r="AU86" i="39"/>
  <c r="AS86" i="39"/>
  <c r="AV86" i="39" s="1"/>
  <c r="J86" i="39"/>
  <c r="AZ86" i="39" s="1"/>
  <c r="AP86" i="39" s="1"/>
  <c r="M243" i="39"/>
  <c r="L177" i="39"/>
  <c r="AF85" i="39"/>
  <c r="M244" i="39"/>
  <c r="K85" i="39"/>
  <c r="AD85" i="39" s="1"/>
  <c r="BC84" i="39"/>
  <c r="BB84" i="39"/>
  <c r="BA84" i="39"/>
  <c r="P243" i="36"/>
  <c r="N243" i="36"/>
  <c r="Q83" i="36"/>
  <c r="R83" i="36" s="1"/>
  <c r="Y83" i="36" s="1"/>
  <c r="K85" i="36"/>
  <c r="P85" i="36" s="1"/>
  <c r="O242" i="36"/>
  <c r="AI84" i="36"/>
  <c r="BC84" i="36"/>
  <c r="BB84" i="36"/>
  <c r="AR87" i="36"/>
  <c r="AB87" i="36" s="1"/>
  <c r="AQ87" i="36"/>
  <c r="AT87" i="36" s="1"/>
  <c r="AW87" i="36" s="1"/>
  <c r="H88" i="36"/>
  <c r="L89" i="36"/>
  <c r="H247" i="36"/>
  <c r="AR246" i="36"/>
  <c r="AB246" i="36" s="1"/>
  <c r="AQ246" i="36"/>
  <c r="AT246" i="36" s="1"/>
  <c r="AW246" i="36" s="1"/>
  <c r="O243" i="36"/>
  <c r="Q243" i="36"/>
  <c r="R243" i="36" s="1"/>
  <c r="Y243" i="36" s="1"/>
  <c r="AS245" i="36"/>
  <c r="AV245" i="36" s="1"/>
  <c r="AU245" i="36"/>
  <c r="J245" i="36"/>
  <c r="AZ245" i="36" s="1"/>
  <c r="AP245" i="36" s="1"/>
  <c r="P84" i="36"/>
  <c r="L140" i="36"/>
  <c r="BA84" i="36"/>
  <c r="K244" i="36"/>
  <c r="N244" i="36" s="1"/>
  <c r="M84" i="36"/>
  <c r="AS86" i="36"/>
  <c r="AV86" i="36" s="1"/>
  <c r="AU86" i="36"/>
  <c r="J86" i="36"/>
  <c r="AZ86" i="36" s="1"/>
  <c r="AP86" i="36" s="1"/>
  <c r="N84" i="36"/>
  <c r="L176" i="36"/>
  <c r="M243" i="36"/>
  <c r="AF85" i="36"/>
  <c r="D65" i="17"/>
  <c r="N64" i="17"/>
  <c r="Q245" i="50" l="1"/>
  <c r="R245" i="50" s="1"/>
  <c r="Y245" i="50" s="1"/>
  <c r="O245" i="50"/>
  <c r="AU247" i="50"/>
  <c r="AB247" i="50"/>
  <c r="AS247" i="50"/>
  <c r="AV247" i="50" s="1"/>
  <c r="J247" i="50"/>
  <c r="AZ247" i="50" s="1"/>
  <c r="AP247" i="50" s="1"/>
  <c r="BC86" i="50"/>
  <c r="BA86" i="50"/>
  <c r="BB86" i="50"/>
  <c r="AI86" i="50"/>
  <c r="AS88" i="50"/>
  <c r="AV88" i="50" s="1"/>
  <c r="AB88" i="50"/>
  <c r="AU88" i="50"/>
  <c r="J88" i="50"/>
  <c r="AZ88" i="50" s="1"/>
  <c r="AP88" i="50" s="1"/>
  <c r="K246" i="50"/>
  <c r="P246" i="50" s="1"/>
  <c r="AR248" i="50"/>
  <c r="H249" i="50"/>
  <c r="AQ248" i="50"/>
  <c r="AT248" i="50" s="1"/>
  <c r="AW248" i="50" s="1"/>
  <c r="AR89" i="50"/>
  <c r="AQ89" i="50"/>
  <c r="AT89" i="50" s="1"/>
  <c r="AW89" i="50" s="1"/>
  <c r="H90" i="50"/>
  <c r="AF87" i="50"/>
  <c r="AI87" i="50" s="1"/>
  <c r="K87" i="50"/>
  <c r="L92" i="50"/>
  <c r="Q86" i="50"/>
  <c r="R86" i="50" s="1"/>
  <c r="Y86" i="50" s="1"/>
  <c r="O86" i="50"/>
  <c r="L140" i="50"/>
  <c r="M245" i="50"/>
  <c r="M61" i="48"/>
  <c r="K62" i="48"/>
  <c r="AQ59" i="48"/>
  <c r="AT59" i="48" s="1"/>
  <c r="AW59" i="48" s="1"/>
  <c r="AR59" i="48"/>
  <c r="P57" i="48"/>
  <c r="N57" i="48"/>
  <c r="AS58" i="48"/>
  <c r="AV58" i="48" s="1"/>
  <c r="AA58" i="48"/>
  <c r="AU58" i="48"/>
  <c r="L62" i="48"/>
  <c r="O56" i="48"/>
  <c r="Q56" i="48"/>
  <c r="R56" i="48" s="1"/>
  <c r="X56" i="48" s="1"/>
  <c r="AC57" i="48"/>
  <c r="AE57" i="48"/>
  <c r="N56" i="40"/>
  <c r="AL61" i="40"/>
  <c r="M56" i="40"/>
  <c r="AS58" i="40"/>
  <c r="AV58" i="40" s="1"/>
  <c r="AU58" i="40"/>
  <c r="AB58" i="40"/>
  <c r="J58" i="40"/>
  <c r="AZ58" i="40" s="1"/>
  <c r="AP58" i="40" s="1"/>
  <c r="L127" i="40"/>
  <c r="O244" i="40"/>
  <c r="Q244" i="40"/>
  <c r="R244" i="40" s="1"/>
  <c r="Q55" i="40"/>
  <c r="R55" i="40" s="1"/>
  <c r="Y55" i="40" s="1"/>
  <c r="O55" i="40"/>
  <c r="H249" i="40"/>
  <c r="AR248" i="40"/>
  <c r="AQ248" i="40"/>
  <c r="AT248" i="40" s="1"/>
  <c r="AW248" i="40" s="1"/>
  <c r="K57" i="40"/>
  <c r="P57" i="40" s="1"/>
  <c r="Q245" i="40"/>
  <c r="R245" i="40" s="1"/>
  <c r="Y245" i="40" s="1"/>
  <c r="O245" i="40"/>
  <c r="AF57" i="40"/>
  <c r="P56" i="40"/>
  <c r="K246" i="40"/>
  <c r="H60" i="40"/>
  <c r="AR59" i="40"/>
  <c r="AQ59" i="40"/>
  <c r="AT59" i="40" s="1"/>
  <c r="AW59" i="40" s="1"/>
  <c r="AU247" i="40"/>
  <c r="AS247" i="40"/>
  <c r="AV247" i="40" s="1"/>
  <c r="AB247" i="40"/>
  <c r="J247" i="40"/>
  <c r="AZ247" i="40" s="1"/>
  <c r="AP247" i="40" s="1"/>
  <c r="L62" i="40"/>
  <c r="M245" i="40"/>
  <c r="N244" i="39"/>
  <c r="P85" i="39"/>
  <c r="O85" i="39" s="1"/>
  <c r="AS87" i="39"/>
  <c r="AV87" i="39" s="1"/>
  <c r="AB87" i="39"/>
  <c r="AU87" i="39"/>
  <c r="J87" i="39"/>
  <c r="AZ87" i="39" s="1"/>
  <c r="AP87" i="39" s="1"/>
  <c r="M85" i="39"/>
  <c r="K86" i="39"/>
  <c r="AD86" i="39" s="1"/>
  <c r="H248" i="39"/>
  <c r="AR247" i="39"/>
  <c r="AQ247" i="39"/>
  <c r="AT247" i="39" s="1"/>
  <c r="AW247" i="39" s="1"/>
  <c r="AQ88" i="39"/>
  <c r="AT88" i="39" s="1"/>
  <c r="AW88" i="39" s="1"/>
  <c r="H89" i="39"/>
  <c r="AR88" i="39"/>
  <c r="Q85" i="39"/>
  <c r="R85" i="39" s="1"/>
  <c r="Y85" i="39" s="1"/>
  <c r="K245" i="39"/>
  <c r="AF86" i="39"/>
  <c r="BC85" i="39"/>
  <c r="BB85" i="39"/>
  <c r="BA85" i="39"/>
  <c r="N85" i="39"/>
  <c r="AU246" i="39"/>
  <c r="AS246" i="39"/>
  <c r="AV246" i="39" s="1"/>
  <c r="AB246" i="39"/>
  <c r="J246" i="39"/>
  <c r="AZ246" i="39" s="1"/>
  <c r="AP246" i="39" s="1"/>
  <c r="AI85" i="39"/>
  <c r="L93" i="39"/>
  <c r="O244" i="39"/>
  <c r="Q244" i="39"/>
  <c r="R244" i="39" s="1"/>
  <c r="Y244" i="39" s="1"/>
  <c r="P86" i="39"/>
  <c r="N86" i="39"/>
  <c r="L176" i="39"/>
  <c r="N245" i="39"/>
  <c r="N85" i="36"/>
  <c r="AD85" i="36"/>
  <c r="M85" i="36"/>
  <c r="P244" i="36"/>
  <c r="Q244" i="36" s="1"/>
  <c r="R244" i="36" s="1"/>
  <c r="Y244" i="36" s="1"/>
  <c r="BB85" i="36"/>
  <c r="BC85" i="36"/>
  <c r="AI85" i="36"/>
  <c r="K245" i="36"/>
  <c r="AD245" i="36" s="1"/>
  <c r="AF86" i="36"/>
  <c r="AI86" i="36" s="1"/>
  <c r="AU246" i="36"/>
  <c r="AS246" i="36"/>
  <c r="AV246" i="36" s="1"/>
  <c r="J246" i="36"/>
  <c r="AZ246" i="36" s="1"/>
  <c r="AP246" i="36" s="1"/>
  <c r="K86" i="36"/>
  <c r="L141" i="36"/>
  <c r="Q85" i="36"/>
  <c r="R85" i="36" s="1"/>
  <c r="Y85" i="36" s="1"/>
  <c r="O85" i="36"/>
  <c r="P245" i="36"/>
  <c r="AR247" i="36"/>
  <c r="AB247" i="36" s="1"/>
  <c r="AQ247" i="36"/>
  <c r="AT247" i="36" s="1"/>
  <c r="AW247" i="36" s="1"/>
  <c r="H248" i="36"/>
  <c r="AU87" i="36"/>
  <c r="AS87" i="36"/>
  <c r="AV87" i="36" s="1"/>
  <c r="J87" i="36"/>
  <c r="AZ87" i="36" s="1"/>
  <c r="AP87" i="36" s="1"/>
  <c r="O84" i="36"/>
  <c r="Q84" i="36"/>
  <c r="R84" i="36" s="1"/>
  <c r="Y84" i="36" s="1"/>
  <c r="L175" i="36"/>
  <c r="M244" i="36"/>
  <c r="AQ88" i="36"/>
  <c r="AT88" i="36" s="1"/>
  <c r="AW88" i="36" s="1"/>
  <c r="AR88" i="36"/>
  <c r="AB88" i="36" s="1"/>
  <c r="H89" i="36"/>
  <c r="BA85" i="36"/>
  <c r="AD244" i="36"/>
  <c r="L90" i="36"/>
  <c r="D66" i="17"/>
  <c r="N65" i="17"/>
  <c r="O246" i="50" l="1"/>
  <c r="Q246" i="50"/>
  <c r="R246" i="50" s="1"/>
  <c r="Y246" i="50" s="1"/>
  <c r="AR249" i="50"/>
  <c r="AQ249" i="50"/>
  <c r="AT249" i="50" s="1"/>
  <c r="AW249" i="50" s="1"/>
  <c r="H250" i="50"/>
  <c r="AQ90" i="50"/>
  <c r="AT90" i="50" s="1"/>
  <c r="AW90" i="50" s="1"/>
  <c r="AR90" i="50"/>
  <c r="H91" i="50"/>
  <c r="AU248" i="50"/>
  <c r="AB248" i="50"/>
  <c r="AS248" i="50"/>
  <c r="AV248" i="50" s="1"/>
  <c r="J248" i="50"/>
  <c r="AZ248" i="50" s="1"/>
  <c r="AP248" i="50" s="1"/>
  <c r="K88" i="50"/>
  <c r="AD88" i="50" s="1"/>
  <c r="N247" i="50"/>
  <c r="N246" i="50"/>
  <c r="K247" i="50"/>
  <c r="P247" i="50" s="1"/>
  <c r="M87" i="50"/>
  <c r="AD246" i="50"/>
  <c r="AB89" i="50"/>
  <c r="AS89" i="50"/>
  <c r="AV89" i="50" s="1"/>
  <c r="AU89" i="50"/>
  <c r="J89" i="50"/>
  <c r="AZ89" i="50" s="1"/>
  <c r="AP89" i="50" s="1"/>
  <c r="AI88" i="50"/>
  <c r="AD247" i="50"/>
  <c r="L93" i="50"/>
  <c r="M246" i="50"/>
  <c r="L141" i="50"/>
  <c r="AD87" i="50"/>
  <c r="P87" i="50"/>
  <c r="BA87" i="50"/>
  <c r="BC87" i="50"/>
  <c r="BB87" i="50"/>
  <c r="AF88" i="50"/>
  <c r="N87" i="50"/>
  <c r="K63" i="48"/>
  <c r="M62" i="48"/>
  <c r="AC58" i="48"/>
  <c r="AE58" i="48"/>
  <c r="AQ60" i="48"/>
  <c r="AT60" i="48" s="1"/>
  <c r="AW60" i="48" s="1"/>
  <c r="AR60" i="48"/>
  <c r="Q57" i="48"/>
  <c r="R57" i="48" s="1"/>
  <c r="X57" i="48" s="1"/>
  <c r="O57" i="48"/>
  <c r="N58" i="48"/>
  <c r="P58" i="48"/>
  <c r="L63" i="48"/>
  <c r="AH58" i="48"/>
  <c r="AU59" i="48"/>
  <c r="AA59" i="48"/>
  <c r="AS59" i="48"/>
  <c r="AV59" i="48" s="1"/>
  <c r="AH57" i="48"/>
  <c r="N57" i="40"/>
  <c r="O57" i="40"/>
  <c r="Q57" i="40"/>
  <c r="R57" i="40" s="1"/>
  <c r="Y57" i="40" s="1"/>
  <c r="M246" i="40"/>
  <c r="Q56" i="40"/>
  <c r="R56" i="40" s="1"/>
  <c r="O56" i="40"/>
  <c r="L128" i="40"/>
  <c r="N246" i="40"/>
  <c r="AF58" i="40"/>
  <c r="P246" i="40"/>
  <c r="AU59" i="40"/>
  <c r="AB59" i="40"/>
  <c r="AS59" i="40"/>
  <c r="AV59" i="40" s="1"/>
  <c r="J59" i="40"/>
  <c r="AZ59" i="40" s="1"/>
  <c r="AP59" i="40" s="1"/>
  <c r="AS248" i="40"/>
  <c r="AV248" i="40" s="1"/>
  <c r="AB248" i="40"/>
  <c r="K248" i="40"/>
  <c r="AU248" i="40"/>
  <c r="J248" i="40"/>
  <c r="AZ248" i="40" s="1"/>
  <c r="AP248" i="40" s="1"/>
  <c r="Y244" i="40"/>
  <c r="M57" i="40"/>
  <c r="AD246" i="40"/>
  <c r="AD57" i="40"/>
  <c r="L63" i="40"/>
  <c r="K247" i="40"/>
  <c r="AD247" i="40" s="1"/>
  <c r="AQ60" i="40"/>
  <c r="AT60" i="40" s="1"/>
  <c r="AW60" i="40" s="1"/>
  <c r="AR60" i="40"/>
  <c r="H61" i="40"/>
  <c r="H250" i="40"/>
  <c r="AQ249" i="40"/>
  <c r="AT249" i="40" s="1"/>
  <c r="AW249" i="40" s="1"/>
  <c r="AR249" i="40"/>
  <c r="K58" i="40"/>
  <c r="N58" i="40" s="1"/>
  <c r="AL62" i="40"/>
  <c r="AI57" i="40"/>
  <c r="L175" i="39"/>
  <c r="Q86" i="39"/>
  <c r="R86" i="39" s="1"/>
  <c r="Y86" i="39" s="1"/>
  <c r="O86" i="39"/>
  <c r="AR248" i="39"/>
  <c r="H249" i="39"/>
  <c r="AQ248" i="39"/>
  <c r="AT248" i="39" s="1"/>
  <c r="AW248" i="39" s="1"/>
  <c r="BC86" i="39"/>
  <c r="BB86" i="39"/>
  <c r="BA86" i="39"/>
  <c r="AI86" i="39"/>
  <c r="AS247" i="39"/>
  <c r="AV247" i="39" s="1"/>
  <c r="AB247" i="39"/>
  <c r="AU247" i="39"/>
  <c r="J247" i="39"/>
  <c r="AZ247" i="39" s="1"/>
  <c r="AP247" i="39" s="1"/>
  <c r="K246" i="39"/>
  <c r="AD246" i="39" s="1"/>
  <c r="M245" i="39"/>
  <c r="AB88" i="39"/>
  <c r="AU88" i="39"/>
  <c r="AS88" i="39"/>
  <c r="AV88" i="39" s="1"/>
  <c r="J88" i="39"/>
  <c r="AZ88" i="39" s="1"/>
  <c r="AP88" i="39" s="1"/>
  <c r="M86" i="39"/>
  <c r="AF87" i="39"/>
  <c r="AI87" i="39" s="1"/>
  <c r="H90" i="39"/>
  <c r="AR89" i="39"/>
  <c r="AQ89" i="39"/>
  <c r="AT89" i="39" s="1"/>
  <c r="AW89" i="39" s="1"/>
  <c r="K87" i="39"/>
  <c r="P87" i="39" s="1"/>
  <c r="P245" i="39"/>
  <c r="AD245" i="39"/>
  <c r="O244" i="36"/>
  <c r="M245" i="36"/>
  <c r="BB86" i="36"/>
  <c r="BC86" i="36"/>
  <c r="N245" i="36"/>
  <c r="AS247" i="36"/>
  <c r="AV247" i="36" s="1"/>
  <c r="AU247" i="36"/>
  <c r="J247" i="36"/>
  <c r="AZ247" i="36" s="1"/>
  <c r="AP247" i="36" s="1"/>
  <c r="AR89" i="36"/>
  <c r="AB89" i="36" s="1"/>
  <c r="AQ89" i="36"/>
  <c r="AT89" i="36" s="1"/>
  <c r="AW89" i="36" s="1"/>
  <c r="H90" i="36"/>
  <c r="AF87" i="36"/>
  <c r="AI87" i="36" s="1"/>
  <c r="O245" i="36"/>
  <c r="Q245" i="36"/>
  <c r="R245" i="36" s="1"/>
  <c r="Y245" i="36" s="1"/>
  <c r="M86" i="36"/>
  <c r="K246" i="36"/>
  <c r="AD246" i="36" s="1"/>
  <c r="AD86" i="36"/>
  <c r="N86" i="36"/>
  <c r="K87" i="36"/>
  <c r="N87" i="36" s="1"/>
  <c r="BA86" i="36"/>
  <c r="L91" i="36"/>
  <c r="L142" i="36"/>
  <c r="AS88" i="36"/>
  <c r="AV88" i="36" s="1"/>
  <c r="AU88" i="36"/>
  <c r="J88" i="36"/>
  <c r="AZ88" i="36" s="1"/>
  <c r="AP88" i="36" s="1"/>
  <c r="P86" i="36"/>
  <c r="AR248" i="36"/>
  <c r="AB248" i="36" s="1"/>
  <c r="H249" i="36"/>
  <c r="AQ248" i="36"/>
  <c r="AT248" i="36" s="1"/>
  <c r="AW248" i="36" s="1"/>
  <c r="L174" i="36"/>
  <c r="D67" i="17"/>
  <c r="N66" i="17"/>
  <c r="Q247" i="50" l="1"/>
  <c r="R247" i="50" s="1"/>
  <c r="Y247" i="50" s="1"/>
  <c r="O247" i="50"/>
  <c r="P248" i="50"/>
  <c r="H251" i="50"/>
  <c r="AR250" i="50"/>
  <c r="AQ250" i="50"/>
  <c r="AT250" i="50" s="1"/>
  <c r="AW250" i="50" s="1"/>
  <c r="L142" i="50"/>
  <c r="AF89" i="50"/>
  <c r="AI89" i="50" s="1"/>
  <c r="AS249" i="50"/>
  <c r="AV249" i="50" s="1"/>
  <c r="AU249" i="50"/>
  <c r="AB249" i="50"/>
  <c r="J249" i="50"/>
  <c r="AZ249" i="50" s="1"/>
  <c r="AP249" i="50" s="1"/>
  <c r="BC88" i="50"/>
  <c r="BB88" i="50"/>
  <c r="BA88" i="50"/>
  <c r="M88" i="50"/>
  <c r="AQ91" i="50"/>
  <c r="AT91" i="50" s="1"/>
  <c r="AW91" i="50" s="1"/>
  <c r="H92" i="50"/>
  <c r="AR91" i="50"/>
  <c r="O87" i="50"/>
  <c r="Q87" i="50"/>
  <c r="R87" i="50" s="1"/>
  <c r="Y87" i="50" s="1"/>
  <c r="K90" i="50"/>
  <c r="AS90" i="50"/>
  <c r="AV90" i="50" s="1"/>
  <c r="AB90" i="50"/>
  <c r="AU90" i="50"/>
  <c r="J90" i="50"/>
  <c r="AZ90" i="50" s="1"/>
  <c r="AP90" i="50" s="1"/>
  <c r="P88" i="50"/>
  <c r="K89" i="50"/>
  <c r="P89" i="50" s="1"/>
  <c r="M247" i="50"/>
  <c r="K248" i="50"/>
  <c r="AD248" i="50" s="1"/>
  <c r="N88" i="50"/>
  <c r="K64" i="48"/>
  <c r="M63" i="48"/>
  <c r="AQ61" i="48"/>
  <c r="AT61" i="48" s="1"/>
  <c r="AW61" i="48" s="1"/>
  <c r="AR61" i="48"/>
  <c r="O58" i="48"/>
  <c r="Q58" i="48"/>
  <c r="R58" i="48" s="1"/>
  <c r="X58" i="48" s="1"/>
  <c r="L64" i="48"/>
  <c r="AC59" i="48"/>
  <c r="AE59" i="48"/>
  <c r="P59" i="48"/>
  <c r="N59" i="48"/>
  <c r="AH59" i="48"/>
  <c r="AU60" i="48"/>
  <c r="AS60" i="48"/>
  <c r="AV60" i="48" s="1"/>
  <c r="AA60" i="48"/>
  <c r="K59" i="40"/>
  <c r="N247" i="40"/>
  <c r="AR61" i="40"/>
  <c r="AQ61" i="40"/>
  <c r="AT61" i="40" s="1"/>
  <c r="AW61" i="40" s="1"/>
  <c r="H62" i="40"/>
  <c r="M248" i="40"/>
  <c r="M59" i="40"/>
  <c r="P58" i="40"/>
  <c r="AL63" i="40"/>
  <c r="AU60" i="40"/>
  <c r="AB60" i="40"/>
  <c r="AS60" i="40"/>
  <c r="AV60" i="40" s="1"/>
  <c r="J60" i="40"/>
  <c r="AZ60" i="40" s="1"/>
  <c r="AP60" i="40" s="1"/>
  <c r="AD248" i="40"/>
  <c r="AF59" i="40"/>
  <c r="AD59" i="40"/>
  <c r="AD58" i="40"/>
  <c r="M58" i="40"/>
  <c r="P248" i="40"/>
  <c r="N248" i="40"/>
  <c r="Y56" i="40"/>
  <c r="M247" i="40"/>
  <c r="AU249" i="40"/>
  <c r="AS249" i="40"/>
  <c r="AV249" i="40" s="1"/>
  <c r="AB249" i="40"/>
  <c r="J249" i="40"/>
  <c r="AZ249" i="40" s="1"/>
  <c r="AP249" i="40" s="1"/>
  <c r="AI59" i="40"/>
  <c r="O246" i="40"/>
  <c r="Q246" i="40"/>
  <c r="R246" i="40" s="1"/>
  <c r="Y246" i="40" s="1"/>
  <c r="AI58" i="40"/>
  <c r="P247" i="40"/>
  <c r="AR250" i="40"/>
  <c r="H251" i="40"/>
  <c r="AQ250" i="40"/>
  <c r="AT250" i="40" s="1"/>
  <c r="AW250" i="40" s="1"/>
  <c r="L64" i="40"/>
  <c r="P59" i="40"/>
  <c r="N59" i="40"/>
  <c r="L129" i="40"/>
  <c r="K247" i="39"/>
  <c r="K88" i="39"/>
  <c r="N246" i="39"/>
  <c r="P246" i="39"/>
  <c r="O246" i="39" s="1"/>
  <c r="AQ90" i="39"/>
  <c r="AT90" i="39" s="1"/>
  <c r="AW90" i="39" s="1"/>
  <c r="AR90" i="39"/>
  <c r="H91" i="39"/>
  <c r="AF88" i="39"/>
  <c r="AI88" i="39" s="1"/>
  <c r="AD88" i="39"/>
  <c r="AQ249" i="39"/>
  <c r="AT249" i="39" s="1"/>
  <c r="AW249" i="39" s="1"/>
  <c r="H250" i="39"/>
  <c r="AR249" i="39"/>
  <c r="L174" i="39"/>
  <c r="AD247" i="39"/>
  <c r="M88" i="39"/>
  <c r="AU248" i="39"/>
  <c r="AS248" i="39"/>
  <c r="AV248" i="39" s="1"/>
  <c r="AB248" i="39"/>
  <c r="J248" i="39"/>
  <c r="AZ248" i="39" s="1"/>
  <c r="AP248" i="39" s="1"/>
  <c r="Q87" i="39"/>
  <c r="R87" i="39" s="1"/>
  <c r="Y87" i="39" s="1"/>
  <c r="O87" i="39"/>
  <c r="M87" i="39"/>
  <c r="P247" i="39"/>
  <c r="N247" i="39"/>
  <c r="M247" i="39"/>
  <c r="N87" i="39"/>
  <c r="AD87" i="39"/>
  <c r="P88" i="39"/>
  <c r="N88" i="39"/>
  <c r="M246" i="39"/>
  <c r="O245" i="39"/>
  <c r="Q245" i="39"/>
  <c r="R245" i="39" s="1"/>
  <c r="AS89" i="39"/>
  <c r="AV89" i="39" s="1"/>
  <c r="K89" i="39" s="1"/>
  <c r="AB89" i="39"/>
  <c r="AU89" i="39"/>
  <c r="J89" i="39"/>
  <c r="AZ89" i="39" s="1"/>
  <c r="AP89" i="39" s="1"/>
  <c r="BC87" i="39"/>
  <c r="BB87" i="39"/>
  <c r="BA87" i="39"/>
  <c r="P246" i="36"/>
  <c r="Q246" i="36" s="1"/>
  <c r="R246" i="36" s="1"/>
  <c r="Y246" i="36" s="1"/>
  <c r="K88" i="36"/>
  <c r="P88" i="36" s="1"/>
  <c r="BB87" i="36"/>
  <c r="BC87" i="36"/>
  <c r="H250" i="36"/>
  <c r="AR249" i="36"/>
  <c r="AB249" i="36" s="1"/>
  <c r="AQ249" i="36"/>
  <c r="AT249" i="36" s="1"/>
  <c r="AW249" i="36" s="1"/>
  <c r="AF88" i="36"/>
  <c r="M87" i="36"/>
  <c r="AU248" i="36"/>
  <c r="AS248" i="36"/>
  <c r="AV248" i="36" s="1"/>
  <c r="J248" i="36"/>
  <c r="AZ248" i="36" s="1"/>
  <c r="AP248" i="36" s="1"/>
  <c r="L173" i="36"/>
  <c r="Q86" i="36"/>
  <c r="R86" i="36" s="1"/>
  <c r="Y86" i="36" s="1"/>
  <c r="O86" i="36"/>
  <c r="L92" i="36"/>
  <c r="M246" i="36"/>
  <c r="BA87" i="36"/>
  <c r="P87" i="36"/>
  <c r="AQ90" i="36"/>
  <c r="AT90" i="36" s="1"/>
  <c r="AW90" i="36" s="1"/>
  <c r="H91" i="36"/>
  <c r="AR90" i="36"/>
  <c r="AB90" i="36" s="1"/>
  <c r="K247" i="36"/>
  <c r="P247" i="36" s="1"/>
  <c r="AD87" i="36"/>
  <c r="AS89" i="36"/>
  <c r="AV89" i="36" s="1"/>
  <c r="AU89" i="36"/>
  <c r="J89" i="36"/>
  <c r="AZ89" i="36" s="1"/>
  <c r="AP89" i="36" s="1"/>
  <c r="L143" i="36"/>
  <c r="N246" i="36"/>
  <c r="N67" i="17"/>
  <c r="D68" i="17"/>
  <c r="N89" i="50" l="1"/>
  <c r="Q89" i="50"/>
  <c r="R89" i="50" s="1"/>
  <c r="Y89" i="50" s="1"/>
  <c r="O89" i="50"/>
  <c r="AI90" i="50"/>
  <c r="M90" i="50"/>
  <c r="N249" i="50"/>
  <c r="O248" i="50"/>
  <c r="Q248" i="50"/>
  <c r="R248" i="50" s="1"/>
  <c r="Y248" i="50" s="1"/>
  <c r="AS91" i="50"/>
  <c r="AV91" i="50" s="1"/>
  <c r="AU91" i="50"/>
  <c r="AB91" i="50"/>
  <c r="J91" i="50"/>
  <c r="AZ91" i="50" s="1"/>
  <c r="AP91" i="50" s="1"/>
  <c r="M89" i="50"/>
  <c r="AF90" i="50"/>
  <c r="AD90" i="50"/>
  <c r="AQ92" i="50"/>
  <c r="AT92" i="50" s="1"/>
  <c r="AW92" i="50" s="1"/>
  <c r="H93" i="50"/>
  <c r="AR92" i="50"/>
  <c r="AD89" i="50"/>
  <c r="AR251" i="50"/>
  <c r="AQ251" i="50"/>
  <c r="AT251" i="50" s="1"/>
  <c r="AW251" i="50" s="1"/>
  <c r="H252" i="50"/>
  <c r="M248" i="50"/>
  <c r="Q88" i="50"/>
  <c r="R88" i="50" s="1"/>
  <c r="Y88" i="50" s="1"/>
  <c r="O88" i="50"/>
  <c r="L143" i="50"/>
  <c r="BA89" i="50"/>
  <c r="BC89" i="50"/>
  <c r="BB89" i="50"/>
  <c r="AU250" i="50"/>
  <c r="AB250" i="50"/>
  <c r="AS250" i="50"/>
  <c r="AV250" i="50" s="1"/>
  <c r="K250" i="50" s="1"/>
  <c r="J250" i="50"/>
  <c r="AZ250" i="50" s="1"/>
  <c r="AP250" i="50" s="1"/>
  <c r="P90" i="50"/>
  <c r="N90" i="50"/>
  <c r="K249" i="50"/>
  <c r="N248" i="50"/>
  <c r="K65" i="48"/>
  <c r="M64" i="48"/>
  <c r="O59" i="48"/>
  <c r="Q59" i="48"/>
  <c r="R59" i="48" s="1"/>
  <c r="X59" i="48" s="1"/>
  <c r="AC60" i="48"/>
  <c r="AE60" i="48"/>
  <c r="AH60" i="48" s="1"/>
  <c r="AS61" i="48"/>
  <c r="AV61" i="48" s="1"/>
  <c r="AA61" i="48"/>
  <c r="AU61" i="48"/>
  <c r="L65" i="48"/>
  <c r="P60" i="48"/>
  <c r="N60" i="48"/>
  <c r="AQ62" i="48"/>
  <c r="AT62" i="48" s="1"/>
  <c r="AW62" i="48" s="1"/>
  <c r="AR62" i="48"/>
  <c r="Q59" i="40"/>
  <c r="R59" i="40" s="1"/>
  <c r="Y59" i="40" s="1"/>
  <c r="O59" i="40"/>
  <c r="L65" i="40"/>
  <c r="Q247" i="40"/>
  <c r="R247" i="40" s="1"/>
  <c r="Y247" i="40" s="1"/>
  <c r="O247" i="40"/>
  <c r="AF60" i="40"/>
  <c r="AI60" i="40" s="1"/>
  <c r="O248" i="40"/>
  <c r="Q248" i="40"/>
  <c r="R248" i="40" s="1"/>
  <c r="Y248" i="40" s="1"/>
  <c r="AS61" i="40"/>
  <c r="AV61" i="40" s="1"/>
  <c r="AU61" i="40"/>
  <c r="AB61" i="40"/>
  <c r="J61" i="40"/>
  <c r="AZ61" i="40" s="1"/>
  <c r="AP61" i="40" s="1"/>
  <c r="Q58" i="40"/>
  <c r="R58" i="40" s="1"/>
  <c r="O58" i="40"/>
  <c r="L130" i="40"/>
  <c r="H252" i="40"/>
  <c r="AQ251" i="40"/>
  <c r="AT251" i="40" s="1"/>
  <c r="AW251" i="40" s="1"/>
  <c r="AR251" i="40"/>
  <c r="K60" i="40"/>
  <c r="N60" i="40" s="1"/>
  <c r="N249" i="40"/>
  <c r="AR62" i="40"/>
  <c r="H63" i="40"/>
  <c r="AQ62" i="40"/>
  <c r="AT62" i="40" s="1"/>
  <c r="AW62" i="40" s="1"/>
  <c r="AU250" i="40"/>
  <c r="AB250" i="40"/>
  <c r="AS250" i="40"/>
  <c r="AV250" i="40" s="1"/>
  <c r="J250" i="40"/>
  <c r="AZ250" i="40" s="1"/>
  <c r="AP250" i="40" s="1"/>
  <c r="K249" i="40"/>
  <c r="AL64" i="40"/>
  <c r="Q246" i="39"/>
  <c r="R246" i="39" s="1"/>
  <c r="Y246" i="39" s="1"/>
  <c r="M89" i="39"/>
  <c r="AF89" i="39"/>
  <c r="AD89" i="39"/>
  <c r="BC88" i="39"/>
  <c r="BB88" i="39"/>
  <c r="BA88" i="39"/>
  <c r="N89" i="39"/>
  <c r="P89" i="39"/>
  <c r="AS249" i="39"/>
  <c r="AV249" i="39" s="1"/>
  <c r="AB249" i="39"/>
  <c r="AU249" i="39"/>
  <c r="J249" i="39"/>
  <c r="AZ249" i="39" s="1"/>
  <c r="AP249" i="39" s="1"/>
  <c r="H92" i="39"/>
  <c r="AR91" i="39"/>
  <c r="AQ91" i="39"/>
  <c r="AT91" i="39" s="1"/>
  <c r="AW91" i="39" s="1"/>
  <c r="L173" i="39"/>
  <c r="Y245" i="39"/>
  <c r="Q88" i="39"/>
  <c r="R88" i="39" s="1"/>
  <c r="Y88" i="39" s="1"/>
  <c r="O88" i="39"/>
  <c r="O247" i="39"/>
  <c r="Q247" i="39"/>
  <c r="R247" i="39" s="1"/>
  <c r="Y247" i="39" s="1"/>
  <c r="H251" i="39"/>
  <c r="AQ250" i="39"/>
  <c r="AT250" i="39" s="1"/>
  <c r="AW250" i="39" s="1"/>
  <c r="AR250" i="39"/>
  <c r="AB90" i="39"/>
  <c r="AU90" i="39"/>
  <c r="AS90" i="39"/>
  <c r="AV90" i="39" s="1"/>
  <c r="J90" i="39"/>
  <c r="AZ90" i="39" s="1"/>
  <c r="AP90" i="39" s="1"/>
  <c r="K248" i="39"/>
  <c r="P248" i="39" s="1"/>
  <c r="AD247" i="36"/>
  <c r="O246" i="36"/>
  <c r="M88" i="36"/>
  <c r="N88" i="36"/>
  <c r="AD88" i="36"/>
  <c r="BC88" i="36"/>
  <c r="BB88" i="36"/>
  <c r="AF89" i="36"/>
  <c r="AI89" i="36" s="1"/>
  <c r="BA88" i="36"/>
  <c r="M247" i="36"/>
  <c r="O247" i="36"/>
  <c r="Q247" i="36"/>
  <c r="R247" i="36" s="1"/>
  <c r="Y247" i="36" s="1"/>
  <c r="Q87" i="36"/>
  <c r="R87" i="36" s="1"/>
  <c r="O87" i="36"/>
  <c r="L93" i="36"/>
  <c r="K248" i="36"/>
  <c r="AD248" i="36" s="1"/>
  <c r="AU249" i="36"/>
  <c r="AS249" i="36"/>
  <c r="AV249" i="36" s="1"/>
  <c r="J249" i="36"/>
  <c r="AZ249" i="36" s="1"/>
  <c r="AP249" i="36" s="1"/>
  <c r="Q88" i="36"/>
  <c r="R88" i="36" s="1"/>
  <c r="Y88" i="36" s="1"/>
  <c r="O88" i="36"/>
  <c r="AS90" i="36"/>
  <c r="AV90" i="36" s="1"/>
  <c r="AU90" i="36"/>
  <c r="J90" i="36"/>
  <c r="AZ90" i="36" s="1"/>
  <c r="AP90" i="36" s="1"/>
  <c r="N247" i="36"/>
  <c r="AI88" i="36"/>
  <c r="K89" i="36"/>
  <c r="N89" i="36" s="1"/>
  <c r="H92" i="36"/>
  <c r="AR91" i="36"/>
  <c r="AB91" i="36" s="1"/>
  <c r="AQ91" i="36"/>
  <c r="AT91" i="36" s="1"/>
  <c r="AW91" i="36" s="1"/>
  <c r="H251" i="36"/>
  <c r="AR250" i="36"/>
  <c r="AB250" i="36" s="1"/>
  <c r="AQ250" i="36"/>
  <c r="AT250" i="36" s="1"/>
  <c r="AW250" i="36" s="1"/>
  <c r="D69" i="17"/>
  <c r="N68" i="17"/>
  <c r="M250" i="50" l="1"/>
  <c r="AU92" i="50"/>
  <c r="AS92" i="50"/>
  <c r="AV92" i="50" s="1"/>
  <c r="AB92" i="50"/>
  <c r="J92" i="50"/>
  <c r="AZ92" i="50" s="1"/>
  <c r="AP92" i="50" s="1"/>
  <c r="K91" i="50"/>
  <c r="N91" i="50" s="1"/>
  <c r="H98" i="50"/>
  <c r="AQ93" i="50"/>
  <c r="AT93" i="50" s="1"/>
  <c r="AW93" i="50" s="1"/>
  <c r="AR93" i="50"/>
  <c r="AR252" i="50"/>
  <c r="AQ252" i="50"/>
  <c r="AT252" i="50" s="1"/>
  <c r="AW252" i="50" s="1"/>
  <c r="AD250" i="50"/>
  <c r="M249" i="50"/>
  <c r="AF91" i="50"/>
  <c r="P249" i="50"/>
  <c r="Q90" i="50"/>
  <c r="R90" i="50" s="1"/>
  <c r="Y90" i="50" s="1"/>
  <c r="O90" i="50"/>
  <c r="AD249" i="50"/>
  <c r="P250" i="50"/>
  <c r="N250" i="50"/>
  <c r="AS251" i="50"/>
  <c r="AV251" i="50" s="1"/>
  <c r="AU251" i="50"/>
  <c r="AB251" i="50"/>
  <c r="J251" i="50"/>
  <c r="AZ251" i="50" s="1"/>
  <c r="AP251" i="50" s="1"/>
  <c r="BC90" i="50"/>
  <c r="BA90" i="50"/>
  <c r="BB90" i="50"/>
  <c r="M65" i="48"/>
  <c r="K66" i="48"/>
  <c r="AU62" i="48"/>
  <c r="AA62" i="48"/>
  <c r="AS62" i="48"/>
  <c r="AV62" i="48" s="1"/>
  <c r="AQ63" i="48"/>
  <c r="AT63" i="48" s="1"/>
  <c r="AW63" i="48" s="1"/>
  <c r="AR63" i="48"/>
  <c r="Q60" i="48"/>
  <c r="R60" i="48" s="1"/>
  <c r="X60" i="48" s="1"/>
  <c r="O60" i="48"/>
  <c r="AE61" i="48"/>
  <c r="AH61" i="48" s="1"/>
  <c r="AC61" i="48"/>
  <c r="L66" i="48"/>
  <c r="N61" i="48"/>
  <c r="P61" i="48"/>
  <c r="K61" i="40"/>
  <c r="P60" i="40"/>
  <c r="AD60" i="40"/>
  <c r="M249" i="40"/>
  <c r="P249" i="40"/>
  <c r="AD249" i="40"/>
  <c r="M61" i="40"/>
  <c r="O60" i="40"/>
  <c r="Q60" i="40"/>
  <c r="R60" i="40" s="1"/>
  <c r="Y60" i="40" s="1"/>
  <c r="AU251" i="40"/>
  <c r="AS251" i="40"/>
  <c r="AV251" i="40" s="1"/>
  <c r="AB251" i="40"/>
  <c r="J251" i="40"/>
  <c r="AZ251" i="40" s="1"/>
  <c r="AP251" i="40" s="1"/>
  <c r="Y58" i="40"/>
  <c r="N61" i="40"/>
  <c r="P61" i="40"/>
  <c r="K250" i="40"/>
  <c r="AQ63" i="40"/>
  <c r="AT63" i="40" s="1"/>
  <c r="AW63" i="40" s="1"/>
  <c r="AR63" i="40"/>
  <c r="H64" i="40"/>
  <c r="L66" i="40"/>
  <c r="N250" i="40"/>
  <c r="AU62" i="40"/>
  <c r="AB62" i="40"/>
  <c r="AS62" i="40"/>
  <c r="AV62" i="40" s="1"/>
  <c r="J62" i="40"/>
  <c r="AZ62" i="40" s="1"/>
  <c r="AP62" i="40" s="1"/>
  <c r="M60" i="40"/>
  <c r="AR252" i="40"/>
  <c r="AQ252" i="40"/>
  <c r="AT252" i="40" s="1"/>
  <c r="AW252" i="40" s="1"/>
  <c r="AI61" i="40"/>
  <c r="L131" i="40"/>
  <c r="AL65" i="40"/>
  <c r="AD61" i="40"/>
  <c r="AF61" i="40"/>
  <c r="K90" i="39"/>
  <c r="O248" i="39"/>
  <c r="Q248" i="39"/>
  <c r="R248" i="39" s="1"/>
  <c r="Y248" i="39" s="1"/>
  <c r="BC89" i="39"/>
  <c r="BB89" i="39"/>
  <c r="BA89" i="39"/>
  <c r="AD248" i="39"/>
  <c r="AU250" i="39"/>
  <c r="AB250" i="39"/>
  <c r="AS250" i="39"/>
  <c r="AV250" i="39" s="1"/>
  <c r="J250" i="39"/>
  <c r="AZ250" i="39" s="1"/>
  <c r="AP250" i="39" s="1"/>
  <c r="N248" i="39"/>
  <c r="AS91" i="39"/>
  <c r="AV91" i="39" s="1"/>
  <c r="AU91" i="39"/>
  <c r="AB91" i="39"/>
  <c r="J91" i="39"/>
  <c r="AZ91" i="39" s="1"/>
  <c r="AP91" i="39" s="1"/>
  <c r="N249" i="39"/>
  <c r="P90" i="39"/>
  <c r="N90" i="39"/>
  <c r="AR251" i="39"/>
  <c r="AQ251" i="39"/>
  <c r="AT251" i="39" s="1"/>
  <c r="AW251" i="39" s="1"/>
  <c r="H252" i="39"/>
  <c r="AQ92" i="39"/>
  <c r="AT92" i="39" s="1"/>
  <c r="AW92" i="39" s="1"/>
  <c r="H93" i="39"/>
  <c r="AR92" i="39"/>
  <c r="Q89" i="39"/>
  <c r="R89" i="39" s="1"/>
  <c r="Y89" i="39" s="1"/>
  <c r="O89" i="39"/>
  <c r="M90" i="39"/>
  <c r="M248" i="39"/>
  <c r="AI89" i="39"/>
  <c r="AF90" i="39"/>
  <c r="AI90" i="39" s="1"/>
  <c r="AD90" i="39"/>
  <c r="K249" i="39"/>
  <c r="P249" i="39" s="1"/>
  <c r="N248" i="36"/>
  <c r="K249" i="36"/>
  <c r="N249" i="36" s="1"/>
  <c r="BC89" i="36"/>
  <c r="BB89" i="36"/>
  <c r="P89" i="36"/>
  <c r="Q89" i="36" s="1"/>
  <c r="R89" i="36" s="1"/>
  <c r="Y89" i="36" s="1"/>
  <c r="AU91" i="36"/>
  <c r="AS91" i="36"/>
  <c r="AV91" i="36" s="1"/>
  <c r="J91" i="36"/>
  <c r="AZ91" i="36" s="1"/>
  <c r="AP91" i="36" s="1"/>
  <c r="M89" i="36"/>
  <c r="AF90" i="36"/>
  <c r="AI90" i="36" s="1"/>
  <c r="Y87" i="36"/>
  <c r="BA89" i="36"/>
  <c r="AQ92" i="36"/>
  <c r="AT92" i="36" s="1"/>
  <c r="AW92" i="36" s="1"/>
  <c r="H93" i="36"/>
  <c r="AR92" i="36"/>
  <c r="AB92" i="36" s="1"/>
  <c r="AU250" i="36"/>
  <c r="AS250" i="36"/>
  <c r="AV250" i="36" s="1"/>
  <c r="J250" i="36"/>
  <c r="AZ250" i="36" s="1"/>
  <c r="AP250" i="36" s="1"/>
  <c r="K90" i="36"/>
  <c r="N90" i="36" s="1"/>
  <c r="H252" i="36"/>
  <c r="AR251" i="36"/>
  <c r="AB251" i="36" s="1"/>
  <c r="AQ251" i="36"/>
  <c r="AT251" i="36" s="1"/>
  <c r="AW251" i="36" s="1"/>
  <c r="M248" i="36"/>
  <c r="P248" i="36"/>
  <c r="AD89" i="36"/>
  <c r="AS23" i="35"/>
  <c r="I24" i="35"/>
  <c r="AR23" i="35"/>
  <c r="AU23" i="35" s="1"/>
  <c r="AX23" i="35" s="1"/>
  <c r="D70" i="17"/>
  <c r="N69" i="17"/>
  <c r="AD91" i="50" l="1"/>
  <c r="K92" i="50"/>
  <c r="AD92" i="50" s="1"/>
  <c r="BB91" i="50"/>
  <c r="BA91" i="50"/>
  <c r="BC91" i="50"/>
  <c r="AI92" i="50"/>
  <c r="AI91" i="50"/>
  <c r="AU252" i="50"/>
  <c r="AS252" i="50"/>
  <c r="AV252" i="50" s="1"/>
  <c r="AB252" i="50"/>
  <c r="J252" i="50"/>
  <c r="AZ252" i="50" s="1"/>
  <c r="AP252" i="50" s="1"/>
  <c r="M92" i="50"/>
  <c r="M91" i="50"/>
  <c r="K251" i="50"/>
  <c r="Q250" i="50"/>
  <c r="R250" i="50" s="1"/>
  <c r="Y250" i="50" s="1"/>
  <c r="O250" i="50"/>
  <c r="AU93" i="50"/>
  <c r="AB93" i="50"/>
  <c r="AS93" i="50"/>
  <c r="AV93" i="50" s="1"/>
  <c r="J93" i="50"/>
  <c r="AZ93" i="50" s="1"/>
  <c r="AP93" i="50" s="1"/>
  <c r="AF92" i="50"/>
  <c r="AR98" i="50"/>
  <c r="AQ98" i="50"/>
  <c r="AT98" i="50" s="1"/>
  <c r="AW98" i="50" s="1"/>
  <c r="H99" i="50"/>
  <c r="P91" i="50"/>
  <c r="Q249" i="50"/>
  <c r="R249" i="50" s="1"/>
  <c r="O249" i="50"/>
  <c r="P92" i="50"/>
  <c r="N92" i="50"/>
  <c r="K67" i="48"/>
  <c r="M66" i="48"/>
  <c r="AQ64" i="48"/>
  <c r="AT64" i="48" s="1"/>
  <c r="AW64" i="48" s="1"/>
  <c r="AR64" i="48"/>
  <c r="AC62" i="48"/>
  <c r="AE62" i="48"/>
  <c r="Q61" i="48"/>
  <c r="R61" i="48" s="1"/>
  <c r="X61" i="48" s="1"/>
  <c r="O61" i="48"/>
  <c r="N62" i="48"/>
  <c r="P62" i="48"/>
  <c r="AU63" i="48"/>
  <c r="AS63" i="48"/>
  <c r="AV63" i="48" s="1"/>
  <c r="AA63" i="48"/>
  <c r="L67" i="48"/>
  <c r="L132" i="40"/>
  <c r="M250" i="40"/>
  <c r="O249" i="40"/>
  <c r="Q249" i="40"/>
  <c r="R249" i="40" s="1"/>
  <c r="AD250" i="40"/>
  <c r="L67" i="40"/>
  <c r="K251" i="40"/>
  <c r="K62" i="40"/>
  <c r="N62" i="40" s="1"/>
  <c r="Q61" i="40"/>
  <c r="R61" i="40" s="1"/>
  <c r="Y61" i="40" s="1"/>
  <c r="O61" i="40"/>
  <c r="AD251" i="40"/>
  <c r="AS252" i="40"/>
  <c r="AV252" i="40" s="1"/>
  <c r="AB252" i="40"/>
  <c r="AU252" i="40"/>
  <c r="K252" i="40"/>
  <c r="J252" i="40"/>
  <c r="AZ252" i="40" s="1"/>
  <c r="AP252" i="40" s="1"/>
  <c r="AF62" i="40"/>
  <c r="AD62" i="40"/>
  <c r="AR64" i="40"/>
  <c r="H65" i="40"/>
  <c r="AQ64" i="40"/>
  <c r="AT64" i="40" s="1"/>
  <c r="AW64" i="40" s="1"/>
  <c r="N251" i="40"/>
  <c r="P251" i="40"/>
  <c r="AL66" i="40"/>
  <c r="AS63" i="40"/>
  <c r="AV63" i="40" s="1"/>
  <c r="AU63" i="40"/>
  <c r="AB63" i="40"/>
  <c r="J63" i="40"/>
  <c r="AZ63" i="40" s="1"/>
  <c r="AP63" i="40" s="1"/>
  <c r="AI62" i="40"/>
  <c r="P250" i="40"/>
  <c r="O249" i="39"/>
  <c r="Q249" i="39"/>
  <c r="R249" i="39" s="1"/>
  <c r="Y249" i="39" s="1"/>
  <c r="AQ252" i="39"/>
  <c r="AT252" i="39" s="1"/>
  <c r="AW252" i="39" s="1"/>
  <c r="AR252" i="39"/>
  <c r="K250" i="39"/>
  <c r="P250" i="39" s="1"/>
  <c r="M249" i="39"/>
  <c r="AU251" i="39"/>
  <c r="AB251" i="39"/>
  <c r="AS251" i="39"/>
  <c r="AV251" i="39" s="1"/>
  <c r="J251" i="39"/>
  <c r="AZ251" i="39" s="1"/>
  <c r="AP251" i="39" s="1"/>
  <c r="AF91" i="39"/>
  <c r="AB92" i="39"/>
  <c r="AU92" i="39"/>
  <c r="AS92" i="39"/>
  <c r="AV92" i="39" s="1"/>
  <c r="J92" i="39"/>
  <c r="AZ92" i="39" s="1"/>
  <c r="AP92" i="39" s="1"/>
  <c r="BC90" i="39"/>
  <c r="BB90" i="39"/>
  <c r="BA90" i="39"/>
  <c r="AQ93" i="39"/>
  <c r="AT93" i="39" s="1"/>
  <c r="AW93" i="39" s="1"/>
  <c r="AR93" i="39"/>
  <c r="H98" i="39"/>
  <c r="Q90" i="39"/>
  <c r="R90" i="39" s="1"/>
  <c r="Y90" i="39" s="1"/>
  <c r="O90" i="39"/>
  <c r="K91" i="39"/>
  <c r="N91" i="39" s="1"/>
  <c r="AD249" i="39"/>
  <c r="P249" i="36"/>
  <c r="O249" i="36" s="1"/>
  <c r="M249" i="36"/>
  <c r="AD249" i="36"/>
  <c r="O89" i="36"/>
  <c r="K91" i="36"/>
  <c r="AD91" i="36" s="1"/>
  <c r="BC90" i="36"/>
  <c r="BB90" i="36"/>
  <c r="AR252" i="36"/>
  <c r="AB252" i="36" s="1"/>
  <c r="AQ252" i="36"/>
  <c r="AT252" i="36" s="1"/>
  <c r="AW252" i="36" s="1"/>
  <c r="M90" i="36"/>
  <c r="AU92" i="36"/>
  <c r="AS92" i="36"/>
  <c r="AV92" i="36" s="1"/>
  <c r="J92" i="36"/>
  <c r="AZ92" i="36" s="1"/>
  <c r="AP92" i="36" s="1"/>
  <c r="AD90" i="36"/>
  <c r="Q249" i="36"/>
  <c r="R249" i="36" s="1"/>
  <c r="Y249" i="36" s="1"/>
  <c r="H98" i="36"/>
  <c r="AR93" i="36"/>
  <c r="AB93" i="36" s="1"/>
  <c r="AQ93" i="36"/>
  <c r="AT93" i="36" s="1"/>
  <c r="AW93" i="36" s="1"/>
  <c r="AF91" i="36"/>
  <c r="AI91" i="36" s="1"/>
  <c r="BA90" i="36"/>
  <c r="AS251" i="36"/>
  <c r="AV251" i="36" s="1"/>
  <c r="AU251" i="36"/>
  <c r="J251" i="36"/>
  <c r="AZ251" i="36" s="1"/>
  <c r="AP251" i="36" s="1"/>
  <c r="Q248" i="36"/>
  <c r="R248" i="36" s="1"/>
  <c r="O248" i="36"/>
  <c r="K250" i="36"/>
  <c r="P250" i="36" s="1"/>
  <c r="P90" i="36"/>
  <c r="AS24" i="35"/>
  <c r="AR24" i="35"/>
  <c r="AU24" i="35" s="1"/>
  <c r="AX24" i="35" s="1"/>
  <c r="I25" i="35"/>
  <c r="AT23" i="35"/>
  <c r="AW23" i="35" s="1"/>
  <c r="K23" i="35"/>
  <c r="BA23" i="35" s="1"/>
  <c r="AQ23" i="35" s="1"/>
  <c r="AC23" i="35"/>
  <c r="AV23" i="35"/>
  <c r="D71" i="17"/>
  <c r="N70" i="17"/>
  <c r="AR99" i="50" l="1"/>
  <c r="AQ99" i="50"/>
  <c r="AT99" i="50" s="1"/>
  <c r="AW99" i="50" s="1"/>
  <c r="H100" i="50"/>
  <c r="Y249" i="50"/>
  <c r="Q91" i="50"/>
  <c r="R91" i="50" s="1"/>
  <c r="O91" i="50"/>
  <c r="BC92" i="50"/>
  <c r="BB92" i="50"/>
  <c r="BA92" i="50"/>
  <c r="K93" i="50"/>
  <c r="P93" i="50" s="1"/>
  <c r="K252" i="50"/>
  <c r="N252" i="50" s="1"/>
  <c r="M251" i="50"/>
  <c r="J98" i="50"/>
  <c r="AZ98" i="50" s="1"/>
  <c r="AP98" i="50" s="1"/>
  <c r="AB98" i="50"/>
  <c r="AS98" i="50"/>
  <c r="AV98" i="50" s="1"/>
  <c r="AU98" i="50"/>
  <c r="AF93" i="50"/>
  <c r="AD251" i="50"/>
  <c r="P251" i="50"/>
  <c r="Q92" i="50"/>
  <c r="R92" i="50" s="1"/>
  <c r="Y92" i="50" s="1"/>
  <c r="O92" i="50"/>
  <c r="N251" i="50"/>
  <c r="K68" i="48"/>
  <c r="M67" i="48"/>
  <c r="O62" i="48"/>
  <c r="Q62" i="48"/>
  <c r="R62" i="48" s="1"/>
  <c r="X62" i="48" s="1"/>
  <c r="AS64" i="48"/>
  <c r="AV64" i="48" s="1"/>
  <c r="AA64" i="48"/>
  <c r="AU64" i="48"/>
  <c r="L68" i="48"/>
  <c r="AQ65" i="48"/>
  <c r="AT65" i="48" s="1"/>
  <c r="AW65" i="48" s="1"/>
  <c r="AR65" i="48"/>
  <c r="AC63" i="48"/>
  <c r="AE63" i="48"/>
  <c r="N63" i="48"/>
  <c r="P63" i="48"/>
  <c r="AH62" i="48"/>
  <c r="L68" i="40"/>
  <c r="K63" i="40"/>
  <c r="AS64" i="40"/>
  <c r="AV64" i="40" s="1"/>
  <c r="AU64" i="40"/>
  <c r="AB64" i="40"/>
  <c r="J64" i="40"/>
  <c r="AZ64" i="40" s="1"/>
  <c r="AP64" i="40" s="1"/>
  <c r="M252" i="40"/>
  <c r="O251" i="40"/>
  <c r="Q251" i="40"/>
  <c r="R251" i="40" s="1"/>
  <c r="Y251" i="40" s="1"/>
  <c r="AD252" i="40"/>
  <c r="M62" i="40"/>
  <c r="P62" i="40"/>
  <c r="AL67" i="40"/>
  <c r="P252" i="40"/>
  <c r="N252" i="40"/>
  <c r="AD63" i="40"/>
  <c r="AF63" i="40"/>
  <c r="AI63" i="40" s="1"/>
  <c r="M251" i="40"/>
  <c r="O250" i="40"/>
  <c r="Q250" i="40"/>
  <c r="R250" i="40" s="1"/>
  <c r="H66" i="40"/>
  <c r="AR65" i="40"/>
  <c r="AQ65" i="40"/>
  <c r="AT65" i="40" s="1"/>
  <c r="AW65" i="40" s="1"/>
  <c r="Y249" i="40"/>
  <c r="L133" i="40"/>
  <c r="K92" i="39"/>
  <c r="O250" i="39"/>
  <c r="Q250" i="39"/>
  <c r="R250" i="39" s="1"/>
  <c r="Y250" i="39" s="1"/>
  <c r="AF92" i="39"/>
  <c r="AD92" i="39"/>
  <c r="M92" i="39"/>
  <c r="AD91" i="39"/>
  <c r="M250" i="39"/>
  <c r="P91" i="39"/>
  <c r="BC91" i="39"/>
  <c r="BB91" i="39"/>
  <c r="BA91" i="39"/>
  <c r="N250" i="39"/>
  <c r="AU252" i="39"/>
  <c r="AS252" i="39"/>
  <c r="AV252" i="39" s="1"/>
  <c r="AB252" i="39"/>
  <c r="J252" i="39"/>
  <c r="AZ252" i="39" s="1"/>
  <c r="AP252" i="39" s="1"/>
  <c r="AR98" i="39"/>
  <c r="AQ98" i="39"/>
  <c r="AT98" i="39" s="1"/>
  <c r="AW98" i="39" s="1"/>
  <c r="H99" i="39"/>
  <c r="AI91" i="39"/>
  <c r="M91" i="39"/>
  <c r="P92" i="39"/>
  <c r="N92" i="39"/>
  <c r="AB93" i="39"/>
  <c r="AU93" i="39"/>
  <c r="AS93" i="39"/>
  <c r="AV93" i="39" s="1"/>
  <c r="J93" i="39"/>
  <c r="AZ93" i="39" s="1"/>
  <c r="AP93" i="39" s="1"/>
  <c r="AD250" i="39"/>
  <c r="K251" i="39"/>
  <c r="N251" i="39" s="1"/>
  <c r="P91" i="36"/>
  <c r="Q91" i="36" s="1"/>
  <c r="R91" i="36" s="1"/>
  <c r="Y91" i="36" s="1"/>
  <c r="N91" i="36"/>
  <c r="M91" i="36"/>
  <c r="BB91" i="36"/>
  <c r="BC91" i="36"/>
  <c r="K92" i="36"/>
  <c r="N92" i="36" s="1"/>
  <c r="O250" i="36"/>
  <c r="Q250" i="36"/>
  <c r="R250" i="36" s="1"/>
  <c r="Y250" i="36" s="1"/>
  <c r="Y248" i="36"/>
  <c r="BA91" i="36"/>
  <c r="K251" i="36"/>
  <c r="AD251" i="36" s="1"/>
  <c r="AU93" i="36"/>
  <c r="AS93" i="36"/>
  <c r="AV93" i="36" s="1"/>
  <c r="J93" i="36"/>
  <c r="AZ93" i="36" s="1"/>
  <c r="AP93" i="36" s="1"/>
  <c r="AS252" i="36"/>
  <c r="AV252" i="36" s="1"/>
  <c r="AU252" i="36"/>
  <c r="J252" i="36"/>
  <c r="AZ252" i="36" s="1"/>
  <c r="AP252" i="36" s="1"/>
  <c r="M250" i="36"/>
  <c r="N250" i="36"/>
  <c r="AR98" i="36"/>
  <c r="AB98" i="36" s="1"/>
  <c r="AQ98" i="36"/>
  <c r="AT98" i="36" s="1"/>
  <c r="AW98" i="36" s="1"/>
  <c r="H99" i="36"/>
  <c r="AF92" i="36"/>
  <c r="Q90" i="36"/>
  <c r="R90" i="36" s="1"/>
  <c r="O90" i="36"/>
  <c r="AD250" i="36"/>
  <c r="AT24" i="35"/>
  <c r="AW24" i="35" s="1"/>
  <c r="K24" i="35"/>
  <c r="BA24" i="35" s="1"/>
  <c r="AQ24" i="35" s="1"/>
  <c r="AV24" i="35"/>
  <c r="AC24" i="35"/>
  <c r="I26" i="35"/>
  <c r="AS25" i="35"/>
  <c r="AR25" i="35"/>
  <c r="AU25" i="35" s="1"/>
  <c r="AX25" i="35" s="1"/>
  <c r="L23" i="35"/>
  <c r="O23" i="35" s="1"/>
  <c r="N71" i="17"/>
  <c r="D72" i="17"/>
  <c r="AD93" i="50" l="1"/>
  <c r="Q93" i="50"/>
  <c r="R93" i="50" s="1"/>
  <c r="Y93" i="50" s="1"/>
  <c r="O93" i="50"/>
  <c r="M93" i="50"/>
  <c r="AR100" i="50"/>
  <c r="H101" i="50"/>
  <c r="AQ100" i="50"/>
  <c r="AT100" i="50" s="1"/>
  <c r="AW100" i="50" s="1"/>
  <c r="BA93" i="50"/>
  <c r="BB93" i="50"/>
  <c r="BC93" i="50"/>
  <c r="M252" i="50"/>
  <c r="Y91" i="50"/>
  <c r="O251" i="50"/>
  <c r="Q251" i="50"/>
  <c r="R251" i="50" s="1"/>
  <c r="Y251" i="50" s="1"/>
  <c r="P252" i="50"/>
  <c r="N93" i="50"/>
  <c r="K98" i="50"/>
  <c r="N98" i="50" s="1"/>
  <c r="AI93" i="50"/>
  <c r="AD252" i="50"/>
  <c r="K99" i="50"/>
  <c r="AS99" i="50"/>
  <c r="AV99" i="50" s="1"/>
  <c r="AU99" i="50"/>
  <c r="AB99" i="50"/>
  <c r="J99" i="50"/>
  <c r="AZ99" i="50" s="1"/>
  <c r="AP99" i="50" s="1"/>
  <c r="M68" i="48"/>
  <c r="K69" i="48"/>
  <c r="AC64" i="48"/>
  <c r="AE64" i="48"/>
  <c r="N64" i="48"/>
  <c r="P64" i="48"/>
  <c r="L69" i="48"/>
  <c r="AU65" i="48"/>
  <c r="AA65" i="48"/>
  <c r="AS65" i="48"/>
  <c r="AV65" i="48" s="1"/>
  <c r="Q63" i="48"/>
  <c r="R63" i="48" s="1"/>
  <c r="X63" i="48" s="1"/>
  <c r="O63" i="48"/>
  <c r="AQ66" i="48"/>
  <c r="AT66" i="48" s="1"/>
  <c r="AW66" i="48" s="1"/>
  <c r="AR66" i="48"/>
  <c r="AH63" i="48"/>
  <c r="AH64" i="48"/>
  <c r="M63" i="40"/>
  <c r="AU65" i="40"/>
  <c r="AB65" i="40"/>
  <c r="AS65" i="40"/>
  <c r="AV65" i="40" s="1"/>
  <c r="J65" i="40"/>
  <c r="AZ65" i="40" s="1"/>
  <c r="AP65" i="40" s="1"/>
  <c r="O252" i="40"/>
  <c r="Q252" i="40"/>
  <c r="R252" i="40" s="1"/>
  <c r="Y252" i="40" s="1"/>
  <c r="AF64" i="40"/>
  <c r="L134" i="40"/>
  <c r="O62" i="40"/>
  <c r="Q62" i="40"/>
  <c r="R62" i="40" s="1"/>
  <c r="Y250" i="40"/>
  <c r="P63" i="40"/>
  <c r="AI64" i="40"/>
  <c r="AQ66" i="40"/>
  <c r="AT66" i="40" s="1"/>
  <c r="AW66" i="40" s="1"/>
  <c r="AR66" i="40"/>
  <c r="H67" i="40"/>
  <c r="N63" i="40"/>
  <c r="K64" i="40"/>
  <c r="AD64" i="40" s="1"/>
  <c r="K93" i="39"/>
  <c r="K252" i="39"/>
  <c r="P251" i="39"/>
  <c r="AD251" i="39"/>
  <c r="J98" i="39"/>
  <c r="AZ98" i="39" s="1"/>
  <c r="AP98" i="39" s="1"/>
  <c r="AU98" i="39"/>
  <c r="AS98" i="39"/>
  <c r="AV98" i="39" s="1"/>
  <c r="AB98" i="39"/>
  <c r="AD252" i="39"/>
  <c r="P93" i="39"/>
  <c r="N93" i="39"/>
  <c r="M252" i="39"/>
  <c r="BC92" i="39"/>
  <c r="BB92" i="39"/>
  <c r="BA92" i="39"/>
  <c r="P252" i="39"/>
  <c r="N252" i="39"/>
  <c r="M251" i="39"/>
  <c r="AF93" i="39"/>
  <c r="AI93" i="39" s="1"/>
  <c r="AD93" i="39"/>
  <c r="Q91" i="39"/>
  <c r="R91" i="39" s="1"/>
  <c r="O91" i="39"/>
  <c r="M93" i="39"/>
  <c r="O251" i="39"/>
  <c r="Q251" i="39"/>
  <c r="R251" i="39" s="1"/>
  <c r="Y251" i="39" s="1"/>
  <c r="AR99" i="39"/>
  <c r="AQ99" i="39"/>
  <c r="AT99" i="39" s="1"/>
  <c r="AW99" i="39" s="1"/>
  <c r="H100" i="39"/>
  <c r="AI92" i="39"/>
  <c r="Q92" i="39"/>
  <c r="R92" i="39" s="1"/>
  <c r="Y92" i="39" s="1"/>
  <c r="O92" i="39"/>
  <c r="O91" i="36"/>
  <c r="AD92" i="36"/>
  <c r="P92" i="36"/>
  <c r="Q92" i="36" s="1"/>
  <c r="R92" i="36" s="1"/>
  <c r="Y92" i="36" s="1"/>
  <c r="M92" i="36"/>
  <c r="BB92" i="36"/>
  <c r="BC92" i="36"/>
  <c r="AI92" i="36"/>
  <c r="Y90" i="36"/>
  <c r="M251" i="36"/>
  <c r="BA92" i="36"/>
  <c r="AR99" i="36"/>
  <c r="AB99" i="36" s="1"/>
  <c r="H100" i="36"/>
  <c r="AQ99" i="36"/>
  <c r="AT99" i="36" s="1"/>
  <c r="AW99" i="36" s="1"/>
  <c r="N251" i="36"/>
  <c r="P251" i="36"/>
  <c r="AS98" i="36"/>
  <c r="AV98" i="36" s="1"/>
  <c r="J98" i="36"/>
  <c r="AZ98" i="36" s="1"/>
  <c r="AP98" i="36" s="1"/>
  <c r="AU98" i="36"/>
  <c r="AF93" i="36"/>
  <c r="K93" i="36"/>
  <c r="K252" i="36"/>
  <c r="N252" i="36" s="1"/>
  <c r="Q23" i="35"/>
  <c r="R23" i="35" s="1"/>
  <c r="S23" i="35" s="1"/>
  <c r="Z23" i="35" s="1"/>
  <c r="AV25" i="35"/>
  <c r="AT25" i="35"/>
  <c r="AW25" i="35" s="1"/>
  <c r="K25" i="35"/>
  <c r="BA25" i="35" s="1"/>
  <c r="AQ25" i="35" s="1"/>
  <c r="AC25" i="35"/>
  <c r="I27" i="35"/>
  <c r="AS26" i="35"/>
  <c r="AR26" i="35"/>
  <c r="AU26" i="35" s="1"/>
  <c r="AX26" i="35" s="1"/>
  <c r="P23" i="35"/>
  <c r="N23" i="35"/>
  <c r="AE23" i="35"/>
  <c r="L24" i="35"/>
  <c r="D73" i="17"/>
  <c r="N72" i="17"/>
  <c r="N99" i="50" l="1"/>
  <c r="P99" i="50"/>
  <c r="AD99" i="50"/>
  <c r="Q252" i="50"/>
  <c r="R252" i="50" s="1"/>
  <c r="O252" i="50"/>
  <c r="K100" i="50"/>
  <c r="AU100" i="50"/>
  <c r="AB100" i="50"/>
  <c r="AS100" i="50"/>
  <c r="AV100" i="50" s="1"/>
  <c r="J100" i="50"/>
  <c r="AZ100" i="50" s="1"/>
  <c r="AP100" i="50" s="1"/>
  <c r="M99" i="50"/>
  <c r="AD98" i="50"/>
  <c r="M98" i="50"/>
  <c r="AR101" i="50"/>
  <c r="H102" i="50"/>
  <c r="AQ101" i="50"/>
  <c r="AT101" i="50" s="1"/>
  <c r="AW101" i="50" s="1"/>
  <c r="P98" i="50"/>
  <c r="M69" i="48"/>
  <c r="K70" i="48"/>
  <c r="N65" i="48"/>
  <c r="P65" i="48"/>
  <c r="Q64" i="48"/>
  <c r="R64" i="48" s="1"/>
  <c r="X64" i="48" s="1"/>
  <c r="O64" i="48"/>
  <c r="AU66" i="48"/>
  <c r="AA66" i="48"/>
  <c r="AS66" i="48"/>
  <c r="AV66" i="48" s="1"/>
  <c r="AC65" i="48"/>
  <c r="AE65" i="48"/>
  <c r="AH65" i="48" s="1"/>
  <c r="AQ67" i="48"/>
  <c r="AT67" i="48" s="1"/>
  <c r="AW67" i="48" s="1"/>
  <c r="AR67" i="48"/>
  <c r="L70" i="48"/>
  <c r="P64" i="40"/>
  <c r="N64" i="40"/>
  <c r="Y62" i="40"/>
  <c r="O63" i="40"/>
  <c r="Q63" i="40"/>
  <c r="R63" i="40" s="1"/>
  <c r="Y63" i="40" s="1"/>
  <c r="AS66" i="40"/>
  <c r="AV66" i="40" s="1"/>
  <c r="AB66" i="40"/>
  <c r="AU66" i="40"/>
  <c r="J66" i="40"/>
  <c r="AZ66" i="40" s="1"/>
  <c r="AP66" i="40" s="1"/>
  <c r="L135" i="40"/>
  <c r="K65" i="40"/>
  <c r="AF65" i="40"/>
  <c r="Q64" i="40"/>
  <c r="R64" i="40" s="1"/>
  <c r="Y64" i="40" s="1"/>
  <c r="O64" i="40"/>
  <c r="H68" i="40"/>
  <c r="AQ67" i="40"/>
  <c r="AT67" i="40" s="1"/>
  <c r="AW67" i="40" s="1"/>
  <c r="AR67" i="40"/>
  <c r="M64" i="40"/>
  <c r="AU99" i="39"/>
  <c r="AS99" i="39"/>
  <c r="AV99" i="39" s="1"/>
  <c r="AB99" i="39"/>
  <c r="J99" i="39"/>
  <c r="AZ99" i="39" s="1"/>
  <c r="AP99" i="39" s="1"/>
  <c r="K98" i="39"/>
  <c r="AD98" i="39" s="1"/>
  <c r="O93" i="39"/>
  <c r="Q93" i="39"/>
  <c r="R93" i="39" s="1"/>
  <c r="Y93" i="39" s="1"/>
  <c r="Y91" i="39"/>
  <c r="AR100" i="39"/>
  <c r="AQ100" i="39"/>
  <c r="AT100" i="39" s="1"/>
  <c r="AW100" i="39" s="1"/>
  <c r="H101" i="39"/>
  <c r="Q252" i="39"/>
  <c r="R252" i="39" s="1"/>
  <c r="Y252" i="39" s="1"/>
  <c r="O252" i="39"/>
  <c r="BC93" i="39"/>
  <c r="BA93" i="39"/>
  <c r="BB93" i="39"/>
  <c r="O92" i="36"/>
  <c r="AD252" i="36"/>
  <c r="BB93" i="36"/>
  <c r="BC93" i="36"/>
  <c r="AI93" i="36"/>
  <c r="AS99" i="36"/>
  <c r="AV99" i="36" s="1"/>
  <c r="J99" i="36"/>
  <c r="AZ99" i="36" s="1"/>
  <c r="AP99" i="36" s="1"/>
  <c r="AU99" i="36"/>
  <c r="K98" i="36"/>
  <c r="N98" i="36" s="1"/>
  <c r="M93" i="36"/>
  <c r="P93" i="36"/>
  <c r="BA93" i="36"/>
  <c r="AR100" i="36"/>
  <c r="AB100" i="36" s="1"/>
  <c r="AQ100" i="36"/>
  <c r="AT100" i="36" s="1"/>
  <c r="AW100" i="36" s="1"/>
  <c r="H101" i="36"/>
  <c r="N93" i="36"/>
  <c r="AD93" i="36"/>
  <c r="M252" i="36"/>
  <c r="Q251" i="36"/>
  <c r="R251" i="36" s="1"/>
  <c r="Y251" i="36" s="1"/>
  <c r="O251" i="36"/>
  <c r="P252" i="36"/>
  <c r="N24" i="35"/>
  <c r="AE24" i="35"/>
  <c r="AV26" i="35"/>
  <c r="AT26" i="35"/>
  <c r="AW26" i="35" s="1"/>
  <c r="AC26" i="35"/>
  <c r="K26" i="35"/>
  <c r="BA26" i="35" s="1"/>
  <c r="AQ26" i="35" s="1"/>
  <c r="AR27" i="35"/>
  <c r="AU27" i="35" s="1"/>
  <c r="AX27" i="35" s="1"/>
  <c r="I28" i="35"/>
  <c r="AS27" i="35"/>
  <c r="O24" i="35"/>
  <c r="L25" i="35"/>
  <c r="Q24" i="35"/>
  <c r="N73" i="17"/>
  <c r="D74" i="17"/>
  <c r="M100" i="50" l="1"/>
  <c r="Y252" i="50"/>
  <c r="AR102" i="50"/>
  <c r="H103" i="50"/>
  <c r="AQ102" i="50"/>
  <c r="AT102" i="50" s="1"/>
  <c r="AW102" i="50" s="1"/>
  <c r="Q99" i="50"/>
  <c r="R99" i="50" s="1"/>
  <c r="Y99" i="50" s="1"/>
  <c r="O99" i="50"/>
  <c r="Q98" i="50"/>
  <c r="R98" i="50" s="1"/>
  <c r="O98" i="50"/>
  <c r="K101" i="50"/>
  <c r="AB101" i="50"/>
  <c r="AU101" i="50"/>
  <c r="AS101" i="50"/>
  <c r="AV101" i="50" s="1"/>
  <c r="J101" i="50"/>
  <c r="AZ101" i="50" s="1"/>
  <c r="AP101" i="50" s="1"/>
  <c r="P100" i="50"/>
  <c r="N100" i="50"/>
  <c r="AD100" i="50"/>
  <c r="K71" i="48"/>
  <c r="M70" i="48"/>
  <c r="AQ68" i="48"/>
  <c r="AT68" i="48" s="1"/>
  <c r="AW68" i="48" s="1"/>
  <c r="AR68" i="48"/>
  <c r="O65" i="48"/>
  <c r="Q65" i="48"/>
  <c r="R65" i="48" s="1"/>
  <c r="X65" i="48" s="1"/>
  <c r="P66" i="48"/>
  <c r="N66" i="48"/>
  <c r="L71" i="48"/>
  <c r="AC66" i="48"/>
  <c r="AE66" i="48"/>
  <c r="AH66" i="48"/>
  <c r="AS67" i="48"/>
  <c r="AV67" i="48" s="1"/>
  <c r="AU67" i="48"/>
  <c r="AA67" i="48"/>
  <c r="K66" i="40"/>
  <c r="AD66" i="40" s="1"/>
  <c r="AF66" i="40"/>
  <c r="AS67" i="40"/>
  <c r="AV67" i="40" s="1"/>
  <c r="AU67" i="40"/>
  <c r="AB67" i="40"/>
  <c r="J67" i="40"/>
  <c r="AZ67" i="40" s="1"/>
  <c r="AP67" i="40" s="1"/>
  <c r="L136" i="40"/>
  <c r="P66" i="40"/>
  <c r="N66" i="40"/>
  <c r="M66" i="40"/>
  <c r="AI65" i="40"/>
  <c r="M65" i="40"/>
  <c r="N65" i="40"/>
  <c r="P65" i="40"/>
  <c r="H73" i="40"/>
  <c r="AR68" i="40"/>
  <c r="AQ68" i="40"/>
  <c r="AT68" i="40" s="1"/>
  <c r="AW68" i="40" s="1"/>
  <c r="AD65" i="40"/>
  <c r="AI66" i="40"/>
  <c r="AU100" i="39"/>
  <c r="AS100" i="39"/>
  <c r="AV100" i="39" s="1"/>
  <c r="AB100" i="39"/>
  <c r="J100" i="39"/>
  <c r="AZ100" i="39" s="1"/>
  <c r="AP100" i="39" s="1"/>
  <c r="N98" i="39"/>
  <c r="P98" i="39"/>
  <c r="AR101" i="39"/>
  <c r="AQ101" i="39"/>
  <c r="AT101" i="39" s="1"/>
  <c r="AW101" i="39" s="1"/>
  <c r="H102" i="39"/>
  <c r="K99" i="39"/>
  <c r="P99" i="39" s="1"/>
  <c r="M98" i="39"/>
  <c r="AD98" i="36"/>
  <c r="K99" i="36"/>
  <c r="N99" i="36" s="1"/>
  <c r="Q93" i="36"/>
  <c r="R93" i="36" s="1"/>
  <c r="Y93" i="36" s="1"/>
  <c r="O93" i="36"/>
  <c r="Q252" i="36"/>
  <c r="R252" i="36" s="1"/>
  <c r="O252" i="36"/>
  <c r="AQ101" i="36"/>
  <c r="AT101" i="36" s="1"/>
  <c r="AW101" i="36" s="1"/>
  <c r="H102" i="36"/>
  <c r="AR101" i="36"/>
  <c r="AB101" i="36" s="1"/>
  <c r="AS100" i="36"/>
  <c r="AV100" i="36" s="1"/>
  <c r="AU100" i="36"/>
  <c r="J100" i="36"/>
  <c r="AZ100" i="36" s="1"/>
  <c r="AP100" i="36" s="1"/>
  <c r="M98" i="36"/>
  <c r="P98" i="36"/>
  <c r="R24" i="35"/>
  <c r="S24" i="35" s="1"/>
  <c r="Z24" i="35" s="1"/>
  <c r="P24" i="35"/>
  <c r="N25" i="35"/>
  <c r="Q25" i="35"/>
  <c r="O25" i="35"/>
  <c r="AE25" i="35"/>
  <c r="AC27" i="35"/>
  <c r="AV27" i="35"/>
  <c r="AT27" i="35"/>
  <c r="AW27" i="35" s="1"/>
  <c r="K27" i="35"/>
  <c r="BA27" i="35" s="1"/>
  <c r="AQ27" i="35" s="1"/>
  <c r="AS28" i="35"/>
  <c r="AR28" i="35"/>
  <c r="AU28" i="35" s="1"/>
  <c r="AX28" i="35" s="1"/>
  <c r="I29" i="35"/>
  <c r="L26" i="35"/>
  <c r="O26" i="35" s="1"/>
  <c r="D75" i="17"/>
  <c r="N74" i="17"/>
  <c r="M101" i="50" l="1"/>
  <c r="AS102" i="50"/>
  <c r="AV102" i="50" s="1"/>
  <c r="AU102" i="50"/>
  <c r="AB102" i="50"/>
  <c r="J102" i="50"/>
  <c r="AZ102" i="50" s="1"/>
  <c r="AP102" i="50" s="1"/>
  <c r="AR103" i="50"/>
  <c r="AQ103" i="50"/>
  <c r="AT103" i="50" s="1"/>
  <c r="AW103" i="50" s="1"/>
  <c r="H104" i="50"/>
  <c r="Y98" i="50"/>
  <c r="AD101" i="50"/>
  <c r="Q100" i="50"/>
  <c r="R100" i="50" s="1"/>
  <c r="Y100" i="50" s="1"/>
  <c r="O100" i="50"/>
  <c r="N101" i="50"/>
  <c r="P101" i="50"/>
  <c r="M71" i="48"/>
  <c r="K72" i="48"/>
  <c r="AU68" i="48"/>
  <c r="AA68" i="48"/>
  <c r="AS68" i="48"/>
  <c r="AV68" i="48" s="1"/>
  <c r="AC67" i="48"/>
  <c r="AE67" i="48"/>
  <c r="AQ69" i="48"/>
  <c r="AT69" i="48" s="1"/>
  <c r="AW69" i="48" s="1"/>
  <c r="AR69" i="48"/>
  <c r="AH67" i="48"/>
  <c r="L72" i="48"/>
  <c r="P67" i="48"/>
  <c r="N67" i="48"/>
  <c r="Q66" i="48"/>
  <c r="R66" i="48" s="1"/>
  <c r="X66" i="48" s="1"/>
  <c r="O66" i="48"/>
  <c r="Q65" i="40"/>
  <c r="R65" i="40" s="1"/>
  <c r="Y65" i="40" s="1"/>
  <c r="O65" i="40"/>
  <c r="L137" i="40"/>
  <c r="AF67" i="40"/>
  <c r="AI67" i="40" s="1"/>
  <c r="AS68" i="40"/>
  <c r="AV68" i="40" s="1"/>
  <c r="AB68" i="40"/>
  <c r="AU68" i="40"/>
  <c r="J68" i="40"/>
  <c r="AZ68" i="40" s="1"/>
  <c r="AP68" i="40" s="1"/>
  <c r="O66" i="40"/>
  <c r="Q66" i="40"/>
  <c r="R66" i="40" s="1"/>
  <c r="Y66" i="40" s="1"/>
  <c r="K67" i="40"/>
  <c r="P67" i="40" s="1"/>
  <c r="AR73" i="40"/>
  <c r="H74" i="40"/>
  <c r="AQ73" i="40"/>
  <c r="AT73" i="40" s="1"/>
  <c r="AW73" i="40" s="1"/>
  <c r="K100" i="39"/>
  <c r="M100" i="39" s="1"/>
  <c r="Q99" i="39"/>
  <c r="R99" i="39" s="1"/>
  <c r="Y99" i="39" s="1"/>
  <c r="O99" i="39"/>
  <c r="AR102" i="39"/>
  <c r="AQ102" i="39"/>
  <c r="AT102" i="39" s="1"/>
  <c r="AW102" i="39" s="1"/>
  <c r="H103" i="39"/>
  <c r="AU101" i="39"/>
  <c r="AS101" i="39"/>
  <c r="AV101" i="39" s="1"/>
  <c r="AB101" i="39"/>
  <c r="J101" i="39"/>
  <c r="AZ101" i="39" s="1"/>
  <c r="AP101" i="39" s="1"/>
  <c r="Q98" i="39"/>
  <c r="R98" i="39" s="1"/>
  <c r="Y98" i="39" s="1"/>
  <c r="O98" i="39"/>
  <c r="AD99" i="39"/>
  <c r="M99" i="39"/>
  <c r="N99" i="39"/>
  <c r="AD99" i="36"/>
  <c r="AR102" i="36"/>
  <c r="AB102" i="36" s="1"/>
  <c r="AQ102" i="36"/>
  <c r="AT102" i="36" s="1"/>
  <c r="AW102" i="36" s="1"/>
  <c r="H103" i="36"/>
  <c r="K100" i="36"/>
  <c r="AD100" i="36" s="1"/>
  <c r="Y252" i="36"/>
  <c r="M99" i="36"/>
  <c r="P99" i="36"/>
  <c r="O98" i="36"/>
  <c r="Q98" i="36"/>
  <c r="R98" i="36" s="1"/>
  <c r="AS101" i="36"/>
  <c r="AV101" i="36" s="1"/>
  <c r="AU101" i="36"/>
  <c r="J101" i="36"/>
  <c r="AZ101" i="36" s="1"/>
  <c r="AP101" i="36" s="1"/>
  <c r="Q26" i="35"/>
  <c r="P26" i="35" s="1"/>
  <c r="AC28" i="35"/>
  <c r="AV28" i="35"/>
  <c r="AT28" i="35"/>
  <c r="AW28" i="35" s="1"/>
  <c r="K28" i="35"/>
  <c r="BA28" i="35" s="1"/>
  <c r="AQ28" i="35" s="1"/>
  <c r="N26" i="35"/>
  <c r="P25" i="35"/>
  <c r="R25" i="35"/>
  <c r="S25" i="35" s="1"/>
  <c r="Z25" i="35" s="1"/>
  <c r="AS29" i="35"/>
  <c r="I30" i="35"/>
  <c r="AR29" i="35"/>
  <c r="AU29" i="35" s="1"/>
  <c r="AX29" i="35" s="1"/>
  <c r="AE26" i="35"/>
  <c r="L27" i="35"/>
  <c r="Q27" i="35" s="1"/>
  <c r="D76" i="17"/>
  <c r="N75" i="17"/>
  <c r="AR104" i="50" l="1"/>
  <c r="AQ104" i="50"/>
  <c r="AT104" i="50" s="1"/>
  <c r="AW104" i="50" s="1"/>
  <c r="H105" i="50"/>
  <c r="K103" i="50"/>
  <c r="AU103" i="50"/>
  <c r="AB103" i="50"/>
  <c r="AS103" i="50"/>
  <c r="AV103" i="50" s="1"/>
  <c r="J103" i="50"/>
  <c r="AZ103" i="50" s="1"/>
  <c r="AP103" i="50" s="1"/>
  <c r="K102" i="50"/>
  <c r="AD102" i="50" s="1"/>
  <c r="Q101" i="50"/>
  <c r="R101" i="50" s="1"/>
  <c r="Y101" i="50" s="1"/>
  <c r="O101" i="50"/>
  <c r="K73" i="48"/>
  <c r="M72" i="48"/>
  <c r="AC68" i="48"/>
  <c r="AE68" i="48"/>
  <c r="AH68" i="48" s="1"/>
  <c r="Q67" i="48"/>
  <c r="R67" i="48" s="1"/>
  <c r="X67" i="48" s="1"/>
  <c r="O67" i="48"/>
  <c r="AU69" i="48"/>
  <c r="AA69" i="48"/>
  <c r="AS69" i="48"/>
  <c r="AV69" i="48" s="1"/>
  <c r="L73" i="48"/>
  <c r="AQ70" i="48"/>
  <c r="AT70" i="48" s="1"/>
  <c r="AW70" i="48" s="1"/>
  <c r="AR70" i="48"/>
  <c r="N68" i="48"/>
  <c r="P68" i="48"/>
  <c r="K68" i="40"/>
  <c r="Q67" i="40"/>
  <c r="R67" i="40" s="1"/>
  <c r="Y67" i="40" s="1"/>
  <c r="O67" i="40"/>
  <c r="M68" i="40"/>
  <c r="L138" i="40"/>
  <c r="P68" i="40"/>
  <c r="N68" i="40"/>
  <c r="AU73" i="40"/>
  <c r="J73" i="40"/>
  <c r="AZ73" i="40" s="1"/>
  <c r="AP73" i="40" s="1"/>
  <c r="AS73" i="40"/>
  <c r="AV73" i="40" s="1"/>
  <c r="AB73" i="40"/>
  <c r="M67" i="40"/>
  <c r="AF68" i="40"/>
  <c r="AD68" i="40"/>
  <c r="AR74" i="40"/>
  <c r="H75" i="40"/>
  <c r="AQ74" i="40"/>
  <c r="AT74" i="40" s="1"/>
  <c r="AW74" i="40" s="1"/>
  <c r="AI68" i="40"/>
  <c r="AD67" i="40"/>
  <c r="N67" i="40"/>
  <c r="P100" i="39"/>
  <c r="N100" i="39"/>
  <c r="AD100" i="39"/>
  <c r="K101" i="39"/>
  <c r="Q100" i="39"/>
  <c r="R100" i="39" s="1"/>
  <c r="Y100" i="39" s="1"/>
  <c r="O100" i="39"/>
  <c r="AR103" i="39"/>
  <c r="AQ103" i="39"/>
  <c r="AT103" i="39" s="1"/>
  <c r="AW103" i="39" s="1"/>
  <c r="H104" i="39"/>
  <c r="AD101" i="39"/>
  <c r="AU102" i="39"/>
  <c r="AS102" i="39"/>
  <c r="AV102" i="39" s="1"/>
  <c r="AB102" i="39"/>
  <c r="J102" i="39"/>
  <c r="AZ102" i="39" s="1"/>
  <c r="AP102" i="39" s="1"/>
  <c r="N101" i="39"/>
  <c r="P101" i="39"/>
  <c r="N100" i="36"/>
  <c r="K101" i="36"/>
  <c r="M101" i="36" s="1"/>
  <c r="P100" i="36"/>
  <c r="O100" i="36" s="1"/>
  <c r="AR103" i="36"/>
  <c r="AB103" i="36" s="1"/>
  <c r="AQ103" i="36"/>
  <c r="AT103" i="36" s="1"/>
  <c r="AW103" i="36" s="1"/>
  <c r="H104" i="36"/>
  <c r="Q99" i="36"/>
  <c r="R99" i="36" s="1"/>
  <c r="O99" i="36"/>
  <c r="Y98" i="36"/>
  <c r="M100" i="36"/>
  <c r="AS102" i="36"/>
  <c r="AV102" i="36" s="1"/>
  <c r="AU102" i="36"/>
  <c r="J102" i="36"/>
  <c r="AZ102" i="36" s="1"/>
  <c r="AP102" i="36" s="1"/>
  <c r="R26" i="35"/>
  <c r="S26" i="35" s="1"/>
  <c r="Z26" i="35" s="1"/>
  <c r="O27" i="35"/>
  <c r="P27" i="35"/>
  <c r="R27" i="35"/>
  <c r="S27" i="35" s="1"/>
  <c r="Z27" i="35" s="1"/>
  <c r="AS30" i="35"/>
  <c r="AR30" i="35"/>
  <c r="AU30" i="35" s="1"/>
  <c r="AX30" i="35" s="1"/>
  <c r="I31" i="35"/>
  <c r="N27" i="35"/>
  <c r="AT29" i="35"/>
  <c r="AW29" i="35" s="1"/>
  <c r="AV29" i="35"/>
  <c r="AC29" i="35"/>
  <c r="K29" i="35"/>
  <c r="BA29" i="35" s="1"/>
  <c r="AQ29" i="35" s="1"/>
  <c r="AE27" i="35"/>
  <c r="L28" i="35"/>
  <c r="O28" i="35" s="1"/>
  <c r="D77" i="17"/>
  <c r="N76" i="17"/>
  <c r="M103" i="50" l="1"/>
  <c r="N102" i="50"/>
  <c r="P102" i="50"/>
  <c r="N103" i="50"/>
  <c r="P103" i="50"/>
  <c r="AR105" i="50"/>
  <c r="AQ105" i="50"/>
  <c r="AT105" i="50" s="1"/>
  <c r="AW105" i="50" s="1"/>
  <c r="H106" i="50"/>
  <c r="AD103" i="50"/>
  <c r="M102" i="50"/>
  <c r="K104" i="50"/>
  <c r="AU104" i="50"/>
  <c r="AB104" i="50"/>
  <c r="AS104" i="50"/>
  <c r="AV104" i="50" s="1"/>
  <c r="J104" i="50"/>
  <c r="AZ104" i="50" s="1"/>
  <c r="AP104" i="50" s="1"/>
  <c r="M73" i="48"/>
  <c r="K74" i="48"/>
  <c r="AQ71" i="48"/>
  <c r="AT71" i="48" s="1"/>
  <c r="AW71" i="48" s="1"/>
  <c r="AR71" i="48"/>
  <c r="AH69" i="48"/>
  <c r="AS70" i="48"/>
  <c r="AV70" i="48" s="1"/>
  <c r="AA70" i="48"/>
  <c r="AU70" i="48"/>
  <c r="P69" i="48"/>
  <c r="N69" i="48"/>
  <c r="L74" i="48"/>
  <c r="O68" i="48"/>
  <c r="Q68" i="48"/>
  <c r="R68" i="48" s="1"/>
  <c r="X68" i="48" s="1"/>
  <c r="AC69" i="48"/>
  <c r="AE69" i="48"/>
  <c r="L139" i="40"/>
  <c r="AR75" i="40"/>
  <c r="H76" i="40"/>
  <c r="AQ75" i="40"/>
  <c r="AT75" i="40" s="1"/>
  <c r="AW75" i="40" s="1"/>
  <c r="K73" i="40"/>
  <c r="N73" i="40" s="1"/>
  <c r="AU74" i="40"/>
  <c r="AB74" i="40"/>
  <c r="AS74" i="40"/>
  <c r="AV74" i="40" s="1"/>
  <c r="J74" i="40"/>
  <c r="AZ74" i="40" s="1"/>
  <c r="AP74" i="40" s="1"/>
  <c r="AD73" i="40"/>
  <c r="O68" i="40"/>
  <c r="Q68" i="40"/>
  <c r="R68" i="40" s="1"/>
  <c r="Y68" i="40" s="1"/>
  <c r="AU103" i="39"/>
  <c r="AS103" i="39"/>
  <c r="AV103" i="39" s="1"/>
  <c r="AB103" i="39"/>
  <c r="J103" i="39"/>
  <c r="AZ103" i="39" s="1"/>
  <c r="AP103" i="39" s="1"/>
  <c r="K102" i="39"/>
  <c r="AR104" i="39"/>
  <c r="AQ104" i="39"/>
  <c r="AT104" i="39" s="1"/>
  <c r="AW104" i="39" s="1"/>
  <c r="H105" i="39"/>
  <c r="M101" i="39"/>
  <c r="Q101" i="39"/>
  <c r="R101" i="39" s="1"/>
  <c r="Y101" i="39" s="1"/>
  <c r="O101" i="39"/>
  <c r="P101" i="36"/>
  <c r="Q101" i="36" s="1"/>
  <c r="R101" i="36" s="1"/>
  <c r="Y101" i="36" s="1"/>
  <c r="N101" i="36"/>
  <c r="AD101" i="36"/>
  <c r="Q100" i="36"/>
  <c r="R100" i="36" s="1"/>
  <c r="Y100" i="36" s="1"/>
  <c r="Y99" i="36"/>
  <c r="AQ104" i="36"/>
  <c r="AT104" i="36" s="1"/>
  <c r="AW104" i="36" s="1"/>
  <c r="H105" i="36"/>
  <c r="AR104" i="36"/>
  <c r="AB104" i="36" s="1"/>
  <c r="K102" i="36"/>
  <c r="P102" i="36" s="1"/>
  <c r="AS103" i="36"/>
  <c r="AV103" i="36" s="1"/>
  <c r="AU103" i="36"/>
  <c r="J103" i="36"/>
  <c r="AZ103" i="36" s="1"/>
  <c r="AP103" i="36" s="1"/>
  <c r="N28" i="35"/>
  <c r="Q28" i="35"/>
  <c r="I32" i="35"/>
  <c r="AR31" i="35"/>
  <c r="AU31" i="35" s="1"/>
  <c r="AX31" i="35" s="1"/>
  <c r="AS31" i="35"/>
  <c r="AE28" i="35"/>
  <c r="L29" i="35"/>
  <c r="Q29" i="35" s="1"/>
  <c r="AT30" i="35"/>
  <c r="AW30" i="35" s="1"/>
  <c r="AC30" i="35"/>
  <c r="AV30" i="35"/>
  <c r="K30" i="35"/>
  <c r="BA30" i="35" s="1"/>
  <c r="AQ30" i="35" s="1"/>
  <c r="D78" i="17"/>
  <c r="N77" i="17"/>
  <c r="Q102" i="50" l="1"/>
  <c r="R102" i="50" s="1"/>
  <c r="Y102" i="50" s="1"/>
  <c r="O102" i="50"/>
  <c r="M104" i="50"/>
  <c r="P104" i="50"/>
  <c r="N104" i="50"/>
  <c r="AS105" i="50"/>
  <c r="AV105" i="50" s="1"/>
  <c r="AB105" i="50"/>
  <c r="AU105" i="50"/>
  <c r="J105" i="50"/>
  <c r="AZ105" i="50" s="1"/>
  <c r="AP105" i="50" s="1"/>
  <c r="AR106" i="50"/>
  <c r="AQ106" i="50"/>
  <c r="AT106" i="50" s="1"/>
  <c r="AW106" i="50" s="1"/>
  <c r="H107" i="50"/>
  <c r="AD104" i="50"/>
  <c r="Q103" i="50"/>
  <c r="R103" i="50" s="1"/>
  <c r="Y103" i="50" s="1"/>
  <c r="O103" i="50"/>
  <c r="K75" i="48"/>
  <c r="M74" i="48"/>
  <c r="P70" i="48"/>
  <c r="N70" i="48"/>
  <c r="AU71" i="48"/>
  <c r="AA71" i="48"/>
  <c r="AS71" i="48"/>
  <c r="AV71" i="48" s="1"/>
  <c r="L75" i="48"/>
  <c r="AE70" i="48"/>
  <c r="AC70" i="48"/>
  <c r="Q69" i="48"/>
  <c r="R69" i="48" s="1"/>
  <c r="X69" i="48" s="1"/>
  <c r="O69" i="48"/>
  <c r="AQ72" i="48"/>
  <c r="AT72" i="48" s="1"/>
  <c r="AW72" i="48" s="1"/>
  <c r="AR72" i="48"/>
  <c r="O101" i="36"/>
  <c r="P73" i="40"/>
  <c r="AU75" i="40"/>
  <c r="AB75" i="40"/>
  <c r="AS75" i="40"/>
  <c r="AV75" i="40" s="1"/>
  <c r="J75" i="40"/>
  <c r="AZ75" i="40" s="1"/>
  <c r="AP75" i="40" s="1"/>
  <c r="O73" i="40"/>
  <c r="Q73" i="40"/>
  <c r="R73" i="40" s="1"/>
  <c r="Y73" i="40" s="1"/>
  <c r="K74" i="40"/>
  <c r="M73" i="40"/>
  <c r="AM73" i="40" s="1"/>
  <c r="L140" i="40"/>
  <c r="AR76" i="40"/>
  <c r="H77" i="40"/>
  <c r="AQ76" i="40"/>
  <c r="AT76" i="40" s="1"/>
  <c r="AW76" i="40" s="1"/>
  <c r="N74" i="40"/>
  <c r="P74" i="40"/>
  <c r="K103" i="39"/>
  <c r="P103" i="39" s="1"/>
  <c r="M102" i="39"/>
  <c r="AR105" i="39"/>
  <c r="AQ105" i="39"/>
  <c r="AT105" i="39" s="1"/>
  <c r="AW105" i="39" s="1"/>
  <c r="H106" i="39"/>
  <c r="AD102" i="39"/>
  <c r="P102" i="39"/>
  <c r="AU104" i="39"/>
  <c r="AS104" i="39"/>
  <c r="AV104" i="39" s="1"/>
  <c r="AB104" i="39"/>
  <c r="J104" i="39"/>
  <c r="AZ104" i="39" s="1"/>
  <c r="AP104" i="39" s="1"/>
  <c r="N102" i="39"/>
  <c r="AD102" i="36"/>
  <c r="N102" i="36"/>
  <c r="AR105" i="36"/>
  <c r="AB105" i="36" s="1"/>
  <c r="AQ105" i="36"/>
  <c r="AT105" i="36" s="1"/>
  <c r="AW105" i="36" s="1"/>
  <c r="H106" i="36"/>
  <c r="Q102" i="36"/>
  <c r="R102" i="36" s="1"/>
  <c r="Y102" i="36" s="1"/>
  <c r="O102" i="36"/>
  <c r="M102" i="36"/>
  <c r="AS104" i="36"/>
  <c r="AV104" i="36" s="1"/>
  <c r="AU104" i="36"/>
  <c r="J104" i="36"/>
  <c r="AZ104" i="36" s="1"/>
  <c r="AP104" i="36" s="1"/>
  <c r="K103" i="36"/>
  <c r="P103" i="36" s="1"/>
  <c r="O29" i="35"/>
  <c r="R29" i="35"/>
  <c r="S29" i="35" s="1"/>
  <c r="Z29" i="35" s="1"/>
  <c r="P29" i="35"/>
  <c r="I33" i="35"/>
  <c r="AS32" i="35"/>
  <c r="AR32" i="35"/>
  <c r="AU32" i="35" s="1"/>
  <c r="AX32" i="35" s="1"/>
  <c r="R28" i="35"/>
  <c r="S28" i="35" s="1"/>
  <c r="P28" i="35"/>
  <c r="N29" i="35"/>
  <c r="L30" i="35"/>
  <c r="O30" i="35" s="1"/>
  <c r="AV31" i="35"/>
  <c r="AT31" i="35"/>
  <c r="AW31" i="35" s="1"/>
  <c r="AC31" i="35"/>
  <c r="K31" i="35"/>
  <c r="BA31" i="35" s="1"/>
  <c r="AQ31" i="35" s="1"/>
  <c r="AE29" i="35"/>
  <c r="D79" i="17"/>
  <c r="N78" i="17"/>
  <c r="AU106" i="50" l="1"/>
  <c r="AS106" i="50"/>
  <c r="AV106" i="50" s="1"/>
  <c r="AB106" i="50"/>
  <c r="J106" i="50"/>
  <c r="AZ106" i="50" s="1"/>
  <c r="AP106" i="50" s="1"/>
  <c r="AR107" i="50"/>
  <c r="H108" i="50"/>
  <c r="AQ107" i="50"/>
  <c r="AT107" i="50" s="1"/>
  <c r="AW107" i="50" s="1"/>
  <c r="P105" i="50"/>
  <c r="K105" i="50"/>
  <c r="Q104" i="50"/>
  <c r="R104" i="50" s="1"/>
  <c r="Y104" i="50" s="1"/>
  <c r="O104" i="50"/>
  <c r="K76" i="48"/>
  <c r="M75" i="48"/>
  <c r="L76" i="48"/>
  <c r="AR73" i="48"/>
  <c r="AQ73" i="48"/>
  <c r="AT73" i="48" s="1"/>
  <c r="AW73" i="48" s="1"/>
  <c r="Q70" i="48"/>
  <c r="R70" i="48" s="1"/>
  <c r="X70" i="48" s="1"/>
  <c r="O70" i="48"/>
  <c r="AC71" i="48"/>
  <c r="AE71" i="48"/>
  <c r="AH71" i="48" s="1"/>
  <c r="AS72" i="48"/>
  <c r="AV72" i="48" s="1"/>
  <c r="AU72" i="48"/>
  <c r="AA72" i="48"/>
  <c r="N71" i="48"/>
  <c r="P71" i="48"/>
  <c r="AH70" i="48"/>
  <c r="O74" i="40"/>
  <c r="Q74" i="40"/>
  <c r="R74" i="40" s="1"/>
  <c r="Y74" i="40" s="1"/>
  <c r="K75" i="40"/>
  <c r="N75" i="40" s="1"/>
  <c r="L141" i="40"/>
  <c r="AR77" i="40"/>
  <c r="H78" i="40"/>
  <c r="AQ77" i="40"/>
  <c r="AT77" i="40" s="1"/>
  <c r="AW77" i="40" s="1"/>
  <c r="M74" i="40"/>
  <c r="AM74" i="40" s="1"/>
  <c r="AU76" i="40"/>
  <c r="AS76" i="40"/>
  <c r="AV76" i="40" s="1"/>
  <c r="AB76" i="40"/>
  <c r="J76" i="40"/>
  <c r="AZ76" i="40" s="1"/>
  <c r="AP76" i="40" s="1"/>
  <c r="AD74" i="40"/>
  <c r="AD103" i="39"/>
  <c r="Q103" i="39"/>
  <c r="R103" i="39" s="1"/>
  <c r="Y103" i="39" s="1"/>
  <c r="O103" i="39"/>
  <c r="AU105" i="39"/>
  <c r="AS105" i="39"/>
  <c r="AV105" i="39" s="1"/>
  <c r="AB105" i="39"/>
  <c r="J105" i="39"/>
  <c r="AZ105" i="39" s="1"/>
  <c r="AP105" i="39" s="1"/>
  <c r="Q102" i="39"/>
  <c r="R102" i="39" s="1"/>
  <c r="Y102" i="39" s="1"/>
  <c r="O102" i="39"/>
  <c r="M103" i="39"/>
  <c r="N103" i="39"/>
  <c r="K104" i="39"/>
  <c r="N104" i="39" s="1"/>
  <c r="AD104" i="39"/>
  <c r="AR106" i="39"/>
  <c r="AQ106" i="39"/>
  <c r="AT106" i="39" s="1"/>
  <c r="AW106" i="39" s="1"/>
  <c r="H107" i="39"/>
  <c r="AD103" i="36"/>
  <c r="N103" i="36"/>
  <c r="O103" i="36"/>
  <c r="Q103" i="36"/>
  <c r="R103" i="36" s="1"/>
  <c r="Y103" i="36" s="1"/>
  <c r="K104" i="36"/>
  <c r="AD104" i="36" s="1"/>
  <c r="AS105" i="36"/>
  <c r="AV105" i="36" s="1"/>
  <c r="AU105" i="36"/>
  <c r="J105" i="36"/>
  <c r="AZ105" i="36" s="1"/>
  <c r="AP105" i="36" s="1"/>
  <c r="AR106" i="36"/>
  <c r="AB106" i="36" s="1"/>
  <c r="AQ106" i="36"/>
  <c r="AT106" i="36" s="1"/>
  <c r="AW106" i="36" s="1"/>
  <c r="H107" i="36"/>
  <c r="M103" i="36"/>
  <c r="Z28" i="35"/>
  <c r="AV32" i="35"/>
  <c r="AC32" i="35"/>
  <c r="AT32" i="35"/>
  <c r="AW32" i="35" s="1"/>
  <c r="K32" i="35"/>
  <c r="BA32" i="35" s="1"/>
  <c r="AQ32" i="35" s="1"/>
  <c r="L31" i="35"/>
  <c r="O31" i="35" s="1"/>
  <c r="AE30" i="35"/>
  <c r="Q30" i="35"/>
  <c r="AR33" i="35"/>
  <c r="AU33" i="35" s="1"/>
  <c r="AX33" i="35" s="1"/>
  <c r="I34" i="35"/>
  <c r="AS33" i="35"/>
  <c r="N30" i="35"/>
  <c r="N79" i="17"/>
  <c r="D80" i="17"/>
  <c r="Q105" i="50" l="1"/>
  <c r="R105" i="50" s="1"/>
  <c r="Y105" i="50" s="1"/>
  <c r="O105" i="50"/>
  <c r="M105" i="50"/>
  <c r="AR108" i="50"/>
  <c r="AQ108" i="50"/>
  <c r="AT108" i="50" s="1"/>
  <c r="AW108" i="50" s="1"/>
  <c r="H109" i="50"/>
  <c r="AB107" i="50"/>
  <c r="AU107" i="50"/>
  <c r="AS107" i="50"/>
  <c r="AV107" i="50" s="1"/>
  <c r="J107" i="50"/>
  <c r="AZ107" i="50" s="1"/>
  <c r="AP107" i="50" s="1"/>
  <c r="K106" i="50"/>
  <c r="AD105" i="50"/>
  <c r="N105" i="50"/>
  <c r="K77" i="48"/>
  <c r="M76" i="48"/>
  <c r="AC72" i="48"/>
  <c r="AE72" i="48"/>
  <c r="AH72" i="48" s="1"/>
  <c r="N72" i="48"/>
  <c r="P72" i="48"/>
  <c r="O71" i="48"/>
  <c r="Q71" i="48"/>
  <c r="R71" i="48" s="1"/>
  <c r="X71" i="48" s="1"/>
  <c r="AS73" i="48"/>
  <c r="AV73" i="48" s="1"/>
  <c r="AA73" i="48"/>
  <c r="AU73" i="48"/>
  <c r="AQ74" i="48"/>
  <c r="AT74" i="48" s="1"/>
  <c r="AW74" i="48" s="1"/>
  <c r="AR74" i="48"/>
  <c r="L77" i="48"/>
  <c r="AR78" i="40"/>
  <c r="H79" i="40"/>
  <c r="AQ78" i="40"/>
  <c r="AT78" i="40" s="1"/>
  <c r="AW78" i="40" s="1"/>
  <c r="P75" i="40"/>
  <c r="AU77" i="40"/>
  <c r="AS77" i="40"/>
  <c r="AV77" i="40" s="1"/>
  <c r="J77" i="40"/>
  <c r="AZ77" i="40" s="1"/>
  <c r="AP77" i="40" s="1"/>
  <c r="AB77" i="40"/>
  <c r="M75" i="40"/>
  <c r="AM75" i="40" s="1"/>
  <c r="AD75" i="40"/>
  <c r="K76" i="40"/>
  <c r="N76" i="40" s="1"/>
  <c r="L142" i="40"/>
  <c r="K105" i="39"/>
  <c r="P104" i="39"/>
  <c r="Q104" i="39" s="1"/>
  <c r="R104" i="39" s="1"/>
  <c r="Y104" i="39" s="1"/>
  <c r="AU106" i="39"/>
  <c r="AS106" i="39"/>
  <c r="AV106" i="39" s="1"/>
  <c r="AB106" i="39"/>
  <c r="J106" i="39"/>
  <c r="AZ106" i="39" s="1"/>
  <c r="AP106" i="39" s="1"/>
  <c r="O104" i="39"/>
  <c r="M105" i="39"/>
  <c r="AR107" i="39"/>
  <c r="AQ107" i="39"/>
  <c r="AT107" i="39" s="1"/>
  <c r="AW107" i="39" s="1"/>
  <c r="H108" i="39"/>
  <c r="M104" i="39"/>
  <c r="AD105" i="39"/>
  <c r="N105" i="39"/>
  <c r="P105" i="39"/>
  <c r="P104" i="36"/>
  <c r="O104" i="36" s="1"/>
  <c r="M104" i="36"/>
  <c r="AS106" i="36"/>
  <c r="AV106" i="36" s="1"/>
  <c r="AU106" i="36"/>
  <c r="J106" i="36"/>
  <c r="AZ106" i="36" s="1"/>
  <c r="AP106" i="36" s="1"/>
  <c r="AQ107" i="36"/>
  <c r="AT107" i="36" s="1"/>
  <c r="AW107" i="36" s="1"/>
  <c r="H108" i="36"/>
  <c r="AR107" i="36"/>
  <c r="AB107" i="36" s="1"/>
  <c r="N104" i="36"/>
  <c r="K105" i="36"/>
  <c r="L32" i="35"/>
  <c r="AE32" i="35" s="1"/>
  <c r="P30" i="35"/>
  <c r="R30" i="35"/>
  <c r="S30" i="35" s="1"/>
  <c r="AE31" i="35"/>
  <c r="N31" i="35"/>
  <c r="Q31" i="35"/>
  <c r="AC33" i="35"/>
  <c r="AV33" i="35"/>
  <c r="AT33" i="35"/>
  <c r="AW33" i="35" s="1"/>
  <c r="K33" i="35"/>
  <c r="BA33" i="35" s="1"/>
  <c r="AQ33" i="35" s="1"/>
  <c r="AS34" i="35"/>
  <c r="AR34" i="35"/>
  <c r="AU34" i="35" s="1"/>
  <c r="AX34" i="35" s="1"/>
  <c r="I35" i="35"/>
  <c r="D81" i="17"/>
  <c r="N80" i="17"/>
  <c r="M106" i="50" l="1"/>
  <c r="N106" i="50"/>
  <c r="N107" i="50"/>
  <c r="P107" i="50"/>
  <c r="K108" i="50"/>
  <c r="AS108" i="50"/>
  <c r="AV108" i="50" s="1"/>
  <c r="AB108" i="50"/>
  <c r="AU108" i="50"/>
  <c r="J108" i="50"/>
  <c r="AZ108" i="50" s="1"/>
  <c r="AP108" i="50" s="1"/>
  <c r="P106" i="50"/>
  <c r="K107" i="50"/>
  <c r="AD107" i="50" s="1"/>
  <c r="AD106" i="50"/>
  <c r="AR109" i="50"/>
  <c r="H110" i="50"/>
  <c r="AQ109" i="50"/>
  <c r="AT109" i="50" s="1"/>
  <c r="AW109" i="50" s="1"/>
  <c r="M77" i="48"/>
  <c r="K78" i="48"/>
  <c r="P73" i="48"/>
  <c r="N73" i="48"/>
  <c r="L78" i="48"/>
  <c r="AQ75" i="48"/>
  <c r="AT75" i="48" s="1"/>
  <c r="AW75" i="48" s="1"/>
  <c r="AR75" i="48"/>
  <c r="AU74" i="48"/>
  <c r="AA74" i="48"/>
  <c r="AS74" i="48"/>
  <c r="AV74" i="48" s="1"/>
  <c r="AC73" i="48"/>
  <c r="AE73" i="48"/>
  <c r="Q72" i="48"/>
  <c r="R72" i="48" s="1"/>
  <c r="X72" i="48" s="1"/>
  <c r="O72" i="48"/>
  <c r="K77" i="40"/>
  <c r="P76" i="40"/>
  <c r="Q76" i="40" s="1"/>
  <c r="R76" i="40" s="1"/>
  <c r="Y76" i="40" s="1"/>
  <c r="O76" i="40"/>
  <c r="L143" i="40"/>
  <c r="AU78" i="40"/>
  <c r="AS78" i="40"/>
  <c r="AV78" i="40" s="1"/>
  <c r="AB78" i="40"/>
  <c r="J78" i="40"/>
  <c r="AZ78" i="40" s="1"/>
  <c r="AP78" i="40" s="1"/>
  <c r="M77" i="40"/>
  <c r="AM77" i="40" s="1"/>
  <c r="M76" i="40"/>
  <c r="AM76" i="40" s="1"/>
  <c r="AD77" i="40"/>
  <c r="AD76" i="40"/>
  <c r="AR79" i="40"/>
  <c r="H80" i="40"/>
  <c r="AQ79" i="40"/>
  <c r="AT79" i="40" s="1"/>
  <c r="AW79" i="40" s="1"/>
  <c r="N77" i="40"/>
  <c r="P77" i="40"/>
  <c r="O75" i="40"/>
  <c r="Q75" i="40"/>
  <c r="R75" i="40" s="1"/>
  <c r="AR108" i="39"/>
  <c r="AQ108" i="39"/>
  <c r="AT108" i="39" s="1"/>
  <c r="AW108" i="39" s="1"/>
  <c r="H109" i="39"/>
  <c r="AU107" i="39"/>
  <c r="AS107" i="39"/>
  <c r="AV107" i="39" s="1"/>
  <c r="AB107" i="39"/>
  <c r="J107" i="39"/>
  <c r="AZ107" i="39" s="1"/>
  <c r="AP107" i="39" s="1"/>
  <c r="K106" i="39"/>
  <c r="AD106" i="39" s="1"/>
  <c r="P106" i="39"/>
  <c r="Q105" i="39"/>
  <c r="R105" i="39" s="1"/>
  <c r="Y105" i="39" s="1"/>
  <c r="O105" i="39"/>
  <c r="Q104" i="36"/>
  <c r="R104" i="36" s="1"/>
  <c r="Y104" i="36" s="1"/>
  <c r="K106" i="36"/>
  <c r="AD106" i="36" s="1"/>
  <c r="M105" i="36"/>
  <c r="N105" i="36"/>
  <c r="AS107" i="36"/>
  <c r="AV107" i="36" s="1"/>
  <c r="AU107" i="36"/>
  <c r="J107" i="36"/>
  <c r="AZ107" i="36" s="1"/>
  <c r="AP107" i="36" s="1"/>
  <c r="P105" i="36"/>
  <c r="AR108" i="36"/>
  <c r="AB108" i="36" s="1"/>
  <c r="H109" i="36"/>
  <c r="AQ108" i="36"/>
  <c r="AT108" i="36" s="1"/>
  <c r="AW108" i="36" s="1"/>
  <c r="AD105" i="36"/>
  <c r="N32" i="35"/>
  <c r="O32" i="35"/>
  <c r="Q32" i="35"/>
  <c r="P32" i="35" s="1"/>
  <c r="AS35" i="35"/>
  <c r="AR35" i="35"/>
  <c r="AU35" i="35" s="1"/>
  <c r="AX35" i="35" s="1"/>
  <c r="I36" i="35"/>
  <c r="AC34" i="35"/>
  <c r="AT34" i="35"/>
  <c r="AW34" i="35" s="1"/>
  <c r="AV34" i="35"/>
  <c r="K34" i="35"/>
  <c r="BA34" i="35" s="1"/>
  <c r="AQ34" i="35" s="1"/>
  <c r="R31" i="35"/>
  <c r="S31" i="35" s="1"/>
  <c r="P31" i="35"/>
  <c r="Z30" i="35"/>
  <c r="L33" i="35"/>
  <c r="D82" i="17"/>
  <c r="N81" i="17"/>
  <c r="Q106" i="50" l="1"/>
  <c r="R106" i="50" s="1"/>
  <c r="Y106" i="50" s="1"/>
  <c r="O106" i="50"/>
  <c r="Q107" i="50"/>
  <c r="R107" i="50" s="1"/>
  <c r="Y107" i="50" s="1"/>
  <c r="O107" i="50"/>
  <c r="AR110" i="50"/>
  <c r="H111" i="50"/>
  <c r="AQ110" i="50"/>
  <c r="AT110" i="50" s="1"/>
  <c r="AW110" i="50" s="1"/>
  <c r="AU109" i="50"/>
  <c r="AS109" i="50"/>
  <c r="AV109" i="50" s="1"/>
  <c r="AB109" i="50"/>
  <c r="J109" i="50"/>
  <c r="AZ109" i="50" s="1"/>
  <c r="AP109" i="50" s="1"/>
  <c r="AD108" i="50"/>
  <c r="M108" i="50"/>
  <c r="M107" i="50"/>
  <c r="P108" i="50"/>
  <c r="N108" i="50"/>
  <c r="K79" i="48"/>
  <c r="M78" i="48"/>
  <c r="Q73" i="48"/>
  <c r="R73" i="48" s="1"/>
  <c r="X73" i="48" s="1"/>
  <c r="O73" i="48"/>
  <c r="AR76" i="48"/>
  <c r="AQ76" i="48"/>
  <c r="AT76" i="48" s="1"/>
  <c r="AW76" i="48" s="1"/>
  <c r="N74" i="48"/>
  <c r="P74" i="48"/>
  <c r="AH73" i="48"/>
  <c r="AU75" i="48"/>
  <c r="AA75" i="48"/>
  <c r="AS75" i="48"/>
  <c r="AV75" i="48" s="1"/>
  <c r="AC74" i="48"/>
  <c r="AE74" i="48"/>
  <c r="AH74" i="48" s="1"/>
  <c r="L79" i="48"/>
  <c r="L192" i="40"/>
  <c r="Y75" i="40"/>
  <c r="AR80" i="40"/>
  <c r="H81" i="40"/>
  <c r="AQ80" i="40"/>
  <c r="AT80" i="40" s="1"/>
  <c r="AW80" i="40" s="1"/>
  <c r="K78" i="40"/>
  <c r="N78" i="40" s="1"/>
  <c r="AU79" i="40"/>
  <c r="AB79" i="40"/>
  <c r="AS79" i="40"/>
  <c r="AV79" i="40" s="1"/>
  <c r="J79" i="40"/>
  <c r="AZ79" i="40" s="1"/>
  <c r="AP79" i="40" s="1"/>
  <c r="O77" i="40"/>
  <c r="Q77" i="40"/>
  <c r="R77" i="40" s="1"/>
  <c r="Y77" i="40" s="1"/>
  <c r="N106" i="39"/>
  <c r="Q106" i="39"/>
  <c r="R106" i="39" s="1"/>
  <c r="Y106" i="39" s="1"/>
  <c r="O106" i="39"/>
  <c r="K107" i="39"/>
  <c r="AR109" i="39"/>
  <c r="AQ109" i="39"/>
  <c r="AT109" i="39" s="1"/>
  <c r="AW109" i="39" s="1"/>
  <c r="H110" i="39"/>
  <c r="AD107" i="39"/>
  <c r="M106" i="39"/>
  <c r="AU108" i="39"/>
  <c r="AS108" i="39"/>
  <c r="AV108" i="39" s="1"/>
  <c r="AB108" i="39"/>
  <c r="J108" i="39"/>
  <c r="AZ108" i="39" s="1"/>
  <c r="AP108" i="39" s="1"/>
  <c r="N106" i="36"/>
  <c r="P106" i="36"/>
  <c r="O106" i="36" s="1"/>
  <c r="M106" i="36"/>
  <c r="H110" i="36"/>
  <c r="AR109" i="36"/>
  <c r="AB109" i="36" s="1"/>
  <c r="AQ109" i="36"/>
  <c r="AT109" i="36" s="1"/>
  <c r="AW109" i="36" s="1"/>
  <c r="K107" i="36"/>
  <c r="N107" i="36" s="1"/>
  <c r="Q105" i="36"/>
  <c r="R105" i="36" s="1"/>
  <c r="Y105" i="36" s="1"/>
  <c r="O105" i="36"/>
  <c r="AS108" i="36"/>
  <c r="AV108" i="36" s="1"/>
  <c r="AU108" i="36"/>
  <c r="J108" i="36"/>
  <c r="AZ108" i="36" s="1"/>
  <c r="AP108" i="36" s="1"/>
  <c r="R32" i="35"/>
  <c r="S32" i="35" s="1"/>
  <c r="Z32" i="35" s="1"/>
  <c r="N33" i="35"/>
  <c r="L34" i="35"/>
  <c r="O34" i="35" s="1"/>
  <c r="Z31" i="35"/>
  <c r="I37" i="35"/>
  <c r="AS36" i="35"/>
  <c r="AR36" i="35"/>
  <c r="AU36" i="35" s="1"/>
  <c r="AX36" i="35" s="1"/>
  <c r="AE33" i="35"/>
  <c r="AT35" i="35"/>
  <c r="AW35" i="35" s="1"/>
  <c r="AV35" i="35"/>
  <c r="AC35" i="35"/>
  <c r="K35" i="35"/>
  <c r="BA35" i="35" s="1"/>
  <c r="AQ35" i="35" s="1"/>
  <c r="O33" i="35"/>
  <c r="Q33" i="35"/>
  <c r="D83" i="17"/>
  <c r="N82" i="17"/>
  <c r="AU110" i="50" l="1"/>
  <c r="AB110" i="50"/>
  <c r="AS110" i="50"/>
  <c r="AV110" i="50" s="1"/>
  <c r="J110" i="50"/>
  <c r="AZ110" i="50" s="1"/>
  <c r="AP110" i="50" s="1"/>
  <c r="K109" i="50"/>
  <c r="AD109" i="50"/>
  <c r="P109" i="50"/>
  <c r="Q108" i="50"/>
  <c r="R108" i="50" s="1"/>
  <c r="Y108" i="50" s="1"/>
  <c r="O108" i="50"/>
  <c r="AR111" i="50"/>
  <c r="AQ111" i="50"/>
  <c r="AT111" i="50" s="1"/>
  <c r="AW111" i="50" s="1"/>
  <c r="H112" i="50"/>
  <c r="K80" i="48"/>
  <c r="M79" i="48"/>
  <c r="L80" i="48"/>
  <c r="P75" i="48"/>
  <c r="N75" i="48"/>
  <c r="AS76" i="48"/>
  <c r="AV76" i="48" s="1"/>
  <c r="AA76" i="48"/>
  <c r="AU76" i="48"/>
  <c r="AC75" i="48"/>
  <c r="AE75" i="48"/>
  <c r="AQ77" i="48"/>
  <c r="AT77" i="48" s="1"/>
  <c r="AW77" i="48" s="1"/>
  <c r="AR77" i="48"/>
  <c r="O74" i="48"/>
  <c r="Q74" i="48"/>
  <c r="R74" i="48" s="1"/>
  <c r="X74" i="48" s="1"/>
  <c r="AD78" i="40"/>
  <c r="P78" i="40"/>
  <c r="AU80" i="40"/>
  <c r="AB80" i="40"/>
  <c r="AS80" i="40"/>
  <c r="AV80" i="40" s="1"/>
  <c r="J80" i="40"/>
  <c r="AZ80" i="40" s="1"/>
  <c r="AP80" i="40" s="1"/>
  <c r="M78" i="40"/>
  <c r="AM78" i="40" s="1"/>
  <c r="O78" i="40"/>
  <c r="Q78" i="40"/>
  <c r="R78" i="40" s="1"/>
  <c r="Y78" i="40" s="1"/>
  <c r="L191" i="40"/>
  <c r="K79" i="40"/>
  <c r="N79" i="40" s="1"/>
  <c r="AR81" i="40"/>
  <c r="H82" i="40"/>
  <c r="AQ81" i="40"/>
  <c r="AT81" i="40" s="1"/>
  <c r="AW81" i="40" s="1"/>
  <c r="M107" i="39"/>
  <c r="K108" i="39"/>
  <c r="P107" i="39"/>
  <c r="AR110" i="39"/>
  <c r="AQ110" i="39"/>
  <c r="AT110" i="39" s="1"/>
  <c r="AW110" i="39" s="1"/>
  <c r="H111" i="39"/>
  <c r="N107" i="39"/>
  <c r="AD108" i="39"/>
  <c r="AU109" i="39"/>
  <c r="AS109" i="39"/>
  <c r="AV109" i="39" s="1"/>
  <c r="AB109" i="39"/>
  <c r="J109" i="39"/>
  <c r="AZ109" i="39" s="1"/>
  <c r="AP109" i="39" s="1"/>
  <c r="Q106" i="36"/>
  <c r="R106" i="36" s="1"/>
  <c r="Y106" i="36" s="1"/>
  <c r="P107" i="36"/>
  <c r="Q107" i="36" s="1"/>
  <c r="R107" i="36" s="1"/>
  <c r="Y107" i="36" s="1"/>
  <c r="AR110" i="36"/>
  <c r="AB110" i="36" s="1"/>
  <c r="AQ110" i="36"/>
  <c r="AT110" i="36" s="1"/>
  <c r="AW110" i="36" s="1"/>
  <c r="H111" i="36"/>
  <c r="AS109" i="36"/>
  <c r="AV109" i="36" s="1"/>
  <c r="AU109" i="36"/>
  <c r="J109" i="36"/>
  <c r="AZ109" i="36" s="1"/>
  <c r="AP109" i="36" s="1"/>
  <c r="K108" i="36"/>
  <c r="M107" i="36"/>
  <c r="AD107" i="36"/>
  <c r="AE34" i="35"/>
  <c r="Q34" i="35"/>
  <c r="R34" i="35" s="1"/>
  <c r="S34" i="35" s="1"/>
  <c r="Z34" i="35" s="1"/>
  <c r="P33" i="35"/>
  <c r="R33" i="35"/>
  <c r="S33" i="35" s="1"/>
  <c r="Z33" i="35" s="1"/>
  <c r="AT36" i="35"/>
  <c r="AW36" i="35" s="1"/>
  <c r="AC36" i="35"/>
  <c r="AV36" i="35"/>
  <c r="K36" i="35"/>
  <c r="BA36" i="35" s="1"/>
  <c r="AQ36" i="35" s="1"/>
  <c r="N34" i="35"/>
  <c r="L35" i="35"/>
  <c r="AE35" i="35" s="1"/>
  <c r="I38" i="35"/>
  <c r="AR37" i="35"/>
  <c r="AU37" i="35" s="1"/>
  <c r="AX37" i="35" s="1"/>
  <c r="AS37" i="35"/>
  <c r="N83" i="17"/>
  <c r="D84" i="17"/>
  <c r="AR112" i="50" l="1"/>
  <c r="AQ112" i="50"/>
  <c r="AT112" i="50" s="1"/>
  <c r="AW112" i="50" s="1"/>
  <c r="H113" i="50"/>
  <c r="P110" i="50"/>
  <c r="AS111" i="50"/>
  <c r="AV111" i="50" s="1"/>
  <c r="AU111" i="50"/>
  <c r="AB111" i="50"/>
  <c r="J111" i="50"/>
  <c r="AZ111" i="50" s="1"/>
  <c r="AP111" i="50" s="1"/>
  <c r="M109" i="50"/>
  <c r="Q109" i="50"/>
  <c r="R109" i="50" s="1"/>
  <c r="Y109" i="50" s="1"/>
  <c r="O109" i="50"/>
  <c r="N109" i="50"/>
  <c r="K110" i="50"/>
  <c r="N110" i="50" s="1"/>
  <c r="M80" i="48"/>
  <c r="K81" i="48"/>
  <c r="AU77" i="48"/>
  <c r="AA77" i="48"/>
  <c r="AS77" i="48"/>
  <c r="AV77" i="48" s="1"/>
  <c r="AQ78" i="48"/>
  <c r="AT78" i="48" s="1"/>
  <c r="AW78" i="48" s="1"/>
  <c r="AR78" i="48"/>
  <c r="Q75" i="48"/>
  <c r="R75" i="48" s="1"/>
  <c r="X75" i="48" s="1"/>
  <c r="O75" i="48"/>
  <c r="L81" i="48"/>
  <c r="N76" i="48"/>
  <c r="P76" i="48"/>
  <c r="AH75" i="48"/>
  <c r="AC76" i="48"/>
  <c r="AE76" i="48"/>
  <c r="AH76" i="48" s="1"/>
  <c r="AR82" i="40"/>
  <c r="H83" i="40"/>
  <c r="AQ82" i="40"/>
  <c r="AT82" i="40" s="1"/>
  <c r="AW82" i="40" s="1"/>
  <c r="N80" i="40"/>
  <c r="P79" i="40"/>
  <c r="AD79" i="40"/>
  <c r="K80" i="40"/>
  <c r="AD80" i="40" s="1"/>
  <c r="M79" i="40"/>
  <c r="AM79" i="40" s="1"/>
  <c r="AU81" i="40"/>
  <c r="AB81" i="40"/>
  <c r="AS81" i="40"/>
  <c r="AV81" i="40" s="1"/>
  <c r="J81" i="40"/>
  <c r="AZ81" i="40" s="1"/>
  <c r="AP81" i="40" s="1"/>
  <c r="L190" i="40"/>
  <c r="K109" i="39"/>
  <c r="M108" i="39"/>
  <c r="AR111" i="39"/>
  <c r="AQ111" i="39"/>
  <c r="AT111" i="39" s="1"/>
  <c r="AW111" i="39" s="1"/>
  <c r="H112" i="39"/>
  <c r="AD109" i="39"/>
  <c r="AU110" i="39"/>
  <c r="AS110" i="39"/>
  <c r="AV110" i="39" s="1"/>
  <c r="AB110" i="39"/>
  <c r="J110" i="39"/>
  <c r="AZ110" i="39" s="1"/>
  <c r="AP110" i="39" s="1"/>
  <c r="P108" i="39"/>
  <c r="N109" i="39"/>
  <c r="P109" i="39"/>
  <c r="Q107" i="39"/>
  <c r="R107" i="39" s="1"/>
  <c r="Y107" i="39" s="1"/>
  <c r="O107" i="39"/>
  <c r="N108" i="39"/>
  <c r="O107" i="36"/>
  <c r="AQ111" i="36"/>
  <c r="AT111" i="36" s="1"/>
  <c r="AW111" i="36" s="1"/>
  <c r="AR111" i="36"/>
  <c r="AB111" i="36" s="1"/>
  <c r="H112" i="36"/>
  <c r="K109" i="36"/>
  <c r="P109" i="36" s="1"/>
  <c r="M108" i="36"/>
  <c r="P108" i="36"/>
  <c r="AS110" i="36"/>
  <c r="AV110" i="36" s="1"/>
  <c r="AU110" i="36"/>
  <c r="J110" i="36"/>
  <c r="AZ110" i="36" s="1"/>
  <c r="AP110" i="36" s="1"/>
  <c r="N108" i="36"/>
  <c r="AD108" i="36"/>
  <c r="P34" i="35"/>
  <c r="L36" i="35"/>
  <c r="N36" i="35" s="1"/>
  <c r="N35" i="35"/>
  <c r="O36" i="35"/>
  <c r="Q35" i="35"/>
  <c r="AV37" i="35"/>
  <c r="AC37" i="35"/>
  <c r="AT37" i="35"/>
  <c r="AW37" i="35" s="1"/>
  <c r="K37" i="35"/>
  <c r="BA37" i="35" s="1"/>
  <c r="AQ37" i="35" s="1"/>
  <c r="O35" i="35"/>
  <c r="I39" i="35"/>
  <c r="AS38" i="35"/>
  <c r="AR38" i="35"/>
  <c r="AU38" i="35" s="1"/>
  <c r="AX38" i="35" s="1"/>
  <c r="D85" i="17"/>
  <c r="N84" i="17"/>
  <c r="K111" i="50" l="1"/>
  <c r="AR113" i="50"/>
  <c r="H114" i="50"/>
  <c r="AQ113" i="50"/>
  <c r="AT113" i="50" s="1"/>
  <c r="AW113" i="50" s="1"/>
  <c r="Q110" i="50"/>
  <c r="R110" i="50" s="1"/>
  <c r="Y110" i="50" s="1"/>
  <c r="O110" i="50"/>
  <c r="M110" i="50"/>
  <c r="N111" i="50"/>
  <c r="P111" i="50"/>
  <c r="AD110" i="50"/>
  <c r="AU112" i="50"/>
  <c r="AS112" i="50"/>
  <c r="AV112" i="50" s="1"/>
  <c r="AB112" i="50"/>
  <c r="J112" i="50"/>
  <c r="AZ112" i="50" s="1"/>
  <c r="AP112" i="50" s="1"/>
  <c r="M81" i="48"/>
  <c r="K82" i="48"/>
  <c r="L82" i="48"/>
  <c r="O76" i="48"/>
  <c r="Q76" i="48"/>
  <c r="R76" i="48" s="1"/>
  <c r="X76" i="48" s="1"/>
  <c r="AU78" i="48"/>
  <c r="AS78" i="48"/>
  <c r="AV78" i="48" s="1"/>
  <c r="AA78" i="48"/>
  <c r="P77" i="48"/>
  <c r="N77" i="48"/>
  <c r="AQ79" i="48"/>
  <c r="AT79" i="48" s="1"/>
  <c r="AW79" i="48" s="1"/>
  <c r="AR79" i="48"/>
  <c r="AE77" i="48"/>
  <c r="AC77" i="48"/>
  <c r="L189" i="40"/>
  <c r="M80" i="40"/>
  <c r="AM80" i="40" s="1"/>
  <c r="AR83" i="40"/>
  <c r="H84" i="40"/>
  <c r="AQ83" i="40"/>
  <c r="AT83" i="40" s="1"/>
  <c r="AW83" i="40" s="1"/>
  <c r="AU82" i="40"/>
  <c r="AS82" i="40"/>
  <c r="AV82" i="40" s="1"/>
  <c r="AB82" i="40"/>
  <c r="J82" i="40"/>
  <c r="AZ82" i="40" s="1"/>
  <c r="AP82" i="40" s="1"/>
  <c r="O79" i="40"/>
  <c r="Q79" i="40"/>
  <c r="R79" i="40" s="1"/>
  <c r="K81" i="40"/>
  <c r="P80" i="40"/>
  <c r="K110" i="39"/>
  <c r="AD110" i="39" s="1"/>
  <c r="Q108" i="39"/>
  <c r="R108" i="39" s="1"/>
  <c r="Y108" i="39" s="1"/>
  <c r="O108" i="39"/>
  <c r="AU111" i="39"/>
  <c r="AS111" i="39"/>
  <c r="AV111" i="39" s="1"/>
  <c r="AB111" i="39"/>
  <c r="J111" i="39"/>
  <c r="AZ111" i="39" s="1"/>
  <c r="AP111" i="39" s="1"/>
  <c r="Q109" i="39"/>
  <c r="R109" i="39" s="1"/>
  <c r="Y109" i="39" s="1"/>
  <c r="O109" i="39"/>
  <c r="M110" i="39"/>
  <c r="AR112" i="39"/>
  <c r="AQ112" i="39"/>
  <c r="AT112" i="39" s="1"/>
  <c r="AW112" i="39" s="1"/>
  <c r="H113" i="39"/>
  <c r="M109" i="39"/>
  <c r="Q108" i="36"/>
  <c r="R108" i="36" s="1"/>
  <c r="Y108" i="36" s="1"/>
  <c r="O108" i="36"/>
  <c r="AS111" i="36"/>
  <c r="AV111" i="36" s="1"/>
  <c r="AU111" i="36"/>
  <c r="J111" i="36"/>
  <c r="AZ111" i="36" s="1"/>
  <c r="AP111" i="36" s="1"/>
  <c r="K110" i="36"/>
  <c r="AD110" i="36" s="1"/>
  <c r="Q109" i="36"/>
  <c r="R109" i="36" s="1"/>
  <c r="Y109" i="36" s="1"/>
  <c r="O109" i="36"/>
  <c r="M109" i="36"/>
  <c r="N109" i="36"/>
  <c r="H113" i="36"/>
  <c r="AR112" i="36"/>
  <c r="AB112" i="36" s="1"/>
  <c r="AQ112" i="36"/>
  <c r="AT112" i="36" s="1"/>
  <c r="AW112" i="36" s="1"/>
  <c r="AD109" i="36"/>
  <c r="Q36" i="35"/>
  <c r="P36" i="35" s="1"/>
  <c r="AE36" i="35"/>
  <c r="L37" i="35"/>
  <c r="N37" i="35" s="1"/>
  <c r="AV38" i="35"/>
  <c r="AT38" i="35"/>
  <c r="AW38" i="35" s="1"/>
  <c r="AC38" i="35"/>
  <c r="K38" i="35"/>
  <c r="BA38" i="35" s="1"/>
  <c r="AQ38" i="35" s="1"/>
  <c r="I40" i="35"/>
  <c r="AS39" i="35"/>
  <c r="AR39" i="35"/>
  <c r="AU39" i="35" s="1"/>
  <c r="AX39" i="35" s="1"/>
  <c r="R35" i="35"/>
  <c r="S35" i="35" s="1"/>
  <c r="Z35" i="35" s="1"/>
  <c r="P35" i="35"/>
  <c r="N85" i="17"/>
  <c r="D86" i="17"/>
  <c r="Q111" i="50" l="1"/>
  <c r="R111" i="50" s="1"/>
  <c r="Y111" i="50" s="1"/>
  <c r="O111" i="50"/>
  <c r="M111" i="50"/>
  <c r="AR114" i="50"/>
  <c r="AQ114" i="50"/>
  <c r="AT114" i="50" s="1"/>
  <c r="AW114" i="50" s="1"/>
  <c r="H115" i="50"/>
  <c r="N112" i="50"/>
  <c r="AD111" i="50"/>
  <c r="K113" i="50"/>
  <c r="AU113" i="50"/>
  <c r="AS113" i="50"/>
  <c r="AV113" i="50" s="1"/>
  <c r="AB113" i="50"/>
  <c r="J113" i="50"/>
  <c r="AZ113" i="50" s="1"/>
  <c r="AP113" i="50" s="1"/>
  <c r="K112" i="50"/>
  <c r="K83" i="48"/>
  <c r="M82" i="48"/>
  <c r="AC78" i="48"/>
  <c r="AE78" i="48"/>
  <c r="AR80" i="48"/>
  <c r="AQ80" i="48"/>
  <c r="AT80" i="48" s="1"/>
  <c r="AW80" i="48" s="1"/>
  <c r="P78" i="48"/>
  <c r="N78" i="48"/>
  <c r="L83" i="48"/>
  <c r="O77" i="48"/>
  <c r="Q77" i="48"/>
  <c r="R77" i="48" s="1"/>
  <c r="X77" i="48" s="1"/>
  <c r="AS79" i="48"/>
  <c r="AV79" i="48" s="1"/>
  <c r="AA79" i="48"/>
  <c r="AU79" i="48"/>
  <c r="AH78" i="48"/>
  <c r="AH77" i="48"/>
  <c r="M81" i="40"/>
  <c r="AM81" i="40" s="1"/>
  <c r="AR84" i="40"/>
  <c r="H85" i="40"/>
  <c r="AQ84" i="40"/>
  <c r="AT84" i="40" s="1"/>
  <c r="AW84" i="40" s="1"/>
  <c r="AD81" i="40"/>
  <c r="K82" i="40"/>
  <c r="P82" i="40" s="1"/>
  <c r="AU83" i="40"/>
  <c r="AS83" i="40"/>
  <c r="AV83" i="40" s="1"/>
  <c r="J83" i="40"/>
  <c r="AZ83" i="40" s="1"/>
  <c r="AP83" i="40" s="1"/>
  <c r="AB83" i="40"/>
  <c r="Y79" i="40"/>
  <c r="P81" i="40"/>
  <c r="O80" i="40"/>
  <c r="Q80" i="40"/>
  <c r="R80" i="40" s="1"/>
  <c r="N81" i="40"/>
  <c r="L188" i="40"/>
  <c r="P110" i="39"/>
  <c r="N110" i="39"/>
  <c r="AU112" i="39"/>
  <c r="AS112" i="39"/>
  <c r="AV112" i="39" s="1"/>
  <c r="AB112" i="39"/>
  <c r="J112" i="39"/>
  <c r="AZ112" i="39" s="1"/>
  <c r="AP112" i="39" s="1"/>
  <c r="AR113" i="39"/>
  <c r="AQ113" i="39"/>
  <c r="AT113" i="39" s="1"/>
  <c r="AW113" i="39" s="1"/>
  <c r="H114" i="39"/>
  <c r="Q110" i="39"/>
  <c r="R110" i="39" s="1"/>
  <c r="Y110" i="39" s="1"/>
  <c r="O110" i="39"/>
  <c r="K111" i="39"/>
  <c r="N110" i="36"/>
  <c r="K111" i="36"/>
  <c r="M111" i="36" s="1"/>
  <c r="AS112" i="36"/>
  <c r="AV112" i="36" s="1"/>
  <c r="AU112" i="36"/>
  <c r="J112" i="36"/>
  <c r="AZ112" i="36" s="1"/>
  <c r="AP112" i="36" s="1"/>
  <c r="AR113" i="36"/>
  <c r="AB113" i="36" s="1"/>
  <c r="AQ113" i="36"/>
  <c r="AT113" i="36" s="1"/>
  <c r="AW113" i="36" s="1"/>
  <c r="H114" i="36"/>
  <c r="M110" i="36"/>
  <c r="P110" i="36"/>
  <c r="AE37" i="35"/>
  <c r="R36" i="35"/>
  <c r="S36" i="35" s="1"/>
  <c r="Z36" i="35" s="1"/>
  <c r="O37" i="35"/>
  <c r="Q37" i="35"/>
  <c r="R37" i="35" s="1"/>
  <c r="S37" i="35" s="1"/>
  <c r="Z37" i="35" s="1"/>
  <c r="AT39" i="35"/>
  <c r="AW39" i="35" s="1"/>
  <c r="AC39" i="35"/>
  <c r="AV39" i="35"/>
  <c r="K39" i="35"/>
  <c r="BA39" i="35" s="1"/>
  <c r="AQ39" i="35" s="1"/>
  <c r="AR40" i="35"/>
  <c r="AU40" i="35" s="1"/>
  <c r="AX40" i="35" s="1"/>
  <c r="I41" i="35"/>
  <c r="AS40" i="35"/>
  <c r="L38" i="35"/>
  <c r="AE38" i="35" s="1"/>
  <c r="D87" i="17"/>
  <c r="N86" i="17"/>
  <c r="M112" i="50" l="1"/>
  <c r="P112" i="50"/>
  <c r="AD113" i="50"/>
  <c r="AS114" i="50"/>
  <c r="AV114" i="50" s="1"/>
  <c r="AU114" i="50"/>
  <c r="AB114" i="50"/>
  <c r="J114" i="50"/>
  <c r="AZ114" i="50" s="1"/>
  <c r="AP114" i="50" s="1"/>
  <c r="M113" i="50"/>
  <c r="AR115" i="50"/>
  <c r="H116" i="50"/>
  <c r="AQ115" i="50"/>
  <c r="AT115" i="50" s="1"/>
  <c r="AW115" i="50" s="1"/>
  <c r="P113" i="50"/>
  <c r="N113" i="50"/>
  <c r="AD112" i="50"/>
  <c r="M83" i="48"/>
  <c r="K84" i="48"/>
  <c r="AE79" i="48"/>
  <c r="AH79" i="48" s="1"/>
  <c r="AC79" i="48"/>
  <c r="AQ81" i="48"/>
  <c r="AT81" i="48" s="1"/>
  <c r="AW81" i="48" s="1"/>
  <c r="AR81" i="48"/>
  <c r="N79" i="48"/>
  <c r="P79" i="48"/>
  <c r="AU80" i="48"/>
  <c r="AA80" i="48"/>
  <c r="AS80" i="48"/>
  <c r="AV80" i="48" s="1"/>
  <c r="L84" i="48"/>
  <c r="Q78" i="48"/>
  <c r="R78" i="48" s="1"/>
  <c r="X78" i="48" s="1"/>
  <c r="O78" i="48"/>
  <c r="K83" i="40"/>
  <c r="AD82" i="40"/>
  <c r="O82" i="40"/>
  <c r="Q82" i="40"/>
  <c r="R82" i="40" s="1"/>
  <c r="Y82" i="40" s="1"/>
  <c r="Y80" i="40"/>
  <c r="AU84" i="40"/>
  <c r="AS84" i="40"/>
  <c r="AV84" i="40" s="1"/>
  <c r="AB84" i="40"/>
  <c r="J84" i="40"/>
  <c r="AZ84" i="40" s="1"/>
  <c r="AP84" i="40" s="1"/>
  <c r="M82" i="40"/>
  <c r="AM82" i="40" s="1"/>
  <c r="N82" i="40"/>
  <c r="M83" i="40"/>
  <c r="AM83" i="40" s="1"/>
  <c r="O81" i="40"/>
  <c r="Q81" i="40"/>
  <c r="R81" i="40" s="1"/>
  <c r="Y81" i="40" s="1"/>
  <c r="AD83" i="40"/>
  <c r="L187" i="40"/>
  <c r="N83" i="40"/>
  <c r="P83" i="40"/>
  <c r="AR85" i="40"/>
  <c r="H86" i="40"/>
  <c r="AQ85" i="40"/>
  <c r="AT85" i="40" s="1"/>
  <c r="AW85" i="40" s="1"/>
  <c r="M111" i="39"/>
  <c r="P111" i="39"/>
  <c r="AD111" i="39"/>
  <c r="N111" i="39"/>
  <c r="K112" i="39"/>
  <c r="AU113" i="39"/>
  <c r="AS113" i="39"/>
  <c r="AV113" i="39" s="1"/>
  <c r="AB113" i="39"/>
  <c r="J113" i="39"/>
  <c r="AZ113" i="39" s="1"/>
  <c r="AP113" i="39" s="1"/>
  <c r="AR114" i="39"/>
  <c r="AQ114" i="39"/>
  <c r="AT114" i="39" s="1"/>
  <c r="AW114" i="39" s="1"/>
  <c r="H115" i="39"/>
  <c r="AD111" i="36"/>
  <c r="N111" i="36"/>
  <c r="P111" i="36"/>
  <c r="Q111" i="36" s="1"/>
  <c r="R111" i="36" s="1"/>
  <c r="Y111" i="36" s="1"/>
  <c r="AQ114" i="36"/>
  <c r="AT114" i="36" s="1"/>
  <c r="AW114" i="36" s="1"/>
  <c r="H115" i="36"/>
  <c r="AR114" i="36"/>
  <c r="AB114" i="36" s="1"/>
  <c r="K112" i="36"/>
  <c r="N112" i="36" s="1"/>
  <c r="O110" i="36"/>
  <c r="Q110" i="36"/>
  <c r="R110" i="36" s="1"/>
  <c r="AS113" i="36"/>
  <c r="AV113" i="36" s="1"/>
  <c r="AU113" i="36"/>
  <c r="J113" i="36"/>
  <c r="AZ113" i="36" s="1"/>
  <c r="AP113" i="36" s="1"/>
  <c r="P37" i="35"/>
  <c r="L39" i="35"/>
  <c r="AE39" i="35" s="1"/>
  <c r="AV40" i="35"/>
  <c r="AC40" i="35"/>
  <c r="AT40" i="35"/>
  <c r="AW40" i="35" s="1"/>
  <c r="K40" i="35"/>
  <c r="BA40" i="35" s="1"/>
  <c r="AQ40" i="35" s="1"/>
  <c r="N38" i="35"/>
  <c r="I42" i="35"/>
  <c r="AS41" i="35"/>
  <c r="AR41" i="35"/>
  <c r="AU41" i="35" s="1"/>
  <c r="AX41" i="35" s="1"/>
  <c r="Q38" i="35"/>
  <c r="O38" i="35"/>
  <c r="D88" i="17"/>
  <c r="N87" i="17"/>
  <c r="Q113" i="50" l="1"/>
  <c r="R113" i="50" s="1"/>
  <c r="Y113" i="50" s="1"/>
  <c r="O113" i="50"/>
  <c r="Q112" i="50"/>
  <c r="R112" i="50" s="1"/>
  <c r="O112" i="50"/>
  <c r="K114" i="50"/>
  <c r="K115" i="50"/>
  <c r="AU115" i="50"/>
  <c r="AS115" i="50"/>
  <c r="AV115" i="50" s="1"/>
  <c r="AB115" i="50"/>
  <c r="J115" i="50"/>
  <c r="AZ115" i="50" s="1"/>
  <c r="AP115" i="50" s="1"/>
  <c r="AR116" i="50"/>
  <c r="AQ116" i="50"/>
  <c r="AT116" i="50" s="1"/>
  <c r="AW116" i="50" s="1"/>
  <c r="H117" i="50"/>
  <c r="K85" i="48"/>
  <c r="M84" i="48"/>
  <c r="L85" i="48"/>
  <c r="AQ82" i="48"/>
  <c r="AT82" i="48" s="1"/>
  <c r="AW82" i="48" s="1"/>
  <c r="AR82" i="48"/>
  <c r="AE80" i="48"/>
  <c r="AH80" i="48" s="1"/>
  <c r="AC80" i="48"/>
  <c r="AS81" i="48"/>
  <c r="AV81" i="48" s="1"/>
  <c r="AA81" i="48"/>
  <c r="AU81" i="48"/>
  <c r="Q79" i="48"/>
  <c r="R79" i="48" s="1"/>
  <c r="X79" i="48" s="1"/>
  <c r="O79" i="48"/>
  <c r="P80" i="48"/>
  <c r="N80" i="48"/>
  <c r="AR86" i="40"/>
  <c r="H87" i="40"/>
  <c r="AQ86" i="40"/>
  <c r="AT86" i="40" s="1"/>
  <c r="AW86" i="40" s="1"/>
  <c r="K84" i="40"/>
  <c r="AD84" i="40" s="1"/>
  <c r="AU85" i="40"/>
  <c r="AB85" i="40"/>
  <c r="J85" i="40"/>
  <c r="AZ85" i="40" s="1"/>
  <c r="AP85" i="40" s="1"/>
  <c r="AS85" i="40"/>
  <c r="AV85" i="40" s="1"/>
  <c r="O83" i="40"/>
  <c r="Q83" i="40"/>
  <c r="R83" i="40" s="1"/>
  <c r="Y83" i="40" s="1"/>
  <c r="L186" i="40"/>
  <c r="AU114" i="39"/>
  <c r="AS114" i="39"/>
  <c r="AV114" i="39" s="1"/>
  <c r="AB114" i="39"/>
  <c r="J114" i="39"/>
  <c r="AZ114" i="39" s="1"/>
  <c r="AP114" i="39" s="1"/>
  <c r="M112" i="39"/>
  <c r="P112" i="39"/>
  <c r="N112" i="39"/>
  <c r="Q111" i="39"/>
  <c r="R111" i="39" s="1"/>
  <c r="Y111" i="39" s="1"/>
  <c r="O111" i="39"/>
  <c r="AR115" i="39"/>
  <c r="AQ115" i="39"/>
  <c r="AT115" i="39" s="1"/>
  <c r="AW115" i="39" s="1"/>
  <c r="H116" i="39"/>
  <c r="K113" i="39"/>
  <c r="N113" i="39" s="1"/>
  <c r="AD112" i="39"/>
  <c r="O111" i="36"/>
  <c r="K113" i="36"/>
  <c r="P113" i="36" s="1"/>
  <c r="AS114" i="36"/>
  <c r="AV114" i="36" s="1"/>
  <c r="AU114" i="36"/>
  <c r="J114" i="36"/>
  <c r="AZ114" i="36" s="1"/>
  <c r="AP114" i="36" s="1"/>
  <c r="H116" i="36"/>
  <c r="AR115" i="36"/>
  <c r="AB115" i="36" s="1"/>
  <c r="AQ115" i="36"/>
  <c r="AT115" i="36" s="1"/>
  <c r="AW115" i="36" s="1"/>
  <c r="P112" i="36"/>
  <c r="Y110" i="36"/>
  <c r="M112" i="36"/>
  <c r="AD112" i="36"/>
  <c r="Q39" i="35"/>
  <c r="P39" i="35" s="1"/>
  <c r="O39" i="35"/>
  <c r="L40" i="35"/>
  <c r="O40" i="35" s="1"/>
  <c r="AV41" i="35"/>
  <c r="AT41" i="35"/>
  <c r="AW41" i="35" s="1"/>
  <c r="AC41" i="35"/>
  <c r="K41" i="35"/>
  <c r="BA41" i="35" s="1"/>
  <c r="AQ41" i="35" s="1"/>
  <c r="P38" i="35"/>
  <c r="R38" i="35"/>
  <c r="S38" i="35" s="1"/>
  <c r="Z38" i="35" s="1"/>
  <c r="AS42" i="35"/>
  <c r="I43" i="35"/>
  <c r="AR42" i="35"/>
  <c r="AU42" i="35" s="1"/>
  <c r="AX42" i="35" s="1"/>
  <c r="N39" i="35"/>
  <c r="D89" i="17"/>
  <c r="N88" i="17"/>
  <c r="M114" i="50" l="1"/>
  <c r="K116" i="50"/>
  <c r="AB116" i="50"/>
  <c r="AU116" i="50"/>
  <c r="AS116" i="50"/>
  <c r="AV116" i="50" s="1"/>
  <c r="J116" i="50"/>
  <c r="AZ116" i="50" s="1"/>
  <c r="AP116" i="50" s="1"/>
  <c r="AD115" i="50"/>
  <c r="Y112" i="50"/>
  <c r="N114" i="50"/>
  <c r="AR117" i="50"/>
  <c r="AQ117" i="50"/>
  <c r="AT117" i="50" s="1"/>
  <c r="AW117" i="50" s="1"/>
  <c r="H118" i="50"/>
  <c r="M115" i="50"/>
  <c r="P115" i="50"/>
  <c r="N115" i="50"/>
  <c r="AD114" i="50"/>
  <c r="P114" i="50"/>
  <c r="M85" i="48"/>
  <c r="K86" i="48"/>
  <c r="N81" i="48"/>
  <c r="P81" i="48"/>
  <c r="AC81" i="48"/>
  <c r="AE81" i="48"/>
  <c r="AR83" i="48"/>
  <c r="AQ83" i="48"/>
  <c r="AT83" i="48" s="1"/>
  <c r="AW83" i="48" s="1"/>
  <c r="L86" i="48"/>
  <c r="O80" i="48"/>
  <c r="Q80" i="48"/>
  <c r="R80" i="48" s="1"/>
  <c r="X80" i="48" s="1"/>
  <c r="AS82" i="48"/>
  <c r="AV82" i="48" s="1"/>
  <c r="AU82" i="48"/>
  <c r="AA82" i="48"/>
  <c r="N84" i="40"/>
  <c r="K85" i="40"/>
  <c r="P85" i="40" s="1"/>
  <c r="M84" i="40"/>
  <c r="AM84" i="40" s="1"/>
  <c r="AR87" i="40"/>
  <c r="H88" i="40"/>
  <c r="AQ87" i="40"/>
  <c r="AT87" i="40" s="1"/>
  <c r="AW87" i="40" s="1"/>
  <c r="P84" i="40"/>
  <c r="L185" i="40"/>
  <c r="AU86" i="40"/>
  <c r="AB86" i="40"/>
  <c r="AS86" i="40"/>
  <c r="AV86" i="40" s="1"/>
  <c r="J86" i="40"/>
  <c r="AZ86" i="40" s="1"/>
  <c r="AP86" i="40" s="1"/>
  <c r="P113" i="39"/>
  <c r="AD113" i="39"/>
  <c r="AR116" i="39"/>
  <c r="AQ116" i="39"/>
  <c r="AT116" i="39" s="1"/>
  <c r="AW116" i="39" s="1"/>
  <c r="H117" i="39"/>
  <c r="Q112" i="39"/>
  <c r="R112" i="39" s="1"/>
  <c r="Y112" i="39" s="1"/>
  <c r="O112" i="39"/>
  <c r="AU115" i="39"/>
  <c r="AS115" i="39"/>
  <c r="AV115" i="39" s="1"/>
  <c r="AB115" i="39"/>
  <c r="J115" i="39"/>
  <c r="AZ115" i="39" s="1"/>
  <c r="AP115" i="39" s="1"/>
  <c r="K114" i="39"/>
  <c r="M113" i="39"/>
  <c r="M113" i="36"/>
  <c r="N113" i="36"/>
  <c r="AD113" i="36"/>
  <c r="K114" i="36"/>
  <c r="AS115" i="36"/>
  <c r="AV115" i="36" s="1"/>
  <c r="AU115" i="36"/>
  <c r="J115" i="36"/>
  <c r="AZ115" i="36" s="1"/>
  <c r="AP115" i="36" s="1"/>
  <c r="O112" i="36"/>
  <c r="Q112" i="36"/>
  <c r="R112" i="36" s="1"/>
  <c r="O113" i="36"/>
  <c r="Q113" i="36"/>
  <c r="R113" i="36" s="1"/>
  <c r="Y113" i="36" s="1"/>
  <c r="H117" i="36"/>
  <c r="AR116" i="36"/>
  <c r="AB116" i="36" s="1"/>
  <c r="AQ116" i="36"/>
  <c r="AT116" i="36" s="1"/>
  <c r="AW116" i="36" s="1"/>
  <c r="R39" i="35"/>
  <c r="S39" i="35" s="1"/>
  <c r="Z39" i="35" s="1"/>
  <c r="AE40" i="35"/>
  <c r="Q40" i="35"/>
  <c r="P40" i="35" s="1"/>
  <c r="N40" i="35"/>
  <c r="AR43" i="35"/>
  <c r="AU43" i="35" s="1"/>
  <c r="AX43" i="35" s="1"/>
  <c r="AS43" i="35"/>
  <c r="AV42" i="35"/>
  <c r="AT42" i="35"/>
  <c r="AW42" i="35" s="1"/>
  <c r="AC42" i="35"/>
  <c r="K42" i="35"/>
  <c r="BA42" i="35" s="1"/>
  <c r="AQ42" i="35" s="1"/>
  <c r="L41" i="35"/>
  <c r="AE41" i="35" s="1"/>
  <c r="D90" i="17"/>
  <c r="N89" i="17"/>
  <c r="AD116" i="50" l="1"/>
  <c r="M116" i="50"/>
  <c r="Q115" i="50"/>
  <c r="R115" i="50" s="1"/>
  <c r="Y115" i="50" s="1"/>
  <c r="O115" i="50"/>
  <c r="AS117" i="50"/>
  <c r="AV117" i="50" s="1"/>
  <c r="AB117" i="50"/>
  <c r="AU117" i="50"/>
  <c r="J117" i="50"/>
  <c r="AZ117" i="50" s="1"/>
  <c r="AP117" i="50" s="1"/>
  <c r="Q114" i="50"/>
  <c r="R114" i="50" s="1"/>
  <c r="Y114" i="50" s="1"/>
  <c r="O114" i="50"/>
  <c r="AR118" i="50"/>
  <c r="AQ118" i="50"/>
  <c r="AT118" i="50" s="1"/>
  <c r="AW118" i="50" s="1"/>
  <c r="H123" i="50"/>
  <c r="P116" i="50"/>
  <c r="N116" i="50"/>
  <c r="K87" i="48"/>
  <c r="M86" i="48"/>
  <c r="N82" i="48"/>
  <c r="P82" i="48"/>
  <c r="Q81" i="48"/>
  <c r="R81" i="48" s="1"/>
  <c r="X81" i="48" s="1"/>
  <c r="O81" i="48"/>
  <c r="AR84" i="48"/>
  <c r="AQ84" i="48"/>
  <c r="AT84" i="48" s="1"/>
  <c r="AW84" i="48" s="1"/>
  <c r="AC82" i="48"/>
  <c r="AE82" i="48"/>
  <c r="AH82" i="48" s="1"/>
  <c r="L87" i="48"/>
  <c r="AU83" i="48"/>
  <c r="AA83" i="48"/>
  <c r="AS83" i="48"/>
  <c r="AV83" i="48" s="1"/>
  <c r="AH81" i="48"/>
  <c r="O85" i="40"/>
  <c r="Q85" i="40"/>
  <c r="R85" i="40" s="1"/>
  <c r="Y85" i="40" s="1"/>
  <c r="AU87" i="40"/>
  <c r="AB87" i="40"/>
  <c r="AS87" i="40"/>
  <c r="AV87" i="40" s="1"/>
  <c r="J87" i="40"/>
  <c r="AZ87" i="40" s="1"/>
  <c r="AP87" i="40" s="1"/>
  <c r="M85" i="40"/>
  <c r="AM85" i="40" s="1"/>
  <c r="L184" i="40"/>
  <c r="N85" i="40"/>
  <c r="O84" i="40"/>
  <c r="Q84" i="40"/>
  <c r="R84" i="40" s="1"/>
  <c r="Y84" i="40" s="1"/>
  <c r="K86" i="40"/>
  <c r="N86" i="40" s="1"/>
  <c r="AR88" i="40"/>
  <c r="H89" i="40"/>
  <c r="AQ88" i="40"/>
  <c r="AT88" i="40" s="1"/>
  <c r="AW88" i="40" s="1"/>
  <c r="AD85" i="40"/>
  <c r="K115" i="39"/>
  <c r="M115" i="39" s="1"/>
  <c r="AU116" i="39"/>
  <c r="AS116" i="39"/>
  <c r="AV116" i="39" s="1"/>
  <c r="AB116" i="39"/>
  <c r="J116" i="39"/>
  <c r="AZ116" i="39" s="1"/>
  <c r="AP116" i="39" s="1"/>
  <c r="M114" i="39"/>
  <c r="AD114" i="39"/>
  <c r="N115" i="39"/>
  <c r="P115" i="39"/>
  <c r="P114" i="39"/>
  <c r="N114" i="39"/>
  <c r="AR117" i="39"/>
  <c r="AQ117" i="39"/>
  <c r="AT117" i="39" s="1"/>
  <c r="AW117" i="39" s="1"/>
  <c r="H118" i="39"/>
  <c r="Q113" i="39"/>
  <c r="R113" i="39" s="1"/>
  <c r="O113" i="39"/>
  <c r="AD115" i="39"/>
  <c r="R40" i="35"/>
  <c r="S40" i="35" s="1"/>
  <c r="Z40" i="35" s="1"/>
  <c r="AS116" i="36"/>
  <c r="AV116" i="36" s="1"/>
  <c r="AU116" i="36"/>
  <c r="J116" i="36"/>
  <c r="AZ116" i="36" s="1"/>
  <c r="AP116" i="36" s="1"/>
  <c r="M114" i="36"/>
  <c r="K115" i="36"/>
  <c r="N115" i="36" s="1"/>
  <c r="AQ117" i="36"/>
  <c r="AT117" i="36" s="1"/>
  <c r="AW117" i="36" s="1"/>
  <c r="AR117" i="36"/>
  <c r="AB117" i="36" s="1"/>
  <c r="H118" i="36"/>
  <c r="Y112" i="36"/>
  <c r="AD114" i="36"/>
  <c r="P114" i="36"/>
  <c r="N114" i="36"/>
  <c r="O41" i="35"/>
  <c r="L42" i="35"/>
  <c r="AE42" i="35" s="1"/>
  <c r="N41" i="35"/>
  <c r="AC43" i="35"/>
  <c r="AT43" i="35"/>
  <c r="AW43" i="35" s="1"/>
  <c r="AV43" i="35"/>
  <c r="K43" i="35"/>
  <c r="BA43" i="35" s="1"/>
  <c r="AQ43" i="35" s="1"/>
  <c r="Q41" i="35"/>
  <c r="D91" i="17"/>
  <c r="N90" i="17"/>
  <c r="H124" i="50" l="1"/>
  <c r="AQ123" i="50"/>
  <c r="AT123" i="50" s="1"/>
  <c r="AW123" i="50" s="1"/>
  <c r="AR123" i="50"/>
  <c r="AU118" i="50"/>
  <c r="AS118" i="50"/>
  <c r="AV118" i="50" s="1"/>
  <c r="AB118" i="50"/>
  <c r="J118" i="50"/>
  <c r="AZ118" i="50" s="1"/>
  <c r="AP118" i="50" s="1"/>
  <c r="Q116" i="50"/>
  <c r="R116" i="50" s="1"/>
  <c r="Y116" i="50" s="1"/>
  <c r="O116" i="50"/>
  <c r="K117" i="50"/>
  <c r="K88" i="48"/>
  <c r="M87" i="48"/>
  <c r="AC83" i="48"/>
  <c r="AE83" i="48"/>
  <c r="Q82" i="48"/>
  <c r="R82" i="48" s="1"/>
  <c r="X82" i="48" s="1"/>
  <c r="O82" i="48"/>
  <c r="L88" i="48"/>
  <c r="AR85" i="48"/>
  <c r="AQ85" i="48"/>
  <c r="AT85" i="48" s="1"/>
  <c r="AW85" i="48" s="1"/>
  <c r="P83" i="48"/>
  <c r="N83" i="48"/>
  <c r="AH83" i="48"/>
  <c r="AA84" i="48"/>
  <c r="AU84" i="48"/>
  <c r="AS84" i="48"/>
  <c r="AV84" i="48" s="1"/>
  <c r="AD86" i="40"/>
  <c r="P86" i="40"/>
  <c r="AD87" i="40"/>
  <c r="AU88" i="40"/>
  <c r="AS88" i="40"/>
  <c r="AV88" i="40" s="1"/>
  <c r="AB88" i="40"/>
  <c r="J88" i="40"/>
  <c r="AZ88" i="40" s="1"/>
  <c r="AP88" i="40" s="1"/>
  <c r="K87" i="40"/>
  <c r="P87" i="40" s="1"/>
  <c r="AR89" i="40"/>
  <c r="H90" i="40"/>
  <c r="AQ89" i="40"/>
  <c r="AT89" i="40" s="1"/>
  <c r="AW89" i="40" s="1"/>
  <c r="L183" i="40"/>
  <c r="M86" i="40"/>
  <c r="AM86" i="40" s="1"/>
  <c r="Y113" i="39"/>
  <c r="K116" i="39"/>
  <c r="H123" i="39"/>
  <c r="AR118" i="39"/>
  <c r="AQ118" i="39"/>
  <c r="AT118" i="39" s="1"/>
  <c r="AW118" i="39" s="1"/>
  <c r="Q114" i="39"/>
  <c r="R114" i="39" s="1"/>
  <c r="Y114" i="39" s="1"/>
  <c r="O114" i="39"/>
  <c r="AU117" i="39"/>
  <c r="AS117" i="39"/>
  <c r="AV117" i="39" s="1"/>
  <c r="AB117" i="39"/>
  <c r="J117" i="39"/>
  <c r="AZ117" i="39" s="1"/>
  <c r="AP117" i="39" s="1"/>
  <c r="Q115" i="39"/>
  <c r="R115" i="39" s="1"/>
  <c r="Y115" i="39" s="1"/>
  <c r="O115" i="39"/>
  <c r="AD115" i="36"/>
  <c r="Q114" i="36"/>
  <c r="R114" i="36" s="1"/>
  <c r="Y114" i="36" s="1"/>
  <c r="O114" i="36"/>
  <c r="K116" i="36"/>
  <c r="P116" i="36" s="1"/>
  <c r="AR118" i="36"/>
  <c r="AB118" i="36" s="1"/>
  <c r="H123" i="36"/>
  <c r="AQ118" i="36"/>
  <c r="AT118" i="36" s="1"/>
  <c r="AW118" i="36" s="1"/>
  <c r="M115" i="36"/>
  <c r="P115" i="36"/>
  <c r="AS117" i="36"/>
  <c r="AV117" i="36" s="1"/>
  <c r="AU117" i="36"/>
  <c r="J117" i="36"/>
  <c r="AZ117" i="36" s="1"/>
  <c r="AP117" i="36" s="1"/>
  <c r="N42" i="35"/>
  <c r="O42" i="35"/>
  <c r="L43" i="35"/>
  <c r="P41" i="35"/>
  <c r="R41" i="35"/>
  <c r="S41" i="35" s="1"/>
  <c r="Z41" i="35" s="1"/>
  <c r="Q42" i="35"/>
  <c r="N91" i="17"/>
  <c r="D92" i="17"/>
  <c r="M117" i="50" l="1"/>
  <c r="P117" i="50"/>
  <c r="N117" i="50"/>
  <c r="AS123" i="50"/>
  <c r="AV123" i="50" s="1"/>
  <c r="AB123" i="50"/>
  <c r="AU123" i="50"/>
  <c r="J123" i="50"/>
  <c r="AZ123" i="50" s="1"/>
  <c r="AP123" i="50" s="1"/>
  <c r="AD117" i="50"/>
  <c r="K118" i="50"/>
  <c r="AR124" i="50"/>
  <c r="AQ124" i="50"/>
  <c r="AT124" i="50" s="1"/>
  <c r="AW124" i="50" s="1"/>
  <c r="H125" i="50"/>
  <c r="K89" i="48"/>
  <c r="M88" i="48"/>
  <c r="AU85" i="48"/>
  <c r="AS85" i="48"/>
  <c r="AV85" i="48" s="1"/>
  <c r="AA85" i="48"/>
  <c r="AR86" i="48"/>
  <c r="AQ86" i="48"/>
  <c r="AT86" i="48" s="1"/>
  <c r="AW86" i="48" s="1"/>
  <c r="P84" i="48"/>
  <c r="N84" i="48"/>
  <c r="O83" i="48"/>
  <c r="Q83" i="48"/>
  <c r="R83" i="48" s="1"/>
  <c r="X83" i="48" s="1"/>
  <c r="L89" i="48"/>
  <c r="AC84" i="48"/>
  <c r="AE84" i="48"/>
  <c r="O87" i="40"/>
  <c r="Q87" i="40"/>
  <c r="R87" i="40" s="1"/>
  <c r="Y87" i="40" s="1"/>
  <c r="P88" i="40"/>
  <c r="AQ90" i="40"/>
  <c r="AT90" i="40" s="1"/>
  <c r="AW90" i="40" s="1"/>
  <c r="H91" i="40"/>
  <c r="AR90" i="40"/>
  <c r="K88" i="40"/>
  <c r="N88" i="40" s="1"/>
  <c r="O86" i="40"/>
  <c r="Q86" i="40"/>
  <c r="R86" i="40" s="1"/>
  <c r="L182" i="40"/>
  <c r="AU89" i="40"/>
  <c r="AS89" i="40"/>
  <c r="AV89" i="40" s="1"/>
  <c r="J89" i="40"/>
  <c r="AZ89" i="40" s="1"/>
  <c r="AP89" i="40" s="1"/>
  <c r="AB89" i="40"/>
  <c r="M87" i="40"/>
  <c r="AM87" i="40" s="1"/>
  <c r="N87" i="40"/>
  <c r="M116" i="39"/>
  <c r="AU118" i="39"/>
  <c r="AS118" i="39"/>
  <c r="AV118" i="39" s="1"/>
  <c r="AB118" i="39"/>
  <c r="J118" i="39"/>
  <c r="AZ118" i="39" s="1"/>
  <c r="AP118" i="39" s="1"/>
  <c r="AR123" i="39"/>
  <c r="H124" i="39"/>
  <c r="AQ123" i="39"/>
  <c r="AT123" i="39" s="1"/>
  <c r="AW123" i="39" s="1"/>
  <c r="P116" i="39"/>
  <c r="K117" i="39"/>
  <c r="AD116" i="39"/>
  <c r="N116" i="39"/>
  <c r="AD116" i="36"/>
  <c r="N116" i="36"/>
  <c r="O116" i="36"/>
  <c r="Q116" i="36"/>
  <c r="R116" i="36" s="1"/>
  <c r="Y116" i="36" s="1"/>
  <c r="Q115" i="36"/>
  <c r="R115" i="36" s="1"/>
  <c r="O115" i="36"/>
  <c r="K117" i="36"/>
  <c r="AQ123" i="36"/>
  <c r="AT123" i="36" s="1"/>
  <c r="AW123" i="36" s="1"/>
  <c r="H124" i="36"/>
  <c r="AR123" i="36"/>
  <c r="AB123" i="36" s="1"/>
  <c r="AS118" i="36"/>
  <c r="AV118" i="36" s="1"/>
  <c r="AU118" i="36"/>
  <c r="J118" i="36"/>
  <c r="AZ118" i="36" s="1"/>
  <c r="AP118" i="36" s="1"/>
  <c r="M116" i="36"/>
  <c r="N43" i="35"/>
  <c r="P42" i="35"/>
  <c r="R42" i="35"/>
  <c r="S42" i="35" s="1"/>
  <c r="Z42" i="35" s="1"/>
  <c r="AE43" i="35"/>
  <c r="O43" i="35"/>
  <c r="Q43" i="35"/>
  <c r="D93" i="17"/>
  <c r="N92" i="17"/>
  <c r="M118" i="50" l="1"/>
  <c r="K123" i="50"/>
  <c r="AQ125" i="50"/>
  <c r="AT125" i="50" s="1"/>
  <c r="AW125" i="50" s="1"/>
  <c r="H126" i="50"/>
  <c r="AR125" i="50"/>
  <c r="AF123" i="50"/>
  <c r="AI123" i="50"/>
  <c r="Q117" i="50"/>
  <c r="R117" i="50" s="1"/>
  <c r="Y117" i="50" s="1"/>
  <c r="O117" i="50"/>
  <c r="AD118" i="50"/>
  <c r="P123" i="50"/>
  <c r="P118" i="50"/>
  <c r="AS124" i="50"/>
  <c r="AV124" i="50" s="1"/>
  <c r="AU124" i="50"/>
  <c r="AB124" i="50"/>
  <c r="J124" i="50"/>
  <c r="AZ124" i="50" s="1"/>
  <c r="AP124" i="50" s="1"/>
  <c r="N118" i="50"/>
  <c r="M89" i="48"/>
  <c r="K90" i="48"/>
  <c r="AH84" i="48"/>
  <c r="AC85" i="48"/>
  <c r="AE85" i="48"/>
  <c r="L90" i="48"/>
  <c r="N85" i="48"/>
  <c r="P85" i="48"/>
  <c r="AR87" i="48"/>
  <c r="AQ87" i="48"/>
  <c r="AT87" i="48" s="1"/>
  <c r="AW87" i="48" s="1"/>
  <c r="Q84" i="48"/>
  <c r="R84" i="48" s="1"/>
  <c r="X84" i="48" s="1"/>
  <c r="O84" i="48"/>
  <c r="AS86" i="48"/>
  <c r="AV86" i="48" s="1"/>
  <c r="AA86" i="48"/>
  <c r="AU86" i="48"/>
  <c r="O88" i="40"/>
  <c r="Q88" i="40"/>
  <c r="R88" i="40" s="1"/>
  <c r="Y88" i="40" s="1"/>
  <c r="Y86" i="40"/>
  <c r="K89" i="40"/>
  <c r="M88" i="40"/>
  <c r="AM88" i="40" s="1"/>
  <c r="AU90" i="40"/>
  <c r="AS90" i="40"/>
  <c r="AV90" i="40" s="1"/>
  <c r="AB90" i="40"/>
  <c r="J90" i="40"/>
  <c r="AZ90" i="40" s="1"/>
  <c r="AP90" i="40" s="1"/>
  <c r="AD88" i="40"/>
  <c r="L181" i="40"/>
  <c r="AQ91" i="40"/>
  <c r="AT91" i="40" s="1"/>
  <c r="AW91" i="40" s="1"/>
  <c r="H92" i="40"/>
  <c r="AR91" i="40"/>
  <c r="K118" i="39"/>
  <c r="P118" i="39" s="1"/>
  <c r="M117" i="39"/>
  <c r="AS123" i="39"/>
  <c r="AV123" i="39" s="1"/>
  <c r="AB123" i="39"/>
  <c r="AU123" i="39"/>
  <c r="J123" i="39"/>
  <c r="AZ123" i="39" s="1"/>
  <c r="AP123" i="39" s="1"/>
  <c r="N118" i="39"/>
  <c r="M118" i="39"/>
  <c r="P117" i="39"/>
  <c r="AD117" i="39"/>
  <c r="Q116" i="39"/>
  <c r="R116" i="39" s="1"/>
  <c r="Y116" i="39" s="1"/>
  <c r="O116" i="39"/>
  <c r="N117" i="39"/>
  <c r="AR124" i="39"/>
  <c r="H125" i="39"/>
  <c r="AQ124" i="39"/>
  <c r="AT124" i="39" s="1"/>
  <c r="AW124" i="39" s="1"/>
  <c r="AD118" i="39"/>
  <c r="M117" i="36"/>
  <c r="P117" i="36"/>
  <c r="K118" i="36"/>
  <c r="AD118" i="36" s="1"/>
  <c r="AS123" i="36"/>
  <c r="AV123" i="36" s="1"/>
  <c r="AU123" i="36"/>
  <c r="J123" i="36"/>
  <c r="AZ123" i="36" s="1"/>
  <c r="AP123" i="36" s="1"/>
  <c r="AQ124" i="36"/>
  <c r="AT124" i="36" s="1"/>
  <c r="AW124" i="36" s="1"/>
  <c r="H125" i="36"/>
  <c r="AR124" i="36"/>
  <c r="AB124" i="36" s="1"/>
  <c r="Y115" i="36"/>
  <c r="AD117" i="36"/>
  <c r="N117" i="36"/>
  <c r="R43" i="35"/>
  <c r="S43" i="35" s="1"/>
  <c r="Z43" i="35" s="1"/>
  <c r="P43" i="35"/>
  <c r="D94" i="17"/>
  <c r="N93" i="17"/>
  <c r="Q118" i="50" l="1"/>
  <c r="R118" i="50" s="1"/>
  <c r="Y118" i="50" s="1"/>
  <c r="O118" i="50"/>
  <c r="H127" i="50"/>
  <c r="AR126" i="50"/>
  <c r="AQ126" i="50"/>
  <c r="AT126" i="50" s="1"/>
  <c r="AW126" i="50" s="1"/>
  <c r="M123" i="50"/>
  <c r="BA123" i="50"/>
  <c r="Q123" i="50"/>
  <c r="R123" i="50" s="1"/>
  <c r="Y123" i="50" s="1"/>
  <c r="O123" i="50"/>
  <c r="AD124" i="50"/>
  <c r="AF124" i="50"/>
  <c r="N123" i="50"/>
  <c r="K124" i="50"/>
  <c r="AD123" i="50"/>
  <c r="P124" i="50"/>
  <c r="AS125" i="50"/>
  <c r="AV125" i="50" s="1"/>
  <c r="AU125" i="50"/>
  <c r="AB125" i="50"/>
  <c r="J125" i="50"/>
  <c r="AZ125" i="50" s="1"/>
  <c r="AP125" i="50" s="1"/>
  <c r="K91" i="48"/>
  <c r="M90" i="48"/>
  <c r="Q85" i="48"/>
  <c r="R85" i="48" s="1"/>
  <c r="X85" i="48" s="1"/>
  <c r="O85" i="48"/>
  <c r="AC86" i="48"/>
  <c r="AE86" i="48"/>
  <c r="AH86" i="48" s="1"/>
  <c r="AR88" i="48"/>
  <c r="AQ88" i="48"/>
  <c r="AT88" i="48" s="1"/>
  <c r="AW88" i="48" s="1"/>
  <c r="L91" i="48"/>
  <c r="P86" i="48"/>
  <c r="N86" i="48"/>
  <c r="AA87" i="48"/>
  <c r="AU87" i="48"/>
  <c r="AS87" i="48"/>
  <c r="AV87" i="48" s="1"/>
  <c r="AH85" i="48"/>
  <c r="M89" i="40"/>
  <c r="AM89" i="40" s="1"/>
  <c r="P89" i="40"/>
  <c r="N89" i="40"/>
  <c r="AD89" i="40"/>
  <c r="L180" i="40"/>
  <c r="AU91" i="40"/>
  <c r="AB91" i="40"/>
  <c r="AS91" i="40"/>
  <c r="AV91" i="40" s="1"/>
  <c r="J91" i="40"/>
  <c r="AZ91" i="40" s="1"/>
  <c r="AP91" i="40" s="1"/>
  <c r="AQ92" i="40"/>
  <c r="AT92" i="40" s="1"/>
  <c r="AW92" i="40" s="1"/>
  <c r="H93" i="40"/>
  <c r="AR92" i="40"/>
  <c r="K90" i="40"/>
  <c r="K123" i="39"/>
  <c r="M123" i="39" s="1"/>
  <c r="AD123" i="39"/>
  <c r="AF123" i="39"/>
  <c r="AI123" i="39" s="1"/>
  <c r="Q117" i="39"/>
  <c r="R117" i="39" s="1"/>
  <c r="Y117" i="39" s="1"/>
  <c r="O117" i="39"/>
  <c r="AR125" i="39"/>
  <c r="H126" i="39"/>
  <c r="AQ125" i="39"/>
  <c r="AT125" i="39" s="1"/>
  <c r="AW125" i="39" s="1"/>
  <c r="Q118" i="39"/>
  <c r="R118" i="39" s="1"/>
  <c r="Y118" i="39" s="1"/>
  <c r="O118" i="39"/>
  <c r="P123" i="39"/>
  <c r="N123" i="39"/>
  <c r="AS124" i="39"/>
  <c r="AV124" i="39" s="1"/>
  <c r="AB124" i="39"/>
  <c r="AU124" i="39"/>
  <c r="J124" i="39"/>
  <c r="AZ124" i="39" s="1"/>
  <c r="AP124" i="39" s="1"/>
  <c r="P118" i="36"/>
  <c r="Q118" i="36" s="1"/>
  <c r="R118" i="36" s="1"/>
  <c r="Y118" i="36" s="1"/>
  <c r="N118" i="36"/>
  <c r="AU124" i="36"/>
  <c r="AS124" i="36"/>
  <c r="AV124" i="36" s="1"/>
  <c r="J124" i="36"/>
  <c r="AZ124" i="36" s="1"/>
  <c r="AP124" i="36" s="1"/>
  <c r="M118" i="36"/>
  <c r="AQ125" i="36"/>
  <c r="AT125" i="36" s="1"/>
  <c r="AW125" i="36" s="1"/>
  <c r="H126" i="36"/>
  <c r="AR125" i="36"/>
  <c r="AB125" i="36" s="1"/>
  <c r="Q117" i="36"/>
  <c r="R117" i="36" s="1"/>
  <c r="Y117" i="36" s="1"/>
  <c r="O117" i="36"/>
  <c r="AF123" i="36"/>
  <c r="K123" i="36"/>
  <c r="D95" i="17"/>
  <c r="N94" i="17"/>
  <c r="AR127" i="50" l="1"/>
  <c r="AQ127" i="50"/>
  <c r="AT127" i="50" s="1"/>
  <c r="AW127" i="50" s="1"/>
  <c r="H128" i="50"/>
  <c r="AI125" i="50"/>
  <c r="Q124" i="50"/>
  <c r="R124" i="50" s="1"/>
  <c r="Y124" i="50" s="1"/>
  <c r="O124" i="50"/>
  <c r="AF125" i="50"/>
  <c r="BA124" i="50"/>
  <c r="M124" i="50"/>
  <c r="AS126" i="50"/>
  <c r="AV126" i="50" s="1"/>
  <c r="AB126" i="50"/>
  <c r="AU126" i="50"/>
  <c r="J126" i="50"/>
  <c r="AZ126" i="50" s="1"/>
  <c r="AP126" i="50" s="1"/>
  <c r="K125" i="50"/>
  <c r="N124" i="50"/>
  <c r="AI124" i="50"/>
  <c r="K92" i="48"/>
  <c r="M91" i="48"/>
  <c r="AU88" i="48"/>
  <c r="AS88" i="48"/>
  <c r="AV88" i="48" s="1"/>
  <c r="AA88" i="48"/>
  <c r="P87" i="48"/>
  <c r="N87" i="48"/>
  <c r="L92" i="48"/>
  <c r="AE87" i="48"/>
  <c r="AC87" i="48"/>
  <c r="Q86" i="48"/>
  <c r="R86" i="48" s="1"/>
  <c r="X86" i="48" s="1"/>
  <c r="O86" i="48"/>
  <c r="AR89" i="48"/>
  <c r="AQ89" i="48"/>
  <c r="AT89" i="48" s="1"/>
  <c r="AW89" i="48" s="1"/>
  <c r="K91" i="40"/>
  <c r="M91" i="40" s="1"/>
  <c r="AM91" i="40" s="1"/>
  <c r="M90" i="40"/>
  <c r="AM90" i="40" s="1"/>
  <c r="AU92" i="40"/>
  <c r="AB92" i="40"/>
  <c r="AS92" i="40"/>
  <c r="AV92" i="40" s="1"/>
  <c r="J92" i="40"/>
  <c r="AZ92" i="40" s="1"/>
  <c r="AP92" i="40" s="1"/>
  <c r="AQ93" i="40"/>
  <c r="AT93" i="40" s="1"/>
  <c r="AW93" i="40" s="1"/>
  <c r="H94" i="40"/>
  <c r="AR93" i="40"/>
  <c r="L179" i="40"/>
  <c r="N90" i="40"/>
  <c r="O89" i="40"/>
  <c r="Q89" i="40"/>
  <c r="R89" i="40" s="1"/>
  <c r="Y89" i="40" s="1"/>
  <c r="P90" i="40"/>
  <c r="AD90" i="40"/>
  <c r="AR126" i="39"/>
  <c r="H127" i="39"/>
  <c r="AQ126" i="39"/>
  <c r="AT126" i="39" s="1"/>
  <c r="AW126" i="39" s="1"/>
  <c r="AS125" i="39"/>
  <c r="AV125" i="39" s="1"/>
  <c r="K125" i="39"/>
  <c r="AB125" i="39"/>
  <c r="AU125" i="39"/>
  <c r="J125" i="39"/>
  <c r="AZ125" i="39" s="1"/>
  <c r="AP125" i="39" s="1"/>
  <c r="BA123" i="39"/>
  <c r="Q123" i="39"/>
  <c r="R123" i="39" s="1"/>
  <c r="Y123" i="39" s="1"/>
  <c r="O123" i="39"/>
  <c r="AF124" i="39"/>
  <c r="AI124" i="39" s="1"/>
  <c r="K124" i="39"/>
  <c r="AD124" i="39" s="1"/>
  <c r="O118" i="36"/>
  <c r="K124" i="36"/>
  <c r="N124" i="36" s="1"/>
  <c r="BA123" i="36"/>
  <c r="AI123" i="36"/>
  <c r="AS125" i="36"/>
  <c r="AV125" i="36" s="1"/>
  <c r="AU125" i="36"/>
  <c r="J125" i="36"/>
  <c r="AZ125" i="36" s="1"/>
  <c r="AP125" i="36" s="1"/>
  <c r="M123" i="36"/>
  <c r="N123" i="36"/>
  <c r="P123" i="36"/>
  <c r="AF124" i="36"/>
  <c r="AI124" i="36" s="1"/>
  <c r="AQ126" i="36"/>
  <c r="AT126" i="36" s="1"/>
  <c r="AW126" i="36" s="1"/>
  <c r="H127" i="36"/>
  <c r="AR126" i="36"/>
  <c r="AB126" i="36" s="1"/>
  <c r="AD123" i="36"/>
  <c r="N95" i="17"/>
  <c r="D96" i="17"/>
  <c r="M125" i="50" l="1"/>
  <c r="K126" i="50"/>
  <c r="P125" i="50"/>
  <c r="BA125" i="50"/>
  <c r="AQ128" i="50"/>
  <c r="AT128" i="50" s="1"/>
  <c r="AW128" i="50" s="1"/>
  <c r="AR128" i="50"/>
  <c r="H129" i="50"/>
  <c r="AF126" i="50"/>
  <c r="N125" i="50"/>
  <c r="AD125" i="50"/>
  <c r="AS127" i="50"/>
  <c r="AV127" i="50" s="1"/>
  <c r="AB127" i="50"/>
  <c r="AU127" i="50"/>
  <c r="J127" i="50"/>
  <c r="AZ127" i="50" s="1"/>
  <c r="AP127" i="50" s="1"/>
  <c r="M92" i="48"/>
  <c r="K93" i="48"/>
  <c r="L93" i="48"/>
  <c r="AS89" i="48"/>
  <c r="AV89" i="48" s="1"/>
  <c r="AU89" i="48"/>
  <c r="AA89" i="48"/>
  <c r="N88" i="48"/>
  <c r="P88" i="48"/>
  <c r="AH87" i="48"/>
  <c r="AE88" i="48"/>
  <c r="AC88" i="48"/>
  <c r="AR90" i="48"/>
  <c r="AQ90" i="48"/>
  <c r="AT90" i="48" s="1"/>
  <c r="AW90" i="48" s="1"/>
  <c r="Q87" i="48"/>
  <c r="R87" i="48" s="1"/>
  <c r="X87" i="48" s="1"/>
  <c r="O87" i="48"/>
  <c r="N91" i="40"/>
  <c r="AD91" i="40"/>
  <c r="P91" i="40"/>
  <c r="O91" i="40" s="1"/>
  <c r="K92" i="40"/>
  <c r="M92" i="40" s="1"/>
  <c r="AM92" i="40" s="1"/>
  <c r="AQ94" i="40"/>
  <c r="AT94" i="40" s="1"/>
  <c r="AW94" i="40" s="1"/>
  <c r="H95" i="40"/>
  <c r="AR94" i="40"/>
  <c r="P92" i="40"/>
  <c r="O90" i="40"/>
  <c r="Q90" i="40"/>
  <c r="R90" i="40" s="1"/>
  <c r="Y90" i="40" s="1"/>
  <c r="L178" i="40"/>
  <c r="AD92" i="40"/>
  <c r="AU93" i="40"/>
  <c r="AB93" i="40"/>
  <c r="AS93" i="40"/>
  <c r="AV93" i="40" s="1"/>
  <c r="J93" i="40"/>
  <c r="AZ93" i="40" s="1"/>
  <c r="AP93" i="40" s="1"/>
  <c r="P124" i="39"/>
  <c r="M124" i="39"/>
  <c r="P125" i="39"/>
  <c r="N125" i="39"/>
  <c r="Q124" i="39"/>
  <c r="R124" i="39" s="1"/>
  <c r="Y124" i="39" s="1"/>
  <c r="O124" i="39"/>
  <c r="M125" i="39"/>
  <c r="AR127" i="39"/>
  <c r="H128" i="39"/>
  <c r="AQ127" i="39"/>
  <c r="AT127" i="39" s="1"/>
  <c r="AW127" i="39" s="1"/>
  <c r="BA124" i="39"/>
  <c r="N124" i="39"/>
  <c r="AD125" i="39"/>
  <c r="AF125" i="39"/>
  <c r="AS126" i="39"/>
  <c r="AV126" i="39" s="1"/>
  <c r="AB126" i="39"/>
  <c r="AU126" i="39"/>
  <c r="J126" i="39"/>
  <c r="AZ126" i="39" s="1"/>
  <c r="AP126" i="39" s="1"/>
  <c r="M124" i="36"/>
  <c r="AD124" i="36"/>
  <c r="P124" i="36"/>
  <c r="Q124" i="36" s="1"/>
  <c r="R124" i="36" s="1"/>
  <c r="Y124" i="36" s="1"/>
  <c r="AU126" i="36"/>
  <c r="AS126" i="36"/>
  <c r="AV126" i="36" s="1"/>
  <c r="J126" i="36"/>
  <c r="AZ126" i="36" s="1"/>
  <c r="AP126" i="36" s="1"/>
  <c r="Q123" i="36"/>
  <c r="R123" i="36" s="1"/>
  <c r="Y123" i="36" s="1"/>
  <c r="O123" i="36"/>
  <c r="AQ127" i="36"/>
  <c r="AT127" i="36" s="1"/>
  <c r="AW127" i="36" s="1"/>
  <c r="H128" i="36"/>
  <c r="AR127" i="36"/>
  <c r="AB127" i="36" s="1"/>
  <c r="BA124" i="36"/>
  <c r="AF125" i="36"/>
  <c r="K125" i="36"/>
  <c r="P125" i="36" s="1"/>
  <c r="D97" i="17"/>
  <c r="N96" i="17"/>
  <c r="AS128" i="50" l="1"/>
  <c r="AV128" i="50" s="1"/>
  <c r="AU128" i="50"/>
  <c r="AB128" i="50"/>
  <c r="J128" i="50"/>
  <c r="AZ128" i="50" s="1"/>
  <c r="AP128" i="50" s="1"/>
  <c r="BA126" i="50"/>
  <c r="O125" i="50"/>
  <c r="Q125" i="50"/>
  <c r="R125" i="50" s="1"/>
  <c r="Y125" i="50" s="1"/>
  <c r="M126" i="50"/>
  <c r="P126" i="50"/>
  <c r="AF127" i="50"/>
  <c r="AD126" i="50"/>
  <c r="AI126" i="50"/>
  <c r="K127" i="50"/>
  <c r="N126" i="50"/>
  <c r="P127" i="50"/>
  <c r="N127" i="50"/>
  <c r="H130" i="50"/>
  <c r="AQ129" i="50"/>
  <c r="AT129" i="50" s="1"/>
  <c r="AW129" i="50" s="1"/>
  <c r="AR129" i="50"/>
  <c r="M93" i="48"/>
  <c r="K94" i="48"/>
  <c r="Q88" i="48"/>
  <c r="R88" i="48" s="1"/>
  <c r="X88" i="48" s="1"/>
  <c r="O88" i="48"/>
  <c r="P89" i="48"/>
  <c r="N89" i="48"/>
  <c r="L94" i="48"/>
  <c r="AH88" i="48"/>
  <c r="AU90" i="48"/>
  <c r="AA90" i="48"/>
  <c r="AS90" i="48"/>
  <c r="AV90" i="48" s="1"/>
  <c r="AR91" i="48"/>
  <c r="AQ91" i="48"/>
  <c r="AT91" i="48" s="1"/>
  <c r="AW91" i="48" s="1"/>
  <c r="AC89" i="48"/>
  <c r="AE89" i="48"/>
  <c r="Q91" i="40"/>
  <c r="R91" i="40" s="1"/>
  <c r="Y91" i="40" s="1"/>
  <c r="N92" i="40"/>
  <c r="K93" i="40"/>
  <c r="L177" i="40"/>
  <c r="AU94" i="40"/>
  <c r="AS94" i="40"/>
  <c r="AV94" i="40" s="1"/>
  <c r="AB94" i="40"/>
  <c r="J94" i="40"/>
  <c r="AZ94" i="40" s="1"/>
  <c r="AP94" i="40" s="1"/>
  <c r="N93" i="40"/>
  <c r="P93" i="40"/>
  <c r="Q92" i="40"/>
  <c r="R92" i="40" s="1"/>
  <c r="Y92" i="40" s="1"/>
  <c r="O92" i="40"/>
  <c r="AQ95" i="40"/>
  <c r="AT95" i="40" s="1"/>
  <c r="AW95" i="40" s="1"/>
  <c r="H96" i="40"/>
  <c r="AR95" i="40"/>
  <c r="M93" i="40"/>
  <c r="AM93" i="40" s="1"/>
  <c r="AD93" i="40"/>
  <c r="K126" i="39"/>
  <c r="AD126" i="39" s="1"/>
  <c r="AF126" i="39"/>
  <c r="AI126" i="39" s="1"/>
  <c r="AS127" i="39"/>
  <c r="AV127" i="39" s="1"/>
  <c r="AB127" i="39"/>
  <c r="AU127" i="39"/>
  <c r="J127" i="39"/>
  <c r="AZ127" i="39" s="1"/>
  <c r="AP127" i="39" s="1"/>
  <c r="P126" i="39"/>
  <c r="N126" i="39"/>
  <c r="BA125" i="39"/>
  <c r="AI125" i="39"/>
  <c r="Q125" i="39"/>
  <c r="R125" i="39" s="1"/>
  <c r="Y125" i="39" s="1"/>
  <c r="O125" i="39"/>
  <c r="M126" i="39"/>
  <c r="AR128" i="39"/>
  <c r="H129" i="39"/>
  <c r="AQ128" i="39"/>
  <c r="AT128" i="39" s="1"/>
  <c r="AW128" i="39" s="1"/>
  <c r="O124" i="36"/>
  <c r="K126" i="36"/>
  <c r="AD126" i="36" s="1"/>
  <c r="AD125" i="36"/>
  <c r="O125" i="36"/>
  <c r="Q125" i="36"/>
  <c r="R125" i="36" s="1"/>
  <c r="Y125" i="36" s="1"/>
  <c r="AQ128" i="36"/>
  <c r="AT128" i="36" s="1"/>
  <c r="AW128" i="36" s="1"/>
  <c r="H129" i="36"/>
  <c r="AR128" i="36"/>
  <c r="AB128" i="36" s="1"/>
  <c r="AF126" i="36"/>
  <c r="AI126" i="36" s="1"/>
  <c r="N125" i="36"/>
  <c r="BA125" i="36"/>
  <c r="AI125" i="36"/>
  <c r="AU127" i="36"/>
  <c r="AS127" i="36"/>
  <c r="AV127" i="36" s="1"/>
  <c r="J127" i="36"/>
  <c r="AZ127" i="36" s="1"/>
  <c r="AP127" i="36" s="1"/>
  <c r="M125" i="36"/>
  <c r="N97" i="17"/>
  <c r="D98" i="17"/>
  <c r="BA127" i="50" l="1"/>
  <c r="AS129" i="50"/>
  <c r="AV129" i="50" s="1"/>
  <c r="AB129" i="50"/>
  <c r="AU129" i="50"/>
  <c r="J129" i="50"/>
  <c r="AZ129" i="50" s="1"/>
  <c r="AP129" i="50" s="1"/>
  <c r="M127" i="50"/>
  <c r="AD127" i="50"/>
  <c r="AF128" i="50"/>
  <c r="O126" i="50"/>
  <c r="Q126" i="50"/>
  <c r="R126" i="50" s="1"/>
  <c r="Y126" i="50" s="1"/>
  <c r="AI127" i="50"/>
  <c r="K128" i="50"/>
  <c r="Q127" i="50"/>
  <c r="R127" i="50" s="1"/>
  <c r="Y127" i="50" s="1"/>
  <c r="O127" i="50"/>
  <c r="H131" i="50"/>
  <c r="AQ130" i="50"/>
  <c r="AT130" i="50" s="1"/>
  <c r="AW130" i="50" s="1"/>
  <c r="AR130" i="50"/>
  <c r="P128" i="50"/>
  <c r="K95" i="48"/>
  <c r="M94" i="48"/>
  <c r="AQ92" i="48"/>
  <c r="AT92" i="48" s="1"/>
  <c r="AW92" i="48" s="1"/>
  <c r="AR92" i="48"/>
  <c r="O89" i="48"/>
  <c r="Q89" i="48"/>
  <c r="R89" i="48" s="1"/>
  <c r="X89" i="48" s="1"/>
  <c r="AH89" i="48"/>
  <c r="L95" i="48"/>
  <c r="AE90" i="48"/>
  <c r="AC90" i="48"/>
  <c r="AS91" i="48"/>
  <c r="AV91" i="48" s="1"/>
  <c r="AA91" i="48"/>
  <c r="AU91" i="48"/>
  <c r="P90" i="48"/>
  <c r="N90" i="48"/>
  <c r="K94" i="40"/>
  <c r="M94" i="40" s="1"/>
  <c r="AM94" i="40" s="1"/>
  <c r="AU95" i="40"/>
  <c r="AB95" i="40"/>
  <c r="AS95" i="40"/>
  <c r="AV95" i="40" s="1"/>
  <c r="J95" i="40"/>
  <c r="AZ95" i="40" s="1"/>
  <c r="AP95" i="40" s="1"/>
  <c r="AQ96" i="40"/>
  <c r="AT96" i="40" s="1"/>
  <c r="AW96" i="40" s="1"/>
  <c r="H97" i="40"/>
  <c r="AR96" i="40"/>
  <c r="Q93" i="40"/>
  <c r="R93" i="40" s="1"/>
  <c r="Y93" i="40" s="1"/>
  <c r="O93" i="40"/>
  <c r="AD94" i="40"/>
  <c r="N94" i="40"/>
  <c r="P94" i="40"/>
  <c r="L176" i="40"/>
  <c r="K127" i="39"/>
  <c r="Q126" i="39"/>
  <c r="R126" i="39" s="1"/>
  <c r="Y126" i="39" s="1"/>
  <c r="O126" i="39"/>
  <c r="P127" i="39"/>
  <c r="AS128" i="39"/>
  <c r="AV128" i="39" s="1"/>
  <c r="AB128" i="39"/>
  <c r="AU128" i="39"/>
  <c r="J128" i="39"/>
  <c r="AZ128" i="39" s="1"/>
  <c r="AP128" i="39" s="1"/>
  <c r="BA126" i="39"/>
  <c r="AR129" i="39"/>
  <c r="H130" i="39"/>
  <c r="AQ129" i="39"/>
  <c r="AT129" i="39" s="1"/>
  <c r="AW129" i="39" s="1"/>
  <c r="AD127" i="39"/>
  <c r="AF127" i="39"/>
  <c r="P126" i="36"/>
  <c r="Q126" i="36" s="1"/>
  <c r="R126" i="36" s="1"/>
  <c r="Y126" i="36" s="1"/>
  <c r="M126" i="36"/>
  <c r="N126" i="36"/>
  <c r="AQ129" i="36"/>
  <c r="AT129" i="36" s="1"/>
  <c r="AW129" i="36" s="1"/>
  <c r="H130" i="36"/>
  <c r="AR129" i="36"/>
  <c r="AB129" i="36" s="1"/>
  <c r="K127" i="36"/>
  <c r="P127" i="36" s="1"/>
  <c r="AF127" i="36"/>
  <c r="AS128" i="36"/>
  <c r="AV128" i="36" s="1"/>
  <c r="AU128" i="36"/>
  <c r="J128" i="36"/>
  <c r="AZ128" i="36" s="1"/>
  <c r="AP128" i="36" s="1"/>
  <c r="BA126" i="36"/>
  <c r="D99" i="17"/>
  <c r="N98" i="17"/>
  <c r="O128" i="50" l="1"/>
  <c r="Q128" i="50"/>
  <c r="R128" i="50" s="1"/>
  <c r="Y128" i="50" s="1"/>
  <c r="BA128" i="50"/>
  <c r="AD129" i="50"/>
  <c r="AF129" i="50"/>
  <c r="M128" i="50"/>
  <c r="AD128" i="50"/>
  <c r="AS130" i="50"/>
  <c r="AV130" i="50" s="1"/>
  <c r="AU130" i="50"/>
  <c r="AB130" i="50"/>
  <c r="J130" i="50"/>
  <c r="AZ130" i="50" s="1"/>
  <c r="AP130" i="50" s="1"/>
  <c r="K129" i="50"/>
  <c r="N129" i="50" s="1"/>
  <c r="AI128" i="50"/>
  <c r="N128" i="50"/>
  <c r="AQ131" i="50"/>
  <c r="AT131" i="50" s="1"/>
  <c r="AW131" i="50" s="1"/>
  <c r="AR131" i="50"/>
  <c r="H132" i="50"/>
  <c r="M95" i="48"/>
  <c r="K96" i="48"/>
  <c r="AC91" i="48"/>
  <c r="AE91" i="48"/>
  <c r="Q90" i="48"/>
  <c r="R90" i="48" s="1"/>
  <c r="X90" i="48" s="1"/>
  <c r="O90" i="48"/>
  <c r="AH90" i="48"/>
  <c r="AQ93" i="48"/>
  <c r="AT93" i="48" s="1"/>
  <c r="AW93" i="48" s="1"/>
  <c r="AR93" i="48"/>
  <c r="P91" i="48"/>
  <c r="N91" i="48"/>
  <c r="L96" i="48"/>
  <c r="AU92" i="48"/>
  <c r="AA92" i="48"/>
  <c r="AS92" i="48"/>
  <c r="AV92" i="48" s="1"/>
  <c r="AH91" i="48"/>
  <c r="K95" i="40"/>
  <c r="M95" i="40" s="1"/>
  <c r="AM95" i="40" s="1"/>
  <c r="L175" i="40"/>
  <c r="AQ97" i="40"/>
  <c r="AT97" i="40" s="1"/>
  <c r="AW97" i="40" s="1"/>
  <c r="H98" i="40"/>
  <c r="AR97" i="40"/>
  <c r="Q94" i="40"/>
  <c r="R94" i="40" s="1"/>
  <c r="Y94" i="40" s="1"/>
  <c r="O94" i="40"/>
  <c r="AU96" i="40"/>
  <c r="AS96" i="40"/>
  <c r="AV96" i="40" s="1"/>
  <c r="AB96" i="40"/>
  <c r="J96" i="40"/>
  <c r="AZ96" i="40" s="1"/>
  <c r="AP96" i="40" s="1"/>
  <c r="AF128" i="39"/>
  <c r="AS129" i="39"/>
  <c r="AV129" i="39" s="1"/>
  <c r="AB129" i="39"/>
  <c r="AU129" i="39"/>
  <c r="J129" i="39"/>
  <c r="AZ129" i="39" s="1"/>
  <c r="AP129" i="39" s="1"/>
  <c r="BA127" i="39"/>
  <c r="Q127" i="39"/>
  <c r="R127" i="39" s="1"/>
  <c r="Y127" i="39" s="1"/>
  <c r="O127" i="39"/>
  <c r="AI127" i="39"/>
  <c r="M127" i="39"/>
  <c r="AI128" i="39"/>
  <c r="K128" i="39"/>
  <c r="N128" i="39" s="1"/>
  <c r="AR130" i="39"/>
  <c r="AQ130" i="39"/>
  <c r="AT130" i="39" s="1"/>
  <c r="AW130" i="39" s="1"/>
  <c r="H131" i="39"/>
  <c r="N127" i="39"/>
  <c r="O126" i="36"/>
  <c r="N127" i="36"/>
  <c r="AU129" i="36"/>
  <c r="AS129" i="36"/>
  <c r="AV129" i="36" s="1"/>
  <c r="J129" i="36"/>
  <c r="AZ129" i="36" s="1"/>
  <c r="AP129" i="36" s="1"/>
  <c r="AQ130" i="36"/>
  <c r="AT130" i="36" s="1"/>
  <c r="AW130" i="36" s="1"/>
  <c r="H131" i="36"/>
  <c r="AR130" i="36"/>
  <c r="AB130" i="36" s="1"/>
  <c r="K128" i="36"/>
  <c r="AD128" i="36" s="1"/>
  <c r="M127" i="36"/>
  <c r="BA127" i="36"/>
  <c r="AF128" i="36"/>
  <c r="AI128" i="36" s="1"/>
  <c r="O127" i="36"/>
  <c r="Q127" i="36"/>
  <c r="R127" i="36" s="1"/>
  <c r="Y127" i="36" s="1"/>
  <c r="AD127" i="36"/>
  <c r="AI127" i="36"/>
  <c r="D100" i="17"/>
  <c r="N99" i="17"/>
  <c r="K130" i="50" l="1"/>
  <c r="AS131" i="50"/>
  <c r="AV131" i="50" s="1"/>
  <c r="AU131" i="50"/>
  <c r="AB131" i="50"/>
  <c r="J131" i="50"/>
  <c r="AZ131" i="50" s="1"/>
  <c r="AP131" i="50" s="1"/>
  <c r="BA129" i="50"/>
  <c r="H133" i="50"/>
  <c r="AR132" i="50"/>
  <c r="AQ132" i="50"/>
  <c r="AT132" i="50" s="1"/>
  <c r="AW132" i="50" s="1"/>
  <c r="M129" i="50"/>
  <c r="AF130" i="50"/>
  <c r="P129" i="50"/>
  <c r="AI129" i="50"/>
  <c r="K97" i="48"/>
  <c r="M96" i="48"/>
  <c r="AH92" i="48"/>
  <c r="L97" i="48"/>
  <c r="AU93" i="48"/>
  <c r="AA93" i="48"/>
  <c r="AS93" i="48"/>
  <c r="AV93" i="48" s="1"/>
  <c r="AQ94" i="48"/>
  <c r="AT94" i="48" s="1"/>
  <c r="AW94" i="48" s="1"/>
  <c r="AR94" i="48"/>
  <c r="N92" i="48"/>
  <c r="P92" i="48"/>
  <c r="AE92" i="48"/>
  <c r="AC92" i="48"/>
  <c r="O91" i="48"/>
  <c r="Q91" i="48"/>
  <c r="R91" i="48" s="1"/>
  <c r="X91" i="48" s="1"/>
  <c r="P95" i="40"/>
  <c r="Q95" i="40" s="1"/>
  <c r="R95" i="40" s="1"/>
  <c r="Y95" i="40" s="1"/>
  <c r="AD95" i="40"/>
  <c r="N95" i="40"/>
  <c r="AU97" i="40"/>
  <c r="AB97" i="40"/>
  <c r="AS97" i="40"/>
  <c r="AV97" i="40" s="1"/>
  <c r="J97" i="40"/>
  <c r="AZ97" i="40" s="1"/>
  <c r="AP97" i="40" s="1"/>
  <c r="AQ98" i="40"/>
  <c r="AT98" i="40" s="1"/>
  <c r="AW98" i="40" s="1"/>
  <c r="H99" i="40"/>
  <c r="AR98" i="40"/>
  <c r="L174" i="40"/>
  <c r="K96" i="40"/>
  <c r="P96" i="40" s="1"/>
  <c r="K129" i="39"/>
  <c r="AD129" i="39" s="1"/>
  <c r="AF129" i="39"/>
  <c r="M129" i="39"/>
  <c r="N129" i="39"/>
  <c r="AS130" i="39"/>
  <c r="AV130" i="39" s="1"/>
  <c r="AB130" i="39"/>
  <c r="AU130" i="39"/>
  <c r="J130" i="39"/>
  <c r="AZ130" i="39" s="1"/>
  <c r="AP130" i="39" s="1"/>
  <c r="BA128" i="39"/>
  <c r="M128" i="39"/>
  <c r="P128" i="39"/>
  <c r="AI129" i="39"/>
  <c r="H132" i="39"/>
  <c r="AR131" i="39"/>
  <c r="AQ131" i="39"/>
  <c r="AT131" i="39" s="1"/>
  <c r="AW131" i="39" s="1"/>
  <c r="AD128" i="39"/>
  <c r="P128" i="36"/>
  <c r="O128" i="36" s="1"/>
  <c r="M128" i="36"/>
  <c r="AS130" i="36"/>
  <c r="AV130" i="36" s="1"/>
  <c r="AU130" i="36"/>
  <c r="J130" i="36"/>
  <c r="AZ130" i="36" s="1"/>
  <c r="AP130" i="36" s="1"/>
  <c r="K129" i="36"/>
  <c r="AD129" i="36" s="1"/>
  <c r="BA128" i="36"/>
  <c r="N128" i="36"/>
  <c r="AQ131" i="36"/>
  <c r="AT131" i="36" s="1"/>
  <c r="AW131" i="36" s="1"/>
  <c r="H132" i="36"/>
  <c r="AR131" i="36"/>
  <c r="AB131" i="36" s="1"/>
  <c r="AF129" i="36"/>
  <c r="AI129" i="36" s="1"/>
  <c r="D101" i="17"/>
  <c r="N100" i="17"/>
  <c r="O129" i="50" l="1"/>
  <c r="Q129" i="50"/>
  <c r="R129" i="50" s="1"/>
  <c r="BA130" i="50"/>
  <c r="AQ133" i="50"/>
  <c r="AT133" i="50" s="1"/>
  <c r="AW133" i="50" s="1"/>
  <c r="AR133" i="50"/>
  <c r="H134" i="50"/>
  <c r="M130" i="50"/>
  <c r="AD131" i="50"/>
  <c r="AF131" i="50"/>
  <c r="AD130" i="50"/>
  <c r="K131" i="50"/>
  <c r="P130" i="50"/>
  <c r="P131" i="50"/>
  <c r="N131" i="50"/>
  <c r="AS132" i="50"/>
  <c r="AV132" i="50" s="1"/>
  <c r="AB132" i="50"/>
  <c r="AU132" i="50"/>
  <c r="J132" i="50"/>
  <c r="AZ132" i="50" s="1"/>
  <c r="AP132" i="50" s="1"/>
  <c r="N130" i="50"/>
  <c r="AI130" i="50"/>
  <c r="M97" i="48"/>
  <c r="K98" i="48"/>
  <c r="AQ95" i="48"/>
  <c r="AT95" i="48" s="1"/>
  <c r="AW95" i="48" s="1"/>
  <c r="AR95" i="48"/>
  <c r="O92" i="48"/>
  <c r="Q92" i="48"/>
  <c r="R92" i="48" s="1"/>
  <c r="X92" i="48" s="1"/>
  <c r="L98" i="48"/>
  <c r="AS94" i="48"/>
  <c r="AV94" i="48" s="1"/>
  <c r="AA94" i="48"/>
  <c r="AU94" i="48"/>
  <c r="P93" i="48"/>
  <c r="N93" i="48"/>
  <c r="AC93" i="48"/>
  <c r="AE93" i="48"/>
  <c r="O95" i="40"/>
  <c r="K97" i="40"/>
  <c r="N97" i="40" s="1"/>
  <c r="Q96" i="40"/>
  <c r="R96" i="40" s="1"/>
  <c r="Y96" i="40" s="1"/>
  <c r="O96" i="40"/>
  <c r="L173" i="40"/>
  <c r="AU98" i="40"/>
  <c r="AS98" i="40"/>
  <c r="AV98" i="40" s="1"/>
  <c r="AB98" i="40"/>
  <c r="J98" i="40"/>
  <c r="AZ98" i="40" s="1"/>
  <c r="AP98" i="40" s="1"/>
  <c r="M96" i="40"/>
  <c r="AM96" i="40" s="1"/>
  <c r="M97" i="40"/>
  <c r="AM97" i="40" s="1"/>
  <c r="AD96" i="40"/>
  <c r="P97" i="40"/>
  <c r="AQ99" i="40"/>
  <c r="AT99" i="40" s="1"/>
  <c r="AW99" i="40" s="1"/>
  <c r="H100" i="40"/>
  <c r="AR99" i="40"/>
  <c r="AD97" i="40"/>
  <c r="N96" i="40"/>
  <c r="P129" i="39"/>
  <c r="K130" i="39"/>
  <c r="AD130" i="39" s="1"/>
  <c r="AF130" i="39"/>
  <c r="AS131" i="39"/>
  <c r="AV131" i="39" s="1"/>
  <c r="AB131" i="39"/>
  <c r="AU131" i="39"/>
  <c r="J131" i="39"/>
  <c r="AZ131" i="39" s="1"/>
  <c r="AP131" i="39" s="1"/>
  <c r="BA129" i="39"/>
  <c r="AR132" i="39"/>
  <c r="H133" i="39"/>
  <c r="AQ132" i="39"/>
  <c r="AT132" i="39" s="1"/>
  <c r="AW132" i="39" s="1"/>
  <c r="P130" i="39"/>
  <c r="N130" i="39"/>
  <c r="AI130" i="39"/>
  <c r="Q129" i="39"/>
  <c r="R129" i="39" s="1"/>
  <c r="Y129" i="39" s="1"/>
  <c r="O129" i="39"/>
  <c r="Q128" i="39"/>
  <c r="R128" i="39" s="1"/>
  <c r="O128" i="39"/>
  <c r="Q128" i="36"/>
  <c r="R128" i="36" s="1"/>
  <c r="Y128" i="36" s="1"/>
  <c r="AF130" i="36"/>
  <c r="AI130" i="36" s="1"/>
  <c r="AQ132" i="36"/>
  <c r="AT132" i="36" s="1"/>
  <c r="AW132" i="36" s="1"/>
  <c r="H133" i="36"/>
  <c r="AR132" i="36"/>
  <c r="AB132" i="36" s="1"/>
  <c r="M129" i="36"/>
  <c r="BA129" i="36"/>
  <c r="N129" i="36"/>
  <c r="AU131" i="36"/>
  <c r="AS131" i="36"/>
  <c r="AV131" i="36" s="1"/>
  <c r="J131" i="36"/>
  <c r="AZ131" i="36" s="1"/>
  <c r="AP131" i="36" s="1"/>
  <c r="P129" i="36"/>
  <c r="K130" i="36"/>
  <c r="P130" i="36" s="1"/>
  <c r="D102" i="17"/>
  <c r="N101" i="17"/>
  <c r="AS133" i="50" l="1"/>
  <c r="AV133" i="50" s="1"/>
  <c r="AB133" i="50"/>
  <c r="AU133" i="50"/>
  <c r="K133" i="50"/>
  <c r="J133" i="50"/>
  <c r="AZ133" i="50" s="1"/>
  <c r="AP133" i="50" s="1"/>
  <c r="K132" i="50"/>
  <c r="BA131" i="50"/>
  <c r="AF132" i="50"/>
  <c r="O130" i="50"/>
  <c r="Q130" i="50"/>
  <c r="R130" i="50" s="1"/>
  <c r="Y130" i="50" s="1"/>
  <c r="P132" i="50"/>
  <c r="M131" i="50"/>
  <c r="Y129" i="50"/>
  <c r="Q131" i="50"/>
  <c r="R131" i="50" s="1"/>
  <c r="Y131" i="50" s="1"/>
  <c r="O131" i="50"/>
  <c r="AI131" i="50"/>
  <c r="AQ134" i="50"/>
  <c r="AT134" i="50" s="1"/>
  <c r="AW134" i="50" s="1"/>
  <c r="H135" i="50"/>
  <c r="AR134" i="50"/>
  <c r="K99" i="48"/>
  <c r="M98" i="48"/>
  <c r="AU95" i="48"/>
  <c r="AA95" i="48"/>
  <c r="AS95" i="48"/>
  <c r="AV95" i="48" s="1"/>
  <c r="L99" i="48"/>
  <c r="AQ96" i="48"/>
  <c r="AT96" i="48" s="1"/>
  <c r="AW96" i="48" s="1"/>
  <c r="AR96" i="48"/>
  <c r="P94" i="48"/>
  <c r="N94" i="48"/>
  <c r="Q93" i="48"/>
  <c r="R93" i="48" s="1"/>
  <c r="X93" i="48" s="1"/>
  <c r="O93" i="48"/>
  <c r="AH93" i="48"/>
  <c r="AE94" i="48"/>
  <c r="AC94" i="48"/>
  <c r="K98" i="40"/>
  <c r="L172" i="40"/>
  <c r="AD98" i="40"/>
  <c r="AU99" i="40"/>
  <c r="AS99" i="40"/>
  <c r="AV99" i="40" s="1"/>
  <c r="AB99" i="40"/>
  <c r="J99" i="40"/>
  <c r="AZ99" i="40" s="1"/>
  <c r="AP99" i="40" s="1"/>
  <c r="N98" i="40"/>
  <c r="P98" i="40"/>
  <c r="M98" i="40"/>
  <c r="AM98" i="40" s="1"/>
  <c r="Q97" i="40"/>
  <c r="R97" i="40" s="1"/>
  <c r="Y97" i="40" s="1"/>
  <c r="O97" i="40"/>
  <c r="AQ100" i="40"/>
  <c r="AT100" i="40" s="1"/>
  <c r="AW100" i="40" s="1"/>
  <c r="H101" i="40"/>
  <c r="AR100" i="40"/>
  <c r="M130" i="39"/>
  <c r="AF131" i="39"/>
  <c r="AI131" i="39" s="1"/>
  <c r="Q130" i="39"/>
  <c r="R130" i="39" s="1"/>
  <c r="Y130" i="39" s="1"/>
  <c r="O130" i="39"/>
  <c r="BA130" i="39"/>
  <c r="H134" i="39"/>
  <c r="AQ133" i="39"/>
  <c r="AT133" i="39" s="1"/>
  <c r="AW133" i="39" s="1"/>
  <c r="AR133" i="39"/>
  <c r="Y128" i="39"/>
  <c r="AU132" i="39"/>
  <c r="AS132" i="39"/>
  <c r="AV132" i="39" s="1"/>
  <c r="AB132" i="39"/>
  <c r="J132" i="39"/>
  <c r="AZ132" i="39" s="1"/>
  <c r="AP132" i="39" s="1"/>
  <c r="K131" i="39"/>
  <c r="N131" i="39" s="1"/>
  <c r="AD130" i="36"/>
  <c r="N130" i="36"/>
  <c r="O130" i="36"/>
  <c r="Q130" i="36"/>
  <c r="R130" i="36" s="1"/>
  <c r="Y130" i="36" s="1"/>
  <c r="K131" i="36"/>
  <c r="P131" i="36" s="1"/>
  <c r="AQ133" i="36"/>
  <c r="AT133" i="36" s="1"/>
  <c r="AW133" i="36" s="1"/>
  <c r="H134" i="36"/>
  <c r="AR133" i="36"/>
  <c r="AB133" i="36" s="1"/>
  <c r="O129" i="36"/>
  <c r="Q129" i="36"/>
  <c r="R129" i="36" s="1"/>
  <c r="Y129" i="36" s="1"/>
  <c r="BA130" i="36"/>
  <c r="M130" i="36"/>
  <c r="AF131" i="36"/>
  <c r="AI131" i="36" s="1"/>
  <c r="AS132" i="36"/>
  <c r="AV132" i="36" s="1"/>
  <c r="AU132" i="36"/>
  <c r="J132" i="36"/>
  <c r="AZ132" i="36" s="1"/>
  <c r="AP132" i="36" s="1"/>
  <c r="D103" i="17"/>
  <c r="N102" i="17"/>
  <c r="O132" i="50" l="1"/>
  <c r="Q132" i="50"/>
  <c r="R132" i="50" s="1"/>
  <c r="Y132" i="50" s="1"/>
  <c r="BA132" i="50"/>
  <c r="M132" i="50"/>
  <c r="N132" i="50"/>
  <c r="AD132" i="50"/>
  <c r="AI132" i="50"/>
  <c r="M133" i="50"/>
  <c r="AS134" i="50"/>
  <c r="AV134" i="50" s="1"/>
  <c r="AB134" i="50"/>
  <c r="AU134" i="50"/>
  <c r="J134" i="50"/>
  <c r="AZ134" i="50" s="1"/>
  <c r="AP134" i="50" s="1"/>
  <c r="AD133" i="50"/>
  <c r="AF133" i="50"/>
  <c r="H136" i="50"/>
  <c r="AR135" i="50"/>
  <c r="AQ135" i="50"/>
  <c r="AT135" i="50" s="1"/>
  <c r="AW135" i="50" s="1"/>
  <c r="P133" i="50"/>
  <c r="N133" i="50"/>
  <c r="K100" i="48"/>
  <c r="M99" i="48"/>
  <c r="P95" i="48"/>
  <c r="N95" i="48"/>
  <c r="AC95" i="48"/>
  <c r="AE95" i="48"/>
  <c r="O94" i="48"/>
  <c r="Q94" i="48"/>
  <c r="R94" i="48" s="1"/>
  <c r="X94" i="48" s="1"/>
  <c r="AQ97" i="48"/>
  <c r="AT97" i="48" s="1"/>
  <c r="AW97" i="48" s="1"/>
  <c r="AR97" i="48"/>
  <c r="L100" i="48"/>
  <c r="AU96" i="48"/>
  <c r="AA96" i="48"/>
  <c r="AS96" i="48"/>
  <c r="AV96" i="48" s="1"/>
  <c r="AH94" i="48"/>
  <c r="K99" i="40"/>
  <c r="L171" i="40"/>
  <c r="AU100" i="40"/>
  <c r="AS100" i="40"/>
  <c r="AV100" i="40" s="1"/>
  <c r="AB100" i="40"/>
  <c r="J100" i="40"/>
  <c r="AZ100" i="40" s="1"/>
  <c r="AP100" i="40" s="1"/>
  <c r="AQ101" i="40"/>
  <c r="AT101" i="40" s="1"/>
  <c r="AW101" i="40" s="1"/>
  <c r="H102" i="40"/>
  <c r="AR101" i="40"/>
  <c r="M99" i="40"/>
  <c r="AM99" i="40" s="1"/>
  <c r="AD99" i="40"/>
  <c r="Q98" i="40"/>
  <c r="R98" i="40" s="1"/>
  <c r="Y98" i="40" s="1"/>
  <c r="O98" i="40"/>
  <c r="N99" i="40"/>
  <c r="P99" i="40"/>
  <c r="P131" i="39"/>
  <c r="K132" i="39"/>
  <c r="N132" i="39" s="1"/>
  <c r="Q131" i="39"/>
  <c r="R131" i="39" s="1"/>
  <c r="Y131" i="39" s="1"/>
  <c r="O131" i="39"/>
  <c r="AD131" i="39"/>
  <c r="AU133" i="39"/>
  <c r="AS133" i="39"/>
  <c r="AV133" i="39" s="1"/>
  <c r="AB133" i="39"/>
  <c r="J133" i="39"/>
  <c r="AZ133" i="39" s="1"/>
  <c r="AP133" i="39" s="1"/>
  <c r="AF132" i="39"/>
  <c r="AI132" i="39" s="1"/>
  <c r="H135" i="39"/>
  <c r="AR134" i="39"/>
  <c r="AQ134" i="39"/>
  <c r="AT134" i="39" s="1"/>
  <c r="AW134" i="39" s="1"/>
  <c r="M131" i="39"/>
  <c r="BA131" i="39"/>
  <c r="AD131" i="36"/>
  <c r="O131" i="36"/>
  <c r="Q131" i="36"/>
  <c r="R131" i="36" s="1"/>
  <c r="Y131" i="36" s="1"/>
  <c r="N131" i="36"/>
  <c r="M131" i="36"/>
  <c r="AS133" i="36"/>
  <c r="AV133" i="36" s="1"/>
  <c r="AU133" i="36"/>
  <c r="J133" i="36"/>
  <c r="AZ133" i="36" s="1"/>
  <c r="AP133" i="36" s="1"/>
  <c r="AF132" i="36"/>
  <c r="BA131" i="36"/>
  <c r="K132" i="36"/>
  <c r="AD132" i="36" s="1"/>
  <c r="AQ134" i="36"/>
  <c r="AT134" i="36" s="1"/>
  <c r="AW134" i="36" s="1"/>
  <c r="H135" i="36"/>
  <c r="AR134" i="36"/>
  <c r="AB134" i="36" s="1"/>
  <c r="N103" i="17"/>
  <c r="D104" i="17"/>
  <c r="AF134" i="50" l="1"/>
  <c r="AI134" i="50"/>
  <c r="H137" i="50"/>
  <c r="AQ136" i="50"/>
  <c r="AT136" i="50" s="1"/>
  <c r="AW136" i="50" s="1"/>
  <c r="AR136" i="50"/>
  <c r="BA133" i="50"/>
  <c r="K134" i="50"/>
  <c r="AI133" i="50"/>
  <c r="AS135" i="50"/>
  <c r="AV135" i="50" s="1"/>
  <c r="AB135" i="50"/>
  <c r="AU135" i="50"/>
  <c r="K135" i="50"/>
  <c r="J135" i="50"/>
  <c r="AZ135" i="50" s="1"/>
  <c r="AP135" i="50" s="1"/>
  <c r="Q133" i="50"/>
  <c r="R133" i="50" s="1"/>
  <c r="Y133" i="50" s="1"/>
  <c r="O133" i="50"/>
  <c r="P134" i="50"/>
  <c r="N134" i="50"/>
  <c r="K101" i="48"/>
  <c r="M100" i="48"/>
  <c r="P96" i="48"/>
  <c r="N96" i="48"/>
  <c r="L101" i="48"/>
  <c r="AE96" i="48"/>
  <c r="AH96" i="48" s="1"/>
  <c r="AC96" i="48"/>
  <c r="O95" i="48"/>
  <c r="Q95" i="48"/>
  <c r="R95" i="48" s="1"/>
  <c r="X95" i="48" s="1"/>
  <c r="AU97" i="48"/>
  <c r="AA97" i="48"/>
  <c r="AS97" i="48"/>
  <c r="AV97" i="48" s="1"/>
  <c r="AR98" i="48"/>
  <c r="AQ98" i="48"/>
  <c r="AT98" i="48" s="1"/>
  <c r="AW98" i="48" s="1"/>
  <c r="AH95" i="48"/>
  <c r="Q99" i="40"/>
  <c r="R99" i="40" s="1"/>
  <c r="Y99" i="40" s="1"/>
  <c r="O99" i="40"/>
  <c r="L170" i="40"/>
  <c r="AU101" i="40"/>
  <c r="AB101" i="40"/>
  <c r="AS101" i="40"/>
  <c r="AV101" i="40" s="1"/>
  <c r="K101" i="40" s="1"/>
  <c r="J101" i="40"/>
  <c r="AZ101" i="40" s="1"/>
  <c r="AP101" i="40" s="1"/>
  <c r="AQ102" i="40"/>
  <c r="AT102" i="40" s="1"/>
  <c r="AW102" i="40" s="1"/>
  <c r="H103" i="40"/>
  <c r="AR102" i="40"/>
  <c r="K100" i="40"/>
  <c r="AD100" i="40" s="1"/>
  <c r="AD132" i="39"/>
  <c r="AQ135" i="39"/>
  <c r="AT135" i="39" s="1"/>
  <c r="AW135" i="39" s="1"/>
  <c r="H136" i="39"/>
  <c r="AR135" i="39"/>
  <c r="AB134" i="39"/>
  <c r="AU134" i="39"/>
  <c r="AS134" i="39"/>
  <c r="AV134" i="39" s="1"/>
  <c r="J134" i="39"/>
  <c r="AZ134" i="39" s="1"/>
  <c r="AP134" i="39" s="1"/>
  <c r="AF133" i="39"/>
  <c r="AI133" i="39" s="1"/>
  <c r="K133" i="39"/>
  <c r="AD133" i="39" s="1"/>
  <c r="BA132" i="39"/>
  <c r="M132" i="39"/>
  <c r="P132" i="39"/>
  <c r="AQ135" i="36"/>
  <c r="AT135" i="36" s="1"/>
  <c r="AW135" i="36" s="1"/>
  <c r="H136" i="36"/>
  <c r="AR135" i="36"/>
  <c r="AB135" i="36" s="1"/>
  <c r="AF133" i="36"/>
  <c r="M132" i="36"/>
  <c r="BA132" i="36"/>
  <c r="AI132" i="36"/>
  <c r="N132" i="36"/>
  <c r="K133" i="36"/>
  <c r="P132" i="36"/>
  <c r="AS134" i="36"/>
  <c r="AV134" i="36" s="1"/>
  <c r="AU134" i="36"/>
  <c r="J134" i="36"/>
  <c r="AZ134" i="36" s="1"/>
  <c r="AP134" i="36" s="1"/>
  <c r="D105" i="17"/>
  <c r="N104" i="17"/>
  <c r="M134" i="50" l="1"/>
  <c r="AQ137" i="50"/>
  <c r="AT137" i="50" s="1"/>
  <c r="AW137" i="50" s="1"/>
  <c r="AR137" i="50"/>
  <c r="H138" i="50"/>
  <c r="Q134" i="50"/>
  <c r="R134" i="50" s="1"/>
  <c r="Y134" i="50" s="1"/>
  <c r="O134" i="50"/>
  <c r="M135" i="50"/>
  <c r="AD135" i="50"/>
  <c r="AF135" i="50"/>
  <c r="AI135" i="50" s="1"/>
  <c r="BA134" i="50"/>
  <c r="N135" i="50"/>
  <c r="P135" i="50"/>
  <c r="AS136" i="50"/>
  <c r="AV136" i="50" s="1"/>
  <c r="AB136" i="50"/>
  <c r="K136" i="50"/>
  <c r="AU136" i="50"/>
  <c r="J136" i="50"/>
  <c r="AZ136" i="50" s="1"/>
  <c r="AP136" i="50" s="1"/>
  <c r="AD134" i="50"/>
  <c r="M101" i="48"/>
  <c r="K102" i="48"/>
  <c r="AS98" i="48"/>
  <c r="AV98" i="48" s="1"/>
  <c r="AA98" i="48"/>
  <c r="AU98" i="48"/>
  <c r="Q96" i="48"/>
  <c r="R96" i="48" s="1"/>
  <c r="X96" i="48" s="1"/>
  <c r="O96" i="48"/>
  <c r="AQ99" i="48"/>
  <c r="AT99" i="48" s="1"/>
  <c r="AW99" i="48" s="1"/>
  <c r="AR99" i="48"/>
  <c r="P97" i="48"/>
  <c r="N97" i="48"/>
  <c r="L102" i="48"/>
  <c r="AC97" i="48"/>
  <c r="AE97" i="48"/>
  <c r="M100" i="40"/>
  <c r="AM100" i="40" s="1"/>
  <c r="N101" i="40"/>
  <c r="P101" i="40"/>
  <c r="L169" i="40"/>
  <c r="M101" i="40"/>
  <c r="AM101" i="40" s="1"/>
  <c r="AU102" i="40"/>
  <c r="AB102" i="40"/>
  <c r="AS102" i="40"/>
  <c r="AV102" i="40" s="1"/>
  <c r="J102" i="40"/>
  <c r="AZ102" i="40" s="1"/>
  <c r="AP102" i="40" s="1"/>
  <c r="AD101" i="40"/>
  <c r="P100" i="40"/>
  <c r="AQ103" i="40"/>
  <c r="AT103" i="40" s="1"/>
  <c r="AW103" i="40" s="1"/>
  <c r="H104" i="40"/>
  <c r="AR103" i="40"/>
  <c r="N100" i="40"/>
  <c r="N133" i="39"/>
  <c r="K134" i="39"/>
  <c r="P133" i="39"/>
  <c r="AU135" i="39"/>
  <c r="AS135" i="39"/>
  <c r="AV135" i="39" s="1"/>
  <c r="AB135" i="39"/>
  <c r="J135" i="39"/>
  <c r="AZ135" i="39" s="1"/>
  <c r="AP135" i="39" s="1"/>
  <c r="M133" i="39"/>
  <c r="AR136" i="39"/>
  <c r="H137" i="39"/>
  <c r="AQ136" i="39"/>
  <c r="AT136" i="39" s="1"/>
  <c r="AW136" i="39" s="1"/>
  <c r="O132" i="39"/>
  <c r="Q132" i="39"/>
  <c r="R132" i="39" s="1"/>
  <c r="BA133" i="39"/>
  <c r="AF134" i="39"/>
  <c r="M133" i="36"/>
  <c r="AD133" i="36"/>
  <c r="AF134" i="36"/>
  <c r="N133" i="36"/>
  <c r="O132" i="36"/>
  <c r="Q132" i="36"/>
  <c r="R132" i="36" s="1"/>
  <c r="Y132" i="36" s="1"/>
  <c r="BA133" i="36"/>
  <c r="AS135" i="36"/>
  <c r="AV135" i="36" s="1"/>
  <c r="AU135" i="36"/>
  <c r="J135" i="36"/>
  <c r="AZ135" i="36" s="1"/>
  <c r="AP135" i="36" s="1"/>
  <c r="K134" i="36"/>
  <c r="P134" i="36" s="1"/>
  <c r="P133" i="36"/>
  <c r="AI133" i="36"/>
  <c r="AQ136" i="36"/>
  <c r="AT136" i="36" s="1"/>
  <c r="AW136" i="36" s="1"/>
  <c r="H137" i="36"/>
  <c r="AR136" i="36"/>
  <c r="AB136" i="36" s="1"/>
  <c r="D106" i="17"/>
  <c r="N105" i="17"/>
  <c r="AS137" i="50" l="1"/>
  <c r="AV137" i="50" s="1"/>
  <c r="K137" i="50"/>
  <c r="AB137" i="50"/>
  <c r="AU137" i="50"/>
  <c r="J137" i="50"/>
  <c r="AZ137" i="50" s="1"/>
  <c r="AP137" i="50" s="1"/>
  <c r="AD136" i="50"/>
  <c r="AF136" i="50"/>
  <c r="M136" i="50"/>
  <c r="P136" i="50"/>
  <c r="N136" i="50"/>
  <c r="O135" i="50"/>
  <c r="Q135" i="50"/>
  <c r="R135" i="50" s="1"/>
  <c r="Y135" i="50" s="1"/>
  <c r="AI136" i="50"/>
  <c r="BA135" i="50"/>
  <c r="H139" i="50"/>
  <c r="AR138" i="50"/>
  <c r="AQ138" i="50"/>
  <c r="AT138" i="50" s="1"/>
  <c r="AW138" i="50" s="1"/>
  <c r="K103" i="48"/>
  <c r="M102" i="48"/>
  <c r="Q97" i="48"/>
  <c r="R97" i="48" s="1"/>
  <c r="X97" i="48" s="1"/>
  <c r="O97" i="48"/>
  <c r="AU99" i="48"/>
  <c r="AA99" i="48"/>
  <c r="AS99" i="48"/>
  <c r="AV99" i="48" s="1"/>
  <c r="AH97" i="48"/>
  <c r="AE98" i="48"/>
  <c r="AC98" i="48"/>
  <c r="L103" i="48"/>
  <c r="AQ100" i="48"/>
  <c r="AT100" i="48" s="1"/>
  <c r="AW100" i="48" s="1"/>
  <c r="AR100" i="48"/>
  <c r="P98" i="48"/>
  <c r="N98" i="48"/>
  <c r="K102" i="40"/>
  <c r="AU103" i="40"/>
  <c r="AB103" i="40"/>
  <c r="AS103" i="40"/>
  <c r="AV103" i="40" s="1"/>
  <c r="J103" i="40"/>
  <c r="AZ103" i="40" s="1"/>
  <c r="AP103" i="40" s="1"/>
  <c r="N102" i="40"/>
  <c r="P102" i="40"/>
  <c r="Q101" i="40"/>
  <c r="R101" i="40" s="1"/>
  <c r="Y101" i="40" s="1"/>
  <c r="O101" i="40"/>
  <c r="AQ104" i="40"/>
  <c r="AT104" i="40" s="1"/>
  <c r="AW104" i="40" s="1"/>
  <c r="H105" i="40"/>
  <c r="AR104" i="40"/>
  <c r="Q100" i="40"/>
  <c r="R100" i="40" s="1"/>
  <c r="Y100" i="40" s="1"/>
  <c r="O100" i="40"/>
  <c r="AD102" i="40"/>
  <c r="L168" i="40"/>
  <c r="K135" i="39"/>
  <c r="BA134" i="39"/>
  <c r="AU136" i="39"/>
  <c r="AS136" i="39"/>
  <c r="AV136" i="39" s="1"/>
  <c r="AB136" i="39"/>
  <c r="J136" i="39"/>
  <c r="AZ136" i="39" s="1"/>
  <c r="AP136" i="39" s="1"/>
  <c r="AD135" i="39"/>
  <c r="AF135" i="39"/>
  <c r="M134" i="39"/>
  <c r="P135" i="39"/>
  <c r="N135" i="39"/>
  <c r="M135" i="39"/>
  <c r="Y132" i="39"/>
  <c r="AR137" i="39"/>
  <c r="H138" i="39"/>
  <c r="AQ137" i="39"/>
  <c r="AT137" i="39" s="1"/>
  <c r="AW137" i="39" s="1"/>
  <c r="Q133" i="39"/>
  <c r="R133" i="39" s="1"/>
  <c r="Y133" i="39" s="1"/>
  <c r="O133" i="39"/>
  <c r="AD134" i="39"/>
  <c r="P134" i="39"/>
  <c r="AI134" i="39"/>
  <c r="AI135" i="39"/>
  <c r="N134" i="39"/>
  <c r="O134" i="36"/>
  <c r="Q134" i="36"/>
  <c r="R134" i="36" s="1"/>
  <c r="Y134" i="36" s="1"/>
  <c r="AQ137" i="36"/>
  <c r="AT137" i="36" s="1"/>
  <c r="AW137" i="36" s="1"/>
  <c r="H138" i="36"/>
  <c r="AR137" i="36"/>
  <c r="AB137" i="36" s="1"/>
  <c r="BA134" i="36"/>
  <c r="M134" i="36"/>
  <c r="K135" i="36"/>
  <c r="P135" i="36" s="1"/>
  <c r="O133" i="36"/>
  <c r="Q133" i="36"/>
  <c r="R133" i="36" s="1"/>
  <c r="Y133" i="36" s="1"/>
  <c r="N134" i="36"/>
  <c r="AS136" i="36"/>
  <c r="AV136" i="36" s="1"/>
  <c r="AU136" i="36"/>
  <c r="J136" i="36"/>
  <c r="AZ136" i="36" s="1"/>
  <c r="AP136" i="36" s="1"/>
  <c r="AF135" i="36"/>
  <c r="AI135" i="36" s="1"/>
  <c r="AD134" i="36"/>
  <c r="AI134" i="36"/>
  <c r="D107" i="17"/>
  <c r="N106" i="17"/>
  <c r="AD137" i="50" l="1"/>
  <c r="AF137" i="50"/>
  <c r="H140" i="50"/>
  <c r="AQ139" i="50"/>
  <c r="AT139" i="50" s="1"/>
  <c r="AW139" i="50" s="1"/>
  <c r="AR139" i="50"/>
  <c r="M137" i="50"/>
  <c r="BA136" i="50"/>
  <c r="N137" i="50"/>
  <c r="P137" i="50"/>
  <c r="AS138" i="50"/>
  <c r="AV138" i="50" s="1"/>
  <c r="AB138" i="50"/>
  <c r="AU138" i="50"/>
  <c r="J138" i="50"/>
  <c r="AZ138" i="50" s="1"/>
  <c r="AP138" i="50" s="1"/>
  <c r="O136" i="50"/>
  <c r="Q136" i="50"/>
  <c r="R136" i="50" s="1"/>
  <c r="Y136" i="50" s="1"/>
  <c r="M103" i="48"/>
  <c r="K104" i="48"/>
  <c r="AU100" i="48"/>
  <c r="AA100" i="48"/>
  <c r="AS100" i="48"/>
  <c r="AV100" i="48" s="1"/>
  <c r="N99" i="48"/>
  <c r="P99" i="48"/>
  <c r="AR101" i="48"/>
  <c r="AQ101" i="48"/>
  <c r="AT101" i="48" s="1"/>
  <c r="AW101" i="48" s="1"/>
  <c r="AC99" i="48"/>
  <c r="AE99" i="48"/>
  <c r="AH99" i="48" s="1"/>
  <c r="Q98" i="48"/>
  <c r="R98" i="48" s="1"/>
  <c r="X98" i="48" s="1"/>
  <c r="O98" i="48"/>
  <c r="L104" i="48"/>
  <c r="AH98" i="48"/>
  <c r="AU104" i="40"/>
  <c r="AS104" i="40"/>
  <c r="AV104" i="40" s="1"/>
  <c r="AB104" i="40"/>
  <c r="J104" i="40"/>
  <c r="AZ104" i="40" s="1"/>
  <c r="AP104" i="40" s="1"/>
  <c r="Q102" i="40"/>
  <c r="R102" i="40" s="1"/>
  <c r="Y102" i="40" s="1"/>
  <c r="O102" i="40"/>
  <c r="AQ105" i="40"/>
  <c r="AT105" i="40" s="1"/>
  <c r="AW105" i="40" s="1"/>
  <c r="H106" i="40"/>
  <c r="AR105" i="40"/>
  <c r="K103" i="40"/>
  <c r="N103" i="40" s="1"/>
  <c r="L167" i="40"/>
  <c r="M102" i="40"/>
  <c r="AM102" i="40" s="1"/>
  <c r="K136" i="39"/>
  <c r="AD136" i="39" s="1"/>
  <c r="AF136" i="39"/>
  <c r="AR138" i="39"/>
  <c r="H139" i="39"/>
  <c r="AQ138" i="39"/>
  <c r="AT138" i="39" s="1"/>
  <c r="AW138" i="39" s="1"/>
  <c r="BA135" i="39"/>
  <c r="P136" i="39"/>
  <c r="O134" i="39"/>
  <c r="Q134" i="39"/>
  <c r="R134" i="39" s="1"/>
  <c r="Y134" i="39" s="1"/>
  <c r="AU137" i="39"/>
  <c r="AS137" i="39"/>
  <c r="AV137" i="39" s="1"/>
  <c r="AB137" i="39"/>
  <c r="J137" i="39"/>
  <c r="AZ137" i="39" s="1"/>
  <c r="AP137" i="39" s="1"/>
  <c r="O135" i="39"/>
  <c r="Q135" i="39"/>
  <c r="R135" i="39" s="1"/>
  <c r="Y135" i="39" s="1"/>
  <c r="AI136" i="39"/>
  <c r="N135" i="36"/>
  <c r="M135" i="36"/>
  <c r="AD135" i="36"/>
  <c r="AQ138" i="36"/>
  <c r="AT138" i="36" s="1"/>
  <c r="AW138" i="36" s="1"/>
  <c r="H139" i="36"/>
  <c r="AR138" i="36"/>
  <c r="AB138" i="36" s="1"/>
  <c r="BA135" i="36"/>
  <c r="K136" i="36"/>
  <c r="O135" i="36"/>
  <c r="Q135" i="36"/>
  <c r="R135" i="36" s="1"/>
  <c r="Y135" i="36" s="1"/>
  <c r="AF136" i="36"/>
  <c r="AI136" i="36" s="1"/>
  <c r="AS137" i="36"/>
  <c r="AV137" i="36" s="1"/>
  <c r="AU137" i="36"/>
  <c r="J137" i="36"/>
  <c r="AZ137" i="36" s="1"/>
  <c r="AP137" i="36" s="1"/>
  <c r="N107" i="17"/>
  <c r="D108" i="17"/>
  <c r="AQ140" i="50" l="1"/>
  <c r="AT140" i="50" s="1"/>
  <c r="AW140" i="50" s="1"/>
  <c r="AR140" i="50"/>
  <c r="H141" i="50"/>
  <c r="BA137" i="50"/>
  <c r="K138" i="50"/>
  <c r="AF138" i="50"/>
  <c r="AI138" i="50" s="1"/>
  <c r="AI137" i="50"/>
  <c r="O137" i="50"/>
  <c r="Q137" i="50"/>
  <c r="R137" i="50" s="1"/>
  <c r="Y137" i="50" s="1"/>
  <c r="AS139" i="50"/>
  <c r="AV139" i="50" s="1"/>
  <c r="AU139" i="50"/>
  <c r="AB139" i="50"/>
  <c r="J139" i="50"/>
  <c r="AZ139" i="50" s="1"/>
  <c r="AP139" i="50" s="1"/>
  <c r="M104" i="48"/>
  <c r="K105" i="48"/>
  <c r="AR102" i="48"/>
  <c r="AQ102" i="48"/>
  <c r="AT102" i="48" s="1"/>
  <c r="AW102" i="48" s="1"/>
  <c r="P100" i="48"/>
  <c r="N100" i="48"/>
  <c r="AS101" i="48"/>
  <c r="AV101" i="48" s="1"/>
  <c r="AA101" i="48"/>
  <c r="AU101" i="48"/>
  <c r="AC100" i="48"/>
  <c r="AE100" i="48"/>
  <c r="AH100" i="48" s="1"/>
  <c r="L105" i="48"/>
  <c r="O99" i="48"/>
  <c r="Q99" i="48"/>
  <c r="R99" i="48" s="1"/>
  <c r="X99" i="48" s="1"/>
  <c r="P103" i="40"/>
  <c r="L166" i="40"/>
  <c r="M103" i="40"/>
  <c r="AM103" i="40" s="1"/>
  <c r="K104" i="40"/>
  <c r="AD103" i="40"/>
  <c r="AU105" i="40"/>
  <c r="AS105" i="40"/>
  <c r="AV105" i="40" s="1"/>
  <c r="AB105" i="40"/>
  <c r="J105" i="40"/>
  <c r="AZ105" i="40" s="1"/>
  <c r="AP105" i="40" s="1"/>
  <c r="Q103" i="40"/>
  <c r="R103" i="40" s="1"/>
  <c r="Y103" i="40" s="1"/>
  <c r="O103" i="40"/>
  <c r="AQ106" i="40"/>
  <c r="AT106" i="40" s="1"/>
  <c r="AW106" i="40" s="1"/>
  <c r="H107" i="40"/>
  <c r="AR106" i="40"/>
  <c r="N136" i="39"/>
  <c r="BA136" i="39"/>
  <c r="K137" i="39"/>
  <c r="N137" i="39" s="1"/>
  <c r="Q136" i="39"/>
  <c r="R136" i="39" s="1"/>
  <c r="Y136" i="39" s="1"/>
  <c r="O136" i="39"/>
  <c r="AR139" i="39"/>
  <c r="H140" i="39"/>
  <c r="AQ139" i="39"/>
  <c r="AT139" i="39" s="1"/>
  <c r="AW139" i="39" s="1"/>
  <c r="AU138" i="39"/>
  <c r="AS138" i="39"/>
  <c r="AV138" i="39" s="1"/>
  <c r="AB138" i="39"/>
  <c r="J138" i="39"/>
  <c r="AZ138" i="39" s="1"/>
  <c r="AP138" i="39" s="1"/>
  <c r="AF137" i="39"/>
  <c r="M136" i="39"/>
  <c r="AQ139" i="36"/>
  <c r="AT139" i="36" s="1"/>
  <c r="AW139" i="36" s="1"/>
  <c r="H140" i="36"/>
  <c r="AR139" i="36"/>
  <c r="AB139" i="36" s="1"/>
  <c r="M136" i="36"/>
  <c r="K137" i="36"/>
  <c r="AD137" i="36" s="1"/>
  <c r="BA136" i="36"/>
  <c r="AF137" i="36"/>
  <c r="AI137" i="36" s="1"/>
  <c r="AD136" i="36"/>
  <c r="N136" i="36"/>
  <c r="AS138" i="36"/>
  <c r="AV138" i="36" s="1"/>
  <c r="AU138" i="36"/>
  <c r="J138" i="36"/>
  <c r="AZ138" i="36" s="1"/>
  <c r="AP138" i="36" s="1"/>
  <c r="P136" i="36"/>
  <c r="D109" i="17"/>
  <c r="N108" i="17"/>
  <c r="M138" i="50" l="1"/>
  <c r="AD139" i="50"/>
  <c r="AF139" i="50"/>
  <c r="K139" i="50"/>
  <c r="BA138" i="50"/>
  <c r="N139" i="50"/>
  <c r="H142" i="50"/>
  <c r="AQ141" i="50"/>
  <c r="AT141" i="50" s="1"/>
  <c r="AW141" i="50" s="1"/>
  <c r="AR141" i="50"/>
  <c r="P138" i="50"/>
  <c r="AD138" i="50"/>
  <c r="AS140" i="50"/>
  <c r="AV140" i="50" s="1"/>
  <c r="AU140" i="50"/>
  <c r="AB140" i="50"/>
  <c r="J140" i="50"/>
  <c r="AZ140" i="50" s="1"/>
  <c r="AP140" i="50" s="1"/>
  <c r="N138" i="50"/>
  <c r="M105" i="48"/>
  <c r="K106" i="48"/>
  <c r="AE101" i="48"/>
  <c r="AH101" i="48" s="1"/>
  <c r="AC101" i="48"/>
  <c r="Q100" i="48"/>
  <c r="R100" i="48" s="1"/>
  <c r="X100" i="48" s="1"/>
  <c r="O100" i="48"/>
  <c r="L106" i="48"/>
  <c r="AU102" i="48"/>
  <c r="AA102" i="48"/>
  <c r="AS102" i="48"/>
  <c r="AV102" i="48" s="1"/>
  <c r="N101" i="48"/>
  <c r="P101" i="48"/>
  <c r="AQ103" i="48"/>
  <c r="AT103" i="48" s="1"/>
  <c r="AW103" i="48" s="1"/>
  <c r="AR103" i="48"/>
  <c r="M104" i="40"/>
  <c r="AM104" i="40" s="1"/>
  <c r="AD104" i="40"/>
  <c r="P104" i="40"/>
  <c r="N104" i="40"/>
  <c r="AU106" i="40"/>
  <c r="AS106" i="40"/>
  <c r="AV106" i="40" s="1"/>
  <c r="AB106" i="40"/>
  <c r="J106" i="40"/>
  <c r="AZ106" i="40" s="1"/>
  <c r="AP106" i="40" s="1"/>
  <c r="K105" i="40"/>
  <c r="P105" i="40" s="1"/>
  <c r="L165" i="40"/>
  <c r="AQ107" i="40"/>
  <c r="AT107" i="40" s="1"/>
  <c r="AW107" i="40" s="1"/>
  <c r="H108" i="40"/>
  <c r="AR107" i="40"/>
  <c r="AD137" i="39"/>
  <c r="P137" i="39"/>
  <c r="Q137" i="39" s="1"/>
  <c r="R137" i="39" s="1"/>
  <c r="Y137" i="39" s="1"/>
  <c r="O137" i="39"/>
  <c r="M137" i="39"/>
  <c r="BA137" i="39"/>
  <c r="AI137" i="39"/>
  <c r="K138" i="39"/>
  <c r="AU139" i="39"/>
  <c r="AS139" i="39"/>
  <c r="AV139" i="39" s="1"/>
  <c r="AB139" i="39"/>
  <c r="J139" i="39"/>
  <c r="AZ139" i="39" s="1"/>
  <c r="AP139" i="39" s="1"/>
  <c r="AI138" i="39"/>
  <c r="AD138" i="39"/>
  <c r="AF138" i="39"/>
  <c r="AR140" i="39"/>
  <c r="H141" i="39"/>
  <c r="AQ140" i="39"/>
  <c r="AT140" i="39" s="1"/>
  <c r="AW140" i="39" s="1"/>
  <c r="N138" i="39"/>
  <c r="N137" i="36"/>
  <c r="K138" i="36"/>
  <c r="P138" i="36" s="1"/>
  <c r="AS139" i="36"/>
  <c r="AV139" i="36" s="1"/>
  <c r="AU139" i="36"/>
  <c r="J139" i="36"/>
  <c r="AZ139" i="36" s="1"/>
  <c r="AP139" i="36" s="1"/>
  <c r="M137" i="36"/>
  <c r="AQ140" i="36"/>
  <c r="AT140" i="36" s="1"/>
  <c r="AW140" i="36" s="1"/>
  <c r="H141" i="36"/>
  <c r="AR140" i="36"/>
  <c r="AB140" i="36" s="1"/>
  <c r="O136" i="36"/>
  <c r="Q136" i="36"/>
  <c r="R136" i="36" s="1"/>
  <c r="Y136" i="36" s="1"/>
  <c r="BA137" i="36"/>
  <c r="AF138" i="36"/>
  <c r="AI138" i="36" s="1"/>
  <c r="P137" i="36"/>
  <c r="N109" i="17"/>
  <c r="D110" i="17"/>
  <c r="Q138" i="50" l="1"/>
  <c r="R138" i="50" s="1"/>
  <c r="Y138" i="50" s="1"/>
  <c r="O138" i="50"/>
  <c r="AS141" i="50"/>
  <c r="AV141" i="50" s="1"/>
  <c r="AB141" i="50"/>
  <c r="AU141" i="50"/>
  <c r="K141" i="50"/>
  <c r="J141" i="50"/>
  <c r="AZ141" i="50" s="1"/>
  <c r="AP141" i="50" s="1"/>
  <c r="K140" i="50"/>
  <c r="AR142" i="50"/>
  <c r="AQ142" i="50"/>
  <c r="AT142" i="50" s="1"/>
  <c r="AW142" i="50" s="1"/>
  <c r="H143" i="50"/>
  <c r="BA139" i="50"/>
  <c r="AD140" i="50"/>
  <c r="AF140" i="50"/>
  <c r="M139" i="50"/>
  <c r="AI139" i="50"/>
  <c r="P139" i="50"/>
  <c r="M106" i="48"/>
  <c r="K107" i="48"/>
  <c r="M107" i="48" s="1"/>
  <c r="AR104" i="48"/>
  <c r="AQ104" i="48"/>
  <c r="AT104" i="48" s="1"/>
  <c r="AW104" i="48" s="1"/>
  <c r="Q101" i="48"/>
  <c r="R101" i="48" s="1"/>
  <c r="X101" i="48" s="1"/>
  <c r="O101" i="48"/>
  <c r="N102" i="48"/>
  <c r="P102" i="48"/>
  <c r="AE102" i="48"/>
  <c r="AC102" i="48"/>
  <c r="AU103" i="48"/>
  <c r="AA103" i="48"/>
  <c r="AS103" i="48"/>
  <c r="AV103" i="48" s="1"/>
  <c r="L107" i="48"/>
  <c r="Q105" i="40"/>
  <c r="R105" i="40" s="1"/>
  <c r="Y105" i="40" s="1"/>
  <c r="O105" i="40"/>
  <c r="AQ108" i="40"/>
  <c r="AT108" i="40" s="1"/>
  <c r="AW108" i="40" s="1"/>
  <c r="H109" i="40"/>
  <c r="AR108" i="40"/>
  <c r="N105" i="40"/>
  <c r="Q104" i="40"/>
  <c r="R104" i="40" s="1"/>
  <c r="Y104" i="40" s="1"/>
  <c r="O104" i="40"/>
  <c r="AD105" i="40"/>
  <c r="M105" i="40"/>
  <c r="AM105" i="40" s="1"/>
  <c r="AU107" i="40"/>
  <c r="AB107" i="40"/>
  <c r="AS107" i="40"/>
  <c r="AV107" i="40" s="1"/>
  <c r="J107" i="40"/>
  <c r="AZ107" i="40" s="1"/>
  <c r="AP107" i="40" s="1"/>
  <c r="L164" i="40"/>
  <c r="K106" i="40"/>
  <c r="P106" i="40" s="1"/>
  <c r="M138" i="39"/>
  <c r="AU140" i="39"/>
  <c r="AS140" i="39"/>
  <c r="AV140" i="39" s="1"/>
  <c r="AB140" i="39"/>
  <c r="J140" i="39"/>
  <c r="AZ140" i="39" s="1"/>
  <c r="AP140" i="39" s="1"/>
  <c r="AF139" i="39"/>
  <c r="AI139" i="39" s="1"/>
  <c r="AR141" i="39"/>
  <c r="H142" i="39"/>
  <c r="AQ141" i="39"/>
  <c r="AT141" i="39" s="1"/>
  <c r="AW141" i="39" s="1"/>
  <c r="P138" i="39"/>
  <c r="BA138" i="39"/>
  <c r="K139" i="39"/>
  <c r="AD138" i="36"/>
  <c r="N138" i="36"/>
  <c r="M138" i="36"/>
  <c r="O137" i="36"/>
  <c r="Q137" i="36"/>
  <c r="R137" i="36" s="1"/>
  <c r="K139" i="36"/>
  <c r="AF139" i="36"/>
  <c r="BA138" i="36"/>
  <c r="AS140" i="36"/>
  <c r="AV140" i="36" s="1"/>
  <c r="AU140" i="36"/>
  <c r="J140" i="36"/>
  <c r="AZ140" i="36" s="1"/>
  <c r="AP140" i="36" s="1"/>
  <c r="H142" i="36"/>
  <c r="AR141" i="36"/>
  <c r="AB141" i="36" s="1"/>
  <c r="AQ141" i="36"/>
  <c r="AT141" i="36" s="1"/>
  <c r="AW141" i="36" s="1"/>
  <c r="O138" i="36"/>
  <c r="Q138" i="36"/>
  <c r="R138" i="36" s="1"/>
  <c r="Y138" i="36" s="1"/>
  <c r="D111" i="17"/>
  <c r="N110" i="17"/>
  <c r="AS142" i="50" l="1"/>
  <c r="AV142" i="50" s="1"/>
  <c r="AU142" i="50"/>
  <c r="AB142" i="50"/>
  <c r="J142" i="50"/>
  <c r="AZ142" i="50" s="1"/>
  <c r="AP142" i="50" s="1"/>
  <c r="Q139" i="50"/>
  <c r="R139" i="50" s="1"/>
  <c r="O139" i="50"/>
  <c r="N141" i="50"/>
  <c r="P141" i="50"/>
  <c r="BA140" i="50"/>
  <c r="M141" i="50"/>
  <c r="M140" i="50"/>
  <c r="AD141" i="50"/>
  <c r="AF141" i="50"/>
  <c r="N140" i="50"/>
  <c r="P140" i="50"/>
  <c r="AI140" i="50"/>
  <c r="AQ143" i="50"/>
  <c r="AT143" i="50" s="1"/>
  <c r="AW143" i="50" s="1"/>
  <c r="H148" i="50"/>
  <c r="AR143" i="50"/>
  <c r="AI141" i="50"/>
  <c r="P103" i="48"/>
  <c r="N103" i="48"/>
  <c r="O102" i="48"/>
  <c r="Q102" i="48"/>
  <c r="R102" i="48" s="1"/>
  <c r="X102" i="48" s="1"/>
  <c r="AR105" i="48"/>
  <c r="AQ105" i="48"/>
  <c r="AT105" i="48" s="1"/>
  <c r="AW105" i="48" s="1"/>
  <c r="AC103" i="48"/>
  <c r="AE103" i="48"/>
  <c r="AH103" i="48" s="1"/>
  <c r="AH102" i="48"/>
  <c r="AS104" i="48"/>
  <c r="AV104" i="48" s="1"/>
  <c r="AU104" i="48"/>
  <c r="AA104" i="48"/>
  <c r="K107" i="40"/>
  <c r="AD106" i="40"/>
  <c r="AQ109" i="40"/>
  <c r="AT109" i="40" s="1"/>
  <c r="AW109" i="40" s="1"/>
  <c r="H110" i="40"/>
  <c r="AR109" i="40"/>
  <c r="M106" i="40"/>
  <c r="AM106" i="40" s="1"/>
  <c r="N106" i="40"/>
  <c r="AU108" i="40"/>
  <c r="AB108" i="40"/>
  <c r="AS108" i="40"/>
  <c r="AV108" i="40" s="1"/>
  <c r="J108" i="40"/>
  <c r="AZ108" i="40" s="1"/>
  <c r="AP108" i="40" s="1"/>
  <c r="Q106" i="40"/>
  <c r="R106" i="40" s="1"/>
  <c r="Y106" i="40" s="1"/>
  <c r="O106" i="40"/>
  <c r="AD107" i="40"/>
  <c r="M107" i="40"/>
  <c r="AM107" i="40" s="1"/>
  <c r="L163" i="40"/>
  <c r="N107" i="40"/>
  <c r="P107" i="40"/>
  <c r="M139" i="39"/>
  <c r="AU141" i="39"/>
  <c r="AS141" i="39"/>
  <c r="AV141" i="39" s="1"/>
  <c r="AB141" i="39"/>
  <c r="J141" i="39"/>
  <c r="AZ141" i="39" s="1"/>
  <c r="AP141" i="39" s="1"/>
  <c r="AF140" i="39"/>
  <c r="AR142" i="39"/>
  <c r="H143" i="39"/>
  <c r="AQ142" i="39"/>
  <c r="AT142" i="39" s="1"/>
  <c r="AW142" i="39" s="1"/>
  <c r="K140" i="39"/>
  <c r="AD140" i="39" s="1"/>
  <c r="P139" i="39"/>
  <c r="BA139" i="39"/>
  <c r="N139" i="39"/>
  <c r="Q138" i="39"/>
  <c r="R138" i="39" s="1"/>
  <c r="O138" i="39"/>
  <c r="AD139" i="39"/>
  <c r="AR142" i="36"/>
  <c r="AB142" i="36" s="1"/>
  <c r="H143" i="36"/>
  <c r="AQ142" i="36"/>
  <c r="AT142" i="36" s="1"/>
  <c r="AW142" i="36" s="1"/>
  <c r="Y137" i="36"/>
  <c r="K140" i="36"/>
  <c r="AD140" i="36" s="1"/>
  <c r="M139" i="36"/>
  <c r="BA139" i="36"/>
  <c r="N139" i="36"/>
  <c r="AF140" i="36"/>
  <c r="AD139" i="36"/>
  <c r="AS141" i="36"/>
  <c r="AV141" i="36" s="1"/>
  <c r="AU141" i="36"/>
  <c r="J141" i="36"/>
  <c r="AZ141" i="36" s="1"/>
  <c r="AP141" i="36" s="1"/>
  <c r="P139" i="36"/>
  <c r="AI139" i="36"/>
  <c r="D112" i="17"/>
  <c r="N111" i="17"/>
  <c r="Y139" i="50" l="1"/>
  <c r="Q140" i="50"/>
  <c r="R140" i="50" s="1"/>
  <c r="Y140" i="50" s="1"/>
  <c r="O140" i="50"/>
  <c r="AS143" i="50"/>
  <c r="AV143" i="50" s="1"/>
  <c r="AB143" i="50"/>
  <c r="AU143" i="50"/>
  <c r="J143" i="50"/>
  <c r="AZ143" i="50" s="1"/>
  <c r="AP143" i="50" s="1"/>
  <c r="K142" i="50"/>
  <c r="AR148" i="50"/>
  <c r="H149" i="50"/>
  <c r="AQ148" i="50"/>
  <c r="AT148" i="50" s="1"/>
  <c r="AW148" i="50" s="1"/>
  <c r="O141" i="50"/>
  <c r="Q141" i="50"/>
  <c r="R141" i="50" s="1"/>
  <c r="Y141" i="50" s="1"/>
  <c r="AF142" i="50"/>
  <c r="AI142" i="50"/>
  <c r="BA141" i="50"/>
  <c r="N142" i="50"/>
  <c r="AE104" i="48"/>
  <c r="AC104" i="48"/>
  <c r="P104" i="48"/>
  <c r="N104" i="48"/>
  <c r="AU105" i="48"/>
  <c r="AA105" i="48"/>
  <c r="AS105" i="48"/>
  <c r="AV105" i="48" s="1"/>
  <c r="AQ106" i="48"/>
  <c r="AT106" i="48" s="1"/>
  <c r="AW106" i="48" s="1"/>
  <c r="AR106" i="48"/>
  <c r="Q103" i="48"/>
  <c r="R103" i="48" s="1"/>
  <c r="X103" i="48" s="1"/>
  <c r="O103" i="48"/>
  <c r="K108" i="40"/>
  <c r="L162" i="40"/>
  <c r="AU109" i="40"/>
  <c r="AB109" i="40"/>
  <c r="AS109" i="40"/>
  <c r="AV109" i="40" s="1"/>
  <c r="J109" i="40"/>
  <c r="AZ109" i="40" s="1"/>
  <c r="AP109" i="40" s="1"/>
  <c r="M108" i="40"/>
  <c r="AM108" i="40" s="1"/>
  <c r="AQ110" i="40"/>
  <c r="AT110" i="40" s="1"/>
  <c r="AW110" i="40" s="1"/>
  <c r="H111" i="40"/>
  <c r="AR110" i="40"/>
  <c r="AD108" i="40"/>
  <c r="Q107" i="40"/>
  <c r="R107" i="40" s="1"/>
  <c r="Y107" i="40" s="1"/>
  <c r="O107" i="40"/>
  <c r="N108" i="40"/>
  <c r="P108" i="40"/>
  <c r="P140" i="39"/>
  <c r="N140" i="39"/>
  <c r="BA140" i="39"/>
  <c r="Y138" i="39"/>
  <c r="Q140" i="39"/>
  <c r="R140" i="39" s="1"/>
  <c r="Y140" i="39" s="1"/>
  <c r="O140" i="39"/>
  <c r="M140" i="39"/>
  <c r="Q139" i="39"/>
  <c r="R139" i="39" s="1"/>
  <c r="Y139" i="39" s="1"/>
  <c r="O139" i="39"/>
  <c r="H148" i="39"/>
  <c r="AR143" i="39"/>
  <c r="AQ143" i="39"/>
  <c r="AT143" i="39" s="1"/>
  <c r="AW143" i="39" s="1"/>
  <c r="AF141" i="39"/>
  <c r="AI140" i="39"/>
  <c r="AU142" i="39"/>
  <c r="AS142" i="39"/>
  <c r="AV142" i="39" s="1"/>
  <c r="AB142" i="39"/>
  <c r="J142" i="39"/>
  <c r="AZ142" i="39" s="1"/>
  <c r="AP142" i="39" s="1"/>
  <c r="K141" i="39"/>
  <c r="N141" i="39" s="1"/>
  <c r="P140" i="36"/>
  <c r="O140" i="36" s="1"/>
  <c r="N140" i="36"/>
  <c r="AR143" i="36"/>
  <c r="AB143" i="36" s="1"/>
  <c r="AQ143" i="36"/>
  <c r="AT143" i="36" s="1"/>
  <c r="AW143" i="36" s="1"/>
  <c r="H148" i="36"/>
  <c r="K141" i="36"/>
  <c r="AD141" i="36" s="1"/>
  <c r="AS142" i="36"/>
  <c r="AV142" i="36" s="1"/>
  <c r="AU142" i="36"/>
  <c r="J142" i="36"/>
  <c r="AZ142" i="36" s="1"/>
  <c r="AP142" i="36" s="1"/>
  <c r="O139" i="36"/>
  <c r="Q139" i="36"/>
  <c r="R139" i="36" s="1"/>
  <c r="Y139" i="36" s="1"/>
  <c r="BA140" i="36"/>
  <c r="AF141" i="36"/>
  <c r="AI141" i="36" s="1"/>
  <c r="M140" i="36"/>
  <c r="AI140" i="36"/>
  <c r="D113" i="17"/>
  <c r="N112" i="17"/>
  <c r="M142" i="50" l="1"/>
  <c r="AD143" i="50"/>
  <c r="AF143" i="50"/>
  <c r="P142" i="50"/>
  <c r="BA142" i="50"/>
  <c r="AR149" i="50"/>
  <c r="H150" i="50"/>
  <c r="AQ149" i="50"/>
  <c r="AT149" i="50" s="1"/>
  <c r="AW149" i="50" s="1"/>
  <c r="K143" i="50"/>
  <c r="AD142" i="50"/>
  <c r="J148" i="50"/>
  <c r="AZ148" i="50" s="1"/>
  <c r="AP148" i="50" s="1"/>
  <c r="AS148" i="50"/>
  <c r="AV148" i="50" s="1"/>
  <c r="AU148" i="50"/>
  <c r="AB148" i="50"/>
  <c r="K148" i="50"/>
  <c r="P143" i="50"/>
  <c r="N143" i="50"/>
  <c r="N105" i="48"/>
  <c r="P105" i="48"/>
  <c r="AE105" i="48"/>
  <c r="AC105" i="48"/>
  <c r="AR107" i="48"/>
  <c r="AQ107" i="48"/>
  <c r="AT107" i="48" s="1"/>
  <c r="AW107" i="48" s="1"/>
  <c r="Q104" i="48"/>
  <c r="R104" i="48" s="1"/>
  <c r="X104" i="48" s="1"/>
  <c r="O104" i="48"/>
  <c r="AH104" i="48"/>
  <c r="AU106" i="48"/>
  <c r="AA106" i="48"/>
  <c r="AS106" i="48"/>
  <c r="AV106" i="48" s="1"/>
  <c r="Q108" i="40"/>
  <c r="R108" i="40" s="1"/>
  <c r="Y108" i="40" s="1"/>
  <c r="O108" i="40"/>
  <c r="AQ111" i="40"/>
  <c r="AT111" i="40" s="1"/>
  <c r="AW111" i="40" s="1"/>
  <c r="H112" i="40"/>
  <c r="AR111" i="40"/>
  <c r="K109" i="40"/>
  <c r="L161" i="40"/>
  <c r="AU110" i="40"/>
  <c r="AS110" i="40"/>
  <c r="AV110" i="40" s="1"/>
  <c r="AB110" i="40"/>
  <c r="J110" i="40"/>
  <c r="AZ110" i="40" s="1"/>
  <c r="AP110" i="40" s="1"/>
  <c r="AD141" i="39"/>
  <c r="BA141" i="39"/>
  <c r="AF142" i="39"/>
  <c r="P141" i="39"/>
  <c r="K142" i="39"/>
  <c r="AD142" i="39" s="1"/>
  <c r="AI141" i="39"/>
  <c r="AU143" i="39"/>
  <c r="AS143" i="39"/>
  <c r="AV143" i="39" s="1"/>
  <c r="AB143" i="39"/>
  <c r="J143" i="39"/>
  <c r="AZ143" i="39" s="1"/>
  <c r="AP143" i="39" s="1"/>
  <c r="N142" i="39"/>
  <c r="M141" i="39"/>
  <c r="AR148" i="39"/>
  <c r="AQ148" i="39"/>
  <c r="AT148" i="39" s="1"/>
  <c r="AW148" i="39" s="1"/>
  <c r="H149" i="39"/>
  <c r="Q140" i="36"/>
  <c r="R140" i="36" s="1"/>
  <c r="Y140" i="36" s="1"/>
  <c r="M141" i="36"/>
  <c r="AR148" i="36"/>
  <c r="AB148" i="36" s="1"/>
  <c r="H149" i="36"/>
  <c r="AQ148" i="36"/>
  <c r="AT148" i="36" s="1"/>
  <c r="AW148" i="36" s="1"/>
  <c r="AF142" i="36"/>
  <c r="AS143" i="36"/>
  <c r="AV143" i="36" s="1"/>
  <c r="AU143" i="36"/>
  <c r="J143" i="36"/>
  <c r="AZ143" i="36" s="1"/>
  <c r="AP143" i="36" s="1"/>
  <c r="N141" i="36"/>
  <c r="BA141" i="36"/>
  <c r="K142" i="36"/>
  <c r="AD142" i="36" s="1"/>
  <c r="P141" i="36"/>
  <c r="D114" i="17"/>
  <c r="N113" i="17"/>
  <c r="BA143" i="50" l="1"/>
  <c r="M148" i="50"/>
  <c r="AM148" i="50" s="1"/>
  <c r="AI143" i="50"/>
  <c r="AD148" i="50"/>
  <c r="O143" i="50"/>
  <c r="Q143" i="50"/>
  <c r="R143" i="50" s="1"/>
  <c r="Y143" i="50" s="1"/>
  <c r="M143" i="50"/>
  <c r="N148" i="50"/>
  <c r="P148" i="50"/>
  <c r="AR150" i="50"/>
  <c r="H151" i="50"/>
  <c r="AQ150" i="50"/>
  <c r="AT150" i="50" s="1"/>
  <c r="AW150" i="50" s="1"/>
  <c r="Q142" i="50"/>
  <c r="R142" i="50" s="1"/>
  <c r="O142" i="50"/>
  <c r="AU149" i="50"/>
  <c r="AS149" i="50"/>
  <c r="AV149" i="50" s="1"/>
  <c r="AB149" i="50"/>
  <c r="J149" i="50"/>
  <c r="AZ149" i="50" s="1"/>
  <c r="AP149" i="50" s="1"/>
  <c r="P106" i="48"/>
  <c r="N106" i="48"/>
  <c r="AC106" i="48"/>
  <c r="AE106" i="48"/>
  <c r="O105" i="48"/>
  <c r="Q105" i="48"/>
  <c r="R105" i="48" s="1"/>
  <c r="X105" i="48" s="1"/>
  <c r="AS107" i="48"/>
  <c r="AV107" i="48" s="1"/>
  <c r="AU107" i="48"/>
  <c r="AA107" i="48"/>
  <c r="AH105" i="48"/>
  <c r="M109" i="40"/>
  <c r="AM109" i="40" s="1"/>
  <c r="AQ112" i="40"/>
  <c r="AT112" i="40" s="1"/>
  <c r="AW112" i="40" s="1"/>
  <c r="H113" i="40"/>
  <c r="AR112" i="40"/>
  <c r="K110" i="40"/>
  <c r="P110" i="40" s="1"/>
  <c r="AD109" i="40"/>
  <c r="L160" i="40"/>
  <c r="P109" i="40"/>
  <c r="AU111" i="40"/>
  <c r="AS111" i="40"/>
  <c r="AV111" i="40" s="1"/>
  <c r="AB111" i="40"/>
  <c r="J111" i="40"/>
  <c r="AZ111" i="40" s="1"/>
  <c r="AP111" i="40" s="1"/>
  <c r="N109" i="40"/>
  <c r="BA142" i="39"/>
  <c r="J148" i="39"/>
  <c r="AZ148" i="39" s="1"/>
  <c r="AP148" i="39" s="1"/>
  <c r="AB148" i="39"/>
  <c r="AU148" i="39"/>
  <c r="AS148" i="39"/>
  <c r="AV148" i="39" s="1"/>
  <c r="AI142" i="39"/>
  <c r="M142" i="39"/>
  <c r="AF143" i="39"/>
  <c r="AI143" i="39" s="1"/>
  <c r="Q141" i="39"/>
  <c r="R141" i="39" s="1"/>
  <c r="O141" i="39"/>
  <c r="AR149" i="39"/>
  <c r="AQ149" i="39"/>
  <c r="AT149" i="39" s="1"/>
  <c r="AW149" i="39" s="1"/>
  <c r="H150" i="39"/>
  <c r="P142" i="39"/>
  <c r="K143" i="39"/>
  <c r="P143" i="39" s="1"/>
  <c r="P142" i="36"/>
  <c r="Q142" i="36" s="1"/>
  <c r="R142" i="36" s="1"/>
  <c r="Y142" i="36" s="1"/>
  <c r="AF143" i="36"/>
  <c r="AI143" i="36" s="1"/>
  <c r="K143" i="36"/>
  <c r="AD143" i="36" s="1"/>
  <c r="O141" i="36"/>
  <c r="Q141" i="36"/>
  <c r="R141" i="36" s="1"/>
  <c r="Y141" i="36" s="1"/>
  <c r="BA142" i="36"/>
  <c r="AR149" i="36"/>
  <c r="AB149" i="36" s="1"/>
  <c r="AQ149" i="36"/>
  <c r="AT149" i="36" s="1"/>
  <c r="AW149" i="36" s="1"/>
  <c r="H150" i="36"/>
  <c r="J148" i="36"/>
  <c r="AZ148" i="36" s="1"/>
  <c r="AP148" i="36" s="1"/>
  <c r="AS148" i="36"/>
  <c r="AV148" i="36" s="1"/>
  <c r="AU148" i="36"/>
  <c r="M142" i="36"/>
  <c r="AI142" i="36"/>
  <c r="N142" i="36"/>
  <c r="D115" i="17"/>
  <c r="N114" i="17"/>
  <c r="Y142" i="50" l="1"/>
  <c r="P149" i="50"/>
  <c r="N149" i="50"/>
  <c r="K150" i="50"/>
  <c r="AB150" i="50"/>
  <c r="AS150" i="50"/>
  <c r="AV150" i="50" s="1"/>
  <c r="AU150" i="50"/>
  <c r="J150" i="50"/>
  <c r="AZ150" i="50" s="1"/>
  <c r="AP150" i="50" s="1"/>
  <c r="Q148" i="50"/>
  <c r="R148" i="50" s="1"/>
  <c r="Y148" i="50" s="1"/>
  <c r="O148" i="50"/>
  <c r="K149" i="50"/>
  <c r="AR151" i="50"/>
  <c r="AQ151" i="50"/>
  <c r="AT151" i="50" s="1"/>
  <c r="AW151" i="50" s="1"/>
  <c r="H152" i="50"/>
  <c r="AE107" i="48"/>
  <c r="AC107" i="48"/>
  <c r="P107" i="48"/>
  <c r="N107" i="48"/>
  <c r="Q106" i="48"/>
  <c r="R106" i="48" s="1"/>
  <c r="X106" i="48" s="1"/>
  <c r="O106" i="48"/>
  <c r="AH106" i="48"/>
  <c r="K111" i="40"/>
  <c r="Q110" i="40"/>
  <c r="R110" i="40" s="1"/>
  <c r="Y110" i="40" s="1"/>
  <c r="O110" i="40"/>
  <c r="M111" i="40"/>
  <c r="AM111" i="40" s="1"/>
  <c r="L159" i="40"/>
  <c r="AQ113" i="40"/>
  <c r="AT113" i="40" s="1"/>
  <c r="AW113" i="40" s="1"/>
  <c r="H114" i="40"/>
  <c r="AR113" i="40"/>
  <c r="AD111" i="40"/>
  <c r="N111" i="40"/>
  <c r="P111" i="40"/>
  <c r="Q109" i="40"/>
  <c r="R109" i="40" s="1"/>
  <c r="Y109" i="40" s="1"/>
  <c r="O109" i="40"/>
  <c r="M110" i="40"/>
  <c r="AM110" i="40" s="1"/>
  <c r="AU112" i="40"/>
  <c r="AS112" i="40"/>
  <c r="AV112" i="40" s="1"/>
  <c r="AB112" i="40"/>
  <c r="J112" i="40"/>
  <c r="AZ112" i="40" s="1"/>
  <c r="AP112" i="40" s="1"/>
  <c r="N110" i="40"/>
  <c r="AD110" i="40"/>
  <c r="Q143" i="39"/>
  <c r="R143" i="39" s="1"/>
  <c r="Y143" i="39" s="1"/>
  <c r="O143" i="39"/>
  <c r="AB149" i="39"/>
  <c r="AU149" i="39"/>
  <c r="AS149" i="39"/>
  <c r="AV149" i="39" s="1"/>
  <c r="J149" i="39"/>
  <c r="AZ149" i="39" s="1"/>
  <c r="AP149" i="39" s="1"/>
  <c r="M143" i="39"/>
  <c r="N143" i="39"/>
  <c r="BA143" i="39"/>
  <c r="Y141" i="39"/>
  <c r="Q142" i="39"/>
  <c r="R142" i="39" s="1"/>
  <c r="O142" i="39"/>
  <c r="AR150" i="39"/>
  <c r="AQ150" i="39"/>
  <c r="AT150" i="39" s="1"/>
  <c r="AW150" i="39" s="1"/>
  <c r="H151" i="39"/>
  <c r="AD143" i="39"/>
  <c r="K148" i="39"/>
  <c r="O142" i="36"/>
  <c r="K148" i="36"/>
  <c r="P148" i="36" s="1"/>
  <c r="P143" i="36"/>
  <c r="Q143" i="36" s="1"/>
  <c r="R143" i="36" s="1"/>
  <c r="Y143" i="36" s="1"/>
  <c r="N143" i="36"/>
  <c r="AU149" i="36"/>
  <c r="AS149" i="36"/>
  <c r="AV149" i="36" s="1"/>
  <c r="J149" i="36"/>
  <c r="AZ149" i="36" s="1"/>
  <c r="AP149" i="36" s="1"/>
  <c r="BA143" i="36"/>
  <c r="AR150" i="36"/>
  <c r="AB150" i="36" s="1"/>
  <c r="H151" i="36"/>
  <c r="AQ150" i="36"/>
  <c r="AT150" i="36" s="1"/>
  <c r="AW150" i="36" s="1"/>
  <c r="M143" i="36"/>
  <c r="N115" i="17"/>
  <c r="D116" i="17"/>
  <c r="Q149" i="50" l="1"/>
  <c r="R149" i="50" s="1"/>
  <c r="Y149" i="50" s="1"/>
  <c r="O149" i="50"/>
  <c r="AS151" i="50"/>
  <c r="AV151" i="50" s="1"/>
  <c r="K151" i="50" s="1"/>
  <c r="AU151" i="50"/>
  <c r="J151" i="50"/>
  <c r="AZ151" i="50" s="1"/>
  <c r="AP151" i="50" s="1"/>
  <c r="AB151" i="50"/>
  <c r="M150" i="50"/>
  <c r="AM150" i="50" s="1"/>
  <c r="M149" i="50"/>
  <c r="AM149" i="50" s="1"/>
  <c r="P150" i="50"/>
  <c r="N150" i="50"/>
  <c r="AD149" i="50"/>
  <c r="AR152" i="50"/>
  <c r="H153" i="50"/>
  <c r="AQ152" i="50"/>
  <c r="AT152" i="50" s="1"/>
  <c r="AW152" i="50" s="1"/>
  <c r="AD150" i="50"/>
  <c r="Q107" i="48"/>
  <c r="R107" i="48" s="1"/>
  <c r="X107" i="48" s="1"/>
  <c r="O107" i="48"/>
  <c r="AH107" i="48"/>
  <c r="Q111" i="40"/>
  <c r="R111" i="40" s="1"/>
  <c r="Y111" i="40" s="1"/>
  <c r="O111" i="40"/>
  <c r="AU113" i="40"/>
  <c r="AB113" i="40"/>
  <c r="AS113" i="40"/>
  <c r="AV113" i="40" s="1"/>
  <c r="J113" i="40"/>
  <c r="AZ113" i="40" s="1"/>
  <c r="AP113" i="40" s="1"/>
  <c r="K112" i="40"/>
  <c r="AQ114" i="40"/>
  <c r="AT114" i="40" s="1"/>
  <c r="AW114" i="40" s="1"/>
  <c r="H115" i="40"/>
  <c r="AR114" i="40"/>
  <c r="L158" i="40"/>
  <c r="M148" i="39"/>
  <c r="AM148" i="39" s="1"/>
  <c r="Y142" i="39"/>
  <c r="AR151" i="39"/>
  <c r="AQ151" i="39"/>
  <c r="AT151" i="39" s="1"/>
  <c r="AW151" i="39" s="1"/>
  <c r="H152" i="39"/>
  <c r="N148" i="39"/>
  <c r="AD148" i="39"/>
  <c r="K149" i="39"/>
  <c r="AD149" i="39" s="1"/>
  <c r="P148" i="39"/>
  <c r="AB150" i="39"/>
  <c r="AU150" i="39"/>
  <c r="AS150" i="39"/>
  <c r="AV150" i="39" s="1"/>
  <c r="J150" i="39"/>
  <c r="AZ150" i="39" s="1"/>
  <c r="AP150" i="39" s="1"/>
  <c r="P149" i="39"/>
  <c r="O143" i="36"/>
  <c r="M148" i="36"/>
  <c r="AM148" i="36" s="1"/>
  <c r="AD148" i="36"/>
  <c r="N148" i="36"/>
  <c r="AS150" i="36"/>
  <c r="AV150" i="36" s="1"/>
  <c r="AU150" i="36"/>
  <c r="J150" i="36"/>
  <c r="AZ150" i="36" s="1"/>
  <c r="AP150" i="36" s="1"/>
  <c r="Q148" i="36"/>
  <c r="R148" i="36" s="1"/>
  <c r="Y148" i="36" s="1"/>
  <c r="O148" i="36"/>
  <c r="K149" i="36"/>
  <c r="AR151" i="36"/>
  <c r="AB151" i="36" s="1"/>
  <c r="H152" i="36"/>
  <c r="AQ151" i="36"/>
  <c r="AT151" i="36" s="1"/>
  <c r="AW151" i="36" s="1"/>
  <c r="D117" i="17"/>
  <c r="N116" i="17"/>
  <c r="M151" i="50" l="1"/>
  <c r="AM151" i="50" s="1"/>
  <c r="K152" i="50"/>
  <c r="AU152" i="50"/>
  <c r="AB152" i="50"/>
  <c r="AS152" i="50"/>
  <c r="AV152" i="50" s="1"/>
  <c r="J152" i="50"/>
  <c r="AZ152" i="50" s="1"/>
  <c r="AP152" i="50" s="1"/>
  <c r="Q150" i="50"/>
  <c r="R150" i="50" s="1"/>
  <c r="Y150" i="50" s="1"/>
  <c r="O150" i="50"/>
  <c r="P151" i="50"/>
  <c r="N151" i="50"/>
  <c r="AD151" i="50"/>
  <c r="AR153" i="50"/>
  <c r="H154" i="50"/>
  <c r="AQ153" i="50"/>
  <c r="AT153" i="50" s="1"/>
  <c r="AW153" i="50" s="1"/>
  <c r="L157" i="40"/>
  <c r="M112" i="40"/>
  <c r="AM112" i="40" s="1"/>
  <c r="K113" i="40"/>
  <c r="AD113" i="40" s="1"/>
  <c r="AU114" i="40"/>
  <c r="AB114" i="40"/>
  <c r="AS114" i="40"/>
  <c r="AV114" i="40" s="1"/>
  <c r="J114" i="40"/>
  <c r="AZ114" i="40" s="1"/>
  <c r="AP114" i="40" s="1"/>
  <c r="P112" i="40"/>
  <c r="AQ115" i="40"/>
  <c r="AT115" i="40" s="1"/>
  <c r="AW115" i="40" s="1"/>
  <c r="H116" i="40"/>
  <c r="AR115" i="40"/>
  <c r="AD112" i="40"/>
  <c r="N112" i="40"/>
  <c r="Q149" i="39"/>
  <c r="R149" i="39" s="1"/>
  <c r="Y149" i="39" s="1"/>
  <c r="O149" i="39"/>
  <c r="K150" i="39"/>
  <c r="AD150" i="39" s="1"/>
  <c r="AR152" i="39"/>
  <c r="AQ152" i="39"/>
  <c r="AT152" i="39" s="1"/>
  <c r="AW152" i="39" s="1"/>
  <c r="H153" i="39"/>
  <c r="AB151" i="39"/>
  <c r="AU151" i="39"/>
  <c r="AS151" i="39"/>
  <c r="AV151" i="39" s="1"/>
  <c r="J151" i="39"/>
  <c r="AZ151" i="39" s="1"/>
  <c r="AP151" i="39" s="1"/>
  <c r="M149" i="39"/>
  <c r="AM149" i="39" s="1"/>
  <c r="Q148" i="39"/>
  <c r="R148" i="39" s="1"/>
  <c r="Y148" i="39" s="1"/>
  <c r="O148" i="39"/>
  <c r="N150" i="39"/>
  <c r="N149" i="39"/>
  <c r="AS151" i="36"/>
  <c r="AV151" i="36" s="1"/>
  <c r="AU151" i="36"/>
  <c r="J151" i="36"/>
  <c r="AZ151" i="36" s="1"/>
  <c r="AP151" i="36" s="1"/>
  <c r="M149" i="36"/>
  <c r="AM149" i="36" s="1"/>
  <c r="AD149" i="36"/>
  <c r="K150" i="36"/>
  <c r="N150" i="36" s="1"/>
  <c r="N149" i="36"/>
  <c r="P149" i="36"/>
  <c r="AR152" i="36"/>
  <c r="AB152" i="36" s="1"/>
  <c r="AQ152" i="36"/>
  <c r="AT152" i="36" s="1"/>
  <c r="AW152" i="36" s="1"/>
  <c r="H153" i="36"/>
  <c r="D118" i="17"/>
  <c r="N117" i="17"/>
  <c r="AS153" i="50" l="1"/>
  <c r="AV153" i="50" s="1"/>
  <c r="AB153" i="50"/>
  <c r="AU153" i="50"/>
  <c r="J153" i="50"/>
  <c r="AZ153" i="50" s="1"/>
  <c r="AP153" i="50" s="1"/>
  <c r="M152" i="50"/>
  <c r="AM152" i="50" s="1"/>
  <c r="P152" i="50"/>
  <c r="N152" i="50"/>
  <c r="AR154" i="50"/>
  <c r="H155" i="50"/>
  <c r="AQ154" i="50"/>
  <c r="AT154" i="50" s="1"/>
  <c r="AW154" i="50" s="1"/>
  <c r="Q151" i="50"/>
  <c r="R151" i="50" s="1"/>
  <c r="Y151" i="50" s="1"/>
  <c r="O151" i="50"/>
  <c r="AD152" i="50"/>
  <c r="N113" i="40"/>
  <c r="N114" i="40"/>
  <c r="P114" i="40"/>
  <c r="Q112" i="40"/>
  <c r="R112" i="40" s="1"/>
  <c r="Y112" i="40" s="1"/>
  <c r="O112" i="40"/>
  <c r="AD114" i="40"/>
  <c r="K114" i="40"/>
  <c r="M113" i="40"/>
  <c r="AM113" i="40" s="1"/>
  <c r="AU115" i="40"/>
  <c r="AB115" i="40"/>
  <c r="AS115" i="40"/>
  <c r="AV115" i="40" s="1"/>
  <c r="J115" i="40"/>
  <c r="AZ115" i="40" s="1"/>
  <c r="AP115" i="40" s="1"/>
  <c r="AQ116" i="40"/>
  <c r="AT116" i="40" s="1"/>
  <c r="AW116" i="40" s="1"/>
  <c r="H117" i="40"/>
  <c r="AR116" i="40"/>
  <c r="P113" i="40"/>
  <c r="L156" i="40"/>
  <c r="P150" i="39"/>
  <c r="K151" i="39"/>
  <c r="P151" i="39" s="1"/>
  <c r="AB152" i="39"/>
  <c r="AU152" i="39"/>
  <c r="AS152" i="39"/>
  <c r="AV152" i="39" s="1"/>
  <c r="J152" i="39"/>
  <c r="AZ152" i="39" s="1"/>
  <c r="AP152" i="39" s="1"/>
  <c r="M150" i="39"/>
  <c r="AM150" i="39" s="1"/>
  <c r="M151" i="39"/>
  <c r="AM151" i="39" s="1"/>
  <c r="N151" i="39"/>
  <c r="Q150" i="39"/>
  <c r="R150" i="39" s="1"/>
  <c r="Y150" i="39" s="1"/>
  <c r="O150" i="39"/>
  <c r="AD151" i="39"/>
  <c r="AR153" i="39"/>
  <c r="AQ153" i="39"/>
  <c r="AT153" i="39" s="1"/>
  <c r="AW153" i="39" s="1"/>
  <c r="H154" i="39"/>
  <c r="AD150" i="36"/>
  <c r="AU152" i="36"/>
  <c r="AS152" i="36"/>
  <c r="AV152" i="36" s="1"/>
  <c r="J152" i="36"/>
  <c r="AZ152" i="36" s="1"/>
  <c r="AP152" i="36" s="1"/>
  <c r="Q149" i="36"/>
  <c r="R149" i="36" s="1"/>
  <c r="Y149" i="36" s="1"/>
  <c r="O149" i="36"/>
  <c r="M150" i="36"/>
  <c r="AM150" i="36" s="1"/>
  <c r="AR153" i="36"/>
  <c r="AB153" i="36" s="1"/>
  <c r="H154" i="36"/>
  <c r="AQ153" i="36"/>
  <c r="AT153" i="36" s="1"/>
  <c r="AW153" i="36" s="1"/>
  <c r="P150" i="36"/>
  <c r="K151" i="36"/>
  <c r="AD151" i="36" s="1"/>
  <c r="D119" i="17"/>
  <c r="N118" i="17"/>
  <c r="Q152" i="50" l="1"/>
  <c r="R152" i="50" s="1"/>
  <c r="Y152" i="50" s="1"/>
  <c r="O152" i="50"/>
  <c r="N153" i="50"/>
  <c r="P153" i="50"/>
  <c r="AR155" i="50"/>
  <c r="H156" i="50"/>
  <c r="AQ155" i="50"/>
  <c r="AT155" i="50" s="1"/>
  <c r="AW155" i="50" s="1"/>
  <c r="K153" i="50"/>
  <c r="AD153" i="50"/>
  <c r="AS154" i="50"/>
  <c r="AV154" i="50" s="1"/>
  <c r="AB154" i="50"/>
  <c r="AU154" i="50"/>
  <c r="J154" i="50"/>
  <c r="AZ154" i="50" s="1"/>
  <c r="AP154" i="50" s="1"/>
  <c r="Q113" i="40"/>
  <c r="R113" i="40" s="1"/>
  <c r="O113" i="40"/>
  <c r="H118" i="40"/>
  <c r="AQ117" i="40"/>
  <c r="AT117" i="40" s="1"/>
  <c r="AW117" i="40" s="1"/>
  <c r="AR117" i="40"/>
  <c r="K115" i="40"/>
  <c r="P115" i="40" s="1"/>
  <c r="AU116" i="40"/>
  <c r="AS116" i="40"/>
  <c r="AV116" i="40" s="1"/>
  <c r="AB116" i="40"/>
  <c r="J116" i="40"/>
  <c r="AZ116" i="40" s="1"/>
  <c r="AP116" i="40" s="1"/>
  <c r="Q114" i="40"/>
  <c r="R114" i="40" s="1"/>
  <c r="Y114" i="40" s="1"/>
  <c r="O114" i="40"/>
  <c r="L155" i="40"/>
  <c r="M114" i="40"/>
  <c r="AM114" i="40" s="1"/>
  <c r="AR154" i="39"/>
  <c r="AQ154" i="39"/>
  <c r="AT154" i="39" s="1"/>
  <c r="AW154" i="39" s="1"/>
  <c r="H155" i="39"/>
  <c r="K152" i="39"/>
  <c r="N152" i="39" s="1"/>
  <c r="AB153" i="39"/>
  <c r="AU153" i="39"/>
  <c r="AS153" i="39"/>
  <c r="AV153" i="39" s="1"/>
  <c r="J153" i="39"/>
  <c r="AZ153" i="39" s="1"/>
  <c r="AP153" i="39" s="1"/>
  <c r="Q151" i="39"/>
  <c r="R151" i="39" s="1"/>
  <c r="Y151" i="39" s="1"/>
  <c r="O151" i="39"/>
  <c r="N151" i="36"/>
  <c r="M151" i="36"/>
  <c r="AM151" i="36" s="1"/>
  <c r="Q150" i="36"/>
  <c r="R150" i="36" s="1"/>
  <c r="O150" i="36"/>
  <c r="P151" i="36"/>
  <c r="AR154" i="36"/>
  <c r="AB154" i="36" s="1"/>
  <c r="H155" i="36"/>
  <c r="AQ154" i="36"/>
  <c r="AT154" i="36" s="1"/>
  <c r="AW154" i="36" s="1"/>
  <c r="AU153" i="36"/>
  <c r="AS153" i="36"/>
  <c r="AV153" i="36" s="1"/>
  <c r="J153" i="36"/>
  <c r="AZ153" i="36" s="1"/>
  <c r="K152" i="36"/>
  <c r="N119" i="17"/>
  <c r="D120" i="17"/>
  <c r="M153" i="50" l="1"/>
  <c r="AM153" i="50" s="1"/>
  <c r="AU155" i="50"/>
  <c r="AS155" i="50"/>
  <c r="AV155" i="50" s="1"/>
  <c r="AB155" i="50"/>
  <c r="J155" i="50"/>
  <c r="AZ155" i="50" s="1"/>
  <c r="AP155" i="50" s="1"/>
  <c r="Q153" i="50"/>
  <c r="R153" i="50" s="1"/>
  <c r="Y153" i="50" s="1"/>
  <c r="O153" i="50"/>
  <c r="K154" i="50"/>
  <c r="AD154" i="50" s="1"/>
  <c r="AR156" i="50"/>
  <c r="H157" i="50"/>
  <c r="AQ156" i="50"/>
  <c r="AT156" i="50" s="1"/>
  <c r="AW156" i="50" s="1"/>
  <c r="M115" i="40"/>
  <c r="AM115" i="40" s="1"/>
  <c r="N115" i="40"/>
  <c r="AD115" i="40"/>
  <c r="AU117" i="40"/>
  <c r="AS117" i="40"/>
  <c r="AV117" i="40" s="1"/>
  <c r="AB117" i="40"/>
  <c r="J117" i="40"/>
  <c r="AZ117" i="40" s="1"/>
  <c r="AP117" i="40" s="1"/>
  <c r="Q115" i="40"/>
  <c r="R115" i="40" s="1"/>
  <c r="Y115" i="40" s="1"/>
  <c r="O115" i="40"/>
  <c r="H119" i="40"/>
  <c r="AQ118" i="40"/>
  <c r="AT118" i="40" s="1"/>
  <c r="AW118" i="40" s="1"/>
  <c r="AR118" i="40"/>
  <c r="L154" i="40"/>
  <c r="K116" i="40"/>
  <c r="Y113" i="40"/>
  <c r="M152" i="39"/>
  <c r="AM152" i="39" s="1"/>
  <c r="P152" i="39"/>
  <c r="AR155" i="39"/>
  <c r="AQ155" i="39"/>
  <c r="AT155" i="39" s="1"/>
  <c r="AW155" i="39" s="1"/>
  <c r="H156" i="39"/>
  <c r="K153" i="39"/>
  <c r="N153" i="39" s="1"/>
  <c r="AD152" i="39"/>
  <c r="AB154" i="39"/>
  <c r="AU154" i="39"/>
  <c r="AS154" i="39"/>
  <c r="AV154" i="39" s="1"/>
  <c r="J154" i="39"/>
  <c r="AZ154" i="39" s="1"/>
  <c r="AP154" i="39" s="1"/>
  <c r="K153" i="36"/>
  <c r="M153" i="36" s="1"/>
  <c r="AM153" i="36" s="1"/>
  <c r="M152" i="36"/>
  <c r="AM152" i="36" s="1"/>
  <c r="AD152" i="36"/>
  <c r="AR155" i="36"/>
  <c r="AB155" i="36" s="1"/>
  <c r="AQ155" i="36"/>
  <c r="AT155" i="36" s="1"/>
  <c r="AW155" i="36" s="1"/>
  <c r="H156" i="36"/>
  <c r="Y150" i="36"/>
  <c r="AS154" i="36"/>
  <c r="AV154" i="36" s="1"/>
  <c r="AU154" i="36"/>
  <c r="J154" i="36"/>
  <c r="AZ154" i="36" s="1"/>
  <c r="AP154" i="36" s="1"/>
  <c r="N152" i="36"/>
  <c r="Q151" i="36"/>
  <c r="R151" i="36" s="1"/>
  <c r="Y151" i="36" s="1"/>
  <c r="O151" i="36"/>
  <c r="P152" i="36"/>
  <c r="D121" i="17"/>
  <c r="N120" i="17"/>
  <c r="N154" i="50" l="1"/>
  <c r="P154" i="50"/>
  <c r="M154" i="50"/>
  <c r="AM154" i="50" s="1"/>
  <c r="AD155" i="50"/>
  <c r="P155" i="50"/>
  <c r="AR157" i="50"/>
  <c r="H158" i="50"/>
  <c r="AQ157" i="50"/>
  <c r="AT157" i="50" s="1"/>
  <c r="AW157" i="50" s="1"/>
  <c r="K155" i="50"/>
  <c r="N155" i="50" s="1"/>
  <c r="AU156" i="50"/>
  <c r="AS156" i="50"/>
  <c r="AV156" i="50" s="1"/>
  <c r="AB156" i="50"/>
  <c r="J156" i="50"/>
  <c r="AZ156" i="50" s="1"/>
  <c r="AP156" i="50" s="1"/>
  <c r="M116" i="40"/>
  <c r="AM116" i="40" s="1"/>
  <c r="AU118" i="40"/>
  <c r="AS118" i="40"/>
  <c r="AV118" i="40" s="1"/>
  <c r="AB118" i="40"/>
  <c r="J118" i="40"/>
  <c r="AZ118" i="40" s="1"/>
  <c r="AP118" i="40" s="1"/>
  <c r="P116" i="40"/>
  <c r="L153" i="40"/>
  <c r="H120" i="40"/>
  <c r="AQ119" i="40"/>
  <c r="AT119" i="40" s="1"/>
  <c r="AW119" i="40" s="1"/>
  <c r="AR119" i="40"/>
  <c r="N116" i="40"/>
  <c r="AD116" i="40"/>
  <c r="K117" i="40"/>
  <c r="K154" i="39"/>
  <c r="P154" i="39" s="1"/>
  <c r="AB155" i="39"/>
  <c r="AU155" i="39"/>
  <c r="AS155" i="39"/>
  <c r="AV155" i="39" s="1"/>
  <c r="J155" i="39"/>
  <c r="AZ155" i="39" s="1"/>
  <c r="AP155" i="39" s="1"/>
  <c r="AD153" i="39"/>
  <c r="M153" i="39"/>
  <c r="AM153" i="39" s="1"/>
  <c r="Q152" i="39"/>
  <c r="R152" i="39" s="1"/>
  <c r="O152" i="39"/>
  <c r="AR156" i="39"/>
  <c r="AQ156" i="39"/>
  <c r="AT156" i="39" s="1"/>
  <c r="AW156" i="39" s="1"/>
  <c r="H157" i="39"/>
  <c r="P153" i="39"/>
  <c r="P153" i="36"/>
  <c r="Q153" i="36" s="1"/>
  <c r="R153" i="36" s="1"/>
  <c r="Y153" i="36" s="1"/>
  <c r="AD153" i="36"/>
  <c r="N153" i="36"/>
  <c r="AU155" i="36"/>
  <c r="AS155" i="36"/>
  <c r="AV155" i="36" s="1"/>
  <c r="J155" i="36"/>
  <c r="AZ155" i="36" s="1"/>
  <c r="AP155" i="36" s="1"/>
  <c r="Q152" i="36"/>
  <c r="R152" i="36" s="1"/>
  <c r="Y152" i="36" s="1"/>
  <c r="O152" i="36"/>
  <c r="AR156" i="36"/>
  <c r="AB156" i="36" s="1"/>
  <c r="H157" i="36"/>
  <c r="AQ156" i="36"/>
  <c r="AT156" i="36" s="1"/>
  <c r="AW156" i="36" s="1"/>
  <c r="K154" i="36"/>
  <c r="P154" i="36" s="1"/>
  <c r="D122" i="17"/>
  <c r="N121" i="17"/>
  <c r="K156" i="50" l="1"/>
  <c r="P156" i="50" s="1"/>
  <c r="Q155" i="50"/>
  <c r="R155" i="50" s="1"/>
  <c r="Y155" i="50" s="1"/>
  <c r="O155" i="50"/>
  <c r="AR158" i="50"/>
  <c r="H159" i="50"/>
  <c r="AQ158" i="50"/>
  <c r="AT158" i="50" s="1"/>
  <c r="AW158" i="50" s="1"/>
  <c r="AS157" i="50"/>
  <c r="AV157" i="50" s="1"/>
  <c r="AB157" i="50"/>
  <c r="AU157" i="50"/>
  <c r="J157" i="50"/>
  <c r="AZ157" i="50" s="1"/>
  <c r="AP157" i="50" s="1"/>
  <c r="Q154" i="50"/>
  <c r="R154" i="50" s="1"/>
  <c r="Y154" i="50" s="1"/>
  <c r="O154" i="50"/>
  <c r="M155" i="50"/>
  <c r="AM155" i="50" s="1"/>
  <c r="M117" i="40"/>
  <c r="AM117" i="40" s="1"/>
  <c r="AD117" i="40"/>
  <c r="K118" i="40"/>
  <c r="AD118" i="40" s="1"/>
  <c r="L152" i="40"/>
  <c r="N118" i="40"/>
  <c r="N117" i="40"/>
  <c r="AU119" i="40"/>
  <c r="AS119" i="40"/>
  <c r="AV119" i="40" s="1"/>
  <c r="AB119" i="40"/>
  <c r="J119" i="40"/>
  <c r="AZ119" i="40" s="1"/>
  <c r="AP119" i="40" s="1"/>
  <c r="H121" i="40"/>
  <c r="AQ120" i="40"/>
  <c r="AT120" i="40" s="1"/>
  <c r="AW120" i="40" s="1"/>
  <c r="AR120" i="40"/>
  <c r="Q116" i="40"/>
  <c r="R116" i="40" s="1"/>
  <c r="Y116" i="40" s="1"/>
  <c r="O116" i="40"/>
  <c r="P117" i="40"/>
  <c r="AD154" i="39"/>
  <c r="N154" i="39"/>
  <c r="M154" i="39"/>
  <c r="AM154" i="39" s="1"/>
  <c r="Y152" i="39"/>
  <c r="AR157" i="39"/>
  <c r="AQ157" i="39"/>
  <c r="AT157" i="39" s="1"/>
  <c r="AW157" i="39" s="1"/>
  <c r="H158" i="39"/>
  <c r="Q153" i="39"/>
  <c r="R153" i="39" s="1"/>
  <c r="O153" i="39"/>
  <c r="K155" i="39"/>
  <c r="P155" i="39" s="1"/>
  <c r="N155" i="39"/>
  <c r="AB156" i="39"/>
  <c r="AU156" i="39"/>
  <c r="AS156" i="39"/>
  <c r="AV156" i="39" s="1"/>
  <c r="J156" i="39"/>
  <c r="AZ156" i="39" s="1"/>
  <c r="AP156" i="39" s="1"/>
  <c r="Q154" i="39"/>
  <c r="R154" i="39" s="1"/>
  <c r="Y154" i="39" s="1"/>
  <c r="O154" i="39"/>
  <c r="O153" i="36"/>
  <c r="Q154" i="36"/>
  <c r="R154" i="36" s="1"/>
  <c r="Y154" i="36" s="1"/>
  <c r="O154" i="36"/>
  <c r="K155" i="36"/>
  <c r="P155" i="36" s="1"/>
  <c r="N154" i="36"/>
  <c r="M154" i="36"/>
  <c r="AM154" i="36" s="1"/>
  <c r="AD154" i="36"/>
  <c r="AR157" i="36"/>
  <c r="AB157" i="36" s="1"/>
  <c r="H158" i="36"/>
  <c r="AQ157" i="36"/>
  <c r="AT157" i="36" s="1"/>
  <c r="AW157" i="36" s="1"/>
  <c r="AU156" i="36"/>
  <c r="AS156" i="36"/>
  <c r="AV156" i="36" s="1"/>
  <c r="J156" i="36"/>
  <c r="AZ156" i="36" s="1"/>
  <c r="AP156" i="36" s="1"/>
  <c r="N122" i="17"/>
  <c r="D123" i="17"/>
  <c r="Q156" i="50" l="1"/>
  <c r="R156" i="50" s="1"/>
  <c r="Y156" i="50" s="1"/>
  <c r="O156" i="50"/>
  <c r="N156" i="50"/>
  <c r="AU158" i="50"/>
  <c r="AS158" i="50"/>
  <c r="AV158" i="50" s="1"/>
  <c r="AB158" i="50"/>
  <c r="J158" i="50"/>
  <c r="AZ158" i="50" s="1"/>
  <c r="AP158" i="50" s="1"/>
  <c r="N157" i="50"/>
  <c r="AD156" i="50"/>
  <c r="AR159" i="50"/>
  <c r="AQ159" i="50"/>
  <c r="AT159" i="50" s="1"/>
  <c r="AW159" i="50" s="1"/>
  <c r="H160" i="50"/>
  <c r="M156" i="50"/>
  <c r="AM156" i="50" s="1"/>
  <c r="K157" i="50"/>
  <c r="K119" i="40"/>
  <c r="M119" i="40"/>
  <c r="AM119" i="40" s="1"/>
  <c r="AU120" i="40"/>
  <c r="AS120" i="40"/>
  <c r="AV120" i="40" s="1"/>
  <c r="AB120" i="40"/>
  <c r="J120" i="40"/>
  <c r="AZ120" i="40" s="1"/>
  <c r="AP120" i="40" s="1"/>
  <c r="P119" i="40"/>
  <c r="N119" i="40"/>
  <c r="L151" i="40"/>
  <c r="H122" i="40"/>
  <c r="AQ121" i="40"/>
  <c r="AT121" i="40" s="1"/>
  <c r="AW121" i="40" s="1"/>
  <c r="AR121" i="40"/>
  <c r="M118" i="40"/>
  <c r="AM118" i="40" s="1"/>
  <c r="Q117" i="40"/>
  <c r="R117" i="40" s="1"/>
  <c r="Y117" i="40" s="1"/>
  <c r="O117" i="40"/>
  <c r="AD119" i="40"/>
  <c r="P118" i="40"/>
  <c r="AD155" i="39"/>
  <c r="K156" i="39"/>
  <c r="Q155" i="39"/>
  <c r="R155" i="39" s="1"/>
  <c r="Y155" i="39" s="1"/>
  <c r="O155" i="39"/>
  <c r="Y153" i="39"/>
  <c r="AB157" i="39"/>
  <c r="AU157" i="39"/>
  <c r="AS157" i="39"/>
  <c r="AV157" i="39" s="1"/>
  <c r="J157" i="39"/>
  <c r="AZ157" i="39" s="1"/>
  <c r="AP157" i="39" s="1"/>
  <c r="AD156" i="39"/>
  <c r="AR158" i="39"/>
  <c r="AQ158" i="39"/>
  <c r="AT158" i="39" s="1"/>
  <c r="AW158" i="39" s="1"/>
  <c r="H159" i="39"/>
  <c r="M156" i="39"/>
  <c r="AM156" i="39" s="1"/>
  <c r="P156" i="39"/>
  <c r="N156" i="39"/>
  <c r="M155" i="39"/>
  <c r="AM155" i="39" s="1"/>
  <c r="N155" i="36"/>
  <c r="AS157" i="36"/>
  <c r="AV157" i="36" s="1"/>
  <c r="AU157" i="36"/>
  <c r="J157" i="36"/>
  <c r="AZ157" i="36" s="1"/>
  <c r="AP157" i="36" s="1"/>
  <c r="Q155" i="36"/>
  <c r="R155" i="36" s="1"/>
  <c r="Y155" i="36" s="1"/>
  <c r="O155" i="36"/>
  <c r="M155" i="36"/>
  <c r="AM155" i="36" s="1"/>
  <c r="K156" i="36"/>
  <c r="AR158" i="36"/>
  <c r="AB158" i="36" s="1"/>
  <c r="H159" i="36"/>
  <c r="AQ158" i="36"/>
  <c r="AT158" i="36" s="1"/>
  <c r="AW158" i="36" s="1"/>
  <c r="AD155" i="36"/>
  <c r="D124" i="17"/>
  <c r="N123" i="17"/>
  <c r="AR160" i="50" l="1"/>
  <c r="AQ160" i="50"/>
  <c r="AT160" i="50" s="1"/>
  <c r="AW160" i="50" s="1"/>
  <c r="H161" i="50"/>
  <c r="AB159" i="50"/>
  <c r="AS159" i="50"/>
  <c r="AV159" i="50" s="1"/>
  <c r="K159" i="50" s="1"/>
  <c r="AU159" i="50"/>
  <c r="J159" i="50"/>
  <c r="AZ159" i="50" s="1"/>
  <c r="AP159" i="50" s="1"/>
  <c r="M157" i="50"/>
  <c r="AM157" i="50" s="1"/>
  <c r="AD157" i="50"/>
  <c r="AD158" i="50"/>
  <c r="P157" i="50"/>
  <c r="K158" i="50"/>
  <c r="K120" i="40"/>
  <c r="AD120" i="40" s="1"/>
  <c r="O118" i="40"/>
  <c r="Q118" i="40"/>
  <c r="R118" i="40" s="1"/>
  <c r="L150" i="40"/>
  <c r="N120" i="40"/>
  <c r="P120" i="40"/>
  <c r="AU121" i="40"/>
  <c r="AS121" i="40"/>
  <c r="AV121" i="40" s="1"/>
  <c r="AB121" i="40"/>
  <c r="J121" i="40"/>
  <c r="AZ121" i="40" s="1"/>
  <c r="AP121" i="40" s="1"/>
  <c r="M120" i="40"/>
  <c r="AM120" i="40" s="1"/>
  <c r="O119" i="40"/>
  <c r="Q119" i="40"/>
  <c r="R119" i="40" s="1"/>
  <c r="Y119" i="40" s="1"/>
  <c r="H123" i="40"/>
  <c r="AQ122" i="40"/>
  <c r="AT122" i="40" s="1"/>
  <c r="AW122" i="40" s="1"/>
  <c r="AR122" i="40"/>
  <c r="Q156" i="39"/>
  <c r="R156" i="39" s="1"/>
  <c r="Y156" i="39" s="1"/>
  <c r="O156" i="39"/>
  <c r="AR159" i="39"/>
  <c r="AQ159" i="39"/>
  <c r="AT159" i="39" s="1"/>
  <c r="AW159" i="39" s="1"/>
  <c r="H160" i="39"/>
  <c r="AB158" i="39"/>
  <c r="AU158" i="39"/>
  <c r="AS158" i="39"/>
  <c r="AV158" i="39" s="1"/>
  <c r="J158" i="39"/>
  <c r="AZ158" i="39" s="1"/>
  <c r="AP158" i="39" s="1"/>
  <c r="K157" i="39"/>
  <c r="N157" i="39" s="1"/>
  <c r="M156" i="36"/>
  <c r="AM156" i="36" s="1"/>
  <c r="P156" i="36"/>
  <c r="AD156" i="36"/>
  <c r="AU158" i="36"/>
  <c r="AS158" i="36"/>
  <c r="AV158" i="36" s="1"/>
  <c r="J158" i="36"/>
  <c r="AZ158" i="36" s="1"/>
  <c r="AP158" i="36" s="1"/>
  <c r="AR159" i="36"/>
  <c r="AB159" i="36" s="1"/>
  <c r="AQ159" i="36"/>
  <c r="AT159" i="36" s="1"/>
  <c r="AW159" i="36" s="1"/>
  <c r="H160" i="36"/>
  <c r="N156" i="36"/>
  <c r="K157" i="36"/>
  <c r="N157" i="36" s="1"/>
  <c r="D125" i="17"/>
  <c r="N124" i="17"/>
  <c r="M159" i="50" l="1"/>
  <c r="AM159" i="50" s="1"/>
  <c r="N159" i="50"/>
  <c r="P159" i="50"/>
  <c r="M158" i="50"/>
  <c r="AM158" i="50" s="1"/>
  <c r="N158" i="50"/>
  <c r="Q157" i="50"/>
  <c r="R157" i="50" s="1"/>
  <c r="O157" i="50"/>
  <c r="P158" i="50"/>
  <c r="AR161" i="50"/>
  <c r="H162" i="50"/>
  <c r="AQ161" i="50"/>
  <c r="AT161" i="50" s="1"/>
  <c r="AW161" i="50" s="1"/>
  <c r="AD159" i="50"/>
  <c r="AS160" i="50"/>
  <c r="AV160" i="50" s="1"/>
  <c r="AU160" i="50"/>
  <c r="AB160" i="50"/>
  <c r="J160" i="50"/>
  <c r="AZ160" i="50" s="1"/>
  <c r="AP160" i="50" s="1"/>
  <c r="Y118" i="40"/>
  <c r="H124" i="40"/>
  <c r="AQ123" i="40"/>
  <c r="AT123" i="40" s="1"/>
  <c r="AW123" i="40" s="1"/>
  <c r="AR123" i="40"/>
  <c r="O120" i="40"/>
  <c r="Q120" i="40"/>
  <c r="R120" i="40" s="1"/>
  <c r="Y120" i="40" s="1"/>
  <c r="AU122" i="40"/>
  <c r="AS122" i="40"/>
  <c r="AV122" i="40" s="1"/>
  <c r="AB122" i="40"/>
  <c r="J122" i="40"/>
  <c r="AZ122" i="40" s="1"/>
  <c r="AP122" i="40" s="1"/>
  <c r="L149" i="40"/>
  <c r="K121" i="40"/>
  <c r="AB159" i="39"/>
  <c r="AU159" i="39"/>
  <c r="AS159" i="39"/>
  <c r="AV159" i="39" s="1"/>
  <c r="J159" i="39"/>
  <c r="AZ159" i="39" s="1"/>
  <c r="AP159" i="39" s="1"/>
  <c r="AD157" i="39"/>
  <c r="K158" i="39"/>
  <c r="N158" i="39" s="1"/>
  <c r="M157" i="39"/>
  <c r="AM157" i="39" s="1"/>
  <c r="AR160" i="39"/>
  <c r="AQ160" i="39"/>
  <c r="AT160" i="39" s="1"/>
  <c r="AW160" i="39" s="1"/>
  <c r="H161" i="39"/>
  <c r="P157" i="39"/>
  <c r="M157" i="36"/>
  <c r="AM157" i="36" s="1"/>
  <c r="Q156" i="36"/>
  <c r="R156" i="36" s="1"/>
  <c r="Y156" i="36" s="1"/>
  <c r="O156" i="36"/>
  <c r="P157" i="36"/>
  <c r="AD157" i="36"/>
  <c r="K158" i="36"/>
  <c r="P158" i="36" s="1"/>
  <c r="AS159" i="36"/>
  <c r="AV159" i="36" s="1"/>
  <c r="AU159" i="36"/>
  <c r="J159" i="36"/>
  <c r="AZ159" i="36" s="1"/>
  <c r="AP159" i="36" s="1"/>
  <c r="AR160" i="36"/>
  <c r="AB160" i="36" s="1"/>
  <c r="AQ160" i="36"/>
  <c r="AT160" i="36" s="1"/>
  <c r="AW160" i="36" s="1"/>
  <c r="H161" i="36"/>
  <c r="N125" i="17"/>
  <c r="D126" i="17"/>
  <c r="Q159" i="50" l="1"/>
  <c r="R159" i="50" s="1"/>
  <c r="Y159" i="50" s="1"/>
  <c r="O159" i="50"/>
  <c r="N160" i="50"/>
  <c r="Y157" i="50"/>
  <c r="Q158" i="50"/>
  <c r="R158" i="50" s="1"/>
  <c r="Y158" i="50" s="1"/>
  <c r="O158" i="50"/>
  <c r="K160" i="50"/>
  <c r="AR162" i="50"/>
  <c r="H163" i="50"/>
  <c r="AQ162" i="50"/>
  <c r="AT162" i="50" s="1"/>
  <c r="AW162" i="50" s="1"/>
  <c r="AU161" i="50"/>
  <c r="AB161" i="50"/>
  <c r="AS161" i="50"/>
  <c r="AV161" i="50" s="1"/>
  <c r="J161" i="50"/>
  <c r="AZ161" i="50" s="1"/>
  <c r="AP161" i="50" s="1"/>
  <c r="M121" i="40"/>
  <c r="AM121" i="40" s="1"/>
  <c r="K122" i="40"/>
  <c r="H125" i="40"/>
  <c r="AQ124" i="40"/>
  <c r="AT124" i="40" s="1"/>
  <c r="AW124" i="40" s="1"/>
  <c r="AR124" i="40"/>
  <c r="AD122" i="40"/>
  <c r="AD121" i="40"/>
  <c r="P122" i="40"/>
  <c r="N122" i="40"/>
  <c r="N121" i="40"/>
  <c r="L148" i="40"/>
  <c r="AU123" i="40"/>
  <c r="AS123" i="40"/>
  <c r="AV123" i="40" s="1"/>
  <c r="AB123" i="40"/>
  <c r="J123" i="40"/>
  <c r="AZ123" i="40" s="1"/>
  <c r="AP123" i="40" s="1"/>
  <c r="P121" i="40"/>
  <c r="P158" i="39"/>
  <c r="AD158" i="39"/>
  <c r="Q158" i="39"/>
  <c r="R158" i="39" s="1"/>
  <c r="Y158" i="39" s="1"/>
  <c r="O158" i="39"/>
  <c r="M158" i="39"/>
  <c r="AM158" i="39" s="1"/>
  <c r="K159" i="39"/>
  <c r="P159" i="39" s="1"/>
  <c r="AR161" i="39"/>
  <c r="AQ161" i="39"/>
  <c r="AT161" i="39" s="1"/>
  <c r="AW161" i="39" s="1"/>
  <c r="H162" i="39"/>
  <c r="AB160" i="39"/>
  <c r="AU160" i="39"/>
  <c r="AS160" i="39"/>
  <c r="AV160" i="39" s="1"/>
  <c r="J160" i="39"/>
  <c r="AZ160" i="39" s="1"/>
  <c r="AP160" i="39" s="1"/>
  <c r="Q157" i="39"/>
  <c r="R157" i="39" s="1"/>
  <c r="O157" i="39"/>
  <c r="N158" i="36"/>
  <c r="K159" i="36"/>
  <c r="AD159" i="36" s="1"/>
  <c r="AU160" i="36"/>
  <c r="AS160" i="36"/>
  <c r="AV160" i="36" s="1"/>
  <c r="J160" i="36"/>
  <c r="AZ160" i="36" s="1"/>
  <c r="AP160" i="36" s="1"/>
  <c r="Q157" i="36"/>
  <c r="R157" i="36" s="1"/>
  <c r="O157" i="36"/>
  <c r="Q158" i="36"/>
  <c r="R158" i="36" s="1"/>
  <c r="Y158" i="36" s="1"/>
  <c r="O158" i="36"/>
  <c r="M158" i="36"/>
  <c r="AM158" i="36" s="1"/>
  <c r="AD158" i="36"/>
  <c r="AR161" i="36"/>
  <c r="AB161" i="36" s="1"/>
  <c r="AQ161" i="36"/>
  <c r="AT161" i="36" s="1"/>
  <c r="AW161" i="36" s="1"/>
  <c r="H162" i="36"/>
  <c r="D127" i="17"/>
  <c r="N126" i="17"/>
  <c r="M160" i="50" l="1"/>
  <c r="AM160" i="50" s="1"/>
  <c r="P160" i="50"/>
  <c r="AS162" i="50"/>
  <c r="AV162" i="50" s="1"/>
  <c r="AB162" i="50"/>
  <c r="AU162" i="50"/>
  <c r="J162" i="50"/>
  <c r="AZ162" i="50" s="1"/>
  <c r="AP162" i="50" s="1"/>
  <c r="K161" i="50"/>
  <c r="AD160" i="50"/>
  <c r="AR163" i="50"/>
  <c r="AQ163" i="50"/>
  <c r="AT163" i="50" s="1"/>
  <c r="AW163" i="50" s="1"/>
  <c r="H164" i="50"/>
  <c r="O122" i="40"/>
  <c r="Q122" i="40"/>
  <c r="R122" i="40" s="1"/>
  <c r="Y122" i="40" s="1"/>
  <c r="H126" i="40"/>
  <c r="AQ125" i="40"/>
  <c r="AT125" i="40" s="1"/>
  <c r="AW125" i="40" s="1"/>
  <c r="AR125" i="40"/>
  <c r="M122" i="40"/>
  <c r="AM122" i="40" s="1"/>
  <c r="AU124" i="40"/>
  <c r="AS124" i="40"/>
  <c r="AV124" i="40" s="1"/>
  <c r="AB124" i="40"/>
  <c r="J124" i="40"/>
  <c r="AZ124" i="40" s="1"/>
  <c r="AP124" i="40" s="1"/>
  <c r="O121" i="40"/>
  <c r="Q121" i="40"/>
  <c r="R121" i="40" s="1"/>
  <c r="Y121" i="40" s="1"/>
  <c r="K123" i="40"/>
  <c r="P123" i="40" s="1"/>
  <c r="K160" i="39"/>
  <c r="Q159" i="39"/>
  <c r="R159" i="39" s="1"/>
  <c r="Y159" i="39" s="1"/>
  <c r="O159" i="39"/>
  <c r="Y157" i="39"/>
  <c r="AR162" i="39"/>
  <c r="AQ162" i="39"/>
  <c r="AT162" i="39" s="1"/>
  <c r="AW162" i="39" s="1"/>
  <c r="H163" i="39"/>
  <c r="N159" i="39"/>
  <c r="AD160" i="39"/>
  <c r="M160" i="39"/>
  <c r="AM160" i="39" s="1"/>
  <c r="M159" i="39"/>
  <c r="AM159" i="39" s="1"/>
  <c r="P160" i="39"/>
  <c r="N160" i="39"/>
  <c r="AB161" i="39"/>
  <c r="AU161" i="39"/>
  <c r="AS161" i="39"/>
  <c r="AV161" i="39" s="1"/>
  <c r="J161" i="39"/>
  <c r="AZ161" i="39" s="1"/>
  <c r="AP161" i="39" s="1"/>
  <c r="AD159" i="39"/>
  <c r="N159" i="36"/>
  <c r="P159" i="36"/>
  <c r="O159" i="36" s="1"/>
  <c r="AU161" i="36"/>
  <c r="AS161" i="36"/>
  <c r="AV161" i="36" s="1"/>
  <c r="J161" i="36"/>
  <c r="AZ161" i="36" s="1"/>
  <c r="AP161" i="36" s="1"/>
  <c r="K160" i="36"/>
  <c r="AD160" i="36" s="1"/>
  <c r="Y157" i="36"/>
  <c r="Q159" i="36"/>
  <c r="R159" i="36" s="1"/>
  <c r="Y159" i="36" s="1"/>
  <c r="AR162" i="36"/>
  <c r="AB162" i="36" s="1"/>
  <c r="AQ162" i="36"/>
  <c r="AT162" i="36" s="1"/>
  <c r="AW162" i="36" s="1"/>
  <c r="H163" i="36"/>
  <c r="M159" i="36"/>
  <c r="AM159" i="36" s="1"/>
  <c r="D128" i="17"/>
  <c r="N127" i="17"/>
  <c r="M161" i="50" l="1"/>
  <c r="AM161" i="50" s="1"/>
  <c r="AS163" i="50"/>
  <c r="AV163" i="50" s="1"/>
  <c r="AB163" i="50"/>
  <c r="AU163" i="50"/>
  <c r="J163" i="50"/>
  <c r="AZ163" i="50" s="1"/>
  <c r="AP163" i="50" s="1"/>
  <c r="N161" i="50"/>
  <c r="K162" i="50"/>
  <c r="N162" i="50" s="1"/>
  <c r="AR164" i="50"/>
  <c r="H165" i="50"/>
  <c r="AQ164" i="50"/>
  <c r="AT164" i="50" s="1"/>
  <c r="AW164" i="50" s="1"/>
  <c r="P161" i="50"/>
  <c r="Q160" i="50"/>
  <c r="R160" i="50" s="1"/>
  <c r="O160" i="50"/>
  <c r="AD161" i="50"/>
  <c r="AD123" i="40"/>
  <c r="O123" i="40"/>
  <c r="Q123" i="40"/>
  <c r="R123" i="40" s="1"/>
  <c r="Y123" i="40" s="1"/>
  <c r="N123" i="40"/>
  <c r="AU125" i="40"/>
  <c r="AS125" i="40"/>
  <c r="AV125" i="40" s="1"/>
  <c r="AB125" i="40"/>
  <c r="J125" i="40"/>
  <c r="AZ125" i="40" s="1"/>
  <c r="AP125" i="40" s="1"/>
  <c r="K124" i="40"/>
  <c r="M123" i="40"/>
  <c r="AM123" i="40" s="1"/>
  <c r="H127" i="40"/>
  <c r="AQ126" i="40"/>
  <c r="AT126" i="40" s="1"/>
  <c r="AW126" i="40" s="1"/>
  <c r="AR126" i="40"/>
  <c r="AB162" i="39"/>
  <c r="AU162" i="39"/>
  <c r="AS162" i="39"/>
  <c r="AV162" i="39" s="1"/>
  <c r="J162" i="39"/>
  <c r="AZ162" i="39" s="1"/>
  <c r="AP162" i="39" s="1"/>
  <c r="Q160" i="39"/>
  <c r="R160" i="39" s="1"/>
  <c r="Y160" i="39" s="1"/>
  <c r="O160" i="39"/>
  <c r="AR163" i="39"/>
  <c r="AQ163" i="39"/>
  <c r="AT163" i="39" s="1"/>
  <c r="AW163" i="39" s="1"/>
  <c r="H164" i="39"/>
  <c r="K161" i="39"/>
  <c r="P160" i="36"/>
  <c r="Q160" i="36" s="1"/>
  <c r="R160" i="36" s="1"/>
  <c r="Y160" i="36" s="1"/>
  <c r="AR163" i="36"/>
  <c r="AB163" i="36" s="1"/>
  <c r="AQ163" i="36"/>
  <c r="AT163" i="36" s="1"/>
  <c r="AW163" i="36" s="1"/>
  <c r="H164" i="36"/>
  <c r="M160" i="36"/>
  <c r="AM160" i="36" s="1"/>
  <c r="AS162" i="36"/>
  <c r="AV162" i="36" s="1"/>
  <c r="AU162" i="36"/>
  <c r="J162" i="36"/>
  <c r="AZ162" i="36" s="1"/>
  <c r="AP162" i="36" s="1"/>
  <c r="N160" i="36"/>
  <c r="K161" i="36"/>
  <c r="N128" i="17"/>
  <c r="AD162" i="50" l="1"/>
  <c r="P163" i="50"/>
  <c r="P162" i="50"/>
  <c r="K163" i="50"/>
  <c r="AD163" i="50" s="1"/>
  <c r="K164" i="50"/>
  <c r="AU164" i="50"/>
  <c r="AB164" i="50"/>
  <c r="AS164" i="50"/>
  <c r="AV164" i="50" s="1"/>
  <c r="J164" i="50"/>
  <c r="AZ164" i="50" s="1"/>
  <c r="AP164" i="50" s="1"/>
  <c r="Y160" i="50"/>
  <c r="M162" i="50"/>
  <c r="AM162" i="50" s="1"/>
  <c r="AR165" i="50"/>
  <c r="H166" i="50"/>
  <c r="AQ165" i="50"/>
  <c r="AT165" i="50" s="1"/>
  <c r="AW165" i="50" s="1"/>
  <c r="Q161" i="50"/>
  <c r="R161" i="50" s="1"/>
  <c r="Y161" i="50" s="1"/>
  <c r="O161" i="50"/>
  <c r="K125" i="40"/>
  <c r="AD125" i="40" s="1"/>
  <c r="AU126" i="40"/>
  <c r="AS126" i="40"/>
  <c r="AV126" i="40" s="1"/>
  <c r="AB126" i="40"/>
  <c r="J126" i="40"/>
  <c r="AZ126" i="40" s="1"/>
  <c r="AP126" i="40" s="1"/>
  <c r="P125" i="40"/>
  <c r="N125" i="40"/>
  <c r="M124" i="40"/>
  <c r="AM124" i="40" s="1"/>
  <c r="H128" i="40"/>
  <c r="AQ127" i="40"/>
  <c r="AT127" i="40" s="1"/>
  <c r="AW127" i="40" s="1"/>
  <c r="AR127" i="40"/>
  <c r="P124" i="40"/>
  <c r="N124" i="40"/>
  <c r="AD124" i="40"/>
  <c r="M161" i="39"/>
  <c r="AM161" i="39" s="1"/>
  <c r="AD161" i="39"/>
  <c r="N161" i="39"/>
  <c r="P161" i="39"/>
  <c r="AR164" i="39"/>
  <c r="AQ164" i="39"/>
  <c r="AT164" i="39" s="1"/>
  <c r="AW164" i="39" s="1"/>
  <c r="H165" i="39"/>
  <c r="K162" i="39"/>
  <c r="AD162" i="39" s="1"/>
  <c r="AB163" i="39"/>
  <c r="AU163" i="39"/>
  <c r="AS163" i="39"/>
  <c r="AV163" i="39" s="1"/>
  <c r="J163" i="39"/>
  <c r="AZ163" i="39" s="1"/>
  <c r="AP163" i="39" s="1"/>
  <c r="O160" i="36"/>
  <c r="M161" i="36"/>
  <c r="AM161" i="36" s="1"/>
  <c r="N161" i="36"/>
  <c r="P161" i="36"/>
  <c r="AU163" i="36"/>
  <c r="AS163" i="36"/>
  <c r="AV163" i="36" s="1"/>
  <c r="J163" i="36"/>
  <c r="AZ163" i="36" s="1"/>
  <c r="AP163" i="36" s="1"/>
  <c r="K162" i="36"/>
  <c r="AD162" i="36" s="1"/>
  <c r="AD161" i="36"/>
  <c r="AR164" i="36"/>
  <c r="AB164" i="36" s="1"/>
  <c r="AQ164" i="36"/>
  <c r="AT164" i="36" s="1"/>
  <c r="AW164" i="36" s="1"/>
  <c r="H165" i="36"/>
  <c r="AZ110" i="29"/>
  <c r="AZ111" i="29"/>
  <c r="AZ112" i="29"/>
  <c r="AZ113" i="29"/>
  <c r="AZ114" i="29"/>
  <c r="AZ115" i="29"/>
  <c r="AZ116" i="29"/>
  <c r="AZ117" i="29"/>
  <c r="AZ118" i="29"/>
  <c r="AZ119" i="29"/>
  <c r="AZ120" i="29"/>
  <c r="AZ121" i="29"/>
  <c r="AZ122" i="29"/>
  <c r="AZ123" i="29"/>
  <c r="AZ124" i="29"/>
  <c r="AZ125" i="29"/>
  <c r="AZ126" i="29"/>
  <c r="AZ127" i="29"/>
  <c r="AZ128" i="29"/>
  <c r="AZ129" i="29"/>
  <c r="AZ130" i="29"/>
  <c r="AZ131" i="29"/>
  <c r="AZ132" i="29"/>
  <c r="AZ133" i="29"/>
  <c r="AZ134" i="29"/>
  <c r="AZ135" i="29"/>
  <c r="AZ136" i="29"/>
  <c r="AZ137" i="29"/>
  <c r="AZ138" i="29"/>
  <c r="AZ139" i="29"/>
  <c r="AZ140" i="29"/>
  <c r="AZ141" i="29"/>
  <c r="AZ142" i="29"/>
  <c r="AZ143" i="29"/>
  <c r="AZ144" i="29"/>
  <c r="AZ145" i="29"/>
  <c r="AZ146" i="29"/>
  <c r="AZ147" i="29"/>
  <c r="AZ148" i="29"/>
  <c r="AZ149" i="29"/>
  <c r="AZ150" i="29"/>
  <c r="AZ151" i="29"/>
  <c r="AZ152" i="29"/>
  <c r="AZ153" i="29"/>
  <c r="AZ154" i="29"/>
  <c r="AZ155" i="29"/>
  <c r="AZ156" i="29"/>
  <c r="AZ157" i="29"/>
  <c r="AZ158" i="29"/>
  <c r="AZ159" i="29"/>
  <c r="AZ160" i="29"/>
  <c r="AZ161" i="29"/>
  <c r="AZ162" i="29"/>
  <c r="AZ163" i="29"/>
  <c r="AZ164" i="29"/>
  <c r="AZ165" i="29"/>
  <c r="AZ166" i="29"/>
  <c r="AZ167" i="29"/>
  <c r="AZ168" i="29"/>
  <c r="AZ169" i="29"/>
  <c r="AZ170" i="29"/>
  <c r="AZ171" i="29"/>
  <c r="AZ172" i="29"/>
  <c r="AZ173" i="29"/>
  <c r="AZ174" i="29"/>
  <c r="AZ175" i="29"/>
  <c r="AZ176" i="29"/>
  <c r="AZ177" i="29"/>
  <c r="AZ178" i="29"/>
  <c r="AZ179" i="29"/>
  <c r="AZ180" i="29"/>
  <c r="AZ181" i="29"/>
  <c r="AZ182" i="29"/>
  <c r="AZ183" i="29"/>
  <c r="AZ184" i="29"/>
  <c r="AZ185" i="29"/>
  <c r="AZ186" i="29"/>
  <c r="AZ187" i="29"/>
  <c r="AZ188" i="29"/>
  <c r="AZ189" i="29"/>
  <c r="AZ109" i="29"/>
  <c r="AZ26" i="29"/>
  <c r="AZ27" i="29"/>
  <c r="AZ28" i="29"/>
  <c r="AZ29" i="29"/>
  <c r="AZ30" i="29"/>
  <c r="AZ31" i="29"/>
  <c r="AZ32" i="29"/>
  <c r="AZ33" i="29"/>
  <c r="AZ34" i="29"/>
  <c r="AZ35" i="29"/>
  <c r="AZ36" i="29"/>
  <c r="AZ37" i="29"/>
  <c r="AZ38" i="29"/>
  <c r="AZ39" i="29"/>
  <c r="AZ40" i="29"/>
  <c r="AZ41" i="29"/>
  <c r="AZ42" i="29"/>
  <c r="AZ43" i="29"/>
  <c r="AZ44" i="29"/>
  <c r="AZ45" i="29"/>
  <c r="AZ46" i="29"/>
  <c r="AZ47" i="29"/>
  <c r="AZ48" i="29"/>
  <c r="AZ49" i="29"/>
  <c r="AZ50" i="29"/>
  <c r="AZ51" i="29"/>
  <c r="AZ52" i="29"/>
  <c r="AZ53" i="29"/>
  <c r="AZ54" i="29"/>
  <c r="AZ55" i="29"/>
  <c r="AZ56" i="29"/>
  <c r="AZ57" i="29"/>
  <c r="AZ58" i="29"/>
  <c r="AZ59" i="29"/>
  <c r="AZ60" i="29"/>
  <c r="AZ61" i="29"/>
  <c r="AZ62" i="29"/>
  <c r="AZ63" i="29"/>
  <c r="AZ64" i="29"/>
  <c r="AZ65" i="29"/>
  <c r="AZ66" i="29"/>
  <c r="AZ67" i="29"/>
  <c r="AZ68" i="29"/>
  <c r="AZ69" i="29"/>
  <c r="AZ70" i="29"/>
  <c r="AZ71" i="29"/>
  <c r="AZ72" i="29"/>
  <c r="AZ73" i="29"/>
  <c r="AZ74" i="29"/>
  <c r="AZ75" i="29"/>
  <c r="AZ76" i="29"/>
  <c r="AZ77" i="29"/>
  <c r="AZ78" i="29"/>
  <c r="AZ79" i="29"/>
  <c r="AZ80" i="29"/>
  <c r="AZ81" i="29"/>
  <c r="AZ82" i="29"/>
  <c r="AZ83" i="29"/>
  <c r="AZ84" i="29"/>
  <c r="AZ85" i="29"/>
  <c r="AZ86" i="29"/>
  <c r="AZ87" i="29"/>
  <c r="AZ88" i="29"/>
  <c r="AZ89" i="29"/>
  <c r="AZ90" i="29"/>
  <c r="AZ91" i="29"/>
  <c r="AZ92" i="29"/>
  <c r="AZ93" i="29"/>
  <c r="AZ94" i="29"/>
  <c r="AZ95" i="29"/>
  <c r="AZ96" i="29"/>
  <c r="AZ97" i="29"/>
  <c r="AZ98" i="29"/>
  <c r="AZ99" i="29"/>
  <c r="AZ100" i="29"/>
  <c r="AZ101" i="29"/>
  <c r="AZ102" i="29"/>
  <c r="AZ103" i="29"/>
  <c r="AZ104" i="29"/>
  <c r="AZ25" i="29"/>
  <c r="B6" i="30"/>
  <c r="AR166" i="50" l="1"/>
  <c r="H167" i="50"/>
  <c r="AQ166" i="50"/>
  <c r="AT166" i="50" s="1"/>
  <c r="AW166" i="50" s="1"/>
  <c r="N163" i="50"/>
  <c r="Q162" i="50"/>
  <c r="R162" i="50" s="1"/>
  <c r="O162" i="50"/>
  <c r="AU165" i="50"/>
  <c r="AB165" i="50"/>
  <c r="AS165" i="50"/>
  <c r="AV165" i="50" s="1"/>
  <c r="J165" i="50"/>
  <c r="AZ165" i="50" s="1"/>
  <c r="AP165" i="50" s="1"/>
  <c r="N164" i="50"/>
  <c r="P164" i="50"/>
  <c r="M164" i="50"/>
  <c r="AM164" i="50" s="1"/>
  <c r="Q163" i="50"/>
  <c r="R163" i="50" s="1"/>
  <c r="Y163" i="50" s="1"/>
  <c r="O163" i="50"/>
  <c r="AD164" i="50"/>
  <c r="M163" i="50"/>
  <c r="AM163" i="50" s="1"/>
  <c r="M125" i="40"/>
  <c r="AM125" i="40" s="1"/>
  <c r="AU127" i="40"/>
  <c r="AS127" i="40"/>
  <c r="AV127" i="40" s="1"/>
  <c r="AB127" i="40"/>
  <c r="J127" i="40"/>
  <c r="AZ127" i="40" s="1"/>
  <c r="AP127" i="40" s="1"/>
  <c r="O125" i="40"/>
  <c r="Q125" i="40"/>
  <c r="R125" i="40" s="1"/>
  <c r="Y125" i="40" s="1"/>
  <c r="H129" i="40"/>
  <c r="AQ128" i="40"/>
  <c r="AT128" i="40" s="1"/>
  <c r="AW128" i="40" s="1"/>
  <c r="AR128" i="40"/>
  <c r="K126" i="40"/>
  <c r="O124" i="40"/>
  <c r="Q124" i="40"/>
  <c r="R124" i="40" s="1"/>
  <c r="Y124" i="40" s="1"/>
  <c r="AB164" i="39"/>
  <c r="AU164" i="39"/>
  <c r="AS164" i="39"/>
  <c r="AV164" i="39" s="1"/>
  <c r="J164" i="39"/>
  <c r="AZ164" i="39" s="1"/>
  <c r="AP164" i="39" s="1"/>
  <c r="M162" i="39"/>
  <c r="AM162" i="39" s="1"/>
  <c r="AR165" i="39"/>
  <c r="AQ165" i="39"/>
  <c r="AT165" i="39" s="1"/>
  <c r="AW165" i="39" s="1"/>
  <c r="H166" i="39"/>
  <c r="Q161" i="39"/>
  <c r="R161" i="39" s="1"/>
  <c r="Y161" i="39" s="1"/>
  <c r="O161" i="39"/>
  <c r="N162" i="39"/>
  <c r="P162" i="39"/>
  <c r="K163" i="39"/>
  <c r="P163" i="39" s="1"/>
  <c r="K163" i="36"/>
  <c r="M162" i="36"/>
  <c r="AM162" i="36" s="1"/>
  <c r="N162" i="36"/>
  <c r="AR165" i="36"/>
  <c r="AB165" i="36" s="1"/>
  <c r="AQ165" i="36"/>
  <c r="AT165" i="36" s="1"/>
  <c r="AW165" i="36" s="1"/>
  <c r="H166" i="36"/>
  <c r="P162" i="36"/>
  <c r="M163" i="36"/>
  <c r="AM163" i="36" s="1"/>
  <c r="P163" i="36"/>
  <c r="N163" i="36"/>
  <c r="AD163" i="36"/>
  <c r="AU164" i="36"/>
  <c r="AS164" i="36"/>
  <c r="AV164" i="36" s="1"/>
  <c r="J164" i="36"/>
  <c r="AZ164" i="36" s="1"/>
  <c r="AP164" i="36" s="1"/>
  <c r="Q161" i="36"/>
  <c r="R161" i="36" s="1"/>
  <c r="Y161" i="36" s="1"/>
  <c r="O161" i="36"/>
  <c r="C15" i="30"/>
  <c r="C12" i="30"/>
  <c r="B12" i="30"/>
  <c r="N9" i="27"/>
  <c r="N8" i="27"/>
  <c r="AQ189" i="29"/>
  <c r="AT189" i="29" s="1"/>
  <c r="AW189" i="29" s="1"/>
  <c r="AR189" i="29"/>
  <c r="AA189" i="29" s="1"/>
  <c r="A110" i="29"/>
  <c r="B110" i="29" s="1"/>
  <c r="C110" i="29" s="1"/>
  <c r="A111" i="29"/>
  <c r="B111" i="29"/>
  <c r="C111" i="29" s="1"/>
  <c r="A112" i="29"/>
  <c r="B112" i="29" s="1"/>
  <c r="C112" i="29" s="1"/>
  <c r="A113" i="29"/>
  <c r="B113" i="29" s="1"/>
  <c r="C113" i="29" s="1"/>
  <c r="A114" i="29"/>
  <c r="B114" i="29" s="1"/>
  <c r="C114" i="29" s="1"/>
  <c r="A115" i="29"/>
  <c r="B115" i="29" s="1"/>
  <c r="C115" i="29" s="1"/>
  <c r="A116" i="29"/>
  <c r="B116" i="29" s="1"/>
  <c r="C116" i="29" s="1"/>
  <c r="A117" i="29"/>
  <c r="B117" i="29" s="1"/>
  <c r="C117" i="29" s="1"/>
  <c r="A118" i="29"/>
  <c r="B118" i="29" s="1"/>
  <c r="C118" i="29" s="1"/>
  <c r="A119" i="29"/>
  <c r="B119" i="29"/>
  <c r="C119" i="29" s="1"/>
  <c r="A120" i="29"/>
  <c r="B120" i="29" s="1"/>
  <c r="C120" i="29" s="1"/>
  <c r="A121" i="29"/>
  <c r="B121" i="29" s="1"/>
  <c r="C121" i="29" s="1"/>
  <c r="A122" i="29"/>
  <c r="B122" i="29" s="1"/>
  <c r="C122" i="29" s="1"/>
  <c r="A123" i="29"/>
  <c r="B123" i="29" s="1"/>
  <c r="C123" i="29" s="1"/>
  <c r="A124" i="29"/>
  <c r="B124" i="29" s="1"/>
  <c r="C124" i="29" s="1"/>
  <c r="A125" i="29"/>
  <c r="B125" i="29"/>
  <c r="C125" i="29" s="1"/>
  <c r="A126" i="29"/>
  <c r="B126" i="29" s="1"/>
  <c r="C126" i="29" s="1"/>
  <c r="A127" i="29"/>
  <c r="B127" i="29" s="1"/>
  <c r="C127" i="29" s="1"/>
  <c r="A128" i="29"/>
  <c r="B128" i="29" s="1"/>
  <c r="C128" i="29" s="1"/>
  <c r="A129" i="29"/>
  <c r="B129" i="29" s="1"/>
  <c r="C129" i="29" s="1"/>
  <c r="A130" i="29"/>
  <c r="B130" i="29" s="1"/>
  <c r="C130" i="29" s="1"/>
  <c r="A131" i="29"/>
  <c r="B131" i="29"/>
  <c r="C131" i="29" s="1"/>
  <c r="A132" i="29"/>
  <c r="B132" i="29" s="1"/>
  <c r="C132" i="29" s="1"/>
  <c r="A133" i="29"/>
  <c r="B133" i="29" s="1"/>
  <c r="C133" i="29" s="1"/>
  <c r="A134" i="29"/>
  <c r="B134" i="29" s="1"/>
  <c r="C134" i="29" s="1"/>
  <c r="A135" i="29"/>
  <c r="B135" i="29"/>
  <c r="C135" i="29"/>
  <c r="A136" i="29"/>
  <c r="B136" i="29" s="1"/>
  <c r="C136" i="29" s="1"/>
  <c r="A137" i="29"/>
  <c r="B137" i="29"/>
  <c r="C137" i="29" s="1"/>
  <c r="A138" i="29"/>
  <c r="B138" i="29" s="1"/>
  <c r="C138" i="29" s="1"/>
  <c r="A139" i="29"/>
  <c r="B139" i="29" s="1"/>
  <c r="C139" i="29" s="1"/>
  <c r="A140" i="29"/>
  <c r="B140" i="29" s="1"/>
  <c r="C140" i="29" s="1"/>
  <c r="A141" i="29"/>
  <c r="B141" i="29" s="1"/>
  <c r="C141" i="29" s="1"/>
  <c r="A142" i="29"/>
  <c r="B142" i="29" s="1"/>
  <c r="C142" i="29" s="1"/>
  <c r="A143" i="29"/>
  <c r="B143" i="29" s="1"/>
  <c r="C143" i="29" s="1"/>
  <c r="A144" i="29"/>
  <c r="B144" i="29" s="1"/>
  <c r="C144" i="29" s="1"/>
  <c r="A145" i="29"/>
  <c r="B145" i="29" s="1"/>
  <c r="C145" i="29" s="1"/>
  <c r="A146" i="29"/>
  <c r="B146" i="29"/>
  <c r="C146" i="29"/>
  <c r="A147" i="29"/>
  <c r="B147" i="29" s="1"/>
  <c r="C147" i="29" s="1"/>
  <c r="A148" i="29"/>
  <c r="B148" i="29" s="1"/>
  <c r="C148" i="29" s="1"/>
  <c r="A149" i="29"/>
  <c r="B149" i="29" s="1"/>
  <c r="C149" i="29" s="1"/>
  <c r="A150" i="29"/>
  <c r="B150" i="29" s="1"/>
  <c r="C150" i="29" s="1"/>
  <c r="A151" i="29"/>
  <c r="B151" i="29" s="1"/>
  <c r="C151" i="29" s="1"/>
  <c r="A152" i="29"/>
  <c r="B152" i="29" s="1"/>
  <c r="C152" i="29" s="1"/>
  <c r="A153" i="29"/>
  <c r="B153" i="29" s="1"/>
  <c r="C153" i="29" s="1"/>
  <c r="A154" i="29"/>
  <c r="B154" i="29" s="1"/>
  <c r="C154" i="29" s="1"/>
  <c r="A155" i="29"/>
  <c r="B155" i="29" s="1"/>
  <c r="C155" i="29" s="1"/>
  <c r="A156" i="29"/>
  <c r="B156" i="29" s="1"/>
  <c r="C156" i="29" s="1"/>
  <c r="A157" i="29"/>
  <c r="B157" i="29" s="1"/>
  <c r="C157" i="29" s="1"/>
  <c r="A158" i="29"/>
  <c r="B158" i="29" s="1"/>
  <c r="C158" i="29" s="1"/>
  <c r="A159" i="29"/>
  <c r="B159" i="29"/>
  <c r="C159" i="29" s="1"/>
  <c r="A160" i="29"/>
  <c r="B160" i="29" s="1"/>
  <c r="C160" i="29" s="1"/>
  <c r="A161" i="29"/>
  <c r="B161" i="29"/>
  <c r="C161" i="29" s="1"/>
  <c r="A162" i="29"/>
  <c r="B162" i="29" s="1"/>
  <c r="C162" i="29" s="1"/>
  <c r="A163" i="29"/>
  <c r="B163" i="29" s="1"/>
  <c r="C163" i="29" s="1"/>
  <c r="A164" i="29"/>
  <c r="B164" i="29" s="1"/>
  <c r="C164" i="29" s="1"/>
  <c r="A165" i="29"/>
  <c r="B165" i="29"/>
  <c r="C165" i="29"/>
  <c r="A166" i="29"/>
  <c r="B166" i="29" s="1"/>
  <c r="C166" i="29" s="1"/>
  <c r="A167" i="29"/>
  <c r="B167" i="29"/>
  <c r="C167" i="29" s="1"/>
  <c r="A168" i="29"/>
  <c r="B168" i="29" s="1"/>
  <c r="C168" i="29" s="1"/>
  <c r="A169" i="29"/>
  <c r="B169" i="29" s="1"/>
  <c r="C169" i="29" s="1"/>
  <c r="A170" i="29"/>
  <c r="B170" i="29" s="1"/>
  <c r="C170" i="29" s="1"/>
  <c r="A171" i="29"/>
  <c r="B171" i="29"/>
  <c r="C171" i="29" s="1"/>
  <c r="A172" i="29"/>
  <c r="B172" i="29" s="1"/>
  <c r="C172" i="29" s="1"/>
  <c r="A173" i="29"/>
  <c r="B173" i="29"/>
  <c r="C173" i="29"/>
  <c r="A174" i="29"/>
  <c r="B174" i="29" s="1"/>
  <c r="C174" i="29" s="1"/>
  <c r="A175" i="29"/>
  <c r="B175" i="29"/>
  <c r="C175" i="29" s="1"/>
  <c r="A176" i="29"/>
  <c r="B176" i="29" s="1"/>
  <c r="C176" i="29" s="1"/>
  <c r="A177" i="29"/>
  <c r="B177" i="29" s="1"/>
  <c r="C177" i="29" s="1"/>
  <c r="A178" i="29"/>
  <c r="B178" i="29" s="1"/>
  <c r="C178" i="29" s="1"/>
  <c r="A179" i="29"/>
  <c r="B179" i="29"/>
  <c r="C179" i="29" s="1"/>
  <c r="A180" i="29"/>
  <c r="B180" i="29" s="1"/>
  <c r="C180" i="29" s="1"/>
  <c r="A181" i="29"/>
  <c r="B181" i="29" s="1"/>
  <c r="C181" i="29" s="1"/>
  <c r="A182" i="29"/>
  <c r="B182" i="29" s="1"/>
  <c r="C182" i="29" s="1"/>
  <c r="A183" i="29"/>
  <c r="B183" i="29" s="1"/>
  <c r="C183" i="29" s="1"/>
  <c r="A184" i="29"/>
  <c r="B184" i="29" s="1"/>
  <c r="C184" i="29" s="1"/>
  <c r="A185" i="29"/>
  <c r="B185" i="29"/>
  <c r="C185" i="29" s="1"/>
  <c r="A186" i="29"/>
  <c r="B186" i="29" s="1"/>
  <c r="C186" i="29" s="1"/>
  <c r="A187" i="29"/>
  <c r="B187" i="29" s="1"/>
  <c r="C187" i="29" s="1"/>
  <c r="A188" i="29"/>
  <c r="B188" i="29" s="1"/>
  <c r="C188" i="29" s="1"/>
  <c r="A189" i="29"/>
  <c r="B189" i="29"/>
  <c r="C189" i="29" s="1"/>
  <c r="A109" i="29"/>
  <c r="B109" i="29" s="1"/>
  <c r="C109" i="29" s="1"/>
  <c r="H26" i="29"/>
  <c r="H27" i="29" s="1"/>
  <c r="AR188" i="29"/>
  <c r="AU188" i="29" s="1"/>
  <c r="AQ188" i="29"/>
  <c r="AT188" i="29" s="1"/>
  <c r="AW188" i="29" s="1"/>
  <c r="AR187" i="29"/>
  <c r="AQ187" i="29"/>
  <c r="AT187" i="29" s="1"/>
  <c r="AW187" i="29" s="1"/>
  <c r="AR186" i="29"/>
  <c r="AU186" i="29" s="1"/>
  <c r="AQ186" i="29"/>
  <c r="AT186" i="29" s="1"/>
  <c r="AW186" i="29" s="1"/>
  <c r="AR185" i="29"/>
  <c r="AU185" i="29" s="1"/>
  <c r="AQ185" i="29"/>
  <c r="AR184" i="29"/>
  <c r="AQ184" i="29"/>
  <c r="AT184" i="29" s="1"/>
  <c r="AW184" i="29" s="1"/>
  <c r="AR183" i="29"/>
  <c r="AU183" i="29" s="1"/>
  <c r="AQ183" i="29"/>
  <c r="AT183" i="29" s="1"/>
  <c r="AW183" i="29" s="1"/>
  <c r="AR182" i="29"/>
  <c r="AA182" i="29" s="1"/>
  <c r="AQ182" i="29"/>
  <c r="AT182" i="29" s="1"/>
  <c r="AW182" i="29" s="1"/>
  <c r="AR181" i="29"/>
  <c r="AQ181" i="29"/>
  <c r="AR180" i="29"/>
  <c r="AU180" i="29" s="1"/>
  <c r="AQ180" i="29"/>
  <c r="AT180" i="29" s="1"/>
  <c r="AW180" i="29" s="1"/>
  <c r="AR179" i="29"/>
  <c r="AU179" i="29" s="1"/>
  <c r="AQ179" i="29"/>
  <c r="AT179" i="29" s="1"/>
  <c r="AW179" i="29" s="1"/>
  <c r="AR178" i="29"/>
  <c r="AQ178" i="29"/>
  <c r="AT178" i="29" s="1"/>
  <c r="AW178" i="29" s="1"/>
  <c r="AR177" i="29"/>
  <c r="AQ177" i="29"/>
  <c r="AT177" i="29" s="1"/>
  <c r="AW177" i="29" s="1"/>
  <c r="AR176" i="29"/>
  <c r="AU176" i="29" s="1"/>
  <c r="AQ176" i="29"/>
  <c r="AT176" i="29" s="1"/>
  <c r="AW176" i="29" s="1"/>
  <c r="AA176" i="29"/>
  <c r="AR175" i="29"/>
  <c r="AQ175" i="29"/>
  <c r="AT175" i="29" s="1"/>
  <c r="AW175" i="29" s="1"/>
  <c r="AR174" i="29"/>
  <c r="AU174" i="29" s="1"/>
  <c r="AQ174" i="29"/>
  <c r="AT174" i="29" s="1"/>
  <c r="AW174" i="29" s="1"/>
  <c r="AR173" i="29"/>
  <c r="AU173" i="29" s="1"/>
  <c r="AQ173" i="29"/>
  <c r="AR172" i="29"/>
  <c r="AQ172" i="29"/>
  <c r="AT172" i="29" s="1"/>
  <c r="AW172" i="29" s="1"/>
  <c r="AR171" i="29"/>
  <c r="AU171" i="29" s="1"/>
  <c r="AQ171" i="29"/>
  <c r="AT171" i="29" s="1"/>
  <c r="AW171" i="29" s="1"/>
  <c r="AR170" i="29"/>
  <c r="AU170" i="29" s="1"/>
  <c r="AQ170" i="29"/>
  <c r="AT170" i="29" s="1"/>
  <c r="AW170" i="29" s="1"/>
  <c r="AR169" i="29"/>
  <c r="AU169" i="29" s="1"/>
  <c r="AQ169" i="29"/>
  <c r="AA169" i="29"/>
  <c r="AR168" i="29"/>
  <c r="AQ168" i="29"/>
  <c r="AT168" i="29" s="1"/>
  <c r="AW168" i="29" s="1"/>
  <c r="AR167" i="29"/>
  <c r="AQ167" i="29"/>
  <c r="AT167" i="29" s="1"/>
  <c r="AW167" i="29" s="1"/>
  <c r="AR166" i="29"/>
  <c r="AQ166" i="29"/>
  <c r="AT166" i="29" s="1"/>
  <c r="AW166" i="29" s="1"/>
  <c r="AR165" i="29"/>
  <c r="AU165" i="29" s="1"/>
  <c r="AQ165" i="29"/>
  <c r="AR164" i="29"/>
  <c r="AA164" i="29" s="1"/>
  <c r="AQ164" i="29"/>
  <c r="AT164" i="29" s="1"/>
  <c r="AW164" i="29" s="1"/>
  <c r="AR163" i="29"/>
  <c r="AA163" i="29" s="1"/>
  <c r="AQ163" i="29"/>
  <c r="AR162" i="29"/>
  <c r="AA162" i="29" s="1"/>
  <c r="AQ162" i="29"/>
  <c r="AT162" i="29" s="1"/>
  <c r="AW162" i="29" s="1"/>
  <c r="AR161" i="29"/>
  <c r="AS161" i="29" s="1"/>
  <c r="AV161" i="29" s="1"/>
  <c r="AQ161" i="29"/>
  <c r="AT161" i="29" s="1"/>
  <c r="AW161" i="29" s="1"/>
  <c r="AR160" i="29"/>
  <c r="AU160" i="29" s="1"/>
  <c r="AQ160" i="29"/>
  <c r="AT160" i="29" s="1"/>
  <c r="AW160" i="29" s="1"/>
  <c r="AR159" i="29"/>
  <c r="AQ159" i="29"/>
  <c r="AT159" i="29" s="1"/>
  <c r="AW159" i="29" s="1"/>
  <c r="AR158" i="29"/>
  <c r="AA158" i="29" s="1"/>
  <c r="AQ158" i="29"/>
  <c r="AT158" i="29" s="1"/>
  <c r="AW158" i="29" s="1"/>
  <c r="AR157" i="29"/>
  <c r="AU157" i="29" s="1"/>
  <c r="AQ157" i="29"/>
  <c r="AT157" i="29" s="1"/>
  <c r="AW157" i="29" s="1"/>
  <c r="AR156" i="29"/>
  <c r="AA156" i="29" s="1"/>
  <c r="AQ156" i="29"/>
  <c r="AT156" i="29" s="1"/>
  <c r="AW156" i="29" s="1"/>
  <c r="AR155" i="29"/>
  <c r="AQ155" i="29"/>
  <c r="AT155" i="29" s="1"/>
  <c r="AW155" i="29" s="1"/>
  <c r="AR154" i="29"/>
  <c r="AU154" i="29" s="1"/>
  <c r="AQ154" i="29"/>
  <c r="AA154" i="29"/>
  <c r="AR153" i="29"/>
  <c r="AU153" i="29" s="1"/>
  <c r="AQ153" i="29"/>
  <c r="AT153" i="29" s="1"/>
  <c r="AW153" i="29" s="1"/>
  <c r="AR152" i="29"/>
  <c r="AA152" i="29" s="1"/>
  <c r="AQ152" i="29"/>
  <c r="AT152" i="29" s="1"/>
  <c r="AW152" i="29" s="1"/>
  <c r="AR151" i="29"/>
  <c r="AU151" i="29" s="1"/>
  <c r="AQ151" i="29"/>
  <c r="AT151" i="29" s="1"/>
  <c r="AW151" i="29" s="1"/>
  <c r="AR150" i="29"/>
  <c r="AA150" i="29" s="1"/>
  <c r="AQ150" i="29"/>
  <c r="AT150" i="29" s="1"/>
  <c r="AW150" i="29" s="1"/>
  <c r="AR149" i="29"/>
  <c r="AA149" i="29" s="1"/>
  <c r="AQ149" i="29"/>
  <c r="AT149" i="29" s="1"/>
  <c r="AW149" i="29" s="1"/>
  <c r="AR148" i="29"/>
  <c r="AA148" i="29" s="1"/>
  <c r="AQ148" i="29"/>
  <c r="AR147" i="29"/>
  <c r="AU147" i="29" s="1"/>
  <c r="AQ147" i="29"/>
  <c r="AR146" i="29"/>
  <c r="AU146" i="29" s="1"/>
  <c r="AQ146" i="29"/>
  <c r="AT146" i="29" s="1"/>
  <c r="AW146" i="29" s="1"/>
  <c r="AA146" i="29"/>
  <c r="AR145" i="29"/>
  <c r="AU145" i="29" s="1"/>
  <c r="AQ145" i="29"/>
  <c r="AT145" i="29" s="1"/>
  <c r="AW145" i="29" s="1"/>
  <c r="AR144" i="29"/>
  <c r="AQ144" i="29"/>
  <c r="AT144" i="29" s="1"/>
  <c r="AW144" i="29" s="1"/>
  <c r="AR143" i="29"/>
  <c r="AU143" i="29" s="1"/>
  <c r="AQ143" i="29"/>
  <c r="AT143" i="29" s="1"/>
  <c r="AW143" i="29" s="1"/>
  <c r="AR142" i="29"/>
  <c r="AQ142" i="29"/>
  <c r="AT142" i="29" s="1"/>
  <c r="AW142" i="29" s="1"/>
  <c r="AR141" i="29"/>
  <c r="AQ141" i="29"/>
  <c r="AT141" i="29" s="1"/>
  <c r="AW141" i="29" s="1"/>
  <c r="AR140" i="29"/>
  <c r="AQ140" i="29"/>
  <c r="AT140" i="29" s="1"/>
  <c r="AW140" i="29" s="1"/>
  <c r="AA140" i="29"/>
  <c r="AR139" i="29"/>
  <c r="AU139" i="29" s="1"/>
  <c r="AQ139" i="29"/>
  <c r="AT139" i="29" s="1"/>
  <c r="AW139" i="29" s="1"/>
  <c r="AR138" i="29"/>
  <c r="AQ138" i="29"/>
  <c r="AT138" i="29" s="1"/>
  <c r="AW138" i="29" s="1"/>
  <c r="AR137" i="29"/>
  <c r="AA137" i="29" s="1"/>
  <c r="AQ137" i="29"/>
  <c r="AT137" i="29" s="1"/>
  <c r="AW137" i="29" s="1"/>
  <c r="AR136" i="29"/>
  <c r="AQ136" i="29"/>
  <c r="AT136" i="29" s="1"/>
  <c r="AW136" i="29" s="1"/>
  <c r="AR135" i="29"/>
  <c r="AU135" i="29" s="1"/>
  <c r="AQ135" i="29"/>
  <c r="AR134" i="29"/>
  <c r="AA134" i="29" s="1"/>
  <c r="AQ134" i="29"/>
  <c r="AT134" i="29" s="1"/>
  <c r="AW134" i="29" s="1"/>
  <c r="AR133" i="29"/>
  <c r="AQ133" i="29"/>
  <c r="AT133" i="29" s="1"/>
  <c r="AW133" i="29" s="1"/>
  <c r="AR132" i="29"/>
  <c r="AA132" i="29" s="1"/>
  <c r="AQ132" i="29"/>
  <c r="AT132" i="29" s="1"/>
  <c r="AW132" i="29" s="1"/>
  <c r="AR131" i="29"/>
  <c r="AU131" i="29" s="1"/>
  <c r="AQ131" i="29"/>
  <c r="AT131" i="29" s="1"/>
  <c r="AW131" i="29" s="1"/>
  <c r="AR130" i="29"/>
  <c r="AU130" i="29" s="1"/>
  <c r="AQ130" i="29"/>
  <c r="AT130" i="29" s="1"/>
  <c r="AW130" i="29" s="1"/>
  <c r="AR129" i="29"/>
  <c r="AQ129" i="29"/>
  <c r="AT129" i="29" s="1"/>
  <c r="AW129" i="29" s="1"/>
  <c r="AR128" i="29"/>
  <c r="AU128" i="29" s="1"/>
  <c r="AQ128" i="29"/>
  <c r="AS128" i="29" s="1"/>
  <c r="AV128" i="29" s="1"/>
  <c r="AR127" i="29"/>
  <c r="AU127" i="29" s="1"/>
  <c r="AQ127" i="29"/>
  <c r="AR126" i="29"/>
  <c r="AA126" i="29" s="1"/>
  <c r="AQ126" i="29"/>
  <c r="AT126" i="29" s="1"/>
  <c r="AW126" i="29" s="1"/>
  <c r="AR125" i="29"/>
  <c r="AU125" i="29" s="1"/>
  <c r="AQ125" i="29"/>
  <c r="AS125" i="29" s="1"/>
  <c r="AV125" i="29" s="1"/>
  <c r="AR124" i="29"/>
  <c r="AU124" i="29" s="1"/>
  <c r="AQ124" i="29"/>
  <c r="AT124" i="29" s="1"/>
  <c r="AW124" i="29" s="1"/>
  <c r="AR123" i="29"/>
  <c r="AQ123" i="29"/>
  <c r="AT123" i="29" s="1"/>
  <c r="AW123" i="29" s="1"/>
  <c r="AR122" i="29"/>
  <c r="AQ122" i="29"/>
  <c r="AS122" i="29" s="1"/>
  <c r="AV122" i="29" s="1"/>
  <c r="AR121" i="29"/>
  <c r="AQ121" i="29"/>
  <c r="AT121" i="29" s="1"/>
  <c r="AW121" i="29" s="1"/>
  <c r="AR120" i="29"/>
  <c r="AU120" i="29" s="1"/>
  <c r="AQ120" i="29"/>
  <c r="AT120" i="29" s="1"/>
  <c r="AW120" i="29" s="1"/>
  <c r="AA120" i="29"/>
  <c r="AR119" i="29"/>
  <c r="AA119" i="29" s="1"/>
  <c r="AQ119" i="29"/>
  <c r="AR118" i="29"/>
  <c r="AQ118" i="29"/>
  <c r="AT118" i="29" s="1"/>
  <c r="AW118" i="29" s="1"/>
  <c r="AA118" i="29"/>
  <c r="AT117" i="29"/>
  <c r="AW117" i="29" s="1"/>
  <c r="AR117" i="29"/>
  <c r="AU117" i="29" s="1"/>
  <c r="AQ117" i="29"/>
  <c r="AR116" i="29"/>
  <c r="AU116" i="29" s="1"/>
  <c r="AQ116" i="29"/>
  <c r="AT116" i="29" s="1"/>
  <c r="AW116" i="29" s="1"/>
  <c r="AR115" i="29"/>
  <c r="AQ115" i="29"/>
  <c r="AT115" i="29" s="1"/>
  <c r="AW115" i="29" s="1"/>
  <c r="AR114" i="29"/>
  <c r="AA114" i="29" s="1"/>
  <c r="AQ114" i="29"/>
  <c r="AT114" i="29" s="1"/>
  <c r="AW114" i="29" s="1"/>
  <c r="AR113" i="29"/>
  <c r="AU113" i="29" s="1"/>
  <c r="AQ113" i="29"/>
  <c r="AT113" i="29" s="1"/>
  <c r="AW113" i="29" s="1"/>
  <c r="AR112" i="29"/>
  <c r="AQ112" i="29"/>
  <c r="AT112" i="29" s="1"/>
  <c r="AW112" i="29" s="1"/>
  <c r="AR111" i="29"/>
  <c r="AQ111" i="29"/>
  <c r="AT111" i="29" s="1"/>
  <c r="AW111" i="29" s="1"/>
  <c r="AR110" i="29"/>
  <c r="AU110" i="29" s="1"/>
  <c r="AQ110" i="29"/>
  <c r="AA110" i="29"/>
  <c r="L110" i="29"/>
  <c r="AU109" i="29"/>
  <c r="AR109" i="29"/>
  <c r="J109" i="29" s="1"/>
  <c r="AQ109" i="29"/>
  <c r="AT109" i="29" s="1"/>
  <c r="AW109" i="29" s="1"/>
  <c r="F104" i="29"/>
  <c r="E104" i="29"/>
  <c r="F103" i="29"/>
  <c r="E103" i="29"/>
  <c r="F102" i="29"/>
  <c r="E102" i="29"/>
  <c r="F101" i="29"/>
  <c r="E101" i="29"/>
  <c r="F100" i="29"/>
  <c r="E100" i="29"/>
  <c r="F99" i="29"/>
  <c r="E99" i="29"/>
  <c r="F98" i="29"/>
  <c r="E98" i="29"/>
  <c r="F97" i="29"/>
  <c r="E97" i="29"/>
  <c r="F96" i="29"/>
  <c r="E96" i="29"/>
  <c r="F95" i="29"/>
  <c r="E95" i="29"/>
  <c r="F94" i="29"/>
  <c r="E94" i="29"/>
  <c r="F93" i="29"/>
  <c r="E93" i="29"/>
  <c r="F92" i="29"/>
  <c r="E92" i="29"/>
  <c r="F91" i="29"/>
  <c r="E91" i="29"/>
  <c r="F90" i="29"/>
  <c r="E90" i="29"/>
  <c r="F89" i="29"/>
  <c r="E89" i="29"/>
  <c r="F88" i="29"/>
  <c r="E88" i="29"/>
  <c r="F87" i="29"/>
  <c r="E87" i="29"/>
  <c r="F86" i="29"/>
  <c r="E86" i="29"/>
  <c r="F85" i="29"/>
  <c r="E85" i="29"/>
  <c r="F84" i="29"/>
  <c r="E84" i="29"/>
  <c r="F83" i="29"/>
  <c r="E83" i="29"/>
  <c r="F82" i="29"/>
  <c r="E82" i="29"/>
  <c r="F81" i="29"/>
  <c r="E81" i="29"/>
  <c r="F80" i="29"/>
  <c r="E80" i="29"/>
  <c r="F79" i="29"/>
  <c r="E79" i="29"/>
  <c r="F78" i="29"/>
  <c r="E78" i="29"/>
  <c r="F77" i="29"/>
  <c r="E77" i="29"/>
  <c r="F76" i="29"/>
  <c r="E76" i="29"/>
  <c r="F75" i="29"/>
  <c r="E75" i="29"/>
  <c r="F74" i="29"/>
  <c r="E74" i="29"/>
  <c r="F73" i="29"/>
  <c r="E73" i="29"/>
  <c r="F72" i="29"/>
  <c r="E72" i="29"/>
  <c r="F71" i="29"/>
  <c r="E71" i="29"/>
  <c r="F70" i="29"/>
  <c r="E70" i="29"/>
  <c r="F69" i="29"/>
  <c r="E69" i="29"/>
  <c r="F68" i="29"/>
  <c r="E68" i="29"/>
  <c r="F67" i="29"/>
  <c r="E67" i="29"/>
  <c r="F66" i="29"/>
  <c r="E66" i="29"/>
  <c r="F65" i="29"/>
  <c r="E65" i="29"/>
  <c r="F64" i="29"/>
  <c r="E64" i="29"/>
  <c r="F63" i="29"/>
  <c r="E63" i="29"/>
  <c r="F62" i="29"/>
  <c r="E62" i="29"/>
  <c r="F61" i="29"/>
  <c r="E61" i="29"/>
  <c r="F60" i="29"/>
  <c r="E60" i="29"/>
  <c r="F59" i="29"/>
  <c r="E59" i="29"/>
  <c r="F58" i="29"/>
  <c r="E58" i="29"/>
  <c r="F57" i="29"/>
  <c r="E57" i="29"/>
  <c r="F56" i="29"/>
  <c r="E56" i="29"/>
  <c r="F55" i="29"/>
  <c r="E55" i="29"/>
  <c r="F54" i="29"/>
  <c r="E54" i="29"/>
  <c r="F53" i="29"/>
  <c r="E53" i="29"/>
  <c r="F52" i="29"/>
  <c r="E52" i="29"/>
  <c r="F51" i="29"/>
  <c r="E51" i="29"/>
  <c r="F50" i="29"/>
  <c r="E50" i="29"/>
  <c r="F49" i="29"/>
  <c r="E49" i="29"/>
  <c r="F48" i="29"/>
  <c r="E48" i="29"/>
  <c r="F47" i="29"/>
  <c r="E47" i="29"/>
  <c r="F46" i="29"/>
  <c r="E46" i="29"/>
  <c r="F45" i="29"/>
  <c r="E45" i="29"/>
  <c r="F44" i="29"/>
  <c r="E44" i="29"/>
  <c r="F43" i="29"/>
  <c r="E43" i="29"/>
  <c r="F42" i="29"/>
  <c r="E42" i="29"/>
  <c r="F41" i="29"/>
  <c r="E41" i="29"/>
  <c r="F40" i="29"/>
  <c r="E40" i="29"/>
  <c r="F39" i="29"/>
  <c r="E39" i="29"/>
  <c r="F38" i="29"/>
  <c r="E38" i="29"/>
  <c r="F37" i="29"/>
  <c r="E37" i="29"/>
  <c r="F36" i="29"/>
  <c r="E36" i="29"/>
  <c r="F35" i="29"/>
  <c r="E35" i="29"/>
  <c r="F34" i="29"/>
  <c r="E34" i="29"/>
  <c r="F33" i="29"/>
  <c r="E33" i="29"/>
  <c r="F32" i="29"/>
  <c r="E32" i="29"/>
  <c r="F31" i="29"/>
  <c r="E31" i="29"/>
  <c r="F30" i="29"/>
  <c r="E30" i="29"/>
  <c r="F29" i="29"/>
  <c r="E29" i="29"/>
  <c r="F28" i="29"/>
  <c r="E28" i="29"/>
  <c r="F27" i="29"/>
  <c r="E27" i="29"/>
  <c r="AR26" i="29"/>
  <c r="AU26" i="29" s="1"/>
  <c r="L26" i="29"/>
  <c r="F26" i="29"/>
  <c r="E26" i="29"/>
  <c r="AR25" i="29"/>
  <c r="AA25" i="29" s="1"/>
  <c r="AQ25" i="29"/>
  <c r="AT25" i="29" s="1"/>
  <c r="AW25" i="29" s="1"/>
  <c r="F25" i="29"/>
  <c r="E25" i="29"/>
  <c r="B7" i="29"/>
  <c r="L208" i="27"/>
  <c r="L209" i="27" s="1"/>
  <c r="L210" i="27" s="1"/>
  <c r="L211" i="27" s="1"/>
  <c r="L212" i="27" s="1"/>
  <c r="L213" i="27" s="1"/>
  <c r="L214" i="27" s="1"/>
  <c r="L215" i="27" s="1"/>
  <c r="L216" i="27" s="1"/>
  <c r="L217" i="27" s="1"/>
  <c r="L218" i="27" s="1"/>
  <c r="L219" i="27" s="1"/>
  <c r="L220" i="27" s="1"/>
  <c r="L221" i="27" s="1"/>
  <c r="L222" i="27" s="1"/>
  <c r="L223" i="27" s="1"/>
  <c r="L224" i="27" s="1"/>
  <c r="L225" i="27" s="1"/>
  <c r="L226" i="27" s="1"/>
  <c r="L227" i="27" s="1"/>
  <c r="B35" i="17"/>
  <c r="B8" i="27"/>
  <c r="B268" i="27" s="1"/>
  <c r="B7" i="16"/>
  <c r="L24" i="27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E26" i="16"/>
  <c r="F26" i="16"/>
  <c r="E27" i="16"/>
  <c r="F27" i="16"/>
  <c r="E28" i="16"/>
  <c r="F28" i="16"/>
  <c r="E29" i="16"/>
  <c r="F29" i="16"/>
  <c r="E30" i="16"/>
  <c r="F30" i="16"/>
  <c r="E31" i="16"/>
  <c r="F31" i="16"/>
  <c r="E32" i="16"/>
  <c r="F32" i="16"/>
  <c r="E33" i="16"/>
  <c r="F33" i="16"/>
  <c r="E34" i="16"/>
  <c r="F34" i="16"/>
  <c r="E35" i="16"/>
  <c r="F35" i="16"/>
  <c r="E36" i="16"/>
  <c r="F36" i="16"/>
  <c r="E37" i="16"/>
  <c r="F37" i="16"/>
  <c r="E38" i="16"/>
  <c r="F38" i="16"/>
  <c r="E39" i="16"/>
  <c r="F39" i="16"/>
  <c r="E40" i="16"/>
  <c r="F40" i="16"/>
  <c r="E41" i="16"/>
  <c r="F41" i="16"/>
  <c r="E42" i="16"/>
  <c r="F42" i="16"/>
  <c r="E43" i="16"/>
  <c r="F43" i="16"/>
  <c r="E44" i="16"/>
  <c r="F44" i="16"/>
  <c r="E45" i="16"/>
  <c r="F45" i="16"/>
  <c r="E46" i="16"/>
  <c r="F46" i="16"/>
  <c r="E47" i="16"/>
  <c r="F47" i="16"/>
  <c r="E48" i="16"/>
  <c r="F48" i="16"/>
  <c r="E49" i="16"/>
  <c r="F49" i="16"/>
  <c r="E50" i="16"/>
  <c r="F50" i="16"/>
  <c r="E51" i="16"/>
  <c r="F51" i="16"/>
  <c r="E52" i="16"/>
  <c r="F52" i="16"/>
  <c r="E53" i="16"/>
  <c r="F53" i="16"/>
  <c r="E54" i="16"/>
  <c r="F54" i="16"/>
  <c r="E55" i="16"/>
  <c r="F55" i="16"/>
  <c r="E56" i="16"/>
  <c r="F56" i="16"/>
  <c r="E57" i="16"/>
  <c r="F57" i="16"/>
  <c r="E58" i="16"/>
  <c r="F58" i="16"/>
  <c r="E59" i="16"/>
  <c r="F59" i="16"/>
  <c r="E60" i="16"/>
  <c r="F60" i="16"/>
  <c r="E61" i="16"/>
  <c r="F61" i="16"/>
  <c r="E62" i="16"/>
  <c r="F62" i="16"/>
  <c r="E63" i="16"/>
  <c r="F63" i="16"/>
  <c r="E64" i="16"/>
  <c r="F64" i="16"/>
  <c r="E65" i="16"/>
  <c r="F65" i="16"/>
  <c r="E66" i="16"/>
  <c r="F66" i="16"/>
  <c r="E67" i="16"/>
  <c r="F67" i="16"/>
  <c r="E68" i="16"/>
  <c r="F68" i="16"/>
  <c r="E69" i="16"/>
  <c r="F69" i="16"/>
  <c r="E70" i="16"/>
  <c r="F70" i="16"/>
  <c r="E71" i="16"/>
  <c r="F71" i="16"/>
  <c r="E72" i="16"/>
  <c r="F72" i="16"/>
  <c r="E73" i="16"/>
  <c r="F73" i="16"/>
  <c r="E74" i="16"/>
  <c r="F74" i="16"/>
  <c r="E75" i="16"/>
  <c r="F75" i="16"/>
  <c r="E76" i="16"/>
  <c r="F76" i="16"/>
  <c r="E77" i="16"/>
  <c r="F77" i="16"/>
  <c r="E78" i="16"/>
  <c r="F78" i="16"/>
  <c r="E79" i="16"/>
  <c r="F79" i="16"/>
  <c r="E80" i="16"/>
  <c r="F80" i="16"/>
  <c r="E81" i="16"/>
  <c r="F81" i="16"/>
  <c r="E82" i="16"/>
  <c r="F82" i="16"/>
  <c r="E83" i="16"/>
  <c r="F83" i="16"/>
  <c r="E84" i="16"/>
  <c r="F84" i="16"/>
  <c r="E85" i="16"/>
  <c r="F85" i="16"/>
  <c r="E86" i="16"/>
  <c r="F86" i="16"/>
  <c r="E87" i="16"/>
  <c r="F87" i="16"/>
  <c r="E88" i="16"/>
  <c r="F88" i="16"/>
  <c r="E89" i="16"/>
  <c r="F89" i="16"/>
  <c r="E90" i="16"/>
  <c r="F90" i="16"/>
  <c r="E91" i="16"/>
  <c r="F91" i="16"/>
  <c r="E92" i="16"/>
  <c r="F92" i="16"/>
  <c r="E93" i="16"/>
  <c r="F93" i="16"/>
  <c r="E94" i="16"/>
  <c r="F94" i="16"/>
  <c r="E95" i="16"/>
  <c r="F95" i="16"/>
  <c r="E96" i="16"/>
  <c r="F96" i="16"/>
  <c r="E97" i="16"/>
  <c r="F97" i="16"/>
  <c r="E98" i="16"/>
  <c r="F98" i="16"/>
  <c r="E99" i="16"/>
  <c r="F99" i="16"/>
  <c r="E100" i="16"/>
  <c r="F100" i="16"/>
  <c r="E101" i="16"/>
  <c r="F101" i="16"/>
  <c r="E102" i="16"/>
  <c r="F102" i="16"/>
  <c r="E103" i="16"/>
  <c r="F103" i="16"/>
  <c r="E104" i="16"/>
  <c r="F104" i="16"/>
  <c r="F25" i="16"/>
  <c r="E25" i="16"/>
  <c r="AO74" i="27"/>
  <c r="AO75" i="27"/>
  <c r="AO76" i="27"/>
  <c r="AO77" i="27"/>
  <c r="AO78" i="27"/>
  <c r="AO79" i="27"/>
  <c r="AO80" i="27"/>
  <c r="AO81" i="27"/>
  <c r="AO82" i="27"/>
  <c r="AO83" i="27"/>
  <c r="AO84" i="27"/>
  <c r="AO85" i="27"/>
  <c r="AO86" i="27"/>
  <c r="AO87" i="27"/>
  <c r="AO88" i="27"/>
  <c r="AO89" i="27"/>
  <c r="AO90" i="27"/>
  <c r="AO91" i="27"/>
  <c r="AO92" i="27"/>
  <c r="AO93" i="27"/>
  <c r="AO94" i="27"/>
  <c r="AO95" i="27"/>
  <c r="AO96" i="27"/>
  <c r="AO97" i="27"/>
  <c r="AO98" i="27"/>
  <c r="AO99" i="27"/>
  <c r="AO100" i="27"/>
  <c r="AO101" i="27"/>
  <c r="AO102" i="27"/>
  <c r="AO103" i="27"/>
  <c r="AO104" i="27"/>
  <c r="AO105" i="27"/>
  <c r="AO106" i="27"/>
  <c r="AO107" i="27"/>
  <c r="AO108" i="27"/>
  <c r="AO109" i="27"/>
  <c r="AO110" i="27"/>
  <c r="AO111" i="27"/>
  <c r="AO112" i="27"/>
  <c r="AO113" i="27"/>
  <c r="AO114" i="27"/>
  <c r="AO115" i="27"/>
  <c r="AO116" i="27"/>
  <c r="AO117" i="27"/>
  <c r="AO118" i="27"/>
  <c r="AO119" i="27"/>
  <c r="AO120" i="27"/>
  <c r="AO121" i="27"/>
  <c r="AO122" i="27"/>
  <c r="AO123" i="27"/>
  <c r="AO124" i="27"/>
  <c r="AO125" i="27"/>
  <c r="AO126" i="27"/>
  <c r="AO127" i="27"/>
  <c r="AO128" i="27"/>
  <c r="AO129" i="27"/>
  <c r="AO130" i="27"/>
  <c r="AO131" i="27"/>
  <c r="AO132" i="27"/>
  <c r="AO133" i="27"/>
  <c r="AO134" i="27"/>
  <c r="AO135" i="27"/>
  <c r="AO136" i="27"/>
  <c r="AO137" i="27"/>
  <c r="AO138" i="27"/>
  <c r="AO139" i="27"/>
  <c r="AO140" i="27"/>
  <c r="AO141" i="27"/>
  <c r="AO142" i="27"/>
  <c r="AO73" i="27"/>
  <c r="F74" i="27" s="1"/>
  <c r="F75" i="27" s="1"/>
  <c r="L74" i="27"/>
  <c r="L75" i="27" s="1"/>
  <c r="AR327" i="27"/>
  <c r="J327" i="27" s="1"/>
  <c r="AZ327" i="27" s="1"/>
  <c r="AP327" i="27" s="1"/>
  <c r="AQ327" i="27"/>
  <c r="AT327" i="27" s="1"/>
  <c r="AW327" i="27" s="1"/>
  <c r="B327" i="27"/>
  <c r="C327" i="27" s="1"/>
  <c r="D298" i="27"/>
  <c r="B264" i="27"/>
  <c r="L233" i="27"/>
  <c r="L234" i="27" s="1"/>
  <c r="L235" i="27" s="1"/>
  <c r="H208" i="27"/>
  <c r="AR208" i="27" s="1"/>
  <c r="AR207" i="27"/>
  <c r="AB207" i="27" s="1"/>
  <c r="AQ207" i="27"/>
  <c r="C198" i="27"/>
  <c r="AL24" i="27"/>
  <c r="AL25" i="27" s="1"/>
  <c r="H24" i="27"/>
  <c r="AQ24" i="27" s="1"/>
  <c r="AT24" i="27" s="1"/>
  <c r="AW24" i="27" s="1"/>
  <c r="AR23" i="27"/>
  <c r="AU23" i="27" s="1"/>
  <c r="AQ23" i="27"/>
  <c r="AT23" i="27" s="1"/>
  <c r="AW23" i="27" s="1"/>
  <c r="AF23" i="27"/>
  <c r="E9" i="27"/>
  <c r="H11" i="27" s="1"/>
  <c r="H9" i="27"/>
  <c r="H14" i="27" s="1"/>
  <c r="B7" i="27"/>
  <c r="P292" i="27" s="1"/>
  <c r="B7" i="11"/>
  <c r="B296" i="17"/>
  <c r="D291" i="17"/>
  <c r="D292" i="17" s="1"/>
  <c r="D293" i="17" s="1"/>
  <c r="E290" i="17"/>
  <c r="V289" i="17"/>
  <c r="AR284" i="17"/>
  <c r="AU304" i="17" s="1"/>
  <c r="AQ284" i="17"/>
  <c r="AT304" i="17" s="1"/>
  <c r="AW304" i="17" s="1"/>
  <c r="AR283" i="17"/>
  <c r="AU303" i="17" s="1"/>
  <c r="AQ283" i="17"/>
  <c r="AT303" i="17" s="1"/>
  <c r="AW303" i="17" s="1"/>
  <c r="AR282" i="17"/>
  <c r="AU302" i="17" s="1"/>
  <c r="AQ282" i="17"/>
  <c r="AT302" i="17" s="1"/>
  <c r="AW302" i="17" s="1"/>
  <c r="AR281" i="17"/>
  <c r="AQ281" i="17"/>
  <c r="AT301" i="17" s="1"/>
  <c r="AW301" i="17" s="1"/>
  <c r="AR280" i="17"/>
  <c r="AQ280" i="17"/>
  <c r="AT300" i="17" s="1"/>
  <c r="AW300" i="17" s="1"/>
  <c r="AR279" i="17"/>
  <c r="J279" i="17" s="1"/>
  <c r="AP279" i="17" s="1"/>
  <c r="AQ279" i="17"/>
  <c r="AT299" i="17" s="1"/>
  <c r="AW299" i="17" s="1"/>
  <c r="AR278" i="17"/>
  <c r="AQ278" i="17"/>
  <c r="AT298" i="17" s="1"/>
  <c r="AW298" i="17" s="1"/>
  <c r="AR277" i="17"/>
  <c r="AQ277" i="17"/>
  <c r="AT297" i="17" s="1"/>
  <c r="AW297" i="17" s="1"/>
  <c r="AR276" i="17"/>
  <c r="J276" i="17" s="1"/>
  <c r="AP276" i="17" s="1"/>
  <c r="AQ276" i="17"/>
  <c r="AT296" i="17" s="1"/>
  <c r="AW296" i="17" s="1"/>
  <c r="AR275" i="17"/>
  <c r="J275" i="17" s="1"/>
  <c r="AP275" i="17" s="1"/>
  <c r="AQ275" i="17"/>
  <c r="AT295" i="17" s="1"/>
  <c r="AW295" i="17" s="1"/>
  <c r="AR274" i="17"/>
  <c r="AU294" i="17" s="1"/>
  <c r="AQ274" i="17"/>
  <c r="AT294" i="17" s="1"/>
  <c r="AW294" i="17" s="1"/>
  <c r="AR273" i="17"/>
  <c r="AU293" i="17" s="1"/>
  <c r="AQ273" i="17"/>
  <c r="AR272" i="17"/>
  <c r="J272" i="17" s="1"/>
  <c r="AP272" i="17" s="1"/>
  <c r="AQ272" i="17"/>
  <c r="AR271" i="17"/>
  <c r="J271" i="17" s="1"/>
  <c r="AP271" i="17" s="1"/>
  <c r="AQ271" i="17"/>
  <c r="AR270" i="17"/>
  <c r="AU290" i="17" s="1"/>
  <c r="AQ270" i="17"/>
  <c r="AT290" i="17" s="1"/>
  <c r="AW290" i="17" s="1"/>
  <c r="AR269" i="17"/>
  <c r="AU289" i="17" s="1"/>
  <c r="AQ269" i="17"/>
  <c r="AR268" i="17"/>
  <c r="J268" i="17" s="1"/>
  <c r="AP268" i="17" s="1"/>
  <c r="AQ268" i="17"/>
  <c r="AR267" i="17"/>
  <c r="AQ267" i="17"/>
  <c r="AT287" i="17" s="1"/>
  <c r="AW287" i="17" s="1"/>
  <c r="AR266" i="17"/>
  <c r="AQ266" i="17"/>
  <c r="AT286" i="17" s="1"/>
  <c r="AW286" i="17" s="1"/>
  <c r="AR265" i="17"/>
  <c r="AQ265" i="17"/>
  <c r="AT285" i="17" s="1"/>
  <c r="AW285" i="17" s="1"/>
  <c r="AR264" i="17"/>
  <c r="AQ264" i="17"/>
  <c r="AT284" i="17" s="1"/>
  <c r="AW284" i="17" s="1"/>
  <c r="AR263" i="17"/>
  <c r="J263" i="17" s="1"/>
  <c r="AP263" i="17" s="1"/>
  <c r="AQ263" i="17"/>
  <c r="AT283" i="17" s="1"/>
  <c r="AW283" i="17" s="1"/>
  <c r="AR262" i="17"/>
  <c r="J262" i="17" s="1"/>
  <c r="AP262" i="17" s="1"/>
  <c r="AQ262" i="17"/>
  <c r="AR261" i="17"/>
  <c r="AQ261" i="17"/>
  <c r="AT281" i="17" s="1"/>
  <c r="AW281" i="17" s="1"/>
  <c r="AR260" i="17"/>
  <c r="J260" i="17" s="1"/>
  <c r="AP260" i="17" s="1"/>
  <c r="AQ260" i="17"/>
  <c r="AT280" i="17" s="1"/>
  <c r="AW280" i="17" s="1"/>
  <c r="AR259" i="17"/>
  <c r="AQ259" i="17"/>
  <c r="AT279" i="17" s="1"/>
  <c r="AW279" i="17" s="1"/>
  <c r="AR258" i="17"/>
  <c r="AQ258" i="17"/>
  <c r="AT278" i="17" s="1"/>
  <c r="AW278" i="17" s="1"/>
  <c r="AR257" i="17"/>
  <c r="AQ257" i="17"/>
  <c r="AT277" i="17" s="1"/>
  <c r="AW277" i="17" s="1"/>
  <c r="AR256" i="17"/>
  <c r="AQ256" i="17"/>
  <c r="AT276" i="17" s="1"/>
  <c r="AW276" i="17" s="1"/>
  <c r="AR255" i="17"/>
  <c r="AU275" i="17" s="1"/>
  <c r="AQ255" i="17"/>
  <c r="AT275" i="17" s="1"/>
  <c r="AW275" i="17" s="1"/>
  <c r="AR254" i="17"/>
  <c r="AQ254" i="17"/>
  <c r="AT274" i="17" s="1"/>
  <c r="AW274" i="17" s="1"/>
  <c r="AR253" i="17"/>
  <c r="AQ253" i="17"/>
  <c r="AT273" i="17" s="1"/>
  <c r="AW273" i="17" s="1"/>
  <c r="AR252" i="17"/>
  <c r="AU272" i="17" s="1"/>
  <c r="AQ252" i="17"/>
  <c r="AT272" i="17" s="1"/>
  <c r="AW272" i="17" s="1"/>
  <c r="AR251" i="17"/>
  <c r="AQ251" i="17"/>
  <c r="AT271" i="17" s="1"/>
  <c r="AW271" i="17" s="1"/>
  <c r="AR250" i="17"/>
  <c r="AQ250" i="17"/>
  <c r="AT270" i="17" s="1"/>
  <c r="AW270" i="17" s="1"/>
  <c r="AR249" i="17"/>
  <c r="AQ249" i="17"/>
  <c r="AT269" i="17" s="1"/>
  <c r="AW269" i="17" s="1"/>
  <c r="AR248" i="17"/>
  <c r="AQ248" i="17"/>
  <c r="AT268" i="17" s="1"/>
  <c r="AW268" i="17" s="1"/>
  <c r="AR247" i="17"/>
  <c r="J247" i="17" s="1"/>
  <c r="AP247" i="17" s="1"/>
  <c r="AQ247" i="17"/>
  <c r="AT267" i="17" s="1"/>
  <c r="AW267" i="17" s="1"/>
  <c r="AR246" i="17"/>
  <c r="AQ246" i="17"/>
  <c r="AT266" i="17" s="1"/>
  <c r="AW266" i="17" s="1"/>
  <c r="AR245" i="17"/>
  <c r="AQ245" i="17"/>
  <c r="AT265" i="17" s="1"/>
  <c r="AW265" i="17" s="1"/>
  <c r="AR244" i="17"/>
  <c r="J244" i="17" s="1"/>
  <c r="AP244" i="17" s="1"/>
  <c r="AQ244" i="17"/>
  <c r="AT264" i="17" s="1"/>
  <c r="AW264" i="17" s="1"/>
  <c r="AR243" i="17"/>
  <c r="AU263" i="17" s="1"/>
  <c r="AQ243" i="17"/>
  <c r="AT263" i="17" s="1"/>
  <c r="AW263" i="17" s="1"/>
  <c r="AR242" i="17"/>
  <c r="J242" i="17" s="1"/>
  <c r="AP242" i="17" s="1"/>
  <c r="AQ242" i="17"/>
  <c r="AT262" i="17" s="1"/>
  <c r="AW262" i="17" s="1"/>
  <c r="AR241" i="17"/>
  <c r="AQ241" i="17"/>
  <c r="AT261" i="17" s="1"/>
  <c r="AW261" i="17" s="1"/>
  <c r="AR240" i="17"/>
  <c r="AU260" i="17" s="1"/>
  <c r="AQ240" i="17"/>
  <c r="AT260" i="17" s="1"/>
  <c r="AW260" i="17" s="1"/>
  <c r="AR239" i="17"/>
  <c r="AQ239" i="17"/>
  <c r="AT259" i="17" s="1"/>
  <c r="AW259" i="17" s="1"/>
  <c r="AR238" i="17"/>
  <c r="AQ238" i="17"/>
  <c r="AT258" i="17" s="1"/>
  <c r="AW258" i="17" s="1"/>
  <c r="AR237" i="17"/>
  <c r="AQ237" i="17"/>
  <c r="AT257" i="17" s="1"/>
  <c r="AW257" i="17" s="1"/>
  <c r="AR236" i="17"/>
  <c r="AQ236" i="17"/>
  <c r="AT256" i="17" s="1"/>
  <c r="AW256" i="17" s="1"/>
  <c r="L202" i="17"/>
  <c r="L203" i="17" s="1"/>
  <c r="H202" i="17"/>
  <c r="AQ202" i="17" s="1"/>
  <c r="AT222" i="17" s="1"/>
  <c r="AW222" i="17" s="1"/>
  <c r="AR201" i="17"/>
  <c r="AQ201" i="17"/>
  <c r="AT221" i="17" s="1"/>
  <c r="AW221" i="17" s="1"/>
  <c r="D201" i="17"/>
  <c r="AR189" i="16"/>
  <c r="AQ189" i="16"/>
  <c r="AT189" i="16" s="1"/>
  <c r="AW189" i="16" s="1"/>
  <c r="D189" i="16"/>
  <c r="AR188" i="16"/>
  <c r="AA188" i="16" s="1"/>
  <c r="AQ188" i="16"/>
  <c r="AT188" i="16" s="1"/>
  <c r="AW188" i="16" s="1"/>
  <c r="D188" i="16"/>
  <c r="AW187" i="16"/>
  <c r="AR187" i="16"/>
  <c r="AA187" i="16" s="1"/>
  <c r="AQ187" i="16"/>
  <c r="AT187" i="16" s="1"/>
  <c r="D187" i="16"/>
  <c r="AR186" i="16"/>
  <c r="AA186" i="16" s="1"/>
  <c r="AQ186" i="16"/>
  <c r="AT186" i="16" s="1"/>
  <c r="AW186" i="16" s="1"/>
  <c r="D186" i="16"/>
  <c r="AR185" i="16"/>
  <c r="AQ185" i="16"/>
  <c r="AT185" i="16" s="1"/>
  <c r="AW185" i="16" s="1"/>
  <c r="D185" i="16"/>
  <c r="AR184" i="16"/>
  <c r="AQ184" i="16"/>
  <c r="AT184" i="16" s="1"/>
  <c r="AW184" i="16" s="1"/>
  <c r="D184" i="16"/>
  <c r="AR183" i="16"/>
  <c r="AA183" i="16" s="1"/>
  <c r="AQ183" i="16"/>
  <c r="AT183" i="16" s="1"/>
  <c r="AW183" i="16" s="1"/>
  <c r="D183" i="16"/>
  <c r="AR182" i="16"/>
  <c r="AQ182" i="16"/>
  <c r="AT182" i="16" s="1"/>
  <c r="AW182" i="16" s="1"/>
  <c r="D182" i="16"/>
  <c r="AR181" i="16"/>
  <c r="AU181" i="16" s="1"/>
  <c r="AQ181" i="16"/>
  <c r="AT181" i="16" s="1"/>
  <c r="AW181" i="16" s="1"/>
  <c r="D181" i="16"/>
  <c r="AR180" i="16"/>
  <c r="AQ180" i="16"/>
  <c r="AT180" i="16" s="1"/>
  <c r="AW180" i="16" s="1"/>
  <c r="AA180" i="16"/>
  <c r="D180" i="16"/>
  <c r="AR179" i="16"/>
  <c r="AQ179" i="16"/>
  <c r="AT179" i="16" s="1"/>
  <c r="AW179" i="16" s="1"/>
  <c r="D179" i="16"/>
  <c r="AU178" i="16"/>
  <c r="AT178" i="16"/>
  <c r="AW178" i="16" s="1"/>
  <c r="AR178" i="16"/>
  <c r="AS178" i="16" s="1"/>
  <c r="AV178" i="16" s="1"/>
  <c r="AQ178" i="16"/>
  <c r="D178" i="16"/>
  <c r="AU177" i="16"/>
  <c r="AR177" i="16"/>
  <c r="AQ177" i="16"/>
  <c r="AT177" i="16" s="1"/>
  <c r="AW177" i="16" s="1"/>
  <c r="D177" i="16"/>
  <c r="AR176" i="16"/>
  <c r="AQ176" i="16"/>
  <c r="AT176" i="16" s="1"/>
  <c r="AW176" i="16" s="1"/>
  <c r="D176" i="16"/>
  <c r="AR175" i="16"/>
  <c r="AA175" i="16" s="1"/>
  <c r="AQ175" i="16"/>
  <c r="AT175" i="16" s="1"/>
  <c r="AW175" i="16" s="1"/>
  <c r="D175" i="16"/>
  <c r="AR174" i="16"/>
  <c r="AU174" i="16" s="1"/>
  <c r="AQ174" i="16"/>
  <c r="AT174" i="16" s="1"/>
  <c r="AW174" i="16" s="1"/>
  <c r="AA174" i="16"/>
  <c r="D174" i="16"/>
  <c r="AR173" i="16"/>
  <c r="AQ173" i="16"/>
  <c r="AT173" i="16" s="1"/>
  <c r="AW173" i="16" s="1"/>
  <c r="D173" i="16"/>
  <c r="AR172" i="16"/>
  <c r="AQ172" i="16"/>
  <c r="AT172" i="16" s="1"/>
  <c r="AW172" i="16" s="1"/>
  <c r="D172" i="16"/>
  <c r="AR171" i="16"/>
  <c r="AA171" i="16" s="1"/>
  <c r="AQ171" i="16"/>
  <c r="AT171" i="16" s="1"/>
  <c r="AW171" i="16" s="1"/>
  <c r="D171" i="16"/>
  <c r="AR170" i="16"/>
  <c r="AQ170" i="16"/>
  <c r="AT170" i="16" s="1"/>
  <c r="AW170" i="16" s="1"/>
  <c r="D170" i="16"/>
  <c r="AR169" i="16"/>
  <c r="AQ169" i="16"/>
  <c r="AT169" i="16" s="1"/>
  <c r="AW169" i="16" s="1"/>
  <c r="D169" i="16"/>
  <c r="AR168" i="16"/>
  <c r="AA168" i="16" s="1"/>
  <c r="AQ168" i="16"/>
  <c r="AT168" i="16" s="1"/>
  <c r="AW168" i="16" s="1"/>
  <c r="D168" i="16"/>
  <c r="AR167" i="16"/>
  <c r="AQ167" i="16"/>
  <c r="AT167" i="16" s="1"/>
  <c r="AW167" i="16" s="1"/>
  <c r="D167" i="16"/>
  <c r="AT166" i="16"/>
  <c r="AW166" i="16" s="1"/>
  <c r="AR166" i="16"/>
  <c r="AA166" i="16" s="1"/>
  <c r="AQ166" i="16"/>
  <c r="D166" i="16"/>
  <c r="AR165" i="16"/>
  <c r="AQ165" i="16"/>
  <c r="AT165" i="16" s="1"/>
  <c r="AW165" i="16" s="1"/>
  <c r="D165" i="16"/>
  <c r="AR164" i="16"/>
  <c r="AQ164" i="16"/>
  <c r="AT164" i="16" s="1"/>
  <c r="AW164" i="16" s="1"/>
  <c r="D164" i="16"/>
  <c r="AR163" i="16"/>
  <c r="AA163" i="16" s="1"/>
  <c r="AQ163" i="16"/>
  <c r="AT163" i="16" s="1"/>
  <c r="AW163" i="16" s="1"/>
  <c r="D163" i="16"/>
  <c r="AR162" i="16"/>
  <c r="AQ162" i="16"/>
  <c r="AT162" i="16" s="1"/>
  <c r="AW162" i="16" s="1"/>
  <c r="D162" i="16"/>
  <c r="AR161" i="16"/>
  <c r="AQ161" i="16"/>
  <c r="AT161" i="16" s="1"/>
  <c r="AW161" i="16" s="1"/>
  <c r="D161" i="16"/>
  <c r="AR160" i="16"/>
  <c r="AQ160" i="16"/>
  <c r="AT160" i="16" s="1"/>
  <c r="AW160" i="16" s="1"/>
  <c r="D160" i="16"/>
  <c r="AR159" i="16"/>
  <c r="AQ159" i="16"/>
  <c r="AT159" i="16" s="1"/>
  <c r="AW159" i="16" s="1"/>
  <c r="D159" i="16"/>
  <c r="AR158" i="16"/>
  <c r="AS158" i="16" s="1"/>
  <c r="AV158" i="16" s="1"/>
  <c r="AQ158" i="16"/>
  <c r="AT158" i="16" s="1"/>
  <c r="AW158" i="16" s="1"/>
  <c r="D158" i="16"/>
  <c r="AR157" i="16"/>
  <c r="AU157" i="16" s="1"/>
  <c r="AQ157" i="16"/>
  <c r="AT157" i="16" s="1"/>
  <c r="AW157" i="16" s="1"/>
  <c r="AA157" i="16"/>
  <c r="D157" i="16"/>
  <c r="AR156" i="16"/>
  <c r="AA156" i="16" s="1"/>
  <c r="AQ156" i="16"/>
  <c r="AT156" i="16" s="1"/>
  <c r="AW156" i="16" s="1"/>
  <c r="D156" i="16"/>
  <c r="AT155" i="16"/>
  <c r="AW155" i="16" s="1"/>
  <c r="AR155" i="16"/>
  <c r="AQ155" i="16"/>
  <c r="D155" i="16"/>
  <c r="AR154" i="16"/>
  <c r="AQ154" i="16"/>
  <c r="AT154" i="16" s="1"/>
  <c r="AW154" i="16" s="1"/>
  <c r="D154" i="16"/>
  <c r="AR153" i="16"/>
  <c r="AQ153" i="16"/>
  <c r="AT153" i="16" s="1"/>
  <c r="AW153" i="16" s="1"/>
  <c r="D153" i="16"/>
  <c r="AR152" i="16"/>
  <c r="AQ152" i="16"/>
  <c r="AT152" i="16" s="1"/>
  <c r="AW152" i="16" s="1"/>
  <c r="D152" i="16"/>
  <c r="AR151" i="16"/>
  <c r="AS151" i="16" s="1"/>
  <c r="AV151" i="16" s="1"/>
  <c r="AQ151" i="16"/>
  <c r="AT151" i="16" s="1"/>
  <c r="AW151" i="16" s="1"/>
  <c r="D151" i="16"/>
  <c r="AR150" i="16"/>
  <c r="AU150" i="16" s="1"/>
  <c r="AQ150" i="16"/>
  <c r="AT150" i="16" s="1"/>
  <c r="AW150" i="16" s="1"/>
  <c r="D150" i="16"/>
  <c r="AR149" i="16"/>
  <c r="AQ149" i="16"/>
  <c r="AS149" i="16" s="1"/>
  <c r="AV149" i="16" s="1"/>
  <c r="D149" i="16"/>
  <c r="AR148" i="16"/>
  <c r="AA148" i="16" s="1"/>
  <c r="AQ148" i="16"/>
  <c r="AT148" i="16" s="1"/>
  <c r="AW148" i="16" s="1"/>
  <c r="D148" i="16"/>
  <c r="AR147" i="16"/>
  <c r="AQ147" i="16"/>
  <c r="AT147" i="16" s="1"/>
  <c r="AW147" i="16" s="1"/>
  <c r="D147" i="16"/>
  <c r="AR146" i="16"/>
  <c r="AQ146" i="16"/>
  <c r="AT146" i="16" s="1"/>
  <c r="AW146" i="16" s="1"/>
  <c r="D146" i="16"/>
  <c r="AR145" i="16"/>
  <c r="AA145" i="16" s="1"/>
  <c r="AQ145" i="16"/>
  <c r="AT145" i="16" s="1"/>
  <c r="AW145" i="16" s="1"/>
  <c r="D145" i="16"/>
  <c r="AR144" i="16"/>
  <c r="AQ144" i="16"/>
  <c r="AT144" i="16" s="1"/>
  <c r="AW144" i="16" s="1"/>
  <c r="D144" i="16"/>
  <c r="AR143" i="16"/>
  <c r="AQ143" i="16"/>
  <c r="AT143" i="16" s="1"/>
  <c r="AW143" i="16" s="1"/>
  <c r="D143" i="16"/>
  <c r="AR142" i="16"/>
  <c r="AA142" i="16" s="1"/>
  <c r="AQ142" i="16"/>
  <c r="AT142" i="16" s="1"/>
  <c r="AW142" i="16" s="1"/>
  <c r="D142" i="16"/>
  <c r="AR141" i="16"/>
  <c r="AQ141" i="16"/>
  <c r="AT141" i="16" s="1"/>
  <c r="AW141" i="16" s="1"/>
  <c r="D141" i="16"/>
  <c r="AR140" i="16"/>
  <c r="AQ140" i="16"/>
  <c r="AT140" i="16" s="1"/>
  <c r="AW140" i="16" s="1"/>
  <c r="D140" i="16"/>
  <c r="AT139" i="16"/>
  <c r="AW139" i="16" s="1"/>
  <c r="AR139" i="16"/>
  <c r="AA139" i="16" s="1"/>
  <c r="AQ139" i="16"/>
  <c r="D139" i="16"/>
  <c r="AU138" i="16"/>
  <c r="AR138" i="16"/>
  <c r="AA138" i="16" s="1"/>
  <c r="AQ138" i="16"/>
  <c r="AT138" i="16" s="1"/>
  <c r="AW138" i="16" s="1"/>
  <c r="D138" i="16"/>
  <c r="AR137" i="16"/>
  <c r="AQ137" i="16"/>
  <c r="AT137" i="16" s="1"/>
  <c r="AW137" i="16" s="1"/>
  <c r="D137" i="16"/>
  <c r="AR136" i="16"/>
  <c r="AQ136" i="16"/>
  <c r="AT136" i="16" s="1"/>
  <c r="AW136" i="16" s="1"/>
  <c r="D136" i="16"/>
  <c r="AR135" i="16"/>
  <c r="AU135" i="16" s="1"/>
  <c r="AQ135" i="16"/>
  <c r="AT135" i="16" s="1"/>
  <c r="AW135" i="16" s="1"/>
  <c r="D135" i="16"/>
  <c r="AR134" i="16"/>
  <c r="AS134" i="16" s="1"/>
  <c r="AV134" i="16" s="1"/>
  <c r="AQ134" i="16"/>
  <c r="AT134" i="16" s="1"/>
  <c r="AW134" i="16" s="1"/>
  <c r="D134" i="16"/>
  <c r="AT133" i="16"/>
  <c r="AW133" i="16" s="1"/>
  <c r="AR133" i="16"/>
  <c r="AQ133" i="16"/>
  <c r="D133" i="16"/>
  <c r="AR132" i="16"/>
  <c r="AU132" i="16" s="1"/>
  <c r="AQ132" i="16"/>
  <c r="AT132" i="16" s="1"/>
  <c r="AW132" i="16" s="1"/>
  <c r="D132" i="16"/>
  <c r="AR131" i="16"/>
  <c r="AQ131" i="16"/>
  <c r="AS131" i="16" s="1"/>
  <c r="AV131" i="16" s="1"/>
  <c r="D131" i="16"/>
  <c r="AR130" i="16"/>
  <c r="AA130" i="16" s="1"/>
  <c r="AQ130" i="16"/>
  <c r="AT130" i="16" s="1"/>
  <c r="AW130" i="16" s="1"/>
  <c r="D130" i="16"/>
  <c r="AR129" i="16"/>
  <c r="AQ129" i="16"/>
  <c r="AT129" i="16" s="1"/>
  <c r="AW129" i="16" s="1"/>
  <c r="D129" i="16"/>
  <c r="AW128" i="16"/>
  <c r="AR128" i="16"/>
  <c r="AQ128" i="16"/>
  <c r="AT128" i="16" s="1"/>
  <c r="D128" i="16"/>
  <c r="AR127" i="16"/>
  <c r="AA127" i="16" s="1"/>
  <c r="AQ127" i="16"/>
  <c r="AT127" i="16" s="1"/>
  <c r="AW127" i="16" s="1"/>
  <c r="D127" i="16"/>
  <c r="AR126" i="16"/>
  <c r="AQ126" i="16"/>
  <c r="AT126" i="16" s="1"/>
  <c r="AW126" i="16" s="1"/>
  <c r="D126" i="16"/>
  <c r="AR125" i="16"/>
  <c r="AQ125" i="16"/>
  <c r="AT125" i="16" s="1"/>
  <c r="AW125" i="16" s="1"/>
  <c r="D125" i="16"/>
  <c r="AR124" i="16"/>
  <c r="AA124" i="16" s="1"/>
  <c r="AQ124" i="16"/>
  <c r="AT124" i="16" s="1"/>
  <c r="AW124" i="16" s="1"/>
  <c r="D124" i="16"/>
  <c r="AR123" i="16"/>
  <c r="AU123" i="16" s="1"/>
  <c r="AQ123" i="16"/>
  <c r="AT123" i="16" s="1"/>
  <c r="AW123" i="16" s="1"/>
  <c r="D123" i="16"/>
  <c r="AR122" i="16"/>
  <c r="AA122" i="16" s="1"/>
  <c r="AQ122" i="16"/>
  <c r="AT122" i="16" s="1"/>
  <c r="AW122" i="16" s="1"/>
  <c r="D122" i="16"/>
  <c r="AR121" i="16"/>
  <c r="AA121" i="16" s="1"/>
  <c r="AQ121" i="16"/>
  <c r="AS121" i="16" s="1"/>
  <c r="AV121" i="16" s="1"/>
  <c r="D121" i="16"/>
  <c r="AR120" i="16"/>
  <c r="AU120" i="16" s="1"/>
  <c r="AQ120" i="16"/>
  <c r="AT120" i="16" s="1"/>
  <c r="AW120" i="16" s="1"/>
  <c r="D120" i="16"/>
  <c r="AR119" i="16"/>
  <c r="AQ119" i="16"/>
  <c r="AT119" i="16" s="1"/>
  <c r="AW119" i="16" s="1"/>
  <c r="D119" i="16"/>
  <c r="AR118" i="16"/>
  <c r="AQ118" i="16"/>
  <c r="AT118" i="16" s="1"/>
  <c r="AW118" i="16" s="1"/>
  <c r="D118" i="16"/>
  <c r="AR117" i="16"/>
  <c r="AQ117" i="16"/>
  <c r="AT117" i="16" s="1"/>
  <c r="AW117" i="16" s="1"/>
  <c r="D117" i="16"/>
  <c r="AR116" i="16"/>
  <c r="AA116" i="16" s="1"/>
  <c r="AQ116" i="16"/>
  <c r="AT116" i="16" s="1"/>
  <c r="AW116" i="16" s="1"/>
  <c r="D116" i="16"/>
  <c r="AR115" i="16"/>
  <c r="AQ115" i="16"/>
  <c r="AT115" i="16" s="1"/>
  <c r="AW115" i="16" s="1"/>
  <c r="D115" i="16"/>
  <c r="AR114" i="16"/>
  <c r="AQ114" i="16"/>
  <c r="AT114" i="16" s="1"/>
  <c r="AW114" i="16" s="1"/>
  <c r="D114" i="16"/>
  <c r="AR113" i="16"/>
  <c r="AA113" i="16" s="1"/>
  <c r="AQ113" i="16"/>
  <c r="AS113" i="16" s="1"/>
  <c r="AV113" i="16" s="1"/>
  <c r="D113" i="16"/>
  <c r="AR112" i="16"/>
  <c r="AQ112" i="16"/>
  <c r="AT112" i="16" s="1"/>
  <c r="AW112" i="16" s="1"/>
  <c r="D112" i="16"/>
  <c r="AR111" i="16"/>
  <c r="AQ111" i="16"/>
  <c r="AT111" i="16" s="1"/>
  <c r="AW111" i="16" s="1"/>
  <c r="L111" i="16"/>
  <c r="D111" i="16"/>
  <c r="AR110" i="16"/>
  <c r="AA110" i="16" s="1"/>
  <c r="AQ110" i="16"/>
  <c r="AS110" i="16" s="1"/>
  <c r="AV110" i="16" s="1"/>
  <c r="D110" i="16"/>
  <c r="AR104" i="16"/>
  <c r="AU104" i="16" s="1"/>
  <c r="AQ104" i="16"/>
  <c r="AT104" i="16" s="1"/>
  <c r="AW104" i="16" s="1"/>
  <c r="AR103" i="16"/>
  <c r="AQ103" i="16"/>
  <c r="AT103" i="16" s="1"/>
  <c r="AW103" i="16" s="1"/>
  <c r="AR102" i="16"/>
  <c r="AQ102" i="16"/>
  <c r="AT102" i="16" s="1"/>
  <c r="AW102" i="16" s="1"/>
  <c r="AR101" i="16"/>
  <c r="AU101" i="16" s="1"/>
  <c r="AQ101" i="16"/>
  <c r="AT101" i="16" s="1"/>
  <c r="AW101" i="16" s="1"/>
  <c r="AA101" i="16"/>
  <c r="AR100" i="16"/>
  <c r="AQ100" i="16"/>
  <c r="AT100" i="16" s="1"/>
  <c r="AW100" i="16" s="1"/>
  <c r="AR99" i="16"/>
  <c r="AA99" i="16" s="1"/>
  <c r="AQ99" i="16"/>
  <c r="AT99" i="16" s="1"/>
  <c r="AW99" i="16" s="1"/>
  <c r="AR98" i="16"/>
  <c r="AA98" i="16" s="1"/>
  <c r="AQ98" i="16"/>
  <c r="AT98" i="16" s="1"/>
  <c r="AW98" i="16" s="1"/>
  <c r="AR97" i="16"/>
  <c r="AQ97" i="16"/>
  <c r="AT97" i="16" s="1"/>
  <c r="AW97" i="16" s="1"/>
  <c r="AR96" i="16"/>
  <c r="AA96" i="16" s="1"/>
  <c r="AQ96" i="16"/>
  <c r="AT96" i="16" s="1"/>
  <c r="AW96" i="16" s="1"/>
  <c r="AR95" i="16"/>
  <c r="AQ95" i="16"/>
  <c r="AT95" i="16" s="1"/>
  <c r="AW95" i="16" s="1"/>
  <c r="AA95" i="16"/>
  <c r="AR94" i="16"/>
  <c r="AQ94" i="16"/>
  <c r="AT94" i="16" s="1"/>
  <c r="AW94" i="16" s="1"/>
  <c r="AR93" i="16"/>
  <c r="AA93" i="16" s="1"/>
  <c r="AQ93" i="16"/>
  <c r="AT93" i="16" s="1"/>
  <c r="AW93" i="16" s="1"/>
  <c r="AR92" i="16"/>
  <c r="AU92" i="16" s="1"/>
  <c r="AQ92" i="16"/>
  <c r="AT92" i="16" s="1"/>
  <c r="AW92" i="16" s="1"/>
  <c r="AR91" i="16"/>
  <c r="AQ91" i="16"/>
  <c r="AT91" i="16" s="1"/>
  <c r="AW91" i="16" s="1"/>
  <c r="AR90" i="16"/>
  <c r="AA90" i="16" s="1"/>
  <c r="AQ90" i="16"/>
  <c r="AT90" i="16" s="1"/>
  <c r="AW90" i="16" s="1"/>
  <c r="AR89" i="16"/>
  <c r="AU89" i="16" s="1"/>
  <c r="AQ89" i="16"/>
  <c r="AT89" i="16" s="1"/>
  <c r="AW89" i="16" s="1"/>
  <c r="AA89" i="16"/>
  <c r="AR88" i="16"/>
  <c r="AQ88" i="16"/>
  <c r="AT88" i="16" s="1"/>
  <c r="AW88" i="16" s="1"/>
  <c r="AR87" i="16"/>
  <c r="AA87" i="16" s="1"/>
  <c r="AQ87" i="16"/>
  <c r="AT87" i="16" s="1"/>
  <c r="AW87" i="16" s="1"/>
  <c r="AR86" i="16"/>
  <c r="AQ86" i="16"/>
  <c r="AT86" i="16" s="1"/>
  <c r="AW86" i="16" s="1"/>
  <c r="AA86" i="16"/>
  <c r="AR85" i="16"/>
  <c r="AQ85" i="16"/>
  <c r="AR84" i="16"/>
  <c r="AA84" i="16" s="1"/>
  <c r="AQ84" i="16"/>
  <c r="AT84" i="16" s="1"/>
  <c r="AW84" i="16" s="1"/>
  <c r="AR83" i="16"/>
  <c r="AA83" i="16" s="1"/>
  <c r="AQ83" i="16"/>
  <c r="AT83" i="16" s="1"/>
  <c r="AW83" i="16" s="1"/>
  <c r="AR82" i="16"/>
  <c r="AQ82" i="16"/>
  <c r="AT82" i="16" s="1"/>
  <c r="AW82" i="16" s="1"/>
  <c r="AR81" i="16"/>
  <c r="AU81" i="16" s="1"/>
  <c r="AQ81" i="16"/>
  <c r="AT81" i="16" s="1"/>
  <c r="AW81" i="16" s="1"/>
  <c r="AR80" i="16"/>
  <c r="AU80" i="16" s="1"/>
  <c r="AQ80" i="16"/>
  <c r="AT80" i="16" s="1"/>
  <c r="AW80" i="16" s="1"/>
  <c r="AR79" i="16"/>
  <c r="AQ79" i="16"/>
  <c r="AT79" i="16" s="1"/>
  <c r="AW79" i="16" s="1"/>
  <c r="AR78" i="16"/>
  <c r="AA78" i="16" s="1"/>
  <c r="AQ78" i="16"/>
  <c r="AT78" i="16" s="1"/>
  <c r="AW78" i="16" s="1"/>
  <c r="AR77" i="16"/>
  <c r="AU77" i="16" s="1"/>
  <c r="AQ77" i="16"/>
  <c r="AT77" i="16" s="1"/>
  <c r="AW77" i="16" s="1"/>
  <c r="AR76" i="16"/>
  <c r="AQ76" i="16"/>
  <c r="AT76" i="16" s="1"/>
  <c r="AW76" i="16" s="1"/>
  <c r="AR75" i="16"/>
  <c r="AQ75" i="16"/>
  <c r="AT75" i="16" s="1"/>
  <c r="AW75" i="16" s="1"/>
  <c r="AR74" i="16"/>
  <c r="AA74" i="16" s="1"/>
  <c r="AQ74" i="16"/>
  <c r="AT74" i="16" s="1"/>
  <c r="AW74" i="16" s="1"/>
  <c r="AR73" i="16"/>
  <c r="AQ73" i="16"/>
  <c r="AT73" i="16" s="1"/>
  <c r="AW73" i="16" s="1"/>
  <c r="AR72" i="16"/>
  <c r="AA72" i="16" s="1"/>
  <c r="AQ72" i="16"/>
  <c r="AT72" i="16" s="1"/>
  <c r="AW72" i="16" s="1"/>
  <c r="AR71" i="16"/>
  <c r="AQ71" i="16"/>
  <c r="AT71" i="16" s="1"/>
  <c r="AW71" i="16" s="1"/>
  <c r="AR70" i="16"/>
  <c r="AA70" i="16" s="1"/>
  <c r="AQ70" i="16"/>
  <c r="AT70" i="16" s="1"/>
  <c r="AW70" i="16" s="1"/>
  <c r="AR69" i="16"/>
  <c r="AQ69" i="16"/>
  <c r="AT69" i="16" s="1"/>
  <c r="AW69" i="16" s="1"/>
  <c r="AR68" i="16"/>
  <c r="AQ68" i="16"/>
  <c r="AT68" i="16" s="1"/>
  <c r="AW68" i="16" s="1"/>
  <c r="AR67" i="16"/>
  <c r="AQ67" i="16"/>
  <c r="AT67" i="16" s="1"/>
  <c r="AW67" i="16" s="1"/>
  <c r="AR66" i="16"/>
  <c r="AU66" i="16" s="1"/>
  <c r="AQ66" i="16"/>
  <c r="AT66" i="16" s="1"/>
  <c r="AW66" i="16" s="1"/>
  <c r="AA66" i="16"/>
  <c r="AR65" i="16"/>
  <c r="AQ65" i="16"/>
  <c r="AT65" i="16" s="1"/>
  <c r="AW65" i="16" s="1"/>
  <c r="AR64" i="16"/>
  <c r="AQ64" i="16"/>
  <c r="AT64" i="16" s="1"/>
  <c r="AW64" i="16" s="1"/>
  <c r="AR63" i="16"/>
  <c r="AA63" i="16" s="1"/>
  <c r="AQ63" i="16"/>
  <c r="AT63" i="16" s="1"/>
  <c r="AW63" i="16" s="1"/>
  <c r="AR62" i="16"/>
  <c r="AQ62" i="16"/>
  <c r="AT62" i="16" s="1"/>
  <c r="AW62" i="16" s="1"/>
  <c r="AR61" i="16"/>
  <c r="AQ61" i="16"/>
  <c r="AT61" i="16" s="1"/>
  <c r="AW61" i="16" s="1"/>
  <c r="AR60" i="16"/>
  <c r="AU60" i="16" s="1"/>
  <c r="AQ60" i="16"/>
  <c r="AT60" i="16" s="1"/>
  <c r="AW60" i="16" s="1"/>
  <c r="AR59" i="16"/>
  <c r="AQ59" i="16"/>
  <c r="AT59" i="16" s="1"/>
  <c r="AW59" i="16" s="1"/>
  <c r="AR58" i="16"/>
  <c r="AA58" i="16" s="1"/>
  <c r="AQ58" i="16"/>
  <c r="AT58" i="16" s="1"/>
  <c r="AW58" i="16" s="1"/>
  <c r="AR57" i="16"/>
  <c r="AA57" i="16" s="1"/>
  <c r="AQ57" i="16"/>
  <c r="AT57" i="16" s="1"/>
  <c r="AW57" i="16" s="1"/>
  <c r="AR56" i="16"/>
  <c r="AQ56" i="16"/>
  <c r="AT56" i="16" s="1"/>
  <c r="AW56" i="16" s="1"/>
  <c r="AR55" i="16"/>
  <c r="AQ55" i="16"/>
  <c r="AT55" i="16" s="1"/>
  <c r="AW55" i="16" s="1"/>
  <c r="AR54" i="16"/>
  <c r="AQ54" i="16"/>
  <c r="AT54" i="16" s="1"/>
  <c r="AW54" i="16" s="1"/>
  <c r="AR53" i="16"/>
  <c r="AQ53" i="16"/>
  <c r="AR52" i="16"/>
  <c r="AA52" i="16" s="1"/>
  <c r="AQ52" i="16"/>
  <c r="AT52" i="16" s="1"/>
  <c r="AW52" i="16" s="1"/>
  <c r="AR51" i="16"/>
  <c r="AA51" i="16" s="1"/>
  <c r="AQ51" i="16"/>
  <c r="AT51" i="16" s="1"/>
  <c r="AW51" i="16" s="1"/>
  <c r="AR50" i="16"/>
  <c r="AQ50" i="16"/>
  <c r="AT50" i="16" s="1"/>
  <c r="AW50" i="16" s="1"/>
  <c r="AU49" i="16"/>
  <c r="AR49" i="16"/>
  <c r="AA49" i="16" s="1"/>
  <c r="AQ49" i="16"/>
  <c r="AT49" i="16" s="1"/>
  <c r="AW49" i="16" s="1"/>
  <c r="AW48" i="16"/>
  <c r="AU48" i="16"/>
  <c r="AR48" i="16"/>
  <c r="AA48" i="16" s="1"/>
  <c r="AQ48" i="16"/>
  <c r="AT48" i="16" s="1"/>
  <c r="AR47" i="16"/>
  <c r="AQ47" i="16"/>
  <c r="AT47" i="16" s="1"/>
  <c r="AW47" i="16" s="1"/>
  <c r="AR46" i="16"/>
  <c r="AA46" i="16" s="1"/>
  <c r="AQ46" i="16"/>
  <c r="AT46" i="16" s="1"/>
  <c r="AW46" i="16" s="1"/>
  <c r="AU45" i="16"/>
  <c r="AR45" i="16"/>
  <c r="AA45" i="16" s="1"/>
  <c r="AQ45" i="16"/>
  <c r="AT45" i="16" s="1"/>
  <c r="AW45" i="16" s="1"/>
  <c r="AR44" i="16"/>
  <c r="AQ44" i="16"/>
  <c r="AT44" i="16" s="1"/>
  <c r="AW44" i="16" s="1"/>
  <c r="AR43" i="16"/>
  <c r="AA43" i="16" s="1"/>
  <c r="AQ43" i="16"/>
  <c r="AT43" i="16" s="1"/>
  <c r="AW43" i="16" s="1"/>
  <c r="AR42" i="16"/>
  <c r="AU42" i="16" s="1"/>
  <c r="AQ42" i="16"/>
  <c r="AT42" i="16" s="1"/>
  <c r="AW42" i="16" s="1"/>
  <c r="AR41" i="16"/>
  <c r="AQ41" i="16"/>
  <c r="AT41" i="16" s="1"/>
  <c r="AW41" i="16" s="1"/>
  <c r="AR40" i="16"/>
  <c r="AQ40" i="16"/>
  <c r="AT40" i="16" s="1"/>
  <c r="AW40" i="16" s="1"/>
  <c r="AR39" i="16"/>
  <c r="AU39" i="16" s="1"/>
  <c r="AQ39" i="16"/>
  <c r="AT39" i="16" s="1"/>
  <c r="AW39" i="16" s="1"/>
  <c r="AR38" i="16"/>
  <c r="AQ38" i="16"/>
  <c r="AT38" i="16" s="1"/>
  <c r="AW38" i="16" s="1"/>
  <c r="AR37" i="16"/>
  <c r="AS37" i="16" s="1"/>
  <c r="AV37" i="16" s="1"/>
  <c r="AQ37" i="16"/>
  <c r="AT37" i="16" s="1"/>
  <c r="AW37" i="16" s="1"/>
  <c r="AR36" i="16"/>
  <c r="AQ36" i="16"/>
  <c r="AT36" i="16" s="1"/>
  <c r="AW36" i="16" s="1"/>
  <c r="AA36" i="16"/>
  <c r="AR35" i="16"/>
  <c r="AQ35" i="16"/>
  <c r="AT35" i="16" s="1"/>
  <c r="AW35" i="16" s="1"/>
  <c r="AU34" i="16"/>
  <c r="AR34" i="16"/>
  <c r="AQ34" i="16"/>
  <c r="AT34" i="16" s="1"/>
  <c r="AW34" i="16" s="1"/>
  <c r="AR33" i="16"/>
  <c r="AQ33" i="16"/>
  <c r="AT33" i="16" s="1"/>
  <c r="AW33" i="16" s="1"/>
  <c r="AR32" i="16"/>
  <c r="AQ32" i="16"/>
  <c r="AT32" i="16" s="1"/>
  <c r="AW32" i="16" s="1"/>
  <c r="AR31" i="16"/>
  <c r="AA31" i="16" s="1"/>
  <c r="AQ31" i="16"/>
  <c r="AT31" i="16" s="1"/>
  <c r="AW31" i="16" s="1"/>
  <c r="AR30" i="16"/>
  <c r="AA30" i="16" s="1"/>
  <c r="AQ30" i="16"/>
  <c r="AT30" i="16" s="1"/>
  <c r="AW30" i="16" s="1"/>
  <c r="AR29" i="16"/>
  <c r="AQ29" i="16"/>
  <c r="AT29" i="16" s="1"/>
  <c r="AW29" i="16" s="1"/>
  <c r="AR28" i="16"/>
  <c r="AA28" i="16" s="1"/>
  <c r="AQ28" i="16"/>
  <c r="AT28" i="16" s="1"/>
  <c r="AW28" i="16" s="1"/>
  <c r="AR27" i="16"/>
  <c r="AQ27" i="16"/>
  <c r="AT27" i="16" s="1"/>
  <c r="AW27" i="16" s="1"/>
  <c r="AR26" i="16"/>
  <c r="AQ26" i="16"/>
  <c r="L26" i="16"/>
  <c r="L27" i="16" s="1"/>
  <c r="L28" i="16" s="1"/>
  <c r="AR25" i="16"/>
  <c r="J25" i="16" s="1"/>
  <c r="AP25" i="16" s="1"/>
  <c r="AQ25" i="16"/>
  <c r="AT25" i="16" s="1"/>
  <c r="AW25" i="16" s="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L24" i="11"/>
  <c r="L25" i="11" s="1"/>
  <c r="H24" i="11"/>
  <c r="AR23" i="11"/>
  <c r="AQ23" i="11"/>
  <c r="AT23" i="11" s="1"/>
  <c r="AW23" i="11" s="1"/>
  <c r="M23" i="11"/>
  <c r="Q164" i="50" l="1"/>
  <c r="R164" i="50" s="1"/>
  <c r="Y164" i="50" s="1"/>
  <c r="O164" i="50"/>
  <c r="K165" i="50"/>
  <c r="AD165" i="50" s="1"/>
  <c r="AR167" i="50"/>
  <c r="AQ167" i="50"/>
  <c r="AT167" i="50" s="1"/>
  <c r="AW167" i="50" s="1"/>
  <c r="H168" i="50"/>
  <c r="AS166" i="50"/>
  <c r="AV166" i="50" s="1"/>
  <c r="AU166" i="50"/>
  <c r="AB166" i="50"/>
  <c r="J166" i="50"/>
  <c r="AZ166" i="50" s="1"/>
  <c r="AP166" i="50" s="1"/>
  <c r="Y162" i="50"/>
  <c r="AS62" i="16"/>
  <c r="AV62" i="16" s="1"/>
  <c r="AS47" i="16"/>
  <c r="AV47" i="16" s="1"/>
  <c r="AS55" i="16"/>
  <c r="AV55" i="16" s="1"/>
  <c r="AS102" i="16"/>
  <c r="AV102" i="16" s="1"/>
  <c r="AU128" i="40"/>
  <c r="AS128" i="40"/>
  <c r="AV128" i="40" s="1"/>
  <c r="AB128" i="40"/>
  <c r="J128" i="40"/>
  <c r="AZ128" i="40" s="1"/>
  <c r="AP128" i="40" s="1"/>
  <c r="M126" i="40"/>
  <c r="AM126" i="40" s="1"/>
  <c r="AD127" i="40"/>
  <c r="H130" i="40"/>
  <c r="AQ129" i="40"/>
  <c r="AT129" i="40" s="1"/>
  <c r="AW129" i="40" s="1"/>
  <c r="AR129" i="40"/>
  <c r="K127" i="40"/>
  <c r="P127" i="40" s="1"/>
  <c r="P126" i="40"/>
  <c r="AD126" i="40"/>
  <c r="N126" i="40"/>
  <c r="AD163" i="39"/>
  <c r="K164" i="39"/>
  <c r="Q163" i="39"/>
  <c r="R163" i="39" s="1"/>
  <c r="Y163" i="39" s="1"/>
  <c r="O163" i="39"/>
  <c r="AR166" i="39"/>
  <c r="AQ166" i="39"/>
  <c r="AT166" i="39" s="1"/>
  <c r="AW166" i="39" s="1"/>
  <c r="H167" i="39"/>
  <c r="P164" i="39"/>
  <c r="N164" i="39"/>
  <c r="N163" i="39"/>
  <c r="M164" i="39"/>
  <c r="AM164" i="39" s="1"/>
  <c r="M163" i="39"/>
  <c r="AM163" i="39" s="1"/>
  <c r="Q162" i="39"/>
  <c r="R162" i="39" s="1"/>
  <c r="Y162" i="39" s="1"/>
  <c r="O162" i="39"/>
  <c r="AB165" i="39"/>
  <c r="AU165" i="39"/>
  <c r="AS165" i="39"/>
  <c r="AV165" i="39" s="1"/>
  <c r="J165" i="39"/>
  <c r="AZ165" i="39" s="1"/>
  <c r="AP165" i="39" s="1"/>
  <c r="AD164" i="39"/>
  <c r="O292" i="27"/>
  <c r="Q292" i="27"/>
  <c r="R292" i="27" s="1"/>
  <c r="B261" i="27" s="1"/>
  <c r="H209" i="27"/>
  <c r="AQ209" i="27" s="1"/>
  <c r="AT209" i="27" s="1"/>
  <c r="AW209" i="27" s="1"/>
  <c r="AU165" i="36"/>
  <c r="AS165" i="36"/>
  <c r="AV165" i="36" s="1"/>
  <c r="J165" i="36"/>
  <c r="AZ165" i="36" s="1"/>
  <c r="AP165" i="36" s="1"/>
  <c r="Q162" i="36"/>
  <c r="R162" i="36" s="1"/>
  <c r="Y162" i="36" s="1"/>
  <c r="O162" i="36"/>
  <c r="Q163" i="36"/>
  <c r="R163" i="36" s="1"/>
  <c r="Y163" i="36" s="1"/>
  <c r="O163" i="36"/>
  <c r="K164" i="36"/>
  <c r="AD164" i="36" s="1"/>
  <c r="AR166" i="36"/>
  <c r="AB166" i="36" s="1"/>
  <c r="AQ166" i="36"/>
  <c r="AT166" i="36" s="1"/>
  <c r="AW166" i="36" s="1"/>
  <c r="H167" i="36"/>
  <c r="B311" i="27"/>
  <c r="AU327" i="27"/>
  <c r="AS23" i="27"/>
  <c r="AV23" i="27" s="1"/>
  <c r="AQ208" i="27"/>
  <c r="AT208" i="27" s="1"/>
  <c r="AW208" i="27" s="1"/>
  <c r="J207" i="27"/>
  <c r="AZ207" i="27" s="1"/>
  <c r="AP207" i="27" s="1"/>
  <c r="J23" i="27"/>
  <c r="AZ23" i="27" s="1"/>
  <c r="D9" i="30"/>
  <c r="AS271" i="17"/>
  <c r="AV291" i="17" s="1"/>
  <c r="AS267" i="17"/>
  <c r="AV287" i="17" s="1"/>
  <c r="AU295" i="17"/>
  <c r="AS253" i="17"/>
  <c r="AV273" i="17" s="1"/>
  <c r="AS201" i="17"/>
  <c r="AV221" i="17" s="1"/>
  <c r="AU273" i="17"/>
  <c r="J254" i="17"/>
  <c r="AP254" i="17" s="1"/>
  <c r="AU262" i="17"/>
  <c r="AU267" i="17"/>
  <c r="J253" i="17"/>
  <c r="AP253" i="17" s="1"/>
  <c r="AS264" i="17"/>
  <c r="AV284" i="17" s="1"/>
  <c r="AU291" i="17"/>
  <c r="J243" i="17"/>
  <c r="AP243" i="17" s="1"/>
  <c r="J201" i="17"/>
  <c r="AP201" i="17" s="1"/>
  <c r="AU261" i="17"/>
  <c r="AU301" i="17"/>
  <c r="AS240" i="17"/>
  <c r="AV260" i="17" s="1"/>
  <c r="AS251" i="17"/>
  <c r="AV271" i="17" s="1"/>
  <c r="AU288" i="17"/>
  <c r="J270" i="17"/>
  <c r="AP270" i="17" s="1"/>
  <c r="AU292" i="17"/>
  <c r="J239" i="17"/>
  <c r="AP239" i="17" s="1"/>
  <c r="AU270" i="17"/>
  <c r="AU271" i="17"/>
  <c r="J241" i="17"/>
  <c r="J251" i="17"/>
  <c r="AP251" i="17" s="1"/>
  <c r="AS261" i="17"/>
  <c r="AV281" i="17" s="1"/>
  <c r="AS269" i="17"/>
  <c r="AV289" i="17" s="1"/>
  <c r="AS273" i="17"/>
  <c r="AV293" i="17" s="1"/>
  <c r="J277" i="17"/>
  <c r="AP277" i="17" s="1"/>
  <c r="J281" i="17"/>
  <c r="AP281" i="17" s="1"/>
  <c r="J283" i="17"/>
  <c r="AP283" i="17" s="1"/>
  <c r="J250" i="17"/>
  <c r="AP250" i="17" s="1"/>
  <c r="AS252" i="17"/>
  <c r="AV272" i="17" s="1"/>
  <c r="AT289" i="17"/>
  <c r="AW289" i="17" s="1"/>
  <c r="AS270" i="17"/>
  <c r="AV290" i="17" s="1"/>
  <c r="AT293" i="17"/>
  <c r="AW293" i="17" s="1"/>
  <c r="AU221" i="17"/>
  <c r="AU259" i="17"/>
  <c r="AU274" i="17"/>
  <c r="AT291" i="17"/>
  <c r="AW291" i="17" s="1"/>
  <c r="J284" i="17"/>
  <c r="AP284" i="17" s="1"/>
  <c r="E292" i="17"/>
  <c r="AS245" i="17"/>
  <c r="AV265" i="17" s="1"/>
  <c r="J255" i="17"/>
  <c r="AP255" i="17" s="1"/>
  <c r="J269" i="17"/>
  <c r="AP269" i="17" s="1"/>
  <c r="J273" i="17"/>
  <c r="AP273" i="17" s="1"/>
  <c r="AR202" i="17"/>
  <c r="AU222" i="17" s="1"/>
  <c r="H203" i="17"/>
  <c r="AS239" i="17"/>
  <c r="AV259" i="17" s="1"/>
  <c r="AS241" i="17"/>
  <c r="AV261" i="17" s="1"/>
  <c r="E291" i="17"/>
  <c r="AQ26" i="29"/>
  <c r="AT26" i="29" s="1"/>
  <c r="AW26" i="29" s="1"/>
  <c r="AS178" i="29"/>
  <c r="AV178" i="29" s="1"/>
  <c r="AA113" i="29"/>
  <c r="AU114" i="29"/>
  <c r="AS118" i="29"/>
  <c r="AV118" i="29" s="1"/>
  <c r="AS151" i="29"/>
  <c r="AV151" i="29" s="1"/>
  <c r="AS158" i="29"/>
  <c r="AV158" i="29" s="1"/>
  <c r="AA161" i="29"/>
  <c r="AU162" i="29"/>
  <c r="AA173" i="29"/>
  <c r="AA179" i="29"/>
  <c r="AS186" i="29"/>
  <c r="AV186" i="29" s="1"/>
  <c r="AS157" i="29"/>
  <c r="AV157" i="29" s="1"/>
  <c r="AU161" i="29"/>
  <c r="AU163" i="29"/>
  <c r="AS140" i="29"/>
  <c r="AV140" i="29" s="1"/>
  <c r="AS180" i="29"/>
  <c r="AV180" i="29" s="1"/>
  <c r="AS116" i="29"/>
  <c r="AV116" i="29" s="1"/>
  <c r="AU118" i="29"/>
  <c r="AT125" i="29"/>
  <c r="AW125" i="29" s="1"/>
  <c r="AU158" i="29"/>
  <c r="AA109" i="29"/>
  <c r="AA116" i="29"/>
  <c r="AA117" i="29"/>
  <c r="AA127" i="29"/>
  <c r="AA139" i="29"/>
  <c r="AA143" i="29"/>
  <c r="AA151" i="29"/>
  <c r="AA157" i="29"/>
  <c r="AA165" i="29"/>
  <c r="AS167" i="29"/>
  <c r="AV167" i="29" s="1"/>
  <c r="AU189" i="29"/>
  <c r="AT128" i="29"/>
  <c r="AW128" i="29" s="1"/>
  <c r="AS127" i="29"/>
  <c r="AV127" i="29" s="1"/>
  <c r="AA135" i="29"/>
  <c r="AU140" i="29"/>
  <c r="AS143" i="29"/>
  <c r="AV143" i="29" s="1"/>
  <c r="AA145" i="29"/>
  <c r="AA147" i="29"/>
  <c r="AS174" i="29"/>
  <c r="AV174" i="29" s="1"/>
  <c r="AS176" i="29"/>
  <c r="AV176" i="29" s="1"/>
  <c r="AS183" i="29"/>
  <c r="AV183" i="29" s="1"/>
  <c r="AS135" i="29"/>
  <c r="AV135" i="29" s="1"/>
  <c r="AS189" i="29"/>
  <c r="AV189" i="29" s="1"/>
  <c r="AS111" i="29"/>
  <c r="AV111" i="29" s="1"/>
  <c r="AS133" i="29"/>
  <c r="AV133" i="29" s="1"/>
  <c r="AS179" i="29"/>
  <c r="AV179" i="29" s="1"/>
  <c r="AU23" i="11"/>
  <c r="H28" i="29"/>
  <c r="AR28" i="29" s="1"/>
  <c r="AU28" i="29" s="1"/>
  <c r="AQ27" i="29"/>
  <c r="AR27" i="29"/>
  <c r="AA27" i="29" s="1"/>
  <c r="AS130" i="29"/>
  <c r="AV130" i="29" s="1"/>
  <c r="AU132" i="29"/>
  <c r="AS134" i="29"/>
  <c r="AV134" i="29" s="1"/>
  <c r="AU148" i="29"/>
  <c r="AA153" i="29"/>
  <c r="AS156" i="29"/>
  <c r="AV156" i="29" s="1"/>
  <c r="AA160" i="29"/>
  <c r="AS164" i="29"/>
  <c r="AV164" i="29" s="1"/>
  <c r="AS171" i="29"/>
  <c r="AV171" i="29" s="1"/>
  <c r="AA174" i="29"/>
  <c r="AA185" i="29"/>
  <c r="AS188" i="29"/>
  <c r="AV188" i="29" s="1"/>
  <c r="AU111" i="29"/>
  <c r="AU119" i="29"/>
  <c r="AU126" i="29"/>
  <c r="AU134" i="29"/>
  <c r="AU137" i="29"/>
  <c r="AS149" i="29"/>
  <c r="AV149" i="29" s="1"/>
  <c r="AS152" i="29"/>
  <c r="AV152" i="29" s="1"/>
  <c r="AU156" i="29"/>
  <c r="AS162" i="29"/>
  <c r="AV162" i="29" s="1"/>
  <c r="AU164" i="29"/>
  <c r="AU182" i="29"/>
  <c r="AS185" i="29"/>
  <c r="AV185" i="29" s="1"/>
  <c r="AS131" i="29"/>
  <c r="AV131" i="29" s="1"/>
  <c r="AU152" i="29"/>
  <c r="AA111" i="29"/>
  <c r="AT122" i="29"/>
  <c r="AW122" i="29" s="1"/>
  <c r="AS124" i="29"/>
  <c r="AV124" i="29" s="1"/>
  <c r="AT127" i="29"/>
  <c r="AW127" i="29" s="1"/>
  <c r="AA130" i="29"/>
  <c r="AT135" i="29"/>
  <c r="AW135" i="29" s="1"/>
  <c r="AU149" i="29"/>
  <c r="AS153" i="29"/>
  <c r="AV153" i="29" s="1"/>
  <c r="AS160" i="29"/>
  <c r="AV160" i="29" s="1"/>
  <c r="AA171" i="29"/>
  <c r="AT185" i="29"/>
  <c r="AW185" i="29" s="1"/>
  <c r="AS109" i="29"/>
  <c r="AV109" i="29" s="1"/>
  <c r="K109" i="29" s="1"/>
  <c r="AC109" i="29" s="1"/>
  <c r="AS113" i="29"/>
  <c r="AV113" i="29" s="1"/>
  <c r="AS139" i="29"/>
  <c r="AV139" i="29" s="1"/>
  <c r="AS137" i="29"/>
  <c r="AV137" i="29" s="1"/>
  <c r="AS182" i="29"/>
  <c r="AV182" i="29" s="1"/>
  <c r="AA188" i="29"/>
  <c r="AU27" i="29"/>
  <c r="AU25" i="29"/>
  <c r="J25" i="29"/>
  <c r="J26" i="29"/>
  <c r="L27" i="29"/>
  <c r="AT27" i="29"/>
  <c r="AW27" i="29" s="1"/>
  <c r="AS27" i="29"/>
  <c r="AV27" i="29" s="1"/>
  <c r="AT119" i="29"/>
  <c r="AW119" i="29" s="1"/>
  <c r="AS119" i="29"/>
  <c r="AV119" i="29" s="1"/>
  <c r="AU175" i="29"/>
  <c r="AS175" i="29"/>
  <c r="AV175" i="29" s="1"/>
  <c r="AA175" i="29"/>
  <c r="AS25" i="29"/>
  <c r="AV25" i="29" s="1"/>
  <c r="AA26" i="29"/>
  <c r="AT110" i="29"/>
  <c r="AW110" i="29" s="1"/>
  <c r="AS110" i="29"/>
  <c r="AV110" i="29" s="1"/>
  <c r="AS121" i="29"/>
  <c r="AV121" i="29" s="1"/>
  <c r="AA121" i="29"/>
  <c r="AU121" i="29"/>
  <c r="AU112" i="29"/>
  <c r="AS112" i="29"/>
  <c r="AV112" i="29" s="1"/>
  <c r="AU136" i="29"/>
  <c r="AA136" i="29"/>
  <c r="AS136" i="29"/>
  <c r="AV136" i="29" s="1"/>
  <c r="AS141" i="29"/>
  <c r="AV141" i="29" s="1"/>
  <c r="AU141" i="29"/>
  <c r="AA141" i="29"/>
  <c r="AA112" i="29"/>
  <c r="AA115" i="29"/>
  <c r="AU115" i="29"/>
  <c r="AS115" i="29"/>
  <c r="AV115" i="29" s="1"/>
  <c r="AS163" i="29"/>
  <c r="AV163" i="29" s="1"/>
  <c r="AT163" i="29"/>
  <c r="AW163" i="29" s="1"/>
  <c r="L111" i="29"/>
  <c r="J110" i="29"/>
  <c r="AS114" i="29"/>
  <c r="AV114" i="29" s="1"/>
  <c r="AT147" i="29"/>
  <c r="AW147" i="29" s="1"/>
  <c r="AS147" i="29"/>
  <c r="AV147" i="29" s="1"/>
  <c r="AS129" i="29"/>
  <c r="AV129" i="29" s="1"/>
  <c r="AU129" i="29"/>
  <c r="AA129" i="29"/>
  <c r="AU138" i="29"/>
  <c r="AS138" i="29"/>
  <c r="AV138" i="29" s="1"/>
  <c r="AA138" i="29"/>
  <c r="AS123" i="29"/>
  <c r="AV123" i="29" s="1"/>
  <c r="AA123" i="29"/>
  <c r="AU123" i="29"/>
  <c r="AA133" i="29"/>
  <c r="AU133" i="29"/>
  <c r="AS142" i="29"/>
  <c r="AV142" i="29" s="1"/>
  <c r="AA142" i="29"/>
  <c r="AU142" i="29"/>
  <c r="AU159" i="29"/>
  <c r="AA159" i="29"/>
  <c r="AS159" i="29"/>
  <c r="AV159" i="29" s="1"/>
  <c r="AS117" i="29"/>
  <c r="AV117" i="29" s="1"/>
  <c r="AS120" i="29"/>
  <c r="AV120" i="29" s="1"/>
  <c r="AS126" i="29"/>
  <c r="AV126" i="29" s="1"/>
  <c r="AS132" i="29"/>
  <c r="AV132" i="29" s="1"/>
  <c r="AS144" i="29"/>
  <c r="AV144" i="29" s="1"/>
  <c r="AU144" i="29"/>
  <c r="AA144" i="29"/>
  <c r="AU122" i="29"/>
  <c r="AA122" i="29"/>
  <c r="AA124" i="29"/>
  <c r="AS145" i="29"/>
  <c r="AV145" i="29" s="1"/>
  <c r="AS148" i="29"/>
  <c r="AV148" i="29" s="1"/>
  <c r="AT148" i="29"/>
  <c r="AW148" i="29" s="1"/>
  <c r="AA125" i="29"/>
  <c r="AA128" i="29"/>
  <c r="AA131" i="29"/>
  <c r="AS154" i="29"/>
  <c r="AV154" i="29" s="1"/>
  <c r="AT154" i="29"/>
  <c r="AW154" i="29" s="1"/>
  <c r="AS150" i="29"/>
  <c r="AV150" i="29" s="1"/>
  <c r="AU155" i="29"/>
  <c r="AS155" i="29"/>
  <c r="AV155" i="29" s="1"/>
  <c r="AA155" i="29"/>
  <c r="AT165" i="29"/>
  <c r="AW165" i="29" s="1"/>
  <c r="AS165" i="29"/>
  <c r="AV165" i="29" s="1"/>
  <c r="AS166" i="29"/>
  <c r="AV166" i="29" s="1"/>
  <c r="AU166" i="29"/>
  <c r="AA166" i="29"/>
  <c r="AS146" i="29"/>
  <c r="AV146" i="29" s="1"/>
  <c r="AU150" i="29"/>
  <c r="AS172" i="29"/>
  <c r="AV172" i="29" s="1"/>
  <c r="AU172" i="29"/>
  <c r="AA172" i="29"/>
  <c r="AT169" i="29"/>
  <c r="AW169" i="29" s="1"/>
  <c r="AS169" i="29"/>
  <c r="AV169" i="29" s="1"/>
  <c r="AA170" i="29"/>
  <c r="AS170" i="29"/>
  <c r="AV170" i="29" s="1"/>
  <c r="AS177" i="29"/>
  <c r="AV177" i="29" s="1"/>
  <c r="AU177" i="29"/>
  <c r="AA177" i="29"/>
  <c r="AT181" i="29"/>
  <c r="AW181" i="29" s="1"/>
  <c r="AS181" i="29"/>
  <c r="AV181" i="29" s="1"/>
  <c r="AT173" i="29"/>
  <c r="AW173" i="29" s="1"/>
  <c r="AS173" i="29"/>
  <c r="AV173" i="29" s="1"/>
  <c r="AU167" i="29"/>
  <c r="AA167" i="29"/>
  <c r="AS168" i="29"/>
  <c r="AV168" i="29" s="1"/>
  <c r="AU168" i="29"/>
  <c r="AA168" i="29"/>
  <c r="AA180" i="29"/>
  <c r="AU184" i="29"/>
  <c r="AA184" i="29"/>
  <c r="AS184" i="29"/>
  <c r="AV184" i="29" s="1"/>
  <c r="AU181" i="29"/>
  <c r="AA181" i="29"/>
  <c r="AU178" i="29"/>
  <c r="AA178" i="29"/>
  <c r="AU187" i="29"/>
  <c r="AA187" i="29"/>
  <c r="AS187" i="29"/>
  <c r="AV187" i="29" s="1"/>
  <c r="AA183" i="29"/>
  <c r="AA186" i="29"/>
  <c r="AA25" i="16"/>
  <c r="AA60" i="16"/>
  <c r="AA150" i="16"/>
  <c r="AS34" i="16"/>
  <c r="AV34" i="16" s="1"/>
  <c r="AS46" i="16"/>
  <c r="AV46" i="16" s="1"/>
  <c r="AS99" i="16"/>
  <c r="AV99" i="16" s="1"/>
  <c r="AS136" i="16"/>
  <c r="AV136" i="16" s="1"/>
  <c r="AS139" i="16"/>
  <c r="AV139" i="16" s="1"/>
  <c r="AU148" i="16"/>
  <c r="AU151" i="16"/>
  <c r="AS177" i="16"/>
  <c r="AV177" i="16" s="1"/>
  <c r="AS38" i="16"/>
  <c r="AV38" i="16" s="1"/>
  <c r="AU46" i="16"/>
  <c r="AS103" i="16"/>
  <c r="AV103" i="16" s="1"/>
  <c r="AS172" i="16"/>
  <c r="AV172" i="16" s="1"/>
  <c r="AS40" i="16"/>
  <c r="AV40" i="16" s="1"/>
  <c r="AA81" i="16"/>
  <c r="AS114" i="16"/>
  <c r="AV114" i="16" s="1"/>
  <c r="AA151" i="16"/>
  <c r="AS152" i="16"/>
  <c r="AV152" i="16" s="1"/>
  <c r="AA178" i="16"/>
  <c r="AS184" i="16"/>
  <c r="AV184" i="16" s="1"/>
  <c r="AA34" i="16"/>
  <c r="AS35" i="16"/>
  <c r="AV35" i="16" s="1"/>
  <c r="AA39" i="16"/>
  <c r="AS49" i="16"/>
  <c r="AV49" i="16" s="1"/>
  <c r="AS54" i="16"/>
  <c r="AV54" i="16" s="1"/>
  <c r="AS72" i="16"/>
  <c r="AV72" i="16" s="1"/>
  <c r="AS88" i="16"/>
  <c r="AV88" i="16" s="1"/>
  <c r="AS97" i="16"/>
  <c r="AV97" i="16" s="1"/>
  <c r="AS133" i="16"/>
  <c r="AV133" i="16" s="1"/>
  <c r="AS169" i="16"/>
  <c r="AV169" i="16" s="1"/>
  <c r="AA181" i="16"/>
  <c r="AS27" i="16"/>
  <c r="AV27" i="16" s="1"/>
  <c r="AU37" i="16"/>
  <c r="AU40" i="16"/>
  <c r="AU54" i="16"/>
  <c r="AS61" i="16"/>
  <c r="AV61" i="16" s="1"/>
  <c r="AS64" i="16"/>
  <c r="AV64" i="16" s="1"/>
  <c r="AS67" i="16"/>
  <c r="AV67" i="16" s="1"/>
  <c r="AU98" i="16"/>
  <c r="AU102" i="16"/>
  <c r="AU169" i="16"/>
  <c r="AU172" i="16"/>
  <c r="AU184" i="16"/>
  <c r="AU27" i="16"/>
  <c r="AU61" i="16"/>
  <c r="AU64" i="16"/>
  <c r="AU67" i="16"/>
  <c r="AS71" i="16"/>
  <c r="AV71" i="16" s="1"/>
  <c r="AS76" i="16"/>
  <c r="AV76" i="16" s="1"/>
  <c r="AS84" i="16"/>
  <c r="AV84" i="16" s="1"/>
  <c r="AS87" i="16"/>
  <c r="AV87" i="16" s="1"/>
  <c r="AS90" i="16"/>
  <c r="AV90" i="16" s="1"/>
  <c r="AS95" i="16"/>
  <c r="AV95" i="16" s="1"/>
  <c r="AU110" i="16"/>
  <c r="AU116" i="16"/>
  <c r="AU121" i="16"/>
  <c r="AS122" i="16"/>
  <c r="AV122" i="16" s="1"/>
  <c r="AS123" i="16"/>
  <c r="AV123" i="16" s="1"/>
  <c r="AS124" i="16"/>
  <c r="AV124" i="16" s="1"/>
  <c r="AS127" i="16"/>
  <c r="AV127" i="16" s="1"/>
  <c r="AU133" i="16"/>
  <c r="AS153" i="16"/>
  <c r="AV153" i="16" s="1"/>
  <c r="AS154" i="16"/>
  <c r="AV154" i="16" s="1"/>
  <c r="AU168" i="16"/>
  <c r="AU183" i="16"/>
  <c r="AS189" i="16"/>
  <c r="AV189" i="16" s="1"/>
  <c r="J26" i="16"/>
  <c r="AP26" i="16" s="1"/>
  <c r="AU87" i="16"/>
  <c r="AU95" i="16"/>
  <c r="AS96" i="16"/>
  <c r="AV96" i="16" s="1"/>
  <c r="J110" i="16"/>
  <c r="AP110" i="16" s="1"/>
  <c r="AS130" i="16"/>
  <c r="AV130" i="16" s="1"/>
  <c r="AT131" i="16"/>
  <c r="AW131" i="16" s="1"/>
  <c r="AU153" i="16"/>
  <c r="AS157" i="16"/>
  <c r="AV157" i="16" s="1"/>
  <c r="AS160" i="16"/>
  <c r="AV160" i="16" s="1"/>
  <c r="AS181" i="16"/>
  <c r="AV181" i="16" s="1"/>
  <c r="AS25" i="16"/>
  <c r="AV25" i="16" s="1"/>
  <c r="K25" i="16" s="1"/>
  <c r="AS29" i="16"/>
  <c r="AV29" i="16" s="1"/>
  <c r="AS33" i="16"/>
  <c r="AV33" i="16" s="1"/>
  <c r="AA37" i="16"/>
  <c r="AA40" i="16"/>
  <c r="AS56" i="16"/>
  <c r="AV56" i="16" s="1"/>
  <c r="AA80" i="16"/>
  <c r="AU90" i="16"/>
  <c r="AA102" i="16"/>
  <c r="AU122" i="16"/>
  <c r="AU124" i="16"/>
  <c r="AA133" i="16"/>
  <c r="AS135" i="16"/>
  <c r="AV135" i="16" s="1"/>
  <c r="AS148" i="16"/>
  <c r="AV148" i="16" s="1"/>
  <c r="AT149" i="16"/>
  <c r="AW149" i="16" s="1"/>
  <c r="AA169" i="16"/>
  <c r="AA172" i="16"/>
  <c r="AA184" i="16"/>
  <c r="AS188" i="16"/>
  <c r="AV188" i="16" s="1"/>
  <c r="AU25" i="16"/>
  <c r="J27" i="16"/>
  <c r="K27" i="16" s="1"/>
  <c r="AC27" i="16" s="1"/>
  <c r="AU33" i="16"/>
  <c r="AA61" i="16"/>
  <c r="AA64" i="16"/>
  <c r="AS65" i="16"/>
  <c r="AV65" i="16" s="1"/>
  <c r="AA67" i="16"/>
  <c r="AU130" i="16"/>
  <c r="AA132" i="16"/>
  <c r="AS166" i="16"/>
  <c r="AV166" i="16" s="1"/>
  <c r="AU187" i="16"/>
  <c r="AS43" i="16"/>
  <c r="AV43" i="16" s="1"/>
  <c r="AS69" i="16"/>
  <c r="AV69" i="16" s="1"/>
  <c r="AS75" i="16"/>
  <c r="AV75" i="16" s="1"/>
  <c r="AS93" i="16"/>
  <c r="AV93" i="16" s="1"/>
  <c r="AS142" i="16"/>
  <c r="AV142" i="16" s="1"/>
  <c r="AU186" i="16"/>
  <c r="AS28" i="16"/>
  <c r="AV28" i="16" s="1"/>
  <c r="AU30" i="16"/>
  <c r="AS31" i="16"/>
  <c r="AV31" i="16" s="1"/>
  <c r="AS51" i="16"/>
  <c r="AV51" i="16" s="1"/>
  <c r="AS52" i="16"/>
  <c r="AV52" i="16" s="1"/>
  <c r="AS63" i="16"/>
  <c r="AV63" i="16" s="1"/>
  <c r="AU69" i="16"/>
  <c r="AU72" i="16"/>
  <c r="AU84" i="16"/>
  <c r="AU96" i="16"/>
  <c r="AU99" i="16"/>
  <c r="AT113" i="16"/>
  <c r="AW113" i="16" s="1"/>
  <c r="AU127" i="16"/>
  <c r="AU139" i="16"/>
  <c r="AS145" i="16"/>
  <c r="AV145" i="16" s="1"/>
  <c r="AS163" i="16"/>
  <c r="AV163" i="16" s="1"/>
  <c r="AU166" i="16"/>
  <c r="AS171" i="16"/>
  <c r="AV171" i="16" s="1"/>
  <c r="AS175" i="16"/>
  <c r="AV175" i="16" s="1"/>
  <c r="AU188" i="16"/>
  <c r="AS42" i="16"/>
  <c r="AV42" i="16" s="1"/>
  <c r="AU57" i="16"/>
  <c r="AS70" i="16"/>
  <c r="AV70" i="16" s="1"/>
  <c r="AS92" i="16"/>
  <c r="AV92" i="16" s="1"/>
  <c r="AA27" i="16"/>
  <c r="AA33" i="16"/>
  <c r="AS36" i="16"/>
  <c r="AV36" i="16" s="1"/>
  <c r="AU43" i="16"/>
  <c r="AU51" i="16"/>
  <c r="AA54" i="16"/>
  <c r="AU55" i="16"/>
  <c r="AU58" i="16"/>
  <c r="AU63" i="16"/>
  <c r="AU70" i="16"/>
  <c r="AU75" i="16"/>
  <c r="AS81" i="16"/>
  <c r="AV81" i="16" s="1"/>
  <c r="AS86" i="16"/>
  <c r="AV86" i="16" s="1"/>
  <c r="AU93" i="16"/>
  <c r="AU113" i="16"/>
  <c r="AA120" i="16"/>
  <c r="AA135" i="16"/>
  <c r="AU136" i="16"/>
  <c r="AU142" i="16"/>
  <c r="AA153" i="16"/>
  <c r="AU154" i="16"/>
  <c r="AU160" i="16"/>
  <c r="AU171" i="16"/>
  <c r="AA177" i="16"/>
  <c r="AS180" i="16"/>
  <c r="AV180" i="16" s="1"/>
  <c r="AS58" i="16"/>
  <c r="AV58" i="16" s="1"/>
  <c r="AU83" i="16"/>
  <c r="AU28" i="16"/>
  <c r="AU31" i="16"/>
  <c r="AU36" i="16"/>
  <c r="AS45" i="16"/>
  <c r="AV45" i="16" s="1"/>
  <c r="AU52" i="16"/>
  <c r="AA55" i="16"/>
  <c r="AS60" i="16"/>
  <c r="AV60" i="16" s="1"/>
  <c r="AU86" i="16"/>
  <c r="AT110" i="16"/>
  <c r="AW110" i="16" s="1"/>
  <c r="AS116" i="16"/>
  <c r="AV116" i="16" s="1"/>
  <c r="AT121" i="16"/>
  <c r="AW121" i="16" s="1"/>
  <c r="AA136" i="16"/>
  <c r="AU145" i="16"/>
  <c r="AA154" i="16"/>
  <c r="AA160" i="16"/>
  <c r="AU163" i="16"/>
  <c r="AU175" i="16"/>
  <c r="AU180" i="16"/>
  <c r="AS104" i="16"/>
  <c r="AV104" i="16" s="1"/>
  <c r="AA42" i="16"/>
  <c r="AA69" i="16"/>
  <c r="AA75" i="16"/>
  <c r="AA92" i="16"/>
  <c r="AA104" i="16"/>
  <c r="F76" i="27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AR24" i="27"/>
  <c r="H25" i="27"/>
  <c r="AR25" i="27" s="1"/>
  <c r="L76" i="27"/>
  <c r="AL26" i="27"/>
  <c r="AF207" i="27"/>
  <c r="AT207" i="27"/>
  <c r="AW207" i="27" s="1"/>
  <c r="AS207" i="27"/>
  <c r="AV207" i="27" s="1"/>
  <c r="AS208" i="27"/>
  <c r="AV208" i="27" s="1"/>
  <c r="AB208" i="27"/>
  <c r="AU208" i="27"/>
  <c r="H210" i="27"/>
  <c r="AR209" i="27"/>
  <c r="AU207" i="27"/>
  <c r="J208" i="27"/>
  <c r="AZ208" i="27" s="1"/>
  <c r="AP208" i="27" s="1"/>
  <c r="L236" i="27"/>
  <c r="D299" i="27"/>
  <c r="E298" i="27"/>
  <c r="AB327" i="27"/>
  <c r="AS327" i="27"/>
  <c r="AV327" i="27" s="1"/>
  <c r="K327" i="27" s="1"/>
  <c r="AS23" i="11"/>
  <c r="AV23" i="11" s="1"/>
  <c r="N23" i="11" s="1"/>
  <c r="AE23" i="11"/>
  <c r="AC23" i="11"/>
  <c r="H25" i="11"/>
  <c r="AQ24" i="11"/>
  <c r="AT24" i="11" s="1"/>
  <c r="AW24" i="11" s="1"/>
  <c r="AR24" i="11"/>
  <c r="L26" i="11"/>
  <c r="P23" i="11"/>
  <c r="AU73" i="16"/>
  <c r="AA73" i="16"/>
  <c r="AS73" i="16"/>
  <c r="AV73" i="16" s="1"/>
  <c r="J23" i="11"/>
  <c r="AP23" i="11" s="1"/>
  <c r="AU82" i="16"/>
  <c r="AA82" i="16"/>
  <c r="AS82" i="16"/>
  <c r="AV82" i="16" s="1"/>
  <c r="AT53" i="16"/>
  <c r="AW53" i="16" s="1"/>
  <c r="AS53" i="16"/>
  <c r="AV53" i="16" s="1"/>
  <c r="AU71" i="16"/>
  <c r="AA71" i="16"/>
  <c r="AT26" i="16"/>
  <c r="AW26" i="16" s="1"/>
  <c r="AS26" i="16"/>
  <c r="AV26" i="16" s="1"/>
  <c r="AT85" i="16"/>
  <c r="AW85" i="16" s="1"/>
  <c r="AS85" i="16"/>
  <c r="AV85" i="16" s="1"/>
  <c r="AU112" i="16"/>
  <c r="AA112" i="16"/>
  <c r="AS112" i="16"/>
  <c r="AV112" i="16" s="1"/>
  <c r="AU44" i="16"/>
  <c r="AA44" i="16"/>
  <c r="AU119" i="16"/>
  <c r="AS119" i="16"/>
  <c r="AV119" i="16" s="1"/>
  <c r="AA119" i="16"/>
  <c r="AS162" i="16"/>
  <c r="AV162" i="16" s="1"/>
  <c r="AU162" i="16"/>
  <c r="AA162" i="16"/>
  <c r="AS44" i="16"/>
  <c r="AV44" i="16" s="1"/>
  <c r="AS141" i="16"/>
  <c r="AV141" i="16" s="1"/>
  <c r="AA141" i="16"/>
  <c r="AU141" i="16"/>
  <c r="AU170" i="16"/>
  <c r="AA170" i="16"/>
  <c r="AS170" i="16"/>
  <c r="AV170" i="16" s="1"/>
  <c r="AU26" i="16"/>
  <c r="AA26" i="16"/>
  <c r="J28" i="16"/>
  <c r="L29" i="16"/>
  <c r="AU53" i="16"/>
  <c r="AA53" i="16"/>
  <c r="AU85" i="16"/>
  <c r="AA85" i="16"/>
  <c r="AU176" i="16"/>
  <c r="AA176" i="16"/>
  <c r="AS176" i="16"/>
  <c r="AV176" i="16" s="1"/>
  <c r="AU78" i="16"/>
  <c r="AU111" i="16"/>
  <c r="AA111" i="16"/>
  <c r="AS126" i="16"/>
  <c r="AV126" i="16" s="1"/>
  <c r="AU126" i="16"/>
  <c r="AA126" i="16"/>
  <c r="AU137" i="16"/>
  <c r="AA137" i="16"/>
  <c r="AS137" i="16"/>
  <c r="AV137" i="16" s="1"/>
  <c r="AU35" i="16"/>
  <c r="AA35" i="16"/>
  <c r="AU62" i="16"/>
  <c r="AA62" i="16"/>
  <c r="AS78" i="16"/>
  <c r="AV78" i="16" s="1"/>
  <c r="AS101" i="16"/>
  <c r="AV101" i="16" s="1"/>
  <c r="AS111" i="16"/>
  <c r="AV111" i="16" s="1"/>
  <c r="AU32" i="16"/>
  <c r="AA32" i="16"/>
  <c r="AU41" i="16"/>
  <c r="AA41" i="16"/>
  <c r="AU50" i="16"/>
  <c r="AA50" i="16"/>
  <c r="AU59" i="16"/>
  <c r="AA59" i="16"/>
  <c r="AU68" i="16"/>
  <c r="AA68" i="16"/>
  <c r="AU94" i="16"/>
  <c r="AA94" i="16"/>
  <c r="AS156" i="16"/>
  <c r="AV156" i="16" s="1"/>
  <c r="AU156" i="16"/>
  <c r="J246" i="17"/>
  <c r="AP246" i="17" s="1"/>
  <c r="AU266" i="17"/>
  <c r="AS246" i="17"/>
  <c r="AV266" i="17" s="1"/>
  <c r="AS30" i="16"/>
  <c r="AV30" i="16" s="1"/>
  <c r="AS32" i="16"/>
  <c r="AV32" i="16" s="1"/>
  <c r="AS39" i="16"/>
  <c r="AV39" i="16" s="1"/>
  <c r="AS41" i="16"/>
  <c r="AV41" i="16" s="1"/>
  <c r="AS48" i="16"/>
  <c r="AV48" i="16" s="1"/>
  <c r="AS50" i="16"/>
  <c r="AV50" i="16" s="1"/>
  <c r="AS57" i="16"/>
  <c r="AV57" i="16" s="1"/>
  <c r="AS59" i="16"/>
  <c r="AV59" i="16" s="1"/>
  <c r="AS66" i="16"/>
  <c r="AV66" i="16" s="1"/>
  <c r="AS68" i="16"/>
  <c r="AV68" i="16" s="1"/>
  <c r="AS74" i="16"/>
  <c r="AV74" i="16" s="1"/>
  <c r="AU74" i="16"/>
  <c r="AS83" i="16"/>
  <c r="AV83" i="16" s="1"/>
  <c r="AS94" i="16"/>
  <c r="AV94" i="16" s="1"/>
  <c r="AU125" i="16"/>
  <c r="AA125" i="16"/>
  <c r="AS125" i="16"/>
  <c r="AV125" i="16" s="1"/>
  <c r="B292" i="17"/>
  <c r="AU29" i="16"/>
  <c r="AA29" i="16"/>
  <c r="AU38" i="16"/>
  <c r="AA38" i="16"/>
  <c r="AU47" i="16"/>
  <c r="AA47" i="16"/>
  <c r="AU56" i="16"/>
  <c r="AA56" i="16"/>
  <c r="AU65" i="16"/>
  <c r="AA65" i="16"/>
  <c r="AS77" i="16"/>
  <c r="AV77" i="16" s="1"/>
  <c r="AA77" i="16"/>
  <c r="AU103" i="16"/>
  <c r="AA103" i="16"/>
  <c r="AU158" i="16"/>
  <c r="AA158" i="16"/>
  <c r="AU161" i="16"/>
  <c r="AA161" i="16"/>
  <c r="AS161" i="16"/>
  <c r="AV161" i="16" s="1"/>
  <c r="AU79" i="16"/>
  <c r="AA79" i="16"/>
  <c r="AU91" i="16"/>
  <c r="AA91" i="16"/>
  <c r="AU100" i="16"/>
  <c r="AA100" i="16"/>
  <c r="K110" i="16"/>
  <c r="J111" i="16"/>
  <c r="AP111" i="16" s="1"/>
  <c r="L112" i="16"/>
  <c r="AS144" i="16"/>
  <c r="AV144" i="16" s="1"/>
  <c r="AU144" i="16"/>
  <c r="AA144" i="16"/>
  <c r="AU185" i="16"/>
  <c r="AA185" i="16"/>
  <c r="AS185" i="16"/>
  <c r="AV185" i="16" s="1"/>
  <c r="AS186" i="16"/>
  <c r="AV186" i="16" s="1"/>
  <c r="AU276" i="17"/>
  <c r="AS256" i="17"/>
  <c r="AV276" i="17" s="1"/>
  <c r="J256" i="17"/>
  <c r="AP256" i="17" s="1"/>
  <c r="AS79" i="16"/>
  <c r="AV79" i="16" s="1"/>
  <c r="AS80" i="16"/>
  <c r="AV80" i="16" s="1"/>
  <c r="AS89" i="16"/>
  <c r="AV89" i="16" s="1"/>
  <c r="AS91" i="16"/>
  <c r="AV91" i="16" s="1"/>
  <c r="AS98" i="16"/>
  <c r="AV98" i="16" s="1"/>
  <c r="AS100" i="16"/>
  <c r="AV100" i="16" s="1"/>
  <c r="AU117" i="16"/>
  <c r="AA117" i="16"/>
  <c r="AU118" i="16"/>
  <c r="AA118" i="16"/>
  <c r="AS118" i="16"/>
  <c r="AV118" i="16" s="1"/>
  <c r="AU140" i="16"/>
  <c r="AA140" i="16"/>
  <c r="AU155" i="16"/>
  <c r="AA155" i="16"/>
  <c r="AS159" i="16"/>
  <c r="AV159" i="16" s="1"/>
  <c r="AU179" i="16"/>
  <c r="AA179" i="16"/>
  <c r="AU76" i="16"/>
  <c r="AA76" i="16"/>
  <c r="AU88" i="16"/>
  <c r="AA88" i="16"/>
  <c r="AU97" i="16"/>
  <c r="AA97" i="16"/>
  <c r="AU114" i="16"/>
  <c r="AA114" i="16"/>
  <c r="AU115" i="16"/>
  <c r="AA115" i="16"/>
  <c r="AS115" i="16"/>
  <c r="AV115" i="16" s="1"/>
  <c r="AS117" i="16"/>
  <c r="AV117" i="16" s="1"/>
  <c r="AA123" i="16"/>
  <c r="AS138" i="16"/>
  <c r="AV138" i="16" s="1"/>
  <c r="AS140" i="16"/>
  <c r="AV140" i="16" s="1"/>
  <c r="AU143" i="16"/>
  <c r="AA143" i="16"/>
  <c r="AS143" i="16"/>
  <c r="AV143" i="16" s="1"/>
  <c r="AS155" i="16"/>
  <c r="AV155" i="16" s="1"/>
  <c r="AA159" i="16"/>
  <c r="AU159" i="16"/>
  <c r="AU167" i="16"/>
  <c r="AA167" i="16"/>
  <c r="AS167" i="16"/>
  <c r="AV167" i="16" s="1"/>
  <c r="AS168" i="16"/>
  <c r="AV168" i="16" s="1"/>
  <c r="AS179" i="16"/>
  <c r="AV179" i="16" s="1"/>
  <c r="AU128" i="16"/>
  <c r="AA128" i="16"/>
  <c r="AS129" i="16"/>
  <c r="AV129" i="16" s="1"/>
  <c r="AU146" i="16"/>
  <c r="AA146" i="16"/>
  <c r="AS147" i="16"/>
  <c r="AV147" i="16" s="1"/>
  <c r="AU164" i="16"/>
  <c r="AA164" i="16"/>
  <c r="AS165" i="16"/>
  <c r="AV165" i="16" s="1"/>
  <c r="AS174" i="16"/>
  <c r="AV174" i="16" s="1"/>
  <c r="AS183" i="16"/>
  <c r="AV183" i="16" s="1"/>
  <c r="AS120" i="16"/>
  <c r="AV120" i="16" s="1"/>
  <c r="AS128" i="16"/>
  <c r="AV128" i="16" s="1"/>
  <c r="AA129" i="16"/>
  <c r="AU129" i="16"/>
  <c r="AU131" i="16"/>
  <c r="AA131" i="16"/>
  <c r="AS132" i="16"/>
  <c r="AV132" i="16" s="1"/>
  <c r="AS146" i="16"/>
  <c r="AV146" i="16" s="1"/>
  <c r="AA147" i="16"/>
  <c r="AU147" i="16"/>
  <c r="AU149" i="16"/>
  <c r="AA149" i="16"/>
  <c r="AS150" i="16"/>
  <c r="AV150" i="16" s="1"/>
  <c r="AS164" i="16"/>
  <c r="AV164" i="16" s="1"/>
  <c r="AA165" i="16"/>
  <c r="AU165" i="16"/>
  <c r="AU173" i="16"/>
  <c r="AA173" i="16"/>
  <c r="AU182" i="16"/>
  <c r="AA182" i="16"/>
  <c r="L204" i="17"/>
  <c r="AU134" i="16"/>
  <c r="AA134" i="16"/>
  <c r="AU152" i="16"/>
  <c r="AA152" i="16"/>
  <c r="AS173" i="16"/>
  <c r="AV173" i="16" s="1"/>
  <c r="AS182" i="16"/>
  <c r="AV182" i="16" s="1"/>
  <c r="AS187" i="16"/>
  <c r="AV187" i="16" s="1"/>
  <c r="AU189" i="16"/>
  <c r="AA189" i="16"/>
  <c r="AU269" i="17"/>
  <c r="J249" i="17"/>
  <c r="AP249" i="17" s="1"/>
  <c r="AS249" i="17"/>
  <c r="AV269" i="17" s="1"/>
  <c r="F28" i="17"/>
  <c r="AU258" i="17"/>
  <c r="J238" i="17"/>
  <c r="AP238" i="17" s="1"/>
  <c r="AS238" i="17"/>
  <c r="AV258" i="17" s="1"/>
  <c r="J257" i="17"/>
  <c r="AP257" i="17" s="1"/>
  <c r="AU277" i="17"/>
  <c r="AS257" i="17"/>
  <c r="AV277" i="17" s="1"/>
  <c r="AU285" i="17"/>
  <c r="J265" i="17"/>
  <c r="AP265" i="17" s="1"/>
  <c r="AS265" i="17"/>
  <c r="AV285" i="17" s="1"/>
  <c r="AU257" i="17"/>
  <c r="J237" i="17"/>
  <c r="AP237" i="17" s="1"/>
  <c r="AS237" i="17"/>
  <c r="AV257" i="17" s="1"/>
  <c r="AS248" i="17"/>
  <c r="AV268" i="17" s="1"/>
  <c r="J248" i="17"/>
  <c r="AP248" i="17" s="1"/>
  <c r="AU280" i="17"/>
  <c r="AS260" i="17"/>
  <c r="AV280" i="17" s="1"/>
  <c r="K260" i="17" s="1"/>
  <c r="AU268" i="17"/>
  <c r="AU286" i="17"/>
  <c r="J266" i="17"/>
  <c r="AP266" i="17" s="1"/>
  <c r="AS266" i="17"/>
  <c r="AV286" i="17" s="1"/>
  <c r="AU281" i="17"/>
  <c r="J261" i="17"/>
  <c r="AT282" i="17"/>
  <c r="AW282" i="17" s="1"/>
  <c r="AS262" i="17"/>
  <c r="AV282" i="17" s="1"/>
  <c r="K262" i="17" s="1"/>
  <c r="J258" i="17"/>
  <c r="AP258" i="17" s="1"/>
  <c r="AU278" i="17"/>
  <c r="AS236" i="17"/>
  <c r="AV256" i="17" s="1"/>
  <c r="J236" i="17"/>
  <c r="AP236" i="17" s="1"/>
  <c r="AU264" i="17"/>
  <c r="AS244" i="17"/>
  <c r="AV264" i="17" s="1"/>
  <c r="K244" i="17" s="1"/>
  <c r="AS258" i="17"/>
  <c r="AV278" i="17" s="1"/>
  <c r="AU279" i="17"/>
  <c r="AS259" i="17"/>
  <c r="AV279" i="17" s="1"/>
  <c r="J259" i="17"/>
  <c r="AP259" i="17" s="1"/>
  <c r="AT288" i="17"/>
  <c r="AW288" i="17" s="1"/>
  <c r="AS268" i="17"/>
  <c r="AV288" i="17" s="1"/>
  <c r="AU256" i="17"/>
  <c r="J245" i="17"/>
  <c r="AU265" i="17"/>
  <c r="AS247" i="17"/>
  <c r="AV267" i="17" s="1"/>
  <c r="AS250" i="17"/>
  <c r="AV270" i="17" s="1"/>
  <c r="AS280" i="17"/>
  <c r="AV300" i="17" s="1"/>
  <c r="J280" i="17"/>
  <c r="AP280" i="17" s="1"/>
  <c r="AU300" i="17"/>
  <c r="K271" i="17"/>
  <c r="AT292" i="17"/>
  <c r="AW292" i="17" s="1"/>
  <c r="AS272" i="17"/>
  <c r="AV292" i="17" s="1"/>
  <c r="AS278" i="17"/>
  <c r="AV298" i="17" s="1"/>
  <c r="J278" i="17"/>
  <c r="AP278" i="17" s="1"/>
  <c r="AU298" i="17"/>
  <c r="J240" i="17"/>
  <c r="AS242" i="17"/>
  <c r="AV262" i="17" s="1"/>
  <c r="AS243" i="17"/>
  <c r="AV263" i="17" s="1"/>
  <c r="J252" i="17"/>
  <c r="AS254" i="17"/>
  <c r="AV274" i="17" s="1"/>
  <c r="AS255" i="17"/>
  <c r="AV275" i="17" s="1"/>
  <c r="AU283" i="17"/>
  <c r="AS263" i="17"/>
  <c r="AV283" i="17" s="1"/>
  <c r="AU284" i="17"/>
  <c r="J264" i="17"/>
  <c r="AU287" i="17"/>
  <c r="J267" i="17"/>
  <c r="AS274" i="17"/>
  <c r="AV294" i="17" s="1"/>
  <c r="J274" i="17"/>
  <c r="AP274" i="17" s="1"/>
  <c r="AS277" i="17"/>
  <c r="AV297" i="17" s="1"/>
  <c r="AU297" i="17"/>
  <c r="AS276" i="17"/>
  <c r="AV296" i="17" s="1"/>
  <c r="K276" i="17" s="1"/>
  <c r="AU296" i="17"/>
  <c r="AS279" i="17"/>
  <c r="AV299" i="17" s="1"/>
  <c r="K279" i="17" s="1"/>
  <c r="AU299" i="17"/>
  <c r="D294" i="17"/>
  <c r="E293" i="17"/>
  <c r="AU282" i="17"/>
  <c r="AS282" i="17"/>
  <c r="AV302" i="17" s="1"/>
  <c r="J282" i="17"/>
  <c r="AP282" i="17" s="1"/>
  <c r="AS284" i="17"/>
  <c r="AV304" i="17" s="1"/>
  <c r="AS275" i="17"/>
  <c r="AV295" i="17" s="1"/>
  <c r="K275" i="17" s="1"/>
  <c r="AS281" i="17"/>
  <c r="AV301" i="17" s="1"/>
  <c r="K281" i="17" s="1"/>
  <c r="AS283" i="17"/>
  <c r="AV303" i="17" s="1"/>
  <c r="N166" i="50" l="1"/>
  <c r="P166" i="50"/>
  <c r="M165" i="50"/>
  <c r="AM165" i="50" s="1"/>
  <c r="AU167" i="50"/>
  <c r="AS167" i="50"/>
  <c r="AV167" i="50" s="1"/>
  <c r="AB167" i="50"/>
  <c r="J167" i="50"/>
  <c r="AZ167" i="50" s="1"/>
  <c r="AP167" i="50" s="1"/>
  <c r="K166" i="50"/>
  <c r="N165" i="50"/>
  <c r="H173" i="50"/>
  <c r="AR168" i="50"/>
  <c r="AQ168" i="50"/>
  <c r="AT168" i="50" s="1"/>
  <c r="AW168" i="50" s="1"/>
  <c r="P165" i="50"/>
  <c r="AH23" i="11"/>
  <c r="N127" i="40"/>
  <c r="O127" i="40"/>
  <c r="Q127" i="40"/>
  <c r="R127" i="40" s="1"/>
  <c r="Y127" i="40" s="1"/>
  <c r="O126" i="40"/>
  <c r="Q126" i="40"/>
  <c r="R126" i="40" s="1"/>
  <c r="Y126" i="40" s="1"/>
  <c r="M127" i="40"/>
  <c r="AM127" i="40" s="1"/>
  <c r="K128" i="40"/>
  <c r="P128" i="40" s="1"/>
  <c r="H131" i="40"/>
  <c r="AQ130" i="40"/>
  <c r="AT130" i="40" s="1"/>
  <c r="AW130" i="40" s="1"/>
  <c r="AR130" i="40"/>
  <c r="AU129" i="40"/>
  <c r="AS129" i="40"/>
  <c r="AV129" i="40" s="1"/>
  <c r="AB129" i="40"/>
  <c r="J129" i="40"/>
  <c r="AZ129" i="40" s="1"/>
  <c r="AP129" i="40" s="1"/>
  <c r="K165" i="39"/>
  <c r="AB166" i="39"/>
  <c r="AU166" i="39"/>
  <c r="AS166" i="39"/>
  <c r="AV166" i="39" s="1"/>
  <c r="J166" i="39"/>
  <c r="AZ166" i="39" s="1"/>
  <c r="AP166" i="39" s="1"/>
  <c r="P165" i="39"/>
  <c r="N165" i="39"/>
  <c r="Q164" i="39"/>
  <c r="R164" i="39" s="1"/>
  <c r="Y164" i="39" s="1"/>
  <c r="O164" i="39"/>
  <c r="M165" i="39"/>
  <c r="AM165" i="39" s="1"/>
  <c r="AD165" i="39"/>
  <c r="AR167" i="39"/>
  <c r="AQ167" i="39"/>
  <c r="AT167" i="39" s="1"/>
  <c r="AW167" i="39" s="1"/>
  <c r="H168" i="39"/>
  <c r="AP23" i="27"/>
  <c r="AI23" i="27" s="1"/>
  <c r="Y292" i="27"/>
  <c r="AS24" i="27"/>
  <c r="AV24" i="27" s="1"/>
  <c r="AB24" i="27"/>
  <c r="AF24" i="27" s="1"/>
  <c r="AI207" i="27"/>
  <c r="J25" i="27"/>
  <c r="AZ25" i="27" s="1"/>
  <c r="AP25" i="27" s="1"/>
  <c r="AB25" i="27"/>
  <c r="K23" i="27"/>
  <c r="P23" i="27" s="1"/>
  <c r="Q23" i="27" s="1"/>
  <c r="R23" i="27" s="1"/>
  <c r="P164" i="36"/>
  <c r="Q164" i="36" s="1"/>
  <c r="R164" i="36" s="1"/>
  <c r="Y164" i="36" s="1"/>
  <c r="AR167" i="36"/>
  <c r="AB167" i="36" s="1"/>
  <c r="AQ167" i="36"/>
  <c r="AT167" i="36" s="1"/>
  <c r="AW167" i="36" s="1"/>
  <c r="H168" i="36"/>
  <c r="AU166" i="36"/>
  <c r="AS166" i="36"/>
  <c r="AV166" i="36" s="1"/>
  <c r="J166" i="36"/>
  <c r="AZ166" i="36" s="1"/>
  <c r="AP166" i="36" s="1"/>
  <c r="M164" i="36"/>
  <c r="AM164" i="36" s="1"/>
  <c r="N164" i="36"/>
  <c r="K165" i="36"/>
  <c r="P165" i="36" s="1"/>
  <c r="H26" i="27"/>
  <c r="AR26" i="27" s="1"/>
  <c r="AB26" i="27" s="1"/>
  <c r="AQ25" i="27"/>
  <c r="AT25" i="27" s="1"/>
  <c r="AW25" i="27" s="1"/>
  <c r="K207" i="27"/>
  <c r="P207" i="27" s="1"/>
  <c r="G28" i="17"/>
  <c r="K28" i="17" s="1"/>
  <c r="H28" i="17"/>
  <c r="I28" i="17" s="1"/>
  <c r="AS202" i="17"/>
  <c r="AV222" i="17" s="1"/>
  <c r="K283" i="17"/>
  <c r="N283" i="17" s="1"/>
  <c r="K251" i="17"/>
  <c r="N251" i="17" s="1"/>
  <c r="K253" i="17"/>
  <c r="M253" i="17" s="1"/>
  <c r="K241" i="17"/>
  <c r="P241" i="17" s="1"/>
  <c r="Q241" i="17" s="1"/>
  <c r="R241" i="17" s="1"/>
  <c r="X241" i="17" s="1"/>
  <c r="K269" i="17"/>
  <c r="P269" i="17" s="1"/>
  <c r="AP241" i="17"/>
  <c r="K250" i="17"/>
  <c r="N250" i="17" s="1"/>
  <c r="K239" i="17"/>
  <c r="N239" i="17" s="1"/>
  <c r="K201" i="17"/>
  <c r="P201" i="17" s="1"/>
  <c r="Q201" i="17" s="1"/>
  <c r="R201" i="17" s="1"/>
  <c r="X201" i="17" s="1"/>
  <c r="K270" i="17"/>
  <c r="P270" i="17" s="1"/>
  <c r="P271" i="17"/>
  <c r="O271" i="17" s="1"/>
  <c r="K284" i="17"/>
  <c r="P284" i="17" s="1"/>
  <c r="K248" i="17"/>
  <c r="M248" i="17" s="1"/>
  <c r="K273" i="17"/>
  <c r="N273" i="17" s="1"/>
  <c r="K236" i="17"/>
  <c r="N236" i="17" s="1"/>
  <c r="K237" i="17"/>
  <c r="M237" i="17" s="1"/>
  <c r="K246" i="17"/>
  <c r="M246" i="17" s="1"/>
  <c r="J202" i="17"/>
  <c r="AP202" i="17" s="1"/>
  <c r="F124" i="17"/>
  <c r="F118" i="17"/>
  <c r="F112" i="17"/>
  <c r="F106" i="17"/>
  <c r="F100" i="17"/>
  <c r="F94" i="17"/>
  <c r="F88" i="17"/>
  <c r="F82" i="17"/>
  <c r="F76" i="17"/>
  <c r="F70" i="17"/>
  <c r="F64" i="17"/>
  <c r="F58" i="17"/>
  <c r="F52" i="17"/>
  <c r="F46" i="17"/>
  <c r="F40" i="17"/>
  <c r="F34" i="17"/>
  <c r="F29" i="17"/>
  <c r="F123" i="17"/>
  <c r="F117" i="17"/>
  <c r="F111" i="17"/>
  <c r="F105" i="17"/>
  <c r="F99" i="17"/>
  <c r="F93" i="17"/>
  <c r="F87" i="17"/>
  <c r="F81" i="17"/>
  <c r="F75" i="17"/>
  <c r="F69" i="17"/>
  <c r="F63" i="17"/>
  <c r="F57" i="17"/>
  <c r="F51" i="17"/>
  <c r="F45" i="17"/>
  <c r="F39" i="17"/>
  <c r="F33" i="17"/>
  <c r="F128" i="17"/>
  <c r="F122" i="17"/>
  <c r="F116" i="17"/>
  <c r="F110" i="17"/>
  <c r="F104" i="17"/>
  <c r="F98" i="17"/>
  <c r="F92" i="17"/>
  <c r="F86" i="17"/>
  <c r="F80" i="17"/>
  <c r="F74" i="17"/>
  <c r="F68" i="17"/>
  <c r="F62" i="17"/>
  <c r="F56" i="17"/>
  <c r="F50" i="17"/>
  <c r="F44" i="17"/>
  <c r="F38" i="17"/>
  <c r="F32" i="17"/>
  <c r="K238" i="17"/>
  <c r="M238" i="17" s="1"/>
  <c r="F127" i="17"/>
  <c r="F121" i="17"/>
  <c r="F115" i="17"/>
  <c r="F109" i="17"/>
  <c r="F103" i="17"/>
  <c r="F97" i="17"/>
  <c r="F91" i="17"/>
  <c r="F85" i="17"/>
  <c r="F79" i="17"/>
  <c r="F73" i="17"/>
  <c r="F67" i="17"/>
  <c r="F61" i="17"/>
  <c r="F55" i="17"/>
  <c r="F49" i="17"/>
  <c r="F43" i="17"/>
  <c r="F37" i="17"/>
  <c r="F31" i="17"/>
  <c r="F126" i="17"/>
  <c r="F120" i="17"/>
  <c r="F114" i="17"/>
  <c r="F108" i="17"/>
  <c r="F102" i="17"/>
  <c r="F96" i="17"/>
  <c r="F90" i="17"/>
  <c r="F84" i="17"/>
  <c r="F78" i="17"/>
  <c r="F72" i="17"/>
  <c r="F66" i="17"/>
  <c r="F60" i="17"/>
  <c r="F54" i="17"/>
  <c r="F48" i="17"/>
  <c r="F42" i="17"/>
  <c r="F36" i="17"/>
  <c r="F30" i="17"/>
  <c r="H204" i="17"/>
  <c r="AR203" i="17"/>
  <c r="AQ203" i="17"/>
  <c r="AT223" i="17" s="1"/>
  <c r="AW223" i="17" s="1"/>
  <c r="F125" i="17"/>
  <c r="F119" i="17"/>
  <c r="F113" i="17"/>
  <c r="F107" i="17"/>
  <c r="F101" i="17"/>
  <c r="F95" i="17"/>
  <c r="F89" i="17"/>
  <c r="F83" i="17"/>
  <c r="F77" i="17"/>
  <c r="F71" i="17"/>
  <c r="F65" i="17"/>
  <c r="F59" i="17"/>
  <c r="F53" i="17"/>
  <c r="F47" i="17"/>
  <c r="F41" i="17"/>
  <c r="F35" i="17"/>
  <c r="AS26" i="29"/>
  <c r="AV26" i="29" s="1"/>
  <c r="H29" i="29"/>
  <c r="P109" i="29"/>
  <c r="AA28" i="29"/>
  <c r="AQ28" i="29"/>
  <c r="AS28" i="29" s="1"/>
  <c r="AV28" i="29" s="1"/>
  <c r="H30" i="29"/>
  <c r="AQ29" i="29"/>
  <c r="AT29" i="29" s="1"/>
  <c r="AW29" i="29" s="1"/>
  <c r="AR29" i="29"/>
  <c r="J111" i="29"/>
  <c r="L112" i="29"/>
  <c r="J27" i="29"/>
  <c r="L28" i="29"/>
  <c r="K26" i="29"/>
  <c r="AC26" i="29" s="1"/>
  <c r="O109" i="29"/>
  <c r="Q109" i="29"/>
  <c r="R109" i="29" s="1"/>
  <c r="X109" i="29" s="1"/>
  <c r="M109" i="29"/>
  <c r="AO109" i="29" s="1"/>
  <c r="K110" i="29"/>
  <c r="N110" i="29" s="1"/>
  <c r="N109" i="29"/>
  <c r="K25" i="29"/>
  <c r="P25" i="29" s="1"/>
  <c r="AP27" i="16"/>
  <c r="N27" i="16"/>
  <c r="P27" i="16"/>
  <c r="Q27" i="16" s="1"/>
  <c r="R27" i="16" s="1"/>
  <c r="J24" i="27"/>
  <c r="AU24" i="27"/>
  <c r="L77" i="27"/>
  <c r="M207" i="27"/>
  <c r="AD207" i="27"/>
  <c r="P327" i="27"/>
  <c r="N327" i="27"/>
  <c r="AQ26" i="27"/>
  <c r="AT26" i="27" s="1"/>
  <c r="AW26" i="27" s="1"/>
  <c r="H27" i="27"/>
  <c r="K208" i="27"/>
  <c r="N208" i="27" s="1"/>
  <c r="AD327" i="27"/>
  <c r="AF208" i="27"/>
  <c r="AI208" i="27" s="1"/>
  <c r="M327" i="27"/>
  <c r="L237" i="27"/>
  <c r="AS25" i="27"/>
  <c r="AV25" i="27" s="1"/>
  <c r="AU25" i="27"/>
  <c r="AU209" i="27"/>
  <c r="AS209" i="27"/>
  <c r="AV209" i="27" s="1"/>
  <c r="AB209" i="27"/>
  <c r="D300" i="27"/>
  <c r="E299" i="27"/>
  <c r="J209" i="27"/>
  <c r="AZ209" i="27" s="1"/>
  <c r="AP209" i="27" s="1"/>
  <c r="AR210" i="27"/>
  <c r="H211" i="27"/>
  <c r="AQ210" i="27"/>
  <c r="AT210" i="27" s="1"/>
  <c r="AW210" i="27" s="1"/>
  <c r="N207" i="27"/>
  <c r="N23" i="27"/>
  <c r="AL27" i="27"/>
  <c r="M275" i="17"/>
  <c r="E294" i="17"/>
  <c r="D295" i="17"/>
  <c r="AP267" i="17"/>
  <c r="K267" i="17"/>
  <c r="K263" i="17"/>
  <c r="K272" i="17"/>
  <c r="N272" i="17" s="1"/>
  <c r="M279" i="17"/>
  <c r="N110" i="16"/>
  <c r="M110" i="16"/>
  <c r="AM110" i="16" s="1"/>
  <c r="N276" i="17"/>
  <c r="P276" i="17"/>
  <c r="AP252" i="17"/>
  <c r="K252" i="17"/>
  <c r="AP261" i="17"/>
  <c r="K261" i="17"/>
  <c r="AC110" i="16"/>
  <c r="M25" i="16"/>
  <c r="AM25" i="16" s="1"/>
  <c r="A25" i="16" s="1"/>
  <c r="B25" i="16" s="1"/>
  <c r="C25" i="16" s="1"/>
  <c r="P25" i="16"/>
  <c r="N25" i="16"/>
  <c r="M281" i="17"/>
  <c r="K268" i="17"/>
  <c r="P268" i="17" s="1"/>
  <c r="M244" i="17"/>
  <c r="M260" i="17"/>
  <c r="M239" i="17"/>
  <c r="L113" i="16"/>
  <c r="J112" i="16"/>
  <c r="AC25" i="16"/>
  <c r="L27" i="11"/>
  <c r="M276" i="17"/>
  <c r="K254" i="17"/>
  <c r="N254" i="17" s="1"/>
  <c r="L205" i="17"/>
  <c r="K240" i="17"/>
  <c r="AP240" i="17"/>
  <c r="P281" i="17"/>
  <c r="N281" i="17"/>
  <c r="P279" i="17"/>
  <c r="N279" i="17"/>
  <c r="K247" i="17"/>
  <c r="P247" i="17" s="1"/>
  <c r="AP245" i="17"/>
  <c r="K245" i="17"/>
  <c r="K257" i="17"/>
  <c r="P257" i="17" s="1"/>
  <c r="K282" i="17"/>
  <c r="P282" i="17" s="1"/>
  <c r="K264" i="17"/>
  <c r="AP264" i="17"/>
  <c r="K243" i="17"/>
  <c r="M271" i="17"/>
  <c r="N271" i="17"/>
  <c r="K258" i="17"/>
  <c r="N258" i="17" s="1"/>
  <c r="K266" i="17"/>
  <c r="N266" i="17" s="1"/>
  <c r="N260" i="17"/>
  <c r="P260" i="17"/>
  <c r="K242" i="17"/>
  <c r="N242" i="17" s="1"/>
  <c r="K256" i="17"/>
  <c r="K111" i="16"/>
  <c r="P111" i="16" s="1"/>
  <c r="L30" i="16"/>
  <c r="J29" i="16"/>
  <c r="M27" i="16"/>
  <c r="AM27" i="16" s="1"/>
  <c r="A27" i="16" s="1"/>
  <c r="B27" i="16" s="1"/>
  <c r="C27" i="16" s="1"/>
  <c r="N275" i="17"/>
  <c r="P275" i="17"/>
  <c r="K277" i="17"/>
  <c r="K274" i="17"/>
  <c r="K278" i="17"/>
  <c r="P278" i="17" s="1"/>
  <c r="M262" i="17"/>
  <c r="K280" i="17"/>
  <c r="P280" i="17" s="1"/>
  <c r="K259" i="17"/>
  <c r="P244" i="17"/>
  <c r="N244" i="17"/>
  <c r="N262" i="17"/>
  <c r="P262" i="17"/>
  <c r="K265" i="17"/>
  <c r="K255" i="17"/>
  <c r="K249" i="17"/>
  <c r="P110" i="16"/>
  <c r="K28" i="16"/>
  <c r="AP28" i="16"/>
  <c r="K26" i="16"/>
  <c r="AU24" i="11"/>
  <c r="AS24" i="11"/>
  <c r="AV24" i="11" s="1"/>
  <c r="J24" i="11"/>
  <c r="AP24" i="11" s="1"/>
  <c r="Q23" i="11"/>
  <c r="R23" i="11" s="1"/>
  <c r="O23" i="11"/>
  <c r="AR25" i="11"/>
  <c r="AQ25" i="11"/>
  <c r="AT25" i="11" s="1"/>
  <c r="AW25" i="11" s="1"/>
  <c r="H26" i="11"/>
  <c r="H174" i="50" l="1"/>
  <c r="AQ173" i="50"/>
  <c r="AT173" i="50" s="1"/>
  <c r="AW173" i="50" s="1"/>
  <c r="AR173" i="50"/>
  <c r="AB168" i="50"/>
  <c r="AU168" i="50"/>
  <c r="AS168" i="50"/>
  <c r="AV168" i="50" s="1"/>
  <c r="J168" i="50"/>
  <c r="AZ168" i="50" s="1"/>
  <c r="AP168" i="50" s="1"/>
  <c r="Q166" i="50"/>
  <c r="R166" i="50" s="1"/>
  <c r="Y166" i="50" s="1"/>
  <c r="O166" i="50"/>
  <c r="K167" i="50"/>
  <c r="P167" i="50"/>
  <c r="N167" i="50"/>
  <c r="Q165" i="50"/>
  <c r="R165" i="50" s="1"/>
  <c r="Y165" i="50" s="1"/>
  <c r="O165" i="50"/>
  <c r="M166" i="50"/>
  <c r="AM166" i="50" s="1"/>
  <c r="AD166" i="50"/>
  <c r="O128" i="40"/>
  <c r="Q128" i="40"/>
  <c r="R128" i="40" s="1"/>
  <c r="Y128" i="40" s="1"/>
  <c r="AU130" i="40"/>
  <c r="AS130" i="40"/>
  <c r="AV130" i="40" s="1"/>
  <c r="AB130" i="40"/>
  <c r="J130" i="40"/>
  <c r="AZ130" i="40" s="1"/>
  <c r="AP130" i="40" s="1"/>
  <c r="M128" i="40"/>
  <c r="AM128" i="40" s="1"/>
  <c r="N128" i="40"/>
  <c r="AD128" i="40"/>
  <c r="K129" i="40"/>
  <c r="P129" i="40" s="1"/>
  <c r="H132" i="40"/>
  <c r="AQ131" i="40"/>
  <c r="AT131" i="40" s="1"/>
  <c r="AW131" i="40" s="1"/>
  <c r="AR131" i="40"/>
  <c r="H173" i="39"/>
  <c r="AR168" i="39"/>
  <c r="AQ168" i="39"/>
  <c r="AT168" i="39" s="1"/>
  <c r="AW168" i="39" s="1"/>
  <c r="Q165" i="39"/>
  <c r="R165" i="39" s="1"/>
  <c r="Y165" i="39" s="1"/>
  <c r="O165" i="39"/>
  <c r="AB167" i="39"/>
  <c r="AU167" i="39"/>
  <c r="AS167" i="39"/>
  <c r="AV167" i="39" s="1"/>
  <c r="J167" i="39"/>
  <c r="AZ167" i="39" s="1"/>
  <c r="AP167" i="39" s="1"/>
  <c r="AD166" i="39"/>
  <c r="K166" i="39"/>
  <c r="P166" i="39" s="1"/>
  <c r="AD23" i="27"/>
  <c r="M23" i="27"/>
  <c r="O23" i="27"/>
  <c r="O164" i="36"/>
  <c r="Q165" i="36"/>
  <c r="R165" i="36" s="1"/>
  <c r="Y165" i="36" s="1"/>
  <c r="O165" i="36"/>
  <c r="AU167" i="36"/>
  <c r="AS167" i="36"/>
  <c r="AV167" i="36" s="1"/>
  <c r="J167" i="36"/>
  <c r="AZ167" i="36" s="1"/>
  <c r="AP167" i="36" s="1"/>
  <c r="N165" i="36"/>
  <c r="K166" i="36"/>
  <c r="M165" i="36"/>
  <c r="AM165" i="36" s="1"/>
  <c r="H173" i="36"/>
  <c r="AR168" i="36"/>
  <c r="AB168" i="36" s="1"/>
  <c r="AQ168" i="36"/>
  <c r="AT168" i="36" s="1"/>
  <c r="AW168" i="36" s="1"/>
  <c r="AD165" i="36"/>
  <c r="N166" i="36"/>
  <c r="M251" i="17"/>
  <c r="P283" i="17"/>
  <c r="O283" i="17" s="1"/>
  <c r="M283" i="17"/>
  <c r="P248" i="17"/>
  <c r="O248" i="17" s="1"/>
  <c r="N248" i="17"/>
  <c r="G101" i="17"/>
  <c r="K101" i="17" s="1"/>
  <c r="H101" i="17"/>
  <c r="G61" i="17"/>
  <c r="K61" i="17" s="1"/>
  <c r="H61" i="17"/>
  <c r="G35" i="17"/>
  <c r="K35" i="17" s="1"/>
  <c r="H35" i="17"/>
  <c r="G71" i="17"/>
  <c r="K71" i="17" s="1"/>
  <c r="H71" i="17"/>
  <c r="G107" i="17"/>
  <c r="K107" i="17" s="1"/>
  <c r="H107" i="17"/>
  <c r="G60" i="17"/>
  <c r="K60" i="17" s="1"/>
  <c r="H60" i="17"/>
  <c r="G96" i="17"/>
  <c r="K96" i="17" s="1"/>
  <c r="H96" i="17"/>
  <c r="G31" i="17"/>
  <c r="K31" i="17" s="1"/>
  <c r="H31" i="17"/>
  <c r="G67" i="17"/>
  <c r="K67" i="17" s="1"/>
  <c r="H67" i="17"/>
  <c r="G103" i="17"/>
  <c r="K103" i="17" s="1"/>
  <c r="H103" i="17"/>
  <c r="G32" i="17"/>
  <c r="K32" i="17" s="1"/>
  <c r="H32" i="17"/>
  <c r="G68" i="17"/>
  <c r="K68" i="17" s="1"/>
  <c r="H68" i="17"/>
  <c r="G104" i="17"/>
  <c r="K104" i="17" s="1"/>
  <c r="H104" i="17"/>
  <c r="G39" i="17"/>
  <c r="K39" i="17" s="1"/>
  <c r="H39" i="17"/>
  <c r="G75" i="17"/>
  <c r="K75" i="17" s="1"/>
  <c r="H75" i="17"/>
  <c r="G111" i="17"/>
  <c r="K111" i="17" s="1"/>
  <c r="H111" i="17"/>
  <c r="G46" i="17"/>
  <c r="K46" i="17" s="1"/>
  <c r="H46" i="17"/>
  <c r="G82" i="17"/>
  <c r="K82" i="17" s="1"/>
  <c r="H82" i="17"/>
  <c r="G118" i="17"/>
  <c r="K118" i="17" s="1"/>
  <c r="H118" i="17"/>
  <c r="G90" i="17"/>
  <c r="K90" i="17" s="1"/>
  <c r="H90" i="17"/>
  <c r="G97" i="17"/>
  <c r="K97" i="17" s="1"/>
  <c r="H97" i="17"/>
  <c r="G62" i="17"/>
  <c r="K62" i="17" s="1"/>
  <c r="H62" i="17"/>
  <c r="G98" i="17"/>
  <c r="K98" i="17" s="1"/>
  <c r="H98" i="17"/>
  <c r="G69" i="17"/>
  <c r="K69" i="17" s="1"/>
  <c r="H69" i="17"/>
  <c r="G105" i="17"/>
  <c r="K105" i="17" s="1"/>
  <c r="H105" i="17"/>
  <c r="G40" i="17"/>
  <c r="K40" i="17" s="1"/>
  <c r="H40" i="17"/>
  <c r="G76" i="17"/>
  <c r="K76" i="17" s="1"/>
  <c r="H76" i="17"/>
  <c r="G112" i="17"/>
  <c r="K112" i="17" s="1"/>
  <c r="H112" i="17"/>
  <c r="G41" i="17"/>
  <c r="K41" i="17" s="1"/>
  <c r="H41" i="17"/>
  <c r="G77" i="17"/>
  <c r="K77" i="17" s="1"/>
  <c r="H77" i="17"/>
  <c r="G113" i="17"/>
  <c r="K113" i="17" s="1"/>
  <c r="H113" i="17"/>
  <c r="G30" i="17"/>
  <c r="K30" i="17" s="1"/>
  <c r="H30" i="17"/>
  <c r="G66" i="17"/>
  <c r="K66" i="17" s="1"/>
  <c r="H66" i="17"/>
  <c r="G102" i="17"/>
  <c r="K102" i="17" s="1"/>
  <c r="H102" i="17"/>
  <c r="G37" i="17"/>
  <c r="K37" i="17" s="1"/>
  <c r="H37" i="17"/>
  <c r="G73" i="17"/>
  <c r="K73" i="17" s="1"/>
  <c r="H73" i="17"/>
  <c r="G109" i="17"/>
  <c r="K109" i="17" s="1"/>
  <c r="H109" i="17"/>
  <c r="G38" i="17"/>
  <c r="K38" i="17" s="1"/>
  <c r="H38" i="17"/>
  <c r="G74" i="17"/>
  <c r="K74" i="17" s="1"/>
  <c r="H74" i="17"/>
  <c r="G110" i="17"/>
  <c r="K110" i="17" s="1"/>
  <c r="H110" i="17"/>
  <c r="G45" i="17"/>
  <c r="K45" i="17" s="1"/>
  <c r="H45" i="17"/>
  <c r="G81" i="17"/>
  <c r="K81" i="17" s="1"/>
  <c r="H81" i="17"/>
  <c r="G117" i="17"/>
  <c r="K117" i="17" s="1"/>
  <c r="H117" i="17"/>
  <c r="G52" i="17"/>
  <c r="K52" i="17" s="1"/>
  <c r="H52" i="17"/>
  <c r="G88" i="17"/>
  <c r="K88" i="17" s="1"/>
  <c r="H88" i="17"/>
  <c r="G124" i="17"/>
  <c r="K124" i="17" s="1"/>
  <c r="H124" i="17"/>
  <c r="G65" i="17"/>
  <c r="K65" i="17" s="1"/>
  <c r="H65" i="17"/>
  <c r="G54" i="17"/>
  <c r="K54" i="17" s="1"/>
  <c r="H54" i="17"/>
  <c r="G126" i="17"/>
  <c r="K126" i="17" s="1"/>
  <c r="H126" i="17"/>
  <c r="G33" i="17"/>
  <c r="K33" i="17" s="1"/>
  <c r="H33" i="17"/>
  <c r="G47" i="17"/>
  <c r="K47" i="17" s="1"/>
  <c r="H47" i="17"/>
  <c r="G83" i="17"/>
  <c r="K83" i="17" s="1"/>
  <c r="H83" i="17"/>
  <c r="G119" i="17"/>
  <c r="K119" i="17" s="1"/>
  <c r="H119" i="17"/>
  <c r="G36" i="17"/>
  <c r="K36" i="17" s="1"/>
  <c r="H36" i="17"/>
  <c r="G72" i="17"/>
  <c r="K72" i="17" s="1"/>
  <c r="H72" i="17"/>
  <c r="G108" i="17"/>
  <c r="K108" i="17" s="1"/>
  <c r="H108" i="17"/>
  <c r="G43" i="17"/>
  <c r="K43" i="17" s="1"/>
  <c r="H43" i="17"/>
  <c r="G79" i="17"/>
  <c r="K79" i="17" s="1"/>
  <c r="H79" i="17"/>
  <c r="G115" i="17"/>
  <c r="K115" i="17" s="1"/>
  <c r="H115" i="17"/>
  <c r="G44" i="17"/>
  <c r="K44" i="17" s="1"/>
  <c r="H44" i="17"/>
  <c r="G80" i="17"/>
  <c r="K80" i="17" s="1"/>
  <c r="H80" i="17"/>
  <c r="G116" i="17"/>
  <c r="K116" i="17" s="1"/>
  <c r="H116" i="17"/>
  <c r="G51" i="17"/>
  <c r="K51" i="17" s="1"/>
  <c r="H51" i="17"/>
  <c r="G87" i="17"/>
  <c r="K87" i="17" s="1"/>
  <c r="H87" i="17"/>
  <c r="G123" i="17"/>
  <c r="K123" i="17" s="1"/>
  <c r="H123" i="17"/>
  <c r="G58" i="17"/>
  <c r="K58" i="17" s="1"/>
  <c r="H58" i="17"/>
  <c r="G94" i="17"/>
  <c r="K94" i="17" s="1"/>
  <c r="H94" i="17"/>
  <c r="G53" i="17"/>
  <c r="K53" i="17" s="1"/>
  <c r="H53" i="17"/>
  <c r="G42" i="17"/>
  <c r="K42" i="17" s="1"/>
  <c r="H42" i="17"/>
  <c r="G114" i="17"/>
  <c r="K114" i="17" s="1"/>
  <c r="H114" i="17"/>
  <c r="G85" i="17"/>
  <c r="K85" i="17" s="1"/>
  <c r="H85" i="17"/>
  <c r="G86" i="17"/>
  <c r="K86" i="17" s="1"/>
  <c r="H86" i="17"/>
  <c r="G93" i="17"/>
  <c r="K93" i="17" s="1"/>
  <c r="H93" i="17"/>
  <c r="G89" i="17"/>
  <c r="K89" i="17" s="1"/>
  <c r="H89" i="17"/>
  <c r="G125" i="17"/>
  <c r="K125" i="17" s="1"/>
  <c r="H125" i="17"/>
  <c r="G78" i="17"/>
  <c r="K78" i="17" s="1"/>
  <c r="H78" i="17"/>
  <c r="G49" i="17"/>
  <c r="K49" i="17" s="1"/>
  <c r="H49" i="17"/>
  <c r="G121" i="17"/>
  <c r="K121" i="17" s="1"/>
  <c r="H121" i="17"/>
  <c r="G50" i="17"/>
  <c r="K50" i="17" s="1"/>
  <c r="H50" i="17"/>
  <c r="G122" i="17"/>
  <c r="K122" i="17" s="1"/>
  <c r="H122" i="17"/>
  <c r="G57" i="17"/>
  <c r="K57" i="17" s="1"/>
  <c r="H57" i="17"/>
  <c r="G29" i="17"/>
  <c r="K29" i="17" s="1"/>
  <c r="H29" i="17"/>
  <c r="G64" i="17"/>
  <c r="K64" i="17" s="1"/>
  <c r="H64" i="17"/>
  <c r="G100" i="17"/>
  <c r="K100" i="17" s="1"/>
  <c r="H100" i="17"/>
  <c r="G59" i="17"/>
  <c r="K59" i="17" s="1"/>
  <c r="H59" i="17"/>
  <c r="G95" i="17"/>
  <c r="K95" i="17" s="1"/>
  <c r="H95" i="17"/>
  <c r="G48" i="17"/>
  <c r="K48" i="17" s="1"/>
  <c r="H48" i="17"/>
  <c r="G84" i="17"/>
  <c r="K84" i="17" s="1"/>
  <c r="H84" i="17"/>
  <c r="G120" i="17"/>
  <c r="K120" i="17" s="1"/>
  <c r="H120" i="17"/>
  <c r="G55" i="17"/>
  <c r="K55" i="17" s="1"/>
  <c r="H55" i="17"/>
  <c r="G91" i="17"/>
  <c r="K91" i="17" s="1"/>
  <c r="H91" i="17"/>
  <c r="G127" i="17"/>
  <c r="K127" i="17" s="1"/>
  <c r="H127" i="17"/>
  <c r="G56" i="17"/>
  <c r="K56" i="17" s="1"/>
  <c r="H56" i="17"/>
  <c r="G92" i="17"/>
  <c r="K92" i="17" s="1"/>
  <c r="H92" i="17"/>
  <c r="G128" i="17"/>
  <c r="K128" i="17" s="1"/>
  <c r="H128" i="17"/>
  <c r="G63" i="17"/>
  <c r="K63" i="17" s="1"/>
  <c r="H63" i="17"/>
  <c r="G99" i="17"/>
  <c r="K99" i="17" s="1"/>
  <c r="H99" i="17"/>
  <c r="G34" i="17"/>
  <c r="K34" i="17" s="1"/>
  <c r="H34" i="17"/>
  <c r="G70" i="17"/>
  <c r="K70" i="17" s="1"/>
  <c r="H70" i="17"/>
  <c r="G106" i="17"/>
  <c r="K106" i="17" s="1"/>
  <c r="H106" i="17"/>
  <c r="P251" i="17"/>
  <c r="O251" i="17" s="1"/>
  <c r="N201" i="17"/>
  <c r="T201" i="17" s="1"/>
  <c r="Y201" i="17" s="1"/>
  <c r="P253" i="17"/>
  <c r="O253" i="17" s="1"/>
  <c r="N253" i="17"/>
  <c r="M201" i="17"/>
  <c r="O201" i="17"/>
  <c r="N270" i="17"/>
  <c r="O241" i="17"/>
  <c r="N269" i="17"/>
  <c r="Q271" i="17"/>
  <c r="R271" i="17" s="1"/>
  <c r="X271" i="17" s="1"/>
  <c r="M269" i="17"/>
  <c r="P236" i="17"/>
  <c r="O236" i="17" s="1"/>
  <c r="M236" i="17"/>
  <c r="M270" i="17"/>
  <c r="M241" i="17"/>
  <c r="P237" i="17"/>
  <c r="O237" i="17" s="1"/>
  <c r="N237" i="17"/>
  <c r="N241" i="17"/>
  <c r="P250" i="17"/>
  <c r="Q250" i="17" s="1"/>
  <c r="R250" i="17" s="1"/>
  <c r="X250" i="17" s="1"/>
  <c r="M284" i="17"/>
  <c r="M250" i="17"/>
  <c r="N284" i="17"/>
  <c r="P239" i="17"/>
  <c r="N282" i="17"/>
  <c r="M273" i="17"/>
  <c r="P246" i="17"/>
  <c r="Q246" i="17" s="1"/>
  <c r="R246" i="17" s="1"/>
  <c r="X246" i="17" s="1"/>
  <c r="P273" i="17"/>
  <c r="Q273" i="17" s="1"/>
  <c r="R273" i="17" s="1"/>
  <c r="K202" i="17"/>
  <c r="P202" i="17" s="1"/>
  <c r="O202" i="17" s="1"/>
  <c r="N246" i="17"/>
  <c r="N238" i="17"/>
  <c r="P238" i="17"/>
  <c r="O238" i="17" s="1"/>
  <c r="N247" i="17"/>
  <c r="N274" i="17"/>
  <c r="P274" i="17"/>
  <c r="O274" i="17" s="1"/>
  <c r="N243" i="17"/>
  <c r="P254" i="17"/>
  <c r="Q254" i="17" s="1"/>
  <c r="R254" i="17" s="1"/>
  <c r="X254" i="17" s="1"/>
  <c r="P243" i="17"/>
  <c r="O243" i="17" s="1"/>
  <c r="AU223" i="17"/>
  <c r="J203" i="17"/>
  <c r="AP203" i="17" s="1"/>
  <c r="AS203" i="17"/>
  <c r="AV223" i="17" s="1"/>
  <c r="AQ204" i="17"/>
  <c r="AT224" i="17" s="1"/>
  <c r="AW224" i="17" s="1"/>
  <c r="H205" i="17"/>
  <c r="AR204" i="17"/>
  <c r="P266" i="17"/>
  <c r="O266" i="17" s="1"/>
  <c r="P272" i="17"/>
  <c r="Q272" i="17" s="1"/>
  <c r="R272" i="17" s="1"/>
  <c r="X272" i="17" s="1"/>
  <c r="N268" i="17"/>
  <c r="AT28" i="29"/>
  <c r="AW28" i="29" s="1"/>
  <c r="F109" i="29"/>
  <c r="E109" i="29"/>
  <c r="AU29" i="29"/>
  <c r="AA29" i="29"/>
  <c r="AS29" i="29"/>
  <c r="AV29" i="29" s="1"/>
  <c r="AQ30" i="29"/>
  <c r="AT30" i="29" s="1"/>
  <c r="AW30" i="29" s="1"/>
  <c r="H31" i="29"/>
  <c r="AR30" i="29"/>
  <c r="Q25" i="29"/>
  <c r="R25" i="29" s="1"/>
  <c r="X25" i="29" s="1"/>
  <c r="O25" i="29"/>
  <c r="J28" i="29"/>
  <c r="L29" i="29"/>
  <c r="N25" i="29"/>
  <c r="P110" i="29"/>
  <c r="K111" i="29"/>
  <c r="M26" i="29"/>
  <c r="AM26" i="29" s="1"/>
  <c r="A26" i="29" s="1"/>
  <c r="B26" i="29" s="1"/>
  <c r="C26" i="29" s="1"/>
  <c r="N26" i="29"/>
  <c r="P26" i="29"/>
  <c r="M110" i="29"/>
  <c r="AO110" i="29" s="1"/>
  <c r="AC110" i="29"/>
  <c r="K27" i="29"/>
  <c r="M25" i="29"/>
  <c r="AM25" i="29" s="1"/>
  <c r="A25" i="29" s="1"/>
  <c r="AC25" i="29"/>
  <c r="J112" i="29"/>
  <c r="L113" i="29"/>
  <c r="K209" i="27"/>
  <c r="P209" i="27" s="1"/>
  <c r="P208" i="27"/>
  <c r="O208" i="27" s="1"/>
  <c r="AC111" i="16"/>
  <c r="O27" i="16"/>
  <c r="AZ24" i="27"/>
  <c r="K24" i="27"/>
  <c r="L78" i="27"/>
  <c r="J210" i="27"/>
  <c r="AZ210" i="27" s="1"/>
  <c r="AP210" i="27" s="1"/>
  <c r="AL28" i="27"/>
  <c r="Q207" i="27"/>
  <c r="R207" i="27" s="1"/>
  <c r="Y207" i="27" s="1"/>
  <c r="O207" i="27"/>
  <c r="AU26" i="27"/>
  <c r="AS26" i="27"/>
  <c r="AV26" i="27" s="1"/>
  <c r="J26" i="27"/>
  <c r="AZ26" i="27" s="1"/>
  <c r="AP26" i="27" s="1"/>
  <c r="D301" i="27"/>
  <c r="E300" i="27"/>
  <c r="L238" i="27"/>
  <c r="H212" i="27"/>
  <c r="AR211" i="27"/>
  <c r="AQ211" i="27"/>
  <c r="AT211" i="27" s="1"/>
  <c r="AW211" i="27" s="1"/>
  <c r="AF25" i="27"/>
  <c r="M208" i="27"/>
  <c r="AU210" i="27"/>
  <c r="AB210" i="27"/>
  <c r="AS210" i="27"/>
  <c r="AV210" i="27" s="1"/>
  <c r="AD208" i="27"/>
  <c r="Q327" i="27"/>
  <c r="R327" i="27" s="1"/>
  <c r="Y327" i="27" s="1"/>
  <c r="O327" i="27"/>
  <c r="AF209" i="27"/>
  <c r="K25" i="27"/>
  <c r="P25" i="27" s="1"/>
  <c r="AQ27" i="27"/>
  <c r="AT27" i="27" s="1"/>
  <c r="AW27" i="27" s="1"/>
  <c r="H28" i="27"/>
  <c r="AR27" i="27"/>
  <c r="AB27" i="27" s="1"/>
  <c r="Y23" i="27"/>
  <c r="Q278" i="17"/>
  <c r="R278" i="17" s="1"/>
  <c r="X278" i="17" s="1"/>
  <c r="O278" i="17"/>
  <c r="O111" i="16"/>
  <c r="Q111" i="16"/>
  <c r="R111" i="16" s="1"/>
  <c r="X111" i="16" s="1"/>
  <c r="Q281" i="17"/>
  <c r="R281" i="17" s="1"/>
  <c r="X281" i="17" s="1"/>
  <c r="O281" i="17"/>
  <c r="Q268" i="17"/>
  <c r="R268" i="17" s="1"/>
  <c r="X268" i="17" s="1"/>
  <c r="O268" i="17"/>
  <c r="M267" i="17"/>
  <c r="P267" i="17"/>
  <c r="N267" i="17"/>
  <c r="X27" i="16"/>
  <c r="M28" i="16"/>
  <c r="AM28" i="16" s="1"/>
  <c r="A28" i="16" s="1"/>
  <c r="B28" i="16" s="1"/>
  <c r="C28" i="16" s="1"/>
  <c r="N28" i="16"/>
  <c r="P28" i="16"/>
  <c r="AC28" i="16"/>
  <c r="Q247" i="17"/>
  <c r="R247" i="17" s="1"/>
  <c r="X247" i="17" s="1"/>
  <c r="O247" i="17"/>
  <c r="M26" i="16"/>
  <c r="AM26" i="16" s="1"/>
  <c r="A26" i="16" s="1"/>
  <c r="B26" i="16" s="1"/>
  <c r="C26" i="16" s="1"/>
  <c r="N26" i="16"/>
  <c r="P26" i="16"/>
  <c r="M255" i="17"/>
  <c r="P255" i="17"/>
  <c r="N255" i="17"/>
  <c r="AP29" i="16"/>
  <c r="K29" i="16"/>
  <c r="Q257" i="17"/>
  <c r="R257" i="17" s="1"/>
  <c r="X257" i="17" s="1"/>
  <c r="O257" i="17"/>
  <c r="O280" i="17"/>
  <c r="Q280" i="17"/>
  <c r="R280" i="17" s="1"/>
  <c r="X280" i="17" s="1"/>
  <c r="M259" i="17"/>
  <c r="P259" i="17"/>
  <c r="N259" i="17"/>
  <c r="Q279" i="17"/>
  <c r="R279" i="17" s="1"/>
  <c r="X279" i="17" s="1"/>
  <c r="O279" i="17"/>
  <c r="Q25" i="16"/>
  <c r="R25" i="16" s="1"/>
  <c r="X25" i="16" s="1"/>
  <c r="O25" i="16"/>
  <c r="AC24" i="11"/>
  <c r="AE24" i="11"/>
  <c r="AH24" i="11" s="1"/>
  <c r="AC26" i="16"/>
  <c r="H27" i="11"/>
  <c r="AR26" i="11"/>
  <c r="AQ26" i="11"/>
  <c r="AT26" i="11" s="1"/>
  <c r="AW26" i="11" s="1"/>
  <c r="Q262" i="17"/>
  <c r="R262" i="17" s="1"/>
  <c r="X262" i="17" s="1"/>
  <c r="O262" i="17"/>
  <c r="M280" i="17"/>
  <c r="M277" i="17"/>
  <c r="L31" i="16"/>
  <c r="J30" i="16"/>
  <c r="M258" i="17"/>
  <c r="M243" i="17"/>
  <c r="P264" i="17"/>
  <c r="M264" i="17"/>
  <c r="N264" i="17"/>
  <c r="P258" i="17"/>
  <c r="M254" i="17"/>
  <c r="L28" i="11"/>
  <c r="M261" i="17"/>
  <c r="P261" i="17"/>
  <c r="N261" i="17"/>
  <c r="N278" i="17"/>
  <c r="E295" i="17"/>
  <c r="D296" i="17"/>
  <c r="X23" i="11"/>
  <c r="M249" i="17"/>
  <c r="M265" i="17"/>
  <c r="O282" i="17"/>
  <c r="Q282" i="17"/>
  <c r="R282" i="17" s="1"/>
  <c r="X282" i="17" s="1"/>
  <c r="M257" i="17"/>
  <c r="M245" i="17"/>
  <c r="N245" i="17"/>
  <c r="P245" i="17"/>
  <c r="Q270" i="17"/>
  <c r="R270" i="17" s="1"/>
  <c r="X270" i="17" s="1"/>
  <c r="O270" i="17"/>
  <c r="N111" i="16"/>
  <c r="AP112" i="16"/>
  <c r="K112" i="16"/>
  <c r="T110" i="16"/>
  <c r="N257" i="17"/>
  <c r="M272" i="17"/>
  <c r="B293" i="17"/>
  <c r="AS25" i="11"/>
  <c r="AV25" i="11" s="1"/>
  <c r="AU25" i="11"/>
  <c r="J25" i="11"/>
  <c r="AP25" i="11" s="1"/>
  <c r="M256" i="17"/>
  <c r="M242" i="17"/>
  <c r="Q260" i="17"/>
  <c r="R260" i="17" s="1"/>
  <c r="X260" i="17" s="1"/>
  <c r="O260" i="17"/>
  <c r="M282" i="17"/>
  <c r="M240" i="17"/>
  <c r="N240" i="17"/>
  <c r="P240" i="17"/>
  <c r="L206" i="17"/>
  <c r="J113" i="16"/>
  <c r="L114" i="16"/>
  <c r="M252" i="17"/>
  <c r="P252" i="17"/>
  <c r="N252" i="17"/>
  <c r="P277" i="17"/>
  <c r="M263" i="17"/>
  <c r="M278" i="17"/>
  <c r="Q275" i="17"/>
  <c r="R275" i="17" s="1"/>
  <c r="X275" i="17" s="1"/>
  <c r="O275" i="17"/>
  <c r="M247" i="17"/>
  <c r="N249" i="17"/>
  <c r="P265" i="17"/>
  <c r="N256" i="17"/>
  <c r="N277" i="17"/>
  <c r="P263" i="17"/>
  <c r="N24" i="11"/>
  <c r="P24" i="11"/>
  <c r="Q110" i="16"/>
  <c r="R110" i="16" s="1"/>
  <c r="X110" i="16" s="1"/>
  <c r="O110" i="16"/>
  <c r="Q244" i="17"/>
  <c r="R244" i="17" s="1"/>
  <c r="X244" i="17" s="1"/>
  <c r="O244" i="17"/>
  <c r="M274" i="17"/>
  <c r="M111" i="16"/>
  <c r="AM111" i="16" s="1"/>
  <c r="M266" i="17"/>
  <c r="Q269" i="17"/>
  <c r="R269" i="17" s="1"/>
  <c r="O269" i="17"/>
  <c r="O284" i="17"/>
  <c r="Q284" i="17"/>
  <c r="R284" i="17" s="1"/>
  <c r="X284" i="17" s="1"/>
  <c r="N280" i="17"/>
  <c r="P249" i="17"/>
  <c r="N265" i="17"/>
  <c r="M268" i="17"/>
  <c r="Q276" i="17"/>
  <c r="R276" i="17" s="1"/>
  <c r="X276" i="17" s="1"/>
  <c r="O276" i="17"/>
  <c r="P256" i="17"/>
  <c r="N263" i="17"/>
  <c r="P242" i="17"/>
  <c r="M167" i="50" l="1"/>
  <c r="AM167" i="50" s="1"/>
  <c r="K168" i="50"/>
  <c r="Q167" i="50"/>
  <c r="R167" i="50" s="1"/>
  <c r="Y167" i="50" s="1"/>
  <c r="O167" i="50"/>
  <c r="AD167" i="50"/>
  <c r="AB173" i="50"/>
  <c r="AU173" i="50"/>
  <c r="AS173" i="50"/>
  <c r="AV173" i="50" s="1"/>
  <c r="J173" i="50"/>
  <c r="AZ173" i="50" s="1"/>
  <c r="AP173" i="50" s="1"/>
  <c r="H175" i="50"/>
  <c r="AQ174" i="50"/>
  <c r="AT174" i="50" s="1"/>
  <c r="AW174" i="50" s="1"/>
  <c r="AR174" i="50"/>
  <c r="AD129" i="40"/>
  <c r="O129" i="40"/>
  <c r="Q129" i="40"/>
  <c r="R129" i="40" s="1"/>
  <c r="Y129" i="40" s="1"/>
  <c r="AU131" i="40"/>
  <c r="AS131" i="40"/>
  <c r="AV131" i="40" s="1"/>
  <c r="K131" i="40"/>
  <c r="AB131" i="40"/>
  <c r="J131" i="40"/>
  <c r="AZ131" i="40" s="1"/>
  <c r="AP131" i="40" s="1"/>
  <c r="N129" i="40"/>
  <c r="K130" i="40"/>
  <c r="AD130" i="40" s="1"/>
  <c r="H133" i="40"/>
  <c r="AQ132" i="40"/>
  <c r="AT132" i="40" s="1"/>
  <c r="AW132" i="40" s="1"/>
  <c r="AR132" i="40"/>
  <c r="P130" i="40"/>
  <c r="N130" i="40"/>
  <c r="M129" i="40"/>
  <c r="AM129" i="40" s="1"/>
  <c r="K167" i="39"/>
  <c r="Q166" i="39"/>
  <c r="R166" i="39" s="1"/>
  <c r="Y166" i="39" s="1"/>
  <c r="O166" i="39"/>
  <c r="AD167" i="39"/>
  <c r="M167" i="39"/>
  <c r="AM167" i="39" s="1"/>
  <c r="AB168" i="39"/>
  <c r="AU168" i="39"/>
  <c r="AS168" i="39"/>
  <c r="AV168" i="39" s="1"/>
  <c r="J168" i="39"/>
  <c r="AZ168" i="39" s="1"/>
  <c r="AP168" i="39" s="1"/>
  <c r="M166" i="39"/>
  <c r="AM166" i="39" s="1"/>
  <c r="P167" i="39"/>
  <c r="N167" i="39"/>
  <c r="AQ173" i="39"/>
  <c r="AT173" i="39" s="1"/>
  <c r="AW173" i="39" s="1"/>
  <c r="H174" i="39"/>
  <c r="AR173" i="39"/>
  <c r="N166" i="39"/>
  <c r="AP24" i="27"/>
  <c r="AI24" i="27" s="1"/>
  <c r="M209" i="27"/>
  <c r="Q251" i="17"/>
  <c r="R251" i="17" s="1"/>
  <c r="AR173" i="36"/>
  <c r="AB173" i="36" s="1"/>
  <c r="H174" i="36"/>
  <c r="AQ173" i="36"/>
  <c r="AT173" i="36" s="1"/>
  <c r="AW173" i="36" s="1"/>
  <c r="M166" i="36"/>
  <c r="AM166" i="36" s="1"/>
  <c r="P166" i="36"/>
  <c r="K167" i="36"/>
  <c r="N167" i="36" s="1"/>
  <c r="AU168" i="36"/>
  <c r="AS168" i="36"/>
  <c r="AV168" i="36" s="1"/>
  <c r="J168" i="36"/>
  <c r="AZ168" i="36" s="1"/>
  <c r="AP168" i="36" s="1"/>
  <c r="AD166" i="36"/>
  <c r="Q248" i="17"/>
  <c r="R248" i="17" s="1"/>
  <c r="X248" i="17" s="1"/>
  <c r="AD209" i="27"/>
  <c r="W201" i="17"/>
  <c r="U201" i="17" s="1"/>
  <c r="V201" i="17" s="1"/>
  <c r="Z201" i="17" s="1"/>
  <c r="Q253" i="17"/>
  <c r="R253" i="17" s="1"/>
  <c r="X253" i="17" s="1"/>
  <c r="Q283" i="17"/>
  <c r="R283" i="17" s="1"/>
  <c r="X283" i="17" s="1"/>
  <c r="N202" i="17"/>
  <c r="Q236" i="17"/>
  <c r="R236" i="17" s="1"/>
  <c r="X236" i="17" s="1"/>
  <c r="O272" i="17"/>
  <c r="O254" i="17"/>
  <c r="O273" i="17"/>
  <c r="Q243" i="17"/>
  <c r="R243" i="17" s="1"/>
  <c r="X243" i="17" s="1"/>
  <c r="Q237" i="17"/>
  <c r="R237" i="17" s="1"/>
  <c r="X237" i="17" s="1"/>
  <c r="Q238" i="17"/>
  <c r="R238" i="17" s="1"/>
  <c r="X238" i="17" s="1"/>
  <c r="O250" i="17"/>
  <c r="M202" i="17"/>
  <c r="Q202" i="17"/>
  <c r="R202" i="17" s="1"/>
  <c r="X202" i="17" s="1"/>
  <c r="O246" i="17"/>
  <c r="Q239" i="17"/>
  <c r="R239" i="17" s="1"/>
  <c r="X239" i="17" s="1"/>
  <c r="O239" i="17"/>
  <c r="Q266" i="17"/>
  <c r="R266" i="17" s="1"/>
  <c r="X266" i="17" s="1"/>
  <c r="Q274" i="17"/>
  <c r="R274" i="17" s="1"/>
  <c r="X274" i="17" s="1"/>
  <c r="AS204" i="17"/>
  <c r="AV224" i="17" s="1"/>
  <c r="J204" i="17"/>
  <c r="AU224" i="17"/>
  <c r="AQ205" i="17"/>
  <c r="AT225" i="17" s="1"/>
  <c r="AW225" i="17" s="1"/>
  <c r="H206" i="17"/>
  <c r="AR205" i="17"/>
  <c r="K203" i="17"/>
  <c r="M203" i="17" s="1"/>
  <c r="F110" i="29"/>
  <c r="E110" i="29"/>
  <c r="AU30" i="29"/>
  <c r="AS30" i="29"/>
  <c r="AV30" i="29" s="1"/>
  <c r="AA30" i="29"/>
  <c r="AR31" i="29"/>
  <c r="H32" i="29"/>
  <c r="AQ31" i="29"/>
  <c r="AT31" i="29" s="1"/>
  <c r="AW31" i="29" s="1"/>
  <c r="B25" i="29"/>
  <c r="L114" i="29"/>
  <c r="J113" i="29"/>
  <c r="K112" i="29"/>
  <c r="Q26" i="29"/>
  <c r="R26" i="29" s="1"/>
  <c r="X26" i="29" s="1"/>
  <c r="O26" i="29"/>
  <c r="N111" i="29"/>
  <c r="M111" i="29"/>
  <c r="AO111" i="29" s="1"/>
  <c r="P111" i="29"/>
  <c r="AC111" i="29"/>
  <c r="M27" i="29"/>
  <c r="AM27" i="29" s="1"/>
  <c r="A27" i="29" s="1"/>
  <c r="B27" i="29" s="1"/>
  <c r="C27" i="29" s="1"/>
  <c r="AC27" i="29"/>
  <c r="N27" i="29"/>
  <c r="P27" i="29"/>
  <c r="Q110" i="29"/>
  <c r="R110" i="29" s="1"/>
  <c r="O110" i="29"/>
  <c r="L30" i="29"/>
  <c r="J29" i="29"/>
  <c r="K28" i="29"/>
  <c r="N209" i="27"/>
  <c r="Q208" i="27"/>
  <c r="R208" i="27" s="1"/>
  <c r="Y208" i="27" s="1"/>
  <c r="K210" i="27"/>
  <c r="AD210" i="27" s="1"/>
  <c r="AD24" i="27"/>
  <c r="P24" i="27"/>
  <c r="M24" i="27"/>
  <c r="N24" i="27"/>
  <c r="L79" i="27"/>
  <c r="Q25" i="27"/>
  <c r="R25" i="27" s="1"/>
  <c r="Y25" i="27" s="1"/>
  <c r="O25" i="27"/>
  <c r="AI25" i="27"/>
  <c r="L239" i="27"/>
  <c r="M25" i="27"/>
  <c r="AD25" i="27"/>
  <c r="AF210" i="27"/>
  <c r="AI210" i="27" s="1"/>
  <c r="D302" i="27"/>
  <c r="E301" i="27"/>
  <c r="N25" i="27"/>
  <c r="AF26" i="27"/>
  <c r="AL29" i="27"/>
  <c r="J211" i="27"/>
  <c r="AZ211" i="27" s="1"/>
  <c r="AP211" i="27" s="1"/>
  <c r="H29" i="27"/>
  <c r="AR28" i="27"/>
  <c r="AB28" i="27" s="1"/>
  <c r="AQ28" i="27"/>
  <c r="AT28" i="27" s="1"/>
  <c r="AW28" i="27" s="1"/>
  <c r="AI209" i="27"/>
  <c r="AU211" i="27"/>
  <c r="AS211" i="27"/>
  <c r="AV211" i="27" s="1"/>
  <c r="AB211" i="27"/>
  <c r="K26" i="27"/>
  <c r="AD26" i="27" s="1"/>
  <c r="O209" i="27"/>
  <c r="Q209" i="27"/>
  <c r="R209" i="27" s="1"/>
  <c r="Y209" i="27" s="1"/>
  <c r="AU27" i="27"/>
  <c r="AS27" i="27"/>
  <c r="AV27" i="27" s="1"/>
  <c r="J27" i="27"/>
  <c r="AZ27" i="27" s="1"/>
  <c r="AP27" i="27" s="1"/>
  <c r="AR212" i="27"/>
  <c r="AQ212" i="27"/>
  <c r="AT212" i="27" s="1"/>
  <c r="AW212" i="27" s="1"/>
  <c r="H213" i="27"/>
  <c r="O242" i="17"/>
  <c r="Q242" i="17"/>
  <c r="R242" i="17" s="1"/>
  <c r="L207" i="17"/>
  <c r="P25" i="11"/>
  <c r="N25" i="11"/>
  <c r="Y110" i="16"/>
  <c r="Q245" i="17"/>
  <c r="R245" i="17" s="1"/>
  <c r="X245" i="17" s="1"/>
  <c r="O245" i="17"/>
  <c r="O264" i="17"/>
  <c r="Q264" i="17"/>
  <c r="R264" i="17" s="1"/>
  <c r="X264" i="17" s="1"/>
  <c r="W110" i="16"/>
  <c r="M112" i="16"/>
  <c r="AM112" i="16" s="1"/>
  <c r="P112" i="16"/>
  <c r="AC112" i="16"/>
  <c r="N112" i="16"/>
  <c r="Q258" i="17"/>
  <c r="R258" i="17" s="1"/>
  <c r="O258" i="17"/>
  <c r="O26" i="16"/>
  <c r="Q26" i="16"/>
  <c r="R26" i="16" s="1"/>
  <c r="X26" i="16" s="1"/>
  <c r="Q28" i="16"/>
  <c r="R28" i="16" s="1"/>
  <c r="X28" i="16" s="1"/>
  <c r="O28" i="16"/>
  <c r="O259" i="17"/>
  <c r="Q259" i="17"/>
  <c r="R259" i="17" s="1"/>
  <c r="X259" i="17" s="1"/>
  <c r="K30" i="16"/>
  <c r="AP30" i="16"/>
  <c r="AU26" i="11"/>
  <c r="AS26" i="11"/>
  <c r="AV26" i="11" s="1"/>
  <c r="J26" i="11"/>
  <c r="AP26" i="11" s="1"/>
  <c r="X273" i="17"/>
  <c r="K113" i="16"/>
  <c r="AP113" i="16"/>
  <c r="L29" i="11"/>
  <c r="O24" i="11"/>
  <c r="Q24" i="11"/>
  <c r="R24" i="11" s="1"/>
  <c r="X24" i="11" s="1"/>
  <c r="Q265" i="17"/>
  <c r="R265" i="17" s="1"/>
  <c r="X265" i="17" s="1"/>
  <c r="O265" i="17"/>
  <c r="O277" i="17"/>
  <c r="Q277" i="17"/>
  <c r="R277" i="17" s="1"/>
  <c r="X277" i="17" s="1"/>
  <c r="O252" i="17"/>
  <c r="Q252" i="17"/>
  <c r="R252" i="17" s="1"/>
  <c r="X252" i="17" s="1"/>
  <c r="T111" i="16"/>
  <c r="E296" i="17"/>
  <c r="D297" i="17"/>
  <c r="O261" i="17"/>
  <c r="Q261" i="17"/>
  <c r="R261" i="17" s="1"/>
  <c r="X261" i="17" s="1"/>
  <c r="J31" i="16"/>
  <c r="L32" i="16"/>
  <c r="AR27" i="11"/>
  <c r="AQ27" i="11"/>
  <c r="AT27" i="11" s="1"/>
  <c r="AW27" i="11" s="1"/>
  <c r="H28" i="11"/>
  <c r="M29" i="16"/>
  <c r="AM29" i="16" s="1"/>
  <c r="A29" i="16" s="1"/>
  <c r="B29" i="16" s="1"/>
  <c r="C29" i="16" s="1"/>
  <c r="P29" i="16"/>
  <c r="N29" i="16"/>
  <c r="AC29" i="16"/>
  <c r="O267" i="17"/>
  <c r="Q267" i="17"/>
  <c r="R267" i="17" s="1"/>
  <c r="X267" i="17" s="1"/>
  <c r="X269" i="17"/>
  <c r="Q256" i="17"/>
  <c r="R256" i="17" s="1"/>
  <c r="X256" i="17" s="1"/>
  <c r="O256" i="17"/>
  <c r="O249" i="17"/>
  <c r="Q249" i="17"/>
  <c r="R249" i="17" s="1"/>
  <c r="X249" i="17" s="1"/>
  <c r="O263" i="17"/>
  <c r="Q263" i="17"/>
  <c r="R263" i="17" s="1"/>
  <c r="X263" i="17" s="1"/>
  <c r="J114" i="16"/>
  <c r="L115" i="16"/>
  <c r="O240" i="17"/>
  <c r="Q240" i="17"/>
  <c r="R240" i="17" s="1"/>
  <c r="X240" i="17" s="1"/>
  <c r="AE25" i="11"/>
  <c r="AC25" i="11"/>
  <c r="X251" i="17"/>
  <c r="O255" i="17"/>
  <c r="Q255" i="17"/>
  <c r="R255" i="17" s="1"/>
  <c r="X255" i="17" s="1"/>
  <c r="M168" i="50" l="1"/>
  <c r="AM168" i="50" s="1"/>
  <c r="H176" i="50"/>
  <c r="AQ175" i="50"/>
  <c r="AT175" i="50" s="1"/>
  <c r="AW175" i="50" s="1"/>
  <c r="AR175" i="50"/>
  <c r="AD168" i="50"/>
  <c r="AF173" i="50"/>
  <c r="AD173" i="50"/>
  <c r="AS174" i="50"/>
  <c r="AV174" i="50" s="1"/>
  <c r="AB174" i="50"/>
  <c r="AU174" i="50"/>
  <c r="J174" i="50"/>
  <c r="AZ174" i="50" s="1"/>
  <c r="AP174" i="50" s="1"/>
  <c r="N173" i="50"/>
  <c r="P173" i="50"/>
  <c r="P168" i="50"/>
  <c r="K173" i="50"/>
  <c r="N168" i="50"/>
  <c r="AU132" i="40"/>
  <c r="AS132" i="40"/>
  <c r="AV132" i="40" s="1"/>
  <c r="AB132" i="40"/>
  <c r="J132" i="40"/>
  <c r="AZ132" i="40" s="1"/>
  <c r="AP132" i="40" s="1"/>
  <c r="P131" i="40"/>
  <c r="N131" i="40"/>
  <c r="M131" i="40"/>
  <c r="AM131" i="40" s="1"/>
  <c r="H134" i="40"/>
  <c r="AQ133" i="40"/>
  <c r="AT133" i="40" s="1"/>
  <c r="AW133" i="40" s="1"/>
  <c r="AR133" i="40"/>
  <c r="O130" i="40"/>
  <c r="Q130" i="40"/>
  <c r="R130" i="40" s="1"/>
  <c r="Y130" i="40" s="1"/>
  <c r="M130" i="40"/>
  <c r="AM130" i="40" s="1"/>
  <c r="AD131" i="40"/>
  <c r="AB173" i="39"/>
  <c r="AU173" i="39"/>
  <c r="AS173" i="39"/>
  <c r="AV173" i="39" s="1"/>
  <c r="J173" i="39"/>
  <c r="AZ173" i="39" s="1"/>
  <c r="AP173" i="39" s="1"/>
  <c r="K168" i="39"/>
  <c r="AD168" i="39" s="1"/>
  <c r="Q167" i="39"/>
  <c r="R167" i="39" s="1"/>
  <c r="Y167" i="39" s="1"/>
  <c r="O167" i="39"/>
  <c r="AQ174" i="39"/>
  <c r="AT174" i="39" s="1"/>
  <c r="AW174" i="39" s="1"/>
  <c r="AR174" i="39"/>
  <c r="H175" i="39"/>
  <c r="AD167" i="36"/>
  <c r="AR174" i="36"/>
  <c r="AB174" i="36" s="1"/>
  <c r="H175" i="36"/>
  <c r="AQ174" i="36"/>
  <c r="AT174" i="36" s="1"/>
  <c r="AW174" i="36" s="1"/>
  <c r="AU173" i="36"/>
  <c r="AS173" i="36"/>
  <c r="AV173" i="36" s="1"/>
  <c r="J173" i="36"/>
  <c r="AZ173" i="36" s="1"/>
  <c r="AP173" i="36" s="1"/>
  <c r="Q166" i="36"/>
  <c r="R166" i="36" s="1"/>
  <c r="O166" i="36"/>
  <c r="K168" i="36"/>
  <c r="N168" i="36" s="1"/>
  <c r="M167" i="36"/>
  <c r="AM167" i="36" s="1"/>
  <c r="P167" i="36"/>
  <c r="AB201" i="17"/>
  <c r="N203" i="17"/>
  <c r="AS205" i="17"/>
  <c r="AV225" i="17" s="1"/>
  <c r="J205" i="17"/>
  <c r="AU225" i="17"/>
  <c r="H207" i="17"/>
  <c r="AR206" i="17"/>
  <c r="AQ206" i="17"/>
  <c r="AT226" i="17" s="1"/>
  <c r="AW226" i="17" s="1"/>
  <c r="AP204" i="17"/>
  <c r="K204" i="17"/>
  <c r="P203" i="17"/>
  <c r="E111" i="29"/>
  <c r="F111" i="29"/>
  <c r="H33" i="29"/>
  <c r="AR32" i="29"/>
  <c r="AQ32" i="29"/>
  <c r="AT32" i="29" s="1"/>
  <c r="AW32" i="29" s="1"/>
  <c r="AU31" i="29"/>
  <c r="AA31" i="29"/>
  <c r="AS31" i="29"/>
  <c r="AV31" i="29" s="1"/>
  <c r="X110" i="29"/>
  <c r="L115" i="29"/>
  <c r="J114" i="29"/>
  <c r="Q27" i="29"/>
  <c r="R27" i="29" s="1"/>
  <c r="X27" i="29" s="1"/>
  <c r="O27" i="29"/>
  <c r="C25" i="29"/>
  <c r="M28" i="29"/>
  <c r="AM28" i="29" s="1"/>
  <c r="A28" i="29" s="1"/>
  <c r="B28" i="29" s="1"/>
  <c r="C28" i="29" s="1"/>
  <c r="P28" i="29"/>
  <c r="N28" i="29"/>
  <c r="AC28" i="29"/>
  <c r="K29" i="29"/>
  <c r="Q111" i="29"/>
  <c r="R111" i="29" s="1"/>
  <c r="X111" i="29" s="1"/>
  <c r="O111" i="29"/>
  <c r="M112" i="29"/>
  <c r="AO112" i="29" s="1"/>
  <c r="P112" i="29"/>
  <c r="N112" i="29"/>
  <c r="AC112" i="29"/>
  <c r="J30" i="29"/>
  <c r="L31" i="29"/>
  <c r="K113" i="29"/>
  <c r="K211" i="27"/>
  <c r="P211" i="27" s="1"/>
  <c r="N210" i="27"/>
  <c r="P210" i="27"/>
  <c r="O210" i="27" s="1"/>
  <c r="M210" i="27"/>
  <c r="K27" i="27"/>
  <c r="M27" i="27" s="1"/>
  <c r="Q24" i="27"/>
  <c r="R24" i="27" s="1"/>
  <c r="Y24" i="27" s="1"/>
  <c r="O24" i="27"/>
  <c r="L80" i="27"/>
  <c r="J212" i="27"/>
  <c r="AZ212" i="27" s="1"/>
  <c r="AP212" i="27" s="1"/>
  <c r="M26" i="27"/>
  <c r="L240" i="27"/>
  <c r="AU212" i="27"/>
  <c r="AS212" i="27"/>
  <c r="AV212" i="27" s="1"/>
  <c r="AB212" i="27"/>
  <c r="H214" i="27"/>
  <c r="AR213" i="27"/>
  <c r="AQ213" i="27"/>
  <c r="AT213" i="27" s="1"/>
  <c r="AW213" i="27" s="1"/>
  <c r="H30" i="27"/>
  <c r="AR29" i="27"/>
  <c r="AB29" i="27" s="1"/>
  <c r="AQ29" i="27"/>
  <c r="AT29" i="27" s="1"/>
  <c r="AW29" i="27" s="1"/>
  <c r="AF211" i="27"/>
  <c r="AL30" i="27"/>
  <c r="AI26" i="27"/>
  <c r="N26" i="27"/>
  <c r="AF27" i="27"/>
  <c r="AI27" i="27" s="1"/>
  <c r="AU28" i="27"/>
  <c r="AS28" i="27"/>
  <c r="AV28" i="27" s="1"/>
  <c r="J28" i="27"/>
  <c r="AZ28" i="27" s="1"/>
  <c r="AP28" i="27" s="1"/>
  <c r="D303" i="27"/>
  <c r="E302" i="27"/>
  <c r="P26" i="27"/>
  <c r="B295" i="17"/>
  <c r="I319" i="17" s="1"/>
  <c r="L116" i="16"/>
  <c r="J115" i="16"/>
  <c r="H29" i="11"/>
  <c r="AR28" i="11"/>
  <c r="AQ28" i="11"/>
  <c r="AT28" i="11" s="1"/>
  <c r="AW28" i="11" s="1"/>
  <c r="Y111" i="16"/>
  <c r="N26" i="11"/>
  <c r="P26" i="11"/>
  <c r="M30" i="16"/>
  <c r="AM30" i="16" s="1"/>
  <c r="A30" i="16" s="1"/>
  <c r="B30" i="16" s="1"/>
  <c r="C30" i="16" s="1"/>
  <c r="AC30" i="16"/>
  <c r="P30" i="16"/>
  <c r="N30" i="16"/>
  <c r="X258" i="17"/>
  <c r="Q25" i="11"/>
  <c r="R25" i="11" s="1"/>
  <c r="X25" i="11" s="1"/>
  <c r="O25" i="11"/>
  <c r="X242" i="17"/>
  <c r="AP114" i="16"/>
  <c r="K114" i="16"/>
  <c r="B299" i="17"/>
  <c r="W111" i="16"/>
  <c r="AE26" i="11"/>
  <c r="AH26" i="11" s="1"/>
  <c r="AC26" i="11"/>
  <c r="AS27" i="11"/>
  <c r="AV27" i="11" s="1"/>
  <c r="AU27" i="11"/>
  <c r="J27" i="11"/>
  <c r="AP27" i="11" s="1"/>
  <c r="T112" i="16"/>
  <c r="Z110" i="16"/>
  <c r="U110" i="16"/>
  <c r="K31" i="16"/>
  <c r="AP31" i="16"/>
  <c r="L30" i="11"/>
  <c r="E297" i="17"/>
  <c r="D298" i="17"/>
  <c r="M113" i="16"/>
  <c r="AM113" i="16" s="1"/>
  <c r="N113" i="16"/>
  <c r="AC113" i="16"/>
  <c r="P113" i="16"/>
  <c r="AH25" i="11"/>
  <c r="L208" i="17"/>
  <c r="O29" i="16"/>
  <c r="Q29" i="16"/>
  <c r="R29" i="16" s="1"/>
  <c r="X29" i="16" s="1"/>
  <c r="L33" i="16"/>
  <c r="J32" i="16"/>
  <c r="O112" i="16"/>
  <c r="Q112" i="16"/>
  <c r="R112" i="16" s="1"/>
  <c r="X112" i="16" s="1"/>
  <c r="Q168" i="50" l="1"/>
  <c r="R168" i="50" s="1"/>
  <c r="Y168" i="50" s="1"/>
  <c r="O168" i="50"/>
  <c r="H177" i="50"/>
  <c r="AQ176" i="50"/>
  <c r="AT176" i="50" s="1"/>
  <c r="AW176" i="50" s="1"/>
  <c r="AR176" i="50"/>
  <c r="BA173" i="50"/>
  <c r="AU175" i="50"/>
  <c r="AS175" i="50"/>
  <c r="AV175" i="50" s="1"/>
  <c r="AB175" i="50"/>
  <c r="J175" i="50"/>
  <c r="AZ175" i="50" s="1"/>
  <c r="AP175" i="50" s="1"/>
  <c r="K174" i="50"/>
  <c r="N174" i="50" s="1"/>
  <c r="AF174" i="50"/>
  <c r="O173" i="50"/>
  <c r="Q173" i="50"/>
  <c r="R173" i="50" s="1"/>
  <c r="Y173" i="50" s="1"/>
  <c r="M173" i="50"/>
  <c r="AI173" i="50"/>
  <c r="K132" i="40"/>
  <c r="M132" i="40"/>
  <c r="AM132" i="40" s="1"/>
  <c r="N132" i="40"/>
  <c r="P132" i="40"/>
  <c r="H135" i="40"/>
  <c r="AQ134" i="40"/>
  <c r="AT134" i="40" s="1"/>
  <c r="AW134" i="40" s="1"/>
  <c r="AR134" i="40"/>
  <c r="AU133" i="40"/>
  <c r="AS133" i="40"/>
  <c r="AV133" i="40" s="1"/>
  <c r="AB133" i="40"/>
  <c r="J133" i="40"/>
  <c r="AZ133" i="40" s="1"/>
  <c r="AP133" i="40" s="1"/>
  <c r="O131" i="40"/>
  <c r="Q131" i="40"/>
  <c r="R131" i="40" s="1"/>
  <c r="Y131" i="40" s="1"/>
  <c r="AD132" i="40"/>
  <c r="P168" i="39"/>
  <c r="K173" i="39"/>
  <c r="N173" i="39" s="1"/>
  <c r="AB174" i="39"/>
  <c r="AU174" i="39"/>
  <c r="AS174" i="39"/>
  <c r="AV174" i="39" s="1"/>
  <c r="J174" i="39"/>
  <c r="AZ174" i="39" s="1"/>
  <c r="AP174" i="39" s="1"/>
  <c r="Q168" i="39"/>
  <c r="R168" i="39" s="1"/>
  <c r="Y168" i="39" s="1"/>
  <c r="O168" i="39"/>
  <c r="P173" i="39"/>
  <c r="AD173" i="39"/>
  <c r="AF173" i="39"/>
  <c r="AQ175" i="39"/>
  <c r="AT175" i="39" s="1"/>
  <c r="AW175" i="39" s="1"/>
  <c r="AR175" i="39"/>
  <c r="H176" i="39"/>
  <c r="M168" i="39"/>
  <c r="AM168" i="39" s="1"/>
  <c r="N168" i="39"/>
  <c r="AD211" i="27"/>
  <c r="AD168" i="36"/>
  <c r="AF173" i="36"/>
  <c r="AI173" i="36" s="1"/>
  <c r="AR175" i="36"/>
  <c r="AB175" i="36" s="1"/>
  <c r="AQ175" i="36"/>
  <c r="AT175" i="36" s="1"/>
  <c r="AW175" i="36" s="1"/>
  <c r="H176" i="36"/>
  <c r="Q167" i="36"/>
  <c r="R167" i="36" s="1"/>
  <c r="O167" i="36"/>
  <c r="K173" i="36"/>
  <c r="AD173" i="36" s="1"/>
  <c r="AU174" i="36"/>
  <c r="AS174" i="36"/>
  <c r="AV174" i="36" s="1"/>
  <c r="J174" i="36"/>
  <c r="AZ174" i="36" s="1"/>
  <c r="AP174" i="36" s="1"/>
  <c r="M168" i="36"/>
  <c r="AM168" i="36" s="1"/>
  <c r="P168" i="36"/>
  <c r="Y166" i="36"/>
  <c r="AD27" i="27"/>
  <c r="N27" i="27"/>
  <c r="N211" i="27"/>
  <c r="M211" i="27"/>
  <c r="P27" i="27"/>
  <c r="Q27" i="27" s="1"/>
  <c r="R27" i="27" s="1"/>
  <c r="Y27" i="27" s="1"/>
  <c r="AU226" i="17"/>
  <c r="AS206" i="17"/>
  <c r="AV226" i="17" s="1"/>
  <c r="J206" i="17"/>
  <c r="N204" i="17"/>
  <c r="M204" i="17"/>
  <c r="P204" i="17"/>
  <c r="H208" i="17"/>
  <c r="AR207" i="17"/>
  <c r="AQ207" i="17"/>
  <c r="AT227" i="17" s="1"/>
  <c r="AW227" i="17" s="1"/>
  <c r="AP205" i="17"/>
  <c r="K205" i="17"/>
  <c r="P205" i="17" s="1"/>
  <c r="Q203" i="17"/>
  <c r="R203" i="17" s="1"/>
  <c r="X203" i="17" s="1"/>
  <c r="O203" i="17"/>
  <c r="E112" i="29"/>
  <c r="F112" i="29"/>
  <c r="AU32" i="29"/>
  <c r="AS32" i="29"/>
  <c r="AV32" i="29" s="1"/>
  <c r="AA32" i="29"/>
  <c r="AR33" i="29"/>
  <c r="H34" i="29"/>
  <c r="AQ33" i="29"/>
  <c r="AT33" i="29" s="1"/>
  <c r="AW33" i="29" s="1"/>
  <c r="J31" i="29"/>
  <c r="L32" i="29"/>
  <c r="M29" i="29"/>
  <c r="AM29" i="29" s="1"/>
  <c r="A29" i="29" s="1"/>
  <c r="B29" i="29" s="1"/>
  <c r="C29" i="29" s="1"/>
  <c r="AC29" i="29"/>
  <c r="N29" i="29"/>
  <c r="P29" i="29"/>
  <c r="K30" i="29"/>
  <c r="K114" i="29"/>
  <c r="M113" i="29"/>
  <c r="AO113" i="29" s="1"/>
  <c r="AC113" i="29"/>
  <c r="P113" i="29"/>
  <c r="N113" i="29"/>
  <c r="J115" i="29"/>
  <c r="L116" i="29"/>
  <c r="O112" i="29"/>
  <c r="Q112" i="29"/>
  <c r="R112" i="29" s="1"/>
  <c r="X112" i="29" s="1"/>
  <c r="Q28" i="29"/>
  <c r="R28" i="29" s="1"/>
  <c r="X28" i="29" s="1"/>
  <c r="O28" i="29"/>
  <c r="Q210" i="27"/>
  <c r="R210" i="27" s="1"/>
  <c r="Y210" i="27" s="1"/>
  <c r="K212" i="27"/>
  <c r="M212" i="27" s="1"/>
  <c r="K28" i="27"/>
  <c r="P28" i="27" s="1"/>
  <c r="L81" i="27"/>
  <c r="O211" i="27"/>
  <c r="Q211" i="27"/>
  <c r="R211" i="27" s="1"/>
  <c r="Y211" i="27" s="1"/>
  <c r="L241" i="27"/>
  <c r="AL31" i="27"/>
  <c r="E303" i="27"/>
  <c r="D304" i="27"/>
  <c r="J213" i="27"/>
  <c r="AZ213" i="27" s="1"/>
  <c r="AP213" i="27" s="1"/>
  <c r="AI211" i="27"/>
  <c r="AU29" i="27"/>
  <c r="AS29" i="27"/>
  <c r="AV29" i="27" s="1"/>
  <c r="J29" i="27"/>
  <c r="AZ29" i="27" s="1"/>
  <c r="AP29" i="27" s="1"/>
  <c r="AF212" i="27"/>
  <c r="AI212" i="27" s="1"/>
  <c r="AR214" i="27"/>
  <c r="H215" i="27"/>
  <c r="AQ214" i="27"/>
  <c r="AT214" i="27" s="1"/>
  <c r="AW214" i="27" s="1"/>
  <c r="Q26" i="27"/>
  <c r="R26" i="27" s="1"/>
  <c r="Y26" i="27" s="1"/>
  <c r="O26" i="27"/>
  <c r="AF28" i="27"/>
  <c r="AR30" i="27"/>
  <c r="AB30" i="27" s="1"/>
  <c r="AQ30" i="27"/>
  <c r="AT30" i="27" s="1"/>
  <c r="AW30" i="27" s="1"/>
  <c r="H31" i="27"/>
  <c r="AU213" i="27"/>
  <c r="AS213" i="27"/>
  <c r="AV213" i="27" s="1"/>
  <c r="AB213" i="27"/>
  <c r="U111" i="16"/>
  <c r="Z111" i="16"/>
  <c r="AU28" i="11"/>
  <c r="AS28" i="11"/>
  <c r="AV28" i="11" s="1"/>
  <c r="J28" i="11"/>
  <c r="AP28" i="11" s="1"/>
  <c r="Q30" i="16"/>
  <c r="R30" i="16" s="1"/>
  <c r="X30" i="16" s="1"/>
  <c r="O30" i="16"/>
  <c r="AR29" i="11"/>
  <c r="AQ29" i="11"/>
  <c r="AT29" i="11" s="1"/>
  <c r="AW29" i="11" s="1"/>
  <c r="H30" i="11"/>
  <c r="AP115" i="16"/>
  <c r="K115" i="16"/>
  <c r="Q113" i="16"/>
  <c r="R113" i="16" s="1"/>
  <c r="X113" i="16" s="1"/>
  <c r="O113" i="16"/>
  <c r="N31" i="16"/>
  <c r="M31" i="16"/>
  <c r="AM31" i="16" s="1"/>
  <c r="A31" i="16" s="1"/>
  <c r="B31" i="16" s="1"/>
  <c r="C31" i="16" s="1"/>
  <c r="P31" i="16"/>
  <c r="AC31" i="16"/>
  <c r="AD110" i="16"/>
  <c r="AE110" i="16" s="1"/>
  <c r="AB110" i="16"/>
  <c r="AG110" i="16" s="1"/>
  <c r="AK110" i="16" s="1"/>
  <c r="AE27" i="11"/>
  <c r="AC27" i="11"/>
  <c r="O26" i="11"/>
  <c r="Q26" i="11"/>
  <c r="R26" i="11" s="1"/>
  <c r="X26" i="11" s="1"/>
  <c r="J116" i="16"/>
  <c r="L117" i="16"/>
  <c r="AP32" i="16"/>
  <c r="K32" i="16"/>
  <c r="V110" i="16"/>
  <c r="AY110" i="16"/>
  <c r="AX110" i="16"/>
  <c r="L31" i="11"/>
  <c r="Y112" i="16"/>
  <c r="T113" i="16"/>
  <c r="W112" i="16"/>
  <c r="P27" i="11"/>
  <c r="N27" i="11"/>
  <c r="J33" i="16"/>
  <c r="L34" i="16"/>
  <c r="L209" i="17"/>
  <c r="E298" i="17"/>
  <c r="D299" i="17"/>
  <c r="M114" i="16"/>
  <c r="AM114" i="16" s="1"/>
  <c r="P114" i="16"/>
  <c r="N114" i="16"/>
  <c r="AC114" i="16"/>
  <c r="B297" i="17"/>
  <c r="B298" i="17" s="1"/>
  <c r="AF175" i="50" l="1"/>
  <c r="P174" i="50"/>
  <c r="H178" i="50"/>
  <c r="AQ177" i="50"/>
  <c r="AT177" i="50" s="1"/>
  <c r="AW177" i="50" s="1"/>
  <c r="AR177" i="50"/>
  <c r="BA174" i="50"/>
  <c r="M174" i="50"/>
  <c r="AI175" i="50"/>
  <c r="AS176" i="50"/>
  <c r="AV176" i="50" s="1"/>
  <c r="AU176" i="50"/>
  <c r="AB176" i="50"/>
  <c r="J176" i="50"/>
  <c r="AZ176" i="50" s="1"/>
  <c r="AP176" i="50" s="1"/>
  <c r="AD174" i="50"/>
  <c r="K175" i="50"/>
  <c r="AD175" i="50" s="1"/>
  <c r="AI174" i="50"/>
  <c r="K133" i="40"/>
  <c r="M133" i="40"/>
  <c r="AM133" i="40" s="1"/>
  <c r="O132" i="40"/>
  <c r="Q132" i="40"/>
  <c r="R132" i="40" s="1"/>
  <c r="Y132" i="40" s="1"/>
  <c r="H136" i="40"/>
  <c r="AQ135" i="40"/>
  <c r="AT135" i="40" s="1"/>
  <c r="AW135" i="40" s="1"/>
  <c r="AR135" i="40"/>
  <c r="P133" i="40"/>
  <c r="N133" i="40"/>
  <c r="AD133" i="40"/>
  <c r="AU134" i="40"/>
  <c r="AS134" i="40"/>
  <c r="AV134" i="40" s="1"/>
  <c r="AB134" i="40"/>
  <c r="J134" i="40"/>
  <c r="AZ134" i="40" s="1"/>
  <c r="AP134" i="40" s="1"/>
  <c r="BA173" i="39"/>
  <c r="AF174" i="39"/>
  <c r="AB175" i="39"/>
  <c r="AU175" i="39"/>
  <c r="AS175" i="39"/>
  <c r="AV175" i="39" s="1"/>
  <c r="J175" i="39"/>
  <c r="AZ175" i="39" s="1"/>
  <c r="AP175" i="39" s="1"/>
  <c r="Q173" i="39"/>
  <c r="R173" i="39" s="1"/>
  <c r="Y173" i="39" s="1"/>
  <c r="O173" i="39"/>
  <c r="M173" i="39"/>
  <c r="AQ176" i="39"/>
  <c r="AT176" i="39" s="1"/>
  <c r="AW176" i="39" s="1"/>
  <c r="H177" i="39"/>
  <c r="AR176" i="39"/>
  <c r="K174" i="39"/>
  <c r="P174" i="39" s="1"/>
  <c r="AI173" i="39"/>
  <c r="N212" i="27"/>
  <c r="AD212" i="27"/>
  <c r="P173" i="36"/>
  <c r="N173" i="36"/>
  <c r="Q173" i="36"/>
  <c r="R173" i="36" s="1"/>
  <c r="Y173" i="36" s="1"/>
  <c r="O173" i="36"/>
  <c r="Q168" i="36"/>
  <c r="R168" i="36" s="1"/>
  <c r="O168" i="36"/>
  <c r="BA173" i="36"/>
  <c r="H177" i="36"/>
  <c r="AQ176" i="36"/>
  <c r="AT176" i="36" s="1"/>
  <c r="AW176" i="36" s="1"/>
  <c r="AR176" i="36"/>
  <c r="AB176" i="36" s="1"/>
  <c r="AF174" i="36"/>
  <c r="AI174" i="36" s="1"/>
  <c r="K174" i="36"/>
  <c r="P174" i="36" s="1"/>
  <c r="Y167" i="36"/>
  <c r="M173" i="36"/>
  <c r="AS175" i="36"/>
  <c r="AV175" i="36" s="1"/>
  <c r="AU175" i="36"/>
  <c r="J175" i="36"/>
  <c r="AZ175" i="36" s="1"/>
  <c r="AP175" i="36" s="1"/>
  <c r="O27" i="27"/>
  <c r="N205" i="17"/>
  <c r="O205" i="17"/>
  <c r="Q205" i="17"/>
  <c r="R205" i="17" s="1"/>
  <c r="X205" i="17" s="1"/>
  <c r="AP206" i="17"/>
  <c r="K206" i="17"/>
  <c r="AS207" i="17"/>
  <c r="AV227" i="17" s="1"/>
  <c r="J207" i="17"/>
  <c r="AP207" i="17" s="1"/>
  <c r="AU227" i="17"/>
  <c r="AQ208" i="17"/>
  <c r="AT228" i="17" s="1"/>
  <c r="AW228" i="17" s="1"/>
  <c r="AR208" i="17"/>
  <c r="H209" i="17"/>
  <c r="M205" i="17"/>
  <c r="Q204" i="17"/>
  <c r="R204" i="17" s="1"/>
  <c r="X204" i="17" s="1"/>
  <c r="O204" i="17"/>
  <c r="F113" i="29"/>
  <c r="E113" i="29"/>
  <c r="AA33" i="29"/>
  <c r="AU33" i="29"/>
  <c r="AS33" i="29"/>
  <c r="AV33" i="29" s="1"/>
  <c r="AR34" i="29"/>
  <c r="AQ34" i="29"/>
  <c r="AT34" i="29" s="1"/>
  <c r="AW34" i="29" s="1"/>
  <c r="H35" i="29"/>
  <c r="K115" i="29"/>
  <c r="Q29" i="29"/>
  <c r="R29" i="29" s="1"/>
  <c r="X29" i="29" s="1"/>
  <c r="O29" i="29"/>
  <c r="M30" i="29"/>
  <c r="AM30" i="29" s="1"/>
  <c r="A30" i="29" s="1"/>
  <c r="B30" i="29" s="1"/>
  <c r="C30" i="29" s="1"/>
  <c r="N30" i="29"/>
  <c r="P30" i="29"/>
  <c r="AC30" i="29"/>
  <c r="M114" i="29"/>
  <c r="AO114" i="29" s="1"/>
  <c r="AC114" i="29"/>
  <c r="N114" i="29"/>
  <c r="P114" i="29"/>
  <c r="J32" i="29"/>
  <c r="L33" i="29"/>
  <c r="L117" i="29"/>
  <c r="J116" i="29"/>
  <c r="Q113" i="29"/>
  <c r="R113" i="29" s="1"/>
  <c r="X113" i="29" s="1"/>
  <c r="O113" i="29"/>
  <c r="K31" i="29"/>
  <c r="P212" i="27"/>
  <c r="Q212" i="27" s="1"/>
  <c r="R212" i="27" s="1"/>
  <c r="Y212" i="27" s="1"/>
  <c r="N28" i="27"/>
  <c r="AD28" i="27"/>
  <c r="M28" i="27"/>
  <c r="L82" i="27"/>
  <c r="AR31" i="27"/>
  <c r="AB31" i="27" s="1"/>
  <c r="AQ31" i="27"/>
  <c r="AT31" i="27" s="1"/>
  <c r="AW31" i="27" s="1"/>
  <c r="H32" i="27"/>
  <c r="O212" i="27"/>
  <c r="L242" i="27"/>
  <c r="K29" i="27"/>
  <c r="AI28" i="27"/>
  <c r="AL32" i="27"/>
  <c r="J214" i="27"/>
  <c r="AZ214" i="27" s="1"/>
  <c r="AP214" i="27" s="1"/>
  <c r="E304" i="27"/>
  <c r="D305" i="27"/>
  <c r="K213" i="27"/>
  <c r="AD213" i="27" s="1"/>
  <c r="AS30" i="27"/>
  <c r="AV30" i="27" s="1"/>
  <c r="AU30" i="27"/>
  <c r="J30" i="27"/>
  <c r="AZ30" i="27" s="1"/>
  <c r="AP30" i="27" s="1"/>
  <c r="H216" i="27"/>
  <c r="AQ215" i="27"/>
  <c r="AT215" i="27" s="1"/>
  <c r="AW215" i="27" s="1"/>
  <c r="AR215" i="27"/>
  <c r="AF213" i="27"/>
  <c r="AU214" i="27"/>
  <c r="AS214" i="27"/>
  <c r="AV214" i="27" s="1"/>
  <c r="AB214" i="27"/>
  <c r="AF29" i="27"/>
  <c r="AI29" i="27" s="1"/>
  <c r="Q28" i="27"/>
  <c r="R28" i="27" s="1"/>
  <c r="Y28" i="27" s="1"/>
  <c r="O28" i="27"/>
  <c r="K290" i="17"/>
  <c r="M290" i="17"/>
  <c r="K293" i="17" s="1"/>
  <c r="T114" i="16"/>
  <c r="Q31" i="16"/>
  <c r="R31" i="16" s="1"/>
  <c r="X31" i="16" s="1"/>
  <c r="O31" i="16"/>
  <c r="M115" i="16"/>
  <c r="AM115" i="16" s="1"/>
  <c r="AC115" i="16"/>
  <c r="P115" i="16"/>
  <c r="N115" i="16"/>
  <c r="L210" i="17"/>
  <c r="E299" i="17"/>
  <c r="D300" i="17"/>
  <c r="K116" i="16"/>
  <c r="AP116" i="16"/>
  <c r="W113" i="16"/>
  <c r="J34" i="16"/>
  <c r="L35" i="16"/>
  <c r="U112" i="16"/>
  <c r="Z112" i="16"/>
  <c r="J117" i="16"/>
  <c r="L118" i="16"/>
  <c r="K33" i="16"/>
  <c r="AP33" i="16"/>
  <c r="Q27" i="11"/>
  <c r="R27" i="11" s="1"/>
  <c r="X27" i="11" s="1"/>
  <c r="O27" i="11"/>
  <c r="L32" i="11"/>
  <c r="H31" i="11"/>
  <c r="AQ30" i="11"/>
  <c r="AT30" i="11" s="1"/>
  <c r="AW30" i="11" s="1"/>
  <c r="AR30" i="11"/>
  <c r="N28" i="11"/>
  <c r="P28" i="11"/>
  <c r="AB111" i="16"/>
  <c r="AG111" i="16" s="1"/>
  <c r="AK111" i="16" s="1"/>
  <c r="AD111" i="16"/>
  <c r="AE111" i="16" s="1"/>
  <c r="AS29" i="11"/>
  <c r="AV29" i="11" s="1"/>
  <c r="AU29" i="11"/>
  <c r="J29" i="11"/>
  <c r="AP29" i="11" s="1"/>
  <c r="Y113" i="16"/>
  <c r="O114" i="16"/>
  <c r="Q114" i="16"/>
  <c r="R114" i="16" s="1"/>
  <c r="X114" i="16" s="1"/>
  <c r="M32" i="16"/>
  <c r="AM32" i="16" s="1"/>
  <c r="A32" i="16" s="1"/>
  <c r="B32" i="16" s="1"/>
  <c r="C32" i="16" s="1"/>
  <c r="N32" i="16"/>
  <c r="P32" i="16"/>
  <c r="AC32" i="16"/>
  <c r="AJ110" i="16"/>
  <c r="AI110" i="16" s="1"/>
  <c r="AF110" i="16"/>
  <c r="AH110" i="16"/>
  <c r="AN110" i="16" s="1"/>
  <c r="AH27" i="11"/>
  <c r="AE28" i="11"/>
  <c r="AC28" i="11"/>
  <c r="AY111" i="16"/>
  <c r="AX111" i="16"/>
  <c r="V111" i="16"/>
  <c r="K176" i="50" l="1"/>
  <c r="AD176" i="50" s="1"/>
  <c r="N175" i="50"/>
  <c r="BA175" i="50"/>
  <c r="AF176" i="50"/>
  <c r="AS177" i="50"/>
  <c r="AV177" i="50" s="1"/>
  <c r="AB177" i="50"/>
  <c r="AU177" i="50"/>
  <c r="J177" i="50"/>
  <c r="AZ177" i="50" s="1"/>
  <c r="AP177" i="50" s="1"/>
  <c r="M175" i="50"/>
  <c r="H179" i="50"/>
  <c r="AR178" i="50"/>
  <c r="AQ178" i="50"/>
  <c r="AT178" i="50" s="1"/>
  <c r="AW178" i="50" s="1"/>
  <c r="O174" i="50"/>
  <c r="Q174" i="50"/>
  <c r="R174" i="50" s="1"/>
  <c r="AI176" i="50"/>
  <c r="P175" i="50"/>
  <c r="O133" i="40"/>
  <c r="Q133" i="40"/>
  <c r="R133" i="40" s="1"/>
  <c r="Y133" i="40" s="1"/>
  <c r="H137" i="40"/>
  <c r="AQ136" i="40"/>
  <c r="AT136" i="40" s="1"/>
  <c r="AW136" i="40" s="1"/>
  <c r="AR136" i="40"/>
  <c r="AD134" i="40"/>
  <c r="K134" i="40"/>
  <c r="AU135" i="40"/>
  <c r="AS135" i="40"/>
  <c r="AV135" i="40" s="1"/>
  <c r="AB135" i="40"/>
  <c r="J135" i="40"/>
  <c r="AZ135" i="40" s="1"/>
  <c r="AP135" i="40" s="1"/>
  <c r="O174" i="39"/>
  <c r="Q174" i="39"/>
  <c r="R174" i="39" s="1"/>
  <c r="Y174" i="39" s="1"/>
  <c r="K175" i="39"/>
  <c r="AQ177" i="39"/>
  <c r="AT177" i="39" s="1"/>
  <c r="AW177" i="39" s="1"/>
  <c r="AR177" i="39"/>
  <c r="H178" i="39"/>
  <c r="BA174" i="39"/>
  <c r="M174" i="39"/>
  <c r="AB176" i="39"/>
  <c r="AU176" i="39"/>
  <c r="AS176" i="39"/>
  <c r="AV176" i="39" s="1"/>
  <c r="J176" i="39"/>
  <c r="AZ176" i="39" s="1"/>
  <c r="AP176" i="39" s="1"/>
  <c r="AI174" i="39"/>
  <c r="AF175" i="39"/>
  <c r="AD175" i="39"/>
  <c r="N174" i="39"/>
  <c r="AD174" i="39"/>
  <c r="Q174" i="36"/>
  <c r="R174" i="36" s="1"/>
  <c r="Y174" i="36" s="1"/>
  <c r="O174" i="36"/>
  <c r="AF175" i="36"/>
  <c r="AI175" i="36" s="1"/>
  <c r="AD174" i="36"/>
  <c r="AR177" i="36"/>
  <c r="AB177" i="36" s="1"/>
  <c r="AQ177" i="36"/>
  <c r="AT177" i="36" s="1"/>
  <c r="AW177" i="36" s="1"/>
  <c r="H178" i="36"/>
  <c r="K175" i="36"/>
  <c r="M174" i="36"/>
  <c r="Y168" i="36"/>
  <c r="BA174" i="36"/>
  <c r="AS176" i="36"/>
  <c r="AV176" i="36" s="1"/>
  <c r="AU176" i="36"/>
  <c r="J176" i="36"/>
  <c r="AZ176" i="36" s="1"/>
  <c r="AP176" i="36" s="1"/>
  <c r="N174" i="36"/>
  <c r="N206" i="17"/>
  <c r="M206" i="17"/>
  <c r="P206" i="17"/>
  <c r="AR209" i="17"/>
  <c r="AQ209" i="17"/>
  <c r="AT229" i="17" s="1"/>
  <c r="AW229" i="17" s="1"/>
  <c r="H210" i="17"/>
  <c r="AU228" i="17"/>
  <c r="AS208" i="17"/>
  <c r="AV228" i="17" s="1"/>
  <c r="J208" i="17"/>
  <c r="K207" i="17"/>
  <c r="M207" i="17" s="1"/>
  <c r="E114" i="29"/>
  <c r="F114" i="29"/>
  <c r="AQ35" i="29"/>
  <c r="AT35" i="29" s="1"/>
  <c r="AW35" i="29" s="1"/>
  <c r="AR35" i="29"/>
  <c r="H36" i="29"/>
  <c r="AU34" i="29"/>
  <c r="AS34" i="29"/>
  <c r="AV34" i="29" s="1"/>
  <c r="AA34" i="29"/>
  <c r="J33" i="29"/>
  <c r="L34" i="29"/>
  <c r="Q114" i="29"/>
  <c r="R114" i="29" s="1"/>
  <c r="X114" i="29" s="1"/>
  <c r="O114" i="29"/>
  <c r="K32" i="29"/>
  <c r="M115" i="29"/>
  <c r="AO115" i="29" s="1"/>
  <c r="AC115" i="29"/>
  <c r="N115" i="29"/>
  <c r="P115" i="29"/>
  <c r="M31" i="29"/>
  <c r="AM31" i="29" s="1"/>
  <c r="A31" i="29" s="1"/>
  <c r="B31" i="29" s="1"/>
  <c r="C31" i="29" s="1"/>
  <c r="AC31" i="29"/>
  <c r="N31" i="29"/>
  <c r="P31" i="29"/>
  <c r="L118" i="29"/>
  <c r="J117" i="29"/>
  <c r="K116" i="29"/>
  <c r="Q30" i="29"/>
  <c r="R30" i="29" s="1"/>
  <c r="X30" i="29" s="1"/>
  <c r="O30" i="29"/>
  <c r="K214" i="27"/>
  <c r="M214" i="27" s="1"/>
  <c r="L83" i="27"/>
  <c r="AR216" i="27"/>
  <c r="H217" i="27"/>
  <c r="AQ216" i="27"/>
  <c r="AT216" i="27" s="1"/>
  <c r="AW216" i="27" s="1"/>
  <c r="M213" i="27"/>
  <c r="AL33" i="27"/>
  <c r="M29" i="27"/>
  <c r="J215" i="27"/>
  <c r="AZ215" i="27" s="1"/>
  <c r="AP215" i="27" s="1"/>
  <c r="AF214" i="27"/>
  <c r="E305" i="27"/>
  <c r="D306" i="27"/>
  <c r="N29" i="27"/>
  <c r="AR32" i="27"/>
  <c r="AB32" i="27" s="1"/>
  <c r="AQ32" i="27"/>
  <c r="AT32" i="27" s="1"/>
  <c r="AW32" i="27" s="1"/>
  <c r="H33" i="27"/>
  <c r="AD29" i="27"/>
  <c r="P29" i="27"/>
  <c r="AF30" i="27"/>
  <c r="AI213" i="27"/>
  <c r="L243" i="27"/>
  <c r="N213" i="27"/>
  <c r="AU215" i="27"/>
  <c r="AS215" i="27"/>
  <c r="AV215" i="27" s="1"/>
  <c r="AB215" i="27"/>
  <c r="K30" i="27"/>
  <c r="AD30" i="27" s="1"/>
  <c r="AI214" i="27"/>
  <c r="AS31" i="27"/>
  <c r="AV31" i="27" s="1"/>
  <c r="AU31" i="27"/>
  <c r="J31" i="27"/>
  <c r="AZ31" i="27" s="1"/>
  <c r="AP31" i="27" s="1"/>
  <c r="P213" i="27"/>
  <c r="O28" i="11"/>
  <c r="Q28" i="11"/>
  <c r="R28" i="11" s="1"/>
  <c r="X28" i="11" s="1"/>
  <c r="L33" i="11"/>
  <c r="T115" i="16"/>
  <c r="Q115" i="16"/>
  <c r="R115" i="16" s="1"/>
  <c r="X115" i="16" s="1"/>
  <c r="O115" i="16"/>
  <c r="I321" i="17"/>
  <c r="L321" i="17"/>
  <c r="AE29" i="11"/>
  <c r="AC29" i="11"/>
  <c r="E300" i="17"/>
  <c r="D301" i="17"/>
  <c r="AJ111" i="16"/>
  <c r="AI111" i="16" s="1"/>
  <c r="AF111" i="16"/>
  <c r="AH111" i="16"/>
  <c r="AN111" i="16" s="1"/>
  <c r="AH28" i="11"/>
  <c r="L36" i="16"/>
  <c r="J35" i="16"/>
  <c r="L211" i="17"/>
  <c r="Y114" i="16"/>
  <c r="I320" i="17"/>
  <c r="L320" i="17"/>
  <c r="AU30" i="11"/>
  <c r="AS30" i="11"/>
  <c r="AV30" i="11" s="1"/>
  <c r="J30" i="11"/>
  <c r="AP30" i="11" s="1"/>
  <c r="L119" i="16"/>
  <c r="J118" i="16"/>
  <c r="AB112" i="16"/>
  <c r="AG112" i="16" s="1"/>
  <c r="AK112" i="16" s="1"/>
  <c r="AD112" i="16"/>
  <c r="AE112" i="16" s="1"/>
  <c r="K34" i="16"/>
  <c r="AP34" i="16"/>
  <c r="N116" i="16"/>
  <c r="M116" i="16"/>
  <c r="AM116" i="16" s="1"/>
  <c r="P116" i="16"/>
  <c r="AC116" i="16"/>
  <c r="W114" i="16"/>
  <c r="AR31" i="11"/>
  <c r="AQ31" i="11"/>
  <c r="AT31" i="11" s="1"/>
  <c r="AW31" i="11" s="1"/>
  <c r="H32" i="11"/>
  <c r="P29" i="11"/>
  <c r="N29" i="11"/>
  <c r="O32" i="16"/>
  <c r="Q32" i="16"/>
  <c r="R32" i="16" s="1"/>
  <c r="X32" i="16" s="1"/>
  <c r="M33" i="16"/>
  <c r="AM33" i="16" s="1"/>
  <c r="A33" i="16" s="1"/>
  <c r="B33" i="16" s="1"/>
  <c r="C33" i="16" s="1"/>
  <c r="AC33" i="16"/>
  <c r="N33" i="16"/>
  <c r="P33" i="16"/>
  <c r="AP117" i="16"/>
  <c r="K117" i="16"/>
  <c r="AX112" i="16"/>
  <c r="AY112" i="16"/>
  <c r="V112" i="16"/>
  <c r="U113" i="16"/>
  <c r="Z113" i="16"/>
  <c r="P176" i="50" l="1"/>
  <c r="Y174" i="50"/>
  <c r="AI177" i="50"/>
  <c r="BA176" i="50"/>
  <c r="M176" i="50"/>
  <c r="AU178" i="50"/>
  <c r="AS178" i="50"/>
  <c r="AV178" i="50" s="1"/>
  <c r="AB178" i="50"/>
  <c r="J178" i="50"/>
  <c r="AZ178" i="50" s="1"/>
  <c r="AP178" i="50" s="1"/>
  <c r="K177" i="50"/>
  <c r="O175" i="50"/>
  <c r="Q175" i="50"/>
  <c r="R175" i="50" s="1"/>
  <c r="Y175" i="50" s="1"/>
  <c r="H180" i="50"/>
  <c r="AQ179" i="50"/>
  <c r="AT179" i="50" s="1"/>
  <c r="AW179" i="50" s="1"/>
  <c r="AR179" i="50"/>
  <c r="AD177" i="50"/>
  <c r="AF177" i="50"/>
  <c r="N176" i="50"/>
  <c r="K135" i="40"/>
  <c r="M135" i="40" s="1"/>
  <c r="AM135" i="40" s="1"/>
  <c r="M134" i="40"/>
  <c r="AM134" i="40" s="1"/>
  <c r="AU136" i="40"/>
  <c r="AS136" i="40"/>
  <c r="AV136" i="40" s="1"/>
  <c r="AB136" i="40"/>
  <c r="J136" i="40"/>
  <c r="AZ136" i="40" s="1"/>
  <c r="AP136" i="40" s="1"/>
  <c r="N134" i="40"/>
  <c r="P135" i="40"/>
  <c r="N135" i="40"/>
  <c r="AD135" i="40"/>
  <c r="P134" i="40"/>
  <c r="H138" i="40"/>
  <c r="AQ137" i="40"/>
  <c r="AT137" i="40" s="1"/>
  <c r="AW137" i="40" s="1"/>
  <c r="AR137" i="40"/>
  <c r="M175" i="39"/>
  <c r="BA175" i="39"/>
  <c r="N175" i="39"/>
  <c r="AF176" i="39"/>
  <c r="AI176" i="39" s="1"/>
  <c r="P175" i="39"/>
  <c r="AI175" i="39"/>
  <c r="K176" i="39"/>
  <c r="P176" i="39" s="1"/>
  <c r="AQ178" i="39"/>
  <c r="AT178" i="39" s="1"/>
  <c r="AW178" i="39" s="1"/>
  <c r="AR178" i="39"/>
  <c r="H179" i="39"/>
  <c r="AB177" i="39"/>
  <c r="AU177" i="39"/>
  <c r="AS177" i="39"/>
  <c r="AV177" i="39" s="1"/>
  <c r="J177" i="39"/>
  <c r="AZ177" i="39" s="1"/>
  <c r="AP177" i="39" s="1"/>
  <c r="AD214" i="27"/>
  <c r="M175" i="36"/>
  <c r="AD175" i="36"/>
  <c r="AS177" i="36"/>
  <c r="AV177" i="36" s="1"/>
  <c r="AU177" i="36"/>
  <c r="J177" i="36"/>
  <c r="AZ177" i="36" s="1"/>
  <c r="AP177" i="36" s="1"/>
  <c r="AR178" i="36"/>
  <c r="AB178" i="36" s="1"/>
  <c r="AQ178" i="36"/>
  <c r="AT178" i="36" s="1"/>
  <c r="AW178" i="36" s="1"/>
  <c r="H179" i="36"/>
  <c r="P175" i="36"/>
  <c r="AF176" i="36"/>
  <c r="AI176" i="36" s="1"/>
  <c r="BA175" i="36"/>
  <c r="K176" i="36"/>
  <c r="N175" i="36"/>
  <c r="Q206" i="17"/>
  <c r="R206" i="17" s="1"/>
  <c r="X206" i="17" s="1"/>
  <c r="O206" i="17"/>
  <c r="AR210" i="17"/>
  <c r="H211" i="17"/>
  <c r="AQ210" i="17"/>
  <c r="AT230" i="17" s="1"/>
  <c r="AW230" i="17" s="1"/>
  <c r="AP208" i="17"/>
  <c r="K208" i="17"/>
  <c r="M208" i="17" s="1"/>
  <c r="AU229" i="17"/>
  <c r="AS209" i="17"/>
  <c r="AV229" i="17" s="1"/>
  <c r="J209" i="17"/>
  <c r="AP209" i="17" s="1"/>
  <c r="N207" i="17"/>
  <c r="P207" i="17"/>
  <c r="E115" i="29"/>
  <c r="F115" i="29"/>
  <c r="H37" i="29"/>
  <c r="AR36" i="29"/>
  <c r="AQ36" i="29"/>
  <c r="AT36" i="29" s="1"/>
  <c r="AW36" i="29" s="1"/>
  <c r="AA35" i="29"/>
  <c r="AU35" i="29"/>
  <c r="AS35" i="29"/>
  <c r="AV35" i="29" s="1"/>
  <c r="K117" i="29"/>
  <c r="J118" i="29"/>
  <c r="L119" i="29"/>
  <c r="O115" i="29"/>
  <c r="Q115" i="29"/>
  <c r="R115" i="29" s="1"/>
  <c r="X115" i="29" s="1"/>
  <c r="J34" i="29"/>
  <c r="L35" i="29"/>
  <c r="M116" i="29"/>
  <c r="AO116" i="29" s="1"/>
  <c r="AC116" i="29"/>
  <c r="P116" i="29"/>
  <c r="N116" i="29"/>
  <c r="Q31" i="29"/>
  <c r="R31" i="29" s="1"/>
  <c r="X31" i="29" s="1"/>
  <c r="O31" i="29"/>
  <c r="M32" i="29"/>
  <c r="AM32" i="29" s="1"/>
  <c r="A32" i="29" s="1"/>
  <c r="B32" i="29" s="1"/>
  <c r="C32" i="29" s="1"/>
  <c r="P32" i="29"/>
  <c r="N32" i="29"/>
  <c r="AC32" i="29"/>
  <c r="K33" i="29"/>
  <c r="N214" i="27"/>
  <c r="P214" i="27"/>
  <c r="O214" i="27" s="1"/>
  <c r="K215" i="27"/>
  <c r="AD215" i="27" s="1"/>
  <c r="W115" i="16"/>
  <c r="K31" i="27"/>
  <c r="P31" i="27" s="1"/>
  <c r="L84" i="27"/>
  <c r="AQ33" i="27"/>
  <c r="AT33" i="27" s="1"/>
  <c r="AW33" i="27" s="1"/>
  <c r="H34" i="27"/>
  <c r="AR33" i="27"/>
  <c r="AB33" i="27" s="1"/>
  <c r="H218" i="27"/>
  <c r="AR217" i="27"/>
  <c r="AQ217" i="27"/>
  <c r="AT217" i="27" s="1"/>
  <c r="AW217" i="27" s="1"/>
  <c r="J216" i="27"/>
  <c r="AZ216" i="27" s="1"/>
  <c r="AP216" i="27" s="1"/>
  <c r="O213" i="27"/>
  <c r="Q213" i="27"/>
  <c r="R213" i="27" s="1"/>
  <c r="Y213" i="27" s="1"/>
  <c r="AF215" i="27"/>
  <c r="AU32" i="27"/>
  <c r="AS32" i="27"/>
  <c r="AV32" i="27" s="1"/>
  <c r="J32" i="27"/>
  <c r="AZ32" i="27" s="1"/>
  <c r="AP32" i="27" s="1"/>
  <c r="E306" i="27"/>
  <c r="D307" i="27"/>
  <c r="AL34" i="27"/>
  <c r="AU216" i="27"/>
  <c r="AS216" i="27"/>
  <c r="AV216" i="27" s="1"/>
  <c r="AB216" i="27"/>
  <c r="M30" i="27"/>
  <c r="O29" i="27"/>
  <c r="Q29" i="27"/>
  <c r="R29" i="27" s="1"/>
  <c r="Y29" i="27" s="1"/>
  <c r="L244" i="27"/>
  <c r="P30" i="27"/>
  <c r="AI30" i="27"/>
  <c r="AF31" i="27"/>
  <c r="AI31" i="27" s="1"/>
  <c r="N30" i="27"/>
  <c r="U115" i="16"/>
  <c r="AX115" i="16" s="1"/>
  <c r="Z115" i="16"/>
  <c r="L212" i="17"/>
  <c r="AP118" i="16"/>
  <c r="K118" i="16"/>
  <c r="L120" i="16"/>
  <c r="J119" i="16"/>
  <c r="AH29" i="11"/>
  <c r="AY113" i="16"/>
  <c r="V113" i="16"/>
  <c r="AX113" i="16"/>
  <c r="M117" i="16"/>
  <c r="AM117" i="16" s="1"/>
  <c r="P117" i="16"/>
  <c r="N117" i="16"/>
  <c r="AC117" i="16"/>
  <c r="T116" i="16"/>
  <c r="N30" i="11"/>
  <c r="P30" i="11"/>
  <c r="D302" i="17"/>
  <c r="E301" i="17"/>
  <c r="L34" i="11"/>
  <c r="Q33" i="16"/>
  <c r="R33" i="16" s="1"/>
  <c r="X33" i="16" s="1"/>
  <c r="O33" i="16"/>
  <c r="Q29" i="11"/>
  <c r="R29" i="11" s="1"/>
  <c r="X29" i="11" s="1"/>
  <c r="O29" i="11"/>
  <c r="M34" i="16"/>
  <c r="AM34" i="16" s="1"/>
  <c r="A34" i="16" s="1"/>
  <c r="B34" i="16" s="1"/>
  <c r="C34" i="16" s="1"/>
  <c r="P34" i="16"/>
  <c r="AC34" i="16"/>
  <c r="N34" i="16"/>
  <c r="U114" i="16"/>
  <c r="Z114" i="16"/>
  <c r="AC30" i="11"/>
  <c r="AE30" i="11"/>
  <c r="AH30" i="11" s="1"/>
  <c r="L37" i="16"/>
  <c r="J36" i="16"/>
  <c r="Y115" i="16"/>
  <c r="AS31" i="11"/>
  <c r="AV31" i="11" s="1"/>
  <c r="AU31" i="11"/>
  <c r="J31" i="11"/>
  <c r="AP31" i="11" s="1"/>
  <c r="AD113" i="16"/>
  <c r="AE113" i="16" s="1"/>
  <c r="AB113" i="16"/>
  <c r="AG113" i="16" s="1"/>
  <c r="AK113" i="16" s="1"/>
  <c r="H33" i="11"/>
  <c r="AR32" i="11"/>
  <c r="AQ32" i="11"/>
  <c r="AT32" i="11" s="1"/>
  <c r="AW32" i="11" s="1"/>
  <c r="Q116" i="16"/>
  <c r="R116" i="16" s="1"/>
  <c r="X116" i="16" s="1"/>
  <c r="O116" i="16"/>
  <c r="AF112" i="16"/>
  <c r="AJ112" i="16"/>
  <c r="AI112" i="16" s="1"/>
  <c r="AH112" i="16"/>
  <c r="AN112" i="16" s="1"/>
  <c r="AP35" i="16"/>
  <c r="K35" i="16"/>
  <c r="M177" i="50" l="1"/>
  <c r="K179" i="50"/>
  <c r="AU179" i="50"/>
  <c r="AB179" i="50"/>
  <c r="AS179" i="50"/>
  <c r="AV179" i="50" s="1"/>
  <c r="J179" i="50"/>
  <c r="AZ179" i="50" s="1"/>
  <c r="AP179" i="50" s="1"/>
  <c r="AI178" i="50"/>
  <c r="K178" i="50"/>
  <c r="H181" i="50"/>
  <c r="AR180" i="50"/>
  <c r="AQ180" i="50"/>
  <c r="AT180" i="50" s="1"/>
  <c r="AW180" i="50" s="1"/>
  <c r="AF178" i="50"/>
  <c r="O176" i="50"/>
  <c r="Q176" i="50"/>
  <c r="R176" i="50" s="1"/>
  <c r="Y176" i="50" s="1"/>
  <c r="P177" i="50"/>
  <c r="BA177" i="50"/>
  <c r="N177" i="50"/>
  <c r="AU137" i="40"/>
  <c r="AS137" i="40"/>
  <c r="AV137" i="40" s="1"/>
  <c r="AB137" i="40"/>
  <c r="J137" i="40"/>
  <c r="AZ137" i="40" s="1"/>
  <c r="AP137" i="40" s="1"/>
  <c r="O134" i="40"/>
  <c r="Q134" i="40"/>
  <c r="R134" i="40" s="1"/>
  <c r="Y134" i="40" s="1"/>
  <c r="H139" i="40"/>
  <c r="AQ138" i="40"/>
  <c r="AT138" i="40" s="1"/>
  <c r="AW138" i="40" s="1"/>
  <c r="AR138" i="40"/>
  <c r="O135" i="40"/>
  <c r="Q135" i="40"/>
  <c r="R135" i="40" s="1"/>
  <c r="Y135" i="40" s="1"/>
  <c r="K136" i="40"/>
  <c r="AF177" i="39"/>
  <c r="O175" i="39"/>
  <c r="Q175" i="39"/>
  <c r="R175" i="39" s="1"/>
  <c r="Y175" i="39" s="1"/>
  <c r="AI177" i="39"/>
  <c r="BA176" i="39"/>
  <c r="Q176" i="39"/>
  <c r="R176" i="39" s="1"/>
  <c r="Y176" i="39" s="1"/>
  <c r="O176" i="39"/>
  <c r="K177" i="39"/>
  <c r="AD177" i="39" s="1"/>
  <c r="AQ179" i="39"/>
  <c r="AT179" i="39" s="1"/>
  <c r="AW179" i="39" s="1"/>
  <c r="H180" i="39"/>
  <c r="AR179" i="39"/>
  <c r="M176" i="39"/>
  <c r="AD176" i="39"/>
  <c r="P177" i="39"/>
  <c r="N177" i="39"/>
  <c r="AB178" i="39"/>
  <c r="AU178" i="39"/>
  <c r="AS178" i="39"/>
  <c r="AV178" i="39" s="1"/>
  <c r="J178" i="39"/>
  <c r="AZ178" i="39" s="1"/>
  <c r="AP178" i="39" s="1"/>
  <c r="N176" i="39"/>
  <c r="P215" i="27"/>
  <c r="Q215" i="27" s="1"/>
  <c r="R215" i="27" s="1"/>
  <c r="Y215" i="27" s="1"/>
  <c r="Q214" i="27"/>
  <c r="R214" i="27" s="1"/>
  <c r="Y214" i="27" s="1"/>
  <c r="M176" i="36"/>
  <c r="Q175" i="36"/>
  <c r="R175" i="36" s="1"/>
  <c r="Y175" i="36" s="1"/>
  <c r="O175" i="36"/>
  <c r="P176" i="36"/>
  <c r="AF177" i="36"/>
  <c r="AI177" i="36" s="1"/>
  <c r="BA176" i="36"/>
  <c r="N176" i="36"/>
  <c r="AS178" i="36"/>
  <c r="AV178" i="36" s="1"/>
  <c r="AU178" i="36"/>
  <c r="J178" i="36"/>
  <c r="AZ178" i="36" s="1"/>
  <c r="AP178" i="36" s="1"/>
  <c r="H180" i="36"/>
  <c r="AQ179" i="36"/>
  <c r="AT179" i="36" s="1"/>
  <c r="AW179" i="36" s="1"/>
  <c r="AR179" i="36"/>
  <c r="AB179" i="36" s="1"/>
  <c r="K177" i="36"/>
  <c r="N177" i="36" s="1"/>
  <c r="AD176" i="36"/>
  <c r="P208" i="17"/>
  <c r="AU230" i="17"/>
  <c r="AS210" i="17"/>
  <c r="AV230" i="17" s="1"/>
  <c r="J210" i="17"/>
  <c r="AP210" i="17" s="1"/>
  <c r="N208" i="17"/>
  <c r="K209" i="17"/>
  <c r="M209" i="17" s="1"/>
  <c r="Q207" i="17"/>
  <c r="R207" i="17" s="1"/>
  <c r="X207" i="17" s="1"/>
  <c r="O207" i="17"/>
  <c r="AQ211" i="17"/>
  <c r="AT231" i="17" s="1"/>
  <c r="AW231" i="17" s="1"/>
  <c r="H212" i="17"/>
  <c r="AR211" i="17"/>
  <c r="F116" i="29"/>
  <c r="E116" i="29"/>
  <c r="AU36" i="29"/>
  <c r="AS36" i="29"/>
  <c r="AV36" i="29" s="1"/>
  <c r="AA36" i="29"/>
  <c r="AR37" i="29"/>
  <c r="H38" i="29"/>
  <c r="AQ37" i="29"/>
  <c r="AT37" i="29" s="1"/>
  <c r="AW37" i="29" s="1"/>
  <c r="Q116" i="29"/>
  <c r="R116" i="29" s="1"/>
  <c r="X116" i="29" s="1"/>
  <c r="O116" i="29"/>
  <c r="M33" i="29"/>
  <c r="AM33" i="29" s="1"/>
  <c r="A33" i="29" s="1"/>
  <c r="B33" i="29" s="1"/>
  <c r="C33" i="29" s="1"/>
  <c r="AC33" i="29"/>
  <c r="P33" i="29"/>
  <c r="N33" i="29"/>
  <c r="M117" i="29"/>
  <c r="AO117" i="29" s="1"/>
  <c r="AC117" i="29"/>
  <c r="P117" i="29"/>
  <c r="N117" i="29"/>
  <c r="L120" i="29"/>
  <c r="J119" i="29"/>
  <c r="Q32" i="29"/>
  <c r="R32" i="29" s="1"/>
  <c r="X32" i="29" s="1"/>
  <c r="O32" i="29"/>
  <c r="L36" i="29"/>
  <c r="J35" i="29"/>
  <c r="K118" i="29"/>
  <c r="K34" i="29"/>
  <c r="N215" i="27"/>
  <c r="M215" i="27"/>
  <c r="K216" i="27"/>
  <c r="P216" i="27" s="1"/>
  <c r="N31" i="27"/>
  <c r="AD31" i="27"/>
  <c r="M31" i="27"/>
  <c r="AY115" i="16"/>
  <c r="L85" i="27"/>
  <c r="AL35" i="27"/>
  <c r="H35" i="27"/>
  <c r="AR34" i="27"/>
  <c r="AB34" i="27" s="1"/>
  <c r="AQ34" i="27"/>
  <c r="AT34" i="27" s="1"/>
  <c r="AW34" i="27" s="1"/>
  <c r="AU33" i="27"/>
  <c r="AS33" i="27"/>
  <c r="AV33" i="27" s="1"/>
  <c r="J33" i="27"/>
  <c r="AZ33" i="27" s="1"/>
  <c r="AP33" i="27" s="1"/>
  <c r="E307" i="27"/>
  <c r="D308" i="27"/>
  <c r="AI215" i="27"/>
  <c r="AR218" i="27"/>
  <c r="AQ218" i="27"/>
  <c r="AT218" i="27" s="1"/>
  <c r="AW218" i="27" s="1"/>
  <c r="H219" i="27"/>
  <c r="AF216" i="27"/>
  <c r="AI216" i="27" s="1"/>
  <c r="AF32" i="27"/>
  <c r="J217" i="27"/>
  <c r="AZ217" i="27" s="1"/>
  <c r="AP217" i="27" s="1"/>
  <c r="O215" i="27"/>
  <c r="Q31" i="27"/>
  <c r="R31" i="27" s="1"/>
  <c r="Y31" i="27" s="1"/>
  <c r="O31" i="27"/>
  <c r="O30" i="27"/>
  <c r="Q30" i="27"/>
  <c r="R30" i="27" s="1"/>
  <c r="Y30" i="27" s="1"/>
  <c r="L245" i="27"/>
  <c r="K32" i="27"/>
  <c r="AD32" i="27" s="1"/>
  <c r="AU217" i="27"/>
  <c r="AS217" i="27"/>
  <c r="AV217" i="27" s="1"/>
  <c r="AB217" i="27"/>
  <c r="AB114" i="16"/>
  <c r="AG114" i="16" s="1"/>
  <c r="AK114" i="16" s="1"/>
  <c r="AD114" i="16"/>
  <c r="AE114" i="16" s="1"/>
  <c r="K36" i="16"/>
  <c r="AP36" i="16"/>
  <c r="O117" i="16"/>
  <c r="Q117" i="16"/>
  <c r="R117" i="16" s="1"/>
  <c r="X117" i="16" s="1"/>
  <c r="AD115" i="16"/>
  <c r="AE115" i="16" s="1"/>
  <c r="AB115" i="16"/>
  <c r="AG115" i="16" s="1"/>
  <c r="AK115" i="16" s="1"/>
  <c r="AR33" i="11"/>
  <c r="AQ33" i="11"/>
  <c r="AT33" i="11" s="1"/>
  <c r="AW33" i="11" s="1"/>
  <c r="H34" i="11"/>
  <c r="T117" i="16"/>
  <c r="L213" i="17"/>
  <c r="J37" i="16"/>
  <c r="L38" i="16"/>
  <c r="Y116" i="16"/>
  <c r="AE31" i="11"/>
  <c r="AH31" i="11" s="1"/>
  <c r="AC31" i="11"/>
  <c r="P31" i="11"/>
  <c r="N31" i="11"/>
  <c r="V114" i="16"/>
  <c r="AY114" i="16"/>
  <c r="AX114" i="16"/>
  <c r="AJ113" i="16"/>
  <c r="AI113" i="16" s="1"/>
  <c r="AF113" i="16"/>
  <c r="AH113" i="16"/>
  <c r="AN113" i="16" s="1"/>
  <c r="V115" i="16"/>
  <c r="L35" i="11"/>
  <c r="E302" i="17"/>
  <c r="D303" i="17"/>
  <c r="AP119" i="16"/>
  <c r="K119" i="16"/>
  <c r="AU32" i="11"/>
  <c r="AS32" i="11"/>
  <c r="AV32" i="11" s="1"/>
  <c r="J32" i="11"/>
  <c r="AP32" i="11" s="1"/>
  <c r="M118" i="16"/>
  <c r="AM118" i="16" s="1"/>
  <c r="P118" i="16"/>
  <c r="AC118" i="16"/>
  <c r="N118" i="16"/>
  <c r="M35" i="16"/>
  <c r="AM35" i="16" s="1"/>
  <c r="A35" i="16" s="1"/>
  <c r="B35" i="16" s="1"/>
  <c r="C35" i="16" s="1"/>
  <c r="P35" i="16"/>
  <c r="N35" i="16"/>
  <c r="AC35" i="16"/>
  <c r="W116" i="16"/>
  <c r="Q34" i="16"/>
  <c r="R34" i="16" s="1"/>
  <c r="X34" i="16" s="1"/>
  <c r="O34" i="16"/>
  <c r="O30" i="11"/>
  <c r="Q30" i="11"/>
  <c r="R30" i="11" s="1"/>
  <c r="X30" i="11" s="1"/>
  <c r="L121" i="16"/>
  <c r="J120" i="16"/>
  <c r="AS180" i="50" l="1"/>
  <c r="AV180" i="50" s="1"/>
  <c r="AB180" i="50"/>
  <c r="AU180" i="50"/>
  <c r="J180" i="50"/>
  <c r="AZ180" i="50" s="1"/>
  <c r="AP180" i="50" s="1"/>
  <c r="O177" i="50"/>
  <c r="Q177" i="50"/>
  <c r="R177" i="50" s="1"/>
  <c r="Y177" i="50" s="1"/>
  <c r="BA178" i="50"/>
  <c r="M178" i="50"/>
  <c r="M179" i="50"/>
  <c r="N178" i="50"/>
  <c r="AD178" i="50"/>
  <c r="P178" i="50"/>
  <c r="P179" i="50"/>
  <c r="N179" i="50"/>
  <c r="H182" i="50"/>
  <c r="AR181" i="50"/>
  <c r="AQ181" i="50"/>
  <c r="AT181" i="50" s="1"/>
  <c r="AW181" i="50" s="1"/>
  <c r="AF179" i="50"/>
  <c r="AD179" i="50"/>
  <c r="K137" i="40"/>
  <c r="M137" i="40"/>
  <c r="AM137" i="40" s="1"/>
  <c r="M136" i="40"/>
  <c r="AM136" i="40" s="1"/>
  <c r="AD136" i="40"/>
  <c r="N136" i="40"/>
  <c r="H140" i="40"/>
  <c r="AQ139" i="40"/>
  <c r="AT139" i="40" s="1"/>
  <c r="AW139" i="40" s="1"/>
  <c r="AR139" i="40"/>
  <c r="P137" i="40"/>
  <c r="N137" i="40"/>
  <c r="AU138" i="40"/>
  <c r="AS138" i="40"/>
  <c r="AV138" i="40" s="1"/>
  <c r="AB138" i="40"/>
  <c r="J138" i="40"/>
  <c r="AZ138" i="40" s="1"/>
  <c r="AP138" i="40" s="1"/>
  <c r="AD137" i="40"/>
  <c r="P136" i="40"/>
  <c r="Q177" i="39"/>
  <c r="R177" i="39" s="1"/>
  <c r="Y177" i="39" s="1"/>
  <c r="O177" i="39"/>
  <c r="AQ180" i="39"/>
  <c r="AT180" i="39" s="1"/>
  <c r="AW180" i="39" s="1"/>
  <c r="AR180" i="39"/>
  <c r="H181" i="39"/>
  <c r="AF178" i="39"/>
  <c r="AD178" i="39"/>
  <c r="K178" i="39"/>
  <c r="N178" i="39" s="1"/>
  <c r="BA177" i="39"/>
  <c r="AB179" i="39"/>
  <c r="AU179" i="39"/>
  <c r="AS179" i="39"/>
  <c r="AV179" i="39" s="1"/>
  <c r="J179" i="39"/>
  <c r="AZ179" i="39" s="1"/>
  <c r="AP179" i="39" s="1"/>
  <c r="P178" i="39"/>
  <c r="M177" i="39"/>
  <c r="Q176" i="36"/>
  <c r="R176" i="36" s="1"/>
  <c r="Y176" i="36" s="1"/>
  <c r="O176" i="36"/>
  <c r="AF178" i="36"/>
  <c r="AI178" i="36" s="1"/>
  <c r="AS179" i="36"/>
  <c r="AV179" i="36" s="1"/>
  <c r="AU179" i="36"/>
  <c r="J179" i="36"/>
  <c r="AZ179" i="36" s="1"/>
  <c r="AP179" i="36" s="1"/>
  <c r="K178" i="36"/>
  <c r="AD178" i="36" s="1"/>
  <c r="BA177" i="36"/>
  <c r="M177" i="36"/>
  <c r="P177" i="36"/>
  <c r="AR180" i="36"/>
  <c r="AB180" i="36" s="1"/>
  <c r="AQ180" i="36"/>
  <c r="AT180" i="36" s="1"/>
  <c r="AW180" i="36" s="1"/>
  <c r="H181" i="36"/>
  <c r="AD177" i="36"/>
  <c r="N216" i="27"/>
  <c r="AD216" i="27"/>
  <c r="M216" i="27"/>
  <c r="H213" i="17"/>
  <c r="AR212" i="17"/>
  <c r="AQ212" i="17"/>
  <c r="AT232" i="17" s="1"/>
  <c r="AW232" i="17" s="1"/>
  <c r="P209" i="17"/>
  <c r="N209" i="17"/>
  <c r="K210" i="17"/>
  <c r="M210" i="17" s="1"/>
  <c r="O208" i="17"/>
  <c r="Q208" i="17"/>
  <c r="R208" i="17" s="1"/>
  <c r="X208" i="17" s="1"/>
  <c r="AU231" i="17"/>
  <c r="J211" i="17"/>
  <c r="AP211" i="17" s="1"/>
  <c r="AS211" i="17"/>
  <c r="AV231" i="17" s="1"/>
  <c r="E117" i="29"/>
  <c r="F117" i="29"/>
  <c r="H39" i="29"/>
  <c r="AR38" i="29"/>
  <c r="AQ38" i="29"/>
  <c r="AT38" i="29" s="1"/>
  <c r="AW38" i="29" s="1"/>
  <c r="AA37" i="29"/>
  <c r="AU37" i="29"/>
  <c r="AS37" i="29"/>
  <c r="AV37" i="29" s="1"/>
  <c r="Q33" i="29"/>
  <c r="R33" i="29" s="1"/>
  <c r="X33" i="29" s="1"/>
  <c r="O33" i="29"/>
  <c r="J36" i="29"/>
  <c r="L37" i="29"/>
  <c r="M118" i="29"/>
  <c r="AO118" i="29" s="1"/>
  <c r="P118" i="29"/>
  <c r="N118" i="29"/>
  <c r="AC118" i="29"/>
  <c r="K119" i="29"/>
  <c r="Q117" i="29"/>
  <c r="R117" i="29" s="1"/>
  <c r="X117" i="29" s="1"/>
  <c r="O117" i="29"/>
  <c r="K35" i="29"/>
  <c r="M34" i="29"/>
  <c r="AM34" i="29" s="1"/>
  <c r="A34" i="29" s="1"/>
  <c r="B34" i="29" s="1"/>
  <c r="C34" i="29" s="1"/>
  <c r="N34" i="29"/>
  <c r="P34" i="29"/>
  <c r="AC34" i="29"/>
  <c r="L121" i="29"/>
  <c r="J120" i="29"/>
  <c r="L86" i="27"/>
  <c r="D309" i="27"/>
  <c r="E308" i="27"/>
  <c r="AU218" i="27"/>
  <c r="AB218" i="27"/>
  <c r="AS218" i="27"/>
  <c r="AV218" i="27" s="1"/>
  <c r="AF33" i="27"/>
  <c r="AI33" i="27" s="1"/>
  <c r="H36" i="27"/>
  <c r="AR35" i="27"/>
  <c r="AB35" i="27" s="1"/>
  <c r="AQ35" i="27"/>
  <c r="AT35" i="27" s="1"/>
  <c r="AW35" i="27" s="1"/>
  <c r="AU34" i="27"/>
  <c r="AS34" i="27"/>
  <c r="AV34" i="27" s="1"/>
  <c r="J34" i="27"/>
  <c r="AZ34" i="27" s="1"/>
  <c r="AP34" i="27" s="1"/>
  <c r="O216" i="27"/>
  <c r="Q216" i="27"/>
  <c r="R216" i="27" s="1"/>
  <c r="Y216" i="27" s="1"/>
  <c r="AI32" i="27"/>
  <c r="M32" i="27"/>
  <c r="J218" i="27"/>
  <c r="AZ218" i="27" s="1"/>
  <c r="AP218" i="27" s="1"/>
  <c r="K33" i="27"/>
  <c r="AD33" i="27" s="1"/>
  <c r="K217" i="27"/>
  <c r="N217" i="27" s="1"/>
  <c r="N32" i="27"/>
  <c r="AL36" i="27"/>
  <c r="AF217" i="27"/>
  <c r="L246" i="27"/>
  <c r="H220" i="27"/>
  <c r="AQ219" i="27"/>
  <c r="AT219" i="27" s="1"/>
  <c r="AW219" i="27" s="1"/>
  <c r="AR219" i="27"/>
  <c r="P32" i="27"/>
  <c r="Q31" i="11"/>
  <c r="R31" i="11" s="1"/>
  <c r="X31" i="11" s="1"/>
  <c r="O31" i="11"/>
  <c r="H35" i="11"/>
  <c r="AQ34" i="11"/>
  <c r="AT34" i="11" s="1"/>
  <c r="AW34" i="11" s="1"/>
  <c r="AR34" i="11"/>
  <c r="L214" i="17"/>
  <c r="U116" i="16"/>
  <c r="Z116" i="16"/>
  <c r="N32" i="11"/>
  <c r="P32" i="11"/>
  <c r="M119" i="16"/>
  <c r="AM119" i="16" s="1"/>
  <c r="N119" i="16"/>
  <c r="P119" i="16"/>
  <c r="AC119" i="16"/>
  <c r="L39" i="16"/>
  <c r="J38" i="16"/>
  <c r="Y117" i="16"/>
  <c r="AS33" i="11"/>
  <c r="AV33" i="11" s="1"/>
  <c r="AU33" i="11"/>
  <c r="J33" i="11"/>
  <c r="AP33" i="11" s="1"/>
  <c r="Q118" i="16"/>
  <c r="R118" i="16" s="1"/>
  <c r="X118" i="16" s="1"/>
  <c r="O118" i="16"/>
  <c r="L122" i="16"/>
  <c r="J121" i="16"/>
  <c r="AE32" i="11"/>
  <c r="AH32" i="11" s="1"/>
  <c r="AC32" i="11"/>
  <c r="E303" i="17"/>
  <c r="D304" i="17"/>
  <c r="L36" i="11"/>
  <c r="K37" i="16"/>
  <c r="AP37" i="16"/>
  <c r="W117" i="16"/>
  <c r="M36" i="16"/>
  <c r="AM36" i="16" s="1"/>
  <c r="A36" i="16" s="1"/>
  <c r="B36" i="16" s="1"/>
  <c r="C36" i="16" s="1"/>
  <c r="P36" i="16"/>
  <c r="AC36" i="16"/>
  <c r="N36" i="16"/>
  <c r="AJ114" i="16"/>
  <c r="AI114" i="16" s="1"/>
  <c r="AF114" i="16"/>
  <c r="AH114" i="16"/>
  <c r="AN114" i="16" s="1"/>
  <c r="AP120" i="16"/>
  <c r="K120" i="16"/>
  <c r="O35" i="16"/>
  <c r="Q35" i="16"/>
  <c r="R35" i="16" s="1"/>
  <c r="X35" i="16" s="1"/>
  <c r="T118" i="16"/>
  <c r="AF115" i="16"/>
  <c r="AJ115" i="16"/>
  <c r="AI115" i="16" s="1"/>
  <c r="AH115" i="16"/>
  <c r="AN115" i="16" s="1"/>
  <c r="H183" i="50" l="1"/>
  <c r="AQ182" i="50"/>
  <c r="AT182" i="50" s="1"/>
  <c r="AW182" i="50" s="1"/>
  <c r="AR182" i="50"/>
  <c r="BA179" i="50"/>
  <c r="O179" i="50"/>
  <c r="Q179" i="50"/>
  <c r="R179" i="50" s="1"/>
  <c r="Y179" i="50" s="1"/>
  <c r="K180" i="50"/>
  <c r="AI179" i="50"/>
  <c r="AF180" i="50"/>
  <c r="AD180" i="50"/>
  <c r="AU181" i="50"/>
  <c r="AB181" i="50"/>
  <c r="AS181" i="50"/>
  <c r="AV181" i="50" s="1"/>
  <c r="J181" i="50"/>
  <c r="AZ181" i="50" s="1"/>
  <c r="AP181" i="50" s="1"/>
  <c r="O178" i="50"/>
  <c r="Q178" i="50"/>
  <c r="R178" i="50" s="1"/>
  <c r="Y178" i="50" s="1"/>
  <c r="P180" i="50"/>
  <c r="N180" i="50"/>
  <c r="AU139" i="40"/>
  <c r="AS139" i="40"/>
  <c r="AV139" i="40" s="1"/>
  <c r="AB139" i="40"/>
  <c r="J139" i="40"/>
  <c r="AZ139" i="40" s="1"/>
  <c r="AP139" i="40" s="1"/>
  <c r="O136" i="40"/>
  <c r="Q136" i="40"/>
  <c r="R136" i="40" s="1"/>
  <c r="Y136" i="40" s="1"/>
  <c r="K138" i="40"/>
  <c r="N138" i="40"/>
  <c r="P138" i="40"/>
  <c r="H141" i="40"/>
  <c r="AQ140" i="40"/>
  <c r="AT140" i="40" s="1"/>
  <c r="AW140" i="40" s="1"/>
  <c r="AR140" i="40"/>
  <c r="O137" i="40"/>
  <c r="Q137" i="40"/>
  <c r="R137" i="40" s="1"/>
  <c r="Y137" i="40" s="1"/>
  <c r="AD138" i="40"/>
  <c r="AB180" i="39"/>
  <c r="AU180" i="39"/>
  <c r="AS180" i="39"/>
  <c r="AV180" i="39" s="1"/>
  <c r="J180" i="39"/>
  <c r="AZ180" i="39" s="1"/>
  <c r="AP180" i="39" s="1"/>
  <c r="O178" i="39"/>
  <c r="Q178" i="39"/>
  <c r="R178" i="39" s="1"/>
  <c r="Y178" i="39" s="1"/>
  <c r="BA178" i="39"/>
  <c r="AF179" i="39"/>
  <c r="AI179" i="39"/>
  <c r="AI178" i="39"/>
  <c r="K179" i="39"/>
  <c r="N179" i="39" s="1"/>
  <c r="M178" i="39"/>
  <c r="AQ181" i="39"/>
  <c r="AT181" i="39" s="1"/>
  <c r="AW181" i="39" s="1"/>
  <c r="AR181" i="39"/>
  <c r="H182" i="39"/>
  <c r="N178" i="36"/>
  <c r="P178" i="36"/>
  <c r="O178" i="36" s="1"/>
  <c r="AR181" i="36"/>
  <c r="AB181" i="36" s="1"/>
  <c r="AQ181" i="36"/>
  <c r="AT181" i="36" s="1"/>
  <c r="AW181" i="36" s="1"/>
  <c r="H182" i="36"/>
  <c r="K179" i="36"/>
  <c r="P179" i="36" s="1"/>
  <c r="AS180" i="36"/>
  <c r="AV180" i="36" s="1"/>
  <c r="AU180" i="36"/>
  <c r="J180" i="36"/>
  <c r="AZ180" i="36" s="1"/>
  <c r="AP180" i="36" s="1"/>
  <c r="BA178" i="36"/>
  <c r="AF179" i="36"/>
  <c r="Q177" i="36"/>
  <c r="R177" i="36" s="1"/>
  <c r="O177" i="36"/>
  <c r="M178" i="36"/>
  <c r="K211" i="17"/>
  <c r="M211" i="17" s="1"/>
  <c r="P210" i="17"/>
  <c r="O210" i="17" s="1"/>
  <c r="N210" i="17"/>
  <c r="Q209" i="17"/>
  <c r="R209" i="17" s="1"/>
  <c r="X209" i="17" s="1"/>
  <c r="O209" i="17"/>
  <c r="N211" i="17"/>
  <c r="P211" i="17"/>
  <c r="AS212" i="17"/>
  <c r="AV232" i="17" s="1"/>
  <c r="AU232" i="17"/>
  <c r="J212" i="17"/>
  <c r="H214" i="17"/>
  <c r="AR213" i="17"/>
  <c r="AQ213" i="17"/>
  <c r="AT233" i="17" s="1"/>
  <c r="AW233" i="17" s="1"/>
  <c r="E118" i="29"/>
  <c r="F118" i="29"/>
  <c r="AU38" i="29"/>
  <c r="AS38" i="29"/>
  <c r="AV38" i="29" s="1"/>
  <c r="AA38" i="29"/>
  <c r="H40" i="29"/>
  <c r="AR39" i="29"/>
  <c r="AQ39" i="29"/>
  <c r="AT39" i="29" s="1"/>
  <c r="AW39" i="29" s="1"/>
  <c r="K120" i="29"/>
  <c r="J121" i="29"/>
  <c r="L122" i="29"/>
  <c r="O118" i="29"/>
  <c r="Q118" i="29"/>
  <c r="R118" i="29" s="1"/>
  <c r="X118" i="29" s="1"/>
  <c r="M35" i="29"/>
  <c r="AM35" i="29" s="1"/>
  <c r="A35" i="29" s="1"/>
  <c r="B35" i="29" s="1"/>
  <c r="C35" i="29" s="1"/>
  <c r="AC35" i="29"/>
  <c r="P35" i="29"/>
  <c r="N35" i="29"/>
  <c r="J37" i="29"/>
  <c r="L38" i="29"/>
  <c r="Q34" i="29"/>
  <c r="R34" i="29" s="1"/>
  <c r="X34" i="29" s="1"/>
  <c r="O34" i="29"/>
  <c r="M119" i="29"/>
  <c r="AO119" i="29" s="1"/>
  <c r="AC119" i="29"/>
  <c r="N119" i="29"/>
  <c r="P119" i="29"/>
  <c r="K36" i="29"/>
  <c r="N33" i="27"/>
  <c r="P33" i="27"/>
  <c r="Q33" i="27" s="1"/>
  <c r="R33" i="27" s="1"/>
  <c r="Y33" i="27" s="1"/>
  <c r="K34" i="27"/>
  <c r="M34" i="27" s="1"/>
  <c r="L87" i="27"/>
  <c r="AL37" i="27"/>
  <c r="AU35" i="27"/>
  <c r="AS35" i="27"/>
  <c r="AV35" i="27" s="1"/>
  <c r="J35" i="27"/>
  <c r="AZ35" i="27" s="1"/>
  <c r="AP35" i="27" s="1"/>
  <c r="D310" i="27"/>
  <c r="E309" i="27"/>
  <c r="AU219" i="27"/>
  <c r="AS219" i="27"/>
  <c r="AV219" i="27" s="1"/>
  <c r="AB219" i="27"/>
  <c r="AD217" i="27"/>
  <c r="AI217" i="27"/>
  <c r="AR36" i="27"/>
  <c r="AB36" i="27" s="1"/>
  <c r="AQ36" i="27"/>
  <c r="AT36" i="27" s="1"/>
  <c r="AW36" i="27" s="1"/>
  <c r="H37" i="27"/>
  <c r="K218" i="27"/>
  <c r="AD218" i="27" s="1"/>
  <c r="AF218" i="27"/>
  <c r="AI218" i="27" s="1"/>
  <c r="AR220" i="27"/>
  <c r="AQ220" i="27"/>
  <c r="AT220" i="27" s="1"/>
  <c r="AW220" i="27" s="1"/>
  <c r="H221" i="27"/>
  <c r="Q32" i="27"/>
  <c r="R32" i="27" s="1"/>
  <c r="Y32" i="27" s="1"/>
  <c r="O32" i="27"/>
  <c r="M217" i="27"/>
  <c r="J219" i="27"/>
  <c r="AZ219" i="27" s="1"/>
  <c r="AP219" i="27" s="1"/>
  <c r="AF34" i="27"/>
  <c r="AI34" i="27" s="1"/>
  <c r="P217" i="27"/>
  <c r="L247" i="27"/>
  <c r="M33" i="27"/>
  <c r="P33" i="11"/>
  <c r="N33" i="11"/>
  <c r="T119" i="16"/>
  <c r="L215" i="17"/>
  <c r="U117" i="16"/>
  <c r="Z117" i="16"/>
  <c r="K121" i="16"/>
  <c r="AP121" i="16"/>
  <c r="M37" i="16"/>
  <c r="AM37" i="16" s="1"/>
  <c r="A37" i="16" s="1"/>
  <c r="B37" i="16" s="1"/>
  <c r="C37" i="16" s="1"/>
  <c r="P37" i="16"/>
  <c r="AC37" i="16"/>
  <c r="N37" i="16"/>
  <c r="L37" i="11"/>
  <c r="J122" i="16"/>
  <c r="L123" i="16"/>
  <c r="O32" i="11"/>
  <c r="Q32" i="11"/>
  <c r="R32" i="11" s="1"/>
  <c r="X32" i="11" s="1"/>
  <c r="AD116" i="16"/>
  <c r="AE116" i="16" s="1"/>
  <c r="AB116" i="16"/>
  <c r="AG116" i="16" s="1"/>
  <c r="AK116" i="16" s="1"/>
  <c r="Y118" i="16"/>
  <c r="AR35" i="11"/>
  <c r="AQ35" i="11"/>
  <c r="AT35" i="11" s="1"/>
  <c r="AW35" i="11" s="1"/>
  <c r="H36" i="11"/>
  <c r="Q36" i="16"/>
  <c r="R36" i="16" s="1"/>
  <c r="X36" i="16" s="1"/>
  <c r="O36" i="16"/>
  <c r="V116" i="16"/>
  <c r="AX116" i="16"/>
  <c r="AY116" i="16"/>
  <c r="L40" i="16"/>
  <c r="J39" i="16"/>
  <c r="Q119" i="16"/>
  <c r="R119" i="16" s="1"/>
  <c r="X119" i="16" s="1"/>
  <c r="O119" i="16"/>
  <c r="W118" i="16"/>
  <c r="M120" i="16"/>
  <c r="AM120" i="16" s="1"/>
  <c r="AC120" i="16"/>
  <c r="N120" i="16"/>
  <c r="P120" i="16"/>
  <c r="D305" i="17"/>
  <c r="E304" i="17"/>
  <c r="AE33" i="11"/>
  <c r="AC33" i="11"/>
  <c r="AP38" i="16"/>
  <c r="K38" i="16"/>
  <c r="AU34" i="11"/>
  <c r="AS34" i="11"/>
  <c r="AV34" i="11" s="1"/>
  <c r="J34" i="11"/>
  <c r="AP34" i="11" s="1"/>
  <c r="BA180" i="50" l="1"/>
  <c r="O180" i="50"/>
  <c r="Q180" i="50"/>
  <c r="R180" i="50" s="1"/>
  <c r="Y180" i="50" s="1"/>
  <c r="AU182" i="50"/>
  <c r="AB182" i="50"/>
  <c r="AS182" i="50"/>
  <c r="AV182" i="50" s="1"/>
  <c r="J182" i="50"/>
  <c r="AZ182" i="50" s="1"/>
  <c r="AP182" i="50" s="1"/>
  <c r="K181" i="50"/>
  <c r="AD181" i="50"/>
  <c r="AF181" i="50"/>
  <c r="AI180" i="50"/>
  <c r="M180" i="50"/>
  <c r="H184" i="50"/>
  <c r="AQ183" i="50"/>
  <c r="AT183" i="50" s="1"/>
  <c r="AW183" i="50" s="1"/>
  <c r="AR183" i="50"/>
  <c r="O138" i="40"/>
  <c r="Q138" i="40"/>
  <c r="R138" i="40" s="1"/>
  <c r="Y138" i="40" s="1"/>
  <c r="K139" i="40"/>
  <c r="AU140" i="40"/>
  <c r="AS140" i="40"/>
  <c r="AV140" i="40" s="1"/>
  <c r="AB140" i="40"/>
  <c r="J140" i="40"/>
  <c r="AZ140" i="40" s="1"/>
  <c r="AP140" i="40" s="1"/>
  <c r="M138" i="40"/>
  <c r="AM138" i="40" s="1"/>
  <c r="AQ141" i="40"/>
  <c r="AT141" i="40" s="1"/>
  <c r="AW141" i="40" s="1"/>
  <c r="AR141" i="40"/>
  <c r="H142" i="40"/>
  <c r="P179" i="39"/>
  <c r="AB181" i="39"/>
  <c r="AU181" i="39"/>
  <c r="AS181" i="39"/>
  <c r="AV181" i="39" s="1"/>
  <c r="J181" i="39"/>
  <c r="AZ181" i="39" s="1"/>
  <c r="AP181" i="39" s="1"/>
  <c r="Q179" i="39"/>
  <c r="R179" i="39" s="1"/>
  <c r="Y179" i="39" s="1"/>
  <c r="O179" i="39"/>
  <c r="M179" i="39"/>
  <c r="BA179" i="39"/>
  <c r="K180" i="39"/>
  <c r="P180" i="39" s="1"/>
  <c r="AQ182" i="39"/>
  <c r="AT182" i="39" s="1"/>
  <c r="AW182" i="39" s="1"/>
  <c r="H183" i="39"/>
  <c r="AR182" i="39"/>
  <c r="AD179" i="39"/>
  <c r="AF180" i="39"/>
  <c r="Q178" i="36"/>
  <c r="R178" i="36" s="1"/>
  <c r="Y178" i="36" s="1"/>
  <c r="AD179" i="36"/>
  <c r="N179" i="36"/>
  <c r="AS181" i="36"/>
  <c r="AV181" i="36" s="1"/>
  <c r="AU181" i="36"/>
  <c r="J181" i="36"/>
  <c r="AZ181" i="36" s="1"/>
  <c r="AP181" i="36" s="1"/>
  <c r="K180" i="36"/>
  <c r="AD180" i="36" s="1"/>
  <c r="Q179" i="36"/>
  <c r="R179" i="36" s="1"/>
  <c r="Y179" i="36" s="1"/>
  <c r="O179" i="36"/>
  <c r="AQ182" i="36"/>
  <c r="AT182" i="36" s="1"/>
  <c r="AW182" i="36" s="1"/>
  <c r="AR182" i="36"/>
  <c r="AB182" i="36" s="1"/>
  <c r="H183" i="36"/>
  <c r="BA179" i="36"/>
  <c r="AF180" i="36"/>
  <c r="Y177" i="36"/>
  <c r="AI179" i="36"/>
  <c r="M179" i="36"/>
  <c r="Q210" i="17"/>
  <c r="R210" i="17" s="1"/>
  <c r="X210" i="17" s="1"/>
  <c r="AP212" i="17"/>
  <c r="K212" i="17"/>
  <c r="M212" i="17" s="1"/>
  <c r="J213" i="17"/>
  <c r="AP213" i="17" s="1"/>
  <c r="AU233" i="17"/>
  <c r="AS213" i="17"/>
  <c r="AV233" i="17" s="1"/>
  <c r="H215" i="17"/>
  <c r="AR214" i="17"/>
  <c r="AQ214" i="17"/>
  <c r="AT234" i="17" s="1"/>
  <c r="AW234" i="17" s="1"/>
  <c r="N212" i="17"/>
  <c r="Q211" i="17"/>
  <c r="R211" i="17" s="1"/>
  <c r="X211" i="17" s="1"/>
  <c r="O211" i="17"/>
  <c r="F119" i="29"/>
  <c r="E119" i="29"/>
  <c r="AU39" i="29"/>
  <c r="AA39" i="29"/>
  <c r="AS39" i="29"/>
  <c r="AV39" i="29" s="1"/>
  <c r="H41" i="29"/>
  <c r="AR40" i="29"/>
  <c r="AQ40" i="29"/>
  <c r="AT40" i="29" s="1"/>
  <c r="AW40" i="29" s="1"/>
  <c r="Q35" i="29"/>
  <c r="R35" i="29" s="1"/>
  <c r="X35" i="29" s="1"/>
  <c r="O35" i="29"/>
  <c r="L123" i="29"/>
  <c r="J122" i="29"/>
  <c r="J38" i="29"/>
  <c r="L39" i="29"/>
  <c r="K121" i="29"/>
  <c r="M120" i="29"/>
  <c r="AO120" i="29" s="1"/>
  <c r="AC120" i="29"/>
  <c r="P120" i="29"/>
  <c r="N120" i="29"/>
  <c r="Q119" i="29"/>
  <c r="R119" i="29" s="1"/>
  <c r="X119" i="29" s="1"/>
  <c r="O119" i="29"/>
  <c r="M36" i="29"/>
  <c r="AM36" i="29" s="1"/>
  <c r="A36" i="29" s="1"/>
  <c r="B36" i="29" s="1"/>
  <c r="C36" i="29" s="1"/>
  <c r="P36" i="29"/>
  <c r="N36" i="29"/>
  <c r="AC36" i="29"/>
  <c r="K37" i="29"/>
  <c r="AD34" i="27"/>
  <c r="N34" i="27"/>
  <c r="O33" i="27"/>
  <c r="P34" i="27"/>
  <c r="Q34" i="27" s="1"/>
  <c r="R34" i="27" s="1"/>
  <c r="Y34" i="27" s="1"/>
  <c r="L88" i="27"/>
  <c r="J220" i="27"/>
  <c r="AZ220" i="27" s="1"/>
  <c r="AP220" i="27" s="1"/>
  <c r="AL38" i="27"/>
  <c r="O217" i="27"/>
  <c r="Q217" i="27"/>
  <c r="R217" i="27" s="1"/>
  <c r="H222" i="27"/>
  <c r="AR221" i="27"/>
  <c r="AQ221" i="27"/>
  <c r="AT221" i="27" s="1"/>
  <c r="AW221" i="27" s="1"/>
  <c r="M218" i="27"/>
  <c r="K219" i="27"/>
  <c r="N219" i="27" s="1"/>
  <c r="N218" i="27"/>
  <c r="D311" i="27"/>
  <c r="E310" i="27"/>
  <c r="AR37" i="27"/>
  <c r="AB37" i="27" s="1"/>
  <c r="AQ37" i="27"/>
  <c r="AT37" i="27" s="1"/>
  <c r="AW37" i="27" s="1"/>
  <c r="H38" i="27"/>
  <c r="AF219" i="27"/>
  <c r="P218" i="27"/>
  <c r="AU220" i="27"/>
  <c r="AS220" i="27"/>
  <c r="AV220" i="27" s="1"/>
  <c r="AB220" i="27"/>
  <c r="AS36" i="27"/>
  <c r="AV36" i="27" s="1"/>
  <c r="AU36" i="27"/>
  <c r="J36" i="27"/>
  <c r="AZ36" i="27" s="1"/>
  <c r="AP36" i="27" s="1"/>
  <c r="K35" i="27"/>
  <c r="AD35" i="27" s="1"/>
  <c r="AF35" i="27"/>
  <c r="AI35" i="27" s="1"/>
  <c r="L248" i="27"/>
  <c r="D306" i="17"/>
  <c r="E305" i="17"/>
  <c r="U118" i="16"/>
  <c r="Z118" i="16"/>
  <c r="H37" i="11"/>
  <c r="AQ36" i="11"/>
  <c r="AT36" i="11" s="1"/>
  <c r="AW36" i="11" s="1"/>
  <c r="AR36" i="11"/>
  <c r="T120" i="16"/>
  <c r="M121" i="16"/>
  <c r="AM121" i="16" s="1"/>
  <c r="AC121" i="16"/>
  <c r="P121" i="16"/>
  <c r="N121" i="16"/>
  <c r="AB117" i="16"/>
  <c r="AG117" i="16" s="1"/>
  <c r="AK117" i="16" s="1"/>
  <c r="AD117" i="16"/>
  <c r="AE117" i="16" s="1"/>
  <c r="M38" i="16"/>
  <c r="AM38" i="16" s="1"/>
  <c r="A38" i="16" s="1"/>
  <c r="B38" i="16" s="1"/>
  <c r="C38" i="16" s="1"/>
  <c r="N38" i="16"/>
  <c r="P38" i="16"/>
  <c r="AC38" i="16"/>
  <c r="K39" i="16"/>
  <c r="AP39" i="16"/>
  <c r="AS35" i="11"/>
  <c r="AV35" i="11" s="1"/>
  <c r="AU35" i="11"/>
  <c r="J35" i="11"/>
  <c r="AP35" i="11" s="1"/>
  <c r="L38" i="11"/>
  <c r="L216" i="17"/>
  <c r="J123" i="16"/>
  <c r="L124" i="16"/>
  <c r="Y119" i="16"/>
  <c r="AE34" i="11"/>
  <c r="AH34" i="11" s="1"/>
  <c r="AC34" i="11"/>
  <c r="Q33" i="11"/>
  <c r="R33" i="11" s="1"/>
  <c r="X33" i="11" s="1"/>
  <c r="O33" i="11"/>
  <c r="AP122" i="16"/>
  <c r="K122" i="16"/>
  <c r="AY117" i="16"/>
  <c r="V117" i="16"/>
  <c r="AX117" i="16"/>
  <c r="AH33" i="11"/>
  <c r="W119" i="16"/>
  <c r="AJ116" i="16"/>
  <c r="AI116" i="16" s="1"/>
  <c r="AF116" i="16"/>
  <c r="AH116" i="16"/>
  <c r="AN116" i="16" s="1"/>
  <c r="Q37" i="16"/>
  <c r="R37" i="16" s="1"/>
  <c r="X37" i="16" s="1"/>
  <c r="O37" i="16"/>
  <c r="J40" i="16"/>
  <c r="L41" i="16"/>
  <c r="N34" i="11"/>
  <c r="P34" i="11"/>
  <c r="O120" i="16"/>
  <c r="Q120" i="16"/>
  <c r="R120" i="16" s="1"/>
  <c r="X120" i="16" s="1"/>
  <c r="BA181" i="50" l="1"/>
  <c r="P182" i="50"/>
  <c r="AS183" i="50"/>
  <c r="AV183" i="50" s="1"/>
  <c r="AB183" i="50"/>
  <c r="AU183" i="50"/>
  <c r="J183" i="50"/>
  <c r="AZ183" i="50" s="1"/>
  <c r="AP183" i="50" s="1"/>
  <c r="AI181" i="50"/>
  <c r="AF182" i="50"/>
  <c r="AD182" i="50"/>
  <c r="M181" i="50"/>
  <c r="K182" i="50"/>
  <c r="N182" i="50" s="1"/>
  <c r="N181" i="50"/>
  <c r="AI182" i="50"/>
  <c r="H185" i="50"/>
  <c r="AQ184" i="50"/>
  <c r="AT184" i="50" s="1"/>
  <c r="AW184" i="50" s="1"/>
  <c r="AR184" i="50"/>
  <c r="P181" i="50"/>
  <c r="M139" i="40"/>
  <c r="AM139" i="40" s="1"/>
  <c r="AD139" i="40"/>
  <c r="AQ142" i="40"/>
  <c r="AT142" i="40" s="1"/>
  <c r="AW142" i="40" s="1"/>
  <c r="H143" i="40"/>
  <c r="AR142" i="40"/>
  <c r="N139" i="40"/>
  <c r="K140" i="40"/>
  <c r="AD140" i="40" s="1"/>
  <c r="AU141" i="40"/>
  <c r="AS141" i="40"/>
  <c r="AV141" i="40" s="1"/>
  <c r="AB141" i="40"/>
  <c r="J141" i="40"/>
  <c r="AZ141" i="40" s="1"/>
  <c r="AP141" i="40" s="1"/>
  <c r="P139" i="40"/>
  <c r="P140" i="40"/>
  <c r="AD180" i="39"/>
  <c r="N180" i="39"/>
  <c r="AB182" i="39"/>
  <c r="AU182" i="39"/>
  <c r="AS182" i="39"/>
  <c r="AV182" i="39" s="1"/>
  <c r="J182" i="39"/>
  <c r="AZ182" i="39" s="1"/>
  <c r="AP182" i="39" s="1"/>
  <c r="AQ183" i="39"/>
  <c r="AT183" i="39" s="1"/>
  <c r="AW183" i="39" s="1"/>
  <c r="AR183" i="39"/>
  <c r="H184" i="39"/>
  <c r="M180" i="39"/>
  <c r="Q180" i="39"/>
  <c r="R180" i="39" s="1"/>
  <c r="Y180" i="39" s="1"/>
  <c r="O180" i="39"/>
  <c r="K181" i="39"/>
  <c r="P181" i="39" s="1"/>
  <c r="BA180" i="39"/>
  <c r="AI180" i="39"/>
  <c r="AF181" i="39"/>
  <c r="AI181" i="39" s="1"/>
  <c r="N180" i="36"/>
  <c r="K181" i="36"/>
  <c r="M180" i="36"/>
  <c r="P180" i="36"/>
  <c r="AQ183" i="36"/>
  <c r="AT183" i="36" s="1"/>
  <c r="AW183" i="36" s="1"/>
  <c r="H184" i="36"/>
  <c r="AR183" i="36"/>
  <c r="AB183" i="36" s="1"/>
  <c r="P181" i="36"/>
  <c r="N181" i="36"/>
  <c r="BA180" i="36"/>
  <c r="AS182" i="36"/>
  <c r="AV182" i="36" s="1"/>
  <c r="AU182" i="36"/>
  <c r="J182" i="36"/>
  <c r="AZ182" i="36" s="1"/>
  <c r="AP182" i="36" s="1"/>
  <c r="AD181" i="36"/>
  <c r="AF181" i="36"/>
  <c r="AI181" i="36" s="1"/>
  <c r="M181" i="36"/>
  <c r="AI180" i="36"/>
  <c r="P212" i="17"/>
  <c r="Q212" i="17" s="1"/>
  <c r="R212" i="17" s="1"/>
  <c r="X212" i="17" s="1"/>
  <c r="AU234" i="17"/>
  <c r="J214" i="17"/>
  <c r="AP214" i="17" s="1"/>
  <c r="AS214" i="17"/>
  <c r="AV234" i="17" s="1"/>
  <c r="AQ215" i="17"/>
  <c r="AT235" i="17" s="1"/>
  <c r="AW235" i="17" s="1"/>
  <c r="H216" i="17"/>
  <c r="AR215" i="17"/>
  <c r="K213" i="17"/>
  <c r="M213" i="17" s="1"/>
  <c r="E120" i="29"/>
  <c r="F120" i="29"/>
  <c r="AU40" i="29"/>
  <c r="AS40" i="29"/>
  <c r="AV40" i="29" s="1"/>
  <c r="AA40" i="29"/>
  <c r="AR41" i="29"/>
  <c r="H42" i="29"/>
  <c r="AQ41" i="29"/>
  <c r="AT41" i="29" s="1"/>
  <c r="AW41" i="29" s="1"/>
  <c r="M121" i="29"/>
  <c r="AO121" i="29" s="1"/>
  <c r="AC121" i="29"/>
  <c r="N121" i="29"/>
  <c r="P121" i="29"/>
  <c r="Q36" i="29"/>
  <c r="R36" i="29" s="1"/>
  <c r="X36" i="29" s="1"/>
  <c r="O36" i="29"/>
  <c r="Q120" i="29"/>
  <c r="R120" i="29" s="1"/>
  <c r="X120" i="29" s="1"/>
  <c r="O120" i="29"/>
  <c r="K122" i="29"/>
  <c r="J123" i="29"/>
  <c r="L124" i="29"/>
  <c r="K38" i="29"/>
  <c r="M37" i="29"/>
  <c r="AM37" i="29" s="1"/>
  <c r="A37" i="29" s="1"/>
  <c r="B37" i="29" s="1"/>
  <c r="C37" i="29" s="1"/>
  <c r="AC37" i="29"/>
  <c r="P37" i="29"/>
  <c r="N37" i="29"/>
  <c r="J39" i="29"/>
  <c r="L40" i="29"/>
  <c r="P219" i="27"/>
  <c r="Q219" i="27" s="1"/>
  <c r="R219" i="27" s="1"/>
  <c r="Y219" i="27" s="1"/>
  <c r="AD219" i="27"/>
  <c r="O34" i="27"/>
  <c r="N35" i="27"/>
  <c r="P35" i="27"/>
  <c r="O35" i="27" s="1"/>
  <c r="L89" i="27"/>
  <c r="L249" i="27"/>
  <c r="D312" i="27"/>
  <c r="E311" i="27"/>
  <c r="AU221" i="27"/>
  <c r="AS221" i="27"/>
  <c r="AV221" i="27" s="1"/>
  <c r="AB221" i="27"/>
  <c r="AR222" i="27"/>
  <c r="AQ222" i="27"/>
  <c r="AT222" i="27" s="1"/>
  <c r="AW222" i="27" s="1"/>
  <c r="H223" i="27"/>
  <c r="AR38" i="27"/>
  <c r="AB38" i="27" s="1"/>
  <c r="AQ38" i="27"/>
  <c r="AT38" i="27" s="1"/>
  <c r="AW38" i="27" s="1"/>
  <c r="H39" i="27"/>
  <c r="M219" i="27"/>
  <c r="AI219" i="27"/>
  <c r="J221" i="27"/>
  <c r="AZ221" i="27" s="1"/>
  <c r="AP221" i="27" s="1"/>
  <c r="AF36" i="27"/>
  <c r="AL39" i="27"/>
  <c r="M35" i="27"/>
  <c r="K36" i="27"/>
  <c r="AF220" i="27"/>
  <c r="AS37" i="27"/>
  <c r="AV37" i="27" s="1"/>
  <c r="AU37" i="27"/>
  <c r="J37" i="27"/>
  <c r="AZ37" i="27" s="1"/>
  <c r="AP37" i="27" s="1"/>
  <c r="Y217" i="27"/>
  <c r="K220" i="27"/>
  <c r="O218" i="27"/>
  <c r="Q218" i="27"/>
  <c r="R218" i="27" s="1"/>
  <c r="Y218" i="27" s="1"/>
  <c r="J124" i="16"/>
  <c r="L125" i="16"/>
  <c r="AF117" i="16"/>
  <c r="AJ117" i="16"/>
  <c r="AI117" i="16" s="1"/>
  <c r="AH117" i="16"/>
  <c r="AN117" i="16" s="1"/>
  <c r="P122" i="16"/>
  <c r="AC122" i="16"/>
  <c r="N122" i="16"/>
  <c r="M122" i="16"/>
  <c r="AM122" i="16" s="1"/>
  <c r="AP123" i="16"/>
  <c r="K123" i="16"/>
  <c r="L39" i="11"/>
  <c r="P35" i="11"/>
  <c r="N35" i="11"/>
  <c r="D307" i="17"/>
  <c r="E306" i="17"/>
  <c r="AE35" i="11"/>
  <c r="AH35" i="11" s="1"/>
  <c r="AC35" i="11"/>
  <c r="W120" i="16"/>
  <c r="O34" i="11"/>
  <c r="Q34" i="11"/>
  <c r="R34" i="11" s="1"/>
  <c r="X34" i="11" s="1"/>
  <c r="L42" i="16"/>
  <c r="J41" i="16"/>
  <c r="O38" i="16"/>
  <c r="Q38" i="16"/>
  <c r="R38" i="16" s="1"/>
  <c r="X38" i="16" s="1"/>
  <c r="T121" i="16"/>
  <c r="AU36" i="11"/>
  <c r="AS36" i="11"/>
  <c r="AV36" i="11" s="1"/>
  <c r="J36" i="11"/>
  <c r="AP36" i="11" s="1"/>
  <c r="AD118" i="16"/>
  <c r="AE118" i="16" s="1"/>
  <c r="AB118" i="16"/>
  <c r="AG118" i="16" s="1"/>
  <c r="AK118" i="16" s="1"/>
  <c r="M39" i="16"/>
  <c r="AM39" i="16" s="1"/>
  <c r="A39" i="16" s="1"/>
  <c r="B39" i="16" s="1"/>
  <c r="C39" i="16" s="1"/>
  <c r="AC39" i="16"/>
  <c r="P39" i="16"/>
  <c r="N39" i="16"/>
  <c r="Q121" i="16"/>
  <c r="R121" i="16" s="1"/>
  <c r="X121" i="16" s="1"/>
  <c r="O121" i="16"/>
  <c r="AX118" i="16"/>
  <c r="V118" i="16"/>
  <c r="AY118" i="16"/>
  <c r="K40" i="16"/>
  <c r="AP40" i="16"/>
  <c r="Z119" i="16"/>
  <c r="U119" i="16"/>
  <c r="L217" i="17"/>
  <c r="Y120" i="16"/>
  <c r="AR37" i="11"/>
  <c r="AQ37" i="11"/>
  <c r="AT37" i="11" s="1"/>
  <c r="AW37" i="11" s="1"/>
  <c r="H38" i="11"/>
  <c r="K183" i="50" l="1"/>
  <c r="H186" i="50"/>
  <c r="AQ185" i="50"/>
  <c r="AT185" i="50" s="1"/>
  <c r="AW185" i="50" s="1"/>
  <c r="AR185" i="50"/>
  <c r="O182" i="50"/>
  <c r="Q182" i="50"/>
  <c r="R182" i="50" s="1"/>
  <c r="Y182" i="50" s="1"/>
  <c r="BA182" i="50"/>
  <c r="O181" i="50"/>
  <c r="Q181" i="50"/>
  <c r="R181" i="50" s="1"/>
  <c r="Y181" i="50" s="1"/>
  <c r="AF183" i="50"/>
  <c r="AI183" i="50" s="1"/>
  <c r="AU184" i="50"/>
  <c r="AS184" i="50"/>
  <c r="AV184" i="50" s="1"/>
  <c r="AB184" i="50"/>
  <c r="J184" i="50"/>
  <c r="AZ184" i="50" s="1"/>
  <c r="AP184" i="50" s="1"/>
  <c r="M182" i="50"/>
  <c r="N183" i="50"/>
  <c r="P183" i="50"/>
  <c r="O140" i="40"/>
  <c r="Q140" i="40"/>
  <c r="R140" i="40" s="1"/>
  <c r="Y140" i="40" s="1"/>
  <c r="O139" i="40"/>
  <c r="Q139" i="40"/>
  <c r="R139" i="40" s="1"/>
  <c r="Y139" i="40" s="1"/>
  <c r="M140" i="40"/>
  <c r="AM140" i="40" s="1"/>
  <c r="AD141" i="40"/>
  <c r="AB142" i="40"/>
  <c r="AS142" i="40"/>
  <c r="AV142" i="40" s="1"/>
  <c r="AU142" i="40"/>
  <c r="J142" i="40"/>
  <c r="AZ142" i="40" s="1"/>
  <c r="AP142" i="40" s="1"/>
  <c r="K141" i="40"/>
  <c r="H148" i="40"/>
  <c r="AQ143" i="40"/>
  <c r="AT143" i="40" s="1"/>
  <c r="AW143" i="40" s="1"/>
  <c r="AR143" i="40"/>
  <c r="N140" i="40"/>
  <c r="P141" i="40"/>
  <c r="N141" i="40"/>
  <c r="K182" i="39"/>
  <c r="O181" i="39"/>
  <c r="Q181" i="39"/>
  <c r="R181" i="39" s="1"/>
  <c r="Y181" i="39" s="1"/>
  <c r="N181" i="39"/>
  <c r="AD182" i="39"/>
  <c r="AF182" i="39"/>
  <c r="AI182" i="39" s="1"/>
  <c r="M182" i="39"/>
  <c r="AD181" i="39"/>
  <c r="BA181" i="39"/>
  <c r="M181" i="39"/>
  <c r="AQ184" i="39"/>
  <c r="AT184" i="39" s="1"/>
  <c r="AW184" i="39" s="1"/>
  <c r="H185" i="39"/>
  <c r="AR184" i="39"/>
  <c r="AB183" i="39"/>
  <c r="AU183" i="39"/>
  <c r="AS183" i="39"/>
  <c r="AV183" i="39" s="1"/>
  <c r="J183" i="39"/>
  <c r="AZ183" i="39" s="1"/>
  <c r="AP183" i="39" s="1"/>
  <c r="P182" i="39"/>
  <c r="N182" i="39"/>
  <c r="Q180" i="36"/>
  <c r="R180" i="36" s="1"/>
  <c r="O180" i="36"/>
  <c r="K182" i="36"/>
  <c r="P182" i="36" s="1"/>
  <c r="O181" i="36"/>
  <c r="Q181" i="36"/>
  <c r="R181" i="36" s="1"/>
  <c r="Y181" i="36" s="1"/>
  <c r="BA181" i="36"/>
  <c r="AF182" i="36"/>
  <c r="AS183" i="36"/>
  <c r="AV183" i="36" s="1"/>
  <c r="AU183" i="36"/>
  <c r="J183" i="36"/>
  <c r="AZ183" i="36" s="1"/>
  <c r="AP183" i="36" s="1"/>
  <c r="AI182" i="36"/>
  <c r="AQ184" i="36"/>
  <c r="AT184" i="36" s="1"/>
  <c r="AW184" i="36" s="1"/>
  <c r="H185" i="36"/>
  <c r="AR184" i="36"/>
  <c r="AB184" i="36" s="1"/>
  <c r="O219" i="27"/>
  <c r="O212" i="17"/>
  <c r="N213" i="17"/>
  <c r="AU235" i="17"/>
  <c r="J215" i="17"/>
  <c r="AS215" i="17"/>
  <c r="AV235" i="17" s="1"/>
  <c r="K214" i="17"/>
  <c r="M214" i="17" s="1"/>
  <c r="P213" i="17"/>
  <c r="H217" i="17"/>
  <c r="AR216" i="17"/>
  <c r="AQ216" i="17"/>
  <c r="AT236" i="17" s="1"/>
  <c r="AW236" i="17" s="1"/>
  <c r="E121" i="29"/>
  <c r="F121" i="29"/>
  <c r="AR42" i="29"/>
  <c r="AQ42" i="29"/>
  <c r="AT42" i="29" s="1"/>
  <c r="AW42" i="29" s="1"/>
  <c r="H43" i="29"/>
  <c r="AS41" i="29"/>
  <c r="AV41" i="29" s="1"/>
  <c r="AU41" i="29"/>
  <c r="AA41" i="29"/>
  <c r="J40" i="29"/>
  <c r="L41" i="29"/>
  <c r="O121" i="29"/>
  <c r="Q121" i="29"/>
  <c r="R121" i="29" s="1"/>
  <c r="X121" i="29" s="1"/>
  <c r="K39" i="29"/>
  <c r="M122" i="29"/>
  <c r="AO122" i="29" s="1"/>
  <c r="N122" i="29"/>
  <c r="P122" i="29"/>
  <c r="AC122" i="29"/>
  <c r="M38" i="29"/>
  <c r="AM38" i="29" s="1"/>
  <c r="A38" i="29" s="1"/>
  <c r="B38" i="29" s="1"/>
  <c r="C38" i="29" s="1"/>
  <c r="P38" i="29"/>
  <c r="N38" i="29"/>
  <c r="AC38" i="29"/>
  <c r="Q37" i="29"/>
  <c r="R37" i="29" s="1"/>
  <c r="X37" i="29" s="1"/>
  <c r="O37" i="29"/>
  <c r="J124" i="29"/>
  <c r="L125" i="29"/>
  <c r="K123" i="29"/>
  <c r="Q35" i="27"/>
  <c r="R35" i="27" s="1"/>
  <c r="Y35" i="27" s="1"/>
  <c r="L90" i="27"/>
  <c r="J222" i="27"/>
  <c r="AZ222" i="27" s="1"/>
  <c r="AP222" i="27" s="1"/>
  <c r="H224" i="27"/>
  <c r="AR223" i="27"/>
  <c r="AQ223" i="27"/>
  <c r="AT223" i="27" s="1"/>
  <c r="AW223" i="27" s="1"/>
  <c r="AF221" i="27"/>
  <c r="AI221" i="27" s="1"/>
  <c r="L250" i="27"/>
  <c r="M220" i="27"/>
  <c r="AF37" i="27"/>
  <c r="M36" i="27"/>
  <c r="AL40" i="27"/>
  <c r="AU38" i="27"/>
  <c r="AS38" i="27"/>
  <c r="AV38" i="27" s="1"/>
  <c r="J38" i="27"/>
  <c r="AZ38" i="27" s="1"/>
  <c r="AP38" i="27" s="1"/>
  <c r="AU222" i="27"/>
  <c r="AS222" i="27"/>
  <c r="AV222" i="27" s="1"/>
  <c r="AB222" i="27"/>
  <c r="N220" i="27"/>
  <c r="K37" i="27"/>
  <c r="N37" i="27" s="1"/>
  <c r="AI36" i="27"/>
  <c r="P220" i="27"/>
  <c r="P36" i="27"/>
  <c r="D313" i="27"/>
  <c r="E312" i="27"/>
  <c r="N36" i="27"/>
  <c r="AD220" i="27"/>
  <c r="AD36" i="27"/>
  <c r="AQ39" i="27"/>
  <c r="AT39" i="27" s="1"/>
  <c r="AW39" i="27" s="1"/>
  <c r="H40" i="27"/>
  <c r="AR39" i="27"/>
  <c r="AB39" i="27" s="1"/>
  <c r="AI220" i="27"/>
  <c r="K221" i="27"/>
  <c r="L40" i="11"/>
  <c r="N40" i="16"/>
  <c r="M40" i="16"/>
  <c r="AM40" i="16" s="1"/>
  <c r="A40" i="16" s="1"/>
  <c r="B40" i="16" s="1"/>
  <c r="C40" i="16" s="1"/>
  <c r="AC40" i="16"/>
  <c r="P40" i="16"/>
  <c r="AC36" i="11"/>
  <c r="AE36" i="11"/>
  <c r="W121" i="16"/>
  <c r="Z120" i="16"/>
  <c r="U120" i="16"/>
  <c r="Q35" i="11"/>
  <c r="R35" i="11" s="1"/>
  <c r="X35" i="11" s="1"/>
  <c r="O35" i="11"/>
  <c r="K124" i="16"/>
  <c r="AP124" i="16"/>
  <c r="AS37" i="11"/>
  <c r="AV37" i="11" s="1"/>
  <c r="AU37" i="11"/>
  <c r="J37" i="11"/>
  <c r="AP37" i="11" s="1"/>
  <c r="N36" i="11"/>
  <c r="P36" i="11"/>
  <c r="L218" i="17"/>
  <c r="AY119" i="16"/>
  <c r="V119" i="16"/>
  <c r="AX119" i="16"/>
  <c r="Q39" i="16"/>
  <c r="R39" i="16" s="1"/>
  <c r="X39" i="16" s="1"/>
  <c r="O39" i="16"/>
  <c r="AF118" i="16"/>
  <c r="AJ118" i="16"/>
  <c r="AI118" i="16" s="1"/>
  <c r="AH118" i="16"/>
  <c r="AN118" i="16" s="1"/>
  <c r="D308" i="17"/>
  <c r="E307" i="17"/>
  <c r="T122" i="16"/>
  <c r="Y121" i="16"/>
  <c r="AD119" i="16"/>
  <c r="AE119" i="16" s="1"/>
  <c r="AB119" i="16"/>
  <c r="AG119" i="16" s="1"/>
  <c r="AK119" i="16" s="1"/>
  <c r="M123" i="16"/>
  <c r="AM123" i="16" s="1"/>
  <c r="P123" i="16"/>
  <c r="N123" i="16"/>
  <c r="AC123" i="16"/>
  <c r="J42" i="16"/>
  <c r="L43" i="16"/>
  <c r="L126" i="16"/>
  <c r="J125" i="16"/>
  <c r="O122" i="16"/>
  <c r="Q122" i="16"/>
  <c r="R122" i="16" s="1"/>
  <c r="X122" i="16" s="1"/>
  <c r="H39" i="11"/>
  <c r="AR38" i="11"/>
  <c r="AQ38" i="11"/>
  <c r="AT38" i="11" s="1"/>
  <c r="AW38" i="11" s="1"/>
  <c r="AH36" i="11"/>
  <c r="AP41" i="16"/>
  <c r="K41" i="16"/>
  <c r="O183" i="50" l="1"/>
  <c r="Q183" i="50"/>
  <c r="R183" i="50" s="1"/>
  <c r="Y183" i="50" s="1"/>
  <c r="AF184" i="50"/>
  <c r="H187" i="50"/>
  <c r="AQ186" i="50"/>
  <c r="AT186" i="50" s="1"/>
  <c r="AW186" i="50" s="1"/>
  <c r="AR186" i="50"/>
  <c r="M183" i="50"/>
  <c r="K184" i="50"/>
  <c r="AD184" i="50" s="1"/>
  <c r="AD183" i="50"/>
  <c r="AS185" i="50"/>
  <c r="AV185" i="50" s="1"/>
  <c r="AU185" i="50"/>
  <c r="AB185" i="50"/>
  <c r="J185" i="50"/>
  <c r="AZ185" i="50" s="1"/>
  <c r="AP185" i="50" s="1"/>
  <c r="AI184" i="50"/>
  <c r="BA183" i="50"/>
  <c r="O141" i="40"/>
  <c r="Q141" i="40"/>
  <c r="R141" i="40" s="1"/>
  <c r="Y141" i="40" s="1"/>
  <c r="AB143" i="40"/>
  <c r="AU143" i="40"/>
  <c r="AS143" i="40"/>
  <c r="AV143" i="40" s="1"/>
  <c r="J143" i="40"/>
  <c r="AZ143" i="40" s="1"/>
  <c r="AP143" i="40" s="1"/>
  <c r="K142" i="40"/>
  <c r="AR148" i="40"/>
  <c r="AQ148" i="40"/>
  <c r="AT148" i="40" s="1"/>
  <c r="AW148" i="40" s="1"/>
  <c r="H149" i="40"/>
  <c r="N142" i="40"/>
  <c r="M141" i="40"/>
  <c r="AM141" i="40" s="1"/>
  <c r="AD142" i="40"/>
  <c r="K183" i="39"/>
  <c r="P183" i="39" s="1"/>
  <c r="AF183" i="39"/>
  <c r="AI183" i="39" s="1"/>
  <c r="BA182" i="39"/>
  <c r="AQ185" i="39"/>
  <c r="AT185" i="39" s="1"/>
  <c r="AW185" i="39" s="1"/>
  <c r="H186" i="39"/>
  <c r="AR185" i="39"/>
  <c r="Q182" i="39"/>
  <c r="R182" i="39" s="1"/>
  <c r="Y182" i="39" s="1"/>
  <c r="O182" i="39"/>
  <c r="AB184" i="39"/>
  <c r="AU184" i="39"/>
  <c r="AS184" i="39"/>
  <c r="AV184" i="39" s="1"/>
  <c r="J184" i="39"/>
  <c r="AZ184" i="39" s="1"/>
  <c r="AP184" i="39" s="1"/>
  <c r="K183" i="36"/>
  <c r="AD183" i="36" s="1"/>
  <c r="N182" i="36"/>
  <c r="O182" i="36"/>
  <c r="Q182" i="36"/>
  <c r="R182" i="36" s="1"/>
  <c r="Y182" i="36" s="1"/>
  <c r="AD182" i="36"/>
  <c r="AF183" i="36"/>
  <c r="AI183" i="36" s="1"/>
  <c r="AS184" i="36"/>
  <c r="AV184" i="36" s="1"/>
  <c r="AU184" i="36"/>
  <c r="J184" i="36"/>
  <c r="AZ184" i="36" s="1"/>
  <c r="AP184" i="36" s="1"/>
  <c r="P183" i="36"/>
  <c r="AQ185" i="36"/>
  <c r="AT185" i="36" s="1"/>
  <c r="AW185" i="36" s="1"/>
  <c r="AR185" i="36"/>
  <c r="AB185" i="36" s="1"/>
  <c r="H186" i="36"/>
  <c r="BA182" i="36"/>
  <c r="M182" i="36"/>
  <c r="Y180" i="36"/>
  <c r="N214" i="17"/>
  <c r="AU236" i="17"/>
  <c r="AS216" i="17"/>
  <c r="AV236" i="17" s="1"/>
  <c r="J216" i="17"/>
  <c r="AP215" i="17"/>
  <c r="K215" i="17"/>
  <c r="M215" i="17" s="1"/>
  <c r="H218" i="17"/>
  <c r="AR217" i="17"/>
  <c r="AQ217" i="17"/>
  <c r="AT237" i="17" s="1"/>
  <c r="AW237" i="17" s="1"/>
  <c r="Q213" i="17"/>
  <c r="R213" i="17" s="1"/>
  <c r="X213" i="17" s="1"/>
  <c r="O213" i="17"/>
  <c r="P214" i="17"/>
  <c r="F122" i="29"/>
  <c r="E122" i="29"/>
  <c r="AQ43" i="29"/>
  <c r="AT43" i="29" s="1"/>
  <c r="AW43" i="29" s="1"/>
  <c r="AR43" i="29"/>
  <c r="H44" i="29"/>
  <c r="AU42" i="29"/>
  <c r="AS42" i="29"/>
  <c r="AV42" i="29" s="1"/>
  <c r="AA42" i="29"/>
  <c r="M123" i="29"/>
  <c r="AO123" i="29" s="1"/>
  <c r="N123" i="29"/>
  <c r="AC123" i="29"/>
  <c r="P123" i="29"/>
  <c r="L126" i="29"/>
  <c r="J125" i="29"/>
  <c r="K124" i="29"/>
  <c r="L42" i="29"/>
  <c r="J41" i="29"/>
  <c r="Q122" i="29"/>
  <c r="R122" i="29" s="1"/>
  <c r="X122" i="29" s="1"/>
  <c r="O122" i="29"/>
  <c r="M39" i="29"/>
  <c r="AM39" i="29" s="1"/>
  <c r="A39" i="29" s="1"/>
  <c r="B39" i="29" s="1"/>
  <c r="C39" i="29" s="1"/>
  <c r="AC39" i="29"/>
  <c r="N39" i="29"/>
  <c r="P39" i="29"/>
  <c r="K40" i="29"/>
  <c r="Q38" i="29"/>
  <c r="R38" i="29" s="1"/>
  <c r="X38" i="29" s="1"/>
  <c r="O38" i="29"/>
  <c r="K222" i="27"/>
  <c r="P222" i="27" s="1"/>
  <c r="AD37" i="27"/>
  <c r="P37" i="27"/>
  <c r="Q37" i="27" s="1"/>
  <c r="R37" i="27" s="1"/>
  <c r="Y37" i="27" s="1"/>
  <c r="L91" i="27"/>
  <c r="M221" i="27"/>
  <c r="AF222" i="27"/>
  <c r="AI222" i="27" s="1"/>
  <c r="P221" i="27"/>
  <c r="AD221" i="27"/>
  <c r="O36" i="27"/>
  <c r="Q36" i="27"/>
  <c r="R36" i="27" s="1"/>
  <c r="Y36" i="27" s="1"/>
  <c r="O220" i="27"/>
  <c r="Q220" i="27"/>
  <c r="R220" i="27" s="1"/>
  <c r="Y220" i="27" s="1"/>
  <c r="AU223" i="27"/>
  <c r="AS223" i="27"/>
  <c r="AV223" i="27" s="1"/>
  <c r="AB223" i="27"/>
  <c r="AU39" i="27"/>
  <c r="AS39" i="27"/>
  <c r="AV39" i="27" s="1"/>
  <c r="J39" i="27"/>
  <c r="AZ39" i="27" s="1"/>
  <c r="AP39" i="27" s="1"/>
  <c r="D314" i="27"/>
  <c r="E313" i="27"/>
  <c r="AF38" i="27"/>
  <c r="AI38" i="27" s="1"/>
  <c r="AR224" i="27"/>
  <c r="AQ224" i="27"/>
  <c r="AT224" i="27" s="1"/>
  <c r="AW224" i="27" s="1"/>
  <c r="H225" i="27"/>
  <c r="H41" i="27"/>
  <c r="AR40" i="27"/>
  <c r="AB40" i="27" s="1"/>
  <c r="AQ40" i="27"/>
  <c r="AT40" i="27" s="1"/>
  <c r="AW40" i="27" s="1"/>
  <c r="L251" i="27"/>
  <c r="AI37" i="27"/>
  <c r="M37" i="27"/>
  <c r="N221" i="27"/>
  <c r="K38" i="27"/>
  <c r="N38" i="27" s="1"/>
  <c r="AL41" i="27"/>
  <c r="J223" i="27"/>
  <c r="AZ223" i="27" s="1"/>
  <c r="AP223" i="27" s="1"/>
  <c r="AU38" i="11"/>
  <c r="AS38" i="11"/>
  <c r="AV38" i="11" s="1"/>
  <c r="J38" i="11"/>
  <c r="AP38" i="11" s="1"/>
  <c r="AP125" i="16"/>
  <c r="K125" i="16"/>
  <c r="K42" i="16"/>
  <c r="AP42" i="16"/>
  <c r="O36" i="11"/>
  <c r="Q36" i="11"/>
  <c r="R36" i="11" s="1"/>
  <c r="X36" i="11" s="1"/>
  <c r="AE37" i="11"/>
  <c r="AH37" i="11" s="1"/>
  <c r="AC37" i="11"/>
  <c r="U121" i="16"/>
  <c r="Z121" i="16"/>
  <c r="AR39" i="11"/>
  <c r="AQ39" i="11"/>
  <c r="AT39" i="11" s="1"/>
  <c r="AW39" i="11" s="1"/>
  <c r="H40" i="11"/>
  <c r="L127" i="16"/>
  <c r="J126" i="16"/>
  <c r="T123" i="16"/>
  <c r="P37" i="11"/>
  <c r="N37" i="11"/>
  <c r="Q40" i="16"/>
  <c r="R40" i="16" s="1"/>
  <c r="X40" i="16" s="1"/>
  <c r="O40" i="16"/>
  <c r="Q123" i="16"/>
  <c r="R123" i="16" s="1"/>
  <c r="X123" i="16" s="1"/>
  <c r="O123" i="16"/>
  <c r="AJ119" i="16"/>
  <c r="AI119" i="16" s="1"/>
  <c r="AF119" i="16"/>
  <c r="AH119" i="16"/>
  <c r="AN119" i="16" s="1"/>
  <c r="E308" i="17"/>
  <c r="D309" i="17"/>
  <c r="V120" i="16"/>
  <c r="AY120" i="16"/>
  <c r="AX120" i="16"/>
  <c r="L41" i="11"/>
  <c r="J43" i="16"/>
  <c r="L44" i="16"/>
  <c r="Y122" i="16"/>
  <c r="L219" i="17"/>
  <c r="AD120" i="16"/>
  <c r="AE120" i="16" s="1"/>
  <c r="AB120" i="16"/>
  <c r="AG120" i="16" s="1"/>
  <c r="AK120" i="16" s="1"/>
  <c r="M41" i="16"/>
  <c r="AM41" i="16" s="1"/>
  <c r="A41" i="16" s="1"/>
  <c r="B41" i="16" s="1"/>
  <c r="C41" i="16" s="1"/>
  <c r="P41" i="16"/>
  <c r="AC41" i="16"/>
  <c r="N41" i="16"/>
  <c r="W122" i="16"/>
  <c r="N124" i="16"/>
  <c r="M124" i="16"/>
  <c r="AM124" i="16" s="1"/>
  <c r="AC124" i="16"/>
  <c r="P124" i="16"/>
  <c r="K185" i="50" l="1"/>
  <c r="P184" i="50"/>
  <c r="AI185" i="50"/>
  <c r="AD185" i="50"/>
  <c r="AF185" i="50"/>
  <c r="M184" i="50"/>
  <c r="AS186" i="50"/>
  <c r="AV186" i="50" s="1"/>
  <c r="AB186" i="50"/>
  <c r="AU186" i="50"/>
  <c r="J186" i="50"/>
  <c r="AZ186" i="50" s="1"/>
  <c r="AP186" i="50" s="1"/>
  <c r="BA184" i="50"/>
  <c r="N185" i="50"/>
  <c r="N184" i="50"/>
  <c r="H188" i="50"/>
  <c r="AR187" i="50"/>
  <c r="AQ187" i="50"/>
  <c r="AT187" i="50" s="1"/>
  <c r="AW187" i="50" s="1"/>
  <c r="M183" i="36"/>
  <c r="N183" i="36"/>
  <c r="M142" i="40"/>
  <c r="AM142" i="40" s="1"/>
  <c r="P142" i="40"/>
  <c r="AQ149" i="40"/>
  <c r="AT149" i="40" s="1"/>
  <c r="AW149" i="40" s="1"/>
  <c r="AR149" i="40"/>
  <c r="H150" i="40"/>
  <c r="AS148" i="40"/>
  <c r="AV148" i="40" s="1"/>
  <c r="AB148" i="40"/>
  <c r="AU148" i="40"/>
  <c r="J148" i="40"/>
  <c r="AZ148" i="40" s="1"/>
  <c r="AP148" i="40" s="1"/>
  <c r="K143" i="40"/>
  <c r="N143" i="40" s="1"/>
  <c r="M183" i="39"/>
  <c r="AD183" i="39"/>
  <c r="N183" i="39"/>
  <c r="K184" i="39"/>
  <c r="P184" i="39" s="1"/>
  <c r="AB185" i="39"/>
  <c r="AU185" i="39"/>
  <c r="AS185" i="39"/>
  <c r="AV185" i="39" s="1"/>
  <c r="J185" i="39"/>
  <c r="AZ185" i="39" s="1"/>
  <c r="AP185" i="39" s="1"/>
  <c r="Q183" i="39"/>
  <c r="R183" i="39" s="1"/>
  <c r="Y183" i="39" s="1"/>
  <c r="O183" i="39"/>
  <c r="AF184" i="39"/>
  <c r="AD184" i="39"/>
  <c r="AQ186" i="39"/>
  <c r="AT186" i="39" s="1"/>
  <c r="AW186" i="39" s="1"/>
  <c r="H187" i="39"/>
  <c r="AR186" i="39"/>
  <c r="BA183" i="39"/>
  <c r="AS185" i="36"/>
  <c r="AV185" i="36" s="1"/>
  <c r="AU185" i="36"/>
  <c r="J185" i="36"/>
  <c r="AZ185" i="36" s="1"/>
  <c r="AP185" i="36" s="1"/>
  <c r="AF184" i="36"/>
  <c r="K184" i="36"/>
  <c r="P184" i="36" s="1"/>
  <c r="O183" i="36"/>
  <c r="Q183" i="36"/>
  <c r="R183" i="36" s="1"/>
  <c r="Y183" i="36" s="1"/>
  <c r="AQ186" i="36"/>
  <c r="AT186" i="36" s="1"/>
  <c r="AW186" i="36" s="1"/>
  <c r="H187" i="36"/>
  <c r="AR186" i="36"/>
  <c r="AB186" i="36" s="1"/>
  <c r="BA183" i="36"/>
  <c r="Q214" i="17"/>
  <c r="R214" i="17" s="1"/>
  <c r="X214" i="17" s="1"/>
  <c r="O214" i="17"/>
  <c r="AP216" i="17"/>
  <c r="K216" i="17"/>
  <c r="P215" i="17"/>
  <c r="AS217" i="17"/>
  <c r="AV237" i="17" s="1"/>
  <c r="AU237" i="17"/>
  <c r="J217" i="17"/>
  <c r="AP217" i="17" s="1"/>
  <c r="N215" i="17"/>
  <c r="AR218" i="17"/>
  <c r="AQ218" i="17"/>
  <c r="AT238" i="17" s="1"/>
  <c r="AW238" i="17" s="1"/>
  <c r="H219" i="17"/>
  <c r="E123" i="29"/>
  <c r="F123" i="29"/>
  <c r="H45" i="29"/>
  <c r="AQ44" i="29"/>
  <c r="AT44" i="29" s="1"/>
  <c r="AW44" i="29" s="1"/>
  <c r="AR44" i="29"/>
  <c r="AA43" i="29"/>
  <c r="AU43" i="29"/>
  <c r="AS43" i="29"/>
  <c r="AV43" i="29" s="1"/>
  <c r="K125" i="29"/>
  <c r="K41" i="29"/>
  <c r="M124" i="29"/>
  <c r="AO124" i="29" s="1"/>
  <c r="N124" i="29"/>
  <c r="P124" i="29"/>
  <c r="AC124" i="29"/>
  <c r="J126" i="29"/>
  <c r="L127" i="29"/>
  <c r="J42" i="29"/>
  <c r="L43" i="29"/>
  <c r="Q123" i="29"/>
  <c r="R123" i="29" s="1"/>
  <c r="X123" i="29" s="1"/>
  <c r="O123" i="29"/>
  <c r="M40" i="29"/>
  <c r="AM40" i="29" s="1"/>
  <c r="A40" i="29" s="1"/>
  <c r="B40" i="29" s="1"/>
  <c r="C40" i="29" s="1"/>
  <c r="P40" i="29"/>
  <c r="N40" i="29"/>
  <c r="AC40" i="29"/>
  <c r="Q39" i="29"/>
  <c r="R39" i="29" s="1"/>
  <c r="X39" i="29" s="1"/>
  <c r="O39" i="29"/>
  <c r="AD222" i="27"/>
  <c r="N222" i="27"/>
  <c r="M222" i="27"/>
  <c r="O37" i="27"/>
  <c r="K39" i="27"/>
  <c r="N39" i="27" s="1"/>
  <c r="L92" i="27"/>
  <c r="AL42" i="27"/>
  <c r="AL43" i="27" s="1"/>
  <c r="AL44" i="27" s="1"/>
  <c r="AL45" i="27" s="1"/>
  <c r="AL46" i="27" s="1"/>
  <c r="AL47" i="27" s="1"/>
  <c r="AL48" i="27" s="1"/>
  <c r="AL49" i="27" s="1"/>
  <c r="AL50" i="27" s="1"/>
  <c r="AL51" i="27" s="1"/>
  <c r="AL52" i="27" s="1"/>
  <c r="AL53" i="27" s="1"/>
  <c r="AL54" i="27" s="1"/>
  <c r="AL55" i="27" s="1"/>
  <c r="AL56" i="27" s="1"/>
  <c r="AL57" i="27" s="1"/>
  <c r="AL58" i="27" s="1"/>
  <c r="AL59" i="27" s="1"/>
  <c r="AL60" i="27" s="1"/>
  <c r="AL61" i="27" s="1"/>
  <c r="J224" i="27"/>
  <c r="AZ224" i="27" s="1"/>
  <c r="AP224" i="27" s="1"/>
  <c r="M38" i="27"/>
  <c r="H226" i="27"/>
  <c r="AR225" i="27"/>
  <c r="AQ225" i="27"/>
  <c r="AT225" i="27" s="1"/>
  <c r="AW225" i="27" s="1"/>
  <c r="AD38" i="27"/>
  <c r="E314" i="27"/>
  <c r="D315" i="27"/>
  <c r="K223" i="27"/>
  <c r="AD223" i="27" s="1"/>
  <c r="P38" i="27"/>
  <c r="O221" i="27"/>
  <c r="Q221" i="27"/>
  <c r="R221" i="27" s="1"/>
  <c r="Y221" i="27" s="1"/>
  <c r="L252" i="27"/>
  <c r="AF223" i="27"/>
  <c r="AU40" i="27"/>
  <c r="AS40" i="27"/>
  <c r="AV40" i="27" s="1"/>
  <c r="J40" i="27"/>
  <c r="AZ40" i="27" s="1"/>
  <c r="AP40" i="27" s="1"/>
  <c r="AU224" i="27"/>
  <c r="AS224" i="27"/>
  <c r="AV224" i="27" s="1"/>
  <c r="AB224" i="27"/>
  <c r="O222" i="27"/>
  <c r="Q222" i="27"/>
  <c r="R222" i="27" s="1"/>
  <c r="Y222" i="27" s="1"/>
  <c r="H42" i="27"/>
  <c r="AR41" i="27"/>
  <c r="AB41" i="27" s="1"/>
  <c r="AQ41" i="27"/>
  <c r="AT41" i="27" s="1"/>
  <c r="AW41" i="27" s="1"/>
  <c r="AF39" i="27"/>
  <c r="AI39" i="27" s="1"/>
  <c r="AE38" i="11"/>
  <c r="AH38" i="11" s="1"/>
  <c r="AC38" i="11"/>
  <c r="Y123" i="16"/>
  <c r="AS39" i="11"/>
  <c r="AV39" i="11" s="1"/>
  <c r="AU39" i="11"/>
  <c r="J39" i="11"/>
  <c r="AP39" i="11" s="1"/>
  <c r="M125" i="16"/>
  <c r="AM125" i="16" s="1"/>
  <c r="P125" i="16"/>
  <c r="AC125" i="16"/>
  <c r="N125" i="16"/>
  <c r="E309" i="17"/>
  <c r="D310" i="17"/>
  <c r="W123" i="16"/>
  <c r="AD121" i="16"/>
  <c r="AE121" i="16" s="1"/>
  <c r="AB121" i="16"/>
  <c r="AG121" i="16" s="1"/>
  <c r="AK121" i="16" s="1"/>
  <c r="Q124" i="16"/>
  <c r="R124" i="16" s="1"/>
  <c r="X124" i="16" s="1"/>
  <c r="O124" i="16"/>
  <c r="O41" i="16"/>
  <c r="Q41" i="16"/>
  <c r="R41" i="16" s="1"/>
  <c r="X41" i="16" s="1"/>
  <c r="L42" i="11"/>
  <c r="AP126" i="16"/>
  <c r="K126" i="16"/>
  <c r="AX121" i="16"/>
  <c r="V121" i="16"/>
  <c r="AY121" i="16"/>
  <c r="T124" i="16"/>
  <c r="L220" i="17"/>
  <c r="L45" i="16"/>
  <c r="J44" i="16"/>
  <c r="Q37" i="11"/>
  <c r="R37" i="11" s="1"/>
  <c r="X37" i="11" s="1"/>
  <c r="O37" i="11"/>
  <c r="J127" i="16"/>
  <c r="L128" i="16"/>
  <c r="Z122" i="16"/>
  <c r="U122" i="16"/>
  <c r="AF120" i="16"/>
  <c r="AJ120" i="16"/>
  <c r="AI120" i="16" s="1"/>
  <c r="AH120" i="16"/>
  <c r="AN120" i="16" s="1"/>
  <c r="K43" i="16"/>
  <c r="AP43" i="16"/>
  <c r="H41" i="11"/>
  <c r="AR40" i="11"/>
  <c r="AQ40" i="11"/>
  <c r="AT40" i="11" s="1"/>
  <c r="AW40" i="11" s="1"/>
  <c r="M42" i="16"/>
  <c r="AM42" i="16" s="1"/>
  <c r="A42" i="16" s="1"/>
  <c r="B42" i="16" s="1"/>
  <c r="C42" i="16" s="1"/>
  <c r="P42" i="16"/>
  <c r="AC42" i="16"/>
  <c r="N42" i="16"/>
  <c r="N38" i="11"/>
  <c r="P38" i="11"/>
  <c r="H189" i="50" l="1"/>
  <c r="AQ188" i="50"/>
  <c r="AT188" i="50" s="1"/>
  <c r="AW188" i="50" s="1"/>
  <c r="AR188" i="50"/>
  <c r="AU187" i="50"/>
  <c r="AS187" i="50"/>
  <c r="AV187" i="50" s="1"/>
  <c r="K187" i="50"/>
  <c r="AB187" i="50"/>
  <c r="J187" i="50"/>
  <c r="AZ187" i="50" s="1"/>
  <c r="AP187" i="50" s="1"/>
  <c r="AI186" i="50"/>
  <c r="BA185" i="50"/>
  <c r="O184" i="50"/>
  <c r="Q184" i="50"/>
  <c r="R184" i="50" s="1"/>
  <c r="Y184" i="50" s="1"/>
  <c r="K186" i="50"/>
  <c r="M185" i="50"/>
  <c r="P185" i="50"/>
  <c r="AF186" i="50"/>
  <c r="P143" i="40"/>
  <c r="AD143" i="40"/>
  <c r="K148" i="40"/>
  <c r="P148" i="40" s="1"/>
  <c r="O142" i="40"/>
  <c r="Q142" i="40"/>
  <c r="R142" i="40" s="1"/>
  <c r="AD148" i="40"/>
  <c r="AF148" i="40"/>
  <c r="N148" i="40"/>
  <c r="Q143" i="40"/>
  <c r="R143" i="40" s="1"/>
  <c r="Y143" i="40" s="1"/>
  <c r="O143" i="40"/>
  <c r="M143" i="40"/>
  <c r="AM143" i="40" s="1"/>
  <c r="AR150" i="40"/>
  <c r="H151" i="40"/>
  <c r="AQ150" i="40"/>
  <c r="AT150" i="40" s="1"/>
  <c r="AW150" i="40" s="1"/>
  <c r="AB149" i="40"/>
  <c r="AU149" i="40"/>
  <c r="AS149" i="40"/>
  <c r="AV149" i="40" s="1"/>
  <c r="J149" i="40"/>
  <c r="AZ149" i="40" s="1"/>
  <c r="AP149" i="40" s="1"/>
  <c r="N184" i="39"/>
  <c r="BA184" i="39"/>
  <c r="AB186" i="39"/>
  <c r="AU186" i="39"/>
  <c r="AS186" i="39"/>
  <c r="AV186" i="39" s="1"/>
  <c r="J186" i="39"/>
  <c r="AZ186" i="39" s="1"/>
  <c r="AP186" i="39" s="1"/>
  <c r="AI184" i="39"/>
  <c r="AF185" i="39"/>
  <c r="AI185" i="39" s="1"/>
  <c r="Q184" i="39"/>
  <c r="R184" i="39" s="1"/>
  <c r="Y184" i="39" s="1"/>
  <c r="O184" i="39"/>
  <c r="K185" i="39"/>
  <c r="AD185" i="39" s="1"/>
  <c r="AQ187" i="39"/>
  <c r="AT187" i="39" s="1"/>
  <c r="AW187" i="39" s="1"/>
  <c r="H188" i="39"/>
  <c r="AR187" i="39"/>
  <c r="M184" i="39"/>
  <c r="H43" i="27"/>
  <c r="AD184" i="36"/>
  <c r="K185" i="36"/>
  <c r="AD185" i="36" s="1"/>
  <c r="Q184" i="36"/>
  <c r="R184" i="36" s="1"/>
  <c r="Y184" i="36" s="1"/>
  <c r="O184" i="36"/>
  <c r="BA184" i="36"/>
  <c r="AS186" i="36"/>
  <c r="AV186" i="36" s="1"/>
  <c r="AU186" i="36"/>
  <c r="J186" i="36"/>
  <c r="AZ186" i="36" s="1"/>
  <c r="AP186" i="36" s="1"/>
  <c r="AF185" i="36"/>
  <c r="AI185" i="36" s="1"/>
  <c r="AQ187" i="36"/>
  <c r="AT187" i="36" s="1"/>
  <c r="AW187" i="36" s="1"/>
  <c r="H188" i="36"/>
  <c r="AR187" i="36"/>
  <c r="AB187" i="36" s="1"/>
  <c r="M184" i="36"/>
  <c r="AI184" i="36"/>
  <c r="N184" i="36"/>
  <c r="AQ219" i="17"/>
  <c r="AT239" i="17" s="1"/>
  <c r="AW239" i="17" s="1"/>
  <c r="AR219" i="17"/>
  <c r="H220" i="17"/>
  <c r="O215" i="17"/>
  <c r="Q215" i="17"/>
  <c r="R215" i="17" s="1"/>
  <c r="X215" i="17" s="1"/>
  <c r="J218" i="17"/>
  <c r="AP218" i="17" s="1"/>
  <c r="AS218" i="17"/>
  <c r="AV238" i="17" s="1"/>
  <c r="AU238" i="17"/>
  <c r="N216" i="17"/>
  <c r="P216" i="17"/>
  <c r="M216" i="17"/>
  <c r="K217" i="17"/>
  <c r="M217" i="17" s="1"/>
  <c r="E124" i="29"/>
  <c r="F124" i="29"/>
  <c r="AU44" i="29"/>
  <c r="AS44" i="29"/>
  <c r="AV44" i="29" s="1"/>
  <c r="AA44" i="29"/>
  <c r="H46" i="29"/>
  <c r="AR45" i="29"/>
  <c r="AQ45" i="29"/>
  <c r="AT45" i="29" s="1"/>
  <c r="AW45" i="29" s="1"/>
  <c r="J43" i="29"/>
  <c r="L44" i="29"/>
  <c r="Q124" i="29"/>
  <c r="R124" i="29" s="1"/>
  <c r="X124" i="29" s="1"/>
  <c r="O124" i="29"/>
  <c r="M41" i="29"/>
  <c r="AM41" i="29" s="1"/>
  <c r="A41" i="29" s="1"/>
  <c r="B41" i="29" s="1"/>
  <c r="C41" i="29" s="1"/>
  <c r="AC41" i="29"/>
  <c r="N41" i="29"/>
  <c r="P41" i="29"/>
  <c r="K42" i="29"/>
  <c r="Q40" i="29"/>
  <c r="R40" i="29" s="1"/>
  <c r="X40" i="29" s="1"/>
  <c r="O40" i="29"/>
  <c r="J127" i="29"/>
  <c r="L128" i="29"/>
  <c r="K126" i="29"/>
  <c r="M125" i="29"/>
  <c r="AO125" i="29" s="1"/>
  <c r="N125" i="29"/>
  <c r="P125" i="29"/>
  <c r="AC125" i="29"/>
  <c r="K224" i="27"/>
  <c r="N224" i="27" s="1"/>
  <c r="P39" i="27"/>
  <c r="Q39" i="27" s="1"/>
  <c r="R39" i="27" s="1"/>
  <c r="Y39" i="27" s="1"/>
  <c r="AD39" i="27"/>
  <c r="M39" i="27"/>
  <c r="W124" i="16"/>
  <c r="U124" i="16" s="1"/>
  <c r="V124" i="16" s="1"/>
  <c r="AQ43" i="27"/>
  <c r="AT43" i="27" s="1"/>
  <c r="AW43" i="27" s="1"/>
  <c r="AR43" i="27"/>
  <c r="AB43" i="27" s="1"/>
  <c r="H44" i="27"/>
  <c r="L93" i="27"/>
  <c r="AL62" i="27"/>
  <c r="Q38" i="27"/>
  <c r="R38" i="27" s="1"/>
  <c r="O38" i="27"/>
  <c r="AU225" i="27"/>
  <c r="AS225" i="27"/>
  <c r="AV225" i="27" s="1"/>
  <c r="AB225" i="27"/>
  <c r="AF224" i="27"/>
  <c r="AF40" i="27"/>
  <c r="AI40" i="27" s="1"/>
  <c r="M223" i="27"/>
  <c r="AQ226" i="27"/>
  <c r="AT226" i="27" s="1"/>
  <c r="AW226" i="27" s="1"/>
  <c r="H227" i="27"/>
  <c r="AR226" i="27"/>
  <c r="AI223" i="27"/>
  <c r="D316" i="27"/>
  <c r="E315" i="27"/>
  <c r="J225" i="27"/>
  <c r="AZ225" i="27" s="1"/>
  <c r="AP225" i="27" s="1"/>
  <c r="AR42" i="27"/>
  <c r="AB42" i="27" s="1"/>
  <c r="AQ42" i="27"/>
  <c r="AT42" i="27" s="1"/>
  <c r="AW42" i="27" s="1"/>
  <c r="N223" i="27"/>
  <c r="K40" i="27"/>
  <c r="N40" i="27" s="1"/>
  <c r="AU41" i="27"/>
  <c r="AS41" i="27"/>
  <c r="AV41" i="27" s="1"/>
  <c r="J41" i="27"/>
  <c r="AZ41" i="27" s="1"/>
  <c r="AP41" i="27" s="1"/>
  <c r="P223" i="27"/>
  <c r="L43" i="11"/>
  <c r="M43" i="16"/>
  <c r="AM43" i="16" s="1"/>
  <c r="A43" i="16" s="1"/>
  <c r="B43" i="16" s="1"/>
  <c r="C43" i="16" s="1"/>
  <c r="AC43" i="16"/>
  <c r="P43" i="16"/>
  <c r="N43" i="16"/>
  <c r="L129" i="16"/>
  <c r="J128" i="16"/>
  <c r="Y124" i="16"/>
  <c r="T125" i="16"/>
  <c r="AE39" i="11"/>
  <c r="AC39" i="11"/>
  <c r="V122" i="16"/>
  <c r="AY122" i="16"/>
  <c r="AX122" i="16"/>
  <c r="K127" i="16"/>
  <c r="AP127" i="16"/>
  <c r="Z124" i="16"/>
  <c r="Z123" i="16"/>
  <c r="U123" i="16"/>
  <c r="AU40" i="11"/>
  <c r="AS40" i="11"/>
  <c r="AV40" i="11" s="1"/>
  <c r="J40" i="11"/>
  <c r="AP40" i="11" s="1"/>
  <c r="AP44" i="16"/>
  <c r="K44" i="16"/>
  <c r="O125" i="16"/>
  <c r="Q125" i="16"/>
  <c r="R125" i="16" s="1"/>
  <c r="X125" i="16" s="1"/>
  <c r="P39" i="11"/>
  <c r="N39" i="11"/>
  <c r="O38" i="11"/>
  <c r="Q38" i="11"/>
  <c r="R38" i="11" s="1"/>
  <c r="X38" i="11" s="1"/>
  <c r="Q42" i="16"/>
  <c r="R42" i="16" s="1"/>
  <c r="X42" i="16" s="1"/>
  <c r="O42" i="16"/>
  <c r="AB122" i="16"/>
  <c r="AG122" i="16" s="1"/>
  <c r="AK122" i="16" s="1"/>
  <c r="AD122" i="16"/>
  <c r="AE122" i="16" s="1"/>
  <c r="AR41" i="11"/>
  <c r="AQ41" i="11"/>
  <c r="AT41" i="11" s="1"/>
  <c r="AW41" i="11" s="1"/>
  <c r="H42" i="11"/>
  <c r="J45" i="16"/>
  <c r="L46" i="16"/>
  <c r="L221" i="17"/>
  <c r="M126" i="16"/>
  <c r="AM126" i="16" s="1"/>
  <c r="N126" i="16"/>
  <c r="AC126" i="16"/>
  <c r="P126" i="16"/>
  <c r="AJ121" i="16"/>
  <c r="AI121" i="16" s="1"/>
  <c r="AF121" i="16"/>
  <c r="AH121" i="16"/>
  <c r="AN121" i="16" s="1"/>
  <c r="D311" i="17"/>
  <c r="E310" i="17"/>
  <c r="M186" i="50" l="1"/>
  <c r="P186" i="50"/>
  <c r="K188" i="50"/>
  <c r="AU188" i="50"/>
  <c r="AB188" i="50"/>
  <c r="AS188" i="50"/>
  <c r="AV188" i="50" s="1"/>
  <c r="J188" i="50"/>
  <c r="AZ188" i="50" s="1"/>
  <c r="AP188" i="50" s="1"/>
  <c r="M187" i="50"/>
  <c r="AD186" i="50"/>
  <c r="P187" i="50"/>
  <c r="N187" i="50"/>
  <c r="O185" i="50"/>
  <c r="Q185" i="50"/>
  <c r="R185" i="50" s="1"/>
  <c r="N186" i="50"/>
  <c r="BA186" i="50"/>
  <c r="AD187" i="50"/>
  <c r="AF187" i="50"/>
  <c r="H190" i="50"/>
  <c r="AR189" i="50"/>
  <c r="AQ189" i="50"/>
  <c r="AT189" i="50" s="1"/>
  <c r="AW189" i="50" s="1"/>
  <c r="N185" i="36"/>
  <c r="M185" i="36"/>
  <c r="P185" i="36"/>
  <c r="O185" i="36" s="1"/>
  <c r="AQ151" i="40"/>
  <c r="AT151" i="40" s="1"/>
  <c r="AW151" i="40" s="1"/>
  <c r="H152" i="40"/>
  <c r="AR151" i="40"/>
  <c r="Y142" i="40"/>
  <c r="K149" i="40"/>
  <c r="N149" i="40" s="1"/>
  <c r="AU150" i="40"/>
  <c r="AS150" i="40"/>
  <c r="AV150" i="40" s="1"/>
  <c r="AB150" i="40"/>
  <c r="J150" i="40"/>
  <c r="AZ150" i="40" s="1"/>
  <c r="AP150" i="40" s="1"/>
  <c r="O148" i="40"/>
  <c r="Q148" i="40"/>
  <c r="R148" i="40" s="1"/>
  <c r="Y148" i="40" s="1"/>
  <c r="P149" i="40"/>
  <c r="M148" i="40"/>
  <c r="AF149" i="40"/>
  <c r="AI148" i="40"/>
  <c r="K186" i="39"/>
  <c r="M185" i="39"/>
  <c r="AF186" i="39"/>
  <c r="AI186" i="39" s="1"/>
  <c r="AD186" i="39"/>
  <c r="AB187" i="39"/>
  <c r="AU187" i="39"/>
  <c r="AS187" i="39"/>
  <c r="AV187" i="39" s="1"/>
  <c r="J187" i="39"/>
  <c r="AZ187" i="39" s="1"/>
  <c r="AP187" i="39" s="1"/>
  <c r="N185" i="39"/>
  <c r="M186" i="39"/>
  <c r="BA185" i="39"/>
  <c r="AQ188" i="39"/>
  <c r="AT188" i="39" s="1"/>
  <c r="AW188" i="39" s="1"/>
  <c r="H189" i="39"/>
  <c r="AR188" i="39"/>
  <c r="P185" i="39"/>
  <c r="P186" i="39"/>
  <c r="N186" i="39"/>
  <c r="AF186" i="36"/>
  <c r="AS187" i="36"/>
  <c r="AV187" i="36" s="1"/>
  <c r="AU187" i="36"/>
  <c r="J187" i="36"/>
  <c r="AZ187" i="36" s="1"/>
  <c r="AP187" i="36" s="1"/>
  <c r="AQ188" i="36"/>
  <c r="AT188" i="36" s="1"/>
  <c r="AW188" i="36" s="1"/>
  <c r="H189" i="36"/>
  <c r="AR188" i="36"/>
  <c r="AB188" i="36" s="1"/>
  <c r="BA185" i="36"/>
  <c r="K186" i="36"/>
  <c r="P186" i="36" s="1"/>
  <c r="N217" i="17"/>
  <c r="K218" i="17"/>
  <c r="M218" i="17" s="1"/>
  <c r="H221" i="17"/>
  <c r="AR220" i="17"/>
  <c r="AQ220" i="17"/>
  <c r="AT240" i="17" s="1"/>
  <c r="AW240" i="17" s="1"/>
  <c r="P217" i="17"/>
  <c r="Q216" i="17"/>
  <c r="R216" i="17" s="1"/>
  <c r="X216" i="17" s="1"/>
  <c r="O216" i="17"/>
  <c r="AU239" i="17"/>
  <c r="J219" i="17"/>
  <c r="AS219" i="17"/>
  <c r="AV239" i="17" s="1"/>
  <c r="F125" i="29"/>
  <c r="E125" i="29"/>
  <c r="AA45" i="29"/>
  <c r="AU45" i="29"/>
  <c r="AS45" i="29"/>
  <c r="AV45" i="29" s="1"/>
  <c r="AQ46" i="29"/>
  <c r="AT46" i="29" s="1"/>
  <c r="AW46" i="29" s="1"/>
  <c r="H47" i="29"/>
  <c r="AR46" i="29"/>
  <c r="M126" i="29"/>
  <c r="AO126" i="29" s="1"/>
  <c r="AC126" i="29"/>
  <c r="N126" i="29"/>
  <c r="P126" i="29"/>
  <c r="M42" i="29"/>
  <c r="AM42" i="29" s="1"/>
  <c r="A42" i="29" s="1"/>
  <c r="B42" i="29" s="1"/>
  <c r="C42" i="29" s="1"/>
  <c r="P42" i="29"/>
  <c r="N42" i="29"/>
  <c r="AC42" i="29"/>
  <c r="K43" i="29"/>
  <c r="Q125" i="29"/>
  <c r="R125" i="29" s="1"/>
  <c r="X125" i="29" s="1"/>
  <c r="O125" i="29"/>
  <c r="L129" i="29"/>
  <c r="J128" i="29"/>
  <c r="J44" i="29"/>
  <c r="L45" i="29"/>
  <c r="K127" i="29"/>
  <c r="Q41" i="29"/>
  <c r="R41" i="29" s="1"/>
  <c r="X41" i="29" s="1"/>
  <c r="O41" i="29"/>
  <c r="M224" i="27"/>
  <c r="AD224" i="27"/>
  <c r="P224" i="27"/>
  <c r="O224" i="27" s="1"/>
  <c r="O39" i="27"/>
  <c r="AY124" i="16"/>
  <c r="AX124" i="16"/>
  <c r="AR44" i="27"/>
  <c r="AB44" i="27" s="1"/>
  <c r="H45" i="27"/>
  <c r="AQ44" i="27"/>
  <c r="AT44" i="27" s="1"/>
  <c r="AW44" i="27" s="1"/>
  <c r="AU43" i="27"/>
  <c r="AS43" i="27"/>
  <c r="AV43" i="27" s="1"/>
  <c r="AF43" i="27"/>
  <c r="J43" i="27"/>
  <c r="AZ43" i="27" s="1"/>
  <c r="L94" i="27"/>
  <c r="AL63" i="27"/>
  <c r="O223" i="27"/>
  <c r="Q223" i="27"/>
  <c r="R223" i="27" s="1"/>
  <c r="Y223" i="27" s="1"/>
  <c r="AF41" i="27"/>
  <c r="AS42" i="27"/>
  <c r="AV42" i="27" s="1"/>
  <c r="AU42" i="27"/>
  <c r="J42" i="27"/>
  <c r="AZ42" i="27" s="1"/>
  <c r="AP42" i="27" s="1"/>
  <c r="H232" i="27"/>
  <c r="AQ227" i="27"/>
  <c r="AT227" i="27" s="1"/>
  <c r="AW227" i="27" s="1"/>
  <c r="AR227" i="27"/>
  <c r="Y38" i="27"/>
  <c r="E316" i="27"/>
  <c r="D317" i="27"/>
  <c r="AF225" i="27"/>
  <c r="AI225" i="27" s="1"/>
  <c r="K41" i="27"/>
  <c r="P41" i="27" s="1"/>
  <c r="M40" i="27"/>
  <c r="J226" i="27"/>
  <c r="AZ226" i="27" s="1"/>
  <c r="AP226" i="27" s="1"/>
  <c r="AI224" i="27"/>
  <c r="AD40" i="27"/>
  <c r="P40" i="27"/>
  <c r="AS226" i="27"/>
  <c r="AV226" i="27" s="1"/>
  <c r="AB226" i="27"/>
  <c r="AU226" i="27"/>
  <c r="K225" i="27"/>
  <c r="P225" i="27" s="1"/>
  <c r="E311" i="17"/>
  <c r="D312" i="17"/>
  <c r="M127" i="16"/>
  <c r="AM127" i="16" s="1"/>
  <c r="N127" i="16"/>
  <c r="P127" i="16"/>
  <c r="AC127" i="16"/>
  <c r="H43" i="11"/>
  <c r="AQ42" i="11"/>
  <c r="AT42" i="11" s="1"/>
  <c r="AW42" i="11" s="1"/>
  <c r="AR42" i="11"/>
  <c r="Q39" i="11"/>
  <c r="R39" i="11" s="1"/>
  <c r="X39" i="11" s="1"/>
  <c r="O39" i="11"/>
  <c r="AC40" i="11"/>
  <c r="AE40" i="11"/>
  <c r="L44" i="11"/>
  <c r="AF122" i="16"/>
  <c r="AJ122" i="16"/>
  <c r="AI122" i="16" s="1"/>
  <c r="AH122" i="16"/>
  <c r="AN122" i="16" s="1"/>
  <c r="Q126" i="16"/>
  <c r="R126" i="16" s="1"/>
  <c r="X126" i="16" s="1"/>
  <c r="O126" i="16"/>
  <c r="N40" i="11"/>
  <c r="P40" i="11"/>
  <c r="T126" i="16"/>
  <c r="L222" i="17"/>
  <c r="AX123" i="16"/>
  <c r="V123" i="16"/>
  <c r="AY123" i="16"/>
  <c r="AD124" i="16"/>
  <c r="AE124" i="16" s="1"/>
  <c r="AB124" i="16"/>
  <c r="AG124" i="16" s="1"/>
  <c r="AK124" i="16" s="1"/>
  <c r="W125" i="16"/>
  <c r="AH39" i="11"/>
  <c r="M44" i="16"/>
  <c r="AM44" i="16" s="1"/>
  <c r="A44" i="16" s="1"/>
  <c r="B44" i="16" s="1"/>
  <c r="C44" i="16" s="1"/>
  <c r="AC44" i="16"/>
  <c r="N44" i="16"/>
  <c r="P44" i="16"/>
  <c r="J46" i="16"/>
  <c r="L47" i="16"/>
  <c r="AB123" i="16"/>
  <c r="AG123" i="16" s="1"/>
  <c r="AK123" i="16" s="1"/>
  <c r="AD123" i="16"/>
  <c r="AE123" i="16" s="1"/>
  <c r="Y125" i="16"/>
  <c r="AP128" i="16"/>
  <c r="K128" i="16"/>
  <c r="AS41" i="11"/>
  <c r="AV41" i="11" s="1"/>
  <c r="AU41" i="11"/>
  <c r="J41" i="11"/>
  <c r="AP41" i="11" s="1"/>
  <c r="K45" i="16"/>
  <c r="AP45" i="16"/>
  <c r="L130" i="16"/>
  <c r="J129" i="16"/>
  <c r="Q43" i="16"/>
  <c r="R43" i="16" s="1"/>
  <c r="X43" i="16" s="1"/>
  <c r="O43" i="16"/>
  <c r="BA187" i="50" l="1"/>
  <c r="AI188" i="50"/>
  <c r="O186" i="50"/>
  <c r="Q186" i="50"/>
  <c r="R186" i="50" s="1"/>
  <c r="Y186" i="50" s="1"/>
  <c r="Y185" i="50"/>
  <c r="AS189" i="50"/>
  <c r="AV189" i="50" s="1"/>
  <c r="AB189" i="50"/>
  <c r="AU189" i="50"/>
  <c r="J189" i="50"/>
  <c r="AZ189" i="50" s="1"/>
  <c r="AP189" i="50" s="1"/>
  <c r="P188" i="50"/>
  <c r="N188" i="50"/>
  <c r="M188" i="50"/>
  <c r="H191" i="50"/>
  <c r="AQ190" i="50"/>
  <c r="AT190" i="50" s="1"/>
  <c r="AW190" i="50" s="1"/>
  <c r="AR190" i="50"/>
  <c r="AI187" i="50"/>
  <c r="O187" i="50"/>
  <c r="Q187" i="50"/>
  <c r="R187" i="50" s="1"/>
  <c r="Y187" i="50" s="1"/>
  <c r="AD188" i="50"/>
  <c r="AF188" i="50"/>
  <c r="Q185" i="36"/>
  <c r="R185" i="36" s="1"/>
  <c r="Y185" i="36" s="1"/>
  <c r="Q149" i="40"/>
  <c r="R149" i="40" s="1"/>
  <c r="Y149" i="40" s="1"/>
  <c r="O149" i="40"/>
  <c r="AS151" i="40"/>
  <c r="AV151" i="40" s="1"/>
  <c r="AB151" i="40"/>
  <c r="AU151" i="40"/>
  <c r="J151" i="40"/>
  <c r="AZ151" i="40" s="1"/>
  <c r="AP151" i="40" s="1"/>
  <c r="AQ152" i="40"/>
  <c r="AT152" i="40" s="1"/>
  <c r="AW152" i="40" s="1"/>
  <c r="H153" i="40"/>
  <c r="AR152" i="40"/>
  <c r="AI149" i="40"/>
  <c r="K150" i="40"/>
  <c r="N150" i="40" s="1"/>
  <c r="M149" i="40"/>
  <c r="AD149" i="40"/>
  <c r="AF150" i="40"/>
  <c r="AI150" i="40" s="1"/>
  <c r="Q185" i="39"/>
  <c r="R185" i="39" s="1"/>
  <c r="Y185" i="39" s="1"/>
  <c r="O185" i="39"/>
  <c r="AB188" i="39"/>
  <c r="AU188" i="39"/>
  <c r="AS188" i="39"/>
  <c r="AV188" i="39" s="1"/>
  <c r="J188" i="39"/>
  <c r="AZ188" i="39" s="1"/>
  <c r="AP188" i="39" s="1"/>
  <c r="BA186" i="39"/>
  <c r="AQ189" i="39"/>
  <c r="AT189" i="39" s="1"/>
  <c r="AW189" i="39" s="1"/>
  <c r="H190" i="39"/>
  <c r="AR189" i="39"/>
  <c r="AF187" i="39"/>
  <c r="Q186" i="39"/>
  <c r="R186" i="39" s="1"/>
  <c r="Y186" i="39" s="1"/>
  <c r="O186" i="39"/>
  <c r="K187" i="39"/>
  <c r="P187" i="39" s="1"/>
  <c r="AP43" i="27"/>
  <c r="AI43" i="27" s="1"/>
  <c r="K187" i="36"/>
  <c r="AD187" i="36" s="1"/>
  <c r="N186" i="36"/>
  <c r="O186" i="36"/>
  <c r="Q186" i="36"/>
  <c r="R186" i="36" s="1"/>
  <c r="Y186" i="36" s="1"/>
  <c r="AQ189" i="36"/>
  <c r="AT189" i="36" s="1"/>
  <c r="AW189" i="36" s="1"/>
  <c r="H190" i="36"/>
  <c r="AR189" i="36"/>
  <c r="AB189" i="36" s="1"/>
  <c r="AF187" i="36"/>
  <c r="AI187" i="36" s="1"/>
  <c r="M187" i="36"/>
  <c r="P187" i="36"/>
  <c r="AS188" i="36"/>
  <c r="AV188" i="36" s="1"/>
  <c r="AU188" i="36"/>
  <c r="J188" i="36"/>
  <c r="AZ188" i="36" s="1"/>
  <c r="AP188" i="36" s="1"/>
  <c r="M186" i="36"/>
  <c r="BA186" i="36"/>
  <c r="AI186" i="36"/>
  <c r="AD186" i="36"/>
  <c r="N218" i="17"/>
  <c r="P218" i="17"/>
  <c r="O218" i="17" s="1"/>
  <c r="J220" i="17"/>
  <c r="AP220" i="17" s="1"/>
  <c r="AS220" i="17"/>
  <c r="AV240" i="17" s="1"/>
  <c r="AU240" i="17"/>
  <c r="AR221" i="17"/>
  <c r="H222" i="17"/>
  <c r="AQ221" i="17"/>
  <c r="AT241" i="17" s="1"/>
  <c r="AW241" i="17" s="1"/>
  <c r="AP219" i="17"/>
  <c r="K219" i="17"/>
  <c r="N219" i="17" s="1"/>
  <c r="Q217" i="17"/>
  <c r="R217" i="17" s="1"/>
  <c r="X217" i="17" s="1"/>
  <c r="O217" i="17"/>
  <c r="E126" i="29"/>
  <c r="F126" i="29"/>
  <c r="AR47" i="29"/>
  <c r="AQ47" i="29"/>
  <c r="AT47" i="29" s="1"/>
  <c r="AW47" i="29" s="1"/>
  <c r="H48" i="29"/>
  <c r="AU46" i="29"/>
  <c r="AS46" i="29"/>
  <c r="AV46" i="29" s="1"/>
  <c r="AA46" i="29"/>
  <c r="O126" i="29"/>
  <c r="Q126" i="29"/>
  <c r="R126" i="29" s="1"/>
  <c r="X126" i="29" s="1"/>
  <c r="J45" i="29"/>
  <c r="L46" i="29"/>
  <c r="L130" i="29"/>
  <c r="J129" i="29"/>
  <c r="M127" i="29"/>
  <c r="AO127" i="29" s="1"/>
  <c r="N127" i="29"/>
  <c r="P127" i="29"/>
  <c r="AC127" i="29"/>
  <c r="K44" i="29"/>
  <c r="M43" i="29"/>
  <c r="AM43" i="29" s="1"/>
  <c r="A43" i="29" s="1"/>
  <c r="B43" i="29" s="1"/>
  <c r="C43" i="29" s="1"/>
  <c r="AC43" i="29"/>
  <c r="N43" i="29"/>
  <c r="P43" i="29"/>
  <c r="Q42" i="29"/>
  <c r="R42" i="29" s="1"/>
  <c r="X42" i="29" s="1"/>
  <c r="O42" i="29"/>
  <c r="K128" i="29"/>
  <c r="Q224" i="27"/>
  <c r="R224" i="27" s="1"/>
  <c r="Y224" i="27" s="1"/>
  <c r="AD225" i="27"/>
  <c r="N225" i="27"/>
  <c r="AQ45" i="27"/>
  <c r="AT45" i="27" s="1"/>
  <c r="AW45" i="27" s="1"/>
  <c r="AR45" i="27"/>
  <c r="AB45" i="27" s="1"/>
  <c r="H46" i="27"/>
  <c r="AS44" i="27"/>
  <c r="AV44" i="27" s="1"/>
  <c r="AU44" i="27"/>
  <c r="AF44" i="27"/>
  <c r="J44" i="27"/>
  <c r="K43" i="27"/>
  <c r="L95" i="27"/>
  <c r="N41" i="27"/>
  <c r="AL64" i="27"/>
  <c r="Q40" i="27"/>
  <c r="R40" i="27" s="1"/>
  <c r="O40" i="27"/>
  <c r="AI41" i="27"/>
  <c r="AF226" i="27"/>
  <c r="Q225" i="27"/>
  <c r="R225" i="27" s="1"/>
  <c r="Y225" i="27" s="1"/>
  <c r="O225" i="27"/>
  <c r="AB227" i="27"/>
  <c r="AU227" i="27"/>
  <c r="AS227" i="27"/>
  <c r="AV227" i="27" s="1"/>
  <c r="AF42" i="27"/>
  <c r="K226" i="27"/>
  <c r="AD226" i="27" s="1"/>
  <c r="O41" i="27"/>
  <c r="Q41" i="27"/>
  <c r="R41" i="27" s="1"/>
  <c r="Y41" i="27" s="1"/>
  <c r="K42" i="27"/>
  <c r="P42" i="27" s="1"/>
  <c r="M225" i="27"/>
  <c r="J227" i="27"/>
  <c r="AZ227" i="27" s="1"/>
  <c r="AP227" i="27" s="1"/>
  <c r="M41" i="27"/>
  <c r="AQ232" i="27"/>
  <c r="AT232" i="27" s="1"/>
  <c r="AW232" i="27" s="1"/>
  <c r="AR232" i="27"/>
  <c r="H233" i="27"/>
  <c r="AD41" i="27"/>
  <c r="M45" i="16"/>
  <c r="AM45" i="16" s="1"/>
  <c r="A45" i="16" s="1"/>
  <c r="B45" i="16" s="1"/>
  <c r="C45" i="16" s="1"/>
  <c r="AC45" i="16"/>
  <c r="N45" i="16"/>
  <c r="P45" i="16"/>
  <c r="Q127" i="16"/>
  <c r="R127" i="16" s="1"/>
  <c r="X127" i="16" s="1"/>
  <c r="O127" i="16"/>
  <c r="D313" i="17"/>
  <c r="E312" i="17"/>
  <c r="AR43" i="11"/>
  <c r="AQ43" i="11"/>
  <c r="AT43" i="11" s="1"/>
  <c r="AW43" i="11" s="1"/>
  <c r="H44" i="11"/>
  <c r="T127" i="16"/>
  <c r="J130" i="16"/>
  <c r="L131" i="16"/>
  <c r="AJ124" i="16"/>
  <c r="AI124" i="16" s="1"/>
  <c r="AF124" i="16"/>
  <c r="AH124" i="16"/>
  <c r="AN124" i="16" s="1"/>
  <c r="O40" i="11"/>
  <c r="Q40" i="11"/>
  <c r="R40" i="11" s="1"/>
  <c r="X40" i="11" s="1"/>
  <c r="L45" i="11"/>
  <c r="AP129" i="16"/>
  <c r="K129" i="16"/>
  <c r="AF123" i="16"/>
  <c r="AJ123" i="16"/>
  <c r="AI123" i="16" s="1"/>
  <c r="AH123" i="16"/>
  <c r="AN123" i="16" s="1"/>
  <c r="AE41" i="11"/>
  <c r="AC41" i="11"/>
  <c r="U125" i="16"/>
  <c r="Z125" i="16"/>
  <c r="Y126" i="16"/>
  <c r="L48" i="16"/>
  <c r="J47" i="16"/>
  <c r="L223" i="17"/>
  <c r="K46" i="16"/>
  <c r="AP46" i="16"/>
  <c r="O44" i="16"/>
  <c r="Q44" i="16"/>
  <c r="R44" i="16" s="1"/>
  <c r="X44" i="16" s="1"/>
  <c r="P41" i="11"/>
  <c r="N41" i="11"/>
  <c r="M128" i="16"/>
  <c r="AM128" i="16" s="1"/>
  <c r="N128" i="16"/>
  <c r="P128" i="16"/>
  <c r="AC128" i="16"/>
  <c r="W126" i="16"/>
  <c r="AU42" i="11"/>
  <c r="AS42" i="11"/>
  <c r="AV42" i="11" s="1"/>
  <c r="J42" i="11"/>
  <c r="AP42" i="11" s="1"/>
  <c r="AH40" i="11"/>
  <c r="AF189" i="50" l="1"/>
  <c r="H192" i="50"/>
  <c r="AR191" i="50"/>
  <c r="AQ191" i="50"/>
  <c r="AT191" i="50" s="1"/>
  <c r="AW191" i="50" s="1"/>
  <c r="O188" i="50"/>
  <c r="Q188" i="50"/>
  <c r="R188" i="50" s="1"/>
  <c r="Y188" i="50" s="1"/>
  <c r="AI189" i="50"/>
  <c r="K189" i="50"/>
  <c r="BA188" i="50"/>
  <c r="AU190" i="50"/>
  <c r="AB190" i="50"/>
  <c r="K190" i="50"/>
  <c r="AS190" i="50"/>
  <c r="AV190" i="50" s="1"/>
  <c r="J190" i="50"/>
  <c r="AZ190" i="50" s="1"/>
  <c r="AP190" i="50" s="1"/>
  <c r="N187" i="36"/>
  <c r="AF151" i="40"/>
  <c r="AB152" i="40"/>
  <c r="AU152" i="40"/>
  <c r="AS152" i="40"/>
  <c r="AV152" i="40" s="1"/>
  <c r="J152" i="40"/>
  <c r="AZ152" i="40" s="1"/>
  <c r="AP152" i="40" s="1"/>
  <c r="K151" i="40"/>
  <c r="P150" i="40"/>
  <c r="AD150" i="40"/>
  <c r="H154" i="40"/>
  <c r="AR153" i="40"/>
  <c r="AQ153" i="40"/>
  <c r="AT153" i="40" s="1"/>
  <c r="AW153" i="40" s="1"/>
  <c r="AI151" i="40"/>
  <c r="M150" i="40"/>
  <c r="N187" i="39"/>
  <c r="AD187" i="39"/>
  <c r="BA187" i="39"/>
  <c r="Q187" i="39"/>
  <c r="R187" i="39" s="1"/>
  <c r="Y187" i="39" s="1"/>
  <c r="O187" i="39"/>
  <c r="M187" i="39"/>
  <c r="AB189" i="39"/>
  <c r="AU189" i="39"/>
  <c r="AS189" i="39"/>
  <c r="AV189" i="39" s="1"/>
  <c r="J189" i="39"/>
  <c r="AZ189" i="39" s="1"/>
  <c r="AP189" i="39" s="1"/>
  <c r="AF188" i="39"/>
  <c r="AI188" i="39" s="1"/>
  <c r="AQ190" i="39"/>
  <c r="AT190" i="39" s="1"/>
  <c r="AW190" i="39" s="1"/>
  <c r="H191" i="39"/>
  <c r="AR190" i="39"/>
  <c r="AI187" i="39"/>
  <c r="K188" i="39"/>
  <c r="AS189" i="36"/>
  <c r="AV189" i="36" s="1"/>
  <c r="AU189" i="36"/>
  <c r="J189" i="36"/>
  <c r="AZ189" i="36" s="1"/>
  <c r="AP189" i="36" s="1"/>
  <c r="AQ190" i="36"/>
  <c r="AT190" i="36" s="1"/>
  <c r="AW190" i="36" s="1"/>
  <c r="H191" i="36"/>
  <c r="AR190" i="36"/>
  <c r="AB190" i="36" s="1"/>
  <c r="AF188" i="36"/>
  <c r="AI188" i="36" s="1"/>
  <c r="Q187" i="36"/>
  <c r="R187" i="36" s="1"/>
  <c r="Y187" i="36" s="1"/>
  <c r="O187" i="36"/>
  <c r="BA187" i="36"/>
  <c r="K188" i="36"/>
  <c r="AD188" i="36" s="1"/>
  <c r="Q218" i="17"/>
  <c r="R218" i="17" s="1"/>
  <c r="X218" i="17" s="1"/>
  <c r="K220" i="17"/>
  <c r="M220" i="17" s="1"/>
  <c r="M219" i="17"/>
  <c r="P219" i="17"/>
  <c r="H223" i="17"/>
  <c r="AR222" i="17"/>
  <c r="AQ222" i="17"/>
  <c r="AT242" i="17" s="1"/>
  <c r="AW242" i="17" s="1"/>
  <c r="AU241" i="17"/>
  <c r="J221" i="17"/>
  <c r="AS221" i="17"/>
  <c r="AV241" i="17" s="1"/>
  <c r="E127" i="29"/>
  <c r="F127" i="29"/>
  <c r="H49" i="29"/>
  <c r="AQ48" i="29"/>
  <c r="AT48" i="29" s="1"/>
  <c r="AW48" i="29" s="1"/>
  <c r="AR48" i="29"/>
  <c r="AU47" i="29"/>
  <c r="AA47" i="29"/>
  <c r="AS47" i="29"/>
  <c r="AV47" i="29" s="1"/>
  <c r="K45" i="29"/>
  <c r="M44" i="29"/>
  <c r="AM44" i="29" s="1"/>
  <c r="A44" i="29" s="1"/>
  <c r="B44" i="29" s="1"/>
  <c r="C44" i="29" s="1"/>
  <c r="N44" i="29"/>
  <c r="P44" i="29"/>
  <c r="AC44" i="29"/>
  <c r="K129" i="29"/>
  <c r="O127" i="29"/>
  <c r="Q127" i="29"/>
  <c r="R127" i="29" s="1"/>
  <c r="X127" i="29" s="1"/>
  <c r="J130" i="29"/>
  <c r="L131" i="29"/>
  <c r="M128" i="29"/>
  <c r="AO128" i="29" s="1"/>
  <c r="P128" i="29"/>
  <c r="N128" i="29"/>
  <c r="AC128" i="29"/>
  <c r="Q43" i="29"/>
  <c r="R43" i="29" s="1"/>
  <c r="X43" i="29" s="1"/>
  <c r="O43" i="29"/>
  <c r="J46" i="29"/>
  <c r="L47" i="29"/>
  <c r="P226" i="27"/>
  <c r="O226" i="27" s="1"/>
  <c r="K227" i="27"/>
  <c r="M227" i="27" s="1"/>
  <c r="W127" i="16"/>
  <c r="AR46" i="27"/>
  <c r="AB46" i="27" s="1"/>
  <c r="H47" i="27"/>
  <c r="AQ46" i="27"/>
  <c r="AT46" i="27" s="1"/>
  <c r="AW46" i="27" s="1"/>
  <c r="AD43" i="27"/>
  <c r="M43" i="27"/>
  <c r="AF45" i="27"/>
  <c r="AU45" i="27"/>
  <c r="AS45" i="27"/>
  <c r="AV45" i="27" s="1"/>
  <c r="J45" i="27"/>
  <c r="K44" i="27"/>
  <c r="AZ44" i="27"/>
  <c r="P43" i="27"/>
  <c r="N43" i="27"/>
  <c r="L96" i="27"/>
  <c r="N42" i="27"/>
  <c r="AD42" i="27"/>
  <c r="AL65" i="27"/>
  <c r="AS232" i="27"/>
  <c r="AV232" i="27" s="1"/>
  <c r="AB232" i="27"/>
  <c r="AU232" i="27"/>
  <c r="J232" i="27"/>
  <c r="AZ232" i="27" s="1"/>
  <c r="AP232" i="27" s="1"/>
  <c r="N226" i="27"/>
  <c r="AI42" i="27"/>
  <c r="M42" i="27"/>
  <c r="O42" i="27"/>
  <c r="Q42" i="27"/>
  <c r="R42" i="27" s="1"/>
  <c r="Y42" i="27" s="1"/>
  <c r="AI226" i="27"/>
  <c r="AR233" i="27"/>
  <c r="H234" i="27"/>
  <c r="AQ233" i="27"/>
  <c r="AT233" i="27" s="1"/>
  <c r="AW233" i="27" s="1"/>
  <c r="M226" i="27"/>
  <c r="AF227" i="27"/>
  <c r="AI227" i="27" s="1"/>
  <c r="Y40" i="27"/>
  <c r="U127" i="16"/>
  <c r="AY127" i="16" s="1"/>
  <c r="Z127" i="16"/>
  <c r="Q41" i="11"/>
  <c r="R41" i="11" s="1"/>
  <c r="X41" i="11" s="1"/>
  <c r="O41" i="11"/>
  <c r="M46" i="16"/>
  <c r="AM46" i="16" s="1"/>
  <c r="A46" i="16" s="1"/>
  <c r="B46" i="16" s="1"/>
  <c r="C46" i="16" s="1"/>
  <c r="N46" i="16"/>
  <c r="AC46" i="16"/>
  <c r="P46" i="16"/>
  <c r="AH41" i="11"/>
  <c r="L46" i="11"/>
  <c r="L224" i="17"/>
  <c r="AX125" i="16"/>
  <c r="AY125" i="16"/>
  <c r="V125" i="16"/>
  <c r="N42" i="11"/>
  <c r="P42" i="11"/>
  <c r="O128" i="16"/>
  <c r="Q128" i="16"/>
  <c r="R128" i="16" s="1"/>
  <c r="X128" i="16" s="1"/>
  <c r="AP47" i="16"/>
  <c r="K47" i="16"/>
  <c r="AC42" i="11"/>
  <c r="AE42" i="11"/>
  <c r="AH42" i="11" s="1"/>
  <c r="T128" i="16"/>
  <c r="L49" i="16"/>
  <c r="J48" i="16"/>
  <c r="H45" i="11"/>
  <c r="AR44" i="11"/>
  <c r="AQ44" i="11"/>
  <c r="AT44" i="11" s="1"/>
  <c r="AW44" i="11" s="1"/>
  <c r="D314" i="17"/>
  <c r="E313" i="17"/>
  <c r="Z126" i="16"/>
  <c r="U126" i="16"/>
  <c r="K130" i="16"/>
  <c r="AP130" i="16"/>
  <c r="AS43" i="11"/>
  <c r="AV43" i="11" s="1"/>
  <c r="AU43" i="11"/>
  <c r="J43" i="11"/>
  <c r="AP43" i="11" s="1"/>
  <c r="Q45" i="16"/>
  <c r="R45" i="16" s="1"/>
  <c r="X45" i="16" s="1"/>
  <c r="O45" i="16"/>
  <c r="Y127" i="16"/>
  <c r="V127" i="16"/>
  <c r="AB125" i="16"/>
  <c r="AG125" i="16" s="1"/>
  <c r="AK125" i="16" s="1"/>
  <c r="AD125" i="16"/>
  <c r="AE125" i="16" s="1"/>
  <c r="M129" i="16"/>
  <c r="AM129" i="16" s="1"/>
  <c r="P129" i="16"/>
  <c r="N129" i="16"/>
  <c r="AC129" i="16"/>
  <c r="L132" i="16"/>
  <c r="J131" i="16"/>
  <c r="M189" i="50" l="1"/>
  <c r="AD190" i="50"/>
  <c r="AF190" i="50"/>
  <c r="N189" i="50"/>
  <c r="H193" i="50"/>
  <c r="AQ192" i="50"/>
  <c r="AT192" i="50" s="1"/>
  <c r="AW192" i="50" s="1"/>
  <c r="AR192" i="50"/>
  <c r="P189" i="50"/>
  <c r="AD189" i="50"/>
  <c r="BA189" i="50"/>
  <c r="AI190" i="50"/>
  <c r="M190" i="50"/>
  <c r="AS191" i="50"/>
  <c r="AV191" i="50" s="1"/>
  <c r="AU191" i="50"/>
  <c r="AB191" i="50"/>
  <c r="J191" i="50"/>
  <c r="AZ191" i="50" s="1"/>
  <c r="AP191" i="50" s="1"/>
  <c r="P190" i="50"/>
  <c r="N190" i="50"/>
  <c r="M151" i="40"/>
  <c r="AR154" i="40"/>
  <c r="AQ154" i="40"/>
  <c r="AT154" i="40" s="1"/>
  <c r="AW154" i="40" s="1"/>
  <c r="H155" i="40"/>
  <c r="AD151" i="40"/>
  <c r="AU153" i="40"/>
  <c r="AS153" i="40"/>
  <c r="AV153" i="40" s="1"/>
  <c r="AB153" i="40"/>
  <c r="J153" i="40"/>
  <c r="AZ153" i="40" s="1"/>
  <c r="AP153" i="40" s="1"/>
  <c r="N151" i="40"/>
  <c r="K152" i="40"/>
  <c r="P152" i="40" s="1"/>
  <c r="P151" i="40"/>
  <c r="Q150" i="40"/>
  <c r="R150" i="40" s="1"/>
  <c r="O150" i="40"/>
  <c r="AF152" i="40"/>
  <c r="M188" i="39"/>
  <c r="AQ191" i="39"/>
  <c r="AT191" i="39" s="1"/>
  <c r="AW191" i="39" s="1"/>
  <c r="H192" i="39"/>
  <c r="AR191" i="39"/>
  <c r="N188" i="39"/>
  <c r="BA188" i="39"/>
  <c r="K189" i="39"/>
  <c r="P189" i="39" s="1"/>
  <c r="P188" i="39"/>
  <c r="AD188" i="39"/>
  <c r="AB190" i="39"/>
  <c r="AU190" i="39"/>
  <c r="AS190" i="39"/>
  <c r="AV190" i="39" s="1"/>
  <c r="J190" i="39"/>
  <c r="AZ190" i="39" s="1"/>
  <c r="AP190" i="39" s="1"/>
  <c r="AF189" i="39"/>
  <c r="AI189" i="39" s="1"/>
  <c r="AD189" i="39"/>
  <c r="AP44" i="27"/>
  <c r="AI44" i="27" s="1"/>
  <c r="N188" i="36"/>
  <c r="K189" i="36"/>
  <c r="AD189" i="36" s="1"/>
  <c r="M188" i="36"/>
  <c r="P188" i="36"/>
  <c r="BA188" i="36"/>
  <c r="AS190" i="36"/>
  <c r="AV190" i="36" s="1"/>
  <c r="AU190" i="36"/>
  <c r="J190" i="36"/>
  <c r="AZ190" i="36" s="1"/>
  <c r="AP190" i="36" s="1"/>
  <c r="AF189" i="36"/>
  <c r="AQ191" i="36"/>
  <c r="AT191" i="36" s="1"/>
  <c r="AW191" i="36" s="1"/>
  <c r="H192" i="36"/>
  <c r="AR191" i="36"/>
  <c r="AB191" i="36" s="1"/>
  <c r="P220" i="17"/>
  <c r="O220" i="17" s="1"/>
  <c r="Q219" i="17"/>
  <c r="R219" i="17" s="1"/>
  <c r="X219" i="17" s="1"/>
  <c r="O219" i="17"/>
  <c r="AP221" i="17"/>
  <c r="K221" i="17"/>
  <c r="AS222" i="17"/>
  <c r="AV242" i="17" s="1"/>
  <c r="J222" i="17"/>
  <c r="AU242" i="17"/>
  <c r="H224" i="17"/>
  <c r="AR223" i="17"/>
  <c r="AQ223" i="17"/>
  <c r="AT243" i="17" s="1"/>
  <c r="AW243" i="17" s="1"/>
  <c r="N220" i="17"/>
  <c r="F128" i="29"/>
  <c r="E128" i="29"/>
  <c r="AU48" i="29"/>
  <c r="AA48" i="29"/>
  <c r="AS48" i="29"/>
  <c r="AV48" i="29" s="1"/>
  <c r="H50" i="29"/>
  <c r="AR49" i="29"/>
  <c r="AQ49" i="29"/>
  <c r="AT49" i="29" s="1"/>
  <c r="AW49" i="29" s="1"/>
  <c r="Q128" i="29"/>
  <c r="R128" i="29" s="1"/>
  <c r="X128" i="29" s="1"/>
  <c r="O128" i="29"/>
  <c r="M129" i="29"/>
  <c r="AO129" i="29" s="1"/>
  <c r="AC129" i="29"/>
  <c r="P129" i="29"/>
  <c r="N129" i="29"/>
  <c r="Q44" i="29"/>
  <c r="R44" i="29" s="1"/>
  <c r="X44" i="29" s="1"/>
  <c r="O44" i="29"/>
  <c r="K130" i="29"/>
  <c r="M45" i="29"/>
  <c r="AM45" i="29" s="1"/>
  <c r="A45" i="29" s="1"/>
  <c r="B45" i="29" s="1"/>
  <c r="C45" i="29" s="1"/>
  <c r="AC45" i="29"/>
  <c r="P45" i="29"/>
  <c r="N45" i="29"/>
  <c r="K46" i="29"/>
  <c r="L48" i="29"/>
  <c r="J47" i="29"/>
  <c r="L132" i="29"/>
  <c r="J131" i="29"/>
  <c r="AD227" i="27"/>
  <c r="Q226" i="27"/>
  <c r="R226" i="27" s="1"/>
  <c r="Y226" i="27" s="1"/>
  <c r="N227" i="27"/>
  <c r="P227" i="27"/>
  <c r="Q227" i="27" s="1"/>
  <c r="R227" i="27" s="1"/>
  <c r="Y227" i="27" s="1"/>
  <c r="AX127" i="16"/>
  <c r="AZ45" i="27"/>
  <c r="K45" i="27"/>
  <c r="AQ47" i="27"/>
  <c r="AT47" i="27" s="1"/>
  <c r="AW47" i="27" s="1"/>
  <c r="AR47" i="27"/>
  <c r="AB47" i="27" s="1"/>
  <c r="H48" i="27"/>
  <c r="M44" i="27"/>
  <c r="AD44" i="27"/>
  <c r="AF46" i="27"/>
  <c r="AS46" i="27"/>
  <c r="AV46" i="27" s="1"/>
  <c r="AU46" i="27"/>
  <c r="J46" i="27"/>
  <c r="O43" i="27"/>
  <c r="Q43" i="27"/>
  <c r="R43" i="27" s="1"/>
  <c r="Y43" i="27" s="1"/>
  <c r="P44" i="27"/>
  <c r="N44" i="27"/>
  <c r="L97" i="27"/>
  <c r="AL66" i="27"/>
  <c r="K232" i="27"/>
  <c r="AD232" i="27" s="1"/>
  <c r="H235" i="27"/>
  <c r="AR234" i="27"/>
  <c r="AQ234" i="27"/>
  <c r="AT234" i="27" s="1"/>
  <c r="AW234" i="27" s="1"/>
  <c r="AS233" i="27"/>
  <c r="AV233" i="27" s="1"/>
  <c r="AB233" i="27"/>
  <c r="AU233" i="27"/>
  <c r="J233" i="27"/>
  <c r="AZ233" i="27" s="1"/>
  <c r="AP233" i="27" s="1"/>
  <c r="Q129" i="16"/>
  <c r="R129" i="16" s="1"/>
  <c r="X129" i="16" s="1"/>
  <c r="O129" i="16"/>
  <c r="Y128" i="16"/>
  <c r="M47" i="16"/>
  <c r="AM47" i="16" s="1"/>
  <c r="A47" i="16" s="1"/>
  <c r="B47" i="16" s="1"/>
  <c r="C47" i="16" s="1"/>
  <c r="N47" i="16"/>
  <c r="P47" i="16"/>
  <c r="AC47" i="16"/>
  <c r="O42" i="11"/>
  <c r="Q42" i="11"/>
  <c r="R42" i="11" s="1"/>
  <c r="X42" i="11" s="1"/>
  <c r="L225" i="17"/>
  <c r="AJ125" i="16"/>
  <c r="AI125" i="16" s="1"/>
  <c r="AF125" i="16"/>
  <c r="AH125" i="16"/>
  <c r="AN125" i="16" s="1"/>
  <c r="AE43" i="11"/>
  <c r="AH43" i="11" s="1"/>
  <c r="AC43" i="11"/>
  <c r="V126" i="16"/>
  <c r="AX126" i="16"/>
  <c r="AY126" i="16"/>
  <c r="E314" i="17"/>
  <c r="D315" i="17"/>
  <c r="AD127" i="16"/>
  <c r="AE127" i="16" s="1"/>
  <c r="AB127" i="16"/>
  <c r="AG127" i="16" s="1"/>
  <c r="AK127" i="16" s="1"/>
  <c r="AU44" i="11"/>
  <c r="AS44" i="11"/>
  <c r="AV44" i="11" s="1"/>
  <c r="J44" i="11"/>
  <c r="AP44" i="11" s="1"/>
  <c r="J49" i="16"/>
  <c r="L50" i="16"/>
  <c r="AP131" i="16"/>
  <c r="K131" i="16"/>
  <c r="P43" i="11"/>
  <c r="N43" i="11"/>
  <c r="AB126" i="16"/>
  <c r="AG126" i="16" s="1"/>
  <c r="AK126" i="16" s="1"/>
  <c r="AD126" i="16"/>
  <c r="AE126" i="16" s="1"/>
  <c r="N130" i="16"/>
  <c r="M130" i="16"/>
  <c r="AM130" i="16" s="1"/>
  <c r="P130" i="16"/>
  <c r="AC130" i="16"/>
  <c r="K48" i="16"/>
  <c r="AP48" i="16"/>
  <c r="AR45" i="11"/>
  <c r="AQ45" i="11"/>
  <c r="AT45" i="11" s="1"/>
  <c r="AW45" i="11" s="1"/>
  <c r="H46" i="11"/>
  <c r="L47" i="11"/>
  <c r="L133" i="16"/>
  <c r="J132" i="16"/>
  <c r="T129" i="16"/>
  <c r="W128" i="16"/>
  <c r="Q46" i="16"/>
  <c r="R46" i="16" s="1"/>
  <c r="X46" i="16" s="1"/>
  <c r="O46" i="16"/>
  <c r="O189" i="50" l="1"/>
  <c r="Q189" i="50"/>
  <c r="R189" i="50" s="1"/>
  <c r="Y189" i="50" s="1"/>
  <c r="BA190" i="50"/>
  <c r="AF191" i="50"/>
  <c r="AI191" i="50" s="1"/>
  <c r="AB192" i="50"/>
  <c r="AU192" i="50"/>
  <c r="AS192" i="50"/>
  <c r="AV192" i="50" s="1"/>
  <c r="J192" i="50"/>
  <c r="AZ192" i="50" s="1"/>
  <c r="AP192" i="50" s="1"/>
  <c r="O190" i="50"/>
  <c r="Q190" i="50"/>
  <c r="R190" i="50" s="1"/>
  <c r="Y190" i="50" s="1"/>
  <c r="K191" i="50"/>
  <c r="P191" i="50" s="1"/>
  <c r="AR193" i="50"/>
  <c r="AQ193" i="50"/>
  <c r="AT193" i="50" s="1"/>
  <c r="AW193" i="50" s="1"/>
  <c r="H195" i="50"/>
  <c r="Q152" i="40"/>
  <c r="R152" i="40" s="1"/>
  <c r="Y152" i="40" s="1"/>
  <c r="O152" i="40"/>
  <c r="AQ155" i="40"/>
  <c r="AT155" i="40" s="1"/>
  <c r="AW155" i="40" s="1"/>
  <c r="AR155" i="40"/>
  <c r="H156" i="40"/>
  <c r="Y150" i="40"/>
  <c r="O151" i="40"/>
  <c r="Q151" i="40"/>
  <c r="R151" i="40" s="1"/>
  <c r="Y151" i="40" s="1"/>
  <c r="AF153" i="40"/>
  <c r="AS154" i="40"/>
  <c r="AV154" i="40" s="1"/>
  <c r="AB154" i="40"/>
  <c r="AU154" i="40"/>
  <c r="J154" i="40"/>
  <c r="AZ154" i="40" s="1"/>
  <c r="AP154" i="40" s="1"/>
  <c r="M152" i="40"/>
  <c r="AD152" i="40"/>
  <c r="AI152" i="40"/>
  <c r="K153" i="40"/>
  <c r="N153" i="40" s="1"/>
  <c r="N152" i="40"/>
  <c r="Q189" i="39"/>
  <c r="R189" i="39" s="1"/>
  <c r="Y189" i="39" s="1"/>
  <c r="O189" i="39"/>
  <c r="AQ192" i="39"/>
  <c r="AT192" i="39" s="1"/>
  <c r="AW192" i="39" s="1"/>
  <c r="H193" i="39"/>
  <c r="AR192" i="39"/>
  <c r="K190" i="39"/>
  <c r="P190" i="39" s="1"/>
  <c r="N189" i="39"/>
  <c r="AF190" i="39"/>
  <c r="Q188" i="39"/>
  <c r="R188" i="39" s="1"/>
  <c r="Y188" i="39" s="1"/>
  <c r="O188" i="39"/>
  <c r="BA189" i="39"/>
  <c r="M189" i="39"/>
  <c r="AB191" i="39"/>
  <c r="AU191" i="39"/>
  <c r="AS191" i="39"/>
  <c r="AV191" i="39" s="1"/>
  <c r="J191" i="39"/>
  <c r="AZ191" i="39" s="1"/>
  <c r="AP191" i="39" s="1"/>
  <c r="AP45" i="27"/>
  <c r="AI45" i="27" s="1"/>
  <c r="N189" i="36"/>
  <c r="BA189" i="36"/>
  <c r="AI189" i="36"/>
  <c r="AF190" i="36"/>
  <c r="AI190" i="36" s="1"/>
  <c r="P189" i="36"/>
  <c r="AS191" i="36"/>
  <c r="AV191" i="36" s="1"/>
  <c r="AU191" i="36"/>
  <c r="J191" i="36"/>
  <c r="AZ191" i="36" s="1"/>
  <c r="AP191" i="36" s="1"/>
  <c r="AQ192" i="36"/>
  <c r="AT192" i="36" s="1"/>
  <c r="AW192" i="36" s="1"/>
  <c r="AR192" i="36"/>
  <c r="AB192" i="36" s="1"/>
  <c r="H193" i="36"/>
  <c r="O188" i="36"/>
  <c r="Q188" i="36"/>
  <c r="R188" i="36" s="1"/>
  <c r="M189" i="36"/>
  <c r="K190" i="36"/>
  <c r="P190" i="36" s="1"/>
  <c r="Q220" i="17"/>
  <c r="R220" i="17" s="1"/>
  <c r="X220" i="17" s="1"/>
  <c r="AQ224" i="17"/>
  <c r="AT244" i="17" s="1"/>
  <c r="AW244" i="17" s="1"/>
  <c r="H225" i="17"/>
  <c r="AR224" i="17"/>
  <c r="P221" i="17"/>
  <c r="M221" i="17"/>
  <c r="N221" i="17"/>
  <c r="AP222" i="17"/>
  <c r="K222" i="17"/>
  <c r="M222" i="17" s="1"/>
  <c r="AS223" i="17"/>
  <c r="AV243" i="17" s="1"/>
  <c r="AU243" i="17"/>
  <c r="J223" i="17"/>
  <c r="E129" i="29"/>
  <c r="F129" i="29"/>
  <c r="H51" i="29"/>
  <c r="AR50" i="29"/>
  <c r="AQ50" i="29"/>
  <c r="AT50" i="29" s="1"/>
  <c r="AW50" i="29" s="1"/>
  <c r="AA49" i="29"/>
  <c r="AU49" i="29"/>
  <c r="AS49" i="29"/>
  <c r="AV49" i="29" s="1"/>
  <c r="K131" i="29"/>
  <c r="L133" i="29"/>
  <c r="J132" i="29"/>
  <c r="M130" i="29"/>
  <c r="AO130" i="29" s="1"/>
  <c r="AC130" i="29"/>
  <c r="P130" i="29"/>
  <c r="N130" i="29"/>
  <c r="O129" i="29"/>
  <c r="Q129" i="29"/>
  <c r="R129" i="29" s="1"/>
  <c r="X129" i="29" s="1"/>
  <c r="Q45" i="29"/>
  <c r="R45" i="29" s="1"/>
  <c r="X45" i="29" s="1"/>
  <c r="O45" i="29"/>
  <c r="M46" i="29"/>
  <c r="AM46" i="29" s="1"/>
  <c r="A46" i="29" s="1"/>
  <c r="B46" i="29" s="1"/>
  <c r="C46" i="29" s="1"/>
  <c r="N46" i="29"/>
  <c r="P46" i="29"/>
  <c r="AC46" i="29"/>
  <c r="K47" i="29"/>
  <c r="J48" i="29"/>
  <c r="L49" i="29"/>
  <c r="O227" i="27"/>
  <c r="N232" i="27"/>
  <c r="P232" i="27"/>
  <c r="Q232" i="27" s="1"/>
  <c r="R232" i="27" s="1"/>
  <c r="Y232" i="27" s="1"/>
  <c r="AZ46" i="27"/>
  <c r="K46" i="27"/>
  <c r="H49" i="27"/>
  <c r="AQ48" i="27"/>
  <c r="AT48" i="27" s="1"/>
  <c r="AW48" i="27" s="1"/>
  <c r="AR48" i="27"/>
  <c r="AB48" i="27" s="1"/>
  <c r="AF47" i="27"/>
  <c r="AU47" i="27"/>
  <c r="AS47" i="27"/>
  <c r="AV47" i="27" s="1"/>
  <c r="J47" i="27"/>
  <c r="Q44" i="27"/>
  <c r="R44" i="27" s="1"/>
  <c r="Y44" i="27" s="1"/>
  <c r="O44" i="27"/>
  <c r="M45" i="27"/>
  <c r="P45" i="27"/>
  <c r="AD45" i="27"/>
  <c r="N45" i="27"/>
  <c r="L98" i="27"/>
  <c r="AL67" i="27"/>
  <c r="AU234" i="27"/>
  <c r="AS234" i="27"/>
  <c r="AV234" i="27" s="1"/>
  <c r="AB234" i="27"/>
  <c r="J234" i="27"/>
  <c r="AZ234" i="27" s="1"/>
  <c r="AP234" i="27" s="1"/>
  <c r="M232" i="27"/>
  <c r="K233" i="27"/>
  <c r="N233" i="27" s="1"/>
  <c r="AR235" i="27"/>
  <c r="AQ235" i="27"/>
  <c r="AT235" i="27" s="1"/>
  <c r="AW235" i="27" s="1"/>
  <c r="H236" i="27"/>
  <c r="AS45" i="11"/>
  <c r="AV45" i="11" s="1"/>
  <c r="AU45" i="11"/>
  <c r="J45" i="11"/>
  <c r="AP45" i="11" s="1"/>
  <c r="T130" i="16"/>
  <c r="AE44" i="11"/>
  <c r="AH44" i="11" s="1"/>
  <c r="AC44" i="11"/>
  <c r="AJ127" i="16"/>
  <c r="AI127" i="16" s="1"/>
  <c r="AF127" i="16"/>
  <c r="AH127" i="16"/>
  <c r="AN127" i="16" s="1"/>
  <c r="E315" i="17"/>
  <c r="D316" i="17"/>
  <c r="E316" i="17" s="1"/>
  <c r="AF126" i="16"/>
  <c r="AJ126" i="16"/>
  <c r="AI126" i="16" s="1"/>
  <c r="AH126" i="16"/>
  <c r="AN126" i="16" s="1"/>
  <c r="L51" i="16"/>
  <c r="J50" i="16"/>
  <c r="L226" i="17"/>
  <c r="O47" i="16"/>
  <c r="Q47" i="16"/>
  <c r="R47" i="16" s="1"/>
  <c r="X47" i="16" s="1"/>
  <c r="U128" i="16"/>
  <c r="Z128" i="16"/>
  <c r="Q43" i="11"/>
  <c r="R43" i="11" s="1"/>
  <c r="X43" i="11" s="1"/>
  <c r="O43" i="11"/>
  <c r="K49" i="16"/>
  <c r="AP49" i="16"/>
  <c r="M131" i="16"/>
  <c r="AM131" i="16" s="1"/>
  <c r="P131" i="16"/>
  <c r="N131" i="16"/>
  <c r="AC131" i="16"/>
  <c r="Y129" i="16"/>
  <c r="W129" i="16"/>
  <c r="K132" i="16"/>
  <c r="AP132" i="16"/>
  <c r="H47" i="11"/>
  <c r="AR46" i="11"/>
  <c r="AQ46" i="11"/>
  <c r="AT46" i="11" s="1"/>
  <c r="AW46" i="11" s="1"/>
  <c r="Q130" i="16"/>
  <c r="R130" i="16" s="1"/>
  <c r="X130" i="16" s="1"/>
  <c r="O130" i="16"/>
  <c r="J133" i="16"/>
  <c r="L134" i="16"/>
  <c r="L48" i="11"/>
  <c r="M48" i="16"/>
  <c r="AM48" i="16" s="1"/>
  <c r="A48" i="16" s="1"/>
  <c r="B48" i="16" s="1"/>
  <c r="C48" i="16" s="1"/>
  <c r="AC48" i="16"/>
  <c r="P48" i="16"/>
  <c r="N48" i="16"/>
  <c r="N44" i="11"/>
  <c r="P44" i="11"/>
  <c r="O191" i="50" l="1"/>
  <c r="Q191" i="50"/>
  <c r="R191" i="50" s="1"/>
  <c r="Y191" i="50" s="1"/>
  <c r="AQ195" i="50"/>
  <c r="AT195" i="50" s="1"/>
  <c r="AW195" i="50" s="1"/>
  <c r="AR195" i="50"/>
  <c r="K192" i="50"/>
  <c r="N192" i="50"/>
  <c r="P192" i="50"/>
  <c r="AB193" i="50"/>
  <c r="J193" i="50"/>
  <c r="AZ193" i="50" s="1"/>
  <c r="AP193" i="50" s="1"/>
  <c r="AS193" i="50"/>
  <c r="AV193" i="50" s="1"/>
  <c r="AU193" i="50"/>
  <c r="AF192" i="50"/>
  <c r="AI192" i="50" s="1"/>
  <c r="AD192" i="50"/>
  <c r="BA191" i="50"/>
  <c r="M191" i="50"/>
  <c r="AD191" i="50"/>
  <c r="N191" i="50"/>
  <c r="P153" i="40"/>
  <c r="Q153" i="40" s="1"/>
  <c r="R153" i="40" s="1"/>
  <c r="Y153" i="40" s="1"/>
  <c r="O153" i="40"/>
  <c r="AR156" i="40"/>
  <c r="H157" i="40"/>
  <c r="AQ156" i="40"/>
  <c r="AT156" i="40" s="1"/>
  <c r="AW156" i="40" s="1"/>
  <c r="M153" i="40"/>
  <c r="AF154" i="40"/>
  <c r="AB155" i="40"/>
  <c r="AU155" i="40"/>
  <c r="AS155" i="40"/>
  <c r="AV155" i="40" s="1"/>
  <c r="J155" i="40"/>
  <c r="AZ155" i="40" s="1"/>
  <c r="AP155" i="40" s="1"/>
  <c r="K154" i="40"/>
  <c r="AD154" i="40" s="1"/>
  <c r="AI153" i="40"/>
  <c r="AD153" i="40"/>
  <c r="N190" i="39"/>
  <c r="AF191" i="39"/>
  <c r="AI191" i="39" s="1"/>
  <c r="AB192" i="39"/>
  <c r="AU192" i="39"/>
  <c r="AS192" i="39"/>
  <c r="AV192" i="39" s="1"/>
  <c r="J192" i="39"/>
  <c r="AZ192" i="39" s="1"/>
  <c r="AP192" i="39" s="1"/>
  <c r="H195" i="39"/>
  <c r="AQ193" i="39"/>
  <c r="AT193" i="39" s="1"/>
  <c r="AW193" i="39" s="1"/>
  <c r="AR193" i="39"/>
  <c r="Q190" i="39"/>
  <c r="R190" i="39" s="1"/>
  <c r="Y190" i="39" s="1"/>
  <c r="O190" i="39"/>
  <c r="M190" i="39"/>
  <c r="BA190" i="39"/>
  <c r="K191" i="39"/>
  <c r="AD190" i="39"/>
  <c r="AI190" i="39"/>
  <c r="AP46" i="27"/>
  <c r="AI46" i="27" s="1"/>
  <c r="AD190" i="36"/>
  <c r="O190" i="36"/>
  <c r="Q190" i="36"/>
  <c r="R190" i="36" s="1"/>
  <c r="Y190" i="36" s="1"/>
  <c r="AU192" i="36"/>
  <c r="AS192" i="36"/>
  <c r="AV192" i="36" s="1"/>
  <c r="J192" i="36"/>
  <c r="AZ192" i="36" s="1"/>
  <c r="AP192" i="36" s="1"/>
  <c r="N190" i="36"/>
  <c r="Y188" i="36"/>
  <c r="O189" i="36"/>
  <c r="Q189" i="36"/>
  <c r="R189" i="36" s="1"/>
  <c r="M190" i="36"/>
  <c r="K191" i="36"/>
  <c r="AD191" i="36" s="1"/>
  <c r="BA190" i="36"/>
  <c r="H195" i="36"/>
  <c r="AQ193" i="36"/>
  <c r="AT193" i="36" s="1"/>
  <c r="AW193" i="36" s="1"/>
  <c r="AR193" i="36"/>
  <c r="AB193" i="36" s="1"/>
  <c r="AF191" i="36"/>
  <c r="P222" i="17"/>
  <c r="Q222" i="17" s="1"/>
  <c r="R222" i="17" s="1"/>
  <c r="X222" i="17" s="1"/>
  <c r="N222" i="17"/>
  <c r="AP223" i="17"/>
  <c r="K223" i="17"/>
  <c r="P223" i="17" s="1"/>
  <c r="AU244" i="17"/>
  <c r="AS224" i="17"/>
  <c r="AV244" i="17" s="1"/>
  <c r="J224" i="17"/>
  <c r="AP224" i="17" s="1"/>
  <c r="AQ225" i="17"/>
  <c r="AT245" i="17" s="1"/>
  <c r="AW245" i="17" s="1"/>
  <c r="AR225" i="17"/>
  <c r="H226" i="17"/>
  <c r="Q221" i="17"/>
  <c r="R221" i="17" s="1"/>
  <c r="X221" i="17" s="1"/>
  <c r="O221" i="17"/>
  <c r="E130" i="29"/>
  <c r="F130" i="29"/>
  <c r="AA50" i="29"/>
  <c r="AU50" i="29"/>
  <c r="AS50" i="29"/>
  <c r="AV50" i="29" s="1"/>
  <c r="H52" i="29"/>
  <c r="AQ51" i="29"/>
  <c r="AT51" i="29" s="1"/>
  <c r="AW51" i="29" s="1"/>
  <c r="AR51" i="29"/>
  <c r="J49" i="29"/>
  <c r="L50" i="29"/>
  <c r="Q130" i="29"/>
  <c r="R130" i="29" s="1"/>
  <c r="X130" i="29" s="1"/>
  <c r="O130" i="29"/>
  <c r="Q46" i="29"/>
  <c r="R46" i="29" s="1"/>
  <c r="X46" i="29" s="1"/>
  <c r="O46" i="29"/>
  <c r="K132" i="29"/>
  <c r="L134" i="29"/>
  <c r="J133" i="29"/>
  <c r="K48" i="29"/>
  <c r="M47" i="29"/>
  <c r="AM47" i="29" s="1"/>
  <c r="A47" i="29" s="1"/>
  <c r="B47" i="29" s="1"/>
  <c r="C47" i="29" s="1"/>
  <c r="AC47" i="29"/>
  <c r="N47" i="29"/>
  <c r="P47" i="29"/>
  <c r="M131" i="29"/>
  <c r="AO131" i="29" s="1"/>
  <c r="N131" i="29"/>
  <c r="P131" i="29"/>
  <c r="AC131" i="29"/>
  <c r="P233" i="27"/>
  <c r="O233" i="27" s="1"/>
  <c r="O232" i="27"/>
  <c r="K234" i="27"/>
  <c r="M234" i="27" s="1"/>
  <c r="AF48" i="27"/>
  <c r="AU48" i="27"/>
  <c r="AS48" i="27"/>
  <c r="AV48" i="27" s="1"/>
  <c r="J48" i="27"/>
  <c r="AZ47" i="27"/>
  <c r="K47" i="27"/>
  <c r="AD47" i="27" s="1"/>
  <c r="H50" i="27"/>
  <c r="AQ49" i="27"/>
  <c r="AT49" i="27" s="1"/>
  <c r="AW49" i="27" s="1"/>
  <c r="AR49" i="27"/>
  <c r="AB49" i="27" s="1"/>
  <c r="N46" i="27"/>
  <c r="P46" i="27"/>
  <c r="AD46" i="27"/>
  <c r="M46" i="27"/>
  <c r="Q45" i="27"/>
  <c r="R45" i="27" s="1"/>
  <c r="Y45" i="27" s="1"/>
  <c r="O45" i="27"/>
  <c r="L99" i="27"/>
  <c r="H237" i="27"/>
  <c r="AQ236" i="27"/>
  <c r="AT236" i="27" s="1"/>
  <c r="AW236" i="27" s="1"/>
  <c r="AR236" i="27"/>
  <c r="AS235" i="27"/>
  <c r="AV235" i="27" s="1"/>
  <c r="AB235" i="27"/>
  <c r="AU235" i="27"/>
  <c r="J235" i="27"/>
  <c r="AZ235" i="27" s="1"/>
  <c r="AP235" i="27" s="1"/>
  <c r="M233" i="27"/>
  <c r="AD233" i="27"/>
  <c r="Q48" i="16"/>
  <c r="R48" i="16" s="1"/>
  <c r="X48" i="16" s="1"/>
  <c r="O48" i="16"/>
  <c r="Z129" i="16"/>
  <c r="U129" i="16"/>
  <c r="AU46" i="11"/>
  <c r="AS46" i="11"/>
  <c r="AV46" i="11" s="1"/>
  <c r="J46" i="11"/>
  <c r="AP46" i="11" s="1"/>
  <c r="O44" i="11"/>
  <c r="Q44" i="11"/>
  <c r="R44" i="11" s="1"/>
  <c r="X44" i="11" s="1"/>
  <c r="L135" i="16"/>
  <c r="J134" i="16"/>
  <c r="AR47" i="11"/>
  <c r="AQ47" i="11"/>
  <c r="AT47" i="11" s="1"/>
  <c r="AW47" i="11" s="1"/>
  <c r="H48" i="11"/>
  <c r="O131" i="16"/>
  <c r="Q131" i="16"/>
  <c r="R131" i="16" s="1"/>
  <c r="X131" i="16" s="1"/>
  <c r="J51" i="16"/>
  <c r="L52" i="16"/>
  <c r="W130" i="16"/>
  <c r="M132" i="16"/>
  <c r="AM132" i="16" s="1"/>
  <c r="AC132" i="16"/>
  <c r="P132" i="16"/>
  <c r="N132" i="16"/>
  <c r="AB128" i="16"/>
  <c r="AG128" i="16" s="1"/>
  <c r="AK128" i="16" s="1"/>
  <c r="AD128" i="16"/>
  <c r="AE128" i="16" s="1"/>
  <c r="L49" i="11"/>
  <c r="V128" i="16"/>
  <c r="AY128" i="16"/>
  <c r="AX128" i="16"/>
  <c r="T131" i="16"/>
  <c r="Y130" i="16"/>
  <c r="K133" i="16"/>
  <c r="AP133" i="16"/>
  <c r="P45" i="11"/>
  <c r="N45" i="11"/>
  <c r="AP50" i="16"/>
  <c r="K50" i="16"/>
  <c r="N49" i="16"/>
  <c r="M49" i="16"/>
  <c r="AM49" i="16" s="1"/>
  <c r="A49" i="16" s="1"/>
  <c r="B49" i="16" s="1"/>
  <c r="C49" i="16" s="1"/>
  <c r="AC49" i="16"/>
  <c r="P49" i="16"/>
  <c r="L227" i="17"/>
  <c r="AE45" i="11"/>
  <c r="AH45" i="11" s="1"/>
  <c r="AC45" i="11"/>
  <c r="O192" i="50" l="1"/>
  <c r="Q192" i="50"/>
  <c r="R192" i="50" s="1"/>
  <c r="Y192" i="50" s="1"/>
  <c r="K193" i="50"/>
  <c r="AS195" i="50"/>
  <c r="AV195" i="50" s="1"/>
  <c r="K195" i="50" s="1"/>
  <c r="AB195" i="50"/>
  <c r="AU195" i="50"/>
  <c r="J195" i="50"/>
  <c r="AZ195" i="50" s="1"/>
  <c r="AP195" i="50" s="1"/>
  <c r="BA192" i="50"/>
  <c r="AF193" i="50"/>
  <c r="AI193" i="50" s="1"/>
  <c r="AN193" i="50" s="1"/>
  <c r="AD193" i="50"/>
  <c r="P193" i="50"/>
  <c r="N193" i="50"/>
  <c r="M192" i="50"/>
  <c r="N154" i="40"/>
  <c r="P154" i="40"/>
  <c r="Q154" i="40" s="1"/>
  <c r="R154" i="40" s="1"/>
  <c r="Y154" i="40" s="1"/>
  <c r="AR157" i="40"/>
  <c r="AQ157" i="40"/>
  <c r="AT157" i="40" s="1"/>
  <c r="AW157" i="40" s="1"/>
  <c r="H158" i="40"/>
  <c r="O154" i="40"/>
  <c r="AU156" i="40"/>
  <c r="AB156" i="40"/>
  <c r="AS156" i="40"/>
  <c r="AV156" i="40" s="1"/>
  <c r="J156" i="40"/>
  <c r="AZ156" i="40" s="1"/>
  <c r="AP156" i="40" s="1"/>
  <c r="AI154" i="40"/>
  <c r="K155" i="40"/>
  <c r="AD155" i="40" s="1"/>
  <c r="M154" i="40"/>
  <c r="AF155" i="40"/>
  <c r="AI155" i="40" s="1"/>
  <c r="M191" i="39"/>
  <c r="P191" i="39"/>
  <c r="K192" i="39"/>
  <c r="AD192" i="39" s="1"/>
  <c r="N191" i="39"/>
  <c r="AS193" i="39"/>
  <c r="AV193" i="39" s="1"/>
  <c r="J193" i="39"/>
  <c r="AZ193" i="39" s="1"/>
  <c r="AP193" i="39" s="1"/>
  <c r="AU193" i="39"/>
  <c r="AB193" i="39"/>
  <c r="AD191" i="39"/>
  <c r="AF192" i="39"/>
  <c r="AI192" i="39" s="1"/>
  <c r="BA191" i="39"/>
  <c r="P192" i="39"/>
  <c r="AR195" i="39"/>
  <c r="AQ195" i="39"/>
  <c r="AT195" i="39" s="1"/>
  <c r="AW195" i="39" s="1"/>
  <c r="AP47" i="27"/>
  <c r="AI47" i="27" s="1"/>
  <c r="P191" i="36"/>
  <c r="O191" i="36" s="1"/>
  <c r="N191" i="36"/>
  <c r="BA191" i="36"/>
  <c r="AF192" i="36"/>
  <c r="AI192" i="36" s="1"/>
  <c r="Y189" i="36"/>
  <c r="AI191" i="36"/>
  <c r="AS193" i="36"/>
  <c r="AV193" i="36" s="1"/>
  <c r="J193" i="36"/>
  <c r="AZ193" i="36" s="1"/>
  <c r="AP193" i="36" s="1"/>
  <c r="AU193" i="36"/>
  <c r="AR195" i="36"/>
  <c r="AQ195" i="36"/>
  <c r="AT195" i="36" s="1"/>
  <c r="AW195" i="36" s="1"/>
  <c r="M191" i="36"/>
  <c r="K192" i="36"/>
  <c r="AD192" i="36" s="1"/>
  <c r="O222" i="17"/>
  <c r="N223" i="17"/>
  <c r="M223" i="17"/>
  <c r="K224" i="17"/>
  <c r="M224" i="17" s="1"/>
  <c r="O223" i="17"/>
  <c r="Q223" i="17"/>
  <c r="R223" i="17" s="1"/>
  <c r="X223" i="17" s="1"/>
  <c r="AQ226" i="17"/>
  <c r="AT246" i="17" s="1"/>
  <c r="AW246" i="17" s="1"/>
  <c r="H227" i="17"/>
  <c r="AR226" i="17"/>
  <c r="AS225" i="17"/>
  <c r="AV245" i="17" s="1"/>
  <c r="AU245" i="17"/>
  <c r="J225" i="17"/>
  <c r="F131" i="29"/>
  <c r="E131" i="29"/>
  <c r="H53" i="29"/>
  <c r="AR52" i="29"/>
  <c r="AQ52" i="29"/>
  <c r="AT52" i="29" s="1"/>
  <c r="AW52" i="29" s="1"/>
  <c r="AU51" i="29"/>
  <c r="AA51" i="29"/>
  <c r="AS51" i="29"/>
  <c r="AV51" i="29" s="1"/>
  <c r="K133" i="29"/>
  <c r="J50" i="29"/>
  <c r="L51" i="29"/>
  <c r="L135" i="29"/>
  <c r="J134" i="29"/>
  <c r="K49" i="29"/>
  <c r="Q47" i="29"/>
  <c r="R47" i="29" s="1"/>
  <c r="X47" i="29" s="1"/>
  <c r="O47" i="29"/>
  <c r="M132" i="29"/>
  <c r="AO132" i="29" s="1"/>
  <c r="AC132" i="29"/>
  <c r="P132" i="29"/>
  <c r="N132" i="29"/>
  <c r="Q131" i="29"/>
  <c r="R131" i="29" s="1"/>
  <c r="X131" i="29" s="1"/>
  <c r="O131" i="29"/>
  <c r="M48" i="29"/>
  <c r="AM48" i="29" s="1"/>
  <c r="A48" i="29" s="1"/>
  <c r="B48" i="29" s="1"/>
  <c r="C48" i="29" s="1"/>
  <c r="N48" i="29"/>
  <c r="AC48" i="29"/>
  <c r="P48" i="29"/>
  <c r="Q233" i="27"/>
  <c r="R233" i="27" s="1"/>
  <c r="Y233" i="27" s="1"/>
  <c r="N234" i="27"/>
  <c r="P234" i="27"/>
  <c r="O234" i="27" s="1"/>
  <c r="AD234" i="27"/>
  <c r="Q46" i="27"/>
  <c r="R46" i="27" s="1"/>
  <c r="Y46" i="27" s="1"/>
  <c r="O46" i="27"/>
  <c r="AZ48" i="27"/>
  <c r="K48" i="27"/>
  <c r="M47" i="27"/>
  <c r="N47" i="27"/>
  <c r="P47" i="27"/>
  <c r="AU49" i="27"/>
  <c r="AF49" i="27"/>
  <c r="AS49" i="27"/>
  <c r="AV49" i="27" s="1"/>
  <c r="J49" i="27"/>
  <c r="AZ49" i="27" s="1"/>
  <c r="AP49" i="27" s="1"/>
  <c r="AQ50" i="27"/>
  <c r="AT50" i="27" s="1"/>
  <c r="AW50" i="27" s="1"/>
  <c r="AR50" i="27"/>
  <c r="AB50" i="27" s="1"/>
  <c r="H51" i="27"/>
  <c r="L100" i="27"/>
  <c r="AR237" i="27"/>
  <c r="H238" i="27"/>
  <c r="AQ237" i="27"/>
  <c r="AT237" i="27" s="1"/>
  <c r="AW237" i="27" s="1"/>
  <c r="AU236" i="27"/>
  <c r="AB236" i="27"/>
  <c r="AS236" i="27"/>
  <c r="AV236" i="27" s="1"/>
  <c r="J236" i="27"/>
  <c r="AZ236" i="27" s="1"/>
  <c r="AP236" i="27" s="1"/>
  <c r="K235" i="27"/>
  <c r="P235" i="27" s="1"/>
  <c r="L228" i="17"/>
  <c r="J52" i="16"/>
  <c r="L53" i="16"/>
  <c r="AB129" i="16"/>
  <c r="AG129" i="16" s="1"/>
  <c r="AK129" i="16" s="1"/>
  <c r="AD129" i="16"/>
  <c r="AE129" i="16" s="1"/>
  <c r="K51" i="16"/>
  <c r="AP51" i="16"/>
  <c r="N46" i="11"/>
  <c r="P46" i="11"/>
  <c r="Y131" i="16"/>
  <c r="H49" i="11"/>
  <c r="AQ48" i="11"/>
  <c r="AT48" i="11" s="1"/>
  <c r="AW48" i="11" s="1"/>
  <c r="AR48" i="11"/>
  <c r="J135" i="16"/>
  <c r="L136" i="16"/>
  <c r="Q49" i="16"/>
  <c r="R49" i="16" s="1"/>
  <c r="X49" i="16" s="1"/>
  <c r="O49" i="16"/>
  <c r="AS47" i="11"/>
  <c r="AV47" i="11" s="1"/>
  <c r="AU47" i="11"/>
  <c r="J47" i="11"/>
  <c r="AP47" i="11" s="1"/>
  <c r="M133" i="16"/>
  <c r="AM133" i="16" s="1"/>
  <c r="P133" i="16"/>
  <c r="N133" i="16"/>
  <c r="AC133" i="16"/>
  <c r="T132" i="16"/>
  <c r="Z130" i="16"/>
  <c r="U130" i="16"/>
  <c r="AE46" i="11"/>
  <c r="AH46" i="11" s="1"/>
  <c r="AC46" i="11"/>
  <c r="Q45" i="11"/>
  <c r="R45" i="11" s="1"/>
  <c r="X45" i="11" s="1"/>
  <c r="O45" i="11"/>
  <c r="W131" i="16"/>
  <c r="L50" i="11"/>
  <c r="M50" i="16"/>
  <c r="AM50" i="16" s="1"/>
  <c r="A50" i="16" s="1"/>
  <c r="B50" i="16" s="1"/>
  <c r="C50" i="16" s="1"/>
  <c r="AC50" i="16"/>
  <c r="N50" i="16"/>
  <c r="P50" i="16"/>
  <c r="AJ128" i="16"/>
  <c r="AI128" i="16" s="1"/>
  <c r="AF128" i="16"/>
  <c r="AH128" i="16"/>
  <c r="AN128" i="16" s="1"/>
  <c r="O132" i="16"/>
  <c r="Q132" i="16"/>
  <c r="R132" i="16" s="1"/>
  <c r="X132" i="16" s="1"/>
  <c r="AP134" i="16"/>
  <c r="K134" i="16"/>
  <c r="AX129" i="16"/>
  <c r="AY129" i="16"/>
  <c r="V129" i="16"/>
  <c r="M195" i="50" l="1"/>
  <c r="O193" i="50"/>
  <c r="Q193" i="50"/>
  <c r="R193" i="50" s="1"/>
  <c r="Y193" i="50" s="1"/>
  <c r="B310" i="50"/>
  <c r="N195" i="50"/>
  <c r="P195" i="50"/>
  <c r="AF195" i="50"/>
  <c r="AD195" i="50"/>
  <c r="BA193" i="50"/>
  <c r="AI195" i="50"/>
  <c r="AN195" i="50" s="1"/>
  <c r="M193" i="50"/>
  <c r="Q191" i="36"/>
  <c r="R191" i="36" s="1"/>
  <c r="Y191" i="36" s="1"/>
  <c r="K193" i="36"/>
  <c r="AD193" i="36" s="1"/>
  <c r="K156" i="40"/>
  <c r="N156" i="40" s="1"/>
  <c r="N155" i="40"/>
  <c r="P155" i="40"/>
  <c r="Q155" i="40" s="1"/>
  <c r="R155" i="40" s="1"/>
  <c r="Y155" i="40" s="1"/>
  <c r="AS157" i="40"/>
  <c r="AV157" i="40" s="1"/>
  <c r="AB157" i="40"/>
  <c r="AU157" i="40"/>
  <c r="J157" i="40"/>
  <c r="AZ157" i="40" s="1"/>
  <c r="AP157" i="40" s="1"/>
  <c r="P156" i="40"/>
  <c r="AQ158" i="40"/>
  <c r="AT158" i="40" s="1"/>
  <c r="AW158" i="40" s="1"/>
  <c r="AR158" i="40"/>
  <c r="H159" i="40"/>
  <c r="M156" i="40"/>
  <c r="M155" i="40"/>
  <c r="AD156" i="40"/>
  <c r="AF156" i="40"/>
  <c r="AI156" i="40" s="1"/>
  <c r="K193" i="39"/>
  <c r="N193" i="39" s="1"/>
  <c r="N192" i="39"/>
  <c r="M193" i="39"/>
  <c r="M192" i="39"/>
  <c r="BA192" i="39"/>
  <c r="Q192" i="39"/>
  <c r="R192" i="39" s="1"/>
  <c r="Y192" i="39" s="1"/>
  <c r="O192" i="39"/>
  <c r="P193" i="39"/>
  <c r="Q191" i="39"/>
  <c r="R191" i="39" s="1"/>
  <c r="Y191" i="39" s="1"/>
  <c r="O191" i="39"/>
  <c r="AB195" i="39"/>
  <c r="AU195" i="39"/>
  <c r="AS195" i="39"/>
  <c r="AV195" i="39" s="1"/>
  <c r="J195" i="39"/>
  <c r="AZ195" i="39" s="1"/>
  <c r="AP195" i="39" s="1"/>
  <c r="AD193" i="39"/>
  <c r="AF193" i="39"/>
  <c r="AI193" i="39" s="1"/>
  <c r="AN193" i="39" s="1"/>
  <c r="AP48" i="27"/>
  <c r="AI48" i="27" s="1"/>
  <c r="AU195" i="36"/>
  <c r="J195" i="36"/>
  <c r="AZ195" i="36" s="1"/>
  <c r="AP195" i="36" s="1"/>
  <c r="AS195" i="36"/>
  <c r="AV195" i="36" s="1"/>
  <c r="K195" i="36"/>
  <c r="AF193" i="36"/>
  <c r="M192" i="36"/>
  <c r="AI193" i="36"/>
  <c r="AN193" i="36" s="1"/>
  <c r="N192" i="36"/>
  <c r="N193" i="36"/>
  <c r="P193" i="36"/>
  <c r="P192" i="36"/>
  <c r="BA192" i="36"/>
  <c r="K49" i="27"/>
  <c r="N49" i="27" s="1"/>
  <c r="AI49" i="27"/>
  <c r="P224" i="17"/>
  <c r="AP225" i="17"/>
  <c r="K225" i="17"/>
  <c r="AS226" i="17"/>
  <c r="AV246" i="17" s="1"/>
  <c r="J226" i="17"/>
  <c r="AU246" i="17"/>
  <c r="AR227" i="17"/>
  <c r="AQ227" i="17"/>
  <c r="AT247" i="17" s="1"/>
  <c r="AW247" i="17" s="1"/>
  <c r="H228" i="17"/>
  <c r="N224" i="17"/>
  <c r="E132" i="29"/>
  <c r="F132" i="29"/>
  <c r="AS52" i="29"/>
  <c r="AV52" i="29" s="1"/>
  <c r="AA52" i="29"/>
  <c r="AU52" i="29"/>
  <c r="AR53" i="29"/>
  <c r="H54" i="29"/>
  <c r="AQ53" i="29"/>
  <c r="AT53" i="29" s="1"/>
  <c r="AW53" i="29" s="1"/>
  <c r="Q48" i="29"/>
  <c r="R48" i="29" s="1"/>
  <c r="X48" i="29" s="1"/>
  <c r="O48" i="29"/>
  <c r="L52" i="29"/>
  <c r="J51" i="29"/>
  <c r="AC49" i="29"/>
  <c r="M49" i="29"/>
  <c r="AM49" i="29" s="1"/>
  <c r="A49" i="29" s="1"/>
  <c r="B49" i="29" s="1"/>
  <c r="C49" i="29" s="1"/>
  <c r="N49" i="29"/>
  <c r="P49" i="29"/>
  <c r="K50" i="29"/>
  <c r="K134" i="29"/>
  <c r="M133" i="29"/>
  <c r="AO133" i="29" s="1"/>
  <c r="P133" i="29"/>
  <c r="N133" i="29"/>
  <c r="AC133" i="29"/>
  <c r="L136" i="29"/>
  <c r="J135" i="29"/>
  <c r="O132" i="29"/>
  <c r="Q132" i="29"/>
  <c r="R132" i="29" s="1"/>
  <c r="X132" i="29" s="1"/>
  <c r="Q234" i="27"/>
  <c r="R234" i="27" s="1"/>
  <c r="Y234" i="27" s="1"/>
  <c r="AD235" i="27"/>
  <c r="K236" i="27"/>
  <c r="N236" i="27" s="1"/>
  <c r="N48" i="27"/>
  <c r="AD48" i="27"/>
  <c r="M48" i="27"/>
  <c r="P48" i="27"/>
  <c r="AQ51" i="27"/>
  <c r="AT51" i="27" s="1"/>
  <c r="AW51" i="27" s="1"/>
  <c r="H52" i="27"/>
  <c r="AR51" i="27"/>
  <c r="AB51" i="27" s="1"/>
  <c r="AF50" i="27"/>
  <c r="AS50" i="27"/>
  <c r="AV50" i="27" s="1"/>
  <c r="AU50" i="27"/>
  <c r="J50" i="27"/>
  <c r="Q47" i="27"/>
  <c r="R47" i="27" s="1"/>
  <c r="Y47" i="27" s="1"/>
  <c r="O47" i="27"/>
  <c r="L101" i="27"/>
  <c r="O235" i="27"/>
  <c r="Q235" i="27"/>
  <c r="R235" i="27" s="1"/>
  <c r="Y235" i="27" s="1"/>
  <c r="AS237" i="27"/>
  <c r="AV237" i="27" s="1"/>
  <c r="AB237" i="27"/>
  <c r="AU237" i="27"/>
  <c r="J237" i="27"/>
  <c r="AZ237" i="27" s="1"/>
  <c r="AP237" i="27" s="1"/>
  <c r="N235" i="27"/>
  <c r="M235" i="27"/>
  <c r="H239" i="27"/>
  <c r="AQ238" i="27"/>
  <c r="AT238" i="27" s="1"/>
  <c r="AW238" i="27" s="1"/>
  <c r="AR238" i="27"/>
  <c r="AE47" i="11"/>
  <c r="AC47" i="11"/>
  <c r="O50" i="16"/>
  <c r="Q50" i="16"/>
  <c r="R50" i="16" s="1"/>
  <c r="X50" i="16" s="1"/>
  <c r="K52" i="16"/>
  <c r="AP52" i="16"/>
  <c r="J136" i="16"/>
  <c r="L137" i="16"/>
  <c r="M134" i="16"/>
  <c r="AM134" i="16" s="1"/>
  <c r="P134" i="16"/>
  <c r="N134" i="16"/>
  <c r="AC134" i="16"/>
  <c r="L51" i="11"/>
  <c r="W132" i="16"/>
  <c r="T133" i="16"/>
  <c r="AP135" i="16"/>
  <c r="K135" i="16"/>
  <c r="AR49" i="11"/>
  <c r="AQ49" i="11"/>
  <c r="AT49" i="11" s="1"/>
  <c r="AW49" i="11" s="1"/>
  <c r="H50" i="11"/>
  <c r="AF129" i="16"/>
  <c r="AJ129" i="16"/>
  <c r="AI129" i="16" s="1"/>
  <c r="AH129" i="16"/>
  <c r="AN129" i="16" s="1"/>
  <c r="L229" i="17"/>
  <c r="U131" i="16"/>
  <c r="Z131" i="16"/>
  <c r="P47" i="11"/>
  <c r="N47" i="11"/>
  <c r="Y132" i="16"/>
  <c r="AY130" i="16"/>
  <c r="V130" i="16"/>
  <c r="AX130" i="16"/>
  <c r="Q133" i="16"/>
  <c r="R133" i="16" s="1"/>
  <c r="X133" i="16" s="1"/>
  <c r="O133" i="16"/>
  <c r="L54" i="16"/>
  <c r="J53" i="16"/>
  <c r="AU48" i="11"/>
  <c r="AS48" i="11"/>
  <c r="AV48" i="11" s="1"/>
  <c r="J48" i="11"/>
  <c r="AP48" i="11" s="1"/>
  <c r="AD130" i="16"/>
  <c r="AE130" i="16" s="1"/>
  <c r="AB130" i="16"/>
  <c r="AG130" i="16" s="1"/>
  <c r="AK130" i="16" s="1"/>
  <c r="O46" i="11"/>
  <c r="Q46" i="11"/>
  <c r="R46" i="11" s="1"/>
  <c r="X46" i="11" s="1"/>
  <c r="M51" i="16"/>
  <c r="AM51" i="16" s="1"/>
  <c r="A51" i="16" s="1"/>
  <c r="B51" i="16" s="1"/>
  <c r="C51" i="16" s="1"/>
  <c r="AC51" i="16"/>
  <c r="P51" i="16"/>
  <c r="N51" i="16"/>
  <c r="O195" i="50" l="1"/>
  <c r="Q195" i="50"/>
  <c r="R195" i="50" s="1"/>
  <c r="M193" i="36"/>
  <c r="O155" i="40"/>
  <c r="AF157" i="40"/>
  <c r="Q156" i="40"/>
  <c r="R156" i="40" s="1"/>
  <c r="Y156" i="40" s="1"/>
  <c r="O156" i="40"/>
  <c r="H160" i="40"/>
  <c r="AR159" i="40"/>
  <c r="AQ159" i="40"/>
  <c r="AT159" i="40" s="1"/>
  <c r="AW159" i="40" s="1"/>
  <c r="K157" i="40"/>
  <c r="P157" i="40" s="1"/>
  <c r="AB158" i="40"/>
  <c r="AU158" i="40"/>
  <c r="AS158" i="40"/>
  <c r="AV158" i="40" s="1"/>
  <c r="J158" i="40"/>
  <c r="AZ158" i="40" s="1"/>
  <c r="AP158" i="40" s="1"/>
  <c r="Q193" i="39"/>
  <c r="R193" i="39" s="1"/>
  <c r="Y193" i="39" s="1"/>
  <c r="O193" i="39"/>
  <c r="K195" i="39"/>
  <c r="N195" i="39" s="1"/>
  <c r="AF195" i="39"/>
  <c r="AI195" i="39" s="1"/>
  <c r="AN195" i="39" s="1"/>
  <c r="BA193" i="39"/>
  <c r="B310" i="39"/>
  <c r="M49" i="27"/>
  <c r="AD49" i="27"/>
  <c r="P49" i="27"/>
  <c r="O49" i="27" s="1"/>
  <c r="Q193" i="36"/>
  <c r="R193" i="36" s="1"/>
  <c r="Y193" i="36" s="1"/>
  <c r="O193" i="36"/>
  <c r="O192" i="36"/>
  <c r="Q192" i="36"/>
  <c r="R192" i="36" s="1"/>
  <c r="Y192" i="36" s="1"/>
  <c r="BA193" i="36"/>
  <c r="M195" i="36"/>
  <c r="B310" i="36"/>
  <c r="P195" i="36"/>
  <c r="N195" i="36"/>
  <c r="AF195" i="36"/>
  <c r="AD195" i="36"/>
  <c r="AP226" i="17"/>
  <c r="K226" i="17"/>
  <c r="N226" i="17" s="1"/>
  <c r="H229" i="17"/>
  <c r="AR228" i="17"/>
  <c r="AQ228" i="17"/>
  <c r="AT248" i="17" s="1"/>
  <c r="AW248" i="17" s="1"/>
  <c r="M225" i="17"/>
  <c r="P225" i="17"/>
  <c r="AS227" i="17"/>
  <c r="AV247" i="17" s="1"/>
  <c r="J227" i="17"/>
  <c r="AP227" i="17" s="1"/>
  <c r="AU247" i="17"/>
  <c r="N225" i="17"/>
  <c r="Q224" i="17"/>
  <c r="R224" i="17" s="1"/>
  <c r="X224" i="17" s="1"/>
  <c r="O224" i="17"/>
  <c r="E133" i="29"/>
  <c r="F133" i="29"/>
  <c r="AR54" i="29"/>
  <c r="H55" i="29"/>
  <c r="AQ54" i="29"/>
  <c r="AT54" i="29" s="1"/>
  <c r="AW54" i="29" s="1"/>
  <c r="AU53" i="29"/>
  <c r="AS53" i="29"/>
  <c r="AV53" i="29" s="1"/>
  <c r="AA53" i="29"/>
  <c r="Q49" i="29"/>
  <c r="R49" i="29" s="1"/>
  <c r="X49" i="29" s="1"/>
  <c r="O49" i="29"/>
  <c r="M134" i="29"/>
  <c r="AO134" i="29" s="1"/>
  <c r="AC134" i="29"/>
  <c r="P134" i="29"/>
  <c r="N134" i="29"/>
  <c r="J52" i="29"/>
  <c r="L53" i="29"/>
  <c r="K135" i="29"/>
  <c r="Q133" i="29"/>
  <c r="R133" i="29" s="1"/>
  <c r="X133" i="29" s="1"/>
  <c r="O133" i="29"/>
  <c r="M50" i="29"/>
  <c r="AM50" i="29" s="1"/>
  <c r="A50" i="29" s="1"/>
  <c r="B50" i="29" s="1"/>
  <c r="C50" i="29" s="1"/>
  <c r="N50" i="29"/>
  <c r="AC50" i="29"/>
  <c r="P50" i="29"/>
  <c r="L137" i="29"/>
  <c r="J136" i="29"/>
  <c r="K51" i="29"/>
  <c r="P236" i="27"/>
  <c r="O236" i="27" s="1"/>
  <c r="M236" i="27"/>
  <c r="AD236" i="27"/>
  <c r="K237" i="27"/>
  <c r="P237" i="27" s="1"/>
  <c r="W133" i="16"/>
  <c r="U133" i="16" s="1"/>
  <c r="AY133" i="16" s="1"/>
  <c r="O48" i="27"/>
  <c r="Q48" i="27"/>
  <c r="R48" i="27" s="1"/>
  <c r="Y48" i="27" s="1"/>
  <c r="AS51" i="27"/>
  <c r="AV51" i="27" s="1"/>
  <c r="AU51" i="27"/>
  <c r="AF51" i="27"/>
  <c r="J51" i="27"/>
  <c r="H53" i="27"/>
  <c r="AR52" i="27"/>
  <c r="AB52" i="27" s="1"/>
  <c r="AQ52" i="27"/>
  <c r="AT52" i="27" s="1"/>
  <c r="AW52" i="27" s="1"/>
  <c r="AZ50" i="27"/>
  <c r="K50" i="27"/>
  <c r="L102" i="27"/>
  <c r="AU238" i="27"/>
  <c r="AB238" i="27"/>
  <c r="AS238" i="27"/>
  <c r="AV238" i="27" s="1"/>
  <c r="J238" i="27"/>
  <c r="AZ238" i="27" s="1"/>
  <c r="AP238" i="27" s="1"/>
  <c r="AR239" i="27"/>
  <c r="AQ239" i="27"/>
  <c r="AT239" i="27" s="1"/>
  <c r="AW239" i="27" s="1"/>
  <c r="H240" i="27"/>
  <c r="Z133" i="16"/>
  <c r="T134" i="16"/>
  <c r="AY131" i="16"/>
  <c r="AX131" i="16"/>
  <c r="V131" i="16"/>
  <c r="Q51" i="16"/>
  <c r="R51" i="16" s="1"/>
  <c r="X51" i="16" s="1"/>
  <c r="O51" i="16"/>
  <c r="Q47" i="11"/>
  <c r="R47" i="11" s="1"/>
  <c r="X47" i="11" s="1"/>
  <c r="O47" i="11"/>
  <c r="O134" i="16"/>
  <c r="Q134" i="16"/>
  <c r="R134" i="16" s="1"/>
  <c r="X134" i="16" s="1"/>
  <c r="M52" i="16"/>
  <c r="AM52" i="16" s="1"/>
  <c r="A52" i="16" s="1"/>
  <c r="B52" i="16" s="1"/>
  <c r="C52" i="16" s="1"/>
  <c r="N52" i="16"/>
  <c r="AC52" i="16"/>
  <c r="P52" i="16"/>
  <c r="AP53" i="16"/>
  <c r="K53" i="16"/>
  <c r="AH47" i="11"/>
  <c r="L230" i="17"/>
  <c r="AS49" i="11"/>
  <c r="AV49" i="11" s="1"/>
  <c r="AU49" i="11"/>
  <c r="J49" i="11"/>
  <c r="AP49" i="11" s="1"/>
  <c r="L138" i="16"/>
  <c r="J137" i="16"/>
  <c r="N48" i="11"/>
  <c r="P48" i="11"/>
  <c r="L55" i="16"/>
  <c r="J54" i="16"/>
  <c r="AB131" i="16"/>
  <c r="AG131" i="16" s="1"/>
  <c r="AK131" i="16" s="1"/>
  <c r="AD131" i="16"/>
  <c r="AE131" i="16" s="1"/>
  <c r="AC48" i="11"/>
  <c r="AE48" i="11"/>
  <c r="AH48" i="11" s="1"/>
  <c r="H51" i="11"/>
  <c r="AR50" i="11"/>
  <c r="AQ50" i="11"/>
  <c r="AT50" i="11" s="1"/>
  <c r="AW50" i="11" s="1"/>
  <c r="AJ130" i="16"/>
  <c r="AI130" i="16" s="1"/>
  <c r="AF130" i="16"/>
  <c r="AH130" i="16"/>
  <c r="AN130" i="16" s="1"/>
  <c r="M135" i="16"/>
  <c r="AM135" i="16" s="1"/>
  <c r="P135" i="16"/>
  <c r="AC135" i="16"/>
  <c r="N135" i="16"/>
  <c r="Y133" i="16"/>
  <c r="Z132" i="16"/>
  <c r="U132" i="16"/>
  <c r="L52" i="11"/>
  <c r="K136" i="16"/>
  <c r="AP136" i="16"/>
  <c r="B311" i="50" l="1"/>
  <c r="Y195" i="50"/>
  <c r="Q49" i="27"/>
  <c r="R49" i="27" s="1"/>
  <c r="Y49" i="27" s="1"/>
  <c r="O157" i="40"/>
  <c r="Q157" i="40"/>
  <c r="R157" i="40" s="1"/>
  <c r="Y157" i="40" s="1"/>
  <c r="AU159" i="40"/>
  <c r="AS159" i="40"/>
  <c r="AV159" i="40" s="1"/>
  <c r="AB159" i="40"/>
  <c r="J159" i="40"/>
  <c r="AZ159" i="40" s="1"/>
  <c r="AP159" i="40" s="1"/>
  <c r="AQ160" i="40"/>
  <c r="AT160" i="40" s="1"/>
  <c r="AW160" i="40" s="1"/>
  <c r="H161" i="40"/>
  <c r="AR160" i="40"/>
  <c r="AD157" i="40"/>
  <c r="N157" i="40"/>
  <c r="AI157" i="40"/>
  <c r="K158" i="40"/>
  <c r="AF158" i="40"/>
  <c r="AI158" i="40" s="1"/>
  <c r="M157" i="40"/>
  <c r="AD195" i="39"/>
  <c r="P195" i="39"/>
  <c r="O195" i="39" s="1"/>
  <c r="Q195" i="39"/>
  <c r="R195" i="39" s="1"/>
  <c r="M195" i="39"/>
  <c r="AP50" i="27"/>
  <c r="AI50" i="27" s="1"/>
  <c r="O195" i="36"/>
  <c r="Q195" i="36"/>
  <c r="R195" i="36" s="1"/>
  <c r="AI195" i="36"/>
  <c r="AN195" i="36" s="1"/>
  <c r="K227" i="17"/>
  <c r="M227" i="17" s="1"/>
  <c r="AS228" i="17"/>
  <c r="AV248" i="17" s="1"/>
  <c r="J228" i="17"/>
  <c r="AP228" i="17" s="1"/>
  <c r="AU248" i="17"/>
  <c r="N227" i="17"/>
  <c r="AQ229" i="17"/>
  <c r="AT249" i="17" s="1"/>
  <c r="AW249" i="17" s="1"/>
  <c r="AR229" i="17"/>
  <c r="H230" i="17"/>
  <c r="O225" i="17"/>
  <c r="Q225" i="17"/>
  <c r="R225" i="17" s="1"/>
  <c r="X225" i="17" s="1"/>
  <c r="P226" i="17"/>
  <c r="M226" i="17"/>
  <c r="F134" i="29"/>
  <c r="E134" i="29"/>
  <c r="AQ55" i="29"/>
  <c r="AT55" i="29" s="1"/>
  <c r="AW55" i="29" s="1"/>
  <c r="H56" i="29"/>
  <c r="AR55" i="29"/>
  <c r="AU54" i="29"/>
  <c r="AS54" i="29"/>
  <c r="AV54" i="29" s="1"/>
  <c r="AA54" i="29"/>
  <c r="M51" i="29"/>
  <c r="AM51" i="29" s="1"/>
  <c r="A51" i="29" s="1"/>
  <c r="B51" i="29" s="1"/>
  <c r="C51" i="29" s="1"/>
  <c r="AC51" i="29"/>
  <c r="N51" i="29"/>
  <c r="P51" i="29"/>
  <c r="K52" i="29"/>
  <c r="Q50" i="29"/>
  <c r="R50" i="29" s="1"/>
  <c r="X50" i="29" s="1"/>
  <c r="O50" i="29"/>
  <c r="K136" i="29"/>
  <c r="M135" i="29"/>
  <c r="AO135" i="29" s="1"/>
  <c r="AC135" i="29"/>
  <c r="P135" i="29"/>
  <c r="N135" i="29"/>
  <c r="Q134" i="29"/>
  <c r="R134" i="29" s="1"/>
  <c r="X134" i="29" s="1"/>
  <c r="O134" i="29"/>
  <c r="J137" i="29"/>
  <c r="L138" i="29"/>
  <c r="J53" i="29"/>
  <c r="L54" i="29"/>
  <c r="Q236" i="27"/>
  <c r="R236" i="27" s="1"/>
  <c r="Y236" i="27" s="1"/>
  <c r="M237" i="27"/>
  <c r="N237" i="27"/>
  <c r="AD237" i="27"/>
  <c r="K238" i="27"/>
  <c r="N238" i="27" s="1"/>
  <c r="AX133" i="16"/>
  <c r="V133" i="16"/>
  <c r="AD50" i="27"/>
  <c r="P50" i="27"/>
  <c r="M50" i="27"/>
  <c r="AU52" i="27"/>
  <c r="AS52" i="27"/>
  <c r="AV52" i="27" s="1"/>
  <c r="AF52" i="27"/>
  <c r="J52" i="27"/>
  <c r="AQ53" i="27"/>
  <c r="AT53" i="27" s="1"/>
  <c r="AW53" i="27" s="1"/>
  <c r="AR53" i="27"/>
  <c r="AB53" i="27" s="1"/>
  <c r="H54" i="27"/>
  <c r="AZ51" i="27"/>
  <c r="K51" i="27"/>
  <c r="N50" i="27"/>
  <c r="L103" i="27"/>
  <c r="AS239" i="27"/>
  <c r="AV239" i="27" s="1"/>
  <c r="AB239" i="27"/>
  <c r="AU239" i="27"/>
  <c r="J239" i="27"/>
  <c r="AZ239" i="27" s="1"/>
  <c r="AP239" i="27" s="1"/>
  <c r="H241" i="27"/>
  <c r="AR240" i="27"/>
  <c r="AQ240" i="27"/>
  <c r="AT240" i="27" s="1"/>
  <c r="AW240" i="27" s="1"/>
  <c r="O237" i="27"/>
  <c r="Q237" i="27"/>
  <c r="R237" i="27" s="1"/>
  <c r="Y237" i="27" s="1"/>
  <c r="AF131" i="16"/>
  <c r="AJ131" i="16"/>
  <c r="AI131" i="16" s="1"/>
  <c r="AH131" i="16"/>
  <c r="AN131" i="16" s="1"/>
  <c r="L139" i="16"/>
  <c r="J138" i="16"/>
  <c r="M53" i="16"/>
  <c r="AM53" i="16" s="1"/>
  <c r="A53" i="16" s="1"/>
  <c r="B53" i="16" s="1"/>
  <c r="C53" i="16" s="1"/>
  <c r="AC53" i="16"/>
  <c r="N53" i="16"/>
  <c r="P53" i="16"/>
  <c r="M136" i="16"/>
  <c r="AM136" i="16" s="1"/>
  <c r="P136" i="16"/>
  <c r="N136" i="16"/>
  <c r="AC136" i="16"/>
  <c r="O48" i="11"/>
  <c r="Q48" i="11"/>
  <c r="R48" i="11" s="1"/>
  <c r="X48" i="11" s="1"/>
  <c r="V132" i="16"/>
  <c r="AX132" i="16"/>
  <c r="AY132" i="16"/>
  <c r="AE49" i="11"/>
  <c r="AH49" i="11" s="1"/>
  <c r="AC49" i="11"/>
  <c r="Y134" i="16"/>
  <c r="L53" i="11"/>
  <c r="AR51" i="11"/>
  <c r="AQ51" i="11"/>
  <c r="AT51" i="11" s="1"/>
  <c r="AW51" i="11" s="1"/>
  <c r="H52" i="11"/>
  <c r="T135" i="16"/>
  <c r="K54" i="16"/>
  <c r="AP54" i="16"/>
  <c r="P49" i="11"/>
  <c r="N49" i="11"/>
  <c r="W134" i="16"/>
  <c r="AD133" i="16"/>
  <c r="AE133" i="16" s="1"/>
  <c r="AB133" i="16"/>
  <c r="AG133" i="16" s="1"/>
  <c r="AK133" i="16" s="1"/>
  <c r="AD132" i="16"/>
  <c r="AE132" i="16" s="1"/>
  <c r="AB132" i="16"/>
  <c r="AG132" i="16" s="1"/>
  <c r="AK132" i="16" s="1"/>
  <c r="O135" i="16"/>
  <c r="Q135" i="16"/>
  <c r="R135" i="16" s="1"/>
  <c r="X135" i="16" s="1"/>
  <c r="AU50" i="11"/>
  <c r="AS50" i="11"/>
  <c r="AV50" i="11" s="1"/>
  <c r="J50" i="11"/>
  <c r="AP50" i="11" s="1"/>
  <c r="J55" i="16"/>
  <c r="L56" i="16"/>
  <c r="AP137" i="16"/>
  <c r="K137" i="16"/>
  <c r="L231" i="17"/>
  <c r="Q52" i="16"/>
  <c r="R52" i="16" s="1"/>
  <c r="X52" i="16" s="1"/>
  <c r="O52" i="16"/>
  <c r="K159" i="40" l="1"/>
  <c r="M159" i="40" s="1"/>
  <c r="M158" i="40"/>
  <c r="AQ161" i="40"/>
  <c r="AT161" i="40" s="1"/>
  <c r="AW161" i="40" s="1"/>
  <c r="H162" i="40"/>
  <c r="AR161" i="40"/>
  <c r="N158" i="40"/>
  <c r="AD158" i="40"/>
  <c r="P158" i="40"/>
  <c r="N159" i="40"/>
  <c r="P159" i="40"/>
  <c r="AS160" i="40"/>
  <c r="AV160" i="40" s="1"/>
  <c r="AB160" i="40"/>
  <c r="AU160" i="40"/>
  <c r="J160" i="40"/>
  <c r="AZ160" i="40" s="1"/>
  <c r="AP160" i="40" s="1"/>
  <c r="AF159" i="40"/>
  <c r="AI159" i="40" s="1"/>
  <c r="AD159" i="40"/>
  <c r="B311" i="39"/>
  <c r="Y195" i="39"/>
  <c r="AP51" i="27"/>
  <c r="AI51" i="27" s="1"/>
  <c r="B311" i="36"/>
  <c r="Y195" i="36"/>
  <c r="P227" i="17"/>
  <c r="O227" i="17" s="1"/>
  <c r="AR230" i="17"/>
  <c r="H231" i="17"/>
  <c r="AQ230" i="17"/>
  <c r="AT250" i="17" s="1"/>
  <c r="AW250" i="17" s="1"/>
  <c r="Q226" i="17"/>
  <c r="R226" i="17" s="1"/>
  <c r="X226" i="17" s="1"/>
  <c r="O226" i="17"/>
  <c r="AU249" i="17"/>
  <c r="J229" i="17"/>
  <c r="AS229" i="17"/>
  <c r="AV249" i="17" s="1"/>
  <c r="K228" i="17"/>
  <c r="M228" i="17" s="1"/>
  <c r="E135" i="29"/>
  <c r="F135" i="29"/>
  <c r="AA55" i="29"/>
  <c r="AU55" i="29"/>
  <c r="AS55" i="29"/>
  <c r="AV55" i="29" s="1"/>
  <c r="H57" i="29"/>
  <c r="AQ56" i="29"/>
  <c r="AT56" i="29" s="1"/>
  <c r="AW56" i="29" s="1"/>
  <c r="AR56" i="29"/>
  <c r="K53" i="29"/>
  <c r="K137" i="29"/>
  <c r="M52" i="29"/>
  <c r="AM52" i="29" s="1"/>
  <c r="A52" i="29" s="1"/>
  <c r="B52" i="29" s="1"/>
  <c r="C52" i="29" s="1"/>
  <c r="N52" i="29"/>
  <c r="P52" i="29"/>
  <c r="AC52" i="29"/>
  <c r="M136" i="29"/>
  <c r="AO136" i="29" s="1"/>
  <c r="P136" i="29"/>
  <c r="N136" i="29"/>
  <c r="AC136" i="29"/>
  <c r="Q51" i="29"/>
  <c r="R51" i="29" s="1"/>
  <c r="X51" i="29" s="1"/>
  <c r="O51" i="29"/>
  <c r="J54" i="29"/>
  <c r="L55" i="29"/>
  <c r="J138" i="29"/>
  <c r="L139" i="29"/>
  <c r="O135" i="29"/>
  <c r="Q135" i="29"/>
  <c r="R135" i="29" s="1"/>
  <c r="X135" i="29" s="1"/>
  <c r="AD238" i="27"/>
  <c r="P238" i="27"/>
  <c r="O238" i="27" s="1"/>
  <c r="M238" i="27"/>
  <c r="AQ54" i="27"/>
  <c r="AT54" i="27" s="1"/>
  <c r="AW54" i="27" s="1"/>
  <c r="H55" i="27"/>
  <c r="AR54" i="27"/>
  <c r="AB54" i="27" s="1"/>
  <c r="AF53" i="27"/>
  <c r="AS53" i="27"/>
  <c r="AV53" i="27" s="1"/>
  <c r="AU53" i="27"/>
  <c r="J53" i="27"/>
  <c r="Q50" i="27"/>
  <c r="R50" i="27" s="1"/>
  <c r="Y50" i="27" s="1"/>
  <c r="O50" i="27"/>
  <c r="AZ52" i="27"/>
  <c r="K52" i="27"/>
  <c r="M51" i="27"/>
  <c r="P51" i="27"/>
  <c r="N51" i="27"/>
  <c r="AD51" i="27"/>
  <c r="L104" i="27"/>
  <c r="K239" i="27"/>
  <c r="AD239" i="27" s="1"/>
  <c r="AU240" i="27"/>
  <c r="AS240" i="27"/>
  <c r="AV240" i="27" s="1"/>
  <c r="AB240" i="27"/>
  <c r="J240" i="27"/>
  <c r="AZ240" i="27" s="1"/>
  <c r="AP240" i="27" s="1"/>
  <c r="AQ241" i="27"/>
  <c r="AT241" i="27" s="1"/>
  <c r="AW241" i="27" s="1"/>
  <c r="H242" i="27"/>
  <c r="AR241" i="27"/>
  <c r="K55" i="16"/>
  <c r="AP55" i="16"/>
  <c r="U134" i="16"/>
  <c r="Z134" i="16"/>
  <c r="M54" i="16"/>
  <c r="AM54" i="16" s="1"/>
  <c r="A54" i="16" s="1"/>
  <c r="B54" i="16" s="1"/>
  <c r="C54" i="16" s="1"/>
  <c r="P54" i="16"/>
  <c r="N54" i="16"/>
  <c r="AC54" i="16"/>
  <c r="H53" i="11"/>
  <c r="AQ52" i="11"/>
  <c r="AT52" i="11" s="1"/>
  <c r="AW52" i="11" s="1"/>
  <c r="AR52" i="11"/>
  <c r="AF132" i="16"/>
  <c r="AJ132" i="16"/>
  <c r="AI132" i="16" s="1"/>
  <c r="AH132" i="16"/>
  <c r="AN132" i="16" s="1"/>
  <c r="AS51" i="11"/>
  <c r="AV51" i="11" s="1"/>
  <c r="AU51" i="11"/>
  <c r="J51" i="11"/>
  <c r="AP51" i="11" s="1"/>
  <c r="AJ133" i="16"/>
  <c r="AI133" i="16" s="1"/>
  <c r="AF133" i="16"/>
  <c r="AH133" i="16"/>
  <c r="AN133" i="16" s="1"/>
  <c r="T136" i="16"/>
  <c r="O53" i="16"/>
  <c r="Q53" i="16"/>
  <c r="R53" i="16" s="1"/>
  <c r="X53" i="16" s="1"/>
  <c r="AP138" i="16"/>
  <c r="K138" i="16"/>
  <c r="L57" i="16"/>
  <c r="J56" i="16"/>
  <c r="N50" i="11"/>
  <c r="P50" i="11"/>
  <c r="Y135" i="16"/>
  <c r="Q136" i="16"/>
  <c r="R136" i="16" s="1"/>
  <c r="X136" i="16" s="1"/>
  <c r="O136" i="16"/>
  <c r="J139" i="16"/>
  <c r="L140" i="16"/>
  <c r="L54" i="11"/>
  <c r="AE50" i="11"/>
  <c r="AC50" i="11"/>
  <c r="M137" i="16"/>
  <c r="AM137" i="16" s="1"/>
  <c r="AC137" i="16"/>
  <c r="N137" i="16"/>
  <c r="P137" i="16"/>
  <c r="Q49" i="11"/>
  <c r="R49" i="11" s="1"/>
  <c r="X49" i="11" s="1"/>
  <c r="O49" i="11"/>
  <c r="W135" i="16"/>
  <c r="AF160" i="40" l="1"/>
  <c r="AI160" i="40" s="1"/>
  <c r="K160" i="40"/>
  <c r="N160" i="40" s="1"/>
  <c r="AR162" i="40"/>
  <c r="H163" i="40"/>
  <c r="AQ162" i="40"/>
  <c r="AT162" i="40" s="1"/>
  <c r="AW162" i="40" s="1"/>
  <c r="Q158" i="40"/>
  <c r="R158" i="40" s="1"/>
  <c r="Y158" i="40" s="1"/>
  <c r="O158" i="40"/>
  <c r="Q159" i="40"/>
  <c r="R159" i="40" s="1"/>
  <c r="Y159" i="40" s="1"/>
  <c r="O159" i="40"/>
  <c r="AB161" i="40"/>
  <c r="AU161" i="40"/>
  <c r="AS161" i="40"/>
  <c r="AV161" i="40" s="1"/>
  <c r="J161" i="40"/>
  <c r="AZ161" i="40" s="1"/>
  <c r="AP161" i="40" s="1"/>
  <c r="AP52" i="27"/>
  <c r="AI52" i="27" s="1"/>
  <c r="Q238" i="27"/>
  <c r="R238" i="27" s="1"/>
  <c r="Y238" i="27" s="1"/>
  <c r="Q227" i="17"/>
  <c r="R227" i="17" s="1"/>
  <c r="X227" i="17" s="1"/>
  <c r="AP229" i="17"/>
  <c r="K229" i="17"/>
  <c r="P228" i="17"/>
  <c r="AQ231" i="17"/>
  <c r="AT251" i="17" s="1"/>
  <c r="AW251" i="17" s="1"/>
  <c r="AR231" i="17"/>
  <c r="N228" i="17"/>
  <c r="AU250" i="17"/>
  <c r="J230" i="17"/>
  <c r="AS230" i="17"/>
  <c r="AV250" i="17" s="1"/>
  <c r="E136" i="29"/>
  <c r="F136" i="29"/>
  <c r="AU56" i="29"/>
  <c r="AS56" i="29"/>
  <c r="AV56" i="29" s="1"/>
  <c r="AA56" i="29"/>
  <c r="H58" i="29"/>
  <c r="AR57" i="29"/>
  <c r="AQ57" i="29"/>
  <c r="AT57" i="29" s="1"/>
  <c r="AW57" i="29" s="1"/>
  <c r="M53" i="29"/>
  <c r="AM53" i="29" s="1"/>
  <c r="A53" i="29" s="1"/>
  <c r="B53" i="29" s="1"/>
  <c r="C53" i="29" s="1"/>
  <c r="AC53" i="29"/>
  <c r="P53" i="29"/>
  <c r="N53" i="29"/>
  <c r="J139" i="29"/>
  <c r="L140" i="29"/>
  <c r="K138" i="29"/>
  <c r="J55" i="29"/>
  <c r="L56" i="29"/>
  <c r="O136" i="29"/>
  <c r="Q136" i="29"/>
  <c r="R136" i="29" s="1"/>
  <c r="X136" i="29" s="1"/>
  <c r="M137" i="29"/>
  <c r="AO137" i="29" s="1"/>
  <c r="AC137" i="29"/>
  <c r="P137" i="29"/>
  <c r="N137" i="29"/>
  <c r="K54" i="29"/>
  <c r="O52" i="29"/>
  <c r="Q52" i="29"/>
  <c r="R52" i="29" s="1"/>
  <c r="X52" i="29" s="1"/>
  <c r="N239" i="27"/>
  <c r="K240" i="27"/>
  <c r="P240" i="27" s="1"/>
  <c r="P52" i="27"/>
  <c r="AD52" i="27"/>
  <c r="M52" i="27"/>
  <c r="AS54" i="27"/>
  <c r="AV54" i="27" s="1"/>
  <c r="AF54" i="27"/>
  <c r="AU54" i="27"/>
  <c r="J54" i="27"/>
  <c r="H56" i="27"/>
  <c r="AQ55" i="27"/>
  <c r="AT55" i="27" s="1"/>
  <c r="AW55" i="27" s="1"/>
  <c r="AR55" i="27"/>
  <c r="AB55" i="27" s="1"/>
  <c r="Q51" i="27"/>
  <c r="R51" i="27" s="1"/>
  <c r="Y51" i="27" s="1"/>
  <c r="O51" i="27"/>
  <c r="AZ53" i="27"/>
  <c r="K53" i="27"/>
  <c r="N52" i="27"/>
  <c r="L105" i="27"/>
  <c r="AU241" i="27"/>
  <c r="AB241" i="27"/>
  <c r="AS241" i="27"/>
  <c r="AV241" i="27" s="1"/>
  <c r="J241" i="27"/>
  <c r="AZ241" i="27" s="1"/>
  <c r="AP241" i="27" s="1"/>
  <c r="M239" i="27"/>
  <c r="H243" i="27"/>
  <c r="AR242" i="27"/>
  <c r="AQ242" i="27"/>
  <c r="AT242" i="27" s="1"/>
  <c r="AW242" i="27" s="1"/>
  <c r="P239" i="27"/>
  <c r="L141" i="16"/>
  <c r="J140" i="16"/>
  <c r="AP56" i="16"/>
  <c r="K56" i="16"/>
  <c r="Y136" i="16"/>
  <c r="AE51" i="11"/>
  <c r="AH51" i="11" s="1"/>
  <c r="AC51" i="11"/>
  <c r="AR53" i="11"/>
  <c r="AQ53" i="11"/>
  <c r="AT53" i="11" s="1"/>
  <c r="AW53" i="11" s="1"/>
  <c r="H54" i="11"/>
  <c r="Q54" i="16"/>
  <c r="R54" i="16" s="1"/>
  <c r="X54" i="16" s="1"/>
  <c r="O54" i="16"/>
  <c r="AB134" i="16"/>
  <c r="AG134" i="16" s="1"/>
  <c r="AK134" i="16" s="1"/>
  <c r="AD134" i="16"/>
  <c r="AE134" i="16" s="1"/>
  <c r="L55" i="11"/>
  <c r="Z135" i="16"/>
  <c r="U135" i="16"/>
  <c r="K139" i="16"/>
  <c r="AP139" i="16"/>
  <c r="O50" i="11"/>
  <c r="Q50" i="11"/>
  <c r="R50" i="11" s="1"/>
  <c r="X50" i="11" s="1"/>
  <c r="L58" i="16"/>
  <c r="J57" i="16"/>
  <c r="W136" i="16"/>
  <c r="AY134" i="16"/>
  <c r="AX134" i="16"/>
  <c r="V134" i="16"/>
  <c r="M55" i="16"/>
  <c r="AM55" i="16" s="1"/>
  <c r="A55" i="16" s="1"/>
  <c r="B55" i="16" s="1"/>
  <c r="C55" i="16" s="1"/>
  <c r="P55" i="16"/>
  <c r="AC55" i="16"/>
  <c r="N55" i="16"/>
  <c r="P51" i="11"/>
  <c r="N51" i="11"/>
  <c r="AH50" i="11"/>
  <c r="O137" i="16"/>
  <c r="Q137" i="16"/>
  <c r="R137" i="16" s="1"/>
  <c r="X137" i="16" s="1"/>
  <c r="T137" i="16"/>
  <c r="M138" i="16"/>
  <c r="AM138" i="16" s="1"/>
  <c r="AC138" i="16"/>
  <c r="N138" i="16"/>
  <c r="P138" i="16"/>
  <c r="AU52" i="11"/>
  <c r="AS52" i="11"/>
  <c r="AV52" i="11" s="1"/>
  <c r="J52" i="11"/>
  <c r="AP52" i="11" s="1"/>
  <c r="K161" i="40" l="1"/>
  <c r="N161" i="40" s="1"/>
  <c r="P160" i="40"/>
  <c r="AQ163" i="40"/>
  <c r="AT163" i="40" s="1"/>
  <c r="AW163" i="40" s="1"/>
  <c r="H164" i="40"/>
  <c r="AR163" i="40"/>
  <c r="AF161" i="40"/>
  <c r="AD161" i="40"/>
  <c r="AU162" i="40"/>
  <c r="AS162" i="40"/>
  <c r="AV162" i="40" s="1"/>
  <c r="AB162" i="40"/>
  <c r="J162" i="40"/>
  <c r="AZ162" i="40" s="1"/>
  <c r="AP162" i="40" s="1"/>
  <c r="O160" i="40"/>
  <c r="Q160" i="40"/>
  <c r="R160" i="40" s="1"/>
  <c r="Y160" i="40" s="1"/>
  <c r="M160" i="40"/>
  <c r="P161" i="40"/>
  <c r="AD160" i="40"/>
  <c r="M161" i="40"/>
  <c r="AP53" i="27"/>
  <c r="AI53" i="27" s="1"/>
  <c r="AD240" i="27"/>
  <c r="M240" i="27"/>
  <c r="Q228" i="17"/>
  <c r="R228" i="17" s="1"/>
  <c r="X228" i="17" s="1"/>
  <c r="O228" i="17"/>
  <c r="M229" i="17"/>
  <c r="J231" i="17"/>
  <c r="AP231" i="17" s="1"/>
  <c r="AU251" i="17"/>
  <c r="AS231" i="17"/>
  <c r="AV251" i="17" s="1"/>
  <c r="N229" i="17"/>
  <c r="AP230" i="17"/>
  <c r="K230" i="17"/>
  <c r="P229" i="17"/>
  <c r="F137" i="29"/>
  <c r="E137" i="29"/>
  <c r="AU57" i="29"/>
  <c r="AS57" i="29"/>
  <c r="AV57" i="29" s="1"/>
  <c r="AA57" i="29"/>
  <c r="H59" i="29"/>
  <c r="AQ58" i="29"/>
  <c r="AT58" i="29" s="1"/>
  <c r="AW58" i="29" s="1"/>
  <c r="AR58" i="29"/>
  <c r="M54" i="29"/>
  <c r="AM54" i="29" s="1"/>
  <c r="A54" i="29" s="1"/>
  <c r="B54" i="29" s="1"/>
  <c r="C54" i="29" s="1"/>
  <c r="P54" i="29"/>
  <c r="N54" i="29"/>
  <c r="AC54" i="29"/>
  <c r="L57" i="29"/>
  <c r="J56" i="29"/>
  <c r="M138" i="29"/>
  <c r="AO138" i="29" s="1"/>
  <c r="N138" i="29"/>
  <c r="P138" i="29"/>
  <c r="AC138" i="29"/>
  <c r="K139" i="29"/>
  <c r="K55" i="29"/>
  <c r="L141" i="29"/>
  <c r="J140" i="29"/>
  <c r="Q53" i="29"/>
  <c r="R53" i="29" s="1"/>
  <c r="X53" i="29" s="1"/>
  <c r="O53" i="29"/>
  <c r="Q137" i="29"/>
  <c r="R137" i="29" s="1"/>
  <c r="X137" i="29" s="1"/>
  <c r="O137" i="29"/>
  <c r="N240" i="27"/>
  <c r="AU55" i="27"/>
  <c r="AS55" i="27"/>
  <c r="AV55" i="27" s="1"/>
  <c r="AF55" i="27"/>
  <c r="J55" i="27"/>
  <c r="AZ55" i="27" s="1"/>
  <c r="AP55" i="27" s="1"/>
  <c r="M53" i="27"/>
  <c r="AD53" i="27"/>
  <c r="AQ56" i="27"/>
  <c r="AT56" i="27" s="1"/>
  <c r="AW56" i="27" s="1"/>
  <c r="H57" i="27"/>
  <c r="AR56" i="27"/>
  <c r="AB56" i="27" s="1"/>
  <c r="N53" i="27"/>
  <c r="AZ54" i="27"/>
  <c r="K54" i="27"/>
  <c r="AD54" i="27" s="1"/>
  <c r="Q52" i="27"/>
  <c r="R52" i="27" s="1"/>
  <c r="Y52" i="27" s="1"/>
  <c r="O52" i="27"/>
  <c r="P53" i="27"/>
  <c r="L106" i="27"/>
  <c r="O239" i="27"/>
  <c r="Q239" i="27"/>
  <c r="R239" i="27" s="1"/>
  <c r="AU242" i="27"/>
  <c r="AS242" i="27"/>
  <c r="AV242" i="27" s="1"/>
  <c r="AB242" i="27"/>
  <c r="J242" i="27"/>
  <c r="AZ242" i="27" s="1"/>
  <c r="AP242" i="27" s="1"/>
  <c r="AQ243" i="27"/>
  <c r="AT243" i="27" s="1"/>
  <c r="AW243" i="27" s="1"/>
  <c r="H244" i="27"/>
  <c r="AR243" i="27"/>
  <c r="Q240" i="27"/>
  <c r="R240" i="27" s="1"/>
  <c r="Y240" i="27" s="1"/>
  <c r="O240" i="27"/>
  <c r="K241" i="27"/>
  <c r="N241" i="27" s="1"/>
  <c r="Q138" i="16"/>
  <c r="R138" i="16" s="1"/>
  <c r="X138" i="16" s="1"/>
  <c r="O138" i="16"/>
  <c r="K57" i="16"/>
  <c r="AP57" i="16"/>
  <c r="L56" i="11"/>
  <c r="L142" i="16"/>
  <c r="J141" i="16"/>
  <c r="AS53" i="11"/>
  <c r="AV53" i="11" s="1"/>
  <c r="AU53" i="11"/>
  <c r="J53" i="11"/>
  <c r="AP53" i="11" s="1"/>
  <c r="T138" i="16"/>
  <c r="Q51" i="11"/>
  <c r="R51" i="11" s="1"/>
  <c r="X51" i="11" s="1"/>
  <c r="O51" i="11"/>
  <c r="Z136" i="16"/>
  <c r="U136" i="16"/>
  <c r="J58" i="16"/>
  <c r="L59" i="16"/>
  <c r="M139" i="16"/>
  <c r="AM139" i="16" s="1"/>
  <c r="N139" i="16"/>
  <c r="AC139" i="16"/>
  <c r="P139" i="16"/>
  <c r="Q55" i="16"/>
  <c r="R55" i="16" s="1"/>
  <c r="X55" i="16" s="1"/>
  <c r="O55" i="16"/>
  <c r="AP140" i="16"/>
  <c r="K140" i="16"/>
  <c r="AY135" i="16"/>
  <c r="AX135" i="16"/>
  <c r="V135" i="16"/>
  <c r="H55" i="11"/>
  <c r="AQ54" i="11"/>
  <c r="AT54" i="11" s="1"/>
  <c r="AW54" i="11" s="1"/>
  <c r="AR54" i="11"/>
  <c r="N52" i="11"/>
  <c r="P52" i="11"/>
  <c r="Y137" i="16"/>
  <c r="AE52" i="11"/>
  <c r="AC52" i="11"/>
  <c r="W137" i="16"/>
  <c r="AD135" i="16"/>
  <c r="AE135" i="16" s="1"/>
  <c r="AB135" i="16"/>
  <c r="AG135" i="16" s="1"/>
  <c r="AK135" i="16" s="1"/>
  <c r="AF134" i="16"/>
  <c r="AJ134" i="16"/>
  <c r="AI134" i="16" s="1"/>
  <c r="AH134" i="16"/>
  <c r="AN134" i="16" s="1"/>
  <c r="M56" i="16"/>
  <c r="AM56" i="16" s="1"/>
  <c r="A56" i="16" s="1"/>
  <c r="B56" i="16" s="1"/>
  <c r="C56" i="16" s="1"/>
  <c r="N56" i="16"/>
  <c r="P56" i="16"/>
  <c r="AC56" i="16"/>
  <c r="K162" i="40" l="1"/>
  <c r="AS163" i="40"/>
  <c r="AV163" i="40" s="1"/>
  <c r="AU163" i="40"/>
  <c r="AB163" i="40"/>
  <c r="J163" i="40"/>
  <c r="AZ163" i="40" s="1"/>
  <c r="AP163" i="40" s="1"/>
  <c r="Q161" i="40"/>
  <c r="R161" i="40" s="1"/>
  <c r="Y161" i="40" s="1"/>
  <c r="O161" i="40"/>
  <c r="AI161" i="40"/>
  <c r="AR164" i="40"/>
  <c r="AQ164" i="40"/>
  <c r="AT164" i="40" s="1"/>
  <c r="AW164" i="40" s="1"/>
  <c r="H165" i="40"/>
  <c r="AI162" i="40"/>
  <c r="N162" i="40"/>
  <c r="AF162" i="40"/>
  <c r="AD162" i="40"/>
  <c r="AP54" i="27"/>
  <c r="AI54" i="27" s="1"/>
  <c r="Q229" i="17"/>
  <c r="R229" i="17" s="1"/>
  <c r="X229" i="17" s="1"/>
  <c r="O229" i="17"/>
  <c r="N230" i="17"/>
  <c r="P230" i="17"/>
  <c r="M230" i="17"/>
  <c r="K231" i="17"/>
  <c r="M231" i="17" s="1"/>
  <c r="E138" i="29"/>
  <c r="F138" i="29"/>
  <c r="AU58" i="29"/>
  <c r="AS58" i="29"/>
  <c r="AV58" i="29" s="1"/>
  <c r="AA58" i="29"/>
  <c r="AQ59" i="29"/>
  <c r="AT59" i="29" s="1"/>
  <c r="AW59" i="29" s="1"/>
  <c r="H60" i="29"/>
  <c r="AR59" i="29"/>
  <c r="K140" i="29"/>
  <c r="L142" i="29"/>
  <c r="J141" i="29"/>
  <c r="M55" i="29"/>
  <c r="AM55" i="29" s="1"/>
  <c r="A55" i="29" s="1"/>
  <c r="B55" i="29" s="1"/>
  <c r="C55" i="29" s="1"/>
  <c r="AC55" i="29"/>
  <c r="N55" i="29"/>
  <c r="P55" i="29"/>
  <c r="O138" i="29"/>
  <c r="Q138" i="29"/>
  <c r="R138" i="29" s="1"/>
  <c r="X138" i="29" s="1"/>
  <c r="Q54" i="29"/>
  <c r="R54" i="29" s="1"/>
  <c r="X54" i="29" s="1"/>
  <c r="O54" i="29"/>
  <c r="M139" i="29"/>
  <c r="AO139" i="29" s="1"/>
  <c r="N139" i="29"/>
  <c r="P139" i="29"/>
  <c r="AC139" i="29"/>
  <c r="K56" i="29"/>
  <c r="J57" i="29"/>
  <c r="L58" i="29"/>
  <c r="K242" i="27"/>
  <c r="M242" i="27" s="1"/>
  <c r="AI55" i="27"/>
  <c r="AU56" i="27"/>
  <c r="AF56" i="27"/>
  <c r="AS56" i="27"/>
  <c r="AV56" i="27" s="1"/>
  <c r="J56" i="27"/>
  <c r="AR57" i="27"/>
  <c r="AB57" i="27" s="1"/>
  <c r="H58" i="27"/>
  <c r="AQ57" i="27"/>
  <c r="AT57" i="27" s="1"/>
  <c r="AW57" i="27" s="1"/>
  <c r="O53" i="27"/>
  <c r="Q53" i="27"/>
  <c r="R53" i="27" s="1"/>
  <c r="Y53" i="27" s="1"/>
  <c r="M54" i="27"/>
  <c r="P54" i="27"/>
  <c r="N54" i="27"/>
  <c r="K55" i="27"/>
  <c r="L107" i="27"/>
  <c r="M241" i="27"/>
  <c r="AD241" i="27"/>
  <c r="P241" i="27"/>
  <c r="Y239" i="27"/>
  <c r="AS243" i="27"/>
  <c r="AV243" i="27" s="1"/>
  <c r="AB243" i="27"/>
  <c r="AU243" i="27"/>
  <c r="J243" i="27"/>
  <c r="AZ243" i="27" s="1"/>
  <c r="AP243" i="27" s="1"/>
  <c r="AQ244" i="27"/>
  <c r="AT244" i="27" s="1"/>
  <c r="AW244" i="27" s="1"/>
  <c r="AR244" i="27"/>
  <c r="H245" i="27"/>
  <c r="L57" i="11"/>
  <c r="M57" i="16"/>
  <c r="AM57" i="16" s="1"/>
  <c r="A57" i="16" s="1"/>
  <c r="B57" i="16" s="1"/>
  <c r="C57" i="16" s="1"/>
  <c r="AC57" i="16"/>
  <c r="P57" i="16"/>
  <c r="N57" i="16"/>
  <c r="O56" i="16"/>
  <c r="Q56" i="16"/>
  <c r="R56" i="16" s="1"/>
  <c r="X56" i="16" s="1"/>
  <c r="L60" i="16"/>
  <c r="J59" i="16"/>
  <c r="M140" i="16"/>
  <c r="AM140" i="16" s="1"/>
  <c r="AC140" i="16"/>
  <c r="N140" i="16"/>
  <c r="P140" i="16"/>
  <c r="O52" i="11"/>
  <c r="Q52" i="11"/>
  <c r="R52" i="11" s="1"/>
  <c r="X52" i="11" s="1"/>
  <c r="Q139" i="16"/>
  <c r="R139" i="16" s="1"/>
  <c r="X139" i="16" s="1"/>
  <c r="O139" i="16"/>
  <c r="K58" i="16"/>
  <c r="AP58" i="16"/>
  <c r="AH52" i="11"/>
  <c r="V136" i="16"/>
  <c r="AY136" i="16"/>
  <c r="AX136" i="16"/>
  <c r="Y138" i="16"/>
  <c r="AP141" i="16"/>
  <c r="K141" i="16"/>
  <c r="AR55" i="11"/>
  <c r="AQ55" i="11"/>
  <c r="AT55" i="11" s="1"/>
  <c r="AW55" i="11" s="1"/>
  <c r="H56" i="11"/>
  <c r="U137" i="16"/>
  <c r="Z137" i="16"/>
  <c r="AU54" i="11"/>
  <c r="AS54" i="11"/>
  <c r="AV54" i="11" s="1"/>
  <c r="J54" i="11"/>
  <c r="AP54" i="11" s="1"/>
  <c r="T139" i="16"/>
  <c r="AD136" i="16"/>
  <c r="AE136" i="16" s="1"/>
  <c r="AB136" i="16"/>
  <c r="AG136" i="16" s="1"/>
  <c r="AK136" i="16" s="1"/>
  <c r="W138" i="16"/>
  <c r="AE53" i="11"/>
  <c r="AC53" i="11"/>
  <c r="J142" i="16"/>
  <c r="L143" i="16"/>
  <c r="AF135" i="16"/>
  <c r="AJ135" i="16"/>
  <c r="AI135" i="16" s="1"/>
  <c r="AH135" i="16"/>
  <c r="AN135" i="16" s="1"/>
  <c r="P53" i="11"/>
  <c r="N53" i="11"/>
  <c r="H166" i="40" l="1"/>
  <c r="AR165" i="40"/>
  <c r="AQ165" i="40"/>
  <c r="AT165" i="40" s="1"/>
  <c r="AW165" i="40" s="1"/>
  <c r="M162" i="40"/>
  <c r="AF163" i="40"/>
  <c r="AI163" i="40" s="1"/>
  <c r="AB164" i="40"/>
  <c r="AU164" i="40"/>
  <c r="AS164" i="40"/>
  <c r="AV164" i="40" s="1"/>
  <c r="J164" i="40"/>
  <c r="AZ164" i="40" s="1"/>
  <c r="AP164" i="40" s="1"/>
  <c r="K163" i="40"/>
  <c r="P162" i="40"/>
  <c r="P242" i="27"/>
  <c r="Q242" i="27" s="1"/>
  <c r="R242" i="27" s="1"/>
  <c r="Y242" i="27" s="1"/>
  <c r="N242" i="27"/>
  <c r="N231" i="17"/>
  <c r="P231" i="17"/>
  <c r="Q230" i="17"/>
  <c r="R230" i="17" s="1"/>
  <c r="X230" i="17" s="1"/>
  <c r="O230" i="17"/>
  <c r="E139" i="29"/>
  <c r="F139" i="29"/>
  <c r="AQ60" i="29"/>
  <c r="AT60" i="29" s="1"/>
  <c r="AW60" i="29" s="1"/>
  <c r="H61" i="29"/>
  <c r="AR60" i="29"/>
  <c r="AA59" i="29"/>
  <c r="AU59" i="29"/>
  <c r="AS59" i="29"/>
  <c r="AV59" i="29" s="1"/>
  <c r="Q55" i="29"/>
  <c r="R55" i="29" s="1"/>
  <c r="X55" i="29" s="1"/>
  <c r="O55" i="29"/>
  <c r="M56" i="29"/>
  <c r="AM56" i="29" s="1"/>
  <c r="A56" i="29" s="1"/>
  <c r="B56" i="29" s="1"/>
  <c r="C56" i="29" s="1"/>
  <c r="N56" i="29"/>
  <c r="P56" i="29"/>
  <c r="AC56" i="29"/>
  <c r="J58" i="29"/>
  <c r="L59" i="29"/>
  <c r="O139" i="29"/>
  <c r="Q139" i="29"/>
  <c r="R139" i="29" s="1"/>
  <c r="X139" i="29" s="1"/>
  <c r="K57" i="29"/>
  <c r="J142" i="29"/>
  <c r="L143" i="29"/>
  <c r="K141" i="29"/>
  <c r="AC140" i="29"/>
  <c r="M140" i="29"/>
  <c r="AO140" i="29" s="1"/>
  <c r="P140" i="29"/>
  <c r="N140" i="29"/>
  <c r="AD242" i="27"/>
  <c r="K243" i="27"/>
  <c r="M243" i="27" s="1"/>
  <c r="AR58" i="27"/>
  <c r="AB58" i="27" s="1"/>
  <c r="H59" i="27"/>
  <c r="AQ58" i="27"/>
  <c r="AT58" i="27" s="1"/>
  <c r="AW58" i="27" s="1"/>
  <c r="Q54" i="27"/>
  <c r="R54" i="27" s="1"/>
  <c r="Y54" i="27" s="1"/>
  <c r="O54" i="27"/>
  <c r="AS57" i="27"/>
  <c r="AV57" i="27" s="1"/>
  <c r="AU57" i="27"/>
  <c r="AF57" i="27"/>
  <c r="J57" i="27"/>
  <c r="AZ57" i="27" s="1"/>
  <c r="AP57" i="27" s="1"/>
  <c r="K56" i="27"/>
  <c r="AZ56" i="27"/>
  <c r="M55" i="27"/>
  <c r="P55" i="27"/>
  <c r="AD55" i="27"/>
  <c r="N55" i="27"/>
  <c r="L108" i="27"/>
  <c r="O242" i="27"/>
  <c r="O241" i="27"/>
  <c r="Q241" i="27"/>
  <c r="R241" i="27" s="1"/>
  <c r="AQ245" i="27"/>
  <c r="AT245" i="27" s="1"/>
  <c r="AW245" i="27" s="1"/>
  <c r="AR245" i="27"/>
  <c r="H246" i="27"/>
  <c r="AB244" i="27"/>
  <c r="AU244" i="27"/>
  <c r="AS244" i="27"/>
  <c r="AV244" i="27" s="1"/>
  <c r="J244" i="27"/>
  <c r="AZ244" i="27" s="1"/>
  <c r="AP244" i="27" s="1"/>
  <c r="AX137" i="16"/>
  <c r="AY137" i="16"/>
  <c r="V137" i="16"/>
  <c r="AH53" i="11"/>
  <c r="AC54" i="11"/>
  <c r="AE54" i="11"/>
  <c r="AJ136" i="16"/>
  <c r="AI136" i="16" s="1"/>
  <c r="AF136" i="16"/>
  <c r="AH136" i="16"/>
  <c r="AN136" i="16" s="1"/>
  <c r="M141" i="16"/>
  <c r="AM141" i="16" s="1"/>
  <c r="P141" i="16"/>
  <c r="N141" i="16"/>
  <c r="AC141" i="16"/>
  <c r="Q53" i="11"/>
  <c r="R53" i="11" s="1"/>
  <c r="X53" i="11" s="1"/>
  <c r="O53" i="11"/>
  <c r="Y139" i="16"/>
  <c r="O140" i="16"/>
  <c r="Q140" i="16"/>
  <c r="R140" i="16" s="1"/>
  <c r="X140" i="16" s="1"/>
  <c r="L144" i="16"/>
  <c r="J143" i="16"/>
  <c r="W139" i="16"/>
  <c r="H57" i="11"/>
  <c r="AR56" i="11"/>
  <c r="AQ56" i="11"/>
  <c r="AT56" i="11" s="1"/>
  <c r="AW56" i="11" s="1"/>
  <c r="T140" i="16"/>
  <c r="Z138" i="16"/>
  <c r="U138" i="16"/>
  <c r="N54" i="11"/>
  <c r="P54" i="11"/>
  <c r="AS55" i="11"/>
  <c r="AV55" i="11" s="1"/>
  <c r="AU55" i="11"/>
  <c r="J55" i="11"/>
  <c r="AP55" i="11" s="1"/>
  <c r="J60" i="16"/>
  <c r="L61" i="16"/>
  <c r="Q57" i="16"/>
  <c r="R57" i="16" s="1"/>
  <c r="X57" i="16" s="1"/>
  <c r="O57" i="16"/>
  <c r="K142" i="16"/>
  <c r="AP142" i="16"/>
  <c r="AB137" i="16"/>
  <c r="AG137" i="16" s="1"/>
  <c r="AK137" i="16" s="1"/>
  <c r="AD137" i="16"/>
  <c r="AE137" i="16" s="1"/>
  <c r="N58" i="16"/>
  <c r="M58" i="16"/>
  <c r="AM58" i="16" s="1"/>
  <c r="A58" i="16" s="1"/>
  <c r="B58" i="16" s="1"/>
  <c r="C58" i="16" s="1"/>
  <c r="AC58" i="16"/>
  <c r="P58" i="16"/>
  <c r="AP59" i="16"/>
  <c r="K59" i="16"/>
  <c r="L58" i="11"/>
  <c r="K164" i="40" l="1"/>
  <c r="AD164" i="40" s="1"/>
  <c r="AF164" i="40"/>
  <c r="M163" i="40"/>
  <c r="N163" i="40"/>
  <c r="AU165" i="40"/>
  <c r="AS165" i="40"/>
  <c r="AV165" i="40" s="1"/>
  <c r="AB165" i="40"/>
  <c r="J165" i="40"/>
  <c r="AZ165" i="40" s="1"/>
  <c r="AP165" i="40" s="1"/>
  <c r="AI164" i="40"/>
  <c r="P163" i="40"/>
  <c r="H167" i="40"/>
  <c r="AR166" i="40"/>
  <c r="AQ166" i="40"/>
  <c r="AT166" i="40" s="1"/>
  <c r="AW166" i="40" s="1"/>
  <c r="AD163" i="40"/>
  <c r="Q162" i="40"/>
  <c r="R162" i="40" s="1"/>
  <c r="O162" i="40"/>
  <c r="AP56" i="27"/>
  <c r="AI56" i="27" s="1"/>
  <c r="AI57" i="27"/>
  <c r="O231" i="17"/>
  <c r="Q231" i="17"/>
  <c r="R231" i="17" s="1"/>
  <c r="X231" i="17" s="1"/>
  <c r="F140" i="29"/>
  <c r="E140" i="29"/>
  <c r="AU60" i="29"/>
  <c r="AA60" i="29"/>
  <c r="AS60" i="29"/>
  <c r="AV60" i="29" s="1"/>
  <c r="AR61" i="29"/>
  <c r="AQ61" i="29"/>
  <c r="AT61" i="29" s="1"/>
  <c r="AW61" i="29" s="1"/>
  <c r="H62" i="29"/>
  <c r="K58" i="29"/>
  <c r="Q140" i="29"/>
  <c r="R140" i="29" s="1"/>
  <c r="X140" i="29" s="1"/>
  <c r="O140" i="29"/>
  <c r="M57" i="29"/>
  <c r="AM57" i="29" s="1"/>
  <c r="A57" i="29" s="1"/>
  <c r="B57" i="29" s="1"/>
  <c r="C57" i="29" s="1"/>
  <c r="AC57" i="29"/>
  <c r="P57" i="29"/>
  <c r="N57" i="29"/>
  <c r="L60" i="29"/>
  <c r="J59" i="29"/>
  <c r="M141" i="29"/>
  <c r="AO141" i="29" s="1"/>
  <c r="N141" i="29"/>
  <c r="AC141" i="29"/>
  <c r="P141" i="29"/>
  <c r="L144" i="29"/>
  <c r="J143" i="29"/>
  <c r="Q56" i="29"/>
  <c r="R56" i="29" s="1"/>
  <c r="X56" i="29" s="1"/>
  <c r="O56" i="29"/>
  <c r="K142" i="29"/>
  <c r="AD243" i="27"/>
  <c r="P243" i="27"/>
  <c r="O243" i="27" s="1"/>
  <c r="N243" i="27"/>
  <c r="W140" i="16"/>
  <c r="Z140" i="16" s="1"/>
  <c r="K57" i="27"/>
  <c r="P56" i="27"/>
  <c r="M56" i="27"/>
  <c r="AD56" i="27"/>
  <c r="N56" i="27"/>
  <c r="Q55" i="27"/>
  <c r="R55" i="27" s="1"/>
  <c r="Y55" i="27" s="1"/>
  <c r="O55" i="27"/>
  <c r="AQ59" i="27"/>
  <c r="AT59" i="27" s="1"/>
  <c r="AW59" i="27" s="1"/>
  <c r="H60" i="27"/>
  <c r="AR59" i="27"/>
  <c r="AB59" i="27" s="1"/>
  <c r="AS58" i="27"/>
  <c r="AV58" i="27" s="1"/>
  <c r="AU58" i="27"/>
  <c r="AF58" i="27"/>
  <c r="J58" i="27"/>
  <c r="L109" i="27"/>
  <c r="K244" i="27"/>
  <c r="N244" i="27" s="1"/>
  <c r="Q243" i="27"/>
  <c r="R243" i="27" s="1"/>
  <c r="Y243" i="27" s="1"/>
  <c r="Y241" i="27"/>
  <c r="AR246" i="27"/>
  <c r="AQ246" i="27"/>
  <c r="AT246" i="27" s="1"/>
  <c r="AW246" i="27" s="1"/>
  <c r="H247" i="27"/>
  <c r="AS245" i="27"/>
  <c r="AV245" i="27" s="1"/>
  <c r="AB245" i="27"/>
  <c r="AU245" i="27"/>
  <c r="J245" i="27"/>
  <c r="AZ245" i="27" s="1"/>
  <c r="AP245" i="27" s="1"/>
  <c r="AY138" i="16"/>
  <c r="AX138" i="16"/>
  <c r="V138" i="16"/>
  <c r="AP143" i="16"/>
  <c r="K143" i="16"/>
  <c r="T141" i="16"/>
  <c r="O54" i="11"/>
  <c r="Q54" i="11"/>
  <c r="R54" i="11" s="1"/>
  <c r="X54" i="11" s="1"/>
  <c r="Y140" i="16"/>
  <c r="Q141" i="16"/>
  <c r="R141" i="16" s="1"/>
  <c r="X141" i="16" s="1"/>
  <c r="O141" i="16"/>
  <c r="AR57" i="11"/>
  <c r="AQ57" i="11"/>
  <c r="AT57" i="11" s="1"/>
  <c r="AW57" i="11" s="1"/>
  <c r="H58" i="11"/>
  <c r="AD138" i="16"/>
  <c r="AE138" i="16" s="1"/>
  <c r="AB138" i="16"/>
  <c r="AG138" i="16" s="1"/>
  <c r="AK138" i="16" s="1"/>
  <c r="AJ137" i="16"/>
  <c r="AI137" i="16" s="1"/>
  <c r="AF137" i="16"/>
  <c r="AH137" i="16"/>
  <c r="AN137" i="16" s="1"/>
  <c r="J61" i="16"/>
  <c r="L62" i="16"/>
  <c r="U140" i="16"/>
  <c r="V140" i="16" s="1"/>
  <c r="L145" i="16"/>
  <c r="J144" i="16"/>
  <c r="AH54" i="11"/>
  <c r="AE55" i="11"/>
  <c r="AH55" i="11" s="1"/>
  <c r="AC55" i="11"/>
  <c r="K60" i="16"/>
  <c r="AP60" i="16"/>
  <c r="Q58" i="16"/>
  <c r="R58" i="16" s="1"/>
  <c r="X58" i="16" s="1"/>
  <c r="O58" i="16"/>
  <c r="L59" i="11"/>
  <c r="M142" i="16"/>
  <c r="AM142" i="16" s="1"/>
  <c r="N142" i="16"/>
  <c r="AC142" i="16"/>
  <c r="P142" i="16"/>
  <c r="M59" i="16"/>
  <c r="AM59" i="16" s="1"/>
  <c r="A59" i="16" s="1"/>
  <c r="B59" i="16" s="1"/>
  <c r="C59" i="16" s="1"/>
  <c r="N59" i="16"/>
  <c r="P59" i="16"/>
  <c r="AC59" i="16"/>
  <c r="P55" i="11"/>
  <c r="N55" i="11"/>
  <c r="AU56" i="11"/>
  <c r="AS56" i="11"/>
  <c r="AV56" i="11" s="1"/>
  <c r="J56" i="11"/>
  <c r="AP56" i="11" s="1"/>
  <c r="U139" i="16"/>
  <c r="Z139" i="16"/>
  <c r="N164" i="40" l="1"/>
  <c r="P164" i="40"/>
  <c r="M164" i="40"/>
  <c r="AS166" i="40"/>
  <c r="AV166" i="40" s="1"/>
  <c r="AU166" i="40"/>
  <c r="AB166" i="40"/>
  <c r="J166" i="40"/>
  <c r="AZ166" i="40" s="1"/>
  <c r="AP166" i="40" s="1"/>
  <c r="O163" i="40"/>
  <c r="Q163" i="40"/>
  <c r="R163" i="40" s="1"/>
  <c r="Y163" i="40" s="1"/>
  <c r="K165" i="40"/>
  <c r="AQ167" i="40"/>
  <c r="AT167" i="40" s="1"/>
  <c r="AW167" i="40" s="1"/>
  <c r="H168" i="40"/>
  <c r="AR167" i="40"/>
  <c r="AF165" i="40"/>
  <c r="AI165" i="40" s="1"/>
  <c r="Y162" i="40"/>
  <c r="Q164" i="40"/>
  <c r="R164" i="40" s="1"/>
  <c r="Y164" i="40" s="1"/>
  <c r="O164" i="40"/>
  <c r="E141" i="29"/>
  <c r="F141" i="29"/>
  <c r="H63" i="29"/>
  <c r="AQ62" i="29"/>
  <c r="AT62" i="29" s="1"/>
  <c r="AW62" i="29" s="1"/>
  <c r="AR62" i="29"/>
  <c r="AS61" i="29"/>
  <c r="AV61" i="29" s="1"/>
  <c r="AA61" i="29"/>
  <c r="AU61" i="29"/>
  <c r="K143" i="29"/>
  <c r="M58" i="29"/>
  <c r="AM58" i="29" s="1"/>
  <c r="A58" i="29" s="1"/>
  <c r="B58" i="29" s="1"/>
  <c r="C58" i="29" s="1"/>
  <c r="N58" i="29"/>
  <c r="P58" i="29"/>
  <c r="AC58" i="29"/>
  <c r="M142" i="29"/>
  <c r="AO142" i="29" s="1"/>
  <c r="AC142" i="29"/>
  <c r="P142" i="29"/>
  <c r="N142" i="29"/>
  <c r="L145" i="29"/>
  <c r="J144" i="29"/>
  <c r="K59" i="29"/>
  <c r="O141" i="29"/>
  <c r="Q141" i="29"/>
  <c r="R141" i="29" s="1"/>
  <c r="X141" i="29" s="1"/>
  <c r="J60" i="29"/>
  <c r="L61" i="29"/>
  <c r="Q57" i="29"/>
  <c r="R57" i="29" s="1"/>
  <c r="X57" i="29" s="1"/>
  <c r="O57" i="29"/>
  <c r="P244" i="27"/>
  <c r="Q244" i="27" s="1"/>
  <c r="R244" i="27" s="1"/>
  <c r="Y244" i="27" s="1"/>
  <c r="AY140" i="16"/>
  <c r="W141" i="16"/>
  <c r="U141" i="16" s="1"/>
  <c r="AS59" i="27"/>
  <c r="AV59" i="27" s="1"/>
  <c r="AU59" i="27"/>
  <c r="AF59" i="27"/>
  <c r="J59" i="27"/>
  <c r="AZ59" i="27" s="1"/>
  <c r="AP59" i="27" s="1"/>
  <c r="AR60" i="27"/>
  <c r="AB60" i="27" s="1"/>
  <c r="AQ60" i="27"/>
  <c r="AT60" i="27" s="1"/>
  <c r="AW60" i="27" s="1"/>
  <c r="H61" i="27"/>
  <c r="AZ58" i="27"/>
  <c r="K58" i="27"/>
  <c r="O56" i="27"/>
  <c r="Q56" i="27"/>
  <c r="R56" i="27" s="1"/>
  <c r="Y56" i="27" s="1"/>
  <c r="AD57" i="27"/>
  <c r="N57" i="27"/>
  <c r="M57" i="27"/>
  <c r="P57" i="27"/>
  <c r="L110" i="27"/>
  <c r="AS246" i="27"/>
  <c r="AV246" i="27" s="1"/>
  <c r="AB246" i="27"/>
  <c r="AU246" i="27"/>
  <c r="J246" i="27"/>
  <c r="AZ246" i="27" s="1"/>
  <c r="AP246" i="27" s="1"/>
  <c r="AQ247" i="27"/>
  <c r="AT247" i="27" s="1"/>
  <c r="AW247" i="27" s="1"/>
  <c r="AR247" i="27"/>
  <c r="H248" i="27"/>
  <c r="K245" i="27"/>
  <c r="N245" i="27" s="1"/>
  <c r="M244" i="27"/>
  <c r="AD244" i="27"/>
  <c r="O59" i="16"/>
  <c r="Q59" i="16"/>
  <c r="R59" i="16" s="1"/>
  <c r="X59" i="16" s="1"/>
  <c r="Q55" i="11"/>
  <c r="R55" i="11" s="1"/>
  <c r="X55" i="11" s="1"/>
  <c r="O55" i="11"/>
  <c r="M60" i="16"/>
  <c r="AM60" i="16" s="1"/>
  <c r="A60" i="16" s="1"/>
  <c r="B60" i="16" s="1"/>
  <c r="C60" i="16" s="1"/>
  <c r="AC60" i="16"/>
  <c r="P60" i="16"/>
  <c r="N60" i="16"/>
  <c r="AF138" i="16"/>
  <c r="AJ138" i="16"/>
  <c r="AI138" i="16" s="1"/>
  <c r="AH138" i="16"/>
  <c r="AN138" i="16" s="1"/>
  <c r="AX140" i="16"/>
  <c r="L63" i="16"/>
  <c r="J62" i="16"/>
  <c r="T142" i="16"/>
  <c r="J145" i="16"/>
  <c r="L146" i="16"/>
  <c r="AD139" i="16"/>
  <c r="AE139" i="16" s="1"/>
  <c r="AB139" i="16"/>
  <c r="AG139" i="16" s="1"/>
  <c r="AK139" i="16" s="1"/>
  <c r="N56" i="11"/>
  <c r="P56" i="11"/>
  <c r="AB140" i="16"/>
  <c r="AG140" i="16" s="1"/>
  <c r="AK140" i="16" s="1"/>
  <c r="AD140" i="16"/>
  <c r="AE140" i="16" s="1"/>
  <c r="L60" i="11"/>
  <c r="AP144" i="16"/>
  <c r="K144" i="16"/>
  <c r="K61" i="16"/>
  <c r="AP61" i="16"/>
  <c r="AS57" i="11"/>
  <c r="AV57" i="11" s="1"/>
  <c r="AU57" i="11"/>
  <c r="J57" i="11"/>
  <c r="AP57" i="11" s="1"/>
  <c r="AX139" i="16"/>
  <c r="AY139" i="16"/>
  <c r="V139" i="16"/>
  <c r="AE56" i="11"/>
  <c r="AC56" i="11"/>
  <c r="Q142" i="16"/>
  <c r="R142" i="16" s="1"/>
  <c r="X142" i="16" s="1"/>
  <c r="O142" i="16"/>
  <c r="H59" i="11"/>
  <c r="AR58" i="11"/>
  <c r="AQ58" i="11"/>
  <c r="AT58" i="11" s="1"/>
  <c r="AW58" i="11" s="1"/>
  <c r="Y141" i="16"/>
  <c r="M143" i="16"/>
  <c r="AM143" i="16" s="1"/>
  <c r="N143" i="16"/>
  <c r="P143" i="16"/>
  <c r="AC143" i="16"/>
  <c r="M165" i="40" l="1"/>
  <c r="N165" i="40"/>
  <c r="AB167" i="40"/>
  <c r="AU167" i="40"/>
  <c r="AS167" i="40"/>
  <c r="AV167" i="40" s="1"/>
  <c r="J167" i="40"/>
  <c r="AZ167" i="40" s="1"/>
  <c r="AP167" i="40" s="1"/>
  <c r="K166" i="40"/>
  <c r="AF166" i="40"/>
  <c r="AR168" i="40"/>
  <c r="H169" i="40"/>
  <c r="AQ168" i="40"/>
  <c r="AT168" i="40" s="1"/>
  <c r="AW168" i="40" s="1"/>
  <c r="N166" i="40"/>
  <c r="AD165" i="40"/>
  <c r="P165" i="40"/>
  <c r="AP58" i="27"/>
  <c r="AI58" i="27" s="1"/>
  <c r="O244" i="27"/>
  <c r="E142" i="29"/>
  <c r="F142" i="29"/>
  <c r="AU62" i="29"/>
  <c r="AA62" i="29"/>
  <c r="AS62" i="29"/>
  <c r="AV62" i="29" s="1"/>
  <c r="AR63" i="29"/>
  <c r="H64" i="29"/>
  <c r="AQ63" i="29"/>
  <c r="AT63" i="29" s="1"/>
  <c r="AW63" i="29" s="1"/>
  <c r="Q142" i="29"/>
  <c r="R142" i="29" s="1"/>
  <c r="X142" i="29" s="1"/>
  <c r="O142" i="29"/>
  <c r="J61" i="29"/>
  <c r="L62" i="29"/>
  <c r="M59" i="29"/>
  <c r="AM59" i="29" s="1"/>
  <c r="A59" i="29" s="1"/>
  <c r="B59" i="29" s="1"/>
  <c r="C59" i="29" s="1"/>
  <c r="AC59" i="29"/>
  <c r="P59" i="29"/>
  <c r="N59" i="29"/>
  <c r="K60" i="29"/>
  <c r="K144" i="29"/>
  <c r="J145" i="29"/>
  <c r="L146" i="29"/>
  <c r="M143" i="29"/>
  <c r="AO143" i="29" s="1"/>
  <c r="AC143" i="29"/>
  <c r="N143" i="29"/>
  <c r="P143" i="29"/>
  <c r="Q58" i="29"/>
  <c r="R58" i="29" s="1"/>
  <c r="X58" i="29" s="1"/>
  <c r="O58" i="29"/>
  <c r="AD245" i="27"/>
  <c r="P245" i="27"/>
  <c r="Q245" i="27" s="1"/>
  <c r="R245" i="27" s="1"/>
  <c r="Y245" i="27" s="1"/>
  <c r="K246" i="27"/>
  <c r="P246" i="27" s="1"/>
  <c r="AY141" i="16"/>
  <c r="V141" i="16"/>
  <c r="Z141" i="16"/>
  <c r="AD141" i="16" s="1"/>
  <c r="AE141" i="16" s="1"/>
  <c r="AI59" i="27"/>
  <c r="W142" i="16"/>
  <c r="U142" i="16" s="1"/>
  <c r="V142" i="16" s="1"/>
  <c r="AX141" i="16"/>
  <c r="AS60" i="27"/>
  <c r="AV60" i="27" s="1"/>
  <c r="AF60" i="27"/>
  <c r="AU60" i="27"/>
  <c r="J60" i="27"/>
  <c r="K59" i="27"/>
  <c r="Q57" i="27"/>
  <c r="R57" i="27" s="1"/>
  <c r="Y57" i="27" s="1"/>
  <c r="O57" i="27"/>
  <c r="AD58" i="27"/>
  <c r="P58" i="27"/>
  <c r="N58" i="27"/>
  <c r="M58" i="27"/>
  <c r="H62" i="27"/>
  <c r="AQ61" i="27"/>
  <c r="AT61" i="27" s="1"/>
  <c r="AW61" i="27" s="1"/>
  <c r="AR61" i="27"/>
  <c r="AB61" i="27" s="1"/>
  <c r="L111" i="27"/>
  <c r="M245" i="27"/>
  <c r="AQ248" i="27"/>
  <c r="AT248" i="27" s="1"/>
  <c r="AW248" i="27" s="1"/>
  <c r="H249" i="27"/>
  <c r="AR248" i="27"/>
  <c r="AS247" i="27"/>
  <c r="AV247" i="27" s="1"/>
  <c r="AB247" i="27"/>
  <c r="AU247" i="27"/>
  <c r="J247" i="27"/>
  <c r="AZ247" i="27" s="1"/>
  <c r="AP247" i="27" s="1"/>
  <c r="T143" i="16"/>
  <c r="AE57" i="11"/>
  <c r="AH57" i="11" s="1"/>
  <c r="AC57" i="11"/>
  <c r="AR59" i="11"/>
  <c r="AQ59" i="11"/>
  <c r="AT59" i="11" s="1"/>
  <c r="AW59" i="11" s="1"/>
  <c r="H60" i="11"/>
  <c r="AJ140" i="16"/>
  <c r="AI140" i="16" s="1"/>
  <c r="AF140" i="16"/>
  <c r="AH140" i="16"/>
  <c r="AN140" i="16" s="1"/>
  <c r="P57" i="11"/>
  <c r="N57" i="11"/>
  <c r="AH56" i="11"/>
  <c r="L61" i="11"/>
  <c r="O56" i="11"/>
  <c r="Q56" i="11"/>
  <c r="R56" i="11" s="1"/>
  <c r="X56" i="11" s="1"/>
  <c r="M61" i="16"/>
  <c r="AM61" i="16" s="1"/>
  <c r="A61" i="16" s="1"/>
  <c r="B61" i="16" s="1"/>
  <c r="C61" i="16" s="1"/>
  <c r="P61" i="16"/>
  <c r="N61" i="16"/>
  <c r="AC61" i="16"/>
  <c r="AJ139" i="16"/>
  <c r="AI139" i="16" s="1"/>
  <c r="AF139" i="16"/>
  <c r="AH139" i="16"/>
  <c r="AN139" i="16" s="1"/>
  <c r="AP62" i="16"/>
  <c r="K62" i="16"/>
  <c r="M144" i="16"/>
  <c r="AM144" i="16" s="1"/>
  <c r="AC144" i="16"/>
  <c r="P144" i="16"/>
  <c r="N144" i="16"/>
  <c r="AU58" i="11"/>
  <c r="AS58" i="11"/>
  <c r="AV58" i="11" s="1"/>
  <c r="J58" i="11"/>
  <c r="AP58" i="11" s="1"/>
  <c r="L147" i="16"/>
  <c r="J146" i="16"/>
  <c r="K145" i="16"/>
  <c r="AP145" i="16"/>
  <c r="O143" i="16"/>
  <c r="Q143" i="16"/>
  <c r="R143" i="16" s="1"/>
  <c r="X143" i="16" s="1"/>
  <c r="Y142" i="16"/>
  <c r="AB141" i="16"/>
  <c r="AG141" i="16" s="1"/>
  <c r="AK141" i="16" s="1"/>
  <c r="L64" i="16"/>
  <c r="J63" i="16"/>
  <c r="Q60" i="16"/>
  <c r="R60" i="16" s="1"/>
  <c r="X60" i="16" s="1"/>
  <c r="O60" i="16"/>
  <c r="AF167" i="40" l="1"/>
  <c r="Q165" i="40"/>
  <c r="R165" i="40" s="1"/>
  <c r="Y165" i="40" s="1"/>
  <c r="O165" i="40"/>
  <c r="AR169" i="40"/>
  <c r="AQ169" i="40"/>
  <c r="AT169" i="40" s="1"/>
  <c r="AW169" i="40" s="1"/>
  <c r="H170" i="40"/>
  <c r="M166" i="40"/>
  <c r="AI167" i="40"/>
  <c r="AU168" i="40"/>
  <c r="AB168" i="40"/>
  <c r="AS168" i="40"/>
  <c r="AV168" i="40" s="1"/>
  <c r="J168" i="40"/>
  <c r="AZ168" i="40" s="1"/>
  <c r="AP168" i="40" s="1"/>
  <c r="AI166" i="40"/>
  <c r="P166" i="40"/>
  <c r="AD166" i="40"/>
  <c r="K167" i="40"/>
  <c r="AD167" i="40" s="1"/>
  <c r="O245" i="27"/>
  <c r="AD246" i="27"/>
  <c r="M246" i="27"/>
  <c r="F143" i="29"/>
  <c r="E143" i="29"/>
  <c r="AR64" i="29"/>
  <c r="H65" i="29"/>
  <c r="AQ64" i="29"/>
  <c r="AT64" i="29" s="1"/>
  <c r="AW64" i="29" s="1"/>
  <c r="AS63" i="29"/>
  <c r="AV63" i="29" s="1"/>
  <c r="AA63" i="29"/>
  <c r="AU63" i="29"/>
  <c r="Q143" i="29"/>
  <c r="R143" i="29" s="1"/>
  <c r="X143" i="29" s="1"/>
  <c r="O143" i="29"/>
  <c r="L147" i="29"/>
  <c r="J146" i="29"/>
  <c r="Q59" i="29"/>
  <c r="R59" i="29" s="1"/>
  <c r="X59" i="29" s="1"/>
  <c r="O59" i="29"/>
  <c r="K145" i="29"/>
  <c r="M144" i="29"/>
  <c r="AO144" i="29" s="1"/>
  <c r="P144" i="29"/>
  <c r="N144" i="29"/>
  <c r="AC144" i="29"/>
  <c r="J62" i="29"/>
  <c r="L63" i="29"/>
  <c r="M60" i="29"/>
  <c r="AM60" i="29" s="1"/>
  <c r="A60" i="29" s="1"/>
  <c r="B60" i="29" s="1"/>
  <c r="C60" i="29" s="1"/>
  <c r="AC60" i="29"/>
  <c r="P60" i="29"/>
  <c r="N60" i="29"/>
  <c r="K61" i="29"/>
  <c r="N246" i="27"/>
  <c r="K247" i="27"/>
  <c r="AD247" i="27" s="1"/>
  <c r="Z142" i="16"/>
  <c r="AY142" i="16"/>
  <c r="AX142" i="16"/>
  <c r="AR62" i="27"/>
  <c r="AB62" i="27" s="1"/>
  <c r="H63" i="27"/>
  <c r="AQ62" i="27"/>
  <c r="AT62" i="27" s="1"/>
  <c r="AW62" i="27" s="1"/>
  <c r="M59" i="27"/>
  <c r="N59" i="27"/>
  <c r="AD59" i="27"/>
  <c r="P59" i="27"/>
  <c r="AZ60" i="27"/>
  <c r="K60" i="27"/>
  <c r="Q58" i="27"/>
  <c r="R58" i="27" s="1"/>
  <c r="Y58" i="27" s="1"/>
  <c r="O58" i="27"/>
  <c r="AF61" i="27"/>
  <c r="AU61" i="27"/>
  <c r="AS61" i="27"/>
  <c r="AV61" i="27" s="1"/>
  <c r="J61" i="27"/>
  <c r="L112" i="27"/>
  <c r="Q246" i="27"/>
  <c r="R246" i="27" s="1"/>
  <c r="Y246" i="27" s="1"/>
  <c r="O246" i="27"/>
  <c r="AS248" i="27"/>
  <c r="AV248" i="27" s="1"/>
  <c r="AB248" i="27"/>
  <c r="AU248" i="27"/>
  <c r="J248" i="27"/>
  <c r="AZ248" i="27" s="1"/>
  <c r="AP248" i="27" s="1"/>
  <c r="AQ249" i="27"/>
  <c r="AT249" i="27" s="1"/>
  <c r="AW249" i="27" s="1"/>
  <c r="AR249" i="27"/>
  <c r="H250" i="27"/>
  <c r="Q57" i="11"/>
  <c r="R57" i="11" s="1"/>
  <c r="X57" i="11" s="1"/>
  <c r="O57" i="11"/>
  <c r="AD142" i="16"/>
  <c r="AE142" i="16" s="1"/>
  <c r="AB142" i="16"/>
  <c r="AG142" i="16" s="1"/>
  <c r="AK142" i="16" s="1"/>
  <c r="Y143" i="16"/>
  <c r="AF141" i="16"/>
  <c r="AJ141" i="16"/>
  <c r="AI141" i="16" s="1"/>
  <c r="AH141" i="16"/>
  <c r="AN141" i="16" s="1"/>
  <c r="M145" i="16"/>
  <c r="AM145" i="16" s="1"/>
  <c r="P145" i="16"/>
  <c r="N145" i="16"/>
  <c r="AC145" i="16"/>
  <c r="AP146" i="16"/>
  <c r="K146" i="16"/>
  <c r="N58" i="11"/>
  <c r="P58" i="11"/>
  <c r="T144" i="16"/>
  <c r="H61" i="11"/>
  <c r="AQ60" i="11"/>
  <c r="AT60" i="11" s="1"/>
  <c r="AW60" i="11" s="1"/>
  <c r="AR60" i="11"/>
  <c r="W143" i="16"/>
  <c r="AC58" i="11"/>
  <c r="AE58" i="11"/>
  <c r="Q144" i="16"/>
  <c r="R144" i="16" s="1"/>
  <c r="X144" i="16" s="1"/>
  <c r="O144" i="16"/>
  <c r="Q61" i="16"/>
  <c r="R61" i="16" s="1"/>
  <c r="X61" i="16" s="1"/>
  <c r="O61" i="16"/>
  <c r="L62" i="11"/>
  <c r="M62" i="16"/>
  <c r="AM62" i="16" s="1"/>
  <c r="A62" i="16" s="1"/>
  <c r="B62" i="16" s="1"/>
  <c r="C62" i="16" s="1"/>
  <c r="N62" i="16"/>
  <c r="P62" i="16"/>
  <c r="AC62" i="16"/>
  <c r="K63" i="16"/>
  <c r="AP63" i="16"/>
  <c r="J147" i="16"/>
  <c r="L148" i="16"/>
  <c r="J64" i="16"/>
  <c r="L65" i="16"/>
  <c r="AS59" i="11"/>
  <c r="AV59" i="11" s="1"/>
  <c r="AU59" i="11"/>
  <c r="J59" i="11"/>
  <c r="AP59" i="11" s="1"/>
  <c r="N167" i="40" l="1"/>
  <c r="P167" i="40"/>
  <c r="K168" i="40"/>
  <c r="P168" i="40" s="1"/>
  <c r="M167" i="40"/>
  <c r="AR170" i="40"/>
  <c r="AQ170" i="40"/>
  <c r="AT170" i="40" s="1"/>
  <c r="AW170" i="40" s="1"/>
  <c r="H171" i="40"/>
  <c r="AF168" i="40"/>
  <c r="AI168" i="40" s="1"/>
  <c r="AD168" i="40"/>
  <c r="O166" i="40"/>
  <c r="Q166" i="40"/>
  <c r="R166" i="40" s="1"/>
  <c r="N168" i="40"/>
  <c r="AS169" i="40"/>
  <c r="AV169" i="40" s="1"/>
  <c r="AB169" i="40"/>
  <c r="AU169" i="40"/>
  <c r="J169" i="40"/>
  <c r="AZ169" i="40" s="1"/>
  <c r="AP169" i="40" s="1"/>
  <c r="AP60" i="27"/>
  <c r="AI60" i="27" s="1"/>
  <c r="E144" i="29"/>
  <c r="F144" i="29"/>
  <c r="AR65" i="29"/>
  <c r="AQ65" i="29"/>
  <c r="AT65" i="29" s="1"/>
  <c r="AW65" i="29" s="1"/>
  <c r="H66" i="29"/>
  <c r="AS64" i="29"/>
  <c r="AV64" i="29" s="1"/>
  <c r="AU64" i="29"/>
  <c r="AA64" i="29"/>
  <c r="M61" i="29"/>
  <c r="AM61" i="29" s="1"/>
  <c r="A61" i="29" s="1"/>
  <c r="B61" i="29" s="1"/>
  <c r="C61" i="29" s="1"/>
  <c r="AC61" i="29"/>
  <c r="N61" i="29"/>
  <c r="P61" i="29"/>
  <c r="M145" i="29"/>
  <c r="AO145" i="29" s="1"/>
  <c r="AC145" i="29"/>
  <c r="N145" i="29"/>
  <c r="P145" i="29"/>
  <c r="O144" i="29"/>
  <c r="Q144" i="29"/>
  <c r="R144" i="29" s="1"/>
  <c r="X144" i="29" s="1"/>
  <c r="K146" i="29"/>
  <c r="J63" i="29"/>
  <c r="L64" i="29"/>
  <c r="L148" i="29"/>
  <c r="J147" i="29"/>
  <c r="Q60" i="29"/>
  <c r="R60" i="29" s="1"/>
  <c r="X60" i="29" s="1"/>
  <c r="O60" i="29"/>
  <c r="K62" i="29"/>
  <c r="M247" i="27"/>
  <c r="P247" i="27"/>
  <c r="Q247" i="27" s="1"/>
  <c r="R247" i="27" s="1"/>
  <c r="Y247" i="27" s="1"/>
  <c r="N247" i="27"/>
  <c r="W144" i="16"/>
  <c r="K61" i="27"/>
  <c r="AZ61" i="27"/>
  <c r="P60" i="27"/>
  <c r="AD60" i="27"/>
  <c r="M60" i="27"/>
  <c r="N60" i="27"/>
  <c r="AQ63" i="27"/>
  <c r="AT63" i="27" s="1"/>
  <c r="AW63" i="27" s="1"/>
  <c r="AR63" i="27"/>
  <c r="AB63" i="27" s="1"/>
  <c r="H64" i="27"/>
  <c r="O59" i="27"/>
  <c r="Q59" i="27"/>
  <c r="R59" i="27" s="1"/>
  <c r="Y59" i="27" s="1"/>
  <c r="AF62" i="27"/>
  <c r="AU62" i="27"/>
  <c r="AS62" i="27"/>
  <c r="AV62" i="27" s="1"/>
  <c r="J62" i="27"/>
  <c r="L113" i="27"/>
  <c r="H251" i="27"/>
  <c r="AR250" i="27"/>
  <c r="AQ250" i="27"/>
  <c r="AT250" i="27" s="1"/>
  <c r="AW250" i="27" s="1"/>
  <c r="AU249" i="27"/>
  <c r="AB249" i="27"/>
  <c r="AS249" i="27"/>
  <c r="AV249" i="27" s="1"/>
  <c r="J249" i="27"/>
  <c r="AZ249" i="27" s="1"/>
  <c r="AP249" i="27" s="1"/>
  <c r="K248" i="27"/>
  <c r="P248" i="27" s="1"/>
  <c r="AE59" i="11"/>
  <c r="AH59" i="11" s="1"/>
  <c r="AC59" i="11"/>
  <c r="Z144" i="16"/>
  <c r="U144" i="16"/>
  <c r="AY144" i="16" s="1"/>
  <c r="J148" i="16"/>
  <c r="L149" i="16"/>
  <c r="Q145" i="16"/>
  <c r="R145" i="16" s="1"/>
  <c r="X145" i="16" s="1"/>
  <c r="O145" i="16"/>
  <c r="L66" i="16"/>
  <c r="J65" i="16"/>
  <c r="K147" i="16"/>
  <c r="AP147" i="16"/>
  <c r="T145" i="16"/>
  <c r="AH58" i="11"/>
  <c r="P59" i="11"/>
  <c r="N59" i="11"/>
  <c r="AR61" i="11"/>
  <c r="AQ61" i="11"/>
  <c r="AT61" i="11" s="1"/>
  <c r="AW61" i="11" s="1"/>
  <c r="H62" i="11"/>
  <c r="K64" i="16"/>
  <c r="AP64" i="16"/>
  <c r="O62" i="16"/>
  <c r="Q62" i="16"/>
  <c r="R62" i="16" s="1"/>
  <c r="X62" i="16" s="1"/>
  <c r="U143" i="16"/>
  <c r="Z143" i="16"/>
  <c r="M146" i="16"/>
  <c r="AM146" i="16" s="1"/>
  <c r="N146" i="16"/>
  <c r="AC146" i="16"/>
  <c r="P146" i="16"/>
  <c r="L63" i="11"/>
  <c r="O58" i="11"/>
  <c r="Q58" i="11"/>
  <c r="R58" i="11" s="1"/>
  <c r="X58" i="11" s="1"/>
  <c r="M63" i="16"/>
  <c r="AM63" i="16" s="1"/>
  <c r="A63" i="16" s="1"/>
  <c r="B63" i="16" s="1"/>
  <c r="C63" i="16" s="1"/>
  <c r="N63" i="16"/>
  <c r="P63" i="16"/>
  <c r="AC63" i="16"/>
  <c r="AU60" i="11"/>
  <c r="AS60" i="11"/>
  <c r="AV60" i="11" s="1"/>
  <c r="J60" i="11"/>
  <c r="AP60" i="11" s="1"/>
  <c r="Y144" i="16"/>
  <c r="AJ142" i="16"/>
  <c r="AI142" i="16" s="1"/>
  <c r="AF142" i="16"/>
  <c r="AH142" i="16"/>
  <c r="AN142" i="16" s="1"/>
  <c r="H172" i="40" l="1"/>
  <c r="AR171" i="40"/>
  <c r="AQ171" i="40"/>
  <c r="AT171" i="40" s="1"/>
  <c r="AW171" i="40" s="1"/>
  <c r="K169" i="40"/>
  <c r="P169" i="40" s="1"/>
  <c r="M168" i="40"/>
  <c r="Q168" i="40"/>
  <c r="R168" i="40" s="1"/>
  <c r="Y168" i="40" s="1"/>
  <c r="O168" i="40"/>
  <c r="Y166" i="40"/>
  <c r="AS170" i="40"/>
  <c r="AV170" i="40" s="1"/>
  <c r="AB170" i="40"/>
  <c r="AU170" i="40"/>
  <c r="J170" i="40"/>
  <c r="AZ170" i="40" s="1"/>
  <c r="AP170" i="40" s="1"/>
  <c r="O167" i="40"/>
  <c r="Q167" i="40"/>
  <c r="R167" i="40" s="1"/>
  <c r="AF169" i="40"/>
  <c r="AP61" i="27"/>
  <c r="AI61" i="27" s="1"/>
  <c r="O247" i="27"/>
  <c r="E145" i="29"/>
  <c r="F145" i="29"/>
  <c r="AR66" i="29"/>
  <c r="H67" i="29"/>
  <c r="AQ66" i="29"/>
  <c r="AT66" i="29" s="1"/>
  <c r="AW66" i="29" s="1"/>
  <c r="AU65" i="29"/>
  <c r="AA65" i="29"/>
  <c r="AS65" i="29"/>
  <c r="AV65" i="29" s="1"/>
  <c r="M62" i="29"/>
  <c r="AM62" i="29" s="1"/>
  <c r="A62" i="29" s="1"/>
  <c r="B62" i="29" s="1"/>
  <c r="C62" i="29" s="1"/>
  <c r="N62" i="29"/>
  <c r="AC62" i="29"/>
  <c r="P62" i="29"/>
  <c r="K63" i="29"/>
  <c r="O61" i="29"/>
  <c r="Q61" i="29"/>
  <c r="R61" i="29" s="1"/>
  <c r="X61" i="29" s="1"/>
  <c r="J64" i="29"/>
  <c r="L65" i="29"/>
  <c r="Q145" i="29"/>
  <c r="R145" i="29" s="1"/>
  <c r="X145" i="29" s="1"/>
  <c r="O145" i="29"/>
  <c r="K147" i="29"/>
  <c r="M146" i="29"/>
  <c r="AO146" i="29" s="1"/>
  <c r="AC146" i="29"/>
  <c r="N146" i="29"/>
  <c r="P146" i="29"/>
  <c r="J148" i="29"/>
  <c r="L149" i="29"/>
  <c r="AD248" i="27"/>
  <c r="K249" i="27"/>
  <c r="AD249" i="27" s="1"/>
  <c r="N248" i="27"/>
  <c r="V144" i="16"/>
  <c r="AX144" i="16"/>
  <c r="W145" i="16"/>
  <c r="U145" i="16" s="1"/>
  <c r="AX145" i="16" s="1"/>
  <c r="AZ62" i="27"/>
  <c r="K62" i="27"/>
  <c r="H65" i="27"/>
  <c r="AQ64" i="27"/>
  <c r="AT64" i="27" s="1"/>
  <c r="AW64" i="27" s="1"/>
  <c r="AR64" i="27"/>
  <c r="AB64" i="27" s="1"/>
  <c r="Q60" i="27"/>
  <c r="R60" i="27" s="1"/>
  <c r="Y60" i="27" s="1"/>
  <c r="O60" i="27"/>
  <c r="AS63" i="27"/>
  <c r="AV63" i="27" s="1"/>
  <c r="AU63" i="27"/>
  <c r="AF63" i="27"/>
  <c r="J63" i="27"/>
  <c r="M61" i="27"/>
  <c r="P61" i="27"/>
  <c r="AD61" i="27"/>
  <c r="N61" i="27"/>
  <c r="L114" i="27"/>
  <c r="AB250" i="27"/>
  <c r="AS250" i="27"/>
  <c r="AV250" i="27" s="1"/>
  <c r="AU250" i="27"/>
  <c r="J250" i="27"/>
  <c r="AZ250" i="27" s="1"/>
  <c r="AP250" i="27" s="1"/>
  <c r="AQ251" i="27"/>
  <c r="AT251" i="27" s="1"/>
  <c r="AW251" i="27" s="1"/>
  <c r="AR251" i="27"/>
  <c r="H252" i="27"/>
  <c r="Q248" i="27"/>
  <c r="R248" i="27" s="1"/>
  <c r="Y248" i="27" s="1"/>
  <c r="O248" i="27"/>
  <c r="M248" i="27"/>
  <c r="AP65" i="16"/>
  <c r="K65" i="16"/>
  <c r="L67" i="16"/>
  <c r="J66" i="16"/>
  <c r="AC60" i="11"/>
  <c r="AE60" i="11"/>
  <c r="AH60" i="11" s="1"/>
  <c r="Q63" i="16"/>
  <c r="R63" i="16" s="1"/>
  <c r="X63" i="16" s="1"/>
  <c r="O63" i="16"/>
  <c r="L64" i="11"/>
  <c r="T146" i="16"/>
  <c r="AS61" i="11"/>
  <c r="AV61" i="11" s="1"/>
  <c r="AU61" i="11"/>
  <c r="J61" i="11"/>
  <c r="AP61" i="11" s="1"/>
  <c r="Q59" i="11"/>
  <c r="R59" i="11" s="1"/>
  <c r="X59" i="11" s="1"/>
  <c r="O59" i="11"/>
  <c r="H63" i="11"/>
  <c r="AR62" i="11"/>
  <c r="AQ62" i="11"/>
  <c r="AT62" i="11" s="1"/>
  <c r="AW62" i="11" s="1"/>
  <c r="L150" i="16"/>
  <c r="J149" i="16"/>
  <c r="O146" i="16"/>
  <c r="Q146" i="16"/>
  <c r="R146" i="16" s="1"/>
  <c r="X146" i="16" s="1"/>
  <c r="V143" i="16"/>
  <c r="AY143" i="16"/>
  <c r="AX143" i="16"/>
  <c r="Y145" i="16"/>
  <c r="N60" i="11"/>
  <c r="P60" i="11"/>
  <c r="AB143" i="16"/>
  <c r="AG143" i="16" s="1"/>
  <c r="AK143" i="16" s="1"/>
  <c r="AD143" i="16"/>
  <c r="AE143" i="16" s="1"/>
  <c r="M64" i="16"/>
  <c r="AM64" i="16" s="1"/>
  <c r="A64" i="16" s="1"/>
  <c r="B64" i="16" s="1"/>
  <c r="C64" i="16" s="1"/>
  <c r="AC64" i="16"/>
  <c r="P64" i="16"/>
  <c r="N64" i="16"/>
  <c r="M147" i="16"/>
  <c r="AM147" i="16" s="1"/>
  <c r="AC147" i="16"/>
  <c r="P147" i="16"/>
  <c r="N147" i="16"/>
  <c r="K148" i="16"/>
  <c r="AP148" i="16"/>
  <c r="AB144" i="16"/>
  <c r="AG144" i="16" s="1"/>
  <c r="AK144" i="16" s="1"/>
  <c r="AD144" i="16"/>
  <c r="AE144" i="16" s="1"/>
  <c r="AD169" i="40" l="1"/>
  <c r="O169" i="40"/>
  <c r="Q169" i="40"/>
  <c r="R169" i="40" s="1"/>
  <c r="Y169" i="40" s="1"/>
  <c r="AU171" i="40"/>
  <c r="AS171" i="40"/>
  <c r="AV171" i="40" s="1"/>
  <c r="AB171" i="40"/>
  <c r="J171" i="40"/>
  <c r="AZ171" i="40" s="1"/>
  <c r="AP171" i="40" s="1"/>
  <c r="AF170" i="40"/>
  <c r="AI170" i="40" s="1"/>
  <c r="H173" i="40"/>
  <c r="AR172" i="40"/>
  <c r="AQ172" i="40"/>
  <c r="AT172" i="40" s="1"/>
  <c r="AW172" i="40" s="1"/>
  <c r="K170" i="40"/>
  <c r="N170" i="40" s="1"/>
  <c r="M169" i="40"/>
  <c r="AI169" i="40"/>
  <c r="Y167" i="40"/>
  <c r="N169" i="40"/>
  <c r="AP62" i="27"/>
  <c r="AI62" i="27" s="1"/>
  <c r="F146" i="29"/>
  <c r="E146" i="29"/>
  <c r="AR67" i="29"/>
  <c r="AQ67" i="29"/>
  <c r="AT67" i="29" s="1"/>
  <c r="AW67" i="29" s="1"/>
  <c r="H68" i="29"/>
  <c r="AU66" i="29"/>
  <c r="AS66" i="29"/>
  <c r="AV66" i="29" s="1"/>
  <c r="AA66" i="29"/>
  <c r="Q62" i="29"/>
  <c r="R62" i="29" s="1"/>
  <c r="X62" i="29" s="1"/>
  <c r="O62" i="29"/>
  <c r="K148" i="29"/>
  <c r="K64" i="29"/>
  <c r="Q146" i="29"/>
  <c r="R146" i="29" s="1"/>
  <c r="X146" i="29" s="1"/>
  <c r="O146" i="29"/>
  <c r="M147" i="29"/>
  <c r="AO147" i="29" s="1"/>
  <c r="AC147" i="29"/>
  <c r="P147" i="29"/>
  <c r="N147" i="29"/>
  <c r="J149" i="29"/>
  <c r="L150" i="29"/>
  <c r="J65" i="29"/>
  <c r="L66" i="29"/>
  <c r="M63" i="29"/>
  <c r="AM63" i="29" s="1"/>
  <c r="A63" i="29" s="1"/>
  <c r="B63" i="29" s="1"/>
  <c r="C63" i="29" s="1"/>
  <c r="P63" i="29"/>
  <c r="N63" i="29"/>
  <c r="AC63" i="29"/>
  <c r="M249" i="27"/>
  <c r="P249" i="27"/>
  <c r="O249" i="27" s="1"/>
  <c r="N249" i="27"/>
  <c r="K250" i="27"/>
  <c r="N250" i="27" s="1"/>
  <c r="Z145" i="16"/>
  <c r="AD145" i="16" s="1"/>
  <c r="AE145" i="16" s="1"/>
  <c r="AY145" i="16"/>
  <c r="V145" i="16"/>
  <c r="AZ63" i="27"/>
  <c r="K63" i="27"/>
  <c r="AD63" i="27" s="1"/>
  <c r="AF64" i="27"/>
  <c r="AS64" i="27"/>
  <c r="AV64" i="27" s="1"/>
  <c r="AU64" i="27"/>
  <c r="J64" i="27"/>
  <c r="AR65" i="27"/>
  <c r="AB65" i="27" s="1"/>
  <c r="H66" i="27"/>
  <c r="AQ65" i="27"/>
  <c r="AT65" i="27" s="1"/>
  <c r="AW65" i="27" s="1"/>
  <c r="AD62" i="27"/>
  <c r="N62" i="27"/>
  <c r="M62" i="27"/>
  <c r="Q61" i="27"/>
  <c r="R61" i="27" s="1"/>
  <c r="Y61" i="27" s="1"/>
  <c r="O61" i="27"/>
  <c r="P62" i="27"/>
  <c r="L115" i="27"/>
  <c r="AU251" i="27"/>
  <c r="AS251" i="27"/>
  <c r="AV251" i="27" s="1"/>
  <c r="AB251" i="27"/>
  <c r="J251" i="27"/>
  <c r="AZ251" i="27" s="1"/>
  <c r="AP251" i="27" s="1"/>
  <c r="AR252" i="27"/>
  <c r="AQ252" i="27"/>
  <c r="AT252" i="27" s="1"/>
  <c r="AW252" i="27" s="1"/>
  <c r="M148" i="16"/>
  <c r="AM148" i="16" s="1"/>
  <c r="P148" i="16"/>
  <c r="N148" i="16"/>
  <c r="AC148" i="16"/>
  <c r="AU62" i="11"/>
  <c r="AS62" i="11"/>
  <c r="AV62" i="11" s="1"/>
  <c r="J62" i="11"/>
  <c r="AP62" i="11" s="1"/>
  <c r="J67" i="16"/>
  <c r="L68" i="16"/>
  <c r="AF144" i="16"/>
  <c r="AJ144" i="16"/>
  <c r="AI144" i="16" s="1"/>
  <c r="AH144" i="16"/>
  <c r="AN144" i="16" s="1"/>
  <c r="AR63" i="11"/>
  <c r="AQ63" i="11"/>
  <c r="AT63" i="11" s="1"/>
  <c r="AW63" i="11" s="1"/>
  <c r="H64" i="11"/>
  <c r="L65" i="11"/>
  <c r="AB145" i="16"/>
  <c r="AG145" i="16" s="1"/>
  <c r="AK145" i="16" s="1"/>
  <c r="K66" i="16"/>
  <c r="AP66" i="16"/>
  <c r="AE61" i="11"/>
  <c r="AH61" i="11" s="1"/>
  <c r="AC61" i="11"/>
  <c r="Y146" i="16"/>
  <c r="T147" i="16"/>
  <c r="M65" i="16"/>
  <c r="AM65" i="16" s="1"/>
  <c r="A65" i="16" s="1"/>
  <c r="B65" i="16" s="1"/>
  <c r="C65" i="16" s="1"/>
  <c r="N65" i="16"/>
  <c r="P65" i="16"/>
  <c r="AC65" i="16"/>
  <c r="Q147" i="16"/>
  <c r="R147" i="16" s="1"/>
  <c r="X147" i="16" s="1"/>
  <c r="O147" i="16"/>
  <c r="AJ143" i="16"/>
  <c r="AI143" i="16" s="1"/>
  <c r="AF143" i="16"/>
  <c r="AH143" i="16"/>
  <c r="AN143" i="16" s="1"/>
  <c r="Q64" i="16"/>
  <c r="R64" i="16" s="1"/>
  <c r="X64" i="16" s="1"/>
  <c r="O64" i="16"/>
  <c r="P61" i="11"/>
  <c r="N61" i="11"/>
  <c r="W146" i="16"/>
  <c r="AP149" i="16"/>
  <c r="K149" i="16"/>
  <c r="J150" i="16"/>
  <c r="L151" i="16"/>
  <c r="O60" i="11"/>
  <c r="Q60" i="11"/>
  <c r="R60" i="11" s="1"/>
  <c r="X60" i="11" s="1"/>
  <c r="K171" i="40" l="1"/>
  <c r="AF171" i="40"/>
  <c r="AD171" i="40"/>
  <c r="N171" i="40"/>
  <c r="P171" i="40"/>
  <c r="M171" i="40"/>
  <c r="AU172" i="40"/>
  <c r="AS172" i="40"/>
  <c r="AV172" i="40" s="1"/>
  <c r="AB172" i="40"/>
  <c r="J172" i="40"/>
  <c r="AZ172" i="40" s="1"/>
  <c r="AP172" i="40" s="1"/>
  <c r="M170" i="40"/>
  <c r="AD170" i="40"/>
  <c r="P170" i="40"/>
  <c r="AQ173" i="40"/>
  <c r="AT173" i="40" s="1"/>
  <c r="AW173" i="40" s="1"/>
  <c r="H174" i="40"/>
  <c r="AR173" i="40"/>
  <c r="AI171" i="40"/>
  <c r="AP63" i="27"/>
  <c r="AI63" i="27" s="1"/>
  <c r="Q249" i="27"/>
  <c r="R249" i="27" s="1"/>
  <c r="Y249" i="27" s="1"/>
  <c r="E147" i="29"/>
  <c r="F147" i="29"/>
  <c r="H69" i="29"/>
  <c r="AR68" i="29"/>
  <c r="AQ68" i="29"/>
  <c r="AT68" i="29" s="1"/>
  <c r="AW68" i="29" s="1"/>
  <c r="AU67" i="29"/>
  <c r="AS67" i="29"/>
  <c r="AV67" i="29" s="1"/>
  <c r="AA67" i="29"/>
  <c r="K149" i="29"/>
  <c r="O147" i="29"/>
  <c r="Q147" i="29"/>
  <c r="R147" i="29" s="1"/>
  <c r="X147" i="29" s="1"/>
  <c r="K65" i="29"/>
  <c r="M64" i="29"/>
  <c r="AM64" i="29" s="1"/>
  <c r="A64" i="29" s="1"/>
  <c r="B64" i="29" s="1"/>
  <c r="C64" i="29" s="1"/>
  <c r="N64" i="29"/>
  <c r="AC64" i="29"/>
  <c r="P64" i="29"/>
  <c r="J66" i="29"/>
  <c r="L67" i="29"/>
  <c r="L151" i="29"/>
  <c r="J150" i="29"/>
  <c r="Q63" i="29"/>
  <c r="R63" i="29" s="1"/>
  <c r="X63" i="29" s="1"/>
  <c r="O63" i="29"/>
  <c r="M148" i="29"/>
  <c r="AO148" i="29" s="1"/>
  <c r="AC148" i="29"/>
  <c r="N148" i="29"/>
  <c r="P148" i="29"/>
  <c r="M250" i="27"/>
  <c r="AD250" i="27"/>
  <c r="P250" i="27"/>
  <c r="Q250" i="27" s="1"/>
  <c r="R250" i="27" s="1"/>
  <c r="Y250" i="27" s="1"/>
  <c r="K251" i="27"/>
  <c r="N251" i="27" s="1"/>
  <c r="AZ64" i="27"/>
  <c r="K64" i="27"/>
  <c r="Q62" i="27"/>
  <c r="R62" i="27" s="1"/>
  <c r="Y62" i="27" s="1"/>
  <c r="O62" i="27"/>
  <c r="AQ66" i="27"/>
  <c r="AT66" i="27" s="1"/>
  <c r="AW66" i="27" s="1"/>
  <c r="H67" i="27"/>
  <c r="AR66" i="27"/>
  <c r="AB66" i="27" s="1"/>
  <c r="N63" i="27"/>
  <c r="P63" i="27"/>
  <c r="M63" i="27"/>
  <c r="AS65" i="27"/>
  <c r="AV65" i="27" s="1"/>
  <c r="AF65" i="27"/>
  <c r="AU65" i="27"/>
  <c r="J65" i="27"/>
  <c r="L116" i="27"/>
  <c r="AS252" i="27"/>
  <c r="AV252" i="27" s="1"/>
  <c r="AB252" i="27"/>
  <c r="AU252" i="27"/>
  <c r="J252" i="27"/>
  <c r="AZ252" i="27" s="1"/>
  <c r="AP252" i="27" s="1"/>
  <c r="Q61" i="11"/>
  <c r="R61" i="11" s="1"/>
  <c r="X61" i="11" s="1"/>
  <c r="O61" i="11"/>
  <c r="L66" i="11"/>
  <c r="N62" i="11"/>
  <c r="P62" i="11"/>
  <c r="J151" i="16"/>
  <c r="L152" i="16"/>
  <c r="O65" i="16"/>
  <c r="Q65" i="16"/>
  <c r="R65" i="16" s="1"/>
  <c r="X65" i="16" s="1"/>
  <c r="Y147" i="16"/>
  <c r="L69" i="16"/>
  <c r="J68" i="16"/>
  <c r="AE62" i="11"/>
  <c r="AH62" i="11" s="1"/>
  <c r="AC62" i="11"/>
  <c r="T148" i="16"/>
  <c r="W147" i="16"/>
  <c r="H65" i="11"/>
  <c r="AR64" i="11"/>
  <c r="AQ64" i="11"/>
  <c r="AT64" i="11" s="1"/>
  <c r="AW64" i="11" s="1"/>
  <c r="K67" i="16"/>
  <c r="AP67" i="16"/>
  <c r="Q148" i="16"/>
  <c r="R148" i="16" s="1"/>
  <c r="X148" i="16" s="1"/>
  <c r="O148" i="16"/>
  <c r="K150" i="16"/>
  <c r="AP150" i="16"/>
  <c r="AJ145" i="16"/>
  <c r="AI145" i="16" s="1"/>
  <c r="AF145" i="16"/>
  <c r="AH145" i="16"/>
  <c r="AN145" i="16" s="1"/>
  <c r="U146" i="16"/>
  <c r="Z146" i="16"/>
  <c r="M149" i="16"/>
  <c r="AM149" i="16" s="1"/>
  <c r="N149" i="16"/>
  <c r="P149" i="16"/>
  <c r="AC149" i="16"/>
  <c r="M66" i="16"/>
  <c r="AM66" i="16" s="1"/>
  <c r="A66" i="16" s="1"/>
  <c r="B66" i="16" s="1"/>
  <c r="C66" i="16" s="1"/>
  <c r="AC66" i="16"/>
  <c r="N66" i="16"/>
  <c r="P66" i="16"/>
  <c r="AS63" i="11"/>
  <c r="AV63" i="11" s="1"/>
  <c r="AU63" i="11"/>
  <c r="J63" i="11"/>
  <c r="AP63" i="11" s="1"/>
  <c r="Q170" i="40" l="1"/>
  <c r="R170" i="40" s="1"/>
  <c r="O170" i="40"/>
  <c r="K172" i="40"/>
  <c r="N172" i="40" s="1"/>
  <c r="AR174" i="40"/>
  <c r="AQ174" i="40"/>
  <c r="AT174" i="40" s="1"/>
  <c r="AW174" i="40" s="1"/>
  <c r="H175" i="40"/>
  <c r="Q171" i="40"/>
  <c r="R171" i="40" s="1"/>
  <c r="Y171" i="40" s="1"/>
  <c r="O171" i="40"/>
  <c r="AF172" i="40"/>
  <c r="AB173" i="40"/>
  <c r="AU173" i="40"/>
  <c r="AS173" i="40"/>
  <c r="AV173" i="40" s="1"/>
  <c r="J173" i="40"/>
  <c r="AZ173" i="40" s="1"/>
  <c r="AP173" i="40" s="1"/>
  <c r="AP64" i="27"/>
  <c r="AI64" i="27" s="1"/>
  <c r="O250" i="27"/>
  <c r="M251" i="27"/>
  <c r="E148" i="29"/>
  <c r="F148" i="29"/>
  <c r="AS68" i="29"/>
  <c r="AV68" i="29" s="1"/>
  <c r="AU68" i="29"/>
  <c r="AA68" i="29"/>
  <c r="H70" i="29"/>
  <c r="AR69" i="29"/>
  <c r="AQ69" i="29"/>
  <c r="AT69" i="29" s="1"/>
  <c r="AW69" i="29" s="1"/>
  <c r="Q148" i="29"/>
  <c r="R148" i="29" s="1"/>
  <c r="X148" i="29" s="1"/>
  <c r="O148" i="29"/>
  <c r="O64" i="29"/>
  <c r="Q64" i="29"/>
  <c r="R64" i="29" s="1"/>
  <c r="X64" i="29" s="1"/>
  <c r="K150" i="29"/>
  <c r="J67" i="29"/>
  <c r="L68" i="29"/>
  <c r="M149" i="29"/>
  <c r="AO149" i="29" s="1"/>
  <c r="AC149" i="29"/>
  <c r="N149" i="29"/>
  <c r="P149" i="29"/>
  <c r="L152" i="29"/>
  <c r="J151" i="29"/>
  <c r="K66" i="29"/>
  <c r="M65" i="29"/>
  <c r="AM65" i="29" s="1"/>
  <c r="A65" i="29" s="1"/>
  <c r="B65" i="29" s="1"/>
  <c r="C65" i="29" s="1"/>
  <c r="N65" i="29"/>
  <c r="AC65" i="29"/>
  <c r="P65" i="29"/>
  <c r="AD251" i="27"/>
  <c r="P251" i="27"/>
  <c r="O251" i="27" s="1"/>
  <c r="AR67" i="27"/>
  <c r="AB67" i="27" s="1"/>
  <c r="H68" i="27"/>
  <c r="H73" i="27" s="1"/>
  <c r="AQ67" i="27"/>
  <c r="AT67" i="27" s="1"/>
  <c r="AW67" i="27" s="1"/>
  <c r="O63" i="27"/>
  <c r="Q63" i="27"/>
  <c r="R63" i="27" s="1"/>
  <c r="Y63" i="27" s="1"/>
  <c r="AZ65" i="27"/>
  <c r="K65" i="27"/>
  <c r="M64" i="27"/>
  <c r="N64" i="27"/>
  <c r="AD64" i="27"/>
  <c r="P64" i="27"/>
  <c r="AS66" i="27"/>
  <c r="AV66" i="27" s="1"/>
  <c r="AF66" i="27"/>
  <c r="AU66" i="27"/>
  <c r="J66" i="27"/>
  <c r="L117" i="27"/>
  <c r="K252" i="27"/>
  <c r="AD252" i="27" s="1"/>
  <c r="Q66" i="16"/>
  <c r="R66" i="16" s="1"/>
  <c r="X66" i="16" s="1"/>
  <c r="O66" i="16"/>
  <c r="AU64" i="11"/>
  <c r="AS64" i="11"/>
  <c r="AV64" i="11" s="1"/>
  <c r="J64" i="11"/>
  <c r="AP64" i="11" s="1"/>
  <c r="H66" i="11"/>
  <c r="AR65" i="11"/>
  <c r="AQ65" i="11"/>
  <c r="AT65" i="11" s="1"/>
  <c r="AW65" i="11" s="1"/>
  <c r="J69" i="16"/>
  <c r="L70" i="16"/>
  <c r="T149" i="16"/>
  <c r="N67" i="16"/>
  <c r="M67" i="16"/>
  <c r="AM67" i="16" s="1"/>
  <c r="A67" i="16" s="1"/>
  <c r="B67" i="16" s="1"/>
  <c r="C67" i="16" s="1"/>
  <c r="P67" i="16"/>
  <c r="AC67" i="16"/>
  <c r="L67" i="11"/>
  <c r="P63" i="11"/>
  <c r="N63" i="11"/>
  <c r="O149" i="16"/>
  <c r="Q149" i="16"/>
  <c r="R149" i="16" s="1"/>
  <c r="X149" i="16" s="1"/>
  <c r="AE63" i="11"/>
  <c r="AH63" i="11" s="1"/>
  <c r="AC63" i="11"/>
  <c r="AY146" i="16"/>
  <c r="V146" i="16"/>
  <c r="AX146" i="16"/>
  <c r="Y148" i="16"/>
  <c r="L153" i="16"/>
  <c r="J152" i="16"/>
  <c r="AP68" i="16"/>
  <c r="K68" i="16"/>
  <c r="AB146" i="16"/>
  <c r="AG146" i="16" s="1"/>
  <c r="AK146" i="16" s="1"/>
  <c r="AD146" i="16"/>
  <c r="AE146" i="16" s="1"/>
  <c r="M150" i="16"/>
  <c r="AM150" i="16" s="1"/>
  <c r="AC150" i="16"/>
  <c r="P150" i="16"/>
  <c r="N150" i="16"/>
  <c r="Z147" i="16"/>
  <c r="U147" i="16"/>
  <c r="W148" i="16"/>
  <c r="K151" i="16"/>
  <c r="AP151" i="16"/>
  <c r="O62" i="11"/>
  <c r="Q62" i="11"/>
  <c r="R62" i="11" s="1"/>
  <c r="X62" i="11" s="1"/>
  <c r="M172" i="40" l="1"/>
  <c r="AQ175" i="40"/>
  <c r="AT175" i="40" s="1"/>
  <c r="AW175" i="40" s="1"/>
  <c r="AR175" i="40"/>
  <c r="H176" i="40"/>
  <c r="Y170" i="40"/>
  <c r="AD172" i="40"/>
  <c r="AB174" i="40"/>
  <c r="AU174" i="40"/>
  <c r="AS174" i="40"/>
  <c r="AV174" i="40" s="1"/>
  <c r="J174" i="40"/>
  <c r="AZ174" i="40" s="1"/>
  <c r="AP174" i="40" s="1"/>
  <c r="AI172" i="40"/>
  <c r="AF173" i="40"/>
  <c r="AI173" i="40" s="1"/>
  <c r="K173" i="40"/>
  <c r="P172" i="40"/>
  <c r="AP65" i="27"/>
  <c r="AI65" i="27" s="1"/>
  <c r="Q251" i="27"/>
  <c r="R251" i="27" s="1"/>
  <c r="Y251" i="27" s="1"/>
  <c r="AR73" i="27"/>
  <c r="AB73" i="27" s="1"/>
  <c r="AQ73" i="27"/>
  <c r="AT73" i="27" s="1"/>
  <c r="AW73" i="27" s="1"/>
  <c r="H74" i="27"/>
  <c r="F149" i="29"/>
  <c r="E149" i="29"/>
  <c r="AA69" i="29"/>
  <c r="AU69" i="29"/>
  <c r="AS69" i="29"/>
  <c r="AV69" i="29" s="1"/>
  <c r="H71" i="29"/>
  <c r="AR70" i="29"/>
  <c r="AQ70" i="29"/>
  <c r="AT70" i="29" s="1"/>
  <c r="AW70" i="29" s="1"/>
  <c r="K151" i="29"/>
  <c r="K67" i="29"/>
  <c r="L153" i="29"/>
  <c r="J152" i="29"/>
  <c r="M150" i="29"/>
  <c r="AO150" i="29" s="1"/>
  <c r="AC150" i="29"/>
  <c r="N150" i="29"/>
  <c r="P150" i="29"/>
  <c r="J68" i="29"/>
  <c r="L69" i="29"/>
  <c r="O149" i="29"/>
  <c r="Q149" i="29"/>
  <c r="R149" i="29" s="1"/>
  <c r="X149" i="29" s="1"/>
  <c r="Q65" i="29"/>
  <c r="R65" i="29" s="1"/>
  <c r="X65" i="29" s="1"/>
  <c r="O65" i="29"/>
  <c r="M66" i="29"/>
  <c r="AM66" i="29" s="1"/>
  <c r="A66" i="29" s="1"/>
  <c r="B66" i="29" s="1"/>
  <c r="C66" i="29" s="1"/>
  <c r="AC66" i="29"/>
  <c r="P66" i="29"/>
  <c r="N66" i="29"/>
  <c r="N252" i="27"/>
  <c r="P252" i="27"/>
  <c r="O252" i="27" s="1"/>
  <c r="O64" i="27"/>
  <c r="Q64" i="27"/>
  <c r="R64" i="27" s="1"/>
  <c r="Y64" i="27" s="1"/>
  <c r="AZ66" i="27"/>
  <c r="K66" i="27"/>
  <c r="AR68" i="27"/>
  <c r="AB68" i="27" s="1"/>
  <c r="AQ68" i="27"/>
  <c r="AT68" i="27" s="1"/>
  <c r="AW68" i="27" s="1"/>
  <c r="N65" i="27"/>
  <c r="AD65" i="27"/>
  <c r="M65" i="27"/>
  <c r="AU67" i="27"/>
  <c r="AF67" i="27"/>
  <c r="AS67" i="27"/>
  <c r="AV67" i="27" s="1"/>
  <c r="J67" i="27"/>
  <c r="P65" i="27"/>
  <c r="L118" i="27"/>
  <c r="M252" i="27"/>
  <c r="AJ146" i="16"/>
  <c r="AI146" i="16" s="1"/>
  <c r="AF146" i="16"/>
  <c r="AH146" i="16"/>
  <c r="AN146" i="16" s="1"/>
  <c r="Z148" i="16"/>
  <c r="U148" i="16"/>
  <c r="Q67" i="16"/>
  <c r="R67" i="16" s="1"/>
  <c r="X67" i="16" s="1"/>
  <c r="O67" i="16"/>
  <c r="W149" i="16"/>
  <c r="AP152" i="16"/>
  <c r="K152" i="16"/>
  <c r="Q63" i="11"/>
  <c r="R63" i="11" s="1"/>
  <c r="X63" i="11" s="1"/>
  <c r="O63" i="11"/>
  <c r="AS65" i="11"/>
  <c r="AV65" i="11" s="1"/>
  <c r="AU65" i="11"/>
  <c r="J65" i="11"/>
  <c r="AP65" i="11" s="1"/>
  <c r="L154" i="16"/>
  <c r="J153" i="16"/>
  <c r="Y149" i="16"/>
  <c r="H67" i="11"/>
  <c r="AR66" i="11"/>
  <c r="AQ66" i="11"/>
  <c r="AT66" i="11" s="1"/>
  <c r="AW66" i="11" s="1"/>
  <c r="AY147" i="16"/>
  <c r="AX147" i="16"/>
  <c r="V147" i="16"/>
  <c r="J70" i="16"/>
  <c r="L71" i="16"/>
  <c r="AB147" i="16"/>
  <c r="AG147" i="16" s="1"/>
  <c r="AK147" i="16" s="1"/>
  <c r="AD147" i="16"/>
  <c r="AE147" i="16" s="1"/>
  <c r="T150" i="16"/>
  <c r="K69" i="16"/>
  <c r="AP69" i="16"/>
  <c r="N64" i="11"/>
  <c r="P64" i="11"/>
  <c r="M151" i="16"/>
  <c r="AM151" i="16" s="1"/>
  <c r="AC151" i="16"/>
  <c r="P151" i="16"/>
  <c r="N151" i="16"/>
  <c r="O150" i="16"/>
  <c r="Q150" i="16"/>
  <c r="R150" i="16" s="1"/>
  <c r="X150" i="16" s="1"/>
  <c r="M68" i="16"/>
  <c r="AM68" i="16" s="1"/>
  <c r="A68" i="16" s="1"/>
  <c r="B68" i="16" s="1"/>
  <c r="C68" i="16" s="1"/>
  <c r="N68" i="16"/>
  <c r="AC68" i="16"/>
  <c r="P68" i="16"/>
  <c r="L68" i="11"/>
  <c r="AE64" i="11"/>
  <c r="AH64" i="11" s="1"/>
  <c r="AC64" i="11"/>
  <c r="M173" i="40" l="1"/>
  <c r="AR176" i="40"/>
  <c r="AQ176" i="40"/>
  <c r="AT176" i="40" s="1"/>
  <c r="AW176" i="40" s="1"/>
  <c r="H177" i="40"/>
  <c r="AF174" i="40"/>
  <c r="AI174" i="40" s="1"/>
  <c r="AU175" i="40"/>
  <c r="AB175" i="40"/>
  <c r="AS175" i="40"/>
  <c r="AV175" i="40" s="1"/>
  <c r="J175" i="40"/>
  <c r="AZ175" i="40" s="1"/>
  <c r="AP175" i="40" s="1"/>
  <c r="K174" i="40"/>
  <c r="AD174" i="40" s="1"/>
  <c r="AD173" i="40"/>
  <c r="N173" i="40"/>
  <c r="P173" i="40"/>
  <c r="O172" i="40"/>
  <c r="Q172" i="40"/>
  <c r="R172" i="40" s="1"/>
  <c r="Q252" i="27"/>
  <c r="R252" i="27" s="1"/>
  <c r="Y252" i="27" s="1"/>
  <c r="AP66" i="27"/>
  <c r="AI66" i="27" s="1"/>
  <c r="AR74" i="27"/>
  <c r="AB74" i="27" s="1"/>
  <c r="H75" i="27"/>
  <c r="AQ74" i="27"/>
  <c r="AT74" i="27" s="1"/>
  <c r="AW74" i="27" s="1"/>
  <c r="AS73" i="27"/>
  <c r="AV73" i="27" s="1"/>
  <c r="AU73" i="27"/>
  <c r="J73" i="27"/>
  <c r="AZ73" i="27" s="1"/>
  <c r="AP73" i="27" s="1"/>
  <c r="E150" i="29"/>
  <c r="F150" i="29"/>
  <c r="AQ71" i="29"/>
  <c r="AT71" i="29" s="1"/>
  <c r="AW71" i="29" s="1"/>
  <c r="AR71" i="29"/>
  <c r="H72" i="29"/>
  <c r="AA70" i="29"/>
  <c r="AU70" i="29"/>
  <c r="AS70" i="29"/>
  <c r="AV70" i="29" s="1"/>
  <c r="Q66" i="29"/>
  <c r="R66" i="29" s="1"/>
  <c r="X66" i="29" s="1"/>
  <c r="O66" i="29"/>
  <c r="Q150" i="29"/>
  <c r="R150" i="29" s="1"/>
  <c r="X150" i="29" s="1"/>
  <c r="O150" i="29"/>
  <c r="J153" i="29"/>
  <c r="L154" i="29"/>
  <c r="M67" i="29"/>
  <c r="AM67" i="29" s="1"/>
  <c r="A67" i="29" s="1"/>
  <c r="B67" i="29" s="1"/>
  <c r="C67" i="29" s="1"/>
  <c r="N67" i="29"/>
  <c r="P67" i="29"/>
  <c r="AC67" i="29"/>
  <c r="K152" i="29"/>
  <c r="AC151" i="29"/>
  <c r="M151" i="29"/>
  <c r="AO151" i="29" s="1"/>
  <c r="P151" i="29"/>
  <c r="N151" i="29"/>
  <c r="K68" i="29"/>
  <c r="J69" i="29"/>
  <c r="L70" i="29"/>
  <c r="W150" i="16"/>
  <c r="AS68" i="27"/>
  <c r="AV68" i="27" s="1"/>
  <c r="AU68" i="27"/>
  <c r="J68" i="27"/>
  <c r="AZ68" i="27" s="1"/>
  <c r="AP68" i="27" s="1"/>
  <c r="M66" i="27"/>
  <c r="N66" i="27"/>
  <c r="P66" i="27"/>
  <c r="AD66" i="27"/>
  <c r="O65" i="27"/>
  <c r="Q65" i="27"/>
  <c r="R65" i="27" s="1"/>
  <c r="Y65" i="27" s="1"/>
  <c r="AZ67" i="27"/>
  <c r="K67" i="27"/>
  <c r="M67" i="27" s="1"/>
  <c r="L119" i="27"/>
  <c r="O68" i="16"/>
  <c r="Q68" i="16"/>
  <c r="R68" i="16" s="1"/>
  <c r="X68" i="16" s="1"/>
  <c r="L69" i="11"/>
  <c r="M69" i="16"/>
  <c r="AM69" i="16" s="1"/>
  <c r="A69" i="16" s="1"/>
  <c r="B69" i="16" s="1"/>
  <c r="C69" i="16" s="1"/>
  <c r="P69" i="16"/>
  <c r="AC69" i="16"/>
  <c r="N69" i="16"/>
  <c r="Y150" i="16"/>
  <c r="L72" i="16"/>
  <c r="J71" i="16"/>
  <c r="AR67" i="11"/>
  <c r="AQ67" i="11"/>
  <c r="AT67" i="11" s="1"/>
  <c r="AW67" i="11" s="1"/>
  <c r="H68" i="11"/>
  <c r="Q151" i="16"/>
  <c r="R151" i="16" s="1"/>
  <c r="X151" i="16" s="1"/>
  <c r="O151" i="16"/>
  <c r="K70" i="16"/>
  <c r="AP70" i="16"/>
  <c r="AE65" i="11"/>
  <c r="AC65" i="11"/>
  <c r="M152" i="16"/>
  <c r="AM152" i="16" s="1"/>
  <c r="N152" i="16"/>
  <c r="P152" i="16"/>
  <c r="AC152" i="16"/>
  <c r="O64" i="11"/>
  <c r="Q64" i="11"/>
  <c r="R64" i="11" s="1"/>
  <c r="X64" i="11" s="1"/>
  <c r="AF147" i="16"/>
  <c r="AJ147" i="16"/>
  <c r="AI147" i="16" s="1"/>
  <c r="AH147" i="16"/>
  <c r="AN147" i="16" s="1"/>
  <c r="Z150" i="16"/>
  <c r="U150" i="16"/>
  <c r="AX150" i="16" s="1"/>
  <c r="AP153" i="16"/>
  <c r="K153" i="16"/>
  <c r="P65" i="11"/>
  <c r="N65" i="11"/>
  <c r="U149" i="16"/>
  <c r="Z149" i="16"/>
  <c r="AY148" i="16"/>
  <c r="V148" i="16"/>
  <c r="AX148" i="16"/>
  <c r="AU66" i="11"/>
  <c r="AS66" i="11"/>
  <c r="AV66" i="11" s="1"/>
  <c r="J66" i="11"/>
  <c r="AP66" i="11" s="1"/>
  <c r="T151" i="16"/>
  <c r="J154" i="16"/>
  <c r="L155" i="16"/>
  <c r="AD148" i="16"/>
  <c r="AE148" i="16" s="1"/>
  <c r="AB148" i="16"/>
  <c r="AG148" i="16" s="1"/>
  <c r="AK148" i="16" s="1"/>
  <c r="K175" i="40" l="1"/>
  <c r="AR177" i="40"/>
  <c r="AQ177" i="40"/>
  <c r="AT177" i="40" s="1"/>
  <c r="AW177" i="40" s="1"/>
  <c r="H178" i="40"/>
  <c r="N174" i="40"/>
  <c r="AI175" i="40"/>
  <c r="AB176" i="40"/>
  <c r="AU176" i="40"/>
  <c r="AS176" i="40"/>
  <c r="AV176" i="40" s="1"/>
  <c r="J176" i="40"/>
  <c r="AZ176" i="40" s="1"/>
  <c r="AP176" i="40" s="1"/>
  <c r="Y172" i="40"/>
  <c r="P174" i="40"/>
  <c r="P175" i="40"/>
  <c r="N175" i="40"/>
  <c r="O173" i="40"/>
  <c r="Q173" i="40"/>
  <c r="R173" i="40" s="1"/>
  <c r="Y173" i="40" s="1"/>
  <c r="M175" i="40"/>
  <c r="M174" i="40"/>
  <c r="AF175" i="40"/>
  <c r="AD175" i="40"/>
  <c r="AP67" i="27"/>
  <c r="AI67" i="27" s="1"/>
  <c r="K73" i="27"/>
  <c r="H76" i="27"/>
  <c r="AQ75" i="27"/>
  <c r="AT75" i="27" s="1"/>
  <c r="AW75" i="27" s="1"/>
  <c r="AR75" i="27"/>
  <c r="AB75" i="27" s="1"/>
  <c r="AU74" i="27"/>
  <c r="J74" i="27"/>
  <c r="AZ74" i="27" s="1"/>
  <c r="AP74" i="27" s="1"/>
  <c r="AS74" i="27"/>
  <c r="AV74" i="27" s="1"/>
  <c r="E151" i="29"/>
  <c r="F151" i="29"/>
  <c r="H73" i="29"/>
  <c r="AR72" i="29"/>
  <c r="AQ72" i="29"/>
  <c r="AT72" i="29" s="1"/>
  <c r="AW72" i="29" s="1"/>
  <c r="AU71" i="29"/>
  <c r="AS71" i="29"/>
  <c r="AV71" i="29" s="1"/>
  <c r="AA71" i="29"/>
  <c r="K153" i="29"/>
  <c r="K69" i="29"/>
  <c r="Q151" i="29"/>
  <c r="R151" i="29" s="1"/>
  <c r="X151" i="29" s="1"/>
  <c r="O151" i="29"/>
  <c r="O67" i="29"/>
  <c r="Q67" i="29"/>
  <c r="R67" i="29" s="1"/>
  <c r="X67" i="29" s="1"/>
  <c r="J70" i="29"/>
  <c r="L71" i="29"/>
  <c r="AC152" i="29"/>
  <c r="M152" i="29"/>
  <c r="AO152" i="29" s="1"/>
  <c r="N152" i="29"/>
  <c r="P152" i="29"/>
  <c r="M68" i="29"/>
  <c r="AM68" i="29" s="1"/>
  <c r="A68" i="29" s="1"/>
  <c r="B68" i="29" s="1"/>
  <c r="C68" i="29" s="1"/>
  <c r="AC68" i="29"/>
  <c r="P68" i="29"/>
  <c r="N68" i="29"/>
  <c r="L155" i="29"/>
  <c r="J154" i="29"/>
  <c r="AD67" i="27"/>
  <c r="O66" i="27"/>
  <c r="Q66" i="27"/>
  <c r="R66" i="27" s="1"/>
  <c r="Y66" i="27" s="1"/>
  <c r="AF68" i="27"/>
  <c r="AI68" i="27" s="1"/>
  <c r="P67" i="27"/>
  <c r="K68" i="27"/>
  <c r="M68" i="27" s="1"/>
  <c r="N67" i="27"/>
  <c r="L120" i="27"/>
  <c r="L156" i="16"/>
  <c r="J155" i="16"/>
  <c r="Y151" i="16"/>
  <c r="P66" i="11"/>
  <c r="N66" i="11"/>
  <c r="AY150" i="16"/>
  <c r="W151" i="16"/>
  <c r="AB150" i="16"/>
  <c r="AG150" i="16" s="1"/>
  <c r="AK150" i="16" s="1"/>
  <c r="AD150" i="16"/>
  <c r="AE150" i="16" s="1"/>
  <c r="L70" i="11"/>
  <c r="AB149" i="16"/>
  <c r="AG149" i="16" s="1"/>
  <c r="AK149" i="16" s="1"/>
  <c r="AD149" i="16"/>
  <c r="AE149" i="16" s="1"/>
  <c r="T152" i="16"/>
  <c r="V149" i="16"/>
  <c r="AY149" i="16"/>
  <c r="AX149" i="16"/>
  <c r="M70" i="16"/>
  <c r="AM70" i="16" s="1"/>
  <c r="A70" i="16" s="1"/>
  <c r="B70" i="16" s="1"/>
  <c r="C70" i="16" s="1"/>
  <c r="N70" i="16"/>
  <c r="P70" i="16"/>
  <c r="AC70" i="16"/>
  <c r="AS67" i="11"/>
  <c r="AV67" i="11" s="1"/>
  <c r="AU67" i="11"/>
  <c r="J67" i="11"/>
  <c r="AP67" i="11" s="1"/>
  <c r="V150" i="16"/>
  <c r="Q69" i="16"/>
  <c r="R69" i="16" s="1"/>
  <c r="X69" i="16" s="1"/>
  <c r="O69" i="16"/>
  <c r="M153" i="16"/>
  <c r="AM153" i="16" s="1"/>
  <c r="AC153" i="16"/>
  <c r="N153" i="16"/>
  <c r="P153" i="16"/>
  <c r="AP71" i="16"/>
  <c r="K71" i="16"/>
  <c r="K154" i="16"/>
  <c r="AP154" i="16"/>
  <c r="J72" i="16"/>
  <c r="L73" i="16"/>
  <c r="Q65" i="11"/>
  <c r="R65" i="11" s="1"/>
  <c r="X65" i="11" s="1"/>
  <c r="O65" i="11"/>
  <c r="AH65" i="11"/>
  <c r="O152" i="16"/>
  <c r="Q152" i="16"/>
  <c r="R152" i="16" s="1"/>
  <c r="X152" i="16" s="1"/>
  <c r="AE66" i="11"/>
  <c r="AH66" i="11" s="1"/>
  <c r="AC66" i="11"/>
  <c r="H69" i="11"/>
  <c r="AR68" i="11"/>
  <c r="AQ68" i="11"/>
  <c r="AT68" i="11" s="1"/>
  <c r="AW68" i="11" s="1"/>
  <c r="AJ148" i="16"/>
  <c r="AI148" i="16" s="1"/>
  <c r="AF148" i="16"/>
  <c r="AH148" i="16"/>
  <c r="AN148" i="16" s="1"/>
  <c r="Q175" i="40" l="1"/>
  <c r="R175" i="40" s="1"/>
  <c r="Y175" i="40" s="1"/>
  <c r="O175" i="40"/>
  <c r="AQ178" i="40"/>
  <c r="AT178" i="40" s="1"/>
  <c r="AW178" i="40" s="1"/>
  <c r="AR178" i="40"/>
  <c r="H179" i="40"/>
  <c r="Q174" i="40"/>
  <c r="R174" i="40" s="1"/>
  <c r="Y174" i="40" s="1"/>
  <c r="O174" i="40"/>
  <c r="AF176" i="40"/>
  <c r="AS177" i="40"/>
  <c r="AV177" i="40" s="1"/>
  <c r="AB177" i="40"/>
  <c r="AU177" i="40"/>
  <c r="J177" i="40"/>
  <c r="AZ177" i="40" s="1"/>
  <c r="AP177" i="40" s="1"/>
  <c r="K176" i="40"/>
  <c r="AD176" i="40" s="1"/>
  <c r="K74" i="27"/>
  <c r="P74" i="27" s="1"/>
  <c r="P73" i="27"/>
  <c r="M73" i="27"/>
  <c r="AM73" i="27" s="1"/>
  <c r="H77" i="27"/>
  <c r="AQ76" i="27"/>
  <c r="AT76" i="27" s="1"/>
  <c r="AW76" i="27" s="1"/>
  <c r="AR76" i="27"/>
  <c r="AB76" i="27" s="1"/>
  <c r="AD74" i="27"/>
  <c r="AD73" i="27"/>
  <c r="AU75" i="27"/>
  <c r="AS75" i="27"/>
  <c r="AV75" i="27" s="1"/>
  <c r="J75" i="27"/>
  <c r="AZ75" i="27" s="1"/>
  <c r="AP75" i="27" s="1"/>
  <c r="N73" i="27"/>
  <c r="F152" i="29"/>
  <c r="E152" i="29"/>
  <c r="AS72" i="29"/>
  <c r="AV72" i="29" s="1"/>
  <c r="AU72" i="29"/>
  <c r="AA72" i="29"/>
  <c r="AR73" i="29"/>
  <c r="H74" i="29"/>
  <c r="AQ73" i="29"/>
  <c r="AT73" i="29" s="1"/>
  <c r="AW73" i="29" s="1"/>
  <c r="K154" i="29"/>
  <c r="O152" i="29"/>
  <c r="Q152" i="29"/>
  <c r="R152" i="29" s="1"/>
  <c r="X152" i="29" s="1"/>
  <c r="J71" i="29"/>
  <c r="L72" i="29"/>
  <c r="M69" i="29"/>
  <c r="AM69" i="29" s="1"/>
  <c r="A69" i="29" s="1"/>
  <c r="B69" i="29" s="1"/>
  <c r="C69" i="29" s="1"/>
  <c r="N69" i="29"/>
  <c r="AC69" i="29"/>
  <c r="P69" i="29"/>
  <c r="J155" i="29"/>
  <c r="L156" i="29"/>
  <c r="K70" i="29"/>
  <c r="Q68" i="29"/>
  <c r="R68" i="29" s="1"/>
  <c r="X68" i="29" s="1"/>
  <c r="O68" i="29"/>
  <c r="M153" i="29"/>
  <c r="AO153" i="29" s="1"/>
  <c r="N153" i="29"/>
  <c r="AC153" i="29"/>
  <c r="P153" i="29"/>
  <c r="N68" i="27"/>
  <c r="AD68" i="27"/>
  <c r="O67" i="27"/>
  <c r="Q67" i="27"/>
  <c r="R67" i="27" s="1"/>
  <c r="Y67" i="27" s="1"/>
  <c r="P68" i="27"/>
  <c r="L121" i="27"/>
  <c r="AF149" i="16"/>
  <c r="AJ149" i="16"/>
  <c r="AI149" i="16" s="1"/>
  <c r="AH149" i="16"/>
  <c r="AN149" i="16" s="1"/>
  <c r="P67" i="11"/>
  <c r="N67" i="11"/>
  <c r="Y152" i="16"/>
  <c r="AP72" i="16"/>
  <c r="K72" i="16"/>
  <c r="W152" i="16"/>
  <c r="L71" i="11"/>
  <c r="M154" i="16"/>
  <c r="AM154" i="16" s="1"/>
  <c r="P154" i="16"/>
  <c r="N154" i="16"/>
  <c r="AC154" i="16"/>
  <c r="AF150" i="16"/>
  <c r="AJ150" i="16"/>
  <c r="AI150" i="16" s="1"/>
  <c r="AH150" i="16"/>
  <c r="AN150" i="16" s="1"/>
  <c r="O66" i="11"/>
  <c r="Q66" i="11"/>
  <c r="R66" i="11" s="1"/>
  <c r="X66" i="11" s="1"/>
  <c r="L74" i="16"/>
  <c r="J73" i="16"/>
  <c r="AR69" i="11"/>
  <c r="AQ69" i="11"/>
  <c r="AT69" i="11" s="1"/>
  <c r="AW69" i="11" s="1"/>
  <c r="H70" i="11"/>
  <c r="O153" i="16"/>
  <c r="Q153" i="16"/>
  <c r="R153" i="16" s="1"/>
  <c r="X153" i="16" s="1"/>
  <c r="AP155" i="16"/>
  <c r="K155" i="16"/>
  <c r="AE67" i="11"/>
  <c r="AH67" i="11" s="1"/>
  <c r="AC67" i="11"/>
  <c r="Z151" i="16"/>
  <c r="U151" i="16"/>
  <c r="AU68" i="11"/>
  <c r="AS68" i="11"/>
  <c r="AV68" i="11" s="1"/>
  <c r="J68" i="11"/>
  <c r="AP68" i="11" s="1"/>
  <c r="M71" i="16"/>
  <c r="AM71" i="16" s="1"/>
  <c r="A71" i="16" s="1"/>
  <c r="B71" i="16" s="1"/>
  <c r="C71" i="16" s="1"/>
  <c r="N71" i="16"/>
  <c r="P71" i="16"/>
  <c r="AC71" i="16"/>
  <c r="T153" i="16"/>
  <c r="Q70" i="16"/>
  <c r="R70" i="16" s="1"/>
  <c r="X70" i="16" s="1"/>
  <c r="O70" i="16"/>
  <c r="L157" i="16"/>
  <c r="J156" i="16"/>
  <c r="M74" i="27" l="1"/>
  <c r="AM74" i="27" s="1"/>
  <c r="N74" i="27"/>
  <c r="K177" i="40"/>
  <c r="P176" i="40"/>
  <c r="Q176" i="40" s="1"/>
  <c r="R176" i="40" s="1"/>
  <c r="Y176" i="40" s="1"/>
  <c r="O176" i="40"/>
  <c r="H180" i="40"/>
  <c r="AR179" i="40"/>
  <c r="AQ179" i="40"/>
  <c r="AT179" i="40" s="1"/>
  <c r="AW179" i="40" s="1"/>
  <c r="AS178" i="40"/>
  <c r="AV178" i="40" s="1"/>
  <c r="AB178" i="40"/>
  <c r="AU178" i="40"/>
  <c r="J178" i="40"/>
  <c r="AZ178" i="40" s="1"/>
  <c r="AP178" i="40" s="1"/>
  <c r="M176" i="40"/>
  <c r="M177" i="40"/>
  <c r="P177" i="40"/>
  <c r="N177" i="40"/>
  <c r="N176" i="40"/>
  <c r="AD177" i="40"/>
  <c r="AF177" i="40"/>
  <c r="AI177" i="40" s="1"/>
  <c r="AI176" i="40"/>
  <c r="J76" i="27"/>
  <c r="AZ76" i="27" s="1"/>
  <c r="AP76" i="27" s="1"/>
  <c r="AU76" i="27"/>
  <c r="AS76" i="27"/>
  <c r="AV76" i="27" s="1"/>
  <c r="H78" i="27"/>
  <c r="AR77" i="27"/>
  <c r="AB77" i="27" s="1"/>
  <c r="AQ77" i="27"/>
  <c r="AT77" i="27" s="1"/>
  <c r="AW77" i="27" s="1"/>
  <c r="O73" i="27"/>
  <c r="Q73" i="27"/>
  <c r="R73" i="27" s="1"/>
  <c r="Y73" i="27" s="1"/>
  <c r="K75" i="27"/>
  <c r="M75" i="27" s="1"/>
  <c r="AM75" i="27" s="1"/>
  <c r="Q74" i="27"/>
  <c r="R74" i="27" s="1"/>
  <c r="Y74" i="27" s="1"/>
  <c r="O74" i="27"/>
  <c r="E153" i="29"/>
  <c r="F153" i="29"/>
  <c r="H75" i="29"/>
  <c r="AR74" i="29"/>
  <c r="AQ74" i="29"/>
  <c r="AT74" i="29" s="1"/>
  <c r="AW74" i="29" s="1"/>
  <c r="AU73" i="29"/>
  <c r="AS73" i="29"/>
  <c r="AV73" i="29" s="1"/>
  <c r="AA73" i="29"/>
  <c r="J156" i="29"/>
  <c r="L157" i="29"/>
  <c r="K155" i="29"/>
  <c r="M70" i="29"/>
  <c r="AM70" i="29" s="1"/>
  <c r="A70" i="29" s="1"/>
  <c r="B70" i="29" s="1"/>
  <c r="C70" i="29" s="1"/>
  <c r="AC70" i="29"/>
  <c r="P70" i="29"/>
  <c r="N70" i="29"/>
  <c r="O69" i="29"/>
  <c r="Q69" i="29"/>
  <c r="R69" i="29" s="1"/>
  <c r="X69" i="29" s="1"/>
  <c r="O153" i="29"/>
  <c r="Q153" i="29"/>
  <c r="R153" i="29" s="1"/>
  <c r="X153" i="29" s="1"/>
  <c r="J72" i="29"/>
  <c r="L73" i="29"/>
  <c r="K71" i="29"/>
  <c r="M154" i="29"/>
  <c r="AO154" i="29" s="1"/>
  <c r="AC154" i="29"/>
  <c r="N154" i="29"/>
  <c r="P154" i="29"/>
  <c r="W153" i="16"/>
  <c r="U153" i="16" s="1"/>
  <c r="O68" i="27"/>
  <c r="Q68" i="27"/>
  <c r="R68" i="27" s="1"/>
  <c r="Y68" i="27" s="1"/>
  <c r="L122" i="27"/>
  <c r="AP73" i="16"/>
  <c r="K73" i="16"/>
  <c r="L75" i="16"/>
  <c r="J74" i="16"/>
  <c r="AD151" i="16"/>
  <c r="AE151" i="16" s="1"/>
  <c r="AB151" i="16"/>
  <c r="AG151" i="16" s="1"/>
  <c r="AK151" i="16" s="1"/>
  <c r="H71" i="11"/>
  <c r="AR70" i="11"/>
  <c r="AQ70" i="11"/>
  <c r="AT70" i="11" s="1"/>
  <c r="AW70" i="11" s="1"/>
  <c r="U152" i="16"/>
  <c r="Z152" i="16"/>
  <c r="AS69" i="11"/>
  <c r="AV69" i="11" s="1"/>
  <c r="AU69" i="11"/>
  <c r="J69" i="11"/>
  <c r="AP69" i="11" s="1"/>
  <c r="V151" i="16"/>
  <c r="AY151" i="16"/>
  <c r="AX151" i="16"/>
  <c r="T154" i="16"/>
  <c r="L72" i="11"/>
  <c r="Q67" i="11"/>
  <c r="R67" i="11" s="1"/>
  <c r="X67" i="11" s="1"/>
  <c r="O67" i="11"/>
  <c r="O71" i="16"/>
  <c r="Q71" i="16"/>
  <c r="R71" i="16" s="1"/>
  <c r="X71" i="16" s="1"/>
  <c r="M72" i="16"/>
  <c r="AM72" i="16" s="1"/>
  <c r="A72" i="16" s="1"/>
  <c r="B72" i="16" s="1"/>
  <c r="C72" i="16" s="1"/>
  <c r="AC72" i="16"/>
  <c r="P72" i="16"/>
  <c r="N72" i="16"/>
  <c r="AP156" i="16"/>
  <c r="K156" i="16"/>
  <c r="N68" i="11"/>
  <c r="P68" i="11"/>
  <c r="J157" i="16"/>
  <c r="L158" i="16"/>
  <c r="Y153" i="16"/>
  <c r="AE68" i="11"/>
  <c r="AH68" i="11" s="1"/>
  <c r="AC68" i="11"/>
  <c r="M155" i="16"/>
  <c r="AM155" i="16" s="1"/>
  <c r="N155" i="16"/>
  <c r="P155" i="16"/>
  <c r="AC155" i="16"/>
  <c r="Q154" i="16"/>
  <c r="R154" i="16" s="1"/>
  <c r="X154" i="16" s="1"/>
  <c r="O154" i="16"/>
  <c r="AU179" i="40" l="1"/>
  <c r="AS179" i="40"/>
  <c r="AV179" i="40" s="1"/>
  <c r="AB179" i="40"/>
  <c r="J179" i="40"/>
  <c r="AZ179" i="40" s="1"/>
  <c r="AP179" i="40" s="1"/>
  <c r="H181" i="40"/>
  <c r="AR180" i="40"/>
  <c r="AQ180" i="40"/>
  <c r="AT180" i="40" s="1"/>
  <c r="AW180" i="40" s="1"/>
  <c r="K178" i="40"/>
  <c r="P178" i="40" s="1"/>
  <c r="Q177" i="40"/>
  <c r="R177" i="40" s="1"/>
  <c r="Y177" i="40" s="1"/>
  <c r="O177" i="40"/>
  <c r="AF178" i="40"/>
  <c r="AI178" i="40" s="1"/>
  <c r="AD178" i="40"/>
  <c r="N75" i="27"/>
  <c r="AD75" i="27"/>
  <c r="K76" i="27"/>
  <c r="M76" i="27" s="1"/>
  <c r="AM76" i="27" s="1"/>
  <c r="P75" i="27"/>
  <c r="Q75" i="27" s="1"/>
  <c r="R75" i="27" s="1"/>
  <c r="Y75" i="27" s="1"/>
  <c r="AU77" i="27"/>
  <c r="AS77" i="27"/>
  <c r="AV77" i="27" s="1"/>
  <c r="J77" i="27"/>
  <c r="AZ77" i="27" s="1"/>
  <c r="AP77" i="27" s="1"/>
  <c r="H79" i="27"/>
  <c r="AR78" i="27"/>
  <c r="AB78" i="27" s="1"/>
  <c r="AQ78" i="27"/>
  <c r="AT78" i="27" s="1"/>
  <c r="AW78" i="27" s="1"/>
  <c r="E154" i="29"/>
  <c r="F154" i="29"/>
  <c r="H76" i="29"/>
  <c r="AR75" i="29"/>
  <c r="AQ75" i="29"/>
  <c r="AT75" i="29" s="1"/>
  <c r="AW75" i="29" s="1"/>
  <c r="AS74" i="29"/>
  <c r="AV74" i="29" s="1"/>
  <c r="AA74" i="29"/>
  <c r="AU74" i="29"/>
  <c r="K72" i="29"/>
  <c r="M71" i="29"/>
  <c r="AM71" i="29" s="1"/>
  <c r="A71" i="29" s="1"/>
  <c r="B71" i="29" s="1"/>
  <c r="C71" i="29" s="1"/>
  <c r="AC71" i="29"/>
  <c r="P71" i="29"/>
  <c r="N71" i="29"/>
  <c r="O70" i="29"/>
  <c r="Q70" i="29"/>
  <c r="R70" i="29" s="1"/>
  <c r="X70" i="29" s="1"/>
  <c r="M155" i="29"/>
  <c r="AO155" i="29" s="1"/>
  <c r="AC155" i="29"/>
  <c r="N155" i="29"/>
  <c r="P155" i="29"/>
  <c r="L158" i="29"/>
  <c r="J157" i="29"/>
  <c r="Q154" i="29"/>
  <c r="R154" i="29" s="1"/>
  <c r="X154" i="29" s="1"/>
  <c r="O154" i="29"/>
  <c r="J73" i="29"/>
  <c r="L74" i="29"/>
  <c r="K156" i="29"/>
  <c r="AY153" i="16"/>
  <c r="AX153" i="16"/>
  <c r="V153" i="16"/>
  <c r="Z153" i="16"/>
  <c r="AB153" i="16" s="1"/>
  <c r="AG153" i="16" s="1"/>
  <c r="AK153" i="16" s="1"/>
  <c r="L123" i="27"/>
  <c r="T155" i="16"/>
  <c r="AU70" i="11"/>
  <c r="AS70" i="11"/>
  <c r="AV70" i="11" s="1"/>
  <c r="J70" i="11"/>
  <c r="AP70" i="11" s="1"/>
  <c r="L159" i="16"/>
  <c r="J158" i="16"/>
  <c r="AE69" i="11"/>
  <c r="AC69" i="11"/>
  <c r="M156" i="16"/>
  <c r="AM156" i="16" s="1"/>
  <c r="AC156" i="16"/>
  <c r="N156" i="16"/>
  <c r="P156" i="16"/>
  <c r="Y154" i="16"/>
  <c r="AB152" i="16"/>
  <c r="AG152" i="16" s="1"/>
  <c r="AK152" i="16" s="1"/>
  <c r="AD152" i="16"/>
  <c r="AE152" i="16" s="1"/>
  <c r="J75" i="16"/>
  <c r="L76" i="16"/>
  <c r="O155" i="16"/>
  <c r="Q155" i="16"/>
  <c r="R155" i="16" s="1"/>
  <c r="X155" i="16" s="1"/>
  <c r="O68" i="11"/>
  <c r="Q68" i="11"/>
  <c r="R68" i="11" s="1"/>
  <c r="X68" i="11" s="1"/>
  <c r="AR71" i="11"/>
  <c r="AQ71" i="11"/>
  <c r="AT71" i="11" s="1"/>
  <c r="AW71" i="11" s="1"/>
  <c r="H72" i="11"/>
  <c r="K157" i="16"/>
  <c r="AP157" i="16"/>
  <c r="L73" i="11"/>
  <c r="K74" i="16"/>
  <c r="AP74" i="16"/>
  <c r="M73" i="16"/>
  <c r="AM73" i="16" s="1"/>
  <c r="A73" i="16" s="1"/>
  <c r="B73" i="16" s="1"/>
  <c r="C73" i="16" s="1"/>
  <c r="AC73" i="16"/>
  <c r="N73" i="16"/>
  <c r="P73" i="16"/>
  <c r="W154" i="16"/>
  <c r="P69" i="11"/>
  <c r="N69" i="11"/>
  <c r="V152" i="16"/>
  <c r="AY152" i="16"/>
  <c r="AX152" i="16"/>
  <c r="AJ151" i="16"/>
  <c r="AI151" i="16" s="1"/>
  <c r="AF151" i="16"/>
  <c r="AH151" i="16"/>
  <c r="AN151" i="16" s="1"/>
  <c r="Q72" i="16"/>
  <c r="R72" i="16" s="1"/>
  <c r="X72" i="16" s="1"/>
  <c r="O72" i="16"/>
  <c r="Q178" i="40" l="1"/>
  <c r="R178" i="40" s="1"/>
  <c r="Y178" i="40" s="1"/>
  <c r="O178" i="40"/>
  <c r="AF179" i="40"/>
  <c r="AI179" i="40" s="1"/>
  <c r="N178" i="40"/>
  <c r="AU180" i="40"/>
  <c r="AS180" i="40"/>
  <c r="AV180" i="40" s="1"/>
  <c r="AB180" i="40"/>
  <c r="J180" i="40"/>
  <c r="AZ180" i="40" s="1"/>
  <c r="AP180" i="40" s="1"/>
  <c r="M178" i="40"/>
  <c r="AQ181" i="40"/>
  <c r="AT181" i="40" s="1"/>
  <c r="AW181" i="40" s="1"/>
  <c r="H182" i="40"/>
  <c r="AR181" i="40"/>
  <c r="K179" i="40"/>
  <c r="AD179" i="40" s="1"/>
  <c r="O75" i="27"/>
  <c r="AD76" i="27"/>
  <c r="P76" i="27"/>
  <c r="O76" i="27" s="1"/>
  <c r="N76" i="27"/>
  <c r="AS78" i="27"/>
  <c r="AV78" i="27" s="1"/>
  <c r="AU78" i="27"/>
  <c r="J78" i="27"/>
  <c r="AZ78" i="27" s="1"/>
  <c r="AP78" i="27" s="1"/>
  <c r="H80" i="27"/>
  <c r="AQ79" i="27"/>
  <c r="AT79" i="27" s="1"/>
  <c r="AW79" i="27" s="1"/>
  <c r="AR79" i="27"/>
  <c r="AB79" i="27" s="1"/>
  <c r="K77" i="27"/>
  <c r="M77" i="27" s="1"/>
  <c r="AM77" i="27" s="1"/>
  <c r="F155" i="29"/>
  <c r="E155" i="29"/>
  <c r="AA75" i="29"/>
  <c r="AU75" i="29"/>
  <c r="AS75" i="29"/>
  <c r="AV75" i="29" s="1"/>
  <c r="H77" i="29"/>
  <c r="AR76" i="29"/>
  <c r="AQ76" i="29"/>
  <c r="AT76" i="29" s="1"/>
  <c r="AW76" i="29" s="1"/>
  <c r="J74" i="29"/>
  <c r="L75" i="29"/>
  <c r="O155" i="29"/>
  <c r="Q155" i="29"/>
  <c r="R155" i="29" s="1"/>
  <c r="X155" i="29" s="1"/>
  <c r="K73" i="29"/>
  <c r="K157" i="29"/>
  <c r="O71" i="29"/>
  <c r="Q71" i="29"/>
  <c r="R71" i="29" s="1"/>
  <c r="X71" i="29" s="1"/>
  <c r="L159" i="29"/>
  <c r="J158" i="29"/>
  <c r="M72" i="29"/>
  <c r="AM72" i="29" s="1"/>
  <c r="A72" i="29" s="1"/>
  <c r="B72" i="29" s="1"/>
  <c r="C72" i="29" s="1"/>
  <c r="P72" i="29"/>
  <c r="N72" i="29"/>
  <c r="AC72" i="29"/>
  <c r="M156" i="29"/>
  <c r="AO156" i="29" s="1"/>
  <c r="P156" i="29"/>
  <c r="AC156" i="29"/>
  <c r="N156" i="29"/>
  <c r="AD153" i="16"/>
  <c r="AE153" i="16" s="1"/>
  <c r="L124" i="27"/>
  <c r="Q73" i="16"/>
  <c r="R73" i="16" s="1"/>
  <c r="X73" i="16" s="1"/>
  <c r="O73" i="16"/>
  <c r="AP75" i="16"/>
  <c r="K75" i="16"/>
  <c r="AP158" i="16"/>
  <c r="K158" i="16"/>
  <c r="M74" i="16"/>
  <c r="AM74" i="16" s="1"/>
  <c r="A74" i="16" s="1"/>
  <c r="B74" i="16" s="1"/>
  <c r="C74" i="16" s="1"/>
  <c r="AC74" i="16"/>
  <c r="P74" i="16"/>
  <c r="N74" i="16"/>
  <c r="H73" i="11"/>
  <c r="AR72" i="11"/>
  <c r="AQ72" i="11"/>
  <c r="AT72" i="11" s="1"/>
  <c r="AW72" i="11" s="1"/>
  <c r="Y155" i="16"/>
  <c r="AF153" i="16"/>
  <c r="AJ153" i="16"/>
  <c r="AI153" i="16" s="1"/>
  <c r="AH153" i="16"/>
  <c r="AN153" i="16" s="1"/>
  <c r="Q69" i="11"/>
  <c r="R69" i="11" s="1"/>
  <c r="X69" i="11" s="1"/>
  <c r="O69" i="11"/>
  <c r="Z154" i="16"/>
  <c r="U154" i="16"/>
  <c r="T156" i="16"/>
  <c r="W155" i="16"/>
  <c r="M157" i="16"/>
  <c r="AM157" i="16" s="1"/>
  <c r="AC157" i="16"/>
  <c r="N157" i="16"/>
  <c r="P157" i="16"/>
  <c r="L77" i="16"/>
  <c r="J76" i="16"/>
  <c r="N70" i="11"/>
  <c r="P70" i="11"/>
  <c r="AH69" i="11"/>
  <c r="AE70" i="11"/>
  <c r="AH70" i="11" s="1"/>
  <c r="AC70" i="11"/>
  <c r="O156" i="16"/>
  <c r="Q156" i="16"/>
  <c r="R156" i="16" s="1"/>
  <c r="X156" i="16" s="1"/>
  <c r="L160" i="16"/>
  <c r="J159" i="16"/>
  <c r="L74" i="11"/>
  <c r="AS71" i="11"/>
  <c r="AV71" i="11" s="1"/>
  <c r="AU71" i="11"/>
  <c r="J71" i="11"/>
  <c r="AP71" i="11" s="1"/>
  <c r="AF152" i="16"/>
  <c r="AJ152" i="16"/>
  <c r="AI152" i="16" s="1"/>
  <c r="AH152" i="16"/>
  <c r="AN152" i="16" s="1"/>
  <c r="Q76" i="27" l="1"/>
  <c r="R76" i="27" s="1"/>
  <c r="Y76" i="27" s="1"/>
  <c r="P179" i="40"/>
  <c r="AR182" i="40"/>
  <c r="AQ182" i="40"/>
  <c r="AT182" i="40" s="1"/>
  <c r="AW182" i="40" s="1"/>
  <c r="H183" i="40"/>
  <c r="N179" i="40"/>
  <c r="AB181" i="40"/>
  <c r="AU181" i="40"/>
  <c r="AS181" i="40"/>
  <c r="AV181" i="40" s="1"/>
  <c r="J181" i="40"/>
  <c r="AZ181" i="40" s="1"/>
  <c r="AP181" i="40" s="1"/>
  <c r="K180" i="40"/>
  <c r="M179" i="40"/>
  <c r="AF180" i="40"/>
  <c r="AD77" i="27"/>
  <c r="N77" i="27"/>
  <c r="P77" i="27"/>
  <c r="H81" i="27"/>
  <c r="AQ80" i="27"/>
  <c r="AT80" i="27" s="1"/>
  <c r="AW80" i="27" s="1"/>
  <c r="AR80" i="27"/>
  <c r="AB80" i="27" s="1"/>
  <c r="K78" i="27"/>
  <c r="M78" i="27" s="1"/>
  <c r="AM78" i="27" s="1"/>
  <c r="J79" i="27"/>
  <c r="AZ79" i="27" s="1"/>
  <c r="AP79" i="27" s="1"/>
  <c r="AU79" i="27"/>
  <c r="AS79" i="27"/>
  <c r="AV79" i="27" s="1"/>
  <c r="E156" i="29"/>
  <c r="F156" i="29"/>
  <c r="AA76" i="29"/>
  <c r="AS76" i="29"/>
  <c r="AV76" i="29" s="1"/>
  <c r="AU76" i="29"/>
  <c r="AQ77" i="29"/>
  <c r="AT77" i="29" s="1"/>
  <c r="AW77" i="29" s="1"/>
  <c r="H78" i="29"/>
  <c r="AR77" i="29"/>
  <c r="Q156" i="29"/>
  <c r="R156" i="29" s="1"/>
  <c r="X156" i="29" s="1"/>
  <c r="O156" i="29"/>
  <c r="Q72" i="29"/>
  <c r="R72" i="29" s="1"/>
  <c r="X72" i="29" s="1"/>
  <c r="O72" i="29"/>
  <c r="K158" i="29"/>
  <c r="M157" i="29"/>
  <c r="AO157" i="29" s="1"/>
  <c r="P157" i="29"/>
  <c r="N157" i="29"/>
  <c r="AC157" i="29"/>
  <c r="M73" i="29"/>
  <c r="AM73" i="29" s="1"/>
  <c r="A73" i="29" s="1"/>
  <c r="B73" i="29" s="1"/>
  <c r="C73" i="29" s="1"/>
  <c r="AC73" i="29"/>
  <c r="N73" i="29"/>
  <c r="P73" i="29"/>
  <c r="J75" i="29"/>
  <c r="L76" i="29"/>
  <c r="L160" i="29"/>
  <c r="J159" i="29"/>
  <c r="K74" i="29"/>
  <c r="L125" i="27"/>
  <c r="M75" i="16"/>
  <c r="AM75" i="16" s="1"/>
  <c r="A75" i="16" s="1"/>
  <c r="B75" i="16" s="1"/>
  <c r="C75" i="16" s="1"/>
  <c r="N75" i="16"/>
  <c r="P75" i="16"/>
  <c r="AC75" i="16"/>
  <c r="P71" i="11"/>
  <c r="N71" i="11"/>
  <c r="T157" i="16"/>
  <c r="AX154" i="16"/>
  <c r="V154" i="16"/>
  <c r="AY154" i="16"/>
  <c r="AP159" i="16"/>
  <c r="K159" i="16"/>
  <c r="O70" i="11"/>
  <c r="Q70" i="11"/>
  <c r="R70" i="11" s="1"/>
  <c r="X70" i="11" s="1"/>
  <c r="AD154" i="16"/>
  <c r="AE154" i="16" s="1"/>
  <c r="AB154" i="16"/>
  <c r="AG154" i="16" s="1"/>
  <c r="AK154" i="16" s="1"/>
  <c r="AU72" i="11"/>
  <c r="AS72" i="11"/>
  <c r="AV72" i="11" s="1"/>
  <c r="J72" i="11"/>
  <c r="AP72" i="11" s="1"/>
  <c r="L75" i="11"/>
  <c r="J160" i="16"/>
  <c r="L161" i="16"/>
  <c r="Y156" i="16"/>
  <c r="AR73" i="11"/>
  <c r="AQ73" i="11"/>
  <c r="AT73" i="11" s="1"/>
  <c r="AW73" i="11" s="1"/>
  <c r="H74" i="11"/>
  <c r="O74" i="16"/>
  <c r="Q74" i="16"/>
  <c r="R74" i="16" s="1"/>
  <c r="X74" i="16" s="1"/>
  <c r="M158" i="16"/>
  <c r="AM158" i="16" s="1"/>
  <c r="N158" i="16"/>
  <c r="P158" i="16"/>
  <c r="AC158" i="16"/>
  <c r="AE71" i="11"/>
  <c r="AH71" i="11" s="1"/>
  <c r="AC71" i="11"/>
  <c r="K76" i="16"/>
  <c r="AP76" i="16"/>
  <c r="U155" i="16"/>
  <c r="Z155" i="16"/>
  <c r="J77" i="16"/>
  <c r="L78" i="16"/>
  <c r="Q157" i="16"/>
  <c r="R157" i="16" s="1"/>
  <c r="X157" i="16" s="1"/>
  <c r="O157" i="16"/>
  <c r="W156" i="16"/>
  <c r="M180" i="40" l="1"/>
  <c r="Q179" i="40"/>
  <c r="R179" i="40" s="1"/>
  <c r="Y179" i="40" s="1"/>
  <c r="O179" i="40"/>
  <c r="K181" i="40"/>
  <c r="P181" i="40" s="1"/>
  <c r="AI180" i="40"/>
  <c r="P180" i="40"/>
  <c r="AB182" i="40"/>
  <c r="AU182" i="40"/>
  <c r="AS182" i="40"/>
  <c r="AV182" i="40" s="1"/>
  <c r="J182" i="40"/>
  <c r="AZ182" i="40" s="1"/>
  <c r="AP182" i="40" s="1"/>
  <c r="AD180" i="40"/>
  <c r="N181" i="40"/>
  <c r="N180" i="40"/>
  <c r="AF181" i="40"/>
  <c r="AI181" i="40" s="1"/>
  <c r="AR183" i="40"/>
  <c r="H184" i="40"/>
  <c r="AQ183" i="40"/>
  <c r="AT183" i="40" s="1"/>
  <c r="AW183" i="40" s="1"/>
  <c r="K79" i="27"/>
  <c r="M79" i="27" s="1"/>
  <c r="AM79" i="27" s="1"/>
  <c r="N78" i="27"/>
  <c r="H82" i="27"/>
  <c r="AQ81" i="27"/>
  <c r="AT81" i="27" s="1"/>
  <c r="AW81" i="27" s="1"/>
  <c r="AR81" i="27"/>
  <c r="AB81" i="27" s="1"/>
  <c r="AU80" i="27"/>
  <c r="J80" i="27"/>
  <c r="AZ80" i="27" s="1"/>
  <c r="AP80" i="27" s="1"/>
  <c r="AS80" i="27"/>
  <c r="AV80" i="27" s="1"/>
  <c r="AD78" i="27"/>
  <c r="P78" i="27"/>
  <c r="O77" i="27"/>
  <c r="Q77" i="27"/>
  <c r="R77" i="27" s="1"/>
  <c r="Y77" i="27" s="1"/>
  <c r="E157" i="29"/>
  <c r="F157" i="29"/>
  <c r="AA77" i="29"/>
  <c r="AU77" i="29"/>
  <c r="AS77" i="29"/>
  <c r="AV77" i="29" s="1"/>
  <c r="AQ78" i="29"/>
  <c r="AT78" i="29" s="1"/>
  <c r="AW78" i="29" s="1"/>
  <c r="H79" i="29"/>
  <c r="AR78" i="29"/>
  <c r="K159" i="29"/>
  <c r="Q157" i="29"/>
  <c r="R157" i="29" s="1"/>
  <c r="X157" i="29" s="1"/>
  <c r="O157" i="29"/>
  <c r="M74" i="29"/>
  <c r="AM74" i="29" s="1"/>
  <c r="A74" i="29" s="1"/>
  <c r="B74" i="29" s="1"/>
  <c r="C74" i="29" s="1"/>
  <c r="AC74" i="29"/>
  <c r="P74" i="29"/>
  <c r="N74" i="29"/>
  <c r="L161" i="29"/>
  <c r="J160" i="29"/>
  <c r="J76" i="29"/>
  <c r="L77" i="29"/>
  <c r="M158" i="29"/>
  <c r="AO158" i="29" s="1"/>
  <c r="AC158" i="29"/>
  <c r="N158" i="29"/>
  <c r="P158" i="29"/>
  <c r="O73" i="29"/>
  <c r="Q73" i="29"/>
  <c r="R73" i="29" s="1"/>
  <c r="X73" i="29" s="1"/>
  <c r="K75" i="29"/>
  <c r="L126" i="27"/>
  <c r="H75" i="11"/>
  <c r="AR74" i="11"/>
  <c r="AQ74" i="11"/>
  <c r="AT74" i="11" s="1"/>
  <c r="AW74" i="11" s="1"/>
  <c r="M159" i="16"/>
  <c r="AM159" i="16" s="1"/>
  <c r="AC159" i="16"/>
  <c r="P159" i="16"/>
  <c r="N159" i="16"/>
  <c r="Y157" i="16"/>
  <c r="M76" i="16"/>
  <c r="AM76" i="16" s="1"/>
  <c r="A76" i="16" s="1"/>
  <c r="B76" i="16" s="1"/>
  <c r="C76" i="16" s="1"/>
  <c r="P76" i="16"/>
  <c r="N76" i="16"/>
  <c r="AC76" i="16"/>
  <c r="W157" i="16"/>
  <c r="L76" i="11"/>
  <c r="O158" i="16"/>
  <c r="Q158" i="16"/>
  <c r="R158" i="16" s="1"/>
  <c r="X158" i="16" s="1"/>
  <c r="N72" i="11"/>
  <c r="P72" i="11"/>
  <c r="Z156" i="16"/>
  <c r="U156" i="16"/>
  <c r="L162" i="16"/>
  <c r="J161" i="16"/>
  <c r="K160" i="16"/>
  <c r="AP160" i="16"/>
  <c r="J78" i="16"/>
  <c r="L79" i="16"/>
  <c r="AB155" i="16"/>
  <c r="AG155" i="16" s="1"/>
  <c r="AK155" i="16" s="1"/>
  <c r="AD155" i="16"/>
  <c r="AE155" i="16" s="1"/>
  <c r="T158" i="16"/>
  <c r="AE72" i="11"/>
  <c r="AH72" i="11" s="1"/>
  <c r="AC72" i="11"/>
  <c r="AJ154" i="16"/>
  <c r="AI154" i="16" s="1"/>
  <c r="AF154" i="16"/>
  <c r="AH154" i="16"/>
  <c r="AN154" i="16" s="1"/>
  <c r="Q71" i="11"/>
  <c r="R71" i="11" s="1"/>
  <c r="X71" i="11" s="1"/>
  <c r="O71" i="11"/>
  <c r="O75" i="16"/>
  <c r="Q75" i="16"/>
  <c r="R75" i="16" s="1"/>
  <c r="X75" i="16" s="1"/>
  <c r="AS73" i="11"/>
  <c r="AV73" i="11" s="1"/>
  <c r="AU73" i="11"/>
  <c r="J73" i="11"/>
  <c r="AP73" i="11" s="1"/>
  <c r="AP77" i="16"/>
  <c r="K77" i="16"/>
  <c r="AY155" i="16"/>
  <c r="V155" i="16"/>
  <c r="AX155" i="16"/>
  <c r="N79" i="27" l="1"/>
  <c r="P79" i="27"/>
  <c r="O79" i="27" s="1"/>
  <c r="K80" i="27"/>
  <c r="M80" i="27" s="1"/>
  <c r="AM80" i="27" s="1"/>
  <c r="AD79" i="27"/>
  <c r="AD181" i="40"/>
  <c r="K182" i="40"/>
  <c r="AF182" i="40"/>
  <c r="AD182" i="40"/>
  <c r="O181" i="40"/>
  <c r="Q181" i="40"/>
  <c r="R181" i="40" s="1"/>
  <c r="Y181" i="40" s="1"/>
  <c r="O180" i="40"/>
  <c r="Q180" i="40"/>
  <c r="R180" i="40" s="1"/>
  <c r="Y180" i="40" s="1"/>
  <c r="AI182" i="40"/>
  <c r="AS183" i="40"/>
  <c r="AV183" i="40" s="1"/>
  <c r="AU183" i="40"/>
  <c r="AB183" i="40"/>
  <c r="J183" i="40"/>
  <c r="AZ183" i="40" s="1"/>
  <c r="AP183" i="40" s="1"/>
  <c r="M182" i="40"/>
  <c r="AQ184" i="40"/>
  <c r="AT184" i="40" s="1"/>
  <c r="AW184" i="40" s="1"/>
  <c r="H185" i="40"/>
  <c r="AR184" i="40"/>
  <c r="P182" i="40"/>
  <c r="N182" i="40"/>
  <c r="M181" i="40"/>
  <c r="O78" i="27"/>
  <c r="Q78" i="27"/>
  <c r="R78" i="27" s="1"/>
  <c r="Y78" i="27" s="1"/>
  <c r="AS81" i="27"/>
  <c r="AV81" i="27" s="1"/>
  <c r="AU81" i="27"/>
  <c r="J81" i="27"/>
  <c r="AZ81" i="27" s="1"/>
  <c r="AP81" i="27" s="1"/>
  <c r="H83" i="27"/>
  <c r="AQ82" i="27"/>
  <c r="AT82" i="27" s="1"/>
  <c r="AW82" i="27" s="1"/>
  <c r="AR82" i="27"/>
  <c r="AB82" i="27" s="1"/>
  <c r="F158" i="29"/>
  <c r="E158" i="29"/>
  <c r="AS78" i="29"/>
  <c r="AV78" i="29" s="1"/>
  <c r="AU78" i="29"/>
  <c r="AA78" i="29"/>
  <c r="H80" i="29"/>
  <c r="AR79" i="29"/>
  <c r="AQ79" i="29"/>
  <c r="AT79" i="29" s="1"/>
  <c r="AW79" i="29" s="1"/>
  <c r="O158" i="29"/>
  <c r="Q158" i="29"/>
  <c r="R158" i="29" s="1"/>
  <c r="X158" i="29" s="1"/>
  <c r="K76" i="29"/>
  <c r="Q74" i="29"/>
  <c r="R74" i="29" s="1"/>
  <c r="X74" i="29" s="1"/>
  <c r="O74" i="29"/>
  <c r="K160" i="29"/>
  <c r="M159" i="29"/>
  <c r="AO159" i="29" s="1"/>
  <c r="P159" i="29"/>
  <c r="AC159" i="29"/>
  <c r="N159" i="29"/>
  <c r="J77" i="29"/>
  <c r="L78" i="29"/>
  <c r="M75" i="29"/>
  <c r="AM75" i="29" s="1"/>
  <c r="A75" i="29" s="1"/>
  <c r="B75" i="29" s="1"/>
  <c r="C75" i="29" s="1"/>
  <c r="N75" i="29"/>
  <c r="P75" i="29"/>
  <c r="AC75" i="29"/>
  <c r="J161" i="29"/>
  <c r="L162" i="29"/>
  <c r="L127" i="27"/>
  <c r="P73" i="11"/>
  <c r="N73" i="11"/>
  <c r="M160" i="16"/>
  <c r="AM160" i="16" s="1"/>
  <c r="P160" i="16"/>
  <c r="N160" i="16"/>
  <c r="AC160" i="16"/>
  <c r="AP161" i="16"/>
  <c r="K161" i="16"/>
  <c r="Q159" i="16"/>
  <c r="R159" i="16" s="1"/>
  <c r="X159" i="16" s="1"/>
  <c r="O159" i="16"/>
  <c r="Y158" i="16"/>
  <c r="U157" i="16"/>
  <c r="Z157" i="16"/>
  <c r="Q76" i="16"/>
  <c r="R76" i="16" s="1"/>
  <c r="X76" i="16" s="1"/>
  <c r="O76" i="16"/>
  <c r="T159" i="16"/>
  <c r="L80" i="16"/>
  <c r="J79" i="16"/>
  <c r="L163" i="16"/>
  <c r="J162" i="16"/>
  <c r="L77" i="11"/>
  <c r="AY156" i="16"/>
  <c r="AX156" i="16"/>
  <c r="V156" i="16"/>
  <c r="AU74" i="11"/>
  <c r="AS74" i="11"/>
  <c r="AV74" i="11" s="1"/>
  <c r="J74" i="11"/>
  <c r="AP74" i="11" s="1"/>
  <c r="M77" i="16"/>
  <c r="AM77" i="16" s="1"/>
  <c r="A77" i="16" s="1"/>
  <c r="B77" i="16" s="1"/>
  <c r="C77" i="16" s="1"/>
  <c r="N77" i="16"/>
  <c r="AC77" i="16"/>
  <c r="P77" i="16"/>
  <c r="O72" i="11"/>
  <c r="Q72" i="11"/>
  <c r="R72" i="11" s="1"/>
  <c r="X72" i="11" s="1"/>
  <c r="AJ155" i="16"/>
  <c r="AI155" i="16" s="1"/>
  <c r="AF155" i="16"/>
  <c r="AH155" i="16"/>
  <c r="AN155" i="16" s="1"/>
  <c r="AP78" i="16"/>
  <c r="K78" i="16"/>
  <c r="AE73" i="11"/>
  <c r="AC73" i="11"/>
  <c r="W158" i="16"/>
  <c r="AD156" i="16"/>
  <c r="AE156" i="16" s="1"/>
  <c r="AB156" i="16"/>
  <c r="AG156" i="16" s="1"/>
  <c r="AK156" i="16" s="1"/>
  <c r="AR75" i="11"/>
  <c r="AQ75" i="11"/>
  <c r="AT75" i="11" s="1"/>
  <c r="AW75" i="11" s="1"/>
  <c r="H76" i="11"/>
  <c r="N80" i="27" l="1"/>
  <c r="Q79" i="27"/>
  <c r="R79" i="27" s="1"/>
  <c r="Y79" i="27" s="1"/>
  <c r="P80" i="27"/>
  <c r="Q80" i="27" s="1"/>
  <c r="R80" i="27" s="1"/>
  <c r="Y80" i="27" s="1"/>
  <c r="AD80" i="27"/>
  <c r="K183" i="40"/>
  <c r="H186" i="40"/>
  <c r="AR185" i="40"/>
  <c r="AQ185" i="40"/>
  <c r="AT185" i="40" s="1"/>
  <c r="AW185" i="40" s="1"/>
  <c r="M183" i="40"/>
  <c r="P183" i="40"/>
  <c r="N183" i="40"/>
  <c r="Q182" i="40"/>
  <c r="R182" i="40" s="1"/>
  <c r="Y182" i="40" s="1"/>
  <c r="O182" i="40"/>
  <c r="AS184" i="40"/>
  <c r="AV184" i="40" s="1"/>
  <c r="AB184" i="40"/>
  <c r="AU184" i="40"/>
  <c r="J184" i="40"/>
  <c r="AZ184" i="40" s="1"/>
  <c r="AP184" i="40" s="1"/>
  <c r="AD183" i="40"/>
  <c r="AF183" i="40"/>
  <c r="AI183" i="40" s="1"/>
  <c r="K81" i="27"/>
  <c r="M81" i="27" s="1"/>
  <c r="AM81" i="27" s="1"/>
  <c r="AU82" i="27"/>
  <c r="AS82" i="27"/>
  <c r="AV82" i="27" s="1"/>
  <c r="J82" i="27"/>
  <c r="AZ82" i="27" s="1"/>
  <c r="AP82" i="27" s="1"/>
  <c r="H84" i="27"/>
  <c r="AR83" i="27"/>
  <c r="AB83" i="27" s="1"/>
  <c r="AQ83" i="27"/>
  <c r="AT83" i="27" s="1"/>
  <c r="AW83" i="27" s="1"/>
  <c r="E159" i="29"/>
  <c r="F159" i="29"/>
  <c r="AU79" i="29"/>
  <c r="AA79" i="29"/>
  <c r="AS79" i="29"/>
  <c r="AV79" i="29" s="1"/>
  <c r="H81" i="29"/>
  <c r="AR80" i="29"/>
  <c r="AQ80" i="29"/>
  <c r="AT80" i="29" s="1"/>
  <c r="AW80" i="29" s="1"/>
  <c r="L163" i="29"/>
  <c r="J162" i="29"/>
  <c r="M160" i="29"/>
  <c r="AO160" i="29" s="1"/>
  <c r="AC160" i="29"/>
  <c r="P160" i="29"/>
  <c r="N160" i="29"/>
  <c r="K161" i="29"/>
  <c r="O159" i="29"/>
  <c r="Q159" i="29"/>
  <c r="R159" i="29" s="1"/>
  <c r="X159" i="29" s="1"/>
  <c r="M76" i="29"/>
  <c r="AM76" i="29" s="1"/>
  <c r="A76" i="29" s="1"/>
  <c r="B76" i="29" s="1"/>
  <c r="C76" i="29" s="1"/>
  <c r="AC76" i="29"/>
  <c r="P76" i="29"/>
  <c r="N76" i="29"/>
  <c r="O75" i="29"/>
  <c r="Q75" i="29"/>
  <c r="R75" i="29" s="1"/>
  <c r="X75" i="29" s="1"/>
  <c r="J78" i="29"/>
  <c r="L79" i="29"/>
  <c r="K77" i="29"/>
  <c r="L128" i="27"/>
  <c r="U158" i="16"/>
  <c r="Z158" i="16"/>
  <c r="AE74" i="11"/>
  <c r="AC74" i="11"/>
  <c r="AD157" i="16"/>
  <c r="AE157" i="16" s="1"/>
  <c r="AB157" i="16"/>
  <c r="AG157" i="16" s="1"/>
  <c r="AK157" i="16" s="1"/>
  <c r="M161" i="16"/>
  <c r="AM161" i="16" s="1"/>
  <c r="N161" i="16"/>
  <c r="P161" i="16"/>
  <c r="AC161" i="16"/>
  <c r="Q73" i="11"/>
  <c r="R73" i="11" s="1"/>
  <c r="X73" i="11" s="1"/>
  <c r="O73" i="11"/>
  <c r="AS75" i="11"/>
  <c r="AV75" i="11" s="1"/>
  <c r="AU75" i="11"/>
  <c r="J75" i="11"/>
  <c r="AP75" i="11" s="1"/>
  <c r="N74" i="11"/>
  <c r="P74" i="11"/>
  <c r="L81" i="16"/>
  <c r="J80" i="16"/>
  <c r="AP162" i="16"/>
  <c r="K162" i="16"/>
  <c r="Y159" i="16"/>
  <c r="AX157" i="16"/>
  <c r="V157" i="16"/>
  <c r="AY157" i="16"/>
  <c r="Q77" i="16"/>
  <c r="R77" i="16" s="1"/>
  <c r="X77" i="16" s="1"/>
  <c r="O77" i="16"/>
  <c r="H77" i="11"/>
  <c r="AR76" i="11"/>
  <c r="AQ76" i="11"/>
  <c r="AT76" i="11" s="1"/>
  <c r="AW76" i="11" s="1"/>
  <c r="L78" i="11"/>
  <c r="J163" i="16"/>
  <c r="L164" i="16"/>
  <c r="AH73" i="11"/>
  <c r="W159" i="16"/>
  <c r="K79" i="16"/>
  <c r="AP79" i="16"/>
  <c r="Q160" i="16"/>
  <c r="R160" i="16" s="1"/>
  <c r="X160" i="16" s="1"/>
  <c r="O160" i="16"/>
  <c r="AF156" i="16"/>
  <c r="AJ156" i="16"/>
  <c r="AI156" i="16" s="1"/>
  <c r="AH156" i="16"/>
  <c r="AN156" i="16" s="1"/>
  <c r="M78" i="16"/>
  <c r="AM78" i="16" s="1"/>
  <c r="A78" i="16" s="1"/>
  <c r="B78" i="16" s="1"/>
  <c r="C78" i="16" s="1"/>
  <c r="AC78" i="16"/>
  <c r="P78" i="16"/>
  <c r="N78" i="16"/>
  <c r="AH74" i="11"/>
  <c r="T160" i="16"/>
  <c r="W160" i="16" s="1"/>
  <c r="O80" i="27" l="1"/>
  <c r="AD81" i="27"/>
  <c r="P81" i="27"/>
  <c r="O81" i="27" s="1"/>
  <c r="K184" i="40"/>
  <c r="P184" i="40" s="1"/>
  <c r="AU185" i="40"/>
  <c r="AS185" i="40"/>
  <c r="AV185" i="40" s="1"/>
  <c r="AB185" i="40"/>
  <c r="J185" i="40"/>
  <c r="AZ185" i="40" s="1"/>
  <c r="AP185" i="40" s="1"/>
  <c r="AF184" i="40"/>
  <c r="AI184" i="40" s="1"/>
  <c r="Q183" i="40"/>
  <c r="R183" i="40" s="1"/>
  <c r="Y183" i="40" s="1"/>
  <c r="O183" i="40"/>
  <c r="H187" i="40"/>
  <c r="AR186" i="40"/>
  <c r="AQ186" i="40"/>
  <c r="AT186" i="40" s="1"/>
  <c r="AW186" i="40" s="1"/>
  <c r="N81" i="27"/>
  <c r="AS83" i="27"/>
  <c r="AV83" i="27" s="1"/>
  <c r="J83" i="27"/>
  <c r="AZ83" i="27" s="1"/>
  <c r="AP83" i="27" s="1"/>
  <c r="AU83" i="27"/>
  <c r="H85" i="27"/>
  <c r="AR84" i="27"/>
  <c r="AB84" i="27" s="1"/>
  <c r="AQ84" i="27"/>
  <c r="AT84" i="27" s="1"/>
  <c r="AW84" i="27" s="1"/>
  <c r="K82" i="27"/>
  <c r="M82" i="27" s="1"/>
  <c r="AM82" i="27" s="1"/>
  <c r="Q81" i="27"/>
  <c r="R81" i="27" s="1"/>
  <c r="Y81" i="27" s="1"/>
  <c r="E160" i="29"/>
  <c r="F160" i="29"/>
  <c r="AS80" i="29"/>
  <c r="AV80" i="29" s="1"/>
  <c r="AA80" i="29"/>
  <c r="AU80" i="29"/>
  <c r="AQ81" i="29"/>
  <c r="AT81" i="29" s="1"/>
  <c r="AW81" i="29" s="1"/>
  <c r="H82" i="29"/>
  <c r="AR81" i="29"/>
  <c r="K78" i="29"/>
  <c r="Q160" i="29"/>
  <c r="R160" i="29" s="1"/>
  <c r="X160" i="29" s="1"/>
  <c r="O160" i="29"/>
  <c r="K162" i="29"/>
  <c r="O76" i="29"/>
  <c r="Q76" i="29"/>
  <c r="R76" i="29" s="1"/>
  <c r="X76" i="29" s="1"/>
  <c r="M161" i="29"/>
  <c r="AO161" i="29" s="1"/>
  <c r="P161" i="29"/>
  <c r="N161" i="29"/>
  <c r="AC161" i="29"/>
  <c r="L164" i="29"/>
  <c r="J163" i="29"/>
  <c r="M77" i="29"/>
  <c r="AM77" i="29" s="1"/>
  <c r="A77" i="29" s="1"/>
  <c r="B77" i="29" s="1"/>
  <c r="C77" i="29" s="1"/>
  <c r="P77" i="29"/>
  <c r="N77" i="29"/>
  <c r="AC77" i="29"/>
  <c r="J79" i="29"/>
  <c r="L80" i="29"/>
  <c r="L129" i="27"/>
  <c r="M79" i="16"/>
  <c r="AM79" i="16" s="1"/>
  <c r="A79" i="16" s="1"/>
  <c r="B79" i="16" s="1"/>
  <c r="C79" i="16" s="1"/>
  <c r="N79" i="16"/>
  <c r="P79" i="16"/>
  <c r="AC79" i="16"/>
  <c r="M162" i="16"/>
  <c r="AM162" i="16" s="1"/>
  <c r="P162" i="16"/>
  <c r="N162" i="16"/>
  <c r="AC162" i="16"/>
  <c r="AJ157" i="16"/>
  <c r="AI157" i="16" s="1"/>
  <c r="AF157" i="16"/>
  <c r="AH157" i="16"/>
  <c r="AN157" i="16" s="1"/>
  <c r="V158" i="16"/>
  <c r="AX158" i="16"/>
  <c r="AY158" i="16"/>
  <c r="L165" i="16"/>
  <c r="J164" i="16"/>
  <c r="P75" i="11"/>
  <c r="N75" i="11"/>
  <c r="Z159" i="16"/>
  <c r="U159" i="16"/>
  <c r="K163" i="16"/>
  <c r="AP163" i="16"/>
  <c r="O161" i="16"/>
  <c r="Q161" i="16"/>
  <c r="R161" i="16" s="1"/>
  <c r="X161" i="16" s="1"/>
  <c r="U160" i="16"/>
  <c r="AX160" i="16" s="1"/>
  <c r="Z160" i="16"/>
  <c r="Q78" i="16"/>
  <c r="R78" i="16" s="1"/>
  <c r="X78" i="16" s="1"/>
  <c r="O78" i="16"/>
  <c r="AR77" i="11"/>
  <c r="AQ77" i="11"/>
  <c r="AT77" i="11" s="1"/>
  <c r="AW77" i="11" s="1"/>
  <c r="H78" i="11"/>
  <c r="L79" i="11"/>
  <c r="K80" i="16"/>
  <c r="AP80" i="16"/>
  <c r="O74" i="11"/>
  <c r="Q74" i="11"/>
  <c r="R74" i="11" s="1"/>
  <c r="X74" i="11" s="1"/>
  <c r="T161" i="16"/>
  <c r="W161" i="16" s="1"/>
  <c r="Y160" i="16"/>
  <c r="AU76" i="11"/>
  <c r="AS76" i="11"/>
  <c r="AV76" i="11" s="1"/>
  <c r="J76" i="11"/>
  <c r="AP76" i="11" s="1"/>
  <c r="J81" i="16"/>
  <c r="L82" i="16"/>
  <c r="AE75" i="11"/>
  <c r="AH75" i="11" s="1"/>
  <c r="AC75" i="11"/>
  <c r="AB158" i="16"/>
  <c r="AG158" i="16" s="1"/>
  <c r="AK158" i="16" s="1"/>
  <c r="AD158" i="16"/>
  <c r="AE158" i="16" s="1"/>
  <c r="Q184" i="40" l="1"/>
  <c r="R184" i="40" s="1"/>
  <c r="Y184" i="40" s="1"/>
  <c r="O184" i="40"/>
  <c r="AU186" i="40"/>
  <c r="AS186" i="40"/>
  <c r="AV186" i="40" s="1"/>
  <c r="AB186" i="40"/>
  <c r="J186" i="40"/>
  <c r="AZ186" i="40" s="1"/>
  <c r="AP186" i="40" s="1"/>
  <c r="N184" i="40"/>
  <c r="AF185" i="40"/>
  <c r="AI185" i="40" s="1"/>
  <c r="AQ187" i="40"/>
  <c r="AT187" i="40" s="1"/>
  <c r="AW187" i="40" s="1"/>
  <c r="H188" i="40"/>
  <c r="AR187" i="40"/>
  <c r="K185" i="40"/>
  <c r="N185" i="40" s="1"/>
  <c r="M184" i="40"/>
  <c r="AD184" i="40"/>
  <c r="AU84" i="27"/>
  <c r="J84" i="27"/>
  <c r="AZ84" i="27" s="1"/>
  <c r="AP84" i="27" s="1"/>
  <c r="AS84" i="27"/>
  <c r="AV84" i="27" s="1"/>
  <c r="AD82" i="27"/>
  <c r="H86" i="27"/>
  <c r="AQ85" i="27"/>
  <c r="AT85" i="27" s="1"/>
  <c r="AW85" i="27" s="1"/>
  <c r="AR85" i="27"/>
  <c r="AB85" i="27" s="1"/>
  <c r="P82" i="27"/>
  <c r="K83" i="27"/>
  <c r="M83" i="27" s="1"/>
  <c r="AM83" i="27" s="1"/>
  <c r="N82" i="27"/>
  <c r="F161" i="29"/>
  <c r="E161" i="29"/>
  <c r="AA81" i="29"/>
  <c r="AU81" i="29"/>
  <c r="AS81" i="29"/>
  <c r="AV81" i="29" s="1"/>
  <c r="H83" i="29"/>
  <c r="AQ82" i="29"/>
  <c r="AT82" i="29" s="1"/>
  <c r="AW82" i="29" s="1"/>
  <c r="AR82" i="29"/>
  <c r="J80" i="29"/>
  <c r="L81" i="29"/>
  <c r="M162" i="29"/>
  <c r="AO162" i="29" s="1"/>
  <c r="N162" i="29"/>
  <c r="P162" i="29"/>
  <c r="AC162" i="29"/>
  <c r="M78" i="29"/>
  <c r="AM78" i="29" s="1"/>
  <c r="A78" i="29" s="1"/>
  <c r="B78" i="29" s="1"/>
  <c r="C78" i="29" s="1"/>
  <c r="N78" i="29"/>
  <c r="P78" i="29"/>
  <c r="AC78" i="29"/>
  <c r="K79" i="29"/>
  <c r="O161" i="29"/>
  <c r="Q161" i="29"/>
  <c r="R161" i="29" s="1"/>
  <c r="X161" i="29" s="1"/>
  <c r="K163" i="29"/>
  <c r="J164" i="29"/>
  <c r="L165" i="29"/>
  <c r="O77" i="29"/>
  <c r="Q77" i="29"/>
  <c r="R77" i="29" s="1"/>
  <c r="X77" i="29" s="1"/>
  <c r="AY160" i="16"/>
  <c r="V160" i="16"/>
  <c r="L130" i="27"/>
  <c r="U161" i="16"/>
  <c r="V161" i="16" s="1"/>
  <c r="Z161" i="16"/>
  <c r="K81" i="16"/>
  <c r="AP81" i="16"/>
  <c r="AJ158" i="16"/>
  <c r="AI158" i="16" s="1"/>
  <c r="AF158" i="16"/>
  <c r="AH158" i="16"/>
  <c r="AN158" i="16" s="1"/>
  <c r="M80" i="16"/>
  <c r="AM80" i="16" s="1"/>
  <c r="A80" i="16" s="1"/>
  <c r="B80" i="16" s="1"/>
  <c r="C80" i="16" s="1"/>
  <c r="AC80" i="16"/>
  <c r="N80" i="16"/>
  <c r="P80" i="16"/>
  <c r="AP164" i="16"/>
  <c r="K164" i="16"/>
  <c r="Q162" i="16"/>
  <c r="R162" i="16" s="1"/>
  <c r="X162" i="16" s="1"/>
  <c r="O162" i="16"/>
  <c r="AY159" i="16"/>
  <c r="AX159" i="16"/>
  <c r="V159" i="16"/>
  <c r="L166" i="16"/>
  <c r="J165" i="16"/>
  <c r="L80" i="11"/>
  <c r="H79" i="11"/>
  <c r="AR78" i="11"/>
  <c r="AQ78" i="11"/>
  <c r="AT78" i="11" s="1"/>
  <c r="AW78" i="11" s="1"/>
  <c r="AD160" i="16"/>
  <c r="AE160" i="16" s="1"/>
  <c r="AB160" i="16"/>
  <c r="AG160" i="16" s="1"/>
  <c r="AK160" i="16" s="1"/>
  <c r="AD159" i="16"/>
  <c r="AE159" i="16" s="1"/>
  <c r="AB159" i="16"/>
  <c r="AG159" i="16" s="1"/>
  <c r="AK159" i="16" s="1"/>
  <c r="T162" i="16"/>
  <c r="N76" i="11"/>
  <c r="P76" i="11"/>
  <c r="AE76" i="11"/>
  <c r="AC76" i="11"/>
  <c r="Y161" i="16"/>
  <c r="AX161" i="16"/>
  <c r="M163" i="16"/>
  <c r="AM163" i="16" s="1"/>
  <c r="N163" i="16"/>
  <c r="AC163" i="16"/>
  <c r="P163" i="16"/>
  <c r="O79" i="16"/>
  <c r="Q79" i="16"/>
  <c r="R79" i="16" s="1"/>
  <c r="X79" i="16" s="1"/>
  <c r="L83" i="16"/>
  <c r="J82" i="16"/>
  <c r="AS77" i="11"/>
  <c r="AV77" i="11" s="1"/>
  <c r="AU77" i="11"/>
  <c r="J77" i="11"/>
  <c r="AP77" i="11" s="1"/>
  <c r="Q75" i="11"/>
  <c r="R75" i="11" s="1"/>
  <c r="X75" i="11" s="1"/>
  <c r="O75" i="11"/>
  <c r="K186" i="40" l="1"/>
  <c r="P186" i="40" s="1"/>
  <c r="P185" i="40"/>
  <c r="Q185" i="40"/>
  <c r="R185" i="40" s="1"/>
  <c r="Y185" i="40" s="1"/>
  <c r="O185" i="40"/>
  <c r="AD185" i="40"/>
  <c r="N186" i="40"/>
  <c r="AR188" i="40"/>
  <c r="AQ188" i="40"/>
  <c r="AT188" i="40" s="1"/>
  <c r="AW188" i="40" s="1"/>
  <c r="H189" i="40"/>
  <c r="M185" i="40"/>
  <c r="AB187" i="40"/>
  <c r="AU187" i="40"/>
  <c r="AS187" i="40"/>
  <c r="AV187" i="40" s="1"/>
  <c r="J187" i="40"/>
  <c r="AZ187" i="40" s="1"/>
  <c r="AP187" i="40" s="1"/>
  <c r="AD186" i="40"/>
  <c r="AF186" i="40"/>
  <c r="AI186" i="40" s="1"/>
  <c r="K84" i="27"/>
  <c r="M84" i="27" s="1"/>
  <c r="AM84" i="27" s="1"/>
  <c r="AS85" i="27"/>
  <c r="AV85" i="27" s="1"/>
  <c r="AU85" i="27"/>
  <c r="J85" i="27"/>
  <c r="AZ85" i="27" s="1"/>
  <c r="AP85" i="27" s="1"/>
  <c r="N83" i="27"/>
  <c r="H87" i="27"/>
  <c r="AR86" i="27"/>
  <c r="AB86" i="27" s="1"/>
  <c r="AQ86" i="27"/>
  <c r="AT86" i="27" s="1"/>
  <c r="AW86" i="27" s="1"/>
  <c r="O82" i="27"/>
  <c r="Q82" i="27"/>
  <c r="R82" i="27" s="1"/>
  <c r="Y82" i="27" s="1"/>
  <c r="P83" i="27"/>
  <c r="AD83" i="27"/>
  <c r="E162" i="29"/>
  <c r="F162" i="29"/>
  <c r="AA82" i="29"/>
  <c r="AU82" i="29"/>
  <c r="AS82" i="29"/>
  <c r="AV82" i="29" s="1"/>
  <c r="AQ83" i="29"/>
  <c r="AT83" i="29" s="1"/>
  <c r="AW83" i="29" s="1"/>
  <c r="AR83" i="29"/>
  <c r="H84" i="29"/>
  <c r="Q162" i="29"/>
  <c r="R162" i="29" s="1"/>
  <c r="X162" i="29" s="1"/>
  <c r="O162" i="29"/>
  <c r="J81" i="29"/>
  <c r="L82" i="29"/>
  <c r="Q78" i="29"/>
  <c r="R78" i="29" s="1"/>
  <c r="X78" i="29" s="1"/>
  <c r="O78" i="29"/>
  <c r="K80" i="29"/>
  <c r="M163" i="29"/>
  <c r="AO163" i="29" s="1"/>
  <c r="AC163" i="29"/>
  <c r="P163" i="29"/>
  <c r="N163" i="29"/>
  <c r="L166" i="29"/>
  <c r="J165" i="29"/>
  <c r="K164" i="29"/>
  <c r="M79" i="29"/>
  <c r="AM79" i="29" s="1"/>
  <c r="A79" i="29" s="1"/>
  <c r="B79" i="29" s="1"/>
  <c r="C79" i="29" s="1"/>
  <c r="P79" i="29"/>
  <c r="N79" i="29"/>
  <c r="AC79" i="29"/>
  <c r="AY161" i="16"/>
  <c r="W162" i="16"/>
  <c r="Z162" i="16" s="1"/>
  <c r="L131" i="27"/>
  <c r="T163" i="16"/>
  <c r="AP82" i="16"/>
  <c r="K82" i="16"/>
  <c r="AU78" i="11"/>
  <c r="AS78" i="11"/>
  <c r="AV78" i="11" s="1"/>
  <c r="J78" i="11"/>
  <c r="AP78" i="11" s="1"/>
  <c r="O80" i="16"/>
  <c r="Q80" i="16"/>
  <c r="R80" i="16" s="1"/>
  <c r="X80" i="16" s="1"/>
  <c r="U162" i="16"/>
  <c r="AY162" i="16" s="1"/>
  <c r="L84" i="16"/>
  <c r="J83" i="16"/>
  <c r="AR79" i="11"/>
  <c r="AQ79" i="11"/>
  <c r="AT79" i="11" s="1"/>
  <c r="AW79" i="11" s="1"/>
  <c r="H80" i="11"/>
  <c r="L81" i="11"/>
  <c r="AP165" i="16"/>
  <c r="K165" i="16"/>
  <c r="AB161" i="16"/>
  <c r="AG161" i="16" s="1"/>
  <c r="AK161" i="16" s="1"/>
  <c r="AD161" i="16"/>
  <c r="AE161" i="16" s="1"/>
  <c r="M164" i="16"/>
  <c r="AM164" i="16" s="1"/>
  <c r="AC164" i="16"/>
  <c r="N164" i="16"/>
  <c r="P164" i="16"/>
  <c r="AJ160" i="16"/>
  <c r="AI160" i="16" s="1"/>
  <c r="AF160" i="16"/>
  <c r="AH160" i="16"/>
  <c r="AN160" i="16" s="1"/>
  <c r="J166" i="16"/>
  <c r="L167" i="16"/>
  <c r="M81" i="16"/>
  <c r="AM81" i="16" s="1"/>
  <c r="A81" i="16" s="1"/>
  <c r="B81" i="16" s="1"/>
  <c r="C81" i="16" s="1"/>
  <c r="P81" i="16"/>
  <c r="AC81" i="16"/>
  <c r="N81" i="16"/>
  <c r="AE77" i="11"/>
  <c r="AH77" i="11" s="1"/>
  <c r="AC77" i="11"/>
  <c r="Q163" i="16"/>
  <c r="R163" i="16" s="1"/>
  <c r="X163" i="16" s="1"/>
  <c r="O163" i="16"/>
  <c r="AF159" i="16"/>
  <c r="AJ159" i="16"/>
  <c r="AI159" i="16" s="1"/>
  <c r="AH159" i="16"/>
  <c r="AN159" i="16" s="1"/>
  <c r="AH76" i="11"/>
  <c r="P77" i="11"/>
  <c r="N77" i="11"/>
  <c r="O76" i="11"/>
  <c r="Q76" i="11"/>
  <c r="R76" i="11" s="1"/>
  <c r="X76" i="11" s="1"/>
  <c r="Y162" i="16"/>
  <c r="V162" i="16"/>
  <c r="AX162" i="16"/>
  <c r="P84" i="27" l="1"/>
  <c r="N84" i="27"/>
  <c r="M186" i="40"/>
  <c r="O186" i="40"/>
  <c r="Q186" i="40"/>
  <c r="R186" i="40" s="1"/>
  <c r="Y186" i="40" s="1"/>
  <c r="AB188" i="40"/>
  <c r="AU188" i="40"/>
  <c r="AS188" i="40"/>
  <c r="AV188" i="40" s="1"/>
  <c r="J188" i="40"/>
  <c r="AZ188" i="40" s="1"/>
  <c r="AP188" i="40" s="1"/>
  <c r="K187" i="40"/>
  <c r="H190" i="40"/>
  <c r="AR189" i="40"/>
  <c r="AQ189" i="40"/>
  <c r="AT189" i="40" s="1"/>
  <c r="AW189" i="40" s="1"/>
  <c r="AF187" i="40"/>
  <c r="AD187" i="40"/>
  <c r="AD84" i="27"/>
  <c r="Q83" i="27"/>
  <c r="R83" i="27" s="1"/>
  <c r="Y83" i="27" s="1"/>
  <c r="O83" i="27"/>
  <c r="Q84" i="27"/>
  <c r="R84" i="27" s="1"/>
  <c r="Y84" i="27" s="1"/>
  <c r="O84" i="27"/>
  <c r="AS86" i="27"/>
  <c r="AV86" i="27" s="1"/>
  <c r="J86" i="27"/>
  <c r="AZ86" i="27" s="1"/>
  <c r="AP86" i="27" s="1"/>
  <c r="AU86" i="27"/>
  <c r="K85" i="27"/>
  <c r="M85" i="27" s="1"/>
  <c r="AM85" i="27" s="1"/>
  <c r="H88" i="27"/>
  <c r="AQ87" i="27"/>
  <c r="AT87" i="27" s="1"/>
  <c r="AW87" i="27" s="1"/>
  <c r="AR87" i="27"/>
  <c r="AB87" i="27" s="1"/>
  <c r="E163" i="29"/>
  <c r="F163" i="29"/>
  <c r="AR84" i="29"/>
  <c r="AQ84" i="29"/>
  <c r="AT84" i="29" s="1"/>
  <c r="AW84" i="29" s="1"/>
  <c r="H85" i="29"/>
  <c r="AU83" i="29"/>
  <c r="AS83" i="29"/>
  <c r="AV83" i="29" s="1"/>
  <c r="AA83" i="29"/>
  <c r="K81" i="29"/>
  <c r="J166" i="29"/>
  <c r="L167" i="29"/>
  <c r="Q163" i="29"/>
  <c r="R163" i="29" s="1"/>
  <c r="X163" i="29" s="1"/>
  <c r="O163" i="29"/>
  <c r="K165" i="29"/>
  <c r="O79" i="29"/>
  <c r="Q79" i="29"/>
  <c r="R79" i="29" s="1"/>
  <c r="X79" i="29" s="1"/>
  <c r="M164" i="29"/>
  <c r="AO164" i="29" s="1"/>
  <c r="P164" i="29"/>
  <c r="AC164" i="29"/>
  <c r="N164" i="29"/>
  <c r="M80" i="29"/>
  <c r="AM80" i="29" s="1"/>
  <c r="A80" i="29" s="1"/>
  <c r="B80" i="29" s="1"/>
  <c r="C80" i="29" s="1"/>
  <c r="P80" i="29"/>
  <c r="AC80" i="29"/>
  <c r="N80" i="29"/>
  <c r="J82" i="29"/>
  <c r="L83" i="29"/>
  <c r="L132" i="27"/>
  <c r="K166" i="16"/>
  <c r="AP166" i="16"/>
  <c r="Q81" i="16"/>
  <c r="R81" i="16" s="1"/>
  <c r="X81" i="16" s="1"/>
  <c r="O81" i="16"/>
  <c r="M165" i="16"/>
  <c r="AM165" i="16" s="1"/>
  <c r="P165" i="16"/>
  <c r="N165" i="16"/>
  <c r="AC165" i="16"/>
  <c r="AS79" i="11"/>
  <c r="AV79" i="11" s="1"/>
  <c r="AU79" i="11"/>
  <c r="J79" i="11"/>
  <c r="AP79" i="11" s="1"/>
  <c r="Q77" i="11"/>
  <c r="R77" i="11" s="1"/>
  <c r="X77" i="11" s="1"/>
  <c r="O77" i="11"/>
  <c r="AC78" i="11"/>
  <c r="AE78" i="11"/>
  <c r="O164" i="16"/>
  <c r="Q164" i="16"/>
  <c r="R164" i="16" s="1"/>
  <c r="X164" i="16" s="1"/>
  <c r="AJ161" i="16"/>
  <c r="AI161" i="16" s="1"/>
  <c r="AF161" i="16"/>
  <c r="AH161" i="16"/>
  <c r="AN161" i="16" s="1"/>
  <c r="AB162" i="16"/>
  <c r="AG162" i="16" s="1"/>
  <c r="AK162" i="16" s="1"/>
  <c r="AD162" i="16"/>
  <c r="AE162" i="16" s="1"/>
  <c r="Y163" i="16"/>
  <c r="L82" i="11"/>
  <c r="T164" i="16"/>
  <c r="AP83" i="16"/>
  <c r="K83" i="16"/>
  <c r="AH78" i="11"/>
  <c r="W163" i="16"/>
  <c r="L168" i="16"/>
  <c r="J167" i="16"/>
  <c r="H81" i="11"/>
  <c r="AR80" i="11"/>
  <c r="AQ80" i="11"/>
  <c r="AT80" i="11" s="1"/>
  <c r="AW80" i="11" s="1"/>
  <c r="J84" i="16"/>
  <c r="L85" i="16"/>
  <c r="N78" i="11"/>
  <c r="P78" i="11"/>
  <c r="M82" i="16"/>
  <c r="AM82" i="16" s="1"/>
  <c r="A82" i="16" s="1"/>
  <c r="B82" i="16" s="1"/>
  <c r="C82" i="16" s="1"/>
  <c r="AC82" i="16"/>
  <c r="N82" i="16"/>
  <c r="P82" i="16"/>
  <c r="AR190" i="40" l="1"/>
  <c r="H191" i="40"/>
  <c r="AQ190" i="40"/>
  <c r="AT190" i="40" s="1"/>
  <c r="AW190" i="40" s="1"/>
  <c r="AF188" i="40"/>
  <c r="AU189" i="40"/>
  <c r="AS189" i="40"/>
  <c r="AV189" i="40" s="1"/>
  <c r="AB189" i="40"/>
  <c r="J189" i="40"/>
  <c r="AZ189" i="40" s="1"/>
  <c r="AP189" i="40" s="1"/>
  <c r="M187" i="40"/>
  <c r="K188" i="40"/>
  <c r="AD188" i="40" s="1"/>
  <c r="N187" i="40"/>
  <c r="AI187" i="40"/>
  <c r="P187" i="40"/>
  <c r="H89" i="27"/>
  <c r="AR88" i="27"/>
  <c r="AB88" i="27" s="1"/>
  <c r="AQ88" i="27"/>
  <c r="AT88" i="27" s="1"/>
  <c r="AW88" i="27" s="1"/>
  <c r="N85" i="27"/>
  <c r="K86" i="27"/>
  <c r="M86" i="27" s="1"/>
  <c r="AM86" i="27" s="1"/>
  <c r="P85" i="27"/>
  <c r="AD85" i="27"/>
  <c r="AS87" i="27"/>
  <c r="AV87" i="27" s="1"/>
  <c r="J87" i="27"/>
  <c r="AZ87" i="27" s="1"/>
  <c r="AP87" i="27" s="1"/>
  <c r="AU87" i="27"/>
  <c r="F164" i="29"/>
  <c r="E164" i="29"/>
  <c r="AQ85" i="29"/>
  <c r="AT85" i="29" s="1"/>
  <c r="AW85" i="29" s="1"/>
  <c r="AR85" i="29"/>
  <c r="H86" i="29"/>
  <c r="AA84" i="29"/>
  <c r="AU84" i="29"/>
  <c r="AS84" i="29"/>
  <c r="AV84" i="29" s="1"/>
  <c r="K82" i="29"/>
  <c r="O164" i="29"/>
  <c r="Q164" i="29"/>
  <c r="R164" i="29" s="1"/>
  <c r="X164" i="29" s="1"/>
  <c r="M165" i="29"/>
  <c r="AO165" i="29" s="1"/>
  <c r="AC165" i="29"/>
  <c r="N165" i="29"/>
  <c r="P165" i="29"/>
  <c r="L168" i="29"/>
  <c r="J167" i="29"/>
  <c r="L84" i="29"/>
  <c r="J83" i="29"/>
  <c r="K166" i="29"/>
  <c r="Q80" i="29"/>
  <c r="R80" i="29" s="1"/>
  <c r="X80" i="29" s="1"/>
  <c r="O80" i="29"/>
  <c r="M81" i="29"/>
  <c r="AM81" i="29" s="1"/>
  <c r="A81" i="29" s="1"/>
  <c r="B81" i="29" s="1"/>
  <c r="C81" i="29" s="1"/>
  <c r="N81" i="29"/>
  <c r="P81" i="29"/>
  <c r="AC81" i="29"/>
  <c r="L133" i="27"/>
  <c r="AR81" i="11"/>
  <c r="AQ81" i="11"/>
  <c r="AT81" i="11" s="1"/>
  <c r="AW81" i="11" s="1"/>
  <c r="H82" i="11"/>
  <c r="J168" i="16"/>
  <c r="L169" i="16"/>
  <c r="W164" i="16"/>
  <c r="P79" i="11"/>
  <c r="N79" i="11"/>
  <c r="T165" i="16"/>
  <c r="AP167" i="16"/>
  <c r="K167" i="16"/>
  <c r="O82" i="16"/>
  <c r="Q82" i="16"/>
  <c r="R82" i="16" s="1"/>
  <c r="X82" i="16" s="1"/>
  <c r="Y164" i="16"/>
  <c r="Q165" i="16"/>
  <c r="R165" i="16" s="1"/>
  <c r="X165" i="16" s="1"/>
  <c r="O165" i="16"/>
  <c r="O78" i="11"/>
  <c r="Q78" i="11"/>
  <c r="R78" i="11" s="1"/>
  <c r="X78" i="11" s="1"/>
  <c r="AU80" i="11"/>
  <c r="AS80" i="11"/>
  <c r="AV80" i="11" s="1"/>
  <c r="J80" i="11"/>
  <c r="AP80" i="11" s="1"/>
  <c r="M83" i="16"/>
  <c r="AM83" i="16" s="1"/>
  <c r="A83" i="16" s="1"/>
  <c r="B83" i="16" s="1"/>
  <c r="C83" i="16" s="1"/>
  <c r="AC83" i="16"/>
  <c r="N83" i="16"/>
  <c r="P83" i="16"/>
  <c r="AE79" i="11"/>
  <c r="AH79" i="11" s="1"/>
  <c r="AC79" i="11"/>
  <c r="U163" i="16"/>
  <c r="Z163" i="16"/>
  <c r="K84" i="16"/>
  <c r="AP84" i="16"/>
  <c r="AF162" i="16"/>
  <c r="AJ162" i="16"/>
  <c r="AI162" i="16" s="1"/>
  <c r="AH162" i="16"/>
  <c r="AN162" i="16" s="1"/>
  <c r="L86" i="16"/>
  <c r="J85" i="16"/>
  <c r="L83" i="11"/>
  <c r="N166" i="16"/>
  <c r="M166" i="16"/>
  <c r="AM166" i="16" s="1"/>
  <c r="AC166" i="16"/>
  <c r="P166" i="16"/>
  <c r="N188" i="40" l="1"/>
  <c r="AF189" i="40"/>
  <c r="M188" i="40"/>
  <c r="P189" i="40"/>
  <c r="N189" i="40"/>
  <c r="AI189" i="40"/>
  <c r="P188" i="40"/>
  <c r="K189" i="40"/>
  <c r="AD189" i="40" s="1"/>
  <c r="H192" i="40"/>
  <c r="AQ191" i="40"/>
  <c r="AT191" i="40" s="1"/>
  <c r="AW191" i="40" s="1"/>
  <c r="AR191" i="40"/>
  <c r="AI188" i="40"/>
  <c r="O187" i="40"/>
  <c r="Q187" i="40"/>
  <c r="R187" i="40" s="1"/>
  <c r="Y187" i="40" s="1"/>
  <c r="AS190" i="40"/>
  <c r="AV190" i="40" s="1"/>
  <c r="K190" i="40"/>
  <c r="AB190" i="40"/>
  <c r="AU190" i="40"/>
  <c r="J190" i="40"/>
  <c r="AZ190" i="40" s="1"/>
  <c r="AP190" i="40" s="1"/>
  <c r="AD86" i="27"/>
  <c r="N86" i="27"/>
  <c r="K87" i="27"/>
  <c r="P87" i="27" s="1"/>
  <c r="O85" i="27"/>
  <c r="Q85" i="27"/>
  <c r="R85" i="27" s="1"/>
  <c r="Y85" i="27" s="1"/>
  <c r="J88" i="27"/>
  <c r="AZ88" i="27" s="1"/>
  <c r="AP88" i="27" s="1"/>
  <c r="AU88" i="27"/>
  <c r="AS88" i="27"/>
  <c r="AV88" i="27" s="1"/>
  <c r="P86" i="27"/>
  <c r="H90" i="27"/>
  <c r="AR89" i="27"/>
  <c r="AB89" i="27" s="1"/>
  <c r="AQ89" i="27"/>
  <c r="AT89" i="27" s="1"/>
  <c r="AW89" i="27" s="1"/>
  <c r="E165" i="29"/>
  <c r="F165" i="29"/>
  <c r="H87" i="29"/>
  <c r="AR86" i="29"/>
  <c r="AQ86" i="29"/>
  <c r="AT86" i="29" s="1"/>
  <c r="AW86" i="29" s="1"/>
  <c r="AU85" i="29"/>
  <c r="AS85" i="29"/>
  <c r="AV85" i="29" s="1"/>
  <c r="AA85" i="29"/>
  <c r="L169" i="29"/>
  <c r="J168" i="29"/>
  <c r="M166" i="29"/>
  <c r="AO166" i="29" s="1"/>
  <c r="N166" i="29"/>
  <c r="P166" i="29"/>
  <c r="AC166" i="29"/>
  <c r="K83" i="29"/>
  <c r="Q165" i="29"/>
  <c r="R165" i="29" s="1"/>
  <c r="X165" i="29" s="1"/>
  <c r="O165" i="29"/>
  <c r="J84" i="29"/>
  <c r="L85" i="29"/>
  <c r="M82" i="29"/>
  <c r="AM82" i="29" s="1"/>
  <c r="A82" i="29" s="1"/>
  <c r="B82" i="29" s="1"/>
  <c r="C82" i="29" s="1"/>
  <c r="P82" i="29"/>
  <c r="N82" i="29"/>
  <c r="AC82" i="29"/>
  <c r="O81" i="29"/>
  <c r="Q81" i="29"/>
  <c r="R81" i="29" s="1"/>
  <c r="X81" i="29" s="1"/>
  <c r="K167" i="29"/>
  <c r="L134" i="27"/>
  <c r="H83" i="11"/>
  <c r="AR82" i="11"/>
  <c r="AQ82" i="11"/>
  <c r="AT82" i="11" s="1"/>
  <c r="AW82" i="11" s="1"/>
  <c r="T166" i="16"/>
  <c r="M167" i="16"/>
  <c r="AM167" i="16" s="1"/>
  <c r="AC167" i="16"/>
  <c r="N167" i="16"/>
  <c r="P167" i="16"/>
  <c r="Y165" i="16"/>
  <c r="AS81" i="11"/>
  <c r="AV81" i="11" s="1"/>
  <c r="AU81" i="11"/>
  <c r="J81" i="11"/>
  <c r="AP81" i="11" s="1"/>
  <c r="U164" i="16"/>
  <c r="Z164" i="16"/>
  <c r="AD163" i="16"/>
  <c r="AE163" i="16" s="1"/>
  <c r="AB163" i="16"/>
  <c r="AG163" i="16" s="1"/>
  <c r="AK163" i="16" s="1"/>
  <c r="W165" i="16"/>
  <c r="J86" i="16"/>
  <c r="L87" i="16"/>
  <c r="L84" i="11"/>
  <c r="Q166" i="16"/>
  <c r="R166" i="16" s="1"/>
  <c r="X166" i="16" s="1"/>
  <c r="O166" i="16"/>
  <c r="M84" i="16"/>
  <c r="AM84" i="16" s="1"/>
  <c r="A84" i="16" s="1"/>
  <c r="B84" i="16" s="1"/>
  <c r="C84" i="16" s="1"/>
  <c r="AC84" i="16"/>
  <c r="N84" i="16"/>
  <c r="P84" i="16"/>
  <c r="AX163" i="16"/>
  <c r="AY163" i="16"/>
  <c r="V163" i="16"/>
  <c r="N80" i="11"/>
  <c r="P80" i="11"/>
  <c r="J169" i="16"/>
  <c r="L170" i="16"/>
  <c r="AP85" i="16"/>
  <c r="K85" i="16"/>
  <c r="Q83" i="16"/>
  <c r="R83" i="16" s="1"/>
  <c r="X83" i="16" s="1"/>
  <c r="O83" i="16"/>
  <c r="AE80" i="11"/>
  <c r="AC80" i="11"/>
  <c r="Q79" i="11"/>
  <c r="R79" i="11" s="1"/>
  <c r="X79" i="11" s="1"/>
  <c r="O79" i="11"/>
  <c r="K168" i="16"/>
  <c r="AP168" i="16"/>
  <c r="Q189" i="40" l="1"/>
  <c r="R189" i="40" s="1"/>
  <c r="Y189" i="40" s="1"/>
  <c r="O189" i="40"/>
  <c r="AR192" i="40"/>
  <c r="H193" i="40"/>
  <c r="AQ192" i="40"/>
  <c r="AT192" i="40" s="1"/>
  <c r="AW192" i="40" s="1"/>
  <c r="M190" i="40"/>
  <c r="AU191" i="40"/>
  <c r="AS191" i="40"/>
  <c r="AV191" i="40" s="1"/>
  <c r="AB191" i="40"/>
  <c r="J191" i="40"/>
  <c r="AZ191" i="40" s="1"/>
  <c r="AP191" i="40" s="1"/>
  <c r="M189" i="40"/>
  <c r="P190" i="40"/>
  <c r="N190" i="40"/>
  <c r="AF190" i="40"/>
  <c r="AI190" i="40" s="1"/>
  <c r="AD190" i="40"/>
  <c r="Q188" i="40"/>
  <c r="R188" i="40" s="1"/>
  <c r="O188" i="40"/>
  <c r="K88" i="27"/>
  <c r="M88" i="27" s="1"/>
  <c r="AM88" i="27" s="1"/>
  <c r="O87" i="27"/>
  <c r="Q87" i="27"/>
  <c r="R87" i="27" s="1"/>
  <c r="Y87" i="27" s="1"/>
  <c r="AS89" i="27"/>
  <c r="AV89" i="27" s="1"/>
  <c r="J89" i="27"/>
  <c r="AZ89" i="27" s="1"/>
  <c r="AP89" i="27" s="1"/>
  <c r="AU89" i="27"/>
  <c r="N87" i="27"/>
  <c r="M87" i="27"/>
  <c r="AM87" i="27" s="1"/>
  <c r="H91" i="27"/>
  <c r="AQ90" i="27"/>
  <c r="AT90" i="27" s="1"/>
  <c r="AW90" i="27" s="1"/>
  <c r="AR90" i="27"/>
  <c r="AB90" i="27" s="1"/>
  <c r="AD87" i="27"/>
  <c r="Q86" i="27"/>
  <c r="R86" i="27" s="1"/>
  <c r="Y86" i="27" s="1"/>
  <c r="O86" i="27"/>
  <c r="E166" i="29"/>
  <c r="F166" i="29"/>
  <c r="AU86" i="29"/>
  <c r="AS86" i="29"/>
  <c r="AV86" i="29" s="1"/>
  <c r="AA86" i="29"/>
  <c r="H88" i="29"/>
  <c r="AR87" i="29"/>
  <c r="AQ87" i="29"/>
  <c r="AT87" i="29" s="1"/>
  <c r="AW87" i="29" s="1"/>
  <c r="M167" i="29"/>
  <c r="AO167" i="29" s="1"/>
  <c r="N167" i="29"/>
  <c r="P167" i="29"/>
  <c r="AC167" i="29"/>
  <c r="L86" i="29"/>
  <c r="J85" i="29"/>
  <c r="Q82" i="29"/>
  <c r="R82" i="29" s="1"/>
  <c r="X82" i="29" s="1"/>
  <c r="O82" i="29"/>
  <c r="K84" i="29"/>
  <c r="M83" i="29"/>
  <c r="AM83" i="29" s="1"/>
  <c r="A83" i="29" s="1"/>
  <c r="B83" i="29" s="1"/>
  <c r="C83" i="29" s="1"/>
  <c r="P83" i="29"/>
  <c r="N83" i="29"/>
  <c r="AC83" i="29"/>
  <c r="K168" i="29"/>
  <c r="J169" i="29"/>
  <c r="L170" i="29"/>
  <c r="Q166" i="29"/>
  <c r="R166" i="29" s="1"/>
  <c r="X166" i="29" s="1"/>
  <c r="O166" i="29"/>
  <c r="L135" i="27"/>
  <c r="M168" i="16"/>
  <c r="AM168" i="16" s="1"/>
  <c r="AC168" i="16"/>
  <c r="P168" i="16"/>
  <c r="N168" i="16"/>
  <c r="L171" i="16"/>
  <c r="J170" i="16"/>
  <c r="J87" i="16"/>
  <c r="L88" i="16"/>
  <c r="Z165" i="16"/>
  <c r="U165" i="16"/>
  <c r="AJ163" i="16"/>
  <c r="AI163" i="16" s="1"/>
  <c r="AF163" i="16"/>
  <c r="AH163" i="16"/>
  <c r="AN163" i="16" s="1"/>
  <c r="AU82" i="11"/>
  <c r="AS82" i="11"/>
  <c r="AV82" i="11" s="1"/>
  <c r="J82" i="11"/>
  <c r="AP82" i="11" s="1"/>
  <c r="K169" i="16"/>
  <c r="AP169" i="16"/>
  <c r="K86" i="16"/>
  <c r="AP86" i="16"/>
  <c r="AH80" i="11"/>
  <c r="AB164" i="16"/>
  <c r="AG164" i="16" s="1"/>
  <c r="AK164" i="16" s="1"/>
  <c r="AD164" i="16"/>
  <c r="AE164" i="16" s="1"/>
  <c r="O167" i="16"/>
  <c r="Q167" i="16"/>
  <c r="R167" i="16" s="1"/>
  <c r="X167" i="16" s="1"/>
  <c r="AR83" i="11"/>
  <c r="AQ83" i="11"/>
  <c r="AT83" i="11" s="1"/>
  <c r="AW83" i="11" s="1"/>
  <c r="H84" i="11"/>
  <c r="M85" i="16"/>
  <c r="AM85" i="16" s="1"/>
  <c r="A85" i="16" s="1"/>
  <c r="B85" i="16" s="1"/>
  <c r="C85" i="16" s="1"/>
  <c r="N85" i="16"/>
  <c r="P85" i="16"/>
  <c r="AC85" i="16"/>
  <c r="O80" i="11"/>
  <c r="Q80" i="11"/>
  <c r="R80" i="11" s="1"/>
  <c r="X80" i="11" s="1"/>
  <c r="AY164" i="16"/>
  <c r="AX164" i="16"/>
  <c r="V164" i="16"/>
  <c r="AE81" i="11"/>
  <c r="AC81" i="11"/>
  <c r="T167" i="16"/>
  <c r="L85" i="11"/>
  <c r="Y166" i="16"/>
  <c r="Q84" i="16"/>
  <c r="R84" i="16" s="1"/>
  <c r="X84" i="16" s="1"/>
  <c r="O84" i="16"/>
  <c r="P81" i="11"/>
  <c r="N81" i="11"/>
  <c r="W166" i="16"/>
  <c r="H195" i="40" l="1"/>
  <c r="AR193" i="40"/>
  <c r="AQ193" i="40"/>
  <c r="AT193" i="40" s="1"/>
  <c r="AW193" i="40" s="1"/>
  <c r="Y188" i="40"/>
  <c r="AU192" i="40"/>
  <c r="AB192" i="40"/>
  <c r="AS192" i="40"/>
  <c r="AV192" i="40" s="1"/>
  <c r="J192" i="40"/>
  <c r="AZ192" i="40" s="1"/>
  <c r="AP192" i="40" s="1"/>
  <c r="AF191" i="40"/>
  <c r="O190" i="40"/>
  <c r="Q190" i="40"/>
  <c r="R190" i="40" s="1"/>
  <c r="Y190" i="40" s="1"/>
  <c r="K191" i="40"/>
  <c r="AD191" i="40" s="1"/>
  <c r="AD88" i="27"/>
  <c r="N88" i="27"/>
  <c r="P88" i="27"/>
  <c r="Q88" i="27"/>
  <c r="R88" i="27" s="1"/>
  <c r="Y88" i="27" s="1"/>
  <c r="O88" i="27"/>
  <c r="AU90" i="27"/>
  <c r="J90" i="27"/>
  <c r="AZ90" i="27" s="1"/>
  <c r="AP90" i="27" s="1"/>
  <c r="AS90" i="27"/>
  <c r="AV90" i="27" s="1"/>
  <c r="K89" i="27"/>
  <c r="M89" i="27" s="1"/>
  <c r="AM89" i="27" s="1"/>
  <c r="AD89" i="27"/>
  <c r="H92" i="27"/>
  <c r="AQ91" i="27"/>
  <c r="AT91" i="27" s="1"/>
  <c r="AW91" i="27" s="1"/>
  <c r="AR91" i="27"/>
  <c r="AB91" i="27" s="1"/>
  <c r="F167" i="29"/>
  <c r="E167" i="29"/>
  <c r="AU87" i="29"/>
  <c r="AS87" i="29"/>
  <c r="AV87" i="29" s="1"/>
  <c r="AA87" i="29"/>
  <c r="AQ88" i="29"/>
  <c r="AT88" i="29" s="1"/>
  <c r="AW88" i="29" s="1"/>
  <c r="H89" i="29"/>
  <c r="AR88" i="29"/>
  <c r="L171" i="29"/>
  <c r="J170" i="29"/>
  <c r="K169" i="29"/>
  <c r="M84" i="29"/>
  <c r="AM84" i="29" s="1"/>
  <c r="A84" i="29" s="1"/>
  <c r="B84" i="29" s="1"/>
  <c r="C84" i="29" s="1"/>
  <c r="AC84" i="29"/>
  <c r="P84" i="29"/>
  <c r="N84" i="29"/>
  <c r="Q167" i="29"/>
  <c r="R167" i="29" s="1"/>
  <c r="X167" i="29" s="1"/>
  <c r="O167" i="29"/>
  <c r="Q83" i="29"/>
  <c r="R83" i="29" s="1"/>
  <c r="X83" i="29" s="1"/>
  <c r="O83" i="29"/>
  <c r="K85" i="29"/>
  <c r="M168" i="29"/>
  <c r="AO168" i="29" s="1"/>
  <c r="P168" i="29"/>
  <c r="N168" i="29"/>
  <c r="AC168" i="29"/>
  <c r="J86" i="29"/>
  <c r="L87" i="29"/>
  <c r="L136" i="27"/>
  <c r="K87" i="16"/>
  <c r="AP87" i="16"/>
  <c r="L172" i="16"/>
  <c r="J171" i="16"/>
  <c r="AJ164" i="16"/>
  <c r="AI164" i="16" s="1"/>
  <c r="AF164" i="16"/>
  <c r="AH164" i="16"/>
  <c r="AN164" i="16" s="1"/>
  <c r="M169" i="16"/>
  <c r="AM169" i="16" s="1"/>
  <c r="P169" i="16"/>
  <c r="N169" i="16"/>
  <c r="AC169" i="16"/>
  <c r="AE82" i="11"/>
  <c r="AH82" i="11" s="1"/>
  <c r="AC82" i="11"/>
  <c r="O85" i="16"/>
  <c r="Q85" i="16"/>
  <c r="R85" i="16" s="1"/>
  <c r="X85" i="16" s="1"/>
  <c r="AS83" i="11"/>
  <c r="AV83" i="11" s="1"/>
  <c r="AU83" i="11"/>
  <c r="J83" i="11"/>
  <c r="AP83" i="11" s="1"/>
  <c r="AY165" i="16"/>
  <c r="AX165" i="16"/>
  <c r="V165" i="16"/>
  <c r="H85" i="11"/>
  <c r="AR84" i="11"/>
  <c r="AQ84" i="11"/>
  <c r="AT84" i="11" s="1"/>
  <c r="AW84" i="11" s="1"/>
  <c r="Q81" i="11"/>
  <c r="R81" i="11" s="1"/>
  <c r="X81" i="11" s="1"/>
  <c r="O81" i="11"/>
  <c r="L86" i="11"/>
  <c r="AB165" i="16"/>
  <c r="AG165" i="16" s="1"/>
  <c r="AK165" i="16" s="1"/>
  <c r="AD165" i="16"/>
  <c r="AE165" i="16" s="1"/>
  <c r="Y167" i="16"/>
  <c r="AH81" i="11"/>
  <c r="M86" i="16"/>
  <c r="AM86" i="16" s="1"/>
  <c r="A86" i="16" s="1"/>
  <c r="B86" i="16" s="1"/>
  <c r="C86" i="16" s="1"/>
  <c r="AC86" i="16"/>
  <c r="P86" i="16"/>
  <c r="N86" i="16"/>
  <c r="T168" i="16"/>
  <c r="Z166" i="16"/>
  <c r="U166" i="16"/>
  <c r="W167" i="16"/>
  <c r="N82" i="11"/>
  <c r="P82" i="11"/>
  <c r="L89" i="16"/>
  <c r="J88" i="16"/>
  <c r="AP170" i="16"/>
  <c r="K170" i="16"/>
  <c r="Q168" i="16"/>
  <c r="R168" i="16" s="1"/>
  <c r="X168" i="16" s="1"/>
  <c r="O168" i="16"/>
  <c r="P191" i="40" l="1"/>
  <c r="N191" i="40"/>
  <c r="AF192" i="40"/>
  <c r="AI192" i="40" s="1"/>
  <c r="J193" i="40"/>
  <c r="AZ193" i="40" s="1"/>
  <c r="AP193" i="40" s="1"/>
  <c r="AB193" i="40"/>
  <c r="AU193" i="40"/>
  <c r="AS193" i="40"/>
  <c r="AV193" i="40" s="1"/>
  <c r="AR195" i="40"/>
  <c r="AQ195" i="40"/>
  <c r="AT195" i="40" s="1"/>
  <c r="AW195" i="40" s="1"/>
  <c r="AI191" i="40"/>
  <c r="K192" i="40"/>
  <c r="AD192" i="40" s="1"/>
  <c r="M191" i="40"/>
  <c r="K90" i="27"/>
  <c r="M90" i="27" s="1"/>
  <c r="AM90" i="27" s="1"/>
  <c r="P89" i="27"/>
  <c r="O89" i="27" s="1"/>
  <c r="N89" i="27"/>
  <c r="J91" i="27"/>
  <c r="AZ91" i="27" s="1"/>
  <c r="AP91" i="27" s="1"/>
  <c r="AS91" i="27"/>
  <c r="AV91" i="27" s="1"/>
  <c r="AU91" i="27"/>
  <c r="H93" i="27"/>
  <c r="AR92" i="27"/>
  <c r="AB92" i="27" s="1"/>
  <c r="AQ92" i="27"/>
  <c r="AT92" i="27" s="1"/>
  <c r="AW92" i="27" s="1"/>
  <c r="E168" i="29"/>
  <c r="F168" i="29"/>
  <c r="AU88" i="29"/>
  <c r="AA88" i="29"/>
  <c r="AS88" i="29"/>
  <c r="AV88" i="29" s="1"/>
  <c r="AQ89" i="29"/>
  <c r="AT89" i="29" s="1"/>
  <c r="AW89" i="29" s="1"/>
  <c r="H90" i="29"/>
  <c r="AR89" i="29"/>
  <c r="M169" i="29"/>
  <c r="AO169" i="29" s="1"/>
  <c r="AC169" i="29"/>
  <c r="P169" i="29"/>
  <c r="N169" i="29"/>
  <c r="J87" i="29"/>
  <c r="L88" i="29"/>
  <c r="O168" i="29"/>
  <c r="Q168" i="29"/>
  <c r="R168" i="29" s="1"/>
  <c r="X168" i="29" s="1"/>
  <c r="K170" i="29"/>
  <c r="K86" i="29"/>
  <c r="L172" i="29"/>
  <c r="J171" i="29"/>
  <c r="Q84" i="29"/>
  <c r="R84" i="29" s="1"/>
  <c r="X84" i="29" s="1"/>
  <c r="O84" i="29"/>
  <c r="M85" i="29"/>
  <c r="AM85" i="29" s="1"/>
  <c r="A85" i="29" s="1"/>
  <c r="B85" i="29" s="1"/>
  <c r="C85" i="29" s="1"/>
  <c r="P85" i="29"/>
  <c r="N85" i="29"/>
  <c r="AC85" i="29"/>
  <c r="L137" i="27"/>
  <c r="M170" i="16"/>
  <c r="AM170" i="16" s="1"/>
  <c r="P170" i="16"/>
  <c r="AC170" i="16"/>
  <c r="N170" i="16"/>
  <c r="AR85" i="11"/>
  <c r="AQ85" i="11"/>
  <c r="AT85" i="11" s="1"/>
  <c r="AW85" i="11" s="1"/>
  <c r="H86" i="11"/>
  <c r="T169" i="16"/>
  <c r="AX166" i="16"/>
  <c r="AY166" i="16"/>
  <c r="V166" i="16"/>
  <c r="AF165" i="16"/>
  <c r="AJ165" i="16"/>
  <c r="AI165" i="16" s="1"/>
  <c r="AH165" i="16"/>
  <c r="AN165" i="16" s="1"/>
  <c r="L87" i="11"/>
  <c r="Q169" i="16"/>
  <c r="R169" i="16" s="1"/>
  <c r="X169" i="16" s="1"/>
  <c r="O169" i="16"/>
  <c r="P83" i="11"/>
  <c r="N83" i="11"/>
  <c r="AD166" i="16"/>
  <c r="AE166" i="16" s="1"/>
  <c r="AB166" i="16"/>
  <c r="AG166" i="16" s="1"/>
  <c r="AK166" i="16" s="1"/>
  <c r="M87" i="16"/>
  <c r="AM87" i="16" s="1"/>
  <c r="A87" i="16" s="1"/>
  <c r="B87" i="16" s="1"/>
  <c r="C87" i="16" s="1"/>
  <c r="N87" i="16"/>
  <c r="AC87" i="16"/>
  <c r="P87" i="16"/>
  <c r="L90" i="16"/>
  <c r="J89" i="16"/>
  <c r="Y168" i="16"/>
  <c r="Q86" i="16"/>
  <c r="R86" i="16" s="1"/>
  <c r="X86" i="16" s="1"/>
  <c r="O86" i="16"/>
  <c r="J172" i="16"/>
  <c r="L173" i="16"/>
  <c r="AP88" i="16"/>
  <c r="K88" i="16"/>
  <c r="U167" i="16"/>
  <c r="Z167" i="16"/>
  <c r="W168" i="16"/>
  <c r="AE83" i="11"/>
  <c r="AC83" i="11"/>
  <c r="O82" i="11"/>
  <c r="Q82" i="11"/>
  <c r="R82" i="11" s="1"/>
  <c r="X82" i="11" s="1"/>
  <c r="AU84" i="11"/>
  <c r="AS84" i="11"/>
  <c r="AV84" i="11" s="1"/>
  <c r="J84" i="11"/>
  <c r="AP84" i="11" s="1"/>
  <c r="K171" i="16"/>
  <c r="AP171" i="16"/>
  <c r="P192" i="40" l="1"/>
  <c r="N192" i="40"/>
  <c r="AF193" i="40"/>
  <c r="AI193" i="40" s="1"/>
  <c r="AB195" i="40"/>
  <c r="J195" i="40"/>
  <c r="AZ195" i="40" s="1"/>
  <c r="AP195" i="40" s="1"/>
  <c r="AU195" i="40"/>
  <c r="AS195" i="40"/>
  <c r="AV195" i="40" s="1"/>
  <c r="Q191" i="40"/>
  <c r="R191" i="40" s="1"/>
  <c r="Y191" i="40" s="1"/>
  <c r="O191" i="40"/>
  <c r="O192" i="40"/>
  <c r="Q192" i="40"/>
  <c r="R192" i="40" s="1"/>
  <c r="Y192" i="40" s="1"/>
  <c r="M192" i="40"/>
  <c r="K193" i="40"/>
  <c r="N193" i="40" s="1"/>
  <c r="N90" i="27"/>
  <c r="AD90" i="27"/>
  <c r="Q89" i="27"/>
  <c r="R89" i="27" s="1"/>
  <c r="Y89" i="27" s="1"/>
  <c r="P90" i="27"/>
  <c r="Q90" i="27" s="1"/>
  <c r="R90" i="27" s="1"/>
  <c r="Y90" i="27" s="1"/>
  <c r="AU92" i="27"/>
  <c r="J92" i="27"/>
  <c r="AZ92" i="27" s="1"/>
  <c r="AP92" i="27" s="1"/>
  <c r="AS92" i="27"/>
  <c r="AV92" i="27" s="1"/>
  <c r="H94" i="27"/>
  <c r="AQ93" i="27"/>
  <c r="AT93" i="27" s="1"/>
  <c r="AW93" i="27" s="1"/>
  <c r="AR93" i="27"/>
  <c r="AB93" i="27" s="1"/>
  <c r="K91" i="27"/>
  <c r="M91" i="27" s="1"/>
  <c r="AM91" i="27" s="1"/>
  <c r="E169" i="29"/>
  <c r="F169" i="29"/>
  <c r="AU89" i="29"/>
  <c r="AA89" i="29"/>
  <c r="AS89" i="29"/>
  <c r="AV89" i="29" s="1"/>
  <c r="AQ90" i="29"/>
  <c r="AT90" i="29" s="1"/>
  <c r="AW90" i="29" s="1"/>
  <c r="H91" i="29"/>
  <c r="AR90" i="29"/>
  <c r="M86" i="29"/>
  <c r="AM86" i="29" s="1"/>
  <c r="A86" i="29" s="1"/>
  <c r="B86" i="29" s="1"/>
  <c r="C86" i="29" s="1"/>
  <c r="AC86" i="29"/>
  <c r="P86" i="29"/>
  <c r="N86" i="29"/>
  <c r="O169" i="29"/>
  <c r="Q169" i="29"/>
  <c r="R169" i="29" s="1"/>
  <c r="X169" i="29" s="1"/>
  <c r="L173" i="29"/>
  <c r="J172" i="29"/>
  <c r="J88" i="29"/>
  <c r="L89" i="29"/>
  <c r="Q85" i="29"/>
  <c r="R85" i="29" s="1"/>
  <c r="X85" i="29" s="1"/>
  <c r="O85" i="29"/>
  <c r="M170" i="29"/>
  <c r="AO170" i="29" s="1"/>
  <c r="P170" i="29"/>
  <c r="N170" i="29"/>
  <c r="AC170" i="29"/>
  <c r="K87" i="29"/>
  <c r="K171" i="29"/>
  <c r="L138" i="27"/>
  <c r="O170" i="16"/>
  <c r="Q170" i="16"/>
  <c r="R170" i="16" s="1"/>
  <c r="X170" i="16" s="1"/>
  <c r="N84" i="11"/>
  <c r="P84" i="11"/>
  <c r="AB167" i="16"/>
  <c r="AG167" i="16" s="1"/>
  <c r="AK167" i="16" s="1"/>
  <c r="AD167" i="16"/>
  <c r="AE167" i="16" s="1"/>
  <c r="AH83" i="11"/>
  <c r="J90" i="16"/>
  <c r="L91" i="16"/>
  <c r="AJ166" i="16"/>
  <c r="AI166" i="16" s="1"/>
  <c r="AF166" i="16"/>
  <c r="AH166" i="16"/>
  <c r="AN166" i="16" s="1"/>
  <c r="H87" i="11"/>
  <c r="AR86" i="11"/>
  <c r="AQ86" i="11"/>
  <c r="AT86" i="11" s="1"/>
  <c r="AW86" i="11" s="1"/>
  <c r="AE84" i="11"/>
  <c r="AC84" i="11"/>
  <c r="V167" i="16"/>
  <c r="AX167" i="16"/>
  <c r="AY167" i="16"/>
  <c r="Q83" i="11"/>
  <c r="R83" i="11" s="1"/>
  <c r="X83" i="11" s="1"/>
  <c r="O83" i="11"/>
  <c r="K172" i="16"/>
  <c r="AP172" i="16"/>
  <c r="K89" i="16"/>
  <c r="AP89" i="16"/>
  <c r="Y169" i="16"/>
  <c r="AS85" i="11"/>
  <c r="AV85" i="11" s="1"/>
  <c r="AU85" i="11"/>
  <c r="J85" i="11"/>
  <c r="AP85" i="11" s="1"/>
  <c r="AH84" i="11"/>
  <c r="M171" i="16"/>
  <c r="AM171" i="16" s="1"/>
  <c r="N171" i="16"/>
  <c r="P171" i="16"/>
  <c r="AC171" i="16"/>
  <c r="Z168" i="16"/>
  <c r="U168" i="16"/>
  <c r="M88" i="16"/>
  <c r="AM88" i="16" s="1"/>
  <c r="A88" i="16" s="1"/>
  <c r="B88" i="16" s="1"/>
  <c r="C88" i="16" s="1"/>
  <c r="P88" i="16"/>
  <c r="N88" i="16"/>
  <c r="AC88" i="16"/>
  <c r="Q87" i="16"/>
  <c r="R87" i="16" s="1"/>
  <c r="X87" i="16" s="1"/>
  <c r="O87" i="16"/>
  <c r="L88" i="11"/>
  <c r="W169" i="16"/>
  <c r="T170" i="16"/>
  <c r="L174" i="16"/>
  <c r="J173" i="16"/>
  <c r="O90" i="27" l="1"/>
  <c r="M193" i="40"/>
  <c r="AD193" i="40"/>
  <c r="P193" i="40"/>
  <c r="B309" i="40"/>
  <c r="N195" i="40"/>
  <c r="K195" i="40"/>
  <c r="AD195" i="40" s="1"/>
  <c r="AF195" i="40"/>
  <c r="K92" i="27"/>
  <c r="M92" i="27" s="1"/>
  <c r="AM92" i="27" s="1"/>
  <c r="N91" i="27"/>
  <c r="H95" i="27"/>
  <c r="AQ94" i="27"/>
  <c r="AT94" i="27" s="1"/>
  <c r="AW94" i="27" s="1"/>
  <c r="AR94" i="27"/>
  <c r="AB94" i="27" s="1"/>
  <c r="AD91" i="27"/>
  <c r="AS93" i="27"/>
  <c r="AV93" i="27" s="1"/>
  <c r="AU93" i="27"/>
  <c r="J93" i="27"/>
  <c r="AZ93" i="27" s="1"/>
  <c r="AP93" i="27" s="1"/>
  <c r="P91" i="27"/>
  <c r="F170" i="29"/>
  <c r="E170" i="29"/>
  <c r="AU90" i="29"/>
  <c r="AA90" i="29"/>
  <c r="AS90" i="29"/>
  <c r="AV90" i="29" s="1"/>
  <c r="AQ91" i="29"/>
  <c r="H92" i="29"/>
  <c r="AR91" i="29"/>
  <c r="K88" i="29"/>
  <c r="L174" i="29"/>
  <c r="J173" i="29"/>
  <c r="J89" i="29"/>
  <c r="L90" i="29"/>
  <c r="Q86" i="29"/>
  <c r="R86" i="29" s="1"/>
  <c r="X86" i="29" s="1"/>
  <c r="O86" i="29"/>
  <c r="K172" i="29"/>
  <c r="M171" i="29"/>
  <c r="AO171" i="29" s="1"/>
  <c r="AC171" i="29"/>
  <c r="P171" i="29"/>
  <c r="N171" i="29"/>
  <c r="AC87" i="29"/>
  <c r="M87" i="29"/>
  <c r="AM87" i="29" s="1"/>
  <c r="A87" i="29" s="1"/>
  <c r="B87" i="29" s="1"/>
  <c r="C87" i="29" s="1"/>
  <c r="N87" i="29"/>
  <c r="P87" i="29"/>
  <c r="Q170" i="29"/>
  <c r="R170" i="29" s="1"/>
  <c r="X170" i="29" s="1"/>
  <c r="O170" i="29"/>
  <c r="W170" i="16"/>
  <c r="L139" i="27"/>
  <c r="K90" i="16"/>
  <c r="AP90" i="16"/>
  <c r="AE85" i="11"/>
  <c r="AH85" i="11" s="1"/>
  <c r="AC85" i="11"/>
  <c r="P85" i="11"/>
  <c r="N85" i="11"/>
  <c r="M89" i="16"/>
  <c r="AM89" i="16" s="1"/>
  <c r="A89" i="16" s="1"/>
  <c r="B89" i="16" s="1"/>
  <c r="C89" i="16" s="1"/>
  <c r="AC89" i="16"/>
  <c r="P89" i="16"/>
  <c r="N89" i="16"/>
  <c r="AD168" i="16"/>
  <c r="AE168" i="16" s="1"/>
  <c r="AB168" i="16"/>
  <c r="AG168" i="16" s="1"/>
  <c r="AK168" i="16" s="1"/>
  <c r="Q171" i="16"/>
  <c r="R171" i="16" s="1"/>
  <c r="X171" i="16" s="1"/>
  <c r="O171" i="16"/>
  <c r="U170" i="16"/>
  <c r="V170" i="16" s="1"/>
  <c r="Z170" i="16"/>
  <c r="J174" i="16"/>
  <c r="L175" i="16"/>
  <c r="Y170" i="16"/>
  <c r="AX170" i="16"/>
  <c r="Z169" i="16"/>
  <c r="U169" i="16"/>
  <c r="O88" i="16"/>
  <c r="Q88" i="16"/>
  <c r="R88" i="16" s="1"/>
  <c r="X88" i="16" s="1"/>
  <c r="T171" i="16"/>
  <c r="W171" i="16" s="1"/>
  <c r="AU86" i="11"/>
  <c r="AS86" i="11"/>
  <c r="AV86" i="11" s="1"/>
  <c r="J86" i="11"/>
  <c r="AP86" i="11" s="1"/>
  <c r="AF167" i="16"/>
  <c r="AJ167" i="16"/>
  <c r="AI167" i="16" s="1"/>
  <c r="AH167" i="16"/>
  <c r="AN167" i="16" s="1"/>
  <c r="O84" i="11"/>
  <c r="Q84" i="11"/>
  <c r="R84" i="11" s="1"/>
  <c r="X84" i="11" s="1"/>
  <c r="L89" i="11"/>
  <c r="N172" i="16"/>
  <c r="M172" i="16"/>
  <c r="AM172" i="16" s="1"/>
  <c r="AC172" i="16"/>
  <c r="P172" i="16"/>
  <c r="AP173" i="16"/>
  <c r="K173" i="16"/>
  <c r="AY168" i="16"/>
  <c r="AX168" i="16"/>
  <c r="V168" i="16"/>
  <c r="AR87" i="11"/>
  <c r="AQ87" i="11"/>
  <c r="AT87" i="11" s="1"/>
  <c r="AW87" i="11" s="1"/>
  <c r="H88" i="11"/>
  <c r="L92" i="16"/>
  <c r="J91" i="16"/>
  <c r="AD92" i="27" l="1"/>
  <c r="P195" i="40"/>
  <c r="O195" i="40" s="1"/>
  <c r="Q195" i="40"/>
  <c r="R195" i="40" s="1"/>
  <c r="M195" i="40"/>
  <c r="Q193" i="40"/>
  <c r="R193" i="40" s="1"/>
  <c r="O193" i="40"/>
  <c r="AI195" i="40"/>
  <c r="AN195" i="40" s="1"/>
  <c r="P92" i="27"/>
  <c r="Q92" i="27" s="1"/>
  <c r="R92" i="27" s="1"/>
  <c r="Y92" i="27" s="1"/>
  <c r="N92" i="27"/>
  <c r="O92" i="27"/>
  <c r="K93" i="27"/>
  <c r="M93" i="27" s="1"/>
  <c r="AM93" i="27" s="1"/>
  <c r="AS94" i="27"/>
  <c r="AV94" i="27" s="1"/>
  <c r="AU94" i="27"/>
  <c r="J94" i="27"/>
  <c r="AZ94" i="27" s="1"/>
  <c r="AP94" i="27" s="1"/>
  <c r="H96" i="27"/>
  <c r="AR95" i="27"/>
  <c r="AB95" i="27" s="1"/>
  <c r="AQ95" i="27"/>
  <c r="AT95" i="27" s="1"/>
  <c r="AW95" i="27" s="1"/>
  <c r="O91" i="27"/>
  <c r="Q91" i="27"/>
  <c r="R91" i="27" s="1"/>
  <c r="Y91" i="27" s="1"/>
  <c r="E171" i="29"/>
  <c r="F171" i="29"/>
  <c r="AU91" i="29"/>
  <c r="AA91" i="29"/>
  <c r="H93" i="29"/>
  <c r="AR92" i="29"/>
  <c r="AQ92" i="29"/>
  <c r="AT92" i="29" s="1"/>
  <c r="AW92" i="29" s="1"/>
  <c r="AS91" i="29"/>
  <c r="AV91" i="29" s="1"/>
  <c r="AT91" i="29"/>
  <c r="AW91" i="29" s="1"/>
  <c r="M172" i="29"/>
  <c r="AO172" i="29" s="1"/>
  <c r="P172" i="29"/>
  <c r="N172" i="29"/>
  <c r="AC172" i="29"/>
  <c r="K173" i="29"/>
  <c r="Q87" i="29"/>
  <c r="R87" i="29" s="1"/>
  <c r="X87" i="29" s="1"/>
  <c r="O87" i="29"/>
  <c r="Q171" i="29"/>
  <c r="R171" i="29" s="1"/>
  <c r="X171" i="29" s="1"/>
  <c r="O171" i="29"/>
  <c r="L91" i="29"/>
  <c r="J90" i="29"/>
  <c r="J174" i="29"/>
  <c r="L175" i="29"/>
  <c r="K89" i="29"/>
  <c r="AC88" i="29"/>
  <c r="M88" i="29"/>
  <c r="AM88" i="29" s="1"/>
  <c r="A88" i="29" s="1"/>
  <c r="B88" i="29" s="1"/>
  <c r="C88" i="29" s="1"/>
  <c r="N88" i="29"/>
  <c r="P88" i="29"/>
  <c r="L140" i="27"/>
  <c r="M173" i="16"/>
  <c r="AM173" i="16" s="1"/>
  <c r="P173" i="16"/>
  <c r="AC173" i="16"/>
  <c r="N173" i="16"/>
  <c r="T172" i="16"/>
  <c r="J175" i="16"/>
  <c r="L176" i="16"/>
  <c r="N86" i="11"/>
  <c r="P86" i="11"/>
  <c r="AY170" i="16"/>
  <c r="K174" i="16"/>
  <c r="AP174" i="16"/>
  <c r="H89" i="11"/>
  <c r="AR88" i="11"/>
  <c r="AQ88" i="11"/>
  <c r="AT88" i="11" s="1"/>
  <c r="AW88" i="11" s="1"/>
  <c r="J92" i="16"/>
  <c r="L93" i="16"/>
  <c r="L90" i="11"/>
  <c r="AE86" i="11"/>
  <c r="AC86" i="11"/>
  <c r="AF168" i="16"/>
  <c r="AJ168" i="16"/>
  <c r="AI168" i="16" s="1"/>
  <c r="AH168" i="16"/>
  <c r="AN168" i="16" s="1"/>
  <c r="AP91" i="16"/>
  <c r="K91" i="16"/>
  <c r="AS87" i="11"/>
  <c r="AV87" i="11" s="1"/>
  <c r="AU87" i="11"/>
  <c r="J87" i="11"/>
  <c r="AP87" i="11" s="1"/>
  <c r="Q172" i="16"/>
  <c r="R172" i="16" s="1"/>
  <c r="X172" i="16" s="1"/>
  <c r="O172" i="16"/>
  <c r="Y171" i="16"/>
  <c r="V169" i="16"/>
  <c r="AY169" i="16"/>
  <c r="AX169" i="16"/>
  <c r="N90" i="16"/>
  <c r="M90" i="16"/>
  <c r="AM90" i="16" s="1"/>
  <c r="A90" i="16" s="1"/>
  <c r="B90" i="16" s="1"/>
  <c r="C90" i="16" s="1"/>
  <c r="P90" i="16"/>
  <c r="AC90" i="16"/>
  <c r="Q85" i="11"/>
  <c r="R85" i="11" s="1"/>
  <c r="X85" i="11" s="1"/>
  <c r="O85" i="11"/>
  <c r="Z171" i="16"/>
  <c r="U171" i="16"/>
  <c r="AY171" i="16" s="1"/>
  <c r="AD169" i="16"/>
  <c r="AE169" i="16" s="1"/>
  <c r="AB169" i="16"/>
  <c r="AG169" i="16" s="1"/>
  <c r="AK169" i="16" s="1"/>
  <c r="AB170" i="16"/>
  <c r="AG170" i="16" s="1"/>
  <c r="AK170" i="16" s="1"/>
  <c r="AD170" i="16"/>
  <c r="AE170" i="16" s="1"/>
  <c r="Q89" i="16"/>
  <c r="R89" i="16" s="1"/>
  <c r="X89" i="16" s="1"/>
  <c r="O89" i="16"/>
  <c r="B310" i="40" l="1"/>
  <c r="Y195" i="40"/>
  <c r="Y193" i="40"/>
  <c r="J95" i="27"/>
  <c r="AZ95" i="27" s="1"/>
  <c r="AP95" i="27" s="1"/>
  <c r="AU95" i="27"/>
  <c r="AS95" i="27"/>
  <c r="AV95" i="27" s="1"/>
  <c r="H97" i="27"/>
  <c r="AR96" i="27"/>
  <c r="AB96" i="27" s="1"/>
  <c r="AQ96" i="27"/>
  <c r="AT96" i="27" s="1"/>
  <c r="AW96" i="27" s="1"/>
  <c r="AD93" i="27"/>
  <c r="P93" i="27"/>
  <c r="N93" i="27"/>
  <c r="K94" i="27"/>
  <c r="M94" i="27" s="1"/>
  <c r="AM94" i="27" s="1"/>
  <c r="E172" i="29"/>
  <c r="F172" i="29"/>
  <c r="AU92" i="29"/>
  <c r="AS92" i="29"/>
  <c r="AV92" i="29" s="1"/>
  <c r="AA92" i="29"/>
  <c r="H94" i="29"/>
  <c r="AR93" i="29"/>
  <c r="AQ93" i="29"/>
  <c r="AT93" i="29" s="1"/>
  <c r="AW93" i="29" s="1"/>
  <c r="K174" i="29"/>
  <c r="K90" i="29"/>
  <c r="Q88" i="29"/>
  <c r="R88" i="29" s="1"/>
  <c r="X88" i="29" s="1"/>
  <c r="O88" i="29"/>
  <c r="J91" i="29"/>
  <c r="L92" i="29"/>
  <c r="O172" i="29"/>
  <c r="Q172" i="29"/>
  <c r="R172" i="29" s="1"/>
  <c r="X172" i="29" s="1"/>
  <c r="J175" i="29"/>
  <c r="L176" i="29"/>
  <c r="M89" i="29"/>
  <c r="AM89" i="29" s="1"/>
  <c r="A89" i="29" s="1"/>
  <c r="B89" i="29" s="1"/>
  <c r="C89" i="29" s="1"/>
  <c r="AC89" i="29"/>
  <c r="N89" i="29"/>
  <c r="P89" i="29"/>
  <c r="M173" i="29"/>
  <c r="AO173" i="29" s="1"/>
  <c r="AC173" i="29"/>
  <c r="N173" i="29"/>
  <c r="P173" i="29"/>
  <c r="L141" i="27"/>
  <c r="AD171" i="16"/>
  <c r="AE171" i="16" s="1"/>
  <c r="AB171" i="16"/>
  <c r="AG171" i="16" s="1"/>
  <c r="AK171" i="16" s="1"/>
  <c r="Q90" i="16"/>
  <c r="R90" i="16" s="1"/>
  <c r="X90" i="16" s="1"/>
  <c r="O90" i="16"/>
  <c r="P87" i="11"/>
  <c r="N87" i="11"/>
  <c r="W172" i="16"/>
  <c r="V171" i="16"/>
  <c r="M174" i="16"/>
  <c r="AM174" i="16" s="1"/>
  <c r="AC174" i="16"/>
  <c r="N174" i="16"/>
  <c r="P174" i="16"/>
  <c r="T173" i="16"/>
  <c r="AX171" i="16"/>
  <c r="AU88" i="11"/>
  <c r="AS88" i="11"/>
  <c r="AV88" i="11" s="1"/>
  <c r="J88" i="11"/>
  <c r="AP88" i="11" s="1"/>
  <c r="O86" i="11"/>
  <c r="Q86" i="11"/>
  <c r="R86" i="11" s="1"/>
  <c r="X86" i="11" s="1"/>
  <c r="L177" i="16"/>
  <c r="J176" i="16"/>
  <c r="AF170" i="16"/>
  <c r="AJ170" i="16"/>
  <c r="AI170" i="16" s="1"/>
  <c r="AH170" i="16"/>
  <c r="AN170" i="16" s="1"/>
  <c r="AJ169" i="16"/>
  <c r="AI169" i="16" s="1"/>
  <c r="AF169" i="16"/>
  <c r="AH169" i="16"/>
  <c r="AN169" i="16" s="1"/>
  <c r="J93" i="16"/>
  <c r="L94" i="16"/>
  <c r="AR89" i="11"/>
  <c r="AQ89" i="11"/>
  <c r="AT89" i="11" s="1"/>
  <c r="AW89" i="11" s="1"/>
  <c r="H90" i="11"/>
  <c r="K175" i="16"/>
  <c r="AP175" i="16"/>
  <c r="O173" i="16"/>
  <c r="Q173" i="16"/>
  <c r="R173" i="16" s="1"/>
  <c r="X173" i="16" s="1"/>
  <c r="L91" i="11"/>
  <c r="Y172" i="16"/>
  <c r="AE87" i="11"/>
  <c r="AC87" i="11"/>
  <c r="M91" i="16"/>
  <c r="AM91" i="16" s="1"/>
  <c r="A91" i="16" s="1"/>
  <c r="B91" i="16" s="1"/>
  <c r="C91" i="16" s="1"/>
  <c r="N91" i="16"/>
  <c r="P91" i="16"/>
  <c r="AC91" i="16"/>
  <c r="K92" i="16"/>
  <c r="AP92" i="16"/>
  <c r="AH86" i="11"/>
  <c r="K95" i="27" l="1"/>
  <c r="M95" i="27" s="1"/>
  <c r="AM95" i="27" s="1"/>
  <c r="N94" i="27"/>
  <c r="Q93" i="27"/>
  <c r="R93" i="27" s="1"/>
  <c r="Y93" i="27" s="1"/>
  <c r="O93" i="27"/>
  <c r="AD94" i="27"/>
  <c r="H98" i="27"/>
  <c r="AR97" i="27"/>
  <c r="AB97" i="27" s="1"/>
  <c r="AQ97" i="27"/>
  <c r="AT97" i="27" s="1"/>
  <c r="AW97" i="27" s="1"/>
  <c r="P94" i="27"/>
  <c r="J96" i="27"/>
  <c r="AZ96" i="27" s="1"/>
  <c r="AP96" i="27" s="1"/>
  <c r="AU96" i="27"/>
  <c r="AS96" i="27"/>
  <c r="AV96" i="27" s="1"/>
  <c r="AD95" i="27"/>
  <c r="F173" i="29"/>
  <c r="E173" i="29"/>
  <c r="AU93" i="29"/>
  <c r="AS93" i="29"/>
  <c r="AV93" i="29" s="1"/>
  <c r="AA93" i="29"/>
  <c r="H95" i="29"/>
  <c r="AQ94" i="29"/>
  <c r="AT94" i="29" s="1"/>
  <c r="AW94" i="29" s="1"/>
  <c r="AR94" i="29"/>
  <c r="K175" i="29"/>
  <c r="M174" i="29"/>
  <c r="AO174" i="29" s="1"/>
  <c r="N174" i="29"/>
  <c r="AC174" i="29"/>
  <c r="P174" i="29"/>
  <c r="Q89" i="29"/>
  <c r="R89" i="29" s="1"/>
  <c r="X89" i="29" s="1"/>
  <c r="O89" i="29"/>
  <c r="L93" i="29"/>
  <c r="J92" i="29"/>
  <c r="O173" i="29"/>
  <c r="Q173" i="29"/>
  <c r="R173" i="29" s="1"/>
  <c r="X173" i="29" s="1"/>
  <c r="J176" i="29"/>
  <c r="L177" i="29"/>
  <c r="K91" i="29"/>
  <c r="AC90" i="29"/>
  <c r="M90" i="29"/>
  <c r="AM90" i="29" s="1"/>
  <c r="A90" i="29" s="1"/>
  <c r="B90" i="29" s="1"/>
  <c r="C90" i="29" s="1"/>
  <c r="N90" i="29"/>
  <c r="P90" i="29"/>
  <c r="L142" i="27"/>
  <c r="AP176" i="16"/>
  <c r="K176" i="16"/>
  <c r="T174" i="16"/>
  <c r="M92" i="16"/>
  <c r="AM92" i="16" s="1"/>
  <c r="A92" i="16" s="1"/>
  <c r="B92" i="16" s="1"/>
  <c r="C92" i="16" s="1"/>
  <c r="AC92" i="16"/>
  <c r="N92" i="16"/>
  <c r="P92" i="16"/>
  <c r="O91" i="16"/>
  <c r="Q91" i="16"/>
  <c r="R91" i="16" s="1"/>
  <c r="X91" i="16" s="1"/>
  <c r="L92" i="11"/>
  <c r="H91" i="11"/>
  <c r="AR90" i="11"/>
  <c r="AQ90" i="11"/>
  <c r="AT90" i="11" s="1"/>
  <c r="AW90" i="11" s="1"/>
  <c r="J177" i="16"/>
  <c r="L178" i="16"/>
  <c r="N88" i="11"/>
  <c r="P88" i="11"/>
  <c r="AE88" i="11"/>
  <c r="AH88" i="11" s="1"/>
  <c r="AC88" i="11"/>
  <c r="AF171" i="16"/>
  <c r="AJ171" i="16"/>
  <c r="AI171" i="16" s="1"/>
  <c r="AH171" i="16"/>
  <c r="AN171" i="16" s="1"/>
  <c r="K93" i="16"/>
  <c r="AP93" i="16"/>
  <c r="AS89" i="11"/>
  <c r="AV89" i="11" s="1"/>
  <c r="AU89" i="11"/>
  <c r="J89" i="11"/>
  <c r="AP89" i="11" s="1"/>
  <c r="W173" i="16"/>
  <c r="Q174" i="16"/>
  <c r="R174" i="16" s="1"/>
  <c r="X174" i="16" s="1"/>
  <c r="O174" i="16"/>
  <c r="M175" i="16"/>
  <c r="AM175" i="16" s="1"/>
  <c r="N175" i="16"/>
  <c r="AC175" i="16"/>
  <c r="P175" i="16"/>
  <c r="L95" i="16"/>
  <c r="J94" i="16"/>
  <c r="AH87" i="11"/>
  <c r="Y173" i="16"/>
  <c r="U172" i="16"/>
  <c r="Z172" i="16"/>
  <c r="Q87" i="11"/>
  <c r="R87" i="11" s="1"/>
  <c r="X87" i="11" s="1"/>
  <c r="O87" i="11"/>
  <c r="P95" i="27" l="1"/>
  <c r="N95" i="27"/>
  <c r="H99" i="27"/>
  <c r="AR98" i="27"/>
  <c r="AB98" i="27" s="1"/>
  <c r="AQ98" i="27"/>
  <c r="AT98" i="27" s="1"/>
  <c r="AW98" i="27" s="1"/>
  <c r="Q94" i="27"/>
  <c r="R94" i="27" s="1"/>
  <c r="Y94" i="27" s="1"/>
  <c r="O94" i="27"/>
  <c r="O95" i="27"/>
  <c r="Q95" i="27"/>
  <c r="R95" i="27" s="1"/>
  <c r="Y95" i="27" s="1"/>
  <c r="K96" i="27"/>
  <c r="M96" i="27" s="1"/>
  <c r="AM96" i="27" s="1"/>
  <c r="N96" i="27"/>
  <c r="AU97" i="27"/>
  <c r="J97" i="27"/>
  <c r="AZ97" i="27" s="1"/>
  <c r="AP97" i="27" s="1"/>
  <c r="AS97" i="27"/>
  <c r="AV97" i="27" s="1"/>
  <c r="E174" i="29"/>
  <c r="F174" i="29"/>
  <c r="AU94" i="29"/>
  <c r="AA94" i="29"/>
  <c r="AS94" i="29"/>
  <c r="AV94" i="29" s="1"/>
  <c r="AQ95" i="29"/>
  <c r="AT95" i="29" s="1"/>
  <c r="AW95" i="29" s="1"/>
  <c r="AR95" i="29"/>
  <c r="H96" i="29"/>
  <c r="M91" i="29"/>
  <c r="AM91" i="29" s="1"/>
  <c r="A91" i="29" s="1"/>
  <c r="B91" i="29" s="1"/>
  <c r="C91" i="29" s="1"/>
  <c r="N91" i="29"/>
  <c r="P91" i="29"/>
  <c r="AC91" i="29"/>
  <c r="J177" i="29"/>
  <c r="L178" i="29"/>
  <c r="K176" i="29"/>
  <c r="M175" i="29"/>
  <c r="AO175" i="29" s="1"/>
  <c r="P175" i="29"/>
  <c r="N175" i="29"/>
  <c r="AC175" i="29"/>
  <c r="K92" i="29"/>
  <c r="Q174" i="29"/>
  <c r="R174" i="29" s="1"/>
  <c r="X174" i="29" s="1"/>
  <c r="O174" i="29"/>
  <c r="Q90" i="29"/>
  <c r="R90" i="29" s="1"/>
  <c r="X90" i="29" s="1"/>
  <c r="O90" i="29"/>
  <c r="L94" i="29"/>
  <c r="J93" i="29"/>
  <c r="L143" i="27"/>
  <c r="L192" i="27" s="1"/>
  <c r="L191" i="27" s="1"/>
  <c r="L190" i="27" s="1"/>
  <c r="L189" i="27" s="1"/>
  <c r="L188" i="27" s="1"/>
  <c r="L187" i="27" s="1"/>
  <c r="L186" i="27" s="1"/>
  <c r="L185" i="27" s="1"/>
  <c r="L184" i="27" s="1"/>
  <c r="L183" i="27" s="1"/>
  <c r="L182" i="27" s="1"/>
  <c r="L181" i="27" s="1"/>
  <c r="L180" i="27" s="1"/>
  <c r="L179" i="27" s="1"/>
  <c r="L178" i="27" s="1"/>
  <c r="L177" i="27" s="1"/>
  <c r="L176" i="27" s="1"/>
  <c r="L175" i="27" s="1"/>
  <c r="L174" i="27" s="1"/>
  <c r="L173" i="27" s="1"/>
  <c r="L172" i="27" s="1"/>
  <c r="L171" i="27" s="1"/>
  <c r="L170" i="27" s="1"/>
  <c r="L169" i="27" s="1"/>
  <c r="L168" i="27" s="1"/>
  <c r="L167" i="27" s="1"/>
  <c r="L166" i="27" s="1"/>
  <c r="L165" i="27" s="1"/>
  <c r="L164" i="27" s="1"/>
  <c r="L163" i="27" s="1"/>
  <c r="L162" i="27" s="1"/>
  <c r="L161" i="27" s="1"/>
  <c r="L160" i="27" s="1"/>
  <c r="L159" i="27" s="1"/>
  <c r="L158" i="27" s="1"/>
  <c r="L157" i="27" s="1"/>
  <c r="L156" i="27" s="1"/>
  <c r="L155" i="27" s="1"/>
  <c r="L154" i="27" s="1"/>
  <c r="L153" i="27" s="1"/>
  <c r="L152" i="27" s="1"/>
  <c r="L151" i="27" s="1"/>
  <c r="L150" i="27" s="1"/>
  <c r="L149" i="27" s="1"/>
  <c r="L148" i="27" s="1"/>
  <c r="U173" i="16"/>
  <c r="Z173" i="16"/>
  <c r="O88" i="11"/>
  <c r="Q88" i="11"/>
  <c r="R88" i="11" s="1"/>
  <c r="X88" i="11" s="1"/>
  <c r="Y174" i="16"/>
  <c r="P89" i="11"/>
  <c r="N89" i="11"/>
  <c r="J178" i="16"/>
  <c r="L179" i="16"/>
  <c r="W174" i="16"/>
  <c r="AD172" i="16"/>
  <c r="AE172" i="16" s="1"/>
  <c r="AB172" i="16"/>
  <c r="AG172" i="16" s="1"/>
  <c r="AK172" i="16" s="1"/>
  <c r="Q175" i="16"/>
  <c r="R175" i="16" s="1"/>
  <c r="X175" i="16" s="1"/>
  <c r="O175" i="16"/>
  <c r="K177" i="16"/>
  <c r="AP177" i="16"/>
  <c r="AX172" i="16"/>
  <c r="V172" i="16"/>
  <c r="AY172" i="16"/>
  <c r="AU90" i="11"/>
  <c r="AS90" i="11"/>
  <c r="AV90" i="11" s="1"/>
  <c r="J90" i="11"/>
  <c r="AP90" i="11" s="1"/>
  <c r="L93" i="11"/>
  <c r="T175" i="16"/>
  <c r="M93" i="16"/>
  <c r="AM93" i="16" s="1"/>
  <c r="A93" i="16" s="1"/>
  <c r="B93" i="16" s="1"/>
  <c r="C93" i="16" s="1"/>
  <c r="AC93" i="16"/>
  <c r="P93" i="16"/>
  <c r="N93" i="16"/>
  <c r="AR91" i="11"/>
  <c r="AQ91" i="11"/>
  <c r="AT91" i="11" s="1"/>
  <c r="AW91" i="11" s="1"/>
  <c r="H92" i="11"/>
  <c r="M176" i="16"/>
  <c r="AM176" i="16" s="1"/>
  <c r="P176" i="16"/>
  <c r="AC176" i="16"/>
  <c r="N176" i="16"/>
  <c r="Q92" i="16"/>
  <c r="R92" i="16" s="1"/>
  <c r="X92" i="16" s="1"/>
  <c r="O92" i="16"/>
  <c r="AP94" i="16"/>
  <c r="K94" i="16"/>
  <c r="L96" i="16"/>
  <c r="J95" i="16"/>
  <c r="AE89" i="11"/>
  <c r="AC89" i="11"/>
  <c r="P96" i="27" l="1"/>
  <c r="K97" i="27"/>
  <c r="M97" i="27" s="1"/>
  <c r="AM97" i="27" s="1"/>
  <c r="AD96" i="27"/>
  <c r="J98" i="27"/>
  <c r="AZ98" i="27" s="1"/>
  <c r="AP98" i="27" s="1"/>
  <c r="AS98" i="27"/>
  <c r="AV98" i="27" s="1"/>
  <c r="AU98" i="27"/>
  <c r="Q96" i="27"/>
  <c r="R96" i="27" s="1"/>
  <c r="Y96" i="27" s="1"/>
  <c r="O96" i="27"/>
  <c r="H100" i="27"/>
  <c r="AQ99" i="27"/>
  <c r="AT99" i="27" s="1"/>
  <c r="AW99" i="27" s="1"/>
  <c r="AR99" i="27"/>
  <c r="AB99" i="27" s="1"/>
  <c r="E175" i="29"/>
  <c r="F175" i="29"/>
  <c r="AR96" i="29"/>
  <c r="H97" i="29"/>
  <c r="AQ96" i="29"/>
  <c r="AT96" i="29" s="1"/>
  <c r="AW96" i="29" s="1"/>
  <c r="AU95" i="29"/>
  <c r="AA95" i="29"/>
  <c r="AS95" i="29"/>
  <c r="AV95" i="29" s="1"/>
  <c r="J94" i="29"/>
  <c r="L95" i="29"/>
  <c r="M92" i="29"/>
  <c r="AM92" i="29" s="1"/>
  <c r="A92" i="29" s="1"/>
  <c r="B92" i="29" s="1"/>
  <c r="C92" i="29" s="1"/>
  <c r="P92" i="29"/>
  <c r="N92" i="29"/>
  <c r="AC92" i="29"/>
  <c r="M176" i="29"/>
  <c r="AO176" i="29" s="1"/>
  <c r="AC176" i="29"/>
  <c r="N176" i="29"/>
  <c r="P176" i="29"/>
  <c r="Q91" i="29"/>
  <c r="R91" i="29" s="1"/>
  <c r="X91" i="29" s="1"/>
  <c r="O91" i="29"/>
  <c r="K93" i="29"/>
  <c r="O175" i="29"/>
  <c r="Q175" i="29"/>
  <c r="R175" i="29" s="1"/>
  <c r="X175" i="29" s="1"/>
  <c r="L179" i="29"/>
  <c r="J178" i="29"/>
  <c r="K177" i="29"/>
  <c r="H93" i="11"/>
  <c r="AR92" i="11"/>
  <c r="AQ92" i="11"/>
  <c r="AT92" i="11" s="1"/>
  <c r="AW92" i="11" s="1"/>
  <c r="AJ172" i="16"/>
  <c r="AI172" i="16" s="1"/>
  <c r="AF172" i="16"/>
  <c r="AH172" i="16"/>
  <c r="AN172" i="16" s="1"/>
  <c r="T176" i="16"/>
  <c r="AS91" i="11"/>
  <c r="AV91" i="11" s="1"/>
  <c r="AU91" i="11"/>
  <c r="J91" i="11"/>
  <c r="AP91" i="11" s="1"/>
  <c r="M177" i="16"/>
  <c r="AM177" i="16" s="1"/>
  <c r="AC177" i="16"/>
  <c r="N177" i="16"/>
  <c r="P177" i="16"/>
  <c r="AB173" i="16"/>
  <c r="AG173" i="16" s="1"/>
  <c r="AK173" i="16" s="1"/>
  <c r="AD173" i="16"/>
  <c r="AE173" i="16" s="1"/>
  <c r="Y175" i="16"/>
  <c r="Z174" i="16"/>
  <c r="U174" i="16"/>
  <c r="J96" i="16"/>
  <c r="L97" i="16"/>
  <c r="O176" i="16"/>
  <c r="Q176" i="16"/>
  <c r="R176" i="16" s="1"/>
  <c r="X176" i="16" s="1"/>
  <c r="N90" i="11"/>
  <c r="P90" i="11"/>
  <c r="V173" i="16"/>
  <c r="AY173" i="16"/>
  <c r="AX173" i="16"/>
  <c r="K95" i="16"/>
  <c r="AP95" i="16"/>
  <c r="M94" i="16"/>
  <c r="AM94" i="16" s="1"/>
  <c r="A94" i="16" s="1"/>
  <c r="B94" i="16" s="1"/>
  <c r="C94" i="16" s="1"/>
  <c r="P94" i="16"/>
  <c r="AC94" i="16"/>
  <c r="N94" i="16"/>
  <c r="Q93" i="16"/>
  <c r="R93" i="16" s="1"/>
  <c r="X93" i="16" s="1"/>
  <c r="O93" i="16"/>
  <c r="AH89" i="11"/>
  <c r="AE90" i="11"/>
  <c r="AC90" i="11"/>
  <c r="L180" i="16"/>
  <c r="J179" i="16"/>
  <c r="W175" i="16"/>
  <c r="L94" i="11"/>
  <c r="K178" i="16"/>
  <c r="AP178" i="16"/>
  <c r="Q89" i="11"/>
  <c r="R89" i="11" s="1"/>
  <c r="X89" i="11" s="1"/>
  <c r="O89" i="11"/>
  <c r="P97" i="27" l="1"/>
  <c r="N97" i="27"/>
  <c r="AD97" i="27"/>
  <c r="H101" i="27"/>
  <c r="AQ100" i="27"/>
  <c r="AT100" i="27" s="1"/>
  <c r="AW100" i="27" s="1"/>
  <c r="AR100" i="27"/>
  <c r="AB100" i="27" s="1"/>
  <c r="K98" i="27"/>
  <c r="M98" i="27" s="1"/>
  <c r="AM98" i="27" s="1"/>
  <c r="O97" i="27"/>
  <c r="Q97" i="27"/>
  <c r="R97" i="27" s="1"/>
  <c r="Y97" i="27" s="1"/>
  <c r="J99" i="27"/>
  <c r="AZ99" i="27" s="1"/>
  <c r="AP99" i="27" s="1"/>
  <c r="AU99" i="27"/>
  <c r="AS99" i="27"/>
  <c r="AV99" i="27" s="1"/>
  <c r="F176" i="29"/>
  <c r="E176" i="29"/>
  <c r="AR97" i="29"/>
  <c r="H98" i="29"/>
  <c r="AQ97" i="29"/>
  <c r="AT97" i="29" s="1"/>
  <c r="AW97" i="29" s="1"/>
  <c r="AU96" i="29"/>
  <c r="AS96" i="29"/>
  <c r="AV96" i="29" s="1"/>
  <c r="AA96" i="29"/>
  <c r="M93" i="29"/>
  <c r="AM93" i="29" s="1"/>
  <c r="A93" i="29" s="1"/>
  <c r="B93" i="29" s="1"/>
  <c r="C93" i="29" s="1"/>
  <c r="P93" i="29"/>
  <c r="N93" i="29"/>
  <c r="AC93" i="29"/>
  <c r="K94" i="29"/>
  <c r="L96" i="29"/>
  <c r="J95" i="29"/>
  <c r="L180" i="29"/>
  <c r="J179" i="29"/>
  <c r="M177" i="29"/>
  <c r="AO177" i="29" s="1"/>
  <c r="N177" i="29"/>
  <c r="P177" i="29"/>
  <c r="AC177" i="29"/>
  <c r="Q176" i="29"/>
  <c r="R176" i="29" s="1"/>
  <c r="X176" i="29" s="1"/>
  <c r="O176" i="29"/>
  <c r="Q92" i="29"/>
  <c r="R92" i="29" s="1"/>
  <c r="X92" i="29" s="1"/>
  <c r="O92" i="29"/>
  <c r="K178" i="29"/>
  <c r="P91" i="11"/>
  <c r="N91" i="11"/>
  <c r="L95" i="11"/>
  <c r="AP179" i="16"/>
  <c r="K179" i="16"/>
  <c r="K96" i="16"/>
  <c r="AP96" i="16"/>
  <c r="AD174" i="16"/>
  <c r="AE174" i="16" s="1"/>
  <c r="AB174" i="16"/>
  <c r="AG174" i="16" s="1"/>
  <c r="AK174" i="16" s="1"/>
  <c r="AE91" i="11"/>
  <c r="AH91" i="11" s="1"/>
  <c r="AC91" i="11"/>
  <c r="L98" i="16"/>
  <c r="J97" i="16"/>
  <c r="M178" i="16"/>
  <c r="AM178" i="16" s="1"/>
  <c r="N178" i="16"/>
  <c r="AC178" i="16"/>
  <c r="P178" i="16"/>
  <c r="L181" i="16"/>
  <c r="J180" i="16"/>
  <c r="O90" i="11"/>
  <c r="Q90" i="11"/>
  <c r="R90" i="11" s="1"/>
  <c r="X90" i="11" s="1"/>
  <c r="AF173" i="16"/>
  <c r="AJ173" i="16"/>
  <c r="AI173" i="16" s="1"/>
  <c r="AH173" i="16"/>
  <c r="AN173" i="16" s="1"/>
  <c r="Q177" i="16"/>
  <c r="R177" i="16" s="1"/>
  <c r="X177" i="16" s="1"/>
  <c r="O177" i="16"/>
  <c r="T177" i="16"/>
  <c r="W176" i="16"/>
  <c r="AU92" i="11"/>
  <c r="AS92" i="11"/>
  <c r="AV92" i="11" s="1"/>
  <c r="J92" i="11"/>
  <c r="AP92" i="11" s="1"/>
  <c r="AY174" i="16"/>
  <c r="AX174" i="16"/>
  <c r="V174" i="16"/>
  <c r="Z175" i="16"/>
  <c r="U175" i="16"/>
  <c r="O94" i="16"/>
  <c r="Q94" i="16"/>
  <c r="R94" i="16" s="1"/>
  <c r="X94" i="16" s="1"/>
  <c r="M95" i="16"/>
  <c r="AM95" i="16" s="1"/>
  <c r="A95" i="16" s="1"/>
  <c r="B95" i="16" s="1"/>
  <c r="C95" i="16" s="1"/>
  <c r="P95" i="16"/>
  <c r="AC95" i="16"/>
  <c r="N95" i="16"/>
  <c r="AH90" i="11"/>
  <c r="Y176" i="16"/>
  <c r="AR93" i="11"/>
  <c r="AQ93" i="11"/>
  <c r="AT93" i="11" s="1"/>
  <c r="AW93" i="11" s="1"/>
  <c r="H94" i="11"/>
  <c r="AU100" i="27" l="1"/>
  <c r="AS100" i="27"/>
  <c r="AV100" i="27" s="1"/>
  <c r="J100" i="27"/>
  <c r="AZ100" i="27" s="1"/>
  <c r="AP100" i="27" s="1"/>
  <c r="AD98" i="27"/>
  <c r="P98" i="27"/>
  <c r="K99" i="27"/>
  <c r="M99" i="27" s="1"/>
  <c r="AM99" i="27" s="1"/>
  <c r="N98" i="27"/>
  <c r="H102" i="27"/>
  <c r="AR101" i="27"/>
  <c r="AB101" i="27" s="1"/>
  <c r="AQ101" i="27"/>
  <c r="AT101" i="27" s="1"/>
  <c r="AW101" i="27" s="1"/>
  <c r="E177" i="29"/>
  <c r="F177" i="29"/>
  <c r="H99" i="29"/>
  <c r="AQ98" i="29"/>
  <c r="AT98" i="29" s="1"/>
  <c r="AW98" i="29" s="1"/>
  <c r="AR98" i="29"/>
  <c r="AS97" i="29"/>
  <c r="AV97" i="29" s="1"/>
  <c r="AA97" i="29"/>
  <c r="AU97" i="29"/>
  <c r="M178" i="29"/>
  <c r="AO178" i="29" s="1"/>
  <c r="N178" i="29"/>
  <c r="P178" i="29"/>
  <c r="AC178" i="29"/>
  <c r="AC94" i="29"/>
  <c r="M94" i="29"/>
  <c r="AM94" i="29" s="1"/>
  <c r="A94" i="29" s="1"/>
  <c r="B94" i="29" s="1"/>
  <c r="C94" i="29" s="1"/>
  <c r="N94" i="29"/>
  <c r="P94" i="29"/>
  <c r="L97" i="29"/>
  <c r="J96" i="29"/>
  <c r="K179" i="29"/>
  <c r="Q93" i="29"/>
  <c r="R93" i="29" s="1"/>
  <c r="X93" i="29" s="1"/>
  <c r="O93" i="29"/>
  <c r="O177" i="29"/>
  <c r="Q177" i="29"/>
  <c r="R177" i="29" s="1"/>
  <c r="X177" i="29" s="1"/>
  <c r="J180" i="29"/>
  <c r="L181" i="29"/>
  <c r="K95" i="29"/>
  <c r="AE92" i="11"/>
  <c r="AC92" i="11"/>
  <c r="AS93" i="11"/>
  <c r="AV93" i="11" s="1"/>
  <c r="AU93" i="11"/>
  <c r="J93" i="11"/>
  <c r="AP93" i="11" s="1"/>
  <c r="Q178" i="16"/>
  <c r="R178" i="16" s="1"/>
  <c r="X178" i="16" s="1"/>
  <c r="O178" i="16"/>
  <c r="U176" i="16"/>
  <c r="Z176" i="16"/>
  <c r="L99" i="16"/>
  <c r="J98" i="16"/>
  <c r="L96" i="11"/>
  <c r="Q91" i="11"/>
  <c r="R91" i="11" s="1"/>
  <c r="X91" i="11" s="1"/>
  <c r="O91" i="11"/>
  <c r="K180" i="16"/>
  <c r="AP180" i="16"/>
  <c r="T178" i="16"/>
  <c r="M179" i="16"/>
  <c r="AM179" i="16" s="1"/>
  <c r="AC179" i="16"/>
  <c r="N179" i="16"/>
  <c r="P179" i="16"/>
  <c r="AP97" i="16"/>
  <c r="K97" i="16"/>
  <c r="W177" i="16"/>
  <c r="AX175" i="16"/>
  <c r="V175" i="16"/>
  <c r="AY175" i="16"/>
  <c r="AH92" i="11"/>
  <c r="J181" i="16"/>
  <c r="L182" i="16"/>
  <c r="M96" i="16"/>
  <c r="AM96" i="16" s="1"/>
  <c r="A96" i="16" s="1"/>
  <c r="B96" i="16" s="1"/>
  <c r="C96" i="16" s="1"/>
  <c r="N96" i="16"/>
  <c r="AC96" i="16"/>
  <c r="P96" i="16"/>
  <c r="Q95" i="16"/>
  <c r="R95" i="16" s="1"/>
  <c r="X95" i="16" s="1"/>
  <c r="O95" i="16"/>
  <c r="AF174" i="16"/>
  <c r="AJ174" i="16"/>
  <c r="AI174" i="16" s="1"/>
  <c r="AH174" i="16"/>
  <c r="AN174" i="16" s="1"/>
  <c r="Y177" i="16"/>
  <c r="H95" i="11"/>
  <c r="AR94" i="11"/>
  <c r="AQ94" i="11"/>
  <c r="AT94" i="11" s="1"/>
  <c r="AW94" i="11" s="1"/>
  <c r="AD175" i="16"/>
  <c r="AE175" i="16" s="1"/>
  <c r="AB175" i="16"/>
  <c r="AG175" i="16" s="1"/>
  <c r="AK175" i="16" s="1"/>
  <c r="N92" i="11"/>
  <c r="P92" i="11"/>
  <c r="K100" i="27" l="1"/>
  <c r="M100" i="27" s="1"/>
  <c r="AM100" i="27" s="1"/>
  <c r="N99" i="27"/>
  <c r="AD100" i="27"/>
  <c r="P99" i="27"/>
  <c r="AU101" i="27"/>
  <c r="J101" i="27"/>
  <c r="AZ101" i="27" s="1"/>
  <c r="AP101" i="27" s="1"/>
  <c r="AS101" i="27"/>
  <c r="AV101" i="27" s="1"/>
  <c r="Q98" i="27"/>
  <c r="R98" i="27" s="1"/>
  <c r="Y98" i="27" s="1"/>
  <c r="O98" i="27"/>
  <c r="H103" i="27"/>
  <c r="AR102" i="27"/>
  <c r="AB102" i="27" s="1"/>
  <c r="AQ102" i="27"/>
  <c r="AT102" i="27" s="1"/>
  <c r="AW102" i="27" s="1"/>
  <c r="AD99" i="27"/>
  <c r="E178" i="29"/>
  <c r="F178" i="29"/>
  <c r="AU98" i="29"/>
  <c r="AS98" i="29"/>
  <c r="AV98" i="29" s="1"/>
  <c r="AA98" i="29"/>
  <c r="AQ99" i="29"/>
  <c r="AT99" i="29" s="1"/>
  <c r="AW99" i="29" s="1"/>
  <c r="H100" i="29"/>
  <c r="AR99" i="29"/>
  <c r="K180" i="29"/>
  <c r="M179" i="29"/>
  <c r="AO179" i="29" s="1"/>
  <c r="AC179" i="29"/>
  <c r="N179" i="29"/>
  <c r="P179" i="29"/>
  <c r="O178" i="29"/>
  <c r="Q178" i="29"/>
  <c r="R178" i="29" s="1"/>
  <c r="X178" i="29" s="1"/>
  <c r="K96" i="29"/>
  <c r="J97" i="29"/>
  <c r="L98" i="29"/>
  <c r="L182" i="29"/>
  <c r="J181" i="29"/>
  <c r="M95" i="29"/>
  <c r="AM95" i="29" s="1"/>
  <c r="A95" i="29" s="1"/>
  <c r="B95" i="29" s="1"/>
  <c r="C95" i="29" s="1"/>
  <c r="P95" i="29"/>
  <c r="N95" i="29"/>
  <c r="AC95" i="29"/>
  <c r="Q94" i="29"/>
  <c r="R94" i="29" s="1"/>
  <c r="X94" i="29" s="1"/>
  <c r="O94" i="29"/>
  <c r="W178" i="16"/>
  <c r="U178" i="16" s="1"/>
  <c r="AX178" i="16" s="1"/>
  <c r="Z178" i="16"/>
  <c r="Q96" i="16"/>
  <c r="R96" i="16" s="1"/>
  <c r="X96" i="16" s="1"/>
  <c r="O96" i="16"/>
  <c r="K98" i="16"/>
  <c r="AP98" i="16"/>
  <c r="AY176" i="16"/>
  <c r="V176" i="16"/>
  <c r="AX176" i="16"/>
  <c r="AE93" i="11"/>
  <c r="AC93" i="11"/>
  <c r="AH93" i="11"/>
  <c r="Z177" i="16"/>
  <c r="U177" i="16"/>
  <c r="J99" i="16"/>
  <c r="L100" i="16"/>
  <c r="AR95" i="11"/>
  <c r="AQ95" i="11"/>
  <c r="AT95" i="11" s="1"/>
  <c r="AW95" i="11" s="1"/>
  <c r="H96" i="11"/>
  <c r="M180" i="16"/>
  <c r="AM180" i="16" s="1"/>
  <c r="P180" i="16"/>
  <c r="N180" i="16"/>
  <c r="AC180" i="16"/>
  <c r="O92" i="11"/>
  <c r="Q92" i="11"/>
  <c r="R92" i="11" s="1"/>
  <c r="X92" i="11" s="1"/>
  <c r="P93" i="11"/>
  <c r="N93" i="11"/>
  <c r="AJ175" i="16"/>
  <c r="AI175" i="16" s="1"/>
  <c r="AF175" i="16"/>
  <c r="AH175" i="16"/>
  <c r="AN175" i="16" s="1"/>
  <c r="AB176" i="16"/>
  <c r="AG176" i="16" s="1"/>
  <c r="AK176" i="16" s="1"/>
  <c r="AD176" i="16"/>
  <c r="AE176" i="16" s="1"/>
  <c r="L183" i="16"/>
  <c r="J182" i="16"/>
  <c r="M97" i="16"/>
  <c r="AM97" i="16" s="1"/>
  <c r="A97" i="16" s="1"/>
  <c r="B97" i="16" s="1"/>
  <c r="C97" i="16" s="1"/>
  <c r="P97" i="16"/>
  <c r="N97" i="16"/>
  <c r="AC97" i="16"/>
  <c r="O179" i="16"/>
  <c r="Q179" i="16"/>
  <c r="R179" i="16" s="1"/>
  <c r="X179" i="16" s="1"/>
  <c r="L97" i="11"/>
  <c r="Y178" i="16"/>
  <c r="AU94" i="11"/>
  <c r="AS94" i="11"/>
  <c r="AV94" i="11" s="1"/>
  <c r="J94" i="11"/>
  <c r="AP94" i="11" s="1"/>
  <c r="K181" i="16"/>
  <c r="AP181" i="16"/>
  <c r="T179" i="16"/>
  <c r="N100" i="27" l="1"/>
  <c r="P100" i="27"/>
  <c r="Q100" i="27" s="1"/>
  <c r="R100" i="27" s="1"/>
  <c r="Y100" i="27" s="1"/>
  <c r="K101" i="27"/>
  <c r="M101" i="27" s="1"/>
  <c r="AM101" i="27" s="1"/>
  <c r="O99" i="27"/>
  <c r="Q99" i="27"/>
  <c r="R99" i="27" s="1"/>
  <c r="Y99" i="27" s="1"/>
  <c r="J102" i="27"/>
  <c r="AZ102" i="27" s="1"/>
  <c r="AP102" i="27" s="1"/>
  <c r="AS102" i="27"/>
  <c r="AV102" i="27" s="1"/>
  <c r="AU102" i="27"/>
  <c r="H104" i="27"/>
  <c r="AQ103" i="27"/>
  <c r="AT103" i="27" s="1"/>
  <c r="AW103" i="27" s="1"/>
  <c r="AR103" i="27"/>
  <c r="AB103" i="27" s="1"/>
  <c r="F179" i="29"/>
  <c r="E179" i="29"/>
  <c r="AA99" i="29"/>
  <c r="AU99" i="29"/>
  <c r="AS99" i="29"/>
  <c r="AV99" i="29" s="1"/>
  <c r="H101" i="29"/>
  <c r="AR100" i="29"/>
  <c r="AQ100" i="29"/>
  <c r="AT100" i="29" s="1"/>
  <c r="AW100" i="29" s="1"/>
  <c r="L99" i="29"/>
  <c r="J98" i="29"/>
  <c r="K181" i="29"/>
  <c r="K97" i="29"/>
  <c r="L183" i="29"/>
  <c r="J182" i="29"/>
  <c r="Q95" i="29"/>
  <c r="R95" i="29" s="1"/>
  <c r="X95" i="29" s="1"/>
  <c r="O95" i="29"/>
  <c r="N180" i="29"/>
  <c r="M180" i="29"/>
  <c r="AO180" i="29" s="1"/>
  <c r="P180" i="29"/>
  <c r="AC180" i="29"/>
  <c r="M96" i="29"/>
  <c r="AM96" i="29" s="1"/>
  <c r="A96" i="29" s="1"/>
  <c r="B96" i="29" s="1"/>
  <c r="C96" i="29" s="1"/>
  <c r="N96" i="29"/>
  <c r="P96" i="29"/>
  <c r="AC96" i="29"/>
  <c r="Q179" i="29"/>
  <c r="R179" i="29" s="1"/>
  <c r="X179" i="29" s="1"/>
  <c r="O179" i="29"/>
  <c r="W179" i="16"/>
  <c r="T180" i="16"/>
  <c r="N94" i="11"/>
  <c r="P94" i="11"/>
  <c r="Q180" i="16"/>
  <c r="R180" i="16" s="1"/>
  <c r="X180" i="16" s="1"/>
  <c r="O180" i="16"/>
  <c r="AS95" i="11"/>
  <c r="AV95" i="11" s="1"/>
  <c r="AU95" i="11"/>
  <c r="J95" i="11"/>
  <c r="AP95" i="11" s="1"/>
  <c r="K99" i="16"/>
  <c r="AP99" i="16"/>
  <c r="AD178" i="16"/>
  <c r="AE178" i="16" s="1"/>
  <c r="AB178" i="16"/>
  <c r="AG178" i="16" s="1"/>
  <c r="AK178" i="16" s="1"/>
  <c r="AF176" i="16"/>
  <c r="AJ176" i="16"/>
  <c r="AI176" i="16" s="1"/>
  <c r="AH176" i="16"/>
  <c r="AN176" i="16" s="1"/>
  <c r="AY178" i="16"/>
  <c r="AY177" i="16"/>
  <c r="AX177" i="16"/>
  <c r="V177" i="16"/>
  <c r="V178" i="16"/>
  <c r="AD177" i="16"/>
  <c r="AE177" i="16" s="1"/>
  <c r="AB177" i="16"/>
  <c r="AG177" i="16" s="1"/>
  <c r="AK177" i="16" s="1"/>
  <c r="L101" i="16"/>
  <c r="J100" i="16"/>
  <c r="AE94" i="11"/>
  <c r="AH94" i="11" s="1"/>
  <c r="AC94" i="11"/>
  <c r="AP182" i="16"/>
  <c r="K182" i="16"/>
  <c r="Q93" i="11"/>
  <c r="R93" i="11" s="1"/>
  <c r="X93" i="11" s="1"/>
  <c r="O93" i="11"/>
  <c r="M98" i="16"/>
  <c r="AM98" i="16" s="1"/>
  <c r="A98" i="16" s="1"/>
  <c r="B98" i="16" s="1"/>
  <c r="C98" i="16" s="1"/>
  <c r="AC98" i="16"/>
  <c r="P98" i="16"/>
  <c r="N98" i="16"/>
  <c r="U179" i="16"/>
  <c r="V179" i="16" s="1"/>
  <c r="Z179" i="16"/>
  <c r="Y179" i="16"/>
  <c r="AX179" i="16"/>
  <c r="M181" i="16"/>
  <c r="AM181" i="16" s="1"/>
  <c r="N181" i="16"/>
  <c r="P181" i="16"/>
  <c r="AC181" i="16"/>
  <c r="L98" i="11"/>
  <c r="O97" i="16"/>
  <c r="Q97" i="16"/>
  <c r="R97" i="16" s="1"/>
  <c r="X97" i="16" s="1"/>
  <c r="J183" i="16"/>
  <c r="L184" i="16"/>
  <c r="H97" i="11"/>
  <c r="AQ96" i="11"/>
  <c r="AT96" i="11" s="1"/>
  <c r="AW96" i="11" s="1"/>
  <c r="AR96" i="11"/>
  <c r="N101" i="27" l="1"/>
  <c r="O100" i="27"/>
  <c r="P101" i="27"/>
  <c r="O101" i="27" s="1"/>
  <c r="AD101" i="27"/>
  <c r="K102" i="27"/>
  <c r="M102" i="27" s="1"/>
  <c r="AM102" i="27" s="1"/>
  <c r="H105" i="27"/>
  <c r="AR104" i="27"/>
  <c r="AB104" i="27" s="1"/>
  <c r="AQ104" i="27"/>
  <c r="AT104" i="27" s="1"/>
  <c r="AW104" i="27" s="1"/>
  <c r="AS103" i="27"/>
  <c r="AV103" i="27" s="1"/>
  <c r="AU103" i="27"/>
  <c r="J103" i="27"/>
  <c r="AZ103" i="27" s="1"/>
  <c r="AP103" i="27" s="1"/>
  <c r="E180" i="29"/>
  <c r="F180" i="29"/>
  <c r="AU100" i="29"/>
  <c r="AS100" i="29"/>
  <c r="AV100" i="29" s="1"/>
  <c r="AA100" i="29"/>
  <c r="AR101" i="29"/>
  <c r="H102" i="29"/>
  <c r="AQ101" i="29"/>
  <c r="AT101" i="29" s="1"/>
  <c r="AW101" i="29" s="1"/>
  <c r="O180" i="29"/>
  <c r="Q180" i="29"/>
  <c r="R180" i="29" s="1"/>
  <c r="X180" i="29" s="1"/>
  <c r="Q96" i="29"/>
  <c r="R96" i="29" s="1"/>
  <c r="X96" i="29" s="1"/>
  <c r="O96" i="29"/>
  <c r="K98" i="29"/>
  <c r="J99" i="29"/>
  <c r="L100" i="29"/>
  <c r="K182" i="29"/>
  <c r="M181" i="29"/>
  <c r="AO181" i="29" s="1"/>
  <c r="AC181" i="29"/>
  <c r="N181" i="29"/>
  <c r="P181" i="29"/>
  <c r="J183" i="29"/>
  <c r="L184" i="29"/>
  <c r="P97" i="29"/>
  <c r="AC97" i="29"/>
  <c r="M97" i="29"/>
  <c r="AM97" i="29" s="1"/>
  <c r="A97" i="29" s="1"/>
  <c r="B97" i="29" s="1"/>
  <c r="C97" i="29" s="1"/>
  <c r="N97" i="29"/>
  <c r="AY179" i="16"/>
  <c r="J184" i="16"/>
  <c r="L185" i="16"/>
  <c r="L99" i="11"/>
  <c r="AJ178" i="16"/>
  <c r="AI178" i="16" s="1"/>
  <c r="AF178" i="16"/>
  <c r="AH178" i="16"/>
  <c r="AN178" i="16" s="1"/>
  <c r="Y180" i="16"/>
  <c r="K183" i="16"/>
  <c r="AP183" i="16"/>
  <c r="T181" i="16"/>
  <c r="P95" i="11"/>
  <c r="N95" i="11"/>
  <c r="W180" i="16"/>
  <c r="AR97" i="11"/>
  <c r="AQ97" i="11"/>
  <c r="AT97" i="11" s="1"/>
  <c r="AW97" i="11" s="1"/>
  <c r="H98" i="11"/>
  <c r="M182" i="16"/>
  <c r="AM182" i="16" s="1"/>
  <c r="N182" i="16"/>
  <c r="P182" i="16"/>
  <c r="AC182" i="16"/>
  <c r="O94" i="11"/>
  <c r="Q94" i="11"/>
  <c r="R94" i="11" s="1"/>
  <c r="X94" i="11" s="1"/>
  <c r="N99" i="16"/>
  <c r="M99" i="16"/>
  <c r="AM99" i="16" s="1"/>
  <c r="A99" i="16" s="1"/>
  <c r="B99" i="16" s="1"/>
  <c r="C99" i="16" s="1"/>
  <c r="AC99" i="16"/>
  <c r="P99" i="16"/>
  <c r="AU96" i="11"/>
  <c r="AS96" i="11"/>
  <c r="AV96" i="11" s="1"/>
  <c r="J96" i="11"/>
  <c r="AP96" i="11" s="1"/>
  <c r="Q181" i="16"/>
  <c r="R181" i="16" s="1"/>
  <c r="X181" i="16" s="1"/>
  <c r="O181" i="16"/>
  <c r="AF177" i="16"/>
  <c r="AJ177" i="16"/>
  <c r="AI177" i="16" s="1"/>
  <c r="AH177" i="16"/>
  <c r="AN177" i="16" s="1"/>
  <c r="AP100" i="16"/>
  <c r="K100" i="16"/>
  <c r="AB179" i="16"/>
  <c r="AG179" i="16" s="1"/>
  <c r="AK179" i="16" s="1"/>
  <c r="AD179" i="16"/>
  <c r="AE179" i="16" s="1"/>
  <c r="Q98" i="16"/>
  <c r="R98" i="16" s="1"/>
  <c r="X98" i="16" s="1"/>
  <c r="O98" i="16"/>
  <c r="J101" i="16"/>
  <c r="L102" i="16"/>
  <c r="AE95" i="11"/>
  <c r="AH95" i="11" s="1"/>
  <c r="AC95" i="11"/>
  <c r="Q101" i="27" l="1"/>
  <c r="R101" i="27" s="1"/>
  <c r="Y101" i="27" s="1"/>
  <c r="H106" i="27"/>
  <c r="AR105" i="27"/>
  <c r="AB105" i="27" s="1"/>
  <c r="AQ105" i="27"/>
  <c r="AT105" i="27" s="1"/>
  <c r="AW105" i="27" s="1"/>
  <c r="AD102" i="27"/>
  <c r="P102" i="27"/>
  <c r="K103" i="27"/>
  <c r="M103" i="27" s="1"/>
  <c r="AM103" i="27" s="1"/>
  <c r="AS104" i="27"/>
  <c r="AV104" i="27" s="1"/>
  <c r="J104" i="27"/>
  <c r="AZ104" i="27" s="1"/>
  <c r="AP104" i="27" s="1"/>
  <c r="AU104" i="27"/>
  <c r="N102" i="27"/>
  <c r="E181" i="29"/>
  <c r="F181" i="29"/>
  <c r="AR102" i="29"/>
  <c r="AQ102" i="29"/>
  <c r="AT102" i="29" s="1"/>
  <c r="AW102" i="29" s="1"/>
  <c r="H103" i="29"/>
  <c r="AS101" i="29"/>
  <c r="AV101" i="29" s="1"/>
  <c r="AA101" i="29"/>
  <c r="AU101" i="29"/>
  <c r="K99" i="29"/>
  <c r="L101" i="29"/>
  <c r="J100" i="29"/>
  <c r="O181" i="29"/>
  <c r="Q181" i="29"/>
  <c r="R181" i="29" s="1"/>
  <c r="X181" i="29" s="1"/>
  <c r="L185" i="29"/>
  <c r="J184" i="29"/>
  <c r="M98" i="29"/>
  <c r="AM98" i="29" s="1"/>
  <c r="A98" i="29" s="1"/>
  <c r="B98" i="29" s="1"/>
  <c r="C98" i="29" s="1"/>
  <c r="N98" i="29"/>
  <c r="P98" i="29"/>
  <c r="AC98" i="29"/>
  <c r="K183" i="29"/>
  <c r="Q97" i="29"/>
  <c r="R97" i="29" s="1"/>
  <c r="X97" i="29" s="1"/>
  <c r="O97" i="29"/>
  <c r="M182" i="29"/>
  <c r="AO182" i="29" s="1"/>
  <c r="AC182" i="29"/>
  <c r="P182" i="29"/>
  <c r="N182" i="29"/>
  <c r="W181" i="16"/>
  <c r="H99" i="11"/>
  <c r="AR98" i="11"/>
  <c r="AQ98" i="11"/>
  <c r="AT98" i="11" s="1"/>
  <c r="AW98" i="11" s="1"/>
  <c r="J102" i="16"/>
  <c r="L103" i="16"/>
  <c r="Q99" i="16"/>
  <c r="R99" i="16" s="1"/>
  <c r="X99" i="16" s="1"/>
  <c r="O99" i="16"/>
  <c r="N96" i="11"/>
  <c r="P96" i="11"/>
  <c r="O182" i="16"/>
  <c r="Q182" i="16"/>
  <c r="R182" i="16" s="1"/>
  <c r="X182" i="16" s="1"/>
  <c r="AS97" i="11"/>
  <c r="AV97" i="11" s="1"/>
  <c r="AU97" i="11"/>
  <c r="J97" i="11"/>
  <c r="AP97" i="11" s="1"/>
  <c r="L100" i="11"/>
  <c r="Q95" i="11"/>
  <c r="R95" i="11" s="1"/>
  <c r="X95" i="11" s="1"/>
  <c r="O95" i="11"/>
  <c r="AF179" i="16"/>
  <c r="AJ179" i="16"/>
  <c r="AI179" i="16" s="1"/>
  <c r="AH179" i="16"/>
  <c r="AN179" i="16" s="1"/>
  <c r="K101" i="16"/>
  <c r="AP101" i="16"/>
  <c r="M100" i="16"/>
  <c r="AM100" i="16" s="1"/>
  <c r="A100" i="16" s="1"/>
  <c r="B100" i="16" s="1"/>
  <c r="C100" i="16" s="1"/>
  <c r="N100" i="16"/>
  <c r="P100" i="16"/>
  <c r="AC100" i="16"/>
  <c r="T182" i="16"/>
  <c r="U181" i="16"/>
  <c r="AY181" i="16" s="1"/>
  <c r="Z181" i="16"/>
  <c r="K184" i="16"/>
  <c r="AP184" i="16"/>
  <c r="AE96" i="11"/>
  <c r="AH96" i="11" s="1"/>
  <c r="AC96" i="11"/>
  <c r="Z180" i="16"/>
  <c r="U180" i="16"/>
  <c r="Y181" i="16"/>
  <c r="M183" i="16"/>
  <c r="AM183" i="16" s="1"/>
  <c r="AC183" i="16"/>
  <c r="P183" i="16"/>
  <c r="N183" i="16"/>
  <c r="L186" i="16"/>
  <c r="J185" i="16"/>
  <c r="P103" i="27" l="1"/>
  <c r="Q103" i="27" s="1"/>
  <c r="R103" i="27" s="1"/>
  <c r="Y103" i="27" s="1"/>
  <c r="N103" i="27"/>
  <c r="AU105" i="27"/>
  <c r="J105" i="27"/>
  <c r="AZ105" i="27" s="1"/>
  <c r="AP105" i="27" s="1"/>
  <c r="AS105" i="27"/>
  <c r="AV105" i="27" s="1"/>
  <c r="O103" i="27"/>
  <c r="K104" i="27"/>
  <c r="AD104" i="27" s="1"/>
  <c r="O102" i="27"/>
  <c r="Q102" i="27"/>
  <c r="R102" i="27" s="1"/>
  <c r="Y102" i="27" s="1"/>
  <c r="H107" i="27"/>
  <c r="AR106" i="27"/>
  <c r="AB106" i="27" s="1"/>
  <c r="AQ106" i="27"/>
  <c r="AT106" i="27" s="1"/>
  <c r="AW106" i="27" s="1"/>
  <c r="AD103" i="27"/>
  <c r="F182" i="29"/>
  <c r="E182" i="29"/>
  <c r="AQ103" i="29"/>
  <c r="AT103" i="29" s="1"/>
  <c r="AW103" i="29" s="1"/>
  <c r="AR103" i="29"/>
  <c r="H104" i="29"/>
  <c r="AU102" i="29"/>
  <c r="AS102" i="29"/>
  <c r="AV102" i="29" s="1"/>
  <c r="AA102" i="29"/>
  <c r="K100" i="29"/>
  <c r="Q182" i="29"/>
  <c r="R182" i="29" s="1"/>
  <c r="X182" i="29" s="1"/>
  <c r="O182" i="29"/>
  <c r="J101" i="29"/>
  <c r="L102" i="29"/>
  <c r="Q98" i="29"/>
  <c r="R98" i="29" s="1"/>
  <c r="X98" i="29" s="1"/>
  <c r="O98" i="29"/>
  <c r="K184" i="29"/>
  <c r="J185" i="29"/>
  <c r="L186" i="29"/>
  <c r="M183" i="29"/>
  <c r="AO183" i="29" s="1"/>
  <c r="P183" i="29"/>
  <c r="N183" i="29"/>
  <c r="AC183" i="29"/>
  <c r="AC99" i="29"/>
  <c r="M99" i="29"/>
  <c r="AM99" i="29" s="1"/>
  <c r="A99" i="29" s="1"/>
  <c r="B99" i="29" s="1"/>
  <c r="C99" i="29" s="1"/>
  <c r="P99" i="29"/>
  <c r="N99" i="29"/>
  <c r="V181" i="16"/>
  <c r="AX181" i="16"/>
  <c r="L104" i="16"/>
  <c r="J104" i="16" s="1"/>
  <c r="J103" i="16"/>
  <c r="Q183" i="16"/>
  <c r="R183" i="16" s="1"/>
  <c r="X183" i="16" s="1"/>
  <c r="O183" i="16"/>
  <c r="AD181" i="16"/>
  <c r="AE181" i="16" s="1"/>
  <c r="AB181" i="16"/>
  <c r="AG181" i="16" s="1"/>
  <c r="AK181" i="16" s="1"/>
  <c r="L101" i="11"/>
  <c r="O96" i="11"/>
  <c r="Q96" i="11"/>
  <c r="R96" i="11" s="1"/>
  <c r="X96" i="11" s="1"/>
  <c r="AE97" i="11"/>
  <c r="AH97" i="11" s="1"/>
  <c r="AC97" i="11"/>
  <c r="M184" i="16"/>
  <c r="AM184" i="16" s="1"/>
  <c r="N184" i="16"/>
  <c r="AC184" i="16"/>
  <c r="P184" i="16"/>
  <c r="P97" i="11"/>
  <c r="N97" i="11"/>
  <c r="K102" i="16"/>
  <c r="AP102" i="16"/>
  <c r="AU98" i="11"/>
  <c r="AS98" i="11"/>
  <c r="AV98" i="11" s="1"/>
  <c r="J98" i="11"/>
  <c r="AP98" i="11" s="1"/>
  <c r="V180" i="16"/>
  <c r="AY180" i="16"/>
  <c r="AX180" i="16"/>
  <c r="W182" i="16"/>
  <c r="Y182" i="16"/>
  <c r="O100" i="16"/>
  <c r="Q100" i="16"/>
  <c r="R100" i="16" s="1"/>
  <c r="X100" i="16" s="1"/>
  <c r="M101" i="16"/>
  <c r="AM101" i="16" s="1"/>
  <c r="A101" i="16" s="1"/>
  <c r="B101" i="16" s="1"/>
  <c r="C101" i="16" s="1"/>
  <c r="AC101" i="16"/>
  <c r="N101" i="16"/>
  <c r="P101" i="16"/>
  <c r="AR99" i="11"/>
  <c r="AQ99" i="11"/>
  <c r="AT99" i="11" s="1"/>
  <c r="AW99" i="11" s="1"/>
  <c r="H100" i="11"/>
  <c r="AD180" i="16"/>
  <c r="AE180" i="16" s="1"/>
  <c r="AB180" i="16"/>
  <c r="AG180" i="16" s="1"/>
  <c r="AK180" i="16" s="1"/>
  <c r="AP185" i="16"/>
  <c r="K185" i="16"/>
  <c r="J186" i="16"/>
  <c r="L187" i="16"/>
  <c r="T183" i="16"/>
  <c r="K105" i="27" l="1"/>
  <c r="M105" i="27" s="1"/>
  <c r="AM105" i="27" s="1"/>
  <c r="P105" i="27"/>
  <c r="N104" i="27"/>
  <c r="M104" i="27"/>
  <c r="AM104" i="27" s="1"/>
  <c r="H108" i="27"/>
  <c r="AR107" i="27"/>
  <c r="AB107" i="27" s="1"/>
  <c r="AQ107" i="27"/>
  <c r="AT107" i="27" s="1"/>
  <c r="AW107" i="27" s="1"/>
  <c r="J106" i="27"/>
  <c r="AZ106" i="27" s="1"/>
  <c r="AP106" i="27" s="1"/>
  <c r="AS106" i="27"/>
  <c r="AV106" i="27" s="1"/>
  <c r="AU106" i="27"/>
  <c r="P104" i="27"/>
  <c r="E183" i="29"/>
  <c r="F183" i="29"/>
  <c r="AR104" i="29"/>
  <c r="AQ104" i="29"/>
  <c r="AT104" i="29" s="1"/>
  <c r="AW104" i="29" s="1"/>
  <c r="AA103" i="29"/>
  <c r="AU103" i="29"/>
  <c r="AS103" i="29"/>
  <c r="AV103" i="29" s="1"/>
  <c r="J186" i="29"/>
  <c r="L187" i="29"/>
  <c r="K185" i="29"/>
  <c r="L103" i="29"/>
  <c r="J102" i="29"/>
  <c r="Q99" i="29"/>
  <c r="R99" i="29" s="1"/>
  <c r="X99" i="29" s="1"/>
  <c r="O99" i="29"/>
  <c r="O183" i="29"/>
  <c r="Q183" i="29"/>
  <c r="R183" i="29" s="1"/>
  <c r="X183" i="29" s="1"/>
  <c r="K101" i="29"/>
  <c r="M184" i="29"/>
  <c r="AO184" i="29" s="1"/>
  <c r="N184" i="29"/>
  <c r="P184" i="29"/>
  <c r="AC184" i="29"/>
  <c r="M100" i="29"/>
  <c r="AM100" i="29" s="1"/>
  <c r="A100" i="29" s="1"/>
  <c r="B100" i="29" s="1"/>
  <c r="C100" i="29" s="1"/>
  <c r="P100" i="29"/>
  <c r="N100" i="29"/>
  <c r="AC100" i="29"/>
  <c r="K186" i="16"/>
  <c r="AP186" i="16"/>
  <c r="U182" i="16"/>
  <c r="Z182" i="16"/>
  <c r="Q184" i="16"/>
  <c r="R184" i="16" s="1"/>
  <c r="X184" i="16" s="1"/>
  <c r="O184" i="16"/>
  <c r="K104" i="16"/>
  <c r="AP104" i="16"/>
  <c r="T184" i="16"/>
  <c r="M185" i="16"/>
  <c r="AM185" i="16" s="1"/>
  <c r="AC185" i="16"/>
  <c r="N185" i="16"/>
  <c r="P185" i="16"/>
  <c r="H101" i="11"/>
  <c r="AR100" i="11"/>
  <c r="AQ100" i="11"/>
  <c r="AT100" i="11" s="1"/>
  <c r="AW100" i="11" s="1"/>
  <c r="Q101" i="16"/>
  <c r="R101" i="16" s="1"/>
  <c r="X101" i="16" s="1"/>
  <c r="O101" i="16"/>
  <c r="L102" i="11"/>
  <c r="N98" i="11"/>
  <c r="P98" i="11"/>
  <c r="AE98" i="11"/>
  <c r="AC98" i="11"/>
  <c r="Y183" i="16"/>
  <c r="AF180" i="16"/>
  <c r="AJ180" i="16"/>
  <c r="AI180" i="16" s="1"/>
  <c r="AH180" i="16"/>
  <c r="AN180" i="16" s="1"/>
  <c r="W183" i="16"/>
  <c r="J187" i="16"/>
  <c r="L188" i="16"/>
  <c r="AS99" i="11"/>
  <c r="AV99" i="11" s="1"/>
  <c r="AU99" i="11"/>
  <c r="J99" i="11"/>
  <c r="AP99" i="11" s="1"/>
  <c r="M102" i="16"/>
  <c r="AM102" i="16" s="1"/>
  <c r="A102" i="16" s="1"/>
  <c r="B102" i="16" s="1"/>
  <c r="C102" i="16" s="1"/>
  <c r="AC102" i="16"/>
  <c r="N102" i="16"/>
  <c r="P102" i="16"/>
  <c r="Q97" i="11"/>
  <c r="R97" i="11" s="1"/>
  <c r="X97" i="11" s="1"/>
  <c r="O97" i="11"/>
  <c r="AJ181" i="16"/>
  <c r="AI181" i="16" s="1"/>
  <c r="AF181" i="16"/>
  <c r="AH181" i="16"/>
  <c r="AN181" i="16" s="1"/>
  <c r="AP103" i="16"/>
  <c r="K103" i="16"/>
  <c r="N105" i="27" l="1"/>
  <c r="AD105" i="27"/>
  <c r="H109" i="27"/>
  <c r="AR108" i="27"/>
  <c r="AB108" i="27" s="1"/>
  <c r="AQ108" i="27"/>
  <c r="AT108" i="27" s="1"/>
  <c r="AW108" i="27" s="1"/>
  <c r="O105" i="27"/>
  <c r="Q105" i="27"/>
  <c r="R105" i="27" s="1"/>
  <c r="Y105" i="27" s="1"/>
  <c r="O104" i="27"/>
  <c r="Q104" i="27"/>
  <c r="R104" i="27" s="1"/>
  <c r="Y104" i="27" s="1"/>
  <c r="K106" i="27"/>
  <c r="M106" i="27" s="1"/>
  <c r="AM106" i="27" s="1"/>
  <c r="AU107" i="27"/>
  <c r="J107" i="27"/>
  <c r="AZ107" i="27" s="1"/>
  <c r="AP107" i="27" s="1"/>
  <c r="AS107" i="27"/>
  <c r="AV107" i="27" s="1"/>
  <c r="E184" i="29"/>
  <c r="F184" i="29"/>
  <c r="AU104" i="29"/>
  <c r="AS104" i="29"/>
  <c r="AV104" i="29" s="1"/>
  <c r="AA104" i="29"/>
  <c r="O184" i="29"/>
  <c r="Q184" i="29"/>
  <c r="R184" i="29" s="1"/>
  <c r="X184" i="29" s="1"/>
  <c r="M185" i="29"/>
  <c r="AO185" i="29" s="1"/>
  <c r="N185" i="29"/>
  <c r="P185" i="29"/>
  <c r="AC185" i="29"/>
  <c r="K102" i="29"/>
  <c r="Q100" i="29"/>
  <c r="R100" i="29" s="1"/>
  <c r="X100" i="29" s="1"/>
  <c r="O100" i="29"/>
  <c r="L104" i="29"/>
  <c r="J104" i="29" s="1"/>
  <c r="J103" i="29"/>
  <c r="L188" i="29"/>
  <c r="J187" i="29"/>
  <c r="M101" i="29"/>
  <c r="AM101" i="29" s="1"/>
  <c r="A101" i="29" s="1"/>
  <c r="B101" i="29" s="1"/>
  <c r="C101" i="29" s="1"/>
  <c r="P101" i="29"/>
  <c r="AC101" i="29"/>
  <c r="N101" i="29"/>
  <c r="K186" i="29"/>
  <c r="AE99" i="11"/>
  <c r="AC99" i="11"/>
  <c r="O185" i="16"/>
  <c r="Q185" i="16"/>
  <c r="R185" i="16" s="1"/>
  <c r="X185" i="16" s="1"/>
  <c r="L103" i="11"/>
  <c r="M103" i="16"/>
  <c r="AM103" i="16" s="1"/>
  <c r="A103" i="16" s="1"/>
  <c r="B103" i="16" s="1"/>
  <c r="C103" i="16" s="1"/>
  <c r="P103" i="16"/>
  <c r="N103" i="16"/>
  <c r="AC103" i="16"/>
  <c r="Q102" i="16"/>
  <c r="R102" i="16" s="1"/>
  <c r="X102" i="16" s="1"/>
  <c r="O102" i="16"/>
  <c r="AH98" i="11"/>
  <c r="P99" i="11"/>
  <c r="N99" i="11"/>
  <c r="AU100" i="11"/>
  <c r="AS100" i="11"/>
  <c r="AV100" i="11" s="1"/>
  <c r="J100" i="11"/>
  <c r="AP100" i="11" s="1"/>
  <c r="M104" i="16"/>
  <c r="AM104" i="16" s="1"/>
  <c r="A104" i="16" s="1"/>
  <c r="B104" i="16" s="1"/>
  <c r="C104" i="16" s="1"/>
  <c r="P104" i="16"/>
  <c r="N104" i="16"/>
  <c r="AC104" i="16"/>
  <c r="M186" i="16"/>
  <c r="AM186" i="16" s="1"/>
  <c r="AC186" i="16"/>
  <c r="N186" i="16"/>
  <c r="P186" i="16"/>
  <c r="AR101" i="11"/>
  <c r="AQ101" i="11"/>
  <c r="AT101" i="11" s="1"/>
  <c r="AW101" i="11" s="1"/>
  <c r="H102" i="11"/>
  <c r="T185" i="16"/>
  <c r="K187" i="16"/>
  <c r="AP187" i="16"/>
  <c r="Y184" i="16"/>
  <c r="V182" i="16"/>
  <c r="AY182" i="16"/>
  <c r="AX182" i="16"/>
  <c r="J188" i="16"/>
  <c r="L189" i="16"/>
  <c r="J189" i="16" s="1"/>
  <c r="AH99" i="11"/>
  <c r="Z183" i="16"/>
  <c r="U183" i="16"/>
  <c r="O98" i="11"/>
  <c r="Q98" i="11"/>
  <c r="R98" i="11" s="1"/>
  <c r="X98" i="11" s="1"/>
  <c r="W184" i="16"/>
  <c r="AB182" i="16"/>
  <c r="AG182" i="16" s="1"/>
  <c r="AK182" i="16" s="1"/>
  <c r="AD182" i="16"/>
  <c r="AE182" i="16" s="1"/>
  <c r="K107" i="27" l="1"/>
  <c r="M107" i="27" s="1"/>
  <c r="AM107" i="27" s="1"/>
  <c r="P106" i="27"/>
  <c r="Q106" i="27" s="1"/>
  <c r="R106" i="27" s="1"/>
  <c r="Y106" i="27" s="1"/>
  <c r="AD107" i="27"/>
  <c r="AD106" i="27"/>
  <c r="N106" i="27"/>
  <c r="AU108" i="27"/>
  <c r="J108" i="27"/>
  <c r="AZ108" i="27" s="1"/>
  <c r="AP108" i="27" s="1"/>
  <c r="AS108" i="27"/>
  <c r="AV108" i="27" s="1"/>
  <c r="H110" i="27"/>
  <c r="AR109" i="27"/>
  <c r="AB109" i="27" s="1"/>
  <c r="AQ109" i="27"/>
  <c r="AT109" i="27" s="1"/>
  <c r="AW109" i="27" s="1"/>
  <c r="F185" i="29"/>
  <c r="E185" i="29"/>
  <c r="J188" i="29"/>
  <c r="L189" i="29"/>
  <c r="J189" i="29" s="1"/>
  <c r="K188" i="29"/>
  <c r="Q101" i="29"/>
  <c r="R101" i="29" s="1"/>
  <c r="X101" i="29" s="1"/>
  <c r="O101" i="29"/>
  <c r="K103" i="29"/>
  <c r="K104" i="29"/>
  <c r="M102" i="29"/>
  <c r="AM102" i="29" s="1"/>
  <c r="A102" i="29" s="1"/>
  <c r="B102" i="29" s="1"/>
  <c r="C102" i="29" s="1"/>
  <c r="P102" i="29"/>
  <c r="N102" i="29"/>
  <c r="AC102" i="29"/>
  <c r="K187" i="29"/>
  <c r="M186" i="29"/>
  <c r="AO186" i="29" s="1"/>
  <c r="P186" i="29"/>
  <c r="N186" i="29"/>
  <c r="AC186" i="29"/>
  <c r="Q185" i="29"/>
  <c r="R185" i="29" s="1"/>
  <c r="X185" i="29" s="1"/>
  <c r="O185" i="29"/>
  <c r="W185" i="16"/>
  <c r="U185" i="16" s="1"/>
  <c r="V185" i="16" s="1"/>
  <c r="AY183" i="16"/>
  <c r="V183" i="16"/>
  <c r="AX183" i="16"/>
  <c r="AC187" i="16"/>
  <c r="M187" i="16"/>
  <c r="AM187" i="16" s="1"/>
  <c r="P187" i="16"/>
  <c r="N187" i="16"/>
  <c r="T186" i="16"/>
  <c r="Q104" i="16"/>
  <c r="R104" i="16" s="1"/>
  <c r="X104" i="16" s="1"/>
  <c r="O104" i="16"/>
  <c r="AE100" i="11"/>
  <c r="AC100" i="11"/>
  <c r="N100" i="11"/>
  <c r="P100" i="11"/>
  <c r="Q99" i="11"/>
  <c r="R99" i="11" s="1"/>
  <c r="X99" i="11" s="1"/>
  <c r="O99" i="11"/>
  <c r="AS101" i="11"/>
  <c r="AV101" i="11" s="1"/>
  <c r="AU101" i="11"/>
  <c r="J101" i="11"/>
  <c r="AP101" i="11" s="1"/>
  <c r="AD183" i="16"/>
  <c r="AE183" i="16" s="1"/>
  <c r="AB183" i="16"/>
  <c r="AG183" i="16" s="1"/>
  <c r="AK183" i="16" s="1"/>
  <c r="Q186" i="16"/>
  <c r="R186" i="16" s="1"/>
  <c r="X186" i="16" s="1"/>
  <c r="O186" i="16"/>
  <c r="Z184" i="16"/>
  <c r="U184" i="16"/>
  <c r="K188" i="16"/>
  <c r="AP188" i="16"/>
  <c r="AF182" i="16"/>
  <c r="AJ182" i="16"/>
  <c r="AI182" i="16" s="1"/>
  <c r="AH182" i="16"/>
  <c r="AN182" i="16" s="1"/>
  <c r="Y185" i="16"/>
  <c r="H103" i="11"/>
  <c r="AR102" i="11"/>
  <c r="AQ102" i="11"/>
  <c r="AT102" i="11" s="1"/>
  <c r="AW102" i="11" s="1"/>
  <c r="AP189" i="16"/>
  <c r="K189" i="16"/>
  <c r="O103" i="16"/>
  <c r="Q103" i="16"/>
  <c r="R103" i="16" s="1"/>
  <c r="X103" i="16" s="1"/>
  <c r="L104" i="11"/>
  <c r="P107" i="27" l="1"/>
  <c r="Q107" i="27" s="1"/>
  <c r="R107" i="27" s="1"/>
  <c r="Y107" i="27" s="1"/>
  <c r="O106" i="27"/>
  <c r="N107" i="27"/>
  <c r="O107" i="27"/>
  <c r="AS109" i="27"/>
  <c r="AV109" i="27" s="1"/>
  <c r="AU109" i="27"/>
  <c r="J109" i="27"/>
  <c r="AZ109" i="27" s="1"/>
  <c r="AP109" i="27" s="1"/>
  <c r="H111" i="27"/>
  <c r="AQ110" i="27"/>
  <c r="AT110" i="27" s="1"/>
  <c r="AW110" i="27" s="1"/>
  <c r="AR110" i="27"/>
  <c r="AB110" i="27" s="1"/>
  <c r="K108" i="27"/>
  <c r="M108" i="27" s="1"/>
  <c r="AM108" i="27" s="1"/>
  <c r="E186" i="29"/>
  <c r="F186" i="29"/>
  <c r="K189" i="29"/>
  <c r="M187" i="29"/>
  <c r="AO187" i="29" s="1"/>
  <c r="AC187" i="29"/>
  <c r="P187" i="29"/>
  <c r="N187" i="29"/>
  <c r="Q102" i="29"/>
  <c r="R102" i="29" s="1"/>
  <c r="X102" i="29" s="1"/>
  <c r="O102" i="29"/>
  <c r="M103" i="29"/>
  <c r="AM103" i="29" s="1"/>
  <c r="A103" i="29" s="1"/>
  <c r="B103" i="29" s="1"/>
  <c r="C103" i="29" s="1"/>
  <c r="AC103" i="29"/>
  <c r="N103" i="29"/>
  <c r="P103" i="29"/>
  <c r="M188" i="29"/>
  <c r="AO188" i="29" s="1"/>
  <c r="AC188" i="29"/>
  <c r="P188" i="29"/>
  <c r="N188" i="29"/>
  <c r="O186" i="29"/>
  <c r="Q186" i="29"/>
  <c r="R186" i="29" s="1"/>
  <c r="X186" i="29" s="1"/>
  <c r="M104" i="29"/>
  <c r="AM104" i="29" s="1"/>
  <c r="A104" i="29" s="1"/>
  <c r="B104" i="29" s="1"/>
  <c r="C104" i="29" s="1"/>
  <c r="P104" i="29"/>
  <c r="N104" i="29"/>
  <c r="AC104" i="29"/>
  <c r="Z185" i="16"/>
  <c r="AR103" i="11"/>
  <c r="AQ103" i="11"/>
  <c r="AT103" i="11" s="1"/>
  <c r="AW103" i="11" s="1"/>
  <c r="H104" i="11"/>
  <c r="AY185" i="16"/>
  <c r="AX184" i="16"/>
  <c r="V184" i="16"/>
  <c r="AY184" i="16"/>
  <c r="AE101" i="11"/>
  <c r="AC101" i="11"/>
  <c r="O100" i="11"/>
  <c r="Q100" i="11"/>
  <c r="R100" i="11" s="1"/>
  <c r="X100" i="11" s="1"/>
  <c r="Y186" i="16"/>
  <c r="AB185" i="16"/>
  <c r="AG185" i="16" s="1"/>
  <c r="AK185" i="16" s="1"/>
  <c r="AD185" i="16"/>
  <c r="AE185" i="16" s="1"/>
  <c r="AD184" i="16"/>
  <c r="AE184" i="16" s="1"/>
  <c r="AB184" i="16"/>
  <c r="AG184" i="16" s="1"/>
  <c r="AK184" i="16" s="1"/>
  <c r="W186" i="16"/>
  <c r="T187" i="16"/>
  <c r="M189" i="16"/>
  <c r="AM189" i="16" s="1"/>
  <c r="P189" i="16"/>
  <c r="N189" i="16"/>
  <c r="AC189" i="16"/>
  <c r="AX185" i="16"/>
  <c r="M188" i="16"/>
  <c r="AM188" i="16" s="1"/>
  <c r="N188" i="16"/>
  <c r="AC188" i="16"/>
  <c r="P188" i="16"/>
  <c r="P101" i="11"/>
  <c r="N101" i="11"/>
  <c r="AH100" i="11"/>
  <c r="Q187" i="16"/>
  <c r="R187" i="16" s="1"/>
  <c r="X187" i="16" s="1"/>
  <c r="O187" i="16"/>
  <c r="AU102" i="11"/>
  <c r="AS102" i="11"/>
  <c r="AV102" i="11" s="1"/>
  <c r="J102" i="11"/>
  <c r="AP102" i="11" s="1"/>
  <c r="AF183" i="16"/>
  <c r="AJ183" i="16"/>
  <c r="AI183" i="16" s="1"/>
  <c r="AH183" i="16"/>
  <c r="AN183" i="16" s="1"/>
  <c r="L105" i="11"/>
  <c r="H112" i="27" l="1"/>
  <c r="AQ111" i="27"/>
  <c r="AT111" i="27" s="1"/>
  <c r="AW111" i="27" s="1"/>
  <c r="AR111" i="27"/>
  <c r="AB111" i="27" s="1"/>
  <c r="P108" i="27"/>
  <c r="AD108" i="27"/>
  <c r="J110" i="27"/>
  <c r="AZ110" i="27" s="1"/>
  <c r="AP110" i="27" s="1"/>
  <c r="AS110" i="27"/>
  <c r="AV110" i="27" s="1"/>
  <c r="AU110" i="27"/>
  <c r="N108" i="27"/>
  <c r="K109" i="27"/>
  <c r="M109" i="27" s="1"/>
  <c r="AM109" i="27" s="1"/>
  <c r="E187" i="29"/>
  <c r="F187" i="29"/>
  <c r="AC189" i="29"/>
  <c r="M189" i="29"/>
  <c r="AO189" i="29" s="1"/>
  <c r="N189" i="29"/>
  <c r="P189" i="29"/>
  <c r="F188" i="29"/>
  <c r="E188" i="29"/>
  <c r="O187" i="29"/>
  <c r="Q187" i="29"/>
  <c r="R187" i="29" s="1"/>
  <c r="X187" i="29" s="1"/>
  <c r="Q188" i="29"/>
  <c r="R188" i="29" s="1"/>
  <c r="X188" i="29" s="1"/>
  <c r="O188" i="29"/>
  <c r="Q104" i="29"/>
  <c r="R104" i="29" s="1"/>
  <c r="X104" i="29" s="1"/>
  <c r="O104" i="29"/>
  <c r="Q103" i="29"/>
  <c r="R103" i="29" s="1"/>
  <c r="X103" i="29" s="1"/>
  <c r="O103" i="29"/>
  <c r="L106" i="11"/>
  <c r="T189" i="16"/>
  <c r="N102" i="11"/>
  <c r="P102" i="11"/>
  <c r="Q188" i="16"/>
  <c r="R188" i="16" s="1"/>
  <c r="X188" i="16" s="1"/>
  <c r="O188" i="16"/>
  <c r="O189" i="16"/>
  <c r="Q189" i="16"/>
  <c r="R189" i="16" s="1"/>
  <c r="X189" i="16" s="1"/>
  <c r="AJ184" i="16"/>
  <c r="AI184" i="16" s="1"/>
  <c r="AF184" i="16"/>
  <c r="AH184" i="16"/>
  <c r="AN184" i="16" s="1"/>
  <c r="AH101" i="11"/>
  <c r="AE102" i="11"/>
  <c r="AH102" i="11" s="1"/>
  <c r="AC102" i="11"/>
  <c r="Y187" i="16"/>
  <c r="Z186" i="16"/>
  <c r="U186" i="16"/>
  <c r="AF185" i="16"/>
  <c r="AJ185" i="16"/>
  <c r="AI185" i="16" s="1"/>
  <c r="AH185" i="16"/>
  <c r="AN185" i="16" s="1"/>
  <c r="AS103" i="11"/>
  <c r="AV103" i="11" s="1"/>
  <c r="AU103" i="11"/>
  <c r="J103" i="11"/>
  <c r="AP103" i="11" s="1"/>
  <c r="T188" i="16"/>
  <c r="W187" i="16"/>
  <c r="H105" i="11"/>
  <c r="AR104" i="11"/>
  <c r="AQ104" i="11"/>
  <c r="AT104" i="11" s="1"/>
  <c r="AW104" i="11" s="1"/>
  <c r="Q101" i="11"/>
  <c r="R101" i="11" s="1"/>
  <c r="X101" i="11" s="1"/>
  <c r="O101" i="11"/>
  <c r="N109" i="27" l="1"/>
  <c r="P109" i="27"/>
  <c r="Q109" i="27"/>
  <c r="R109" i="27" s="1"/>
  <c r="Y109" i="27" s="1"/>
  <c r="O109" i="27"/>
  <c r="H113" i="27"/>
  <c r="AQ112" i="27"/>
  <c r="AT112" i="27" s="1"/>
  <c r="AW112" i="27" s="1"/>
  <c r="AR112" i="27"/>
  <c r="AB112" i="27" s="1"/>
  <c r="AS111" i="27"/>
  <c r="AV111" i="27" s="1"/>
  <c r="AU111" i="27"/>
  <c r="J111" i="27"/>
  <c r="AZ111" i="27" s="1"/>
  <c r="AP111" i="27" s="1"/>
  <c r="K110" i="27"/>
  <c r="M110" i="27" s="1"/>
  <c r="AM110" i="27" s="1"/>
  <c r="Q108" i="27"/>
  <c r="R108" i="27" s="1"/>
  <c r="Y108" i="27" s="1"/>
  <c r="O108" i="27"/>
  <c r="AD109" i="27"/>
  <c r="O189" i="29"/>
  <c r="Q189" i="29"/>
  <c r="R189" i="29" s="1"/>
  <c r="X189" i="29" s="1"/>
  <c r="E189" i="29"/>
  <c r="F189" i="29"/>
  <c r="W188" i="16"/>
  <c r="AE103" i="11"/>
  <c r="AC103" i="11"/>
  <c r="L107" i="11"/>
  <c r="P103" i="11"/>
  <c r="N103" i="11"/>
  <c r="AU104" i="11"/>
  <c r="AS104" i="11"/>
  <c r="AV104" i="11" s="1"/>
  <c r="J104" i="11"/>
  <c r="AP104" i="11" s="1"/>
  <c r="Y189" i="16"/>
  <c r="Z188" i="16"/>
  <c r="U188" i="16"/>
  <c r="AY188" i="16" s="1"/>
  <c r="AD186" i="16"/>
  <c r="AE186" i="16" s="1"/>
  <c r="AB186" i="16"/>
  <c r="AG186" i="16" s="1"/>
  <c r="AK186" i="16" s="1"/>
  <c r="O102" i="11"/>
  <c r="Q102" i="11"/>
  <c r="R102" i="11" s="1"/>
  <c r="X102" i="11" s="1"/>
  <c r="AR105" i="11"/>
  <c r="AQ105" i="11"/>
  <c r="AT105" i="11" s="1"/>
  <c r="AW105" i="11" s="1"/>
  <c r="H106" i="11"/>
  <c r="Z187" i="16"/>
  <c r="U187" i="16"/>
  <c r="Y188" i="16"/>
  <c r="AY186" i="16"/>
  <c r="AX186" i="16"/>
  <c r="V186" i="16"/>
  <c r="W189" i="16"/>
  <c r="P110" i="27" l="1"/>
  <c r="O110" i="27" s="1"/>
  <c r="AD110" i="27"/>
  <c r="AU112" i="27"/>
  <c r="J112" i="27"/>
  <c r="AZ112" i="27" s="1"/>
  <c r="AP112" i="27" s="1"/>
  <c r="AS112" i="27"/>
  <c r="AV112" i="27" s="1"/>
  <c r="H114" i="27"/>
  <c r="AQ113" i="27"/>
  <c r="AT113" i="27" s="1"/>
  <c r="AW113" i="27" s="1"/>
  <c r="AR113" i="27"/>
  <c r="AB113" i="27" s="1"/>
  <c r="N110" i="27"/>
  <c r="K111" i="27"/>
  <c r="M111" i="27" s="1"/>
  <c r="AM111" i="27" s="1"/>
  <c r="V188" i="16"/>
  <c r="AX188" i="16"/>
  <c r="U189" i="16"/>
  <c r="Z189" i="16"/>
  <c r="H107" i="11"/>
  <c r="AR106" i="11"/>
  <c r="AQ106" i="11"/>
  <c r="AT106" i="11" s="1"/>
  <c r="AW106" i="11" s="1"/>
  <c r="AD188" i="16"/>
  <c r="AE188" i="16" s="1"/>
  <c r="AB188" i="16"/>
  <c r="AG188" i="16" s="1"/>
  <c r="AK188" i="16" s="1"/>
  <c r="AD187" i="16"/>
  <c r="AE187" i="16" s="1"/>
  <c r="AB187" i="16"/>
  <c r="AG187" i="16" s="1"/>
  <c r="AK187" i="16" s="1"/>
  <c r="AS105" i="11"/>
  <c r="AV105" i="11" s="1"/>
  <c r="AU105" i="11"/>
  <c r="J105" i="11"/>
  <c r="AP105" i="11" s="1"/>
  <c r="N104" i="11"/>
  <c r="P104" i="11"/>
  <c r="Q103" i="11"/>
  <c r="R103" i="11" s="1"/>
  <c r="X103" i="11" s="1"/>
  <c r="O103" i="11"/>
  <c r="AX187" i="16"/>
  <c r="AY187" i="16"/>
  <c r="V187" i="16"/>
  <c r="AE104" i="11"/>
  <c r="AH104" i="11" s="1"/>
  <c r="AC104" i="11"/>
  <c r="AH103" i="11"/>
  <c r="AF186" i="16"/>
  <c r="AJ186" i="16"/>
  <c r="AI186" i="16" s="1"/>
  <c r="AH186" i="16"/>
  <c r="AN186" i="16" s="1"/>
  <c r="Q110" i="27" l="1"/>
  <c r="R110" i="27" s="1"/>
  <c r="Y110" i="27" s="1"/>
  <c r="H115" i="27"/>
  <c r="AQ114" i="27"/>
  <c r="AT114" i="27" s="1"/>
  <c r="AW114" i="27" s="1"/>
  <c r="AR114" i="27"/>
  <c r="AB114" i="27" s="1"/>
  <c r="AD111" i="27"/>
  <c r="K112" i="27"/>
  <c r="M112" i="27" s="1"/>
  <c r="AM112" i="27" s="1"/>
  <c r="N111" i="27"/>
  <c r="AS113" i="27"/>
  <c r="AV113" i="27" s="1"/>
  <c r="J113" i="27"/>
  <c r="AZ113" i="27" s="1"/>
  <c r="AP113" i="27" s="1"/>
  <c r="AU113" i="27"/>
  <c r="P111" i="27"/>
  <c r="AF187" i="16"/>
  <c r="AJ187" i="16"/>
  <c r="AI187" i="16" s="1"/>
  <c r="AH187" i="16"/>
  <c r="AN187" i="16" s="1"/>
  <c r="P105" i="11"/>
  <c r="N105" i="11"/>
  <c r="O104" i="11"/>
  <c r="Q104" i="11"/>
  <c r="R104" i="11" s="1"/>
  <c r="X104" i="11" s="1"/>
  <c r="AU106" i="11"/>
  <c r="AS106" i="11"/>
  <c r="AV106" i="11" s="1"/>
  <c r="J106" i="11"/>
  <c r="AP106" i="11" s="1"/>
  <c r="AE105" i="11"/>
  <c r="AH105" i="11" s="1"/>
  <c r="AC105" i="11"/>
  <c r="AR107" i="11"/>
  <c r="AQ107" i="11"/>
  <c r="AT107" i="11" s="1"/>
  <c r="AW107" i="11" s="1"/>
  <c r="AB189" i="16"/>
  <c r="AG189" i="16" s="1"/>
  <c r="AK189" i="16" s="1"/>
  <c r="AD189" i="16"/>
  <c r="AE189" i="16" s="1"/>
  <c r="AJ188" i="16"/>
  <c r="AI188" i="16" s="1"/>
  <c r="AF188" i="16"/>
  <c r="AH188" i="16"/>
  <c r="AN188" i="16" s="1"/>
  <c r="AY189" i="16"/>
  <c r="AX189" i="16"/>
  <c r="V189" i="16"/>
  <c r="AD112" i="27" l="1"/>
  <c r="K113" i="27"/>
  <c r="M113" i="27" s="1"/>
  <c r="AM113" i="27" s="1"/>
  <c r="Q111" i="27"/>
  <c r="R111" i="27" s="1"/>
  <c r="Y111" i="27" s="1"/>
  <c r="O111" i="27"/>
  <c r="J114" i="27"/>
  <c r="AZ114" i="27" s="1"/>
  <c r="AP114" i="27" s="1"/>
  <c r="AS114" i="27"/>
  <c r="AV114" i="27" s="1"/>
  <c r="AU114" i="27"/>
  <c r="N112" i="27"/>
  <c r="P112" i="27"/>
  <c r="H116" i="27"/>
  <c r="AR115" i="27"/>
  <c r="AB115" i="27" s="1"/>
  <c r="AQ115" i="27"/>
  <c r="AT115" i="27" s="1"/>
  <c r="AW115" i="27" s="1"/>
  <c r="AF189" i="16"/>
  <c r="AJ189" i="16"/>
  <c r="AI189" i="16" s="1"/>
  <c r="AH189" i="16"/>
  <c r="AN189" i="16" s="1"/>
  <c r="AE106" i="11"/>
  <c r="AH106" i="11" s="1"/>
  <c r="AC106" i="11"/>
  <c r="Q105" i="11"/>
  <c r="R105" i="11" s="1"/>
  <c r="X105" i="11" s="1"/>
  <c r="O105" i="11"/>
  <c r="AS107" i="11"/>
  <c r="AV107" i="11" s="1"/>
  <c r="AU107" i="11"/>
  <c r="J107" i="11"/>
  <c r="AP107" i="11" s="1"/>
  <c r="N106" i="11"/>
  <c r="P106" i="11"/>
  <c r="N113" i="27" l="1"/>
  <c r="P113" i="27"/>
  <c r="AD113" i="27"/>
  <c r="Q113" i="27"/>
  <c r="R113" i="27" s="1"/>
  <c r="Y113" i="27" s="1"/>
  <c r="O113" i="27"/>
  <c r="O112" i="27"/>
  <c r="Q112" i="27"/>
  <c r="R112" i="27" s="1"/>
  <c r="Y112" i="27" s="1"/>
  <c r="AS115" i="27"/>
  <c r="AV115" i="27" s="1"/>
  <c r="J115" i="27"/>
  <c r="AZ115" i="27" s="1"/>
  <c r="AP115" i="27" s="1"/>
  <c r="AU115" i="27"/>
  <c r="K114" i="27"/>
  <c r="M114" i="27" s="1"/>
  <c r="AM114" i="27" s="1"/>
  <c r="H117" i="27"/>
  <c r="AQ116" i="27"/>
  <c r="AT116" i="27" s="1"/>
  <c r="AW116" i="27" s="1"/>
  <c r="AR116" i="27"/>
  <c r="AB116" i="27" s="1"/>
  <c r="P107" i="11"/>
  <c r="N107" i="11"/>
  <c r="O106" i="11"/>
  <c r="Q106" i="11"/>
  <c r="R106" i="11" s="1"/>
  <c r="X106" i="11" s="1"/>
  <c r="AE107" i="11"/>
  <c r="AC107" i="11"/>
  <c r="K115" i="27" l="1"/>
  <c r="M115" i="27" s="1"/>
  <c r="AM115" i="27" s="1"/>
  <c r="AD114" i="27"/>
  <c r="N114" i="27"/>
  <c r="J116" i="27"/>
  <c r="AZ116" i="27" s="1"/>
  <c r="AP116" i="27" s="1"/>
  <c r="AU116" i="27"/>
  <c r="AS116" i="27"/>
  <c r="AV116" i="27" s="1"/>
  <c r="AD115" i="27"/>
  <c r="P114" i="27"/>
  <c r="H118" i="27"/>
  <c r="AQ117" i="27"/>
  <c r="AT117" i="27" s="1"/>
  <c r="AW117" i="27" s="1"/>
  <c r="AR117" i="27"/>
  <c r="AB117" i="27" s="1"/>
  <c r="Q107" i="11"/>
  <c r="R107" i="11" s="1"/>
  <c r="X107" i="11" s="1"/>
  <c r="O107" i="11"/>
  <c r="AH107" i="11"/>
  <c r="P115" i="27" l="1"/>
  <c r="Q115" i="27" s="1"/>
  <c r="R115" i="27" s="1"/>
  <c r="Y115" i="27" s="1"/>
  <c r="N115" i="27"/>
  <c r="Q114" i="27"/>
  <c r="R114" i="27" s="1"/>
  <c r="Y114" i="27" s="1"/>
  <c r="O114" i="27"/>
  <c r="O115" i="27"/>
  <c r="AS117" i="27"/>
  <c r="AV117" i="27" s="1"/>
  <c r="J117" i="27"/>
  <c r="AZ117" i="27" s="1"/>
  <c r="AP117" i="27" s="1"/>
  <c r="AU117" i="27"/>
  <c r="H119" i="27"/>
  <c r="AQ118" i="27"/>
  <c r="AT118" i="27" s="1"/>
  <c r="AW118" i="27" s="1"/>
  <c r="AR118" i="27"/>
  <c r="AB118" i="27" s="1"/>
  <c r="K116" i="27"/>
  <c r="M116" i="27" s="1"/>
  <c r="AM116" i="27" s="1"/>
  <c r="K117" i="27" l="1"/>
  <c r="M117" i="27" s="1"/>
  <c r="AM117" i="27" s="1"/>
  <c r="J118" i="27"/>
  <c r="AZ118" i="27" s="1"/>
  <c r="AP118" i="27" s="1"/>
  <c r="AU118" i="27"/>
  <c r="AS118" i="27"/>
  <c r="AV118" i="27" s="1"/>
  <c r="AD116" i="27"/>
  <c r="N116" i="27"/>
  <c r="H120" i="27"/>
  <c r="AR119" i="27"/>
  <c r="AB119" i="27" s="1"/>
  <c r="AQ119" i="27"/>
  <c r="AT119" i="27" s="1"/>
  <c r="AW119" i="27" s="1"/>
  <c r="P116" i="27"/>
  <c r="P117" i="27" l="1"/>
  <c r="N117" i="27"/>
  <c r="AD117" i="27"/>
  <c r="K118" i="27"/>
  <c r="M118" i="27" s="1"/>
  <c r="AM118" i="27" s="1"/>
  <c r="AS119" i="27"/>
  <c r="AV119" i="27" s="1"/>
  <c r="AU119" i="27"/>
  <c r="J119" i="27"/>
  <c r="AZ119" i="27" s="1"/>
  <c r="AP119" i="27" s="1"/>
  <c r="H121" i="27"/>
  <c r="AR120" i="27"/>
  <c r="AB120" i="27" s="1"/>
  <c r="AQ120" i="27"/>
  <c r="AT120" i="27" s="1"/>
  <c r="AW120" i="27" s="1"/>
  <c r="Q116" i="27"/>
  <c r="R116" i="27" s="1"/>
  <c r="Y116" i="27" s="1"/>
  <c r="O116" i="27"/>
  <c r="O117" i="27"/>
  <c r="Q117" i="27"/>
  <c r="R117" i="27" s="1"/>
  <c r="Y117" i="27" s="1"/>
  <c r="AD118" i="27" l="1"/>
  <c r="P118" i="27"/>
  <c r="N118" i="27"/>
  <c r="O118" i="27"/>
  <c r="Q118" i="27"/>
  <c r="R118" i="27" s="1"/>
  <c r="Y118" i="27" s="1"/>
  <c r="AU120" i="27"/>
  <c r="AS120" i="27"/>
  <c r="AV120" i="27" s="1"/>
  <c r="J120" i="27"/>
  <c r="AZ120" i="27" s="1"/>
  <c r="AP120" i="27" s="1"/>
  <c r="K119" i="27"/>
  <c r="M119" i="27" s="1"/>
  <c r="AM119" i="27" s="1"/>
  <c r="H122" i="27"/>
  <c r="AR121" i="27"/>
  <c r="AB121" i="27" s="1"/>
  <c r="AQ121" i="27"/>
  <c r="AT121" i="27" s="1"/>
  <c r="AW121" i="27" s="1"/>
  <c r="AD119" i="27" l="1"/>
  <c r="P119" i="27"/>
  <c r="Q119" i="27" s="1"/>
  <c r="R119" i="27" s="1"/>
  <c r="Y119" i="27" s="1"/>
  <c r="H123" i="27"/>
  <c r="AQ122" i="27"/>
  <c r="AT122" i="27" s="1"/>
  <c r="AW122" i="27" s="1"/>
  <c r="AR122" i="27"/>
  <c r="AB122" i="27" s="1"/>
  <c r="AS121" i="27"/>
  <c r="AV121" i="27" s="1"/>
  <c r="AU121" i="27"/>
  <c r="J121" i="27"/>
  <c r="AZ121" i="27" s="1"/>
  <c r="AP121" i="27" s="1"/>
  <c r="N119" i="27"/>
  <c r="K120" i="27"/>
  <c r="P120" i="27" s="1"/>
  <c r="AD120" i="27" l="1"/>
  <c r="O119" i="27"/>
  <c r="J122" i="27"/>
  <c r="AZ122" i="27" s="1"/>
  <c r="AP122" i="27" s="1"/>
  <c r="AS122" i="27"/>
  <c r="AV122" i="27" s="1"/>
  <c r="AU122" i="27"/>
  <c r="K121" i="27"/>
  <c r="M121" i="27" s="1"/>
  <c r="AM121" i="27" s="1"/>
  <c r="Q120" i="27"/>
  <c r="R120" i="27" s="1"/>
  <c r="Y120" i="27" s="1"/>
  <c r="O120" i="27"/>
  <c r="N120" i="27"/>
  <c r="M120" i="27"/>
  <c r="AM120" i="27" s="1"/>
  <c r="H124" i="27"/>
  <c r="AR123" i="27"/>
  <c r="AB123" i="27" s="1"/>
  <c r="AQ123" i="27"/>
  <c r="AT123" i="27" s="1"/>
  <c r="AW123" i="27" s="1"/>
  <c r="AS123" i="27" l="1"/>
  <c r="AV123" i="27" s="1"/>
  <c r="AU123" i="27"/>
  <c r="J123" i="27"/>
  <c r="AZ123" i="27" s="1"/>
  <c r="AP123" i="27" s="1"/>
  <c r="H125" i="27"/>
  <c r="AR124" i="27"/>
  <c r="AB124" i="27" s="1"/>
  <c r="AQ124" i="27"/>
  <c r="AT124" i="27" s="1"/>
  <c r="AW124" i="27" s="1"/>
  <c r="P121" i="27"/>
  <c r="AD121" i="27"/>
  <c r="K122" i="27"/>
  <c r="M122" i="27" s="1"/>
  <c r="AM122" i="27" s="1"/>
  <c r="N121" i="27"/>
  <c r="O121" i="27" l="1"/>
  <c r="Q121" i="27"/>
  <c r="R121" i="27" s="1"/>
  <c r="Y121" i="27" s="1"/>
  <c r="H126" i="27"/>
  <c r="AQ125" i="27"/>
  <c r="AT125" i="27" s="1"/>
  <c r="AW125" i="27" s="1"/>
  <c r="AR125" i="27"/>
  <c r="AB125" i="27" s="1"/>
  <c r="AD122" i="27"/>
  <c r="AU124" i="27"/>
  <c r="AS124" i="27"/>
  <c r="AV124" i="27" s="1"/>
  <c r="J124" i="27"/>
  <c r="AZ124" i="27" s="1"/>
  <c r="AP124" i="27" s="1"/>
  <c r="K123" i="27"/>
  <c r="M123" i="27" s="1"/>
  <c r="AM123" i="27" s="1"/>
  <c r="P122" i="27"/>
  <c r="N122" i="27"/>
  <c r="AD123" i="27" l="1"/>
  <c r="Q122" i="27"/>
  <c r="R122" i="27" s="1"/>
  <c r="Y122" i="27" s="1"/>
  <c r="O122" i="27"/>
  <c r="N123" i="27"/>
  <c r="H127" i="27"/>
  <c r="AR126" i="27"/>
  <c r="AB126" i="27" s="1"/>
  <c r="AQ126" i="27"/>
  <c r="AT126" i="27" s="1"/>
  <c r="AW126" i="27" s="1"/>
  <c r="P123" i="27"/>
  <c r="K124" i="27"/>
  <c r="M124" i="27" s="1"/>
  <c r="AM124" i="27" s="1"/>
  <c r="AU125" i="27"/>
  <c r="AS125" i="27"/>
  <c r="AV125" i="27" s="1"/>
  <c r="J125" i="27"/>
  <c r="AZ125" i="27" s="1"/>
  <c r="AP125" i="27" s="1"/>
  <c r="N124" i="27" l="1"/>
  <c r="P124" i="27"/>
  <c r="O124" i="27" s="1"/>
  <c r="H128" i="27"/>
  <c r="AR127" i="27"/>
  <c r="AB127" i="27" s="1"/>
  <c r="AQ127" i="27"/>
  <c r="AT127" i="27" s="1"/>
  <c r="AW127" i="27" s="1"/>
  <c r="AD124" i="27"/>
  <c r="J126" i="27"/>
  <c r="AZ126" i="27" s="1"/>
  <c r="AP126" i="27" s="1"/>
  <c r="AU126" i="27"/>
  <c r="AS126" i="27"/>
  <c r="AV126" i="27" s="1"/>
  <c r="K125" i="27"/>
  <c r="M125" i="27" s="1"/>
  <c r="AM125" i="27" s="1"/>
  <c r="O123" i="27"/>
  <c r="Q123" i="27"/>
  <c r="R123" i="27" s="1"/>
  <c r="Y123" i="27" s="1"/>
  <c r="K126" i="27" l="1"/>
  <c r="M126" i="27" s="1"/>
  <c r="AM126" i="27" s="1"/>
  <c r="Q124" i="27"/>
  <c r="R124" i="27" s="1"/>
  <c r="Y124" i="27" s="1"/>
  <c r="AD125" i="27"/>
  <c r="N126" i="27"/>
  <c r="H129" i="27"/>
  <c r="AR128" i="27"/>
  <c r="AB128" i="27" s="1"/>
  <c r="AQ128" i="27"/>
  <c r="AT128" i="27" s="1"/>
  <c r="AW128" i="27" s="1"/>
  <c r="AS127" i="27"/>
  <c r="AV127" i="27" s="1"/>
  <c r="J127" i="27"/>
  <c r="AZ127" i="27" s="1"/>
  <c r="AP127" i="27" s="1"/>
  <c r="AU127" i="27"/>
  <c r="N125" i="27"/>
  <c r="P125" i="27"/>
  <c r="P126" i="27" l="1"/>
  <c r="Q126" i="27" s="1"/>
  <c r="R126" i="27" s="1"/>
  <c r="Y126" i="27" s="1"/>
  <c r="AD126" i="27"/>
  <c r="K127" i="27"/>
  <c r="M127" i="27" s="1"/>
  <c r="AM127" i="27" s="1"/>
  <c r="J128" i="27"/>
  <c r="AZ128" i="27" s="1"/>
  <c r="AP128" i="27" s="1"/>
  <c r="AU128" i="27"/>
  <c r="AS128" i="27"/>
  <c r="AV128" i="27" s="1"/>
  <c r="H130" i="27"/>
  <c r="AQ129" i="27"/>
  <c r="AT129" i="27" s="1"/>
  <c r="AW129" i="27" s="1"/>
  <c r="AR129" i="27"/>
  <c r="AB129" i="27" s="1"/>
  <c r="O126" i="27"/>
  <c r="O125" i="27"/>
  <c r="Q125" i="27"/>
  <c r="R125" i="27" s="1"/>
  <c r="Y125" i="27" s="1"/>
  <c r="K128" i="27" l="1"/>
  <c r="M128" i="27" s="1"/>
  <c r="AM128" i="27" s="1"/>
  <c r="N127" i="27"/>
  <c r="AD127" i="27"/>
  <c r="P127" i="27"/>
  <c r="Q127" i="27" s="1"/>
  <c r="R127" i="27" s="1"/>
  <c r="Y127" i="27" s="1"/>
  <c r="N128" i="27"/>
  <c r="AS129" i="27"/>
  <c r="AV129" i="27" s="1"/>
  <c r="J129" i="27"/>
  <c r="AZ129" i="27" s="1"/>
  <c r="AP129" i="27" s="1"/>
  <c r="AU129" i="27"/>
  <c r="AD128" i="27"/>
  <c r="H131" i="27"/>
  <c r="AQ130" i="27"/>
  <c r="AT130" i="27" s="1"/>
  <c r="AW130" i="27" s="1"/>
  <c r="AR130" i="27"/>
  <c r="AB130" i="27" s="1"/>
  <c r="O127" i="27" l="1"/>
  <c r="P128" i="27"/>
  <c r="O128" i="27" s="1"/>
  <c r="H132" i="27"/>
  <c r="AR131" i="27"/>
  <c r="AB131" i="27" s="1"/>
  <c r="AQ131" i="27"/>
  <c r="AT131" i="27" s="1"/>
  <c r="AW131" i="27" s="1"/>
  <c r="K129" i="27"/>
  <c r="M129" i="27" s="1"/>
  <c r="AM129" i="27" s="1"/>
  <c r="Q128" i="27"/>
  <c r="R128" i="27" s="1"/>
  <c r="Y128" i="27" s="1"/>
  <c r="AS130" i="27"/>
  <c r="AV130" i="27" s="1"/>
  <c r="J130" i="27"/>
  <c r="AZ130" i="27" s="1"/>
  <c r="AP130" i="27" s="1"/>
  <c r="AU130" i="27"/>
  <c r="AD129" i="27" l="1"/>
  <c r="J131" i="27"/>
  <c r="AZ131" i="27" s="1"/>
  <c r="AP131" i="27" s="1"/>
  <c r="AS131" i="27"/>
  <c r="AV131" i="27" s="1"/>
  <c r="AU131" i="27"/>
  <c r="H133" i="27"/>
  <c r="AQ132" i="27"/>
  <c r="AT132" i="27" s="1"/>
  <c r="AW132" i="27" s="1"/>
  <c r="AR132" i="27"/>
  <c r="AB132" i="27" s="1"/>
  <c r="K130" i="27"/>
  <c r="M130" i="27" s="1"/>
  <c r="AM130" i="27" s="1"/>
  <c r="P129" i="27"/>
  <c r="N129" i="27"/>
  <c r="K131" i="27" l="1"/>
  <c r="M131" i="27" s="1"/>
  <c r="AM131" i="27" s="1"/>
  <c r="AD130" i="27"/>
  <c r="H134" i="27"/>
  <c r="AQ133" i="27"/>
  <c r="AT133" i="27" s="1"/>
  <c r="AW133" i="27" s="1"/>
  <c r="AR133" i="27"/>
  <c r="AB133" i="27" s="1"/>
  <c r="N130" i="27"/>
  <c r="P131" i="27"/>
  <c r="AU132" i="27"/>
  <c r="AS132" i="27"/>
  <c r="AV132" i="27" s="1"/>
  <c r="J132" i="27"/>
  <c r="AZ132" i="27" s="1"/>
  <c r="AP132" i="27" s="1"/>
  <c r="Q129" i="27"/>
  <c r="R129" i="27" s="1"/>
  <c r="Y129" i="27" s="1"/>
  <c r="O129" i="27"/>
  <c r="P130" i="27"/>
  <c r="N131" i="27" l="1"/>
  <c r="AD131" i="27"/>
  <c r="H135" i="27"/>
  <c r="AR134" i="27"/>
  <c r="AB134" i="27" s="1"/>
  <c r="AQ134" i="27"/>
  <c r="AT134" i="27" s="1"/>
  <c r="AW134" i="27" s="1"/>
  <c r="AU133" i="27"/>
  <c r="AS133" i="27"/>
  <c r="AV133" i="27" s="1"/>
  <c r="J133" i="27"/>
  <c r="AZ133" i="27" s="1"/>
  <c r="AP133" i="27" s="1"/>
  <c r="Q131" i="27"/>
  <c r="R131" i="27" s="1"/>
  <c r="Y131" i="27" s="1"/>
  <c r="O131" i="27"/>
  <c r="Q130" i="27"/>
  <c r="R130" i="27" s="1"/>
  <c r="Y130" i="27" s="1"/>
  <c r="O130" i="27"/>
  <c r="K132" i="27"/>
  <c r="M132" i="27" s="1"/>
  <c r="AM132" i="27" s="1"/>
  <c r="K133" i="27" l="1"/>
  <c r="M133" i="27" s="1"/>
  <c r="AM133" i="27" s="1"/>
  <c r="P132" i="27"/>
  <c r="N132" i="27"/>
  <c r="AD132" i="27"/>
  <c r="N133" i="27"/>
  <c r="J134" i="27"/>
  <c r="AZ134" i="27" s="1"/>
  <c r="AP134" i="27" s="1"/>
  <c r="AS134" i="27"/>
  <c r="AV134" i="27" s="1"/>
  <c r="AU134" i="27"/>
  <c r="Q132" i="27"/>
  <c r="R132" i="27" s="1"/>
  <c r="Y132" i="27" s="1"/>
  <c r="O132" i="27"/>
  <c r="H136" i="27"/>
  <c r="AR135" i="27"/>
  <c r="AB135" i="27" s="1"/>
  <c r="AQ135" i="27"/>
  <c r="AT135" i="27" s="1"/>
  <c r="AW135" i="27" s="1"/>
  <c r="AD133" i="27" l="1"/>
  <c r="P133" i="27"/>
  <c r="Q133" i="27" s="1"/>
  <c r="R133" i="27" s="1"/>
  <c r="Y133" i="27" s="1"/>
  <c r="K134" i="27"/>
  <c r="P134" i="27" s="1"/>
  <c r="O133" i="27"/>
  <c r="AU135" i="27"/>
  <c r="AS135" i="27"/>
  <c r="AV135" i="27" s="1"/>
  <c r="J135" i="27"/>
  <c r="AZ135" i="27" s="1"/>
  <c r="AP135" i="27" s="1"/>
  <c r="AD134" i="27"/>
  <c r="H137" i="27"/>
  <c r="AQ136" i="27"/>
  <c r="AT136" i="27" s="1"/>
  <c r="AW136" i="27" s="1"/>
  <c r="AR136" i="27"/>
  <c r="AB136" i="27" s="1"/>
  <c r="AU136" i="27" l="1"/>
  <c r="AS136" i="27"/>
  <c r="AV136" i="27" s="1"/>
  <c r="J136" i="27"/>
  <c r="AZ136" i="27" s="1"/>
  <c r="AP136" i="27" s="1"/>
  <c r="H138" i="27"/>
  <c r="AQ137" i="27"/>
  <c r="AT137" i="27" s="1"/>
  <c r="AW137" i="27" s="1"/>
  <c r="AR137" i="27"/>
  <c r="AB137" i="27" s="1"/>
  <c r="K135" i="27"/>
  <c r="M135" i="27" s="1"/>
  <c r="AM135" i="27" s="1"/>
  <c r="Q134" i="27"/>
  <c r="R134" i="27" s="1"/>
  <c r="Y134" i="27" s="1"/>
  <c r="O134" i="27"/>
  <c r="N134" i="27"/>
  <c r="M134" i="27"/>
  <c r="AM134" i="27" s="1"/>
  <c r="A188" i="16"/>
  <c r="A187" i="16"/>
  <c r="A184" i="16"/>
  <c r="A181" i="16"/>
  <c r="A178" i="16"/>
  <c r="A175" i="16"/>
  <c r="A172" i="16"/>
  <c r="A169" i="16"/>
  <c r="A166" i="16"/>
  <c r="A163" i="16"/>
  <c r="A160" i="16"/>
  <c r="A157" i="16"/>
  <c r="A154" i="16"/>
  <c r="A151" i="16"/>
  <c r="A148" i="16"/>
  <c r="A145" i="16"/>
  <c r="A142" i="16"/>
  <c r="A139" i="16"/>
  <c r="A136" i="16"/>
  <c r="A133" i="16"/>
  <c r="A130" i="16"/>
  <c r="A127" i="16"/>
  <c r="A124" i="16"/>
  <c r="A121" i="16"/>
  <c r="A189" i="16"/>
  <c r="A186" i="16"/>
  <c r="A183" i="16"/>
  <c r="A180" i="16"/>
  <c r="A177" i="16"/>
  <c r="A174" i="16"/>
  <c r="A171" i="16"/>
  <c r="A168" i="16"/>
  <c r="A179" i="16"/>
  <c r="A170" i="16"/>
  <c r="A155" i="16"/>
  <c r="A153" i="16"/>
  <c r="A137" i="16"/>
  <c r="A135" i="16"/>
  <c r="A122" i="16"/>
  <c r="A110" i="16"/>
  <c r="A152" i="16"/>
  <c r="A150" i="16"/>
  <c r="A134" i="16"/>
  <c r="A132" i="16"/>
  <c r="A119" i="16"/>
  <c r="A116" i="16"/>
  <c r="A113" i="16"/>
  <c r="A182" i="16"/>
  <c r="A173" i="16"/>
  <c r="A167" i="16"/>
  <c r="A165" i="16"/>
  <c r="A149" i="16"/>
  <c r="A147" i="16"/>
  <c r="A131" i="16"/>
  <c r="A129" i="16"/>
  <c r="A120" i="16"/>
  <c r="A164" i="16"/>
  <c r="A162" i="16"/>
  <c r="A158" i="16"/>
  <c r="A128" i="16"/>
  <c r="A126" i="16"/>
  <c r="A112" i="16"/>
  <c r="A185" i="16"/>
  <c r="A159" i="16"/>
  <c r="A138" i="16"/>
  <c r="A115" i="16"/>
  <c r="A111" i="16"/>
  <c r="A143" i="16"/>
  <c r="A118" i="16"/>
  <c r="A114" i="16"/>
  <c r="A117" i="16"/>
  <c r="A161" i="16"/>
  <c r="A144" i="16"/>
  <c r="A141" i="16"/>
  <c r="A125" i="16"/>
  <c r="A146" i="16"/>
  <c r="A140" i="16"/>
  <c r="A123" i="16"/>
  <c r="A176" i="16"/>
  <c r="A156" i="16"/>
  <c r="E189" i="16"/>
  <c r="E185" i="16"/>
  <c r="E182" i="16"/>
  <c r="E179" i="16"/>
  <c r="E176" i="16"/>
  <c r="E173" i="16"/>
  <c r="E170" i="16"/>
  <c r="E167" i="16"/>
  <c r="E164" i="16"/>
  <c r="E161" i="16"/>
  <c r="E158" i="16"/>
  <c r="E155" i="16"/>
  <c r="E152" i="16"/>
  <c r="E149" i="16"/>
  <c r="E146" i="16"/>
  <c r="E143" i="16"/>
  <c r="E140" i="16"/>
  <c r="E137" i="16"/>
  <c r="E134" i="16"/>
  <c r="E131" i="16"/>
  <c r="E128" i="16"/>
  <c r="E125" i="16"/>
  <c r="E122" i="16"/>
  <c r="E187" i="16"/>
  <c r="E184" i="16"/>
  <c r="E181" i="16"/>
  <c r="E178" i="16"/>
  <c r="E175" i="16"/>
  <c r="E172" i="16"/>
  <c r="E169" i="16"/>
  <c r="E166" i="16"/>
  <c r="E165" i="16"/>
  <c r="E148" i="16"/>
  <c r="E147" i="16"/>
  <c r="E130" i="16"/>
  <c r="E129" i="16"/>
  <c r="E188" i="16"/>
  <c r="E183" i="16"/>
  <c r="E174" i="16"/>
  <c r="E163" i="16"/>
  <c r="E162" i="16"/>
  <c r="E145" i="16"/>
  <c r="E144" i="16"/>
  <c r="E127" i="16"/>
  <c r="E126" i="16"/>
  <c r="E124" i="16"/>
  <c r="E117" i="16"/>
  <c r="E114" i="16"/>
  <c r="E111" i="16"/>
  <c r="E160" i="16"/>
  <c r="E159" i="16"/>
  <c r="E142" i="16"/>
  <c r="E141" i="16"/>
  <c r="E123" i="16"/>
  <c r="E110" i="16"/>
  <c r="E154" i="16"/>
  <c r="E151" i="16"/>
  <c r="E139" i="16"/>
  <c r="E118" i="16"/>
  <c r="E116" i="16"/>
  <c r="E177" i="16"/>
  <c r="E119" i="16"/>
  <c r="E156" i="16"/>
  <c r="E150" i="16"/>
  <c r="E135" i="16"/>
  <c r="E186" i="16"/>
  <c r="E115" i="16"/>
  <c r="E112" i="16"/>
  <c r="E171" i="16"/>
  <c r="E121" i="16"/>
  <c r="E120" i="16"/>
  <c r="E153" i="16"/>
  <c r="E136" i="16"/>
  <c r="E157" i="16"/>
  <c r="E132" i="16"/>
  <c r="E113" i="16"/>
  <c r="E180" i="16"/>
  <c r="E168" i="16"/>
  <c r="E133" i="16"/>
  <c r="E138" i="16"/>
  <c r="P135" i="27" l="1"/>
  <c r="K136" i="27"/>
  <c r="M136" i="27" s="1"/>
  <c r="AM136" i="27" s="1"/>
  <c r="N135" i="27"/>
  <c r="Q135" i="27"/>
  <c r="R135" i="27" s="1"/>
  <c r="Y135" i="27" s="1"/>
  <c r="O135" i="27"/>
  <c r="N136" i="27"/>
  <c r="AD135" i="27"/>
  <c r="AU137" i="27"/>
  <c r="AS137" i="27"/>
  <c r="AV137" i="27" s="1"/>
  <c r="J137" i="27"/>
  <c r="AZ137" i="27" s="1"/>
  <c r="AP137" i="27" s="1"/>
  <c r="AD136" i="27"/>
  <c r="H139" i="27"/>
  <c r="AQ138" i="27"/>
  <c r="AT138" i="27" s="1"/>
  <c r="AW138" i="27" s="1"/>
  <c r="AR138" i="27"/>
  <c r="AB138" i="27" s="1"/>
  <c r="B189" i="16"/>
  <c r="B186" i="16"/>
  <c r="B183" i="16"/>
  <c r="B180" i="16"/>
  <c r="B177" i="16"/>
  <c r="B174" i="16"/>
  <c r="B171" i="16"/>
  <c r="B168" i="16"/>
  <c r="B165" i="16"/>
  <c r="B162" i="16"/>
  <c r="B159" i="16"/>
  <c r="B156" i="16"/>
  <c r="B153" i="16"/>
  <c r="B150" i="16"/>
  <c r="B147" i="16"/>
  <c r="B144" i="16"/>
  <c r="B141" i="16"/>
  <c r="B138" i="16"/>
  <c r="B135" i="16"/>
  <c r="B132" i="16"/>
  <c r="B129" i="16"/>
  <c r="B126" i="16"/>
  <c r="B188" i="16"/>
  <c r="B187" i="16"/>
  <c r="B178" i="16"/>
  <c r="B169" i="16"/>
  <c r="B157" i="16"/>
  <c r="B152" i="16"/>
  <c r="B139" i="16"/>
  <c r="B134" i="16"/>
  <c r="B119" i="16"/>
  <c r="B116" i="16"/>
  <c r="B113" i="16"/>
  <c r="B182" i="16"/>
  <c r="B173" i="16"/>
  <c r="B167" i="16"/>
  <c r="B154" i="16"/>
  <c r="B149" i="16"/>
  <c r="B136" i="16"/>
  <c r="B131" i="16"/>
  <c r="B121" i="16"/>
  <c r="B120" i="16"/>
  <c r="B181" i="16"/>
  <c r="B172" i="16"/>
  <c r="B164" i="16"/>
  <c r="B151" i="16"/>
  <c r="B146" i="16"/>
  <c r="B133" i="16"/>
  <c r="B128" i="16"/>
  <c r="B118" i="16"/>
  <c r="B115" i="16"/>
  <c r="B112" i="16"/>
  <c r="B185" i="16"/>
  <c r="B145" i="16"/>
  <c r="B111" i="16"/>
  <c r="B175" i="16"/>
  <c r="B170" i="16"/>
  <c r="B143" i="16"/>
  <c r="B122" i="16"/>
  <c r="B114" i="16"/>
  <c r="B110" i="16"/>
  <c r="B176" i="16"/>
  <c r="B166" i="16"/>
  <c r="B155" i="16"/>
  <c r="B142" i="16"/>
  <c r="B140" i="16"/>
  <c r="B130" i="16"/>
  <c r="B124" i="16"/>
  <c r="B117" i="16"/>
  <c r="B184" i="16"/>
  <c r="B161" i="16"/>
  <c r="B160" i="16"/>
  <c r="B158" i="16"/>
  <c r="B148" i="16"/>
  <c r="B179" i="16"/>
  <c r="B163" i="16"/>
  <c r="B125" i="16"/>
  <c r="B137" i="16"/>
  <c r="B123" i="16"/>
  <c r="B127" i="16"/>
  <c r="P136" i="27" l="1"/>
  <c r="K137" i="27"/>
  <c r="M137" i="27" s="1"/>
  <c r="AM137" i="27" s="1"/>
  <c r="J138" i="27"/>
  <c r="AZ138" i="27" s="1"/>
  <c r="AP138" i="27" s="1"/>
  <c r="AS138" i="27"/>
  <c r="AV138" i="27" s="1"/>
  <c r="AU138" i="27"/>
  <c r="K138" i="27"/>
  <c r="M138" i="27" s="1"/>
  <c r="AM138" i="27" s="1"/>
  <c r="O136" i="27"/>
  <c r="Q136" i="27"/>
  <c r="R136" i="27" s="1"/>
  <c r="Y136" i="27" s="1"/>
  <c r="H140" i="27"/>
  <c r="AQ139" i="27"/>
  <c r="AT139" i="27" s="1"/>
  <c r="AW139" i="27" s="1"/>
  <c r="AR139" i="27"/>
  <c r="AB139" i="27" s="1"/>
  <c r="C186" i="16"/>
  <c r="C183" i="16"/>
  <c r="C180" i="16"/>
  <c r="C177" i="16"/>
  <c r="C174" i="16"/>
  <c r="C171" i="16"/>
  <c r="C168" i="16"/>
  <c r="C165" i="16"/>
  <c r="C162" i="16"/>
  <c r="C159" i="16"/>
  <c r="C156" i="16"/>
  <c r="C153" i="16"/>
  <c r="C150" i="16"/>
  <c r="C147" i="16"/>
  <c r="C144" i="16"/>
  <c r="C141" i="16"/>
  <c r="C138" i="16"/>
  <c r="C135" i="16"/>
  <c r="C132" i="16"/>
  <c r="C129" i="16"/>
  <c r="C126" i="16"/>
  <c r="C123" i="16"/>
  <c r="C120" i="16"/>
  <c r="C188" i="16"/>
  <c r="C185" i="16"/>
  <c r="C182" i="16"/>
  <c r="C179" i="16"/>
  <c r="C176" i="16"/>
  <c r="C173" i="16"/>
  <c r="C170" i="16"/>
  <c r="C189" i="16"/>
  <c r="C167" i="16"/>
  <c r="C154" i="16"/>
  <c r="C149" i="16"/>
  <c r="C136" i="16"/>
  <c r="C131" i="16"/>
  <c r="C121" i="16"/>
  <c r="C181" i="16"/>
  <c r="C172" i="16"/>
  <c r="C164" i="16"/>
  <c r="C151" i="16"/>
  <c r="C146" i="16"/>
  <c r="C133" i="16"/>
  <c r="C128" i="16"/>
  <c r="C118" i="16"/>
  <c r="C115" i="16"/>
  <c r="C112" i="16"/>
  <c r="C166" i="16"/>
  <c r="C161" i="16"/>
  <c r="C148" i="16"/>
  <c r="C143" i="16"/>
  <c r="C130" i="16"/>
  <c r="C125" i="16"/>
  <c r="C187" i="16"/>
  <c r="C175" i="16"/>
  <c r="C122" i="16"/>
  <c r="C114" i="16"/>
  <c r="C110" i="16"/>
  <c r="C155" i="16"/>
  <c r="C142" i="16"/>
  <c r="C140" i="16"/>
  <c r="C124" i="16"/>
  <c r="C117" i="16"/>
  <c r="C113" i="16"/>
  <c r="C178" i="16"/>
  <c r="C163" i="16"/>
  <c r="C139" i="16"/>
  <c r="C134" i="16"/>
  <c r="C127" i="16"/>
  <c r="C116" i="16"/>
  <c r="C184" i="16"/>
  <c r="C160" i="16"/>
  <c r="C158" i="16"/>
  <c r="C157" i="16"/>
  <c r="C152" i="16"/>
  <c r="C119" i="16"/>
  <c r="C169" i="16"/>
  <c r="C145" i="16"/>
  <c r="C111" i="16"/>
  <c r="C137" i="16"/>
  <c r="AD137" i="27" l="1"/>
  <c r="N137" i="27"/>
  <c r="P137" i="27"/>
  <c r="O137" i="27" s="1"/>
  <c r="Q137" i="27"/>
  <c r="R137" i="27" s="1"/>
  <c r="Y137" i="27" s="1"/>
  <c r="N138" i="27"/>
  <c r="P138" i="27"/>
  <c r="AS139" i="27"/>
  <c r="AV139" i="27" s="1"/>
  <c r="AU139" i="27"/>
  <c r="J139" i="27"/>
  <c r="AZ139" i="27" s="1"/>
  <c r="AP139" i="27" s="1"/>
  <c r="H141" i="27"/>
  <c r="AR140" i="27"/>
  <c r="AB140" i="27" s="1"/>
  <c r="AQ140" i="27"/>
  <c r="AT140" i="27" s="1"/>
  <c r="AW140" i="27" s="1"/>
  <c r="AD138" i="27"/>
  <c r="H142" i="27" l="1"/>
  <c r="AQ141" i="27"/>
  <c r="AT141" i="27" s="1"/>
  <c r="AW141" i="27" s="1"/>
  <c r="AR141" i="27"/>
  <c r="AB141" i="27" s="1"/>
  <c r="Q138" i="27"/>
  <c r="R138" i="27" s="1"/>
  <c r="Y138" i="27" s="1"/>
  <c r="O138" i="27"/>
  <c r="K139" i="27"/>
  <c r="M139" i="27" s="1"/>
  <c r="AM139" i="27" s="1"/>
  <c r="J140" i="27"/>
  <c r="AZ140" i="27" s="1"/>
  <c r="AP140" i="27" s="1"/>
  <c r="AU140" i="27"/>
  <c r="AS140" i="27"/>
  <c r="AV140" i="27" s="1"/>
  <c r="AD139" i="27" l="1"/>
  <c r="H143" i="27"/>
  <c r="AR142" i="27"/>
  <c r="AB142" i="27" s="1"/>
  <c r="AQ142" i="27"/>
  <c r="AT142" i="27" s="1"/>
  <c r="AW142" i="27" s="1"/>
  <c r="AU141" i="27"/>
  <c r="J141" i="27"/>
  <c r="AZ141" i="27" s="1"/>
  <c r="AP141" i="27" s="1"/>
  <c r="AS141" i="27"/>
  <c r="AV141" i="27" s="1"/>
  <c r="P139" i="27"/>
  <c r="K140" i="27"/>
  <c r="M140" i="27" s="1"/>
  <c r="AM140" i="27" s="1"/>
  <c r="N139" i="27"/>
  <c r="K141" i="27" l="1"/>
  <c r="M141" i="27" s="1"/>
  <c r="AM141" i="27" s="1"/>
  <c r="O139" i="27"/>
  <c r="Q139" i="27"/>
  <c r="R139" i="27" s="1"/>
  <c r="Y139" i="27" s="1"/>
  <c r="AD140" i="27"/>
  <c r="N140" i="27"/>
  <c r="P140" i="27"/>
  <c r="AD141" i="27"/>
  <c r="AU142" i="27"/>
  <c r="AS142" i="27"/>
  <c r="AV142" i="27" s="1"/>
  <c r="J142" i="27"/>
  <c r="AZ142" i="27" s="1"/>
  <c r="AP142" i="27" s="1"/>
  <c r="AQ143" i="27"/>
  <c r="AT143" i="27" s="1"/>
  <c r="AW143" i="27" s="1"/>
  <c r="AR143" i="27"/>
  <c r="AB143" i="27" s="1"/>
  <c r="H148" i="27"/>
  <c r="P141" i="27" l="1"/>
  <c r="N141" i="27"/>
  <c r="AU143" i="27"/>
  <c r="AS143" i="27"/>
  <c r="AV143" i="27" s="1"/>
  <c r="J143" i="27"/>
  <c r="AZ143" i="27" s="1"/>
  <c r="AP143" i="27" s="1"/>
  <c r="AQ148" i="27"/>
  <c r="AT148" i="27" s="1"/>
  <c r="AW148" i="27" s="1"/>
  <c r="H149" i="27"/>
  <c r="AR148" i="27"/>
  <c r="AB148" i="27" s="1"/>
  <c r="Q141" i="27"/>
  <c r="R141" i="27" s="1"/>
  <c r="Y141" i="27" s="1"/>
  <c r="O141" i="27"/>
  <c r="K142" i="27"/>
  <c r="M142" i="27" s="1"/>
  <c r="AM142" i="27" s="1"/>
  <c r="Q140" i="27"/>
  <c r="R140" i="27" s="1"/>
  <c r="Y140" i="27" s="1"/>
  <c r="O140" i="27"/>
  <c r="J148" i="27" l="1"/>
  <c r="AZ148" i="27" s="1"/>
  <c r="AP148" i="27" s="1"/>
  <c r="AS148" i="27"/>
  <c r="AV148" i="27" s="1"/>
  <c r="AU148" i="27"/>
  <c r="H150" i="27"/>
  <c r="AQ149" i="27"/>
  <c r="AT149" i="27" s="1"/>
  <c r="AW149" i="27" s="1"/>
  <c r="AR149" i="27"/>
  <c r="AB149" i="27" s="1"/>
  <c r="P142" i="27"/>
  <c r="K143" i="27"/>
  <c r="M143" i="27" s="1"/>
  <c r="AM143" i="27" s="1"/>
  <c r="N142" i="27"/>
  <c r="AD142" i="27"/>
  <c r="AD143" i="27" l="1"/>
  <c r="J149" i="27"/>
  <c r="AZ149" i="27" s="1"/>
  <c r="AP149" i="27" s="1"/>
  <c r="AU149" i="27"/>
  <c r="AS149" i="27"/>
  <c r="AV149" i="27" s="1"/>
  <c r="AF148" i="27"/>
  <c r="AI148" i="27" s="1"/>
  <c r="AQ150" i="27"/>
  <c r="AT150" i="27" s="1"/>
  <c r="AW150" i="27" s="1"/>
  <c r="H151" i="27"/>
  <c r="AR150" i="27"/>
  <c r="AB150" i="27" s="1"/>
  <c r="N143" i="27"/>
  <c r="Q142" i="27"/>
  <c r="R142" i="27" s="1"/>
  <c r="Y142" i="27" s="1"/>
  <c r="O142" i="27"/>
  <c r="K148" i="27"/>
  <c r="M148" i="27" s="1"/>
  <c r="P143" i="27"/>
  <c r="Q143" i="27" l="1"/>
  <c r="R143" i="27" s="1"/>
  <c r="Y143" i="27" s="1"/>
  <c r="O143" i="27"/>
  <c r="AR151" i="27"/>
  <c r="AB151" i="27" s="1"/>
  <c r="H152" i="27"/>
  <c r="AQ151" i="27"/>
  <c r="AT151" i="27" s="1"/>
  <c r="AW151" i="27" s="1"/>
  <c r="AF149" i="27"/>
  <c r="AI149" i="27" s="1"/>
  <c r="AU150" i="27"/>
  <c r="J150" i="27"/>
  <c r="AZ150" i="27" s="1"/>
  <c r="AP150" i="27" s="1"/>
  <c r="AS150" i="27"/>
  <c r="AV150" i="27" s="1"/>
  <c r="P148" i="27"/>
  <c r="AD148" i="27"/>
  <c r="K149" i="27"/>
  <c r="M149" i="27" s="1"/>
  <c r="N148" i="27"/>
  <c r="K150" i="27" l="1"/>
  <c r="M150" i="27" s="1"/>
  <c r="AS151" i="27"/>
  <c r="AV151" i="27" s="1"/>
  <c r="AU151" i="27"/>
  <c r="J151" i="27"/>
  <c r="AZ151" i="27" s="1"/>
  <c r="AP151" i="27" s="1"/>
  <c r="AR152" i="27"/>
  <c r="AB152" i="27" s="1"/>
  <c r="AQ152" i="27"/>
  <c r="AT152" i="27" s="1"/>
  <c r="AW152" i="27" s="1"/>
  <c r="H153" i="27"/>
  <c r="P149" i="27"/>
  <c r="AF150" i="27"/>
  <c r="AI150" i="27" s="1"/>
  <c r="N149" i="27"/>
  <c r="O148" i="27"/>
  <c r="Q148" i="27"/>
  <c r="R148" i="27" s="1"/>
  <c r="Y148" i="27" s="1"/>
  <c r="AD149" i="27"/>
  <c r="P150" i="27" l="1"/>
  <c r="AD150" i="27"/>
  <c r="N150" i="27"/>
  <c r="AF151" i="27"/>
  <c r="AI151" i="27" s="1"/>
  <c r="O149" i="27"/>
  <c r="Q149" i="27"/>
  <c r="R149" i="27" s="1"/>
  <c r="Y149" i="27" s="1"/>
  <c r="AR153" i="27"/>
  <c r="AB153" i="27" s="1"/>
  <c r="AQ153" i="27"/>
  <c r="AT153" i="27" s="1"/>
  <c r="AW153" i="27" s="1"/>
  <c r="H154" i="27"/>
  <c r="J152" i="27"/>
  <c r="AZ152" i="27" s="1"/>
  <c r="AP152" i="27" s="1"/>
  <c r="AS152" i="27"/>
  <c r="AV152" i="27" s="1"/>
  <c r="AU152" i="27"/>
  <c r="O150" i="27"/>
  <c r="Q150" i="27"/>
  <c r="R150" i="27" s="1"/>
  <c r="Y150" i="27" s="1"/>
  <c r="K151" i="27"/>
  <c r="M151" i="27" s="1"/>
  <c r="N151" i="27" l="1"/>
  <c r="H155" i="27"/>
  <c r="AQ154" i="27"/>
  <c r="AT154" i="27" s="1"/>
  <c r="AW154" i="27" s="1"/>
  <c r="AR154" i="27"/>
  <c r="AB154" i="27" s="1"/>
  <c r="P151" i="27"/>
  <c r="K152" i="27"/>
  <c r="M152" i="27" s="1"/>
  <c r="AF152" i="27"/>
  <c r="AI152" i="27" s="1"/>
  <c r="AS153" i="27"/>
  <c r="AV153" i="27" s="1"/>
  <c r="J153" i="27"/>
  <c r="AZ153" i="27" s="1"/>
  <c r="AP153" i="27" s="1"/>
  <c r="AU153" i="27"/>
  <c r="AD151" i="27"/>
  <c r="Q151" i="27" l="1"/>
  <c r="R151" i="27" s="1"/>
  <c r="Y151" i="27" s="1"/>
  <c r="O151" i="27"/>
  <c r="AU154" i="27"/>
  <c r="AS154" i="27"/>
  <c r="AV154" i="27" s="1"/>
  <c r="J154" i="27"/>
  <c r="AZ154" i="27" s="1"/>
  <c r="AP154" i="27" s="1"/>
  <c r="K153" i="27"/>
  <c r="M153" i="27" s="1"/>
  <c r="AD152" i="27"/>
  <c r="AF153" i="27"/>
  <c r="AI153" i="27" s="1"/>
  <c r="P152" i="27"/>
  <c r="AQ155" i="27"/>
  <c r="AT155" i="27" s="1"/>
  <c r="AW155" i="27" s="1"/>
  <c r="H156" i="27"/>
  <c r="AR155" i="27"/>
  <c r="AB155" i="27" s="1"/>
  <c r="N152" i="27"/>
  <c r="N153" i="27" l="1"/>
  <c r="K154" i="27"/>
  <c r="M154" i="27" s="1"/>
  <c r="P153" i="27"/>
  <c r="AF154" i="27"/>
  <c r="AI154" i="27" s="1"/>
  <c r="AD154" i="27"/>
  <c r="AQ156" i="27"/>
  <c r="AT156" i="27" s="1"/>
  <c r="AW156" i="27" s="1"/>
  <c r="AR156" i="27"/>
  <c r="AB156" i="27" s="1"/>
  <c r="H157" i="27"/>
  <c r="Q152" i="27"/>
  <c r="R152" i="27" s="1"/>
  <c r="Y152" i="27" s="1"/>
  <c r="O152" i="27"/>
  <c r="AS155" i="27"/>
  <c r="AV155" i="27" s="1"/>
  <c r="J155" i="27"/>
  <c r="AZ155" i="27" s="1"/>
  <c r="AP155" i="27" s="1"/>
  <c r="AU155" i="27"/>
  <c r="AD153" i="27"/>
  <c r="P154" i="27"/>
  <c r="N154" i="27"/>
  <c r="O153" i="27" l="1"/>
  <c r="Q153" i="27"/>
  <c r="R153" i="27" s="1"/>
  <c r="Y153" i="27" s="1"/>
  <c r="K155" i="27"/>
  <c r="M155" i="27" s="1"/>
  <c r="AQ157" i="27"/>
  <c r="AT157" i="27" s="1"/>
  <c r="AW157" i="27" s="1"/>
  <c r="AR157" i="27"/>
  <c r="AB157" i="27" s="1"/>
  <c r="H158" i="27"/>
  <c r="Q154" i="27"/>
  <c r="R154" i="27" s="1"/>
  <c r="Y154" i="27" s="1"/>
  <c r="O154" i="27"/>
  <c r="AF155" i="27"/>
  <c r="AI155" i="27" s="1"/>
  <c r="AD155" i="27"/>
  <c r="AS156" i="27"/>
  <c r="AV156" i="27" s="1"/>
  <c r="AU156" i="27"/>
  <c r="J156" i="27"/>
  <c r="AZ156" i="27" s="1"/>
  <c r="AP156" i="27" s="1"/>
  <c r="K156" i="27" l="1"/>
  <c r="M156" i="27" s="1"/>
  <c r="P155" i="27"/>
  <c r="N155" i="27"/>
  <c r="P156" i="27"/>
  <c r="AR158" i="27"/>
  <c r="AB158" i="27" s="1"/>
  <c r="H159" i="27"/>
  <c r="AQ158" i="27"/>
  <c r="AT158" i="27" s="1"/>
  <c r="AW158" i="27" s="1"/>
  <c r="AF156" i="27"/>
  <c r="AI156" i="27" s="1"/>
  <c r="AD156" i="27"/>
  <c r="AU157" i="27"/>
  <c r="AS157" i="27"/>
  <c r="AV157" i="27" s="1"/>
  <c r="J157" i="27"/>
  <c r="AZ157" i="27" s="1"/>
  <c r="AP157" i="27" s="1"/>
  <c r="N156" i="27" l="1"/>
  <c r="H160" i="27"/>
  <c r="AQ159" i="27"/>
  <c r="AT159" i="27" s="1"/>
  <c r="AW159" i="27" s="1"/>
  <c r="AR159" i="27"/>
  <c r="AB159" i="27" s="1"/>
  <c r="O156" i="27"/>
  <c r="Q156" i="27"/>
  <c r="R156" i="27" s="1"/>
  <c r="Y156" i="27" s="1"/>
  <c r="AF157" i="27"/>
  <c r="AI157" i="27" s="1"/>
  <c r="AU158" i="27"/>
  <c r="AS158" i="27"/>
  <c r="AV158" i="27" s="1"/>
  <c r="J158" i="27"/>
  <c r="AZ158" i="27" s="1"/>
  <c r="AP158" i="27" s="1"/>
  <c r="K157" i="27"/>
  <c r="M157" i="27" s="1"/>
  <c r="O155" i="27"/>
  <c r="Q155" i="27"/>
  <c r="R155" i="27" s="1"/>
  <c r="Y155" i="27" s="1"/>
  <c r="P157" i="27" l="1"/>
  <c r="Q157" i="27" s="1"/>
  <c r="R157" i="27" s="1"/>
  <c r="Y157" i="27" s="1"/>
  <c r="N157" i="27"/>
  <c r="AD157" i="27"/>
  <c r="J159" i="27"/>
  <c r="AZ159" i="27" s="1"/>
  <c r="AP159" i="27" s="1"/>
  <c r="AS159" i="27"/>
  <c r="AV159" i="27" s="1"/>
  <c r="AU159" i="27"/>
  <c r="AF158" i="27"/>
  <c r="AI158" i="27" s="1"/>
  <c r="K158" i="27"/>
  <c r="M158" i="27" s="1"/>
  <c r="H161" i="27"/>
  <c r="AQ160" i="27"/>
  <c r="AT160" i="27" s="1"/>
  <c r="AW160" i="27" s="1"/>
  <c r="AR160" i="27"/>
  <c r="AB160" i="27" s="1"/>
  <c r="O157" i="27" l="1"/>
  <c r="N158" i="27"/>
  <c r="P158" i="27"/>
  <c r="Q158" i="27" s="1"/>
  <c r="R158" i="27" s="1"/>
  <c r="Y158" i="27" s="1"/>
  <c r="AS160" i="27"/>
  <c r="AV160" i="27" s="1"/>
  <c r="AU160" i="27"/>
  <c r="J160" i="27"/>
  <c r="AZ160" i="27" s="1"/>
  <c r="AP160" i="27" s="1"/>
  <c r="AD158" i="27"/>
  <c r="AF159" i="27"/>
  <c r="AI159" i="27" s="1"/>
  <c r="H162" i="27"/>
  <c r="AQ161" i="27"/>
  <c r="AT161" i="27" s="1"/>
  <c r="AW161" i="27" s="1"/>
  <c r="AR161" i="27"/>
  <c r="AB161" i="27" s="1"/>
  <c r="K159" i="27"/>
  <c r="M159" i="27" s="1"/>
  <c r="O158" i="27" l="1"/>
  <c r="AF160" i="27"/>
  <c r="AI160" i="27" s="1"/>
  <c r="AS161" i="27"/>
  <c r="AV161" i="27" s="1"/>
  <c r="AU161" i="27"/>
  <c r="J161" i="27"/>
  <c r="AZ161" i="27" s="1"/>
  <c r="AP161" i="27" s="1"/>
  <c r="N159" i="27"/>
  <c r="AD159" i="27"/>
  <c r="AQ162" i="27"/>
  <c r="AT162" i="27" s="1"/>
  <c r="AW162" i="27" s="1"/>
  <c r="H163" i="27"/>
  <c r="AR162" i="27"/>
  <c r="AB162" i="27" s="1"/>
  <c r="K160" i="27"/>
  <c r="M160" i="27" s="1"/>
  <c r="P159" i="27"/>
  <c r="Q159" i="27" l="1"/>
  <c r="R159" i="27" s="1"/>
  <c r="Y159" i="27" s="1"/>
  <c r="O159" i="27"/>
  <c r="N160" i="27"/>
  <c r="AF161" i="27"/>
  <c r="AI161" i="27" s="1"/>
  <c r="AU162" i="27"/>
  <c r="AS162" i="27"/>
  <c r="AV162" i="27" s="1"/>
  <c r="J162" i="27"/>
  <c r="AZ162" i="27" s="1"/>
  <c r="AP162" i="27" s="1"/>
  <c r="P160" i="27"/>
  <c r="AD160" i="27"/>
  <c r="AQ163" i="27"/>
  <c r="AT163" i="27" s="1"/>
  <c r="AW163" i="27" s="1"/>
  <c r="H164" i="27"/>
  <c r="AR163" i="27"/>
  <c r="AB163" i="27" s="1"/>
  <c r="K161" i="27"/>
  <c r="M161" i="27" s="1"/>
  <c r="K162" i="27" l="1"/>
  <c r="M162" i="27" s="1"/>
  <c r="AU163" i="27"/>
  <c r="J163" i="27"/>
  <c r="AZ163" i="27" s="1"/>
  <c r="AP163" i="27" s="1"/>
  <c r="AS163" i="27"/>
  <c r="AV163" i="27" s="1"/>
  <c r="P161" i="27"/>
  <c r="H165" i="27"/>
  <c r="AQ164" i="27"/>
  <c r="AT164" i="27" s="1"/>
  <c r="AW164" i="27" s="1"/>
  <c r="AR164" i="27"/>
  <c r="AB164" i="27" s="1"/>
  <c r="AF162" i="27"/>
  <c r="AI162" i="27" s="1"/>
  <c r="AD162" i="27"/>
  <c r="N161" i="27"/>
  <c r="Q160" i="27"/>
  <c r="R160" i="27" s="1"/>
  <c r="Y160" i="27" s="1"/>
  <c r="O160" i="27"/>
  <c r="AD161" i="27"/>
  <c r="N162" i="27" l="1"/>
  <c r="K163" i="27"/>
  <c r="M163" i="27" s="1"/>
  <c r="P162" i="27"/>
  <c r="Q162" i="27" s="1"/>
  <c r="R162" i="27" s="1"/>
  <c r="Y162" i="27" s="1"/>
  <c r="AF163" i="27"/>
  <c r="AI163" i="27" s="1"/>
  <c r="Q161" i="27"/>
  <c r="R161" i="27" s="1"/>
  <c r="Y161" i="27" s="1"/>
  <c r="O161" i="27"/>
  <c r="AU164" i="27"/>
  <c r="J164" i="27"/>
  <c r="AZ164" i="27" s="1"/>
  <c r="AP164" i="27" s="1"/>
  <c r="AS164" i="27"/>
  <c r="AV164" i="27" s="1"/>
  <c r="O162" i="27"/>
  <c r="H166" i="27"/>
  <c r="AQ165" i="27"/>
  <c r="AT165" i="27" s="1"/>
  <c r="AW165" i="27" s="1"/>
  <c r="AR165" i="27"/>
  <c r="AB165" i="27" s="1"/>
  <c r="AD163" i="27" l="1"/>
  <c r="N163" i="27"/>
  <c r="K164" i="27"/>
  <c r="M164" i="27" s="1"/>
  <c r="P163" i="27"/>
  <c r="O163" i="27" s="1"/>
  <c r="Q163" i="27"/>
  <c r="R163" i="27" s="1"/>
  <c r="Y163" i="27" s="1"/>
  <c r="AR166" i="27"/>
  <c r="AB166" i="27" s="1"/>
  <c r="H167" i="27"/>
  <c r="AQ166" i="27"/>
  <c r="AT166" i="27" s="1"/>
  <c r="AW166" i="27" s="1"/>
  <c r="AF164" i="27"/>
  <c r="AI164" i="27" s="1"/>
  <c r="AS165" i="27"/>
  <c r="AV165" i="27" s="1"/>
  <c r="AU165" i="27"/>
  <c r="J165" i="27"/>
  <c r="AZ165" i="27" s="1"/>
  <c r="AP165" i="27" s="1"/>
  <c r="AD164" i="27" l="1"/>
  <c r="N164" i="27"/>
  <c r="P164" i="27"/>
  <c r="Q164" i="27" s="1"/>
  <c r="R164" i="27" s="1"/>
  <c r="Y164" i="27" s="1"/>
  <c r="K165" i="27"/>
  <c r="M165" i="27" s="1"/>
  <c r="AR167" i="27"/>
  <c r="AB167" i="27" s="1"/>
  <c r="AQ167" i="27"/>
  <c r="AT167" i="27" s="1"/>
  <c r="AW167" i="27" s="1"/>
  <c r="H168" i="27"/>
  <c r="AS166" i="27"/>
  <c r="AV166" i="27" s="1"/>
  <c r="AU166" i="27"/>
  <c r="J166" i="27"/>
  <c r="AZ166" i="27" s="1"/>
  <c r="AP166" i="27" s="1"/>
  <c r="AF165" i="27"/>
  <c r="AI165" i="27" s="1"/>
  <c r="O164" i="27" l="1"/>
  <c r="P165" i="27"/>
  <c r="O165" i="27" s="1"/>
  <c r="AD165" i="27"/>
  <c r="N165" i="27"/>
  <c r="K166" i="27"/>
  <c r="M166" i="27" s="1"/>
  <c r="AF166" i="27"/>
  <c r="AI166" i="27" s="1"/>
  <c r="H169" i="27"/>
  <c r="AQ168" i="27"/>
  <c r="AT168" i="27" s="1"/>
  <c r="AW168" i="27" s="1"/>
  <c r="AR168" i="27"/>
  <c r="AB168" i="27" s="1"/>
  <c r="AU167" i="27"/>
  <c r="AS167" i="27"/>
  <c r="AV167" i="27" s="1"/>
  <c r="J167" i="27"/>
  <c r="AZ167" i="27" s="1"/>
  <c r="AP167" i="27" s="1"/>
  <c r="Q165" i="27" l="1"/>
  <c r="R165" i="27" s="1"/>
  <c r="Y165" i="27" s="1"/>
  <c r="AU168" i="27"/>
  <c r="AS168" i="27"/>
  <c r="AV168" i="27" s="1"/>
  <c r="J168" i="27"/>
  <c r="AZ168" i="27" s="1"/>
  <c r="AP168" i="27" s="1"/>
  <c r="H170" i="27"/>
  <c r="AQ169" i="27"/>
  <c r="AT169" i="27" s="1"/>
  <c r="AW169" i="27" s="1"/>
  <c r="AR169" i="27"/>
  <c r="AB169" i="27" s="1"/>
  <c r="N166" i="27"/>
  <c r="K167" i="27"/>
  <c r="M167" i="27" s="1"/>
  <c r="AF167" i="27"/>
  <c r="AI167" i="27" s="1"/>
  <c r="AD166" i="27"/>
  <c r="P166" i="27"/>
  <c r="AD292" i="17"/>
  <c r="J169" i="27" l="1"/>
  <c r="AZ169" i="27" s="1"/>
  <c r="AP169" i="27" s="1"/>
  <c r="AS169" i="27"/>
  <c r="AV169" i="27" s="1"/>
  <c r="AU169" i="27"/>
  <c r="AF168" i="27"/>
  <c r="AI168" i="27" s="1"/>
  <c r="AD167" i="27"/>
  <c r="AQ170" i="27"/>
  <c r="AT170" i="27" s="1"/>
  <c r="AW170" i="27" s="1"/>
  <c r="AR170" i="27"/>
  <c r="AB170" i="27" s="1"/>
  <c r="H171" i="27"/>
  <c r="N167" i="27"/>
  <c r="Q166" i="27"/>
  <c r="R166" i="27" s="1"/>
  <c r="Y166" i="27" s="1"/>
  <c r="O166" i="27"/>
  <c r="K168" i="27"/>
  <c r="M168" i="27" s="1"/>
  <c r="P167" i="27"/>
  <c r="K169" i="27" l="1"/>
  <c r="M169" i="27" s="1"/>
  <c r="O167" i="27"/>
  <c r="Q167" i="27"/>
  <c r="R167" i="27" s="1"/>
  <c r="Y167" i="27" s="1"/>
  <c r="AU170" i="27"/>
  <c r="AS170" i="27"/>
  <c r="AV170" i="27" s="1"/>
  <c r="J170" i="27"/>
  <c r="AZ170" i="27" s="1"/>
  <c r="AP170" i="27" s="1"/>
  <c r="H172" i="27"/>
  <c r="AQ171" i="27"/>
  <c r="AT171" i="27" s="1"/>
  <c r="AW171" i="27" s="1"/>
  <c r="AR171" i="27"/>
  <c r="AB171" i="27" s="1"/>
  <c r="P169" i="27"/>
  <c r="N168" i="27"/>
  <c r="P168" i="27"/>
  <c r="AD168" i="27"/>
  <c r="AF169" i="27"/>
  <c r="AI169" i="27" s="1"/>
  <c r="AD169" i="27"/>
  <c r="V288" i="17"/>
  <c r="V291" i="17" s="1"/>
  <c r="AD291" i="17"/>
  <c r="N169" i="27" l="1"/>
  <c r="Q169" i="27"/>
  <c r="R169" i="27" s="1"/>
  <c r="Y169" i="27" s="1"/>
  <c r="O169" i="27"/>
  <c r="AU171" i="27"/>
  <c r="J171" i="27"/>
  <c r="AZ171" i="27" s="1"/>
  <c r="AP171" i="27" s="1"/>
  <c r="AS171" i="27"/>
  <c r="AV171" i="27" s="1"/>
  <c r="O168" i="27"/>
  <c r="Q168" i="27"/>
  <c r="R168" i="27" s="1"/>
  <c r="Y168" i="27" s="1"/>
  <c r="AF170" i="27"/>
  <c r="AI170" i="27" s="1"/>
  <c r="AQ172" i="27"/>
  <c r="AT172" i="27" s="1"/>
  <c r="AW172" i="27" s="1"/>
  <c r="AR172" i="27"/>
  <c r="AB172" i="27" s="1"/>
  <c r="H173" i="27"/>
  <c r="K170" i="27"/>
  <c r="M170" i="27" s="1"/>
  <c r="V292" i="17"/>
  <c r="W291" i="17" s="1"/>
  <c r="AF171" i="27" l="1"/>
  <c r="AI171" i="27" s="1"/>
  <c r="AR173" i="27"/>
  <c r="AB173" i="27" s="1"/>
  <c r="AQ173" i="27"/>
  <c r="AT173" i="27" s="1"/>
  <c r="AW173" i="27" s="1"/>
  <c r="H174" i="27"/>
  <c r="J172" i="27"/>
  <c r="AZ172" i="27" s="1"/>
  <c r="AP172" i="27" s="1"/>
  <c r="AU172" i="27"/>
  <c r="AS172" i="27"/>
  <c r="AV172" i="27" s="1"/>
  <c r="P170" i="27"/>
  <c r="N170" i="27"/>
  <c r="AD170" i="27"/>
  <c r="K171" i="27"/>
  <c r="M171" i="27" s="1"/>
  <c r="Y291" i="17"/>
  <c r="Y492" i="17" s="1"/>
  <c r="X291" i="17"/>
  <c r="X492" i="17" s="1"/>
  <c r="AD293" i="17" s="1"/>
  <c r="V293" i="17"/>
  <c r="AQ174" i="27" l="1"/>
  <c r="AT174" i="27" s="1"/>
  <c r="AW174" i="27" s="1"/>
  <c r="H175" i="27"/>
  <c r="AR174" i="27"/>
  <c r="AB174" i="27" s="1"/>
  <c r="AS173" i="27"/>
  <c r="AV173" i="27" s="1"/>
  <c r="AU173" i="27"/>
  <c r="J173" i="27"/>
  <c r="AZ173" i="27" s="1"/>
  <c r="AP173" i="27" s="1"/>
  <c r="N171" i="27"/>
  <c r="AD171" i="27"/>
  <c r="Q170" i="27"/>
  <c r="R170" i="27" s="1"/>
  <c r="Y170" i="27" s="1"/>
  <c r="O170" i="27"/>
  <c r="K172" i="27"/>
  <c r="M172" i="27" s="1"/>
  <c r="P171" i="27"/>
  <c r="AF172" i="27"/>
  <c r="AI172" i="27" s="1"/>
  <c r="V294" i="17"/>
  <c r="W292" i="17"/>
  <c r="AD172" i="27" l="1"/>
  <c r="AF173" i="27"/>
  <c r="AI173" i="27" s="1"/>
  <c r="O171" i="27"/>
  <c r="Q171" i="27"/>
  <c r="R171" i="27" s="1"/>
  <c r="Y171" i="27" s="1"/>
  <c r="N172" i="27"/>
  <c r="AS174" i="27"/>
  <c r="AV174" i="27" s="1"/>
  <c r="AU174" i="27"/>
  <c r="J174" i="27"/>
  <c r="AZ174" i="27" s="1"/>
  <c r="AP174" i="27" s="1"/>
  <c r="P172" i="27"/>
  <c r="K173" i="27"/>
  <c r="M173" i="27" s="1"/>
  <c r="AQ175" i="27"/>
  <c r="AT175" i="27" s="1"/>
  <c r="AW175" i="27" s="1"/>
  <c r="AR175" i="27"/>
  <c r="AB175" i="27" s="1"/>
  <c r="H176" i="27"/>
  <c r="X292" i="17"/>
  <c r="Y292" i="17"/>
  <c r="V295" i="17"/>
  <c r="W293" i="17"/>
  <c r="AD173" i="27" l="1"/>
  <c r="H177" i="27"/>
  <c r="AR176" i="27"/>
  <c r="AB176" i="27" s="1"/>
  <c r="AQ176" i="27"/>
  <c r="AT176" i="27" s="1"/>
  <c r="AW176" i="27" s="1"/>
  <c r="AF174" i="27"/>
  <c r="AI174" i="27" s="1"/>
  <c r="Q172" i="27"/>
  <c r="R172" i="27" s="1"/>
  <c r="Y172" i="27" s="1"/>
  <c r="O172" i="27"/>
  <c r="N173" i="27"/>
  <c r="AU175" i="27"/>
  <c r="AS175" i="27"/>
  <c r="AV175" i="27" s="1"/>
  <c r="J175" i="27"/>
  <c r="AZ175" i="27" s="1"/>
  <c r="AP175" i="27" s="1"/>
  <c r="K174" i="27"/>
  <c r="M174" i="27" s="1"/>
  <c r="P173" i="27"/>
  <c r="X293" i="17"/>
  <c r="Y293" i="17"/>
  <c r="V296" i="17"/>
  <c r="W294" i="17"/>
  <c r="Q173" i="27" l="1"/>
  <c r="R173" i="27" s="1"/>
  <c r="Y173" i="27" s="1"/>
  <c r="O173" i="27"/>
  <c r="N174" i="27"/>
  <c r="AD174" i="27"/>
  <c r="P174" i="27"/>
  <c r="J176" i="27"/>
  <c r="AZ176" i="27" s="1"/>
  <c r="AP176" i="27" s="1"/>
  <c r="AU176" i="27"/>
  <c r="AS176" i="27"/>
  <c r="AV176" i="27" s="1"/>
  <c r="K175" i="27"/>
  <c r="M175" i="27" s="1"/>
  <c r="H178" i="27"/>
  <c r="AQ177" i="27"/>
  <c r="AT177" i="27" s="1"/>
  <c r="AW177" i="27" s="1"/>
  <c r="AR177" i="27"/>
  <c r="AB177" i="27" s="1"/>
  <c r="AF175" i="27"/>
  <c r="AI175" i="27" s="1"/>
  <c r="X294" i="17"/>
  <c r="Y294" i="17"/>
  <c r="V297" i="17"/>
  <c r="W295" i="17"/>
  <c r="K176" i="27" l="1"/>
  <c r="M176" i="27" s="1"/>
  <c r="AD175" i="27"/>
  <c r="P175" i="27"/>
  <c r="Q175" i="27" s="1"/>
  <c r="R175" i="27" s="1"/>
  <c r="Y175" i="27" s="1"/>
  <c r="N176" i="27"/>
  <c r="P176" i="27"/>
  <c r="AS177" i="27"/>
  <c r="AV177" i="27" s="1"/>
  <c r="AU177" i="27"/>
  <c r="J177" i="27"/>
  <c r="AZ177" i="27" s="1"/>
  <c r="AP177" i="27" s="1"/>
  <c r="N175" i="27"/>
  <c r="AR178" i="27"/>
  <c r="AB178" i="27" s="1"/>
  <c r="H179" i="27"/>
  <c r="AQ178" i="27"/>
  <c r="AT178" i="27" s="1"/>
  <c r="AW178" i="27" s="1"/>
  <c r="AF176" i="27"/>
  <c r="AI176" i="27" s="1"/>
  <c r="AD176" i="27"/>
  <c r="O175" i="27"/>
  <c r="Q174" i="27"/>
  <c r="R174" i="27" s="1"/>
  <c r="Y174" i="27" s="1"/>
  <c r="O174" i="27"/>
  <c r="V298" i="17"/>
  <c r="X295" i="17"/>
  <c r="Y295" i="17"/>
  <c r="W296" i="17"/>
  <c r="AQ179" i="27" l="1"/>
  <c r="AT179" i="27" s="1"/>
  <c r="AW179" i="27" s="1"/>
  <c r="H180" i="27"/>
  <c r="AR179" i="27"/>
  <c r="AB179" i="27" s="1"/>
  <c r="J178" i="27"/>
  <c r="AZ178" i="27" s="1"/>
  <c r="AP178" i="27" s="1"/>
  <c r="AS178" i="27"/>
  <c r="AV178" i="27" s="1"/>
  <c r="AU178" i="27"/>
  <c r="O176" i="27"/>
  <c r="Q176" i="27"/>
  <c r="R176" i="27" s="1"/>
  <c r="Y176" i="27" s="1"/>
  <c r="AF177" i="27"/>
  <c r="AI177" i="27" s="1"/>
  <c r="K177" i="27"/>
  <c r="M177" i="27" s="1"/>
  <c r="Y296" i="17"/>
  <c r="X296" i="17"/>
  <c r="V299" i="17"/>
  <c r="W298" i="17" s="1"/>
  <c r="W297" i="17"/>
  <c r="P177" i="27" l="1"/>
  <c r="Q177" i="27" s="1"/>
  <c r="R177" i="27" s="1"/>
  <c r="Y177" i="27" s="1"/>
  <c r="AU179" i="27"/>
  <c r="AS179" i="27"/>
  <c r="AV179" i="27" s="1"/>
  <c r="J179" i="27"/>
  <c r="AZ179" i="27" s="1"/>
  <c r="AP179" i="27" s="1"/>
  <c r="O177" i="27"/>
  <c r="N177" i="27"/>
  <c r="AD177" i="27"/>
  <c r="K178" i="27"/>
  <c r="M178" i="27" s="1"/>
  <c r="AQ180" i="27"/>
  <c r="AT180" i="27" s="1"/>
  <c r="AW180" i="27" s="1"/>
  <c r="H181" i="27"/>
  <c r="AR180" i="27"/>
  <c r="AB180" i="27" s="1"/>
  <c r="AF178" i="27"/>
  <c r="AI178" i="27" s="1"/>
  <c r="X298" i="17"/>
  <c r="Y298" i="17"/>
  <c r="X297" i="17"/>
  <c r="Y297" i="17"/>
  <c r="V300" i="17"/>
  <c r="P178" i="27" l="1"/>
  <c r="K179" i="27"/>
  <c r="M179" i="27" s="1"/>
  <c r="AF179" i="27"/>
  <c r="AI179" i="27" s="1"/>
  <c r="AU180" i="27"/>
  <c r="J180" i="27"/>
  <c r="AZ180" i="27" s="1"/>
  <c r="AP180" i="27" s="1"/>
  <c r="AS180" i="27"/>
  <c r="AV180" i="27" s="1"/>
  <c r="AR181" i="27"/>
  <c r="AB181" i="27" s="1"/>
  <c r="H182" i="27"/>
  <c r="AQ181" i="27"/>
  <c r="AT181" i="27" s="1"/>
  <c r="AW181" i="27" s="1"/>
  <c r="N179" i="27"/>
  <c r="P179" i="27"/>
  <c r="AD178" i="27"/>
  <c r="N178" i="27"/>
  <c r="V301" i="17"/>
  <c r="W299" i="17"/>
  <c r="AD179" i="27" l="1"/>
  <c r="K180" i="27"/>
  <c r="M180" i="27" s="1"/>
  <c r="AR182" i="27"/>
  <c r="AB182" i="27" s="1"/>
  <c r="AQ182" i="27"/>
  <c r="AT182" i="27" s="1"/>
  <c r="AW182" i="27" s="1"/>
  <c r="H183" i="27"/>
  <c r="O179" i="27"/>
  <c r="Q179" i="27"/>
  <c r="R179" i="27" s="1"/>
  <c r="Y179" i="27" s="1"/>
  <c r="AU181" i="27"/>
  <c r="AS181" i="27"/>
  <c r="AV181" i="27" s="1"/>
  <c r="J181" i="27"/>
  <c r="AZ181" i="27" s="1"/>
  <c r="AP181" i="27" s="1"/>
  <c r="AF180" i="27"/>
  <c r="AI180" i="27" s="1"/>
  <c r="Q178" i="27"/>
  <c r="R178" i="27" s="1"/>
  <c r="Y178" i="27" s="1"/>
  <c r="O178" i="27"/>
  <c r="Y299" i="17"/>
  <c r="X299" i="17"/>
  <c r="V302" i="17"/>
  <c r="W300" i="17"/>
  <c r="P180" i="27" l="1"/>
  <c r="AD180" i="27"/>
  <c r="N180" i="27"/>
  <c r="AF181" i="27"/>
  <c r="AI181" i="27" s="1"/>
  <c r="H184" i="27"/>
  <c r="AR183" i="27"/>
  <c r="AB183" i="27" s="1"/>
  <c r="AQ183" i="27"/>
  <c r="AT183" i="27" s="1"/>
  <c r="AW183" i="27" s="1"/>
  <c r="AU182" i="27"/>
  <c r="AS182" i="27"/>
  <c r="AV182" i="27" s="1"/>
  <c r="J182" i="27"/>
  <c r="AZ182" i="27" s="1"/>
  <c r="AP182" i="27" s="1"/>
  <c r="K181" i="27"/>
  <c r="M181" i="27" s="1"/>
  <c r="Q180" i="27"/>
  <c r="R180" i="27" s="1"/>
  <c r="Y180" i="27" s="1"/>
  <c r="O180" i="27"/>
  <c r="X300" i="17"/>
  <c r="Y300" i="17"/>
  <c r="V303" i="17"/>
  <c r="W301" i="17"/>
  <c r="K182" i="27" l="1"/>
  <c r="M182" i="27" s="1"/>
  <c r="N181" i="27"/>
  <c r="P181" i="27"/>
  <c r="Q181" i="27" s="1"/>
  <c r="R181" i="27" s="1"/>
  <c r="Y181" i="27" s="1"/>
  <c r="H185" i="27"/>
  <c r="AR184" i="27"/>
  <c r="AB184" i="27" s="1"/>
  <c r="AQ184" i="27"/>
  <c r="AT184" i="27" s="1"/>
  <c r="AW184" i="27" s="1"/>
  <c r="AF182" i="27"/>
  <c r="AI182" i="27" s="1"/>
  <c r="AD181" i="27"/>
  <c r="J183" i="27"/>
  <c r="AZ183" i="27" s="1"/>
  <c r="AP183" i="27" s="1"/>
  <c r="AU183" i="27"/>
  <c r="AS183" i="27"/>
  <c r="AV183" i="27" s="1"/>
  <c r="P182" i="27"/>
  <c r="N182" i="27"/>
  <c r="V304" i="17"/>
  <c r="W302" i="17"/>
  <c r="X301" i="17"/>
  <c r="Y301" i="17"/>
  <c r="O181" i="27" l="1"/>
  <c r="AD182" i="27"/>
  <c r="AF183" i="27"/>
  <c r="AI183" i="27" s="1"/>
  <c r="O182" i="27"/>
  <c r="Q182" i="27"/>
  <c r="R182" i="27" s="1"/>
  <c r="Y182" i="27" s="1"/>
  <c r="J184" i="27"/>
  <c r="AZ184" i="27" s="1"/>
  <c r="AP184" i="27" s="1"/>
  <c r="AU184" i="27"/>
  <c r="AS184" i="27"/>
  <c r="AV184" i="27" s="1"/>
  <c r="K183" i="27"/>
  <c r="M183" i="27" s="1"/>
  <c r="AQ185" i="27"/>
  <c r="AT185" i="27" s="1"/>
  <c r="AW185" i="27" s="1"/>
  <c r="AR185" i="27"/>
  <c r="AB185" i="27" s="1"/>
  <c r="H186" i="27"/>
  <c r="Y302" i="17"/>
  <c r="X302" i="17"/>
  <c r="V305" i="17"/>
  <c r="W303" i="17"/>
  <c r="K184" i="27" l="1"/>
  <c r="M184" i="27" s="1"/>
  <c r="H187" i="27"/>
  <c r="AQ186" i="27"/>
  <c r="AT186" i="27" s="1"/>
  <c r="AW186" i="27" s="1"/>
  <c r="AR186" i="27"/>
  <c r="AB186" i="27" s="1"/>
  <c r="AD183" i="27"/>
  <c r="N183" i="27"/>
  <c r="AS185" i="27"/>
  <c r="AV185" i="27" s="1"/>
  <c r="AU185" i="27"/>
  <c r="J185" i="27"/>
  <c r="AZ185" i="27" s="1"/>
  <c r="AP185" i="27" s="1"/>
  <c r="AF184" i="27"/>
  <c r="AI184" i="27" s="1"/>
  <c r="AD184" i="27"/>
  <c r="P183" i="27"/>
  <c r="X303" i="17"/>
  <c r="Y303" i="17"/>
  <c r="V306" i="17"/>
  <c r="W305" i="17" s="1"/>
  <c r="W304" i="17"/>
  <c r="P184" i="27" l="1"/>
  <c r="N184" i="27"/>
  <c r="AS186" i="27"/>
  <c r="AV186" i="27" s="1"/>
  <c r="AU186" i="27"/>
  <c r="J186" i="27"/>
  <c r="AZ186" i="27" s="1"/>
  <c r="AP186" i="27" s="1"/>
  <c r="AF185" i="27"/>
  <c r="AI185" i="27" s="1"/>
  <c r="O184" i="27"/>
  <c r="Q184" i="27"/>
  <c r="R184" i="27" s="1"/>
  <c r="Y184" i="27" s="1"/>
  <c r="Q183" i="27"/>
  <c r="R183" i="27" s="1"/>
  <c r="Y183" i="27" s="1"/>
  <c r="O183" i="27"/>
  <c r="AR187" i="27"/>
  <c r="AB187" i="27" s="1"/>
  <c r="AQ187" i="27"/>
  <c r="AT187" i="27" s="1"/>
  <c r="AW187" i="27" s="1"/>
  <c r="H188" i="27"/>
  <c r="K185" i="27"/>
  <c r="M185" i="27" s="1"/>
  <c r="Y305" i="17"/>
  <c r="X305" i="17"/>
  <c r="X304" i="17"/>
  <c r="Y304" i="17"/>
  <c r="V307" i="17"/>
  <c r="P185" i="27" l="1"/>
  <c r="K186" i="27"/>
  <c r="M186" i="27" s="1"/>
  <c r="AR188" i="27"/>
  <c r="AB188" i="27" s="1"/>
  <c r="H189" i="27"/>
  <c r="AQ188" i="27"/>
  <c r="AT188" i="27" s="1"/>
  <c r="AW188" i="27" s="1"/>
  <c r="J187" i="27"/>
  <c r="AZ187" i="27" s="1"/>
  <c r="AP187" i="27" s="1"/>
  <c r="AS187" i="27"/>
  <c r="AV187" i="27" s="1"/>
  <c r="AU187" i="27"/>
  <c r="O185" i="27"/>
  <c r="Q185" i="27"/>
  <c r="R185" i="27" s="1"/>
  <c r="Y185" i="27" s="1"/>
  <c r="AD185" i="27"/>
  <c r="AF186" i="27"/>
  <c r="AI186" i="27" s="1"/>
  <c r="N185" i="27"/>
  <c r="V308" i="17"/>
  <c r="W306" i="17"/>
  <c r="P186" i="27" l="1"/>
  <c r="N186" i="27"/>
  <c r="AD186" i="27"/>
  <c r="H190" i="27"/>
  <c r="AR189" i="27"/>
  <c r="AB189" i="27" s="1"/>
  <c r="AQ189" i="27"/>
  <c r="AT189" i="27" s="1"/>
  <c r="AW189" i="27" s="1"/>
  <c r="J188" i="27"/>
  <c r="AZ188" i="27" s="1"/>
  <c r="AP188" i="27" s="1"/>
  <c r="AS188" i="27"/>
  <c r="AV188" i="27" s="1"/>
  <c r="AU188" i="27"/>
  <c r="Q186" i="27"/>
  <c r="R186" i="27" s="1"/>
  <c r="Y186" i="27" s="1"/>
  <c r="O186" i="27"/>
  <c r="K187" i="27"/>
  <c r="M187" i="27" s="1"/>
  <c r="AF187" i="27"/>
  <c r="AI187" i="27" s="1"/>
  <c r="X306" i="17"/>
  <c r="Y306" i="17"/>
  <c r="V309" i="17"/>
  <c r="W308" i="17" s="1"/>
  <c r="W307" i="17"/>
  <c r="N187" i="27" l="1"/>
  <c r="AD187" i="27"/>
  <c r="P187" i="27"/>
  <c r="Q187" i="27" s="1"/>
  <c r="R187" i="27" s="1"/>
  <c r="Y187" i="27" s="1"/>
  <c r="K188" i="27"/>
  <c r="M188" i="27" s="1"/>
  <c r="J189" i="27"/>
  <c r="AZ189" i="27" s="1"/>
  <c r="AP189" i="27" s="1"/>
  <c r="AS189" i="27"/>
  <c r="AV189" i="27" s="1"/>
  <c r="AU189" i="27"/>
  <c r="AF188" i="27"/>
  <c r="AI188" i="27" s="1"/>
  <c r="AR190" i="27"/>
  <c r="AB190" i="27" s="1"/>
  <c r="H191" i="27"/>
  <c r="AQ190" i="27"/>
  <c r="AT190" i="27" s="1"/>
  <c r="AW190" i="27" s="1"/>
  <c r="Y308" i="17"/>
  <c r="X308" i="17"/>
  <c r="X307" i="17"/>
  <c r="Y307" i="17"/>
  <c r="V310" i="17"/>
  <c r="O187" i="27" l="1"/>
  <c r="AD188" i="27"/>
  <c r="N188" i="27"/>
  <c r="AF189" i="27"/>
  <c r="AI189" i="27" s="1"/>
  <c r="P188" i="27"/>
  <c r="H192" i="27"/>
  <c r="AQ191" i="27"/>
  <c r="AT191" i="27" s="1"/>
  <c r="AW191" i="27" s="1"/>
  <c r="AR191" i="27"/>
  <c r="AB191" i="27" s="1"/>
  <c r="K189" i="27"/>
  <c r="M189" i="27" s="1"/>
  <c r="AU190" i="27"/>
  <c r="AS190" i="27"/>
  <c r="AV190" i="27" s="1"/>
  <c r="J190" i="27"/>
  <c r="AZ190" i="27" s="1"/>
  <c r="AP190" i="27" s="1"/>
  <c r="V311" i="17"/>
  <c r="W309" i="17"/>
  <c r="AQ192" i="27" l="1"/>
  <c r="AT192" i="27" s="1"/>
  <c r="AW192" i="27" s="1"/>
  <c r="AR192" i="27"/>
  <c r="AB192" i="27" s="1"/>
  <c r="H193" i="27"/>
  <c r="AF190" i="27"/>
  <c r="AI190" i="27" s="1"/>
  <c r="Q188" i="27"/>
  <c r="R188" i="27" s="1"/>
  <c r="Y188" i="27" s="1"/>
  <c r="O188" i="27"/>
  <c r="AD189" i="27"/>
  <c r="K190" i="27"/>
  <c r="M190" i="27" s="1"/>
  <c r="AU191" i="27"/>
  <c r="AS191" i="27"/>
  <c r="AV191" i="27" s="1"/>
  <c r="J191" i="27"/>
  <c r="AZ191" i="27" s="1"/>
  <c r="AP191" i="27" s="1"/>
  <c r="N189" i="27"/>
  <c r="P189" i="27"/>
  <c r="X309" i="17"/>
  <c r="Y309" i="17"/>
  <c r="V312" i="17"/>
  <c r="W310" i="17"/>
  <c r="K191" i="27" l="1"/>
  <c r="M191" i="27" s="1"/>
  <c r="H195" i="27"/>
  <c r="AQ193" i="27"/>
  <c r="AT193" i="27" s="1"/>
  <c r="AW193" i="27" s="1"/>
  <c r="AR193" i="27"/>
  <c r="AB193" i="27" s="1"/>
  <c r="N190" i="27"/>
  <c r="P191" i="27"/>
  <c r="N191" i="27"/>
  <c r="AS192" i="27"/>
  <c r="AV192" i="27" s="1"/>
  <c r="AU192" i="27"/>
  <c r="J192" i="27"/>
  <c r="AZ192" i="27" s="1"/>
  <c r="AP192" i="27" s="1"/>
  <c r="O189" i="27"/>
  <c r="Q189" i="27"/>
  <c r="R189" i="27" s="1"/>
  <c r="Y189" i="27" s="1"/>
  <c r="P190" i="27"/>
  <c r="AF191" i="27"/>
  <c r="AI191" i="27" s="1"/>
  <c r="AD190" i="27"/>
  <c r="V313" i="17"/>
  <c r="X310" i="17"/>
  <c r="Y310" i="17"/>
  <c r="W311" i="17"/>
  <c r="AD191" i="27" l="1"/>
  <c r="AF192" i="27"/>
  <c r="AI192" i="27" s="1"/>
  <c r="AS193" i="27"/>
  <c r="AV193" i="27" s="1"/>
  <c r="AU193" i="27"/>
  <c r="J193" i="27"/>
  <c r="AZ193" i="27" s="1"/>
  <c r="AP193" i="27" s="1"/>
  <c r="K192" i="27"/>
  <c r="M192" i="27" s="1"/>
  <c r="Q191" i="27"/>
  <c r="R191" i="27" s="1"/>
  <c r="Y191" i="27" s="1"/>
  <c r="O191" i="27"/>
  <c r="O190" i="27"/>
  <c r="Q190" i="27"/>
  <c r="R190" i="27" s="1"/>
  <c r="Y190" i="27" s="1"/>
  <c r="AR195" i="27"/>
  <c r="AB195" i="27" s="1"/>
  <c r="AQ195" i="27"/>
  <c r="AT195" i="27" s="1"/>
  <c r="AW195" i="27" s="1"/>
  <c r="Y311" i="17"/>
  <c r="X311" i="17"/>
  <c r="V314" i="17"/>
  <c r="W312" i="17"/>
  <c r="N192" i="27" l="1"/>
  <c r="P192" i="27"/>
  <c r="Q192" i="27" s="1"/>
  <c r="R192" i="27" s="1"/>
  <c r="Y192" i="27" s="1"/>
  <c r="J195" i="27"/>
  <c r="AZ195" i="27" s="1"/>
  <c r="AP195" i="27" s="1"/>
  <c r="AU195" i="27"/>
  <c r="AS195" i="27"/>
  <c r="AV195" i="27" s="1"/>
  <c r="K195" i="27" s="1"/>
  <c r="M195" i="27" s="1"/>
  <c r="AD192" i="27"/>
  <c r="AF193" i="27"/>
  <c r="AI193" i="27" s="1"/>
  <c r="K193" i="27"/>
  <c r="X312" i="17"/>
  <c r="Y312" i="17"/>
  <c r="V315" i="17"/>
  <c r="W313" i="17"/>
  <c r="O192" i="27" l="1"/>
  <c r="N193" i="27"/>
  <c r="M193" i="27"/>
  <c r="AD193" i="27"/>
  <c r="AF195" i="27"/>
  <c r="AI195" i="27" s="1"/>
  <c r="AN195" i="27" s="1"/>
  <c r="AD195" i="27"/>
  <c r="B309" i="27"/>
  <c r="P195" i="27"/>
  <c r="N195" i="27"/>
  <c r="P193" i="27"/>
  <c r="V316" i="17"/>
  <c r="X313" i="17"/>
  <c r="Y313" i="17"/>
  <c r="W314" i="17"/>
  <c r="O193" i="27" l="1"/>
  <c r="Q193" i="27"/>
  <c r="R193" i="27" s="1"/>
  <c r="Y193" i="27" s="1"/>
  <c r="Q195" i="27"/>
  <c r="R195" i="27" s="1"/>
  <c r="O195" i="27"/>
  <c r="Y314" i="17"/>
  <c r="X314" i="17"/>
  <c r="V317" i="17"/>
  <c r="W316" i="17" s="1"/>
  <c r="W315" i="17"/>
  <c r="B310" i="27" l="1"/>
  <c r="Y195" i="27"/>
  <c r="X316" i="17"/>
  <c r="Y316" i="17"/>
  <c r="X315" i="17"/>
  <c r="Y315" i="17"/>
  <c r="V318" i="17"/>
  <c r="V319" i="17" l="1"/>
  <c r="W317" i="17"/>
  <c r="X317" i="17" l="1"/>
  <c r="Y317" i="17"/>
  <c r="V320" i="17"/>
  <c r="W319" i="17" s="1"/>
  <c r="W318" i="17"/>
  <c r="Y319" i="17" l="1"/>
  <c r="X319" i="17"/>
  <c r="X318" i="17"/>
  <c r="Y318" i="17"/>
  <c r="V321" i="17"/>
  <c r="V322" i="17" l="1"/>
  <c r="W320" i="17"/>
  <c r="V323" i="17" l="1"/>
  <c r="X320" i="17"/>
  <c r="Y320" i="17"/>
  <c r="W321" i="17"/>
  <c r="V324" i="17" l="1"/>
  <c r="W323" i="17" s="1"/>
  <c r="X321" i="17"/>
  <c r="Y321" i="17"/>
  <c r="W322" i="17"/>
  <c r="Y323" i="17" l="1"/>
  <c r="X323" i="17"/>
  <c r="X322" i="17"/>
  <c r="Y322" i="17"/>
  <c r="V325" i="17"/>
  <c r="V326" i="17" l="1"/>
  <c r="W324" i="17"/>
  <c r="V327" i="17" l="1"/>
  <c r="W326" i="17" s="1"/>
  <c r="X324" i="17"/>
  <c r="Y324" i="17"/>
  <c r="W325" i="17"/>
  <c r="Y326" i="17" l="1"/>
  <c r="X326" i="17"/>
  <c r="X325" i="17"/>
  <c r="Y325" i="17"/>
  <c r="V328" i="17"/>
  <c r="W327" i="17" s="1"/>
  <c r="X327" i="17" l="1"/>
  <c r="Y327" i="17"/>
  <c r="V329" i="17"/>
  <c r="V330" i="17" l="1"/>
  <c r="W329" i="17" s="1"/>
  <c r="W328" i="17"/>
  <c r="Y329" i="17" l="1"/>
  <c r="X329" i="17"/>
  <c r="X328" i="17"/>
  <c r="Y328" i="17"/>
  <c r="V331" i="17"/>
  <c r="V332" i="17" l="1"/>
  <c r="W330" i="17"/>
  <c r="V333" i="17" l="1"/>
  <c r="W332" i="17" s="1"/>
  <c r="X330" i="17"/>
  <c r="Y330" i="17"/>
  <c r="W331" i="17"/>
  <c r="Y332" i="17" l="1"/>
  <c r="X332" i="17"/>
  <c r="X331" i="17"/>
  <c r="Y331" i="17"/>
  <c r="V334" i="17"/>
  <c r="W333" i="17" s="1"/>
  <c r="X333" i="17" l="1"/>
  <c r="Y333" i="17"/>
  <c r="V335" i="17"/>
  <c r="V336" i="17" l="1"/>
  <c r="W335" i="17" s="1"/>
  <c r="W334" i="17"/>
  <c r="Y335" i="17" l="1"/>
  <c r="X335" i="17"/>
  <c r="X334" i="17"/>
  <c r="Y334" i="17"/>
  <c r="V337" i="17"/>
  <c r="V338" i="17" l="1"/>
  <c r="W336" i="17"/>
  <c r="X336" i="17" l="1"/>
  <c r="Y336" i="17"/>
  <c r="V339" i="17"/>
  <c r="W338" i="17" s="1"/>
  <c r="W337" i="17"/>
  <c r="X337" i="17" l="1"/>
  <c r="Y337" i="17"/>
  <c r="Y338" i="17"/>
  <c r="X338" i="17"/>
  <c r="V340" i="17"/>
  <c r="W339" i="17" s="1"/>
  <c r="X339" i="17" l="1"/>
  <c r="Y339" i="17"/>
  <c r="V341" i="17"/>
  <c r="V342" i="17" l="1"/>
  <c r="W341" i="17" s="1"/>
  <c r="W340" i="17"/>
  <c r="Y341" i="17" l="1"/>
  <c r="X341" i="17"/>
  <c r="X340" i="17"/>
  <c r="Y340" i="17"/>
  <c r="V343" i="17"/>
  <c r="V344" i="17" l="1"/>
  <c r="W342" i="17"/>
  <c r="X342" i="17" l="1"/>
  <c r="Y342" i="17"/>
  <c r="V345" i="17"/>
  <c r="W344" i="17" s="1"/>
  <c r="W343" i="17"/>
  <c r="Y344" i="17" l="1"/>
  <c r="X344" i="17"/>
  <c r="X343" i="17"/>
  <c r="Y343" i="17"/>
  <c r="V346" i="17"/>
  <c r="V347" i="17" l="1"/>
  <c r="W345" i="17"/>
  <c r="X345" i="17" l="1"/>
  <c r="Y345" i="17"/>
  <c r="V348" i="17"/>
  <c r="W347" i="17" s="1"/>
  <c r="W346" i="17"/>
  <c r="Y347" i="17" l="1"/>
  <c r="X347" i="17"/>
  <c r="V349" i="17"/>
  <c r="X346" i="17"/>
  <c r="Y346" i="17"/>
  <c r="V350" i="17" l="1"/>
  <c r="W348" i="17"/>
  <c r="X348" i="17" l="1"/>
  <c r="Y348" i="17"/>
  <c r="V351" i="17"/>
  <c r="W349" i="17"/>
  <c r="X349" i="17" l="1"/>
  <c r="Y349" i="17"/>
  <c r="V352" i="17"/>
  <c r="W350" i="17"/>
  <c r="Y350" i="17" l="1"/>
  <c r="X350" i="17"/>
  <c r="V353" i="17"/>
  <c r="W352" i="17" s="1"/>
  <c r="W351" i="17"/>
  <c r="X352" i="17" l="1"/>
  <c r="Y352" i="17"/>
  <c r="X351" i="17"/>
  <c r="Y351" i="17"/>
  <c r="V354" i="17"/>
  <c r="W353" i="17" s="1"/>
  <c r="Y353" i="17" l="1"/>
  <c r="X353" i="17"/>
  <c r="V355" i="17"/>
  <c r="V356" i="17" l="1"/>
  <c r="W354" i="17"/>
  <c r="X354" i="17" l="1"/>
  <c r="Y354" i="17"/>
  <c r="V357" i="17"/>
  <c r="W356" i="17" s="1"/>
  <c r="W355" i="17"/>
  <c r="Y356" i="17" l="1"/>
  <c r="X356" i="17"/>
  <c r="V358" i="17"/>
  <c r="W357" i="17" s="1"/>
  <c r="X355" i="17"/>
  <c r="Y355" i="17"/>
  <c r="X357" i="17" l="1"/>
  <c r="Y357" i="17"/>
  <c r="V359" i="17"/>
  <c r="V360" i="17" l="1"/>
  <c r="W359" i="17" s="1"/>
  <c r="W358" i="17"/>
  <c r="Y359" i="17" l="1"/>
  <c r="X359" i="17"/>
  <c r="X358" i="17"/>
  <c r="Y358" i="17"/>
  <c r="V361" i="17"/>
  <c r="W360" i="17" s="1"/>
  <c r="X360" i="17" l="1"/>
  <c r="Y360" i="17"/>
  <c r="V362" i="17"/>
  <c r="W361" i="17" s="1"/>
  <c r="X361" i="17" l="1"/>
  <c r="Y361" i="17"/>
  <c r="V363" i="17"/>
  <c r="W362" i="17"/>
  <c r="Y362" i="17" l="1"/>
  <c r="X362" i="17"/>
  <c r="V364" i="17"/>
  <c r="W363" i="17" s="1"/>
  <c r="X363" i="17" l="1"/>
  <c r="Y363" i="17"/>
  <c r="V365" i="17"/>
  <c r="V366" i="17" l="1"/>
  <c r="W365" i="17" s="1"/>
  <c r="W364" i="17"/>
  <c r="Y365" i="17" l="1"/>
  <c r="X365" i="17"/>
  <c r="X364" i="17"/>
  <c r="Y364" i="17"/>
  <c r="V367" i="17"/>
  <c r="V368" i="17" l="1"/>
  <c r="W366" i="17"/>
  <c r="X366" i="17" l="1"/>
  <c r="Y366" i="17"/>
  <c r="V369" i="17"/>
  <c r="W368" i="17" s="1"/>
  <c r="W367" i="17"/>
  <c r="Y368" i="17" l="1"/>
  <c r="X368" i="17"/>
  <c r="V370" i="17"/>
  <c r="X367" i="17"/>
  <c r="Y367" i="17"/>
  <c r="V371" i="17" l="1"/>
  <c r="W369" i="17"/>
  <c r="X369" i="17" l="1"/>
  <c r="Y369" i="17"/>
  <c r="V372" i="17"/>
  <c r="W371" i="17" s="1"/>
  <c r="W370" i="17"/>
  <c r="Y371" i="17" l="1"/>
  <c r="X371" i="17"/>
  <c r="X370" i="17"/>
  <c r="Y370" i="17"/>
  <c r="V373" i="17"/>
  <c r="V374" i="17" l="1"/>
  <c r="W372" i="17"/>
  <c r="X372" i="17" l="1"/>
  <c r="Y372" i="17"/>
  <c r="V375" i="17"/>
  <c r="W373" i="17"/>
  <c r="X373" i="17" l="1"/>
  <c r="Y373" i="17"/>
  <c r="V376" i="17"/>
  <c r="W374" i="17"/>
  <c r="V377" i="17" l="1"/>
  <c r="W375" i="17"/>
  <c r="Y374" i="17"/>
  <c r="X374" i="17"/>
  <c r="X375" i="17" l="1"/>
  <c r="Y375" i="17"/>
  <c r="V378" i="17"/>
  <c r="W376" i="17"/>
  <c r="X376" i="17" l="1"/>
  <c r="Y376" i="17"/>
  <c r="V379" i="17"/>
  <c r="W378" i="17" s="1"/>
  <c r="W377" i="17"/>
  <c r="X378" i="17" l="1"/>
  <c r="Y378" i="17"/>
  <c r="Y377" i="17"/>
  <c r="X377" i="17"/>
  <c r="V380" i="17"/>
  <c r="V381" i="17" l="1"/>
  <c r="W380" i="17" s="1"/>
  <c r="W379" i="17"/>
  <c r="Y380" i="17" l="1"/>
  <c r="X380" i="17"/>
  <c r="X379" i="17"/>
  <c r="Y379" i="17"/>
  <c r="V382" i="17"/>
  <c r="V383" i="17" l="1"/>
  <c r="W381" i="17"/>
  <c r="X381" i="17" l="1"/>
  <c r="Y381" i="17"/>
  <c r="V384" i="17"/>
  <c r="W383" i="17" s="1"/>
  <c r="W382" i="17"/>
  <c r="Y383" i="17" l="1"/>
  <c r="X383" i="17"/>
  <c r="X382" i="17"/>
  <c r="Y382" i="17"/>
  <c r="V385" i="17"/>
  <c r="W384" i="17" s="1"/>
  <c r="X384" i="17" l="1"/>
  <c r="Y384" i="17"/>
  <c r="V386" i="17"/>
  <c r="W385" i="17" s="1"/>
  <c r="X385" i="17" l="1"/>
  <c r="Y385" i="17"/>
  <c r="V387" i="17"/>
  <c r="W386" i="17" s="1"/>
  <c r="Y386" i="17" l="1"/>
  <c r="X386" i="17"/>
  <c r="V388" i="17"/>
  <c r="V389" i="17" l="1"/>
  <c r="W387" i="17"/>
  <c r="X387" i="17" l="1"/>
  <c r="Y387" i="17"/>
  <c r="V390" i="17"/>
  <c r="W389" i="17" s="1"/>
  <c r="W388" i="17"/>
  <c r="X388" i="17" l="1"/>
  <c r="Y388" i="17"/>
  <c r="Y389" i="17"/>
  <c r="X389" i="17"/>
  <c r="V391" i="17"/>
  <c r="W390" i="17" s="1"/>
  <c r="X390" i="17" l="1"/>
  <c r="Y390" i="17"/>
  <c r="V392" i="17"/>
  <c r="V393" i="17" l="1"/>
  <c r="W392" i="17" s="1"/>
  <c r="W391" i="17"/>
  <c r="Y392" i="17" l="1"/>
  <c r="X392" i="17"/>
  <c r="X391" i="17"/>
  <c r="Y391" i="17"/>
  <c r="V394" i="17"/>
  <c r="V395" i="17" l="1"/>
  <c r="W393" i="17"/>
  <c r="X393" i="17" l="1"/>
  <c r="Y393" i="17"/>
  <c r="V396" i="17"/>
  <c r="W394" i="17"/>
  <c r="X394" i="17" l="1"/>
  <c r="Y394" i="17"/>
  <c r="V397" i="17"/>
  <c r="W396" i="17" s="1"/>
  <c r="W395" i="17"/>
  <c r="X396" i="17" l="1"/>
  <c r="Y396" i="17"/>
  <c r="Y395" i="17"/>
  <c r="X395" i="17"/>
  <c r="V398" i="17"/>
  <c r="V399" i="17" l="1"/>
  <c r="W398" i="17" s="1"/>
  <c r="W397" i="17"/>
  <c r="Y398" i="17" l="1"/>
  <c r="X398" i="17"/>
  <c r="X397" i="17"/>
  <c r="Y397" i="17"/>
  <c r="V400" i="17"/>
  <c r="V401" i="17" l="1"/>
  <c r="W399" i="17"/>
  <c r="X399" i="17" l="1"/>
  <c r="Y399" i="17"/>
  <c r="V402" i="17"/>
  <c r="W401" i="17" s="1"/>
  <c r="W400" i="17"/>
  <c r="Y401" i="17" l="1"/>
  <c r="X401" i="17"/>
  <c r="V403" i="17"/>
  <c r="X400" i="17"/>
  <c r="Y400" i="17"/>
  <c r="V404" i="17" l="1"/>
  <c r="W402" i="17"/>
  <c r="X402" i="17" l="1"/>
  <c r="Y402" i="17"/>
  <c r="V405" i="17"/>
  <c r="W404" i="17" s="1"/>
  <c r="W403" i="17"/>
  <c r="Y404" i="17" l="1"/>
  <c r="X404" i="17"/>
  <c r="V406" i="17"/>
  <c r="X403" i="17"/>
  <c r="Y403" i="17"/>
  <c r="V407" i="17" l="1"/>
  <c r="W405" i="17"/>
  <c r="X405" i="17" l="1"/>
  <c r="Y405" i="17"/>
  <c r="V408" i="17"/>
  <c r="W406" i="17"/>
  <c r="V409" i="17" l="1"/>
  <c r="X406" i="17"/>
  <c r="Y406" i="17"/>
  <c r="W407" i="17"/>
  <c r="Y407" i="17" l="1"/>
  <c r="X407" i="17"/>
  <c r="V410" i="17"/>
  <c r="W408" i="17"/>
  <c r="X408" i="17" l="1"/>
  <c r="Y408" i="17"/>
  <c r="V411" i="17"/>
  <c r="W409" i="17"/>
  <c r="X409" i="17" l="1"/>
  <c r="Y409" i="17"/>
  <c r="V412" i="17"/>
  <c r="W411" i="17" s="1"/>
  <c r="W410" i="17"/>
  <c r="X411" i="17" l="1"/>
  <c r="Y411" i="17"/>
  <c r="Y410" i="17"/>
  <c r="X410" i="17"/>
  <c r="V413" i="17"/>
  <c r="V414" i="17" l="1"/>
  <c r="W413" i="17" s="1"/>
  <c r="W412" i="17"/>
  <c r="Y413" i="17" l="1"/>
  <c r="X413" i="17"/>
  <c r="X412" i="17"/>
  <c r="Y412" i="17"/>
  <c r="V415" i="17"/>
  <c r="V416" i="17" l="1"/>
  <c r="W414" i="17"/>
  <c r="X414" i="17" l="1"/>
  <c r="Y414" i="17"/>
  <c r="V417" i="17"/>
  <c r="W416" i="17" s="1"/>
  <c r="W415" i="17"/>
  <c r="Y416" i="17" l="1"/>
  <c r="X416" i="17"/>
  <c r="V418" i="17"/>
  <c r="W417" i="17" s="1"/>
  <c r="X415" i="17"/>
  <c r="Y415" i="17"/>
  <c r="X417" i="17" l="1"/>
  <c r="Y417" i="17"/>
  <c r="V419" i="17"/>
  <c r="V420" i="17" l="1"/>
  <c r="W419" i="17" s="1"/>
  <c r="W418" i="17"/>
  <c r="Y419" i="17" l="1"/>
  <c r="X419" i="17"/>
  <c r="X418" i="17"/>
  <c r="Y418" i="17"/>
  <c r="V421" i="17"/>
  <c r="V422" i="17" l="1"/>
  <c r="W420" i="17"/>
  <c r="X420" i="17" l="1"/>
  <c r="Y420" i="17"/>
  <c r="V423" i="17"/>
  <c r="W422" i="17" s="1"/>
  <c r="W421" i="17"/>
  <c r="Y422" i="17" l="1"/>
  <c r="X422" i="17"/>
  <c r="X421" i="17"/>
  <c r="Y421" i="17"/>
  <c r="V424" i="17"/>
  <c r="W423" i="17" s="1"/>
  <c r="X423" i="17" l="1"/>
  <c r="Y423" i="17"/>
  <c r="V425" i="17"/>
  <c r="V426" i="17" l="1"/>
  <c r="W425" i="17" s="1"/>
  <c r="W424" i="17"/>
  <c r="Y425" i="17" l="1"/>
  <c r="X425" i="17"/>
  <c r="X424" i="17"/>
  <c r="Y424" i="17"/>
  <c r="V427" i="17"/>
  <c r="W426" i="17" s="1"/>
  <c r="X426" i="17" l="1"/>
  <c r="Y426" i="17"/>
  <c r="V428" i="17"/>
  <c r="V429" i="17" l="1"/>
  <c r="W428" i="17" s="1"/>
  <c r="W427" i="17"/>
  <c r="Y428" i="17" l="1"/>
  <c r="X428" i="17"/>
  <c r="X427" i="17"/>
  <c r="Y427" i="17"/>
  <c r="V430" i="17"/>
  <c r="V431" i="17" l="1"/>
  <c r="W429" i="17"/>
  <c r="X429" i="17" l="1"/>
  <c r="Y429" i="17"/>
  <c r="V432" i="17"/>
  <c r="W431" i="17" s="1"/>
  <c r="W430" i="17"/>
  <c r="X430" i="17" l="1"/>
  <c r="Y430" i="17"/>
  <c r="Y431" i="17"/>
  <c r="X431" i="17"/>
  <c r="V433" i="17"/>
  <c r="V434" i="17" l="1"/>
  <c r="W432" i="17"/>
  <c r="X432" i="17" l="1"/>
  <c r="Y432" i="17"/>
  <c r="V435" i="17"/>
  <c r="W434" i="17" s="1"/>
  <c r="W433" i="17"/>
  <c r="Y434" i="17" l="1"/>
  <c r="X434" i="17"/>
  <c r="X433" i="17"/>
  <c r="Y433" i="17"/>
  <c r="V436" i="17"/>
  <c r="V437" i="17" l="1"/>
  <c r="W435" i="17"/>
  <c r="X435" i="17" l="1"/>
  <c r="Y435" i="17"/>
  <c r="V438" i="17"/>
  <c r="W436" i="17"/>
  <c r="X436" i="17" l="1"/>
  <c r="Y436" i="17"/>
  <c r="V439" i="17"/>
  <c r="W438" i="17" s="1"/>
  <c r="W437" i="17"/>
  <c r="X438" i="17" l="1"/>
  <c r="Y438" i="17"/>
  <c r="Y437" i="17"/>
  <c r="X437" i="17"/>
  <c r="V440" i="17"/>
  <c r="W439" i="17" s="1"/>
  <c r="X439" i="17" l="1"/>
  <c r="Y439" i="17"/>
  <c r="V441" i="17"/>
  <c r="V442" i="17" l="1"/>
  <c r="W440" i="17"/>
  <c r="Y440" i="17" l="1"/>
  <c r="X440" i="17"/>
  <c r="V443" i="17"/>
  <c r="W441" i="17"/>
  <c r="V444" i="17" l="1"/>
  <c r="W443" i="17" s="1"/>
  <c r="X441" i="17"/>
  <c r="Y441" i="17"/>
  <c r="W442" i="17"/>
  <c r="Y443" i="17" l="1"/>
  <c r="X443" i="17"/>
  <c r="X442" i="17"/>
  <c r="Y442" i="17"/>
  <c r="V445" i="17"/>
  <c r="W444" i="17" s="1"/>
  <c r="X444" i="17" l="1"/>
  <c r="Y444" i="17"/>
  <c r="V446" i="17"/>
  <c r="W445" i="17" s="1"/>
  <c r="X445" i="17" l="1"/>
  <c r="Y445" i="17"/>
  <c r="V447" i="17"/>
  <c r="W446" i="17" s="1"/>
  <c r="Y446" i="17" l="1"/>
  <c r="X446" i="17"/>
  <c r="V448" i="17"/>
  <c r="W447" i="17" s="1"/>
  <c r="X447" i="17" l="1"/>
  <c r="Y447" i="17"/>
  <c r="V449" i="17"/>
  <c r="V450" i="17" l="1"/>
  <c r="W449" i="17" s="1"/>
  <c r="W448" i="17"/>
  <c r="Y449" i="17" l="1"/>
  <c r="X449" i="17"/>
  <c r="X448" i="17"/>
  <c r="Y448" i="17"/>
  <c r="V451" i="17"/>
  <c r="V452" i="17" l="1"/>
  <c r="W450" i="17"/>
  <c r="X450" i="17" l="1"/>
  <c r="Y450" i="17"/>
  <c r="V453" i="17"/>
  <c r="W452" i="17" s="1"/>
  <c r="W451" i="17"/>
  <c r="Y452" i="17" l="1"/>
  <c r="X452" i="17"/>
  <c r="X451" i="17"/>
  <c r="Y451" i="17"/>
  <c r="V454" i="17"/>
  <c r="V455" i="17" l="1"/>
  <c r="W453" i="17"/>
  <c r="X453" i="17" l="1"/>
  <c r="Y453" i="17"/>
  <c r="V456" i="17"/>
  <c r="W455" i="17" s="1"/>
  <c r="W454" i="17"/>
  <c r="X454" i="17" l="1"/>
  <c r="Y454" i="17"/>
  <c r="Y455" i="17"/>
  <c r="X455" i="17"/>
  <c r="V457" i="17"/>
  <c r="W456" i="17" s="1"/>
  <c r="X456" i="17" l="1"/>
  <c r="Y456" i="17"/>
  <c r="V458" i="17"/>
  <c r="V459" i="17" l="1"/>
  <c r="W458" i="17" s="1"/>
  <c r="W457" i="17"/>
  <c r="X457" i="17" l="1"/>
  <c r="Y457" i="17"/>
  <c r="Y458" i="17"/>
  <c r="X458" i="17"/>
  <c r="V460" i="17"/>
  <c r="V461" i="17" l="1"/>
  <c r="W459" i="17"/>
  <c r="X459" i="17" l="1"/>
  <c r="Y459" i="17"/>
  <c r="V462" i="17"/>
  <c r="W460" i="17"/>
  <c r="X460" i="17" l="1"/>
  <c r="Y460" i="17"/>
  <c r="V463" i="17"/>
  <c r="W461" i="17"/>
  <c r="V464" i="17" l="1"/>
  <c r="Y461" i="17"/>
  <c r="X461" i="17"/>
  <c r="W462" i="17"/>
  <c r="X462" i="17" l="1"/>
  <c r="Y462" i="17"/>
  <c r="V465" i="17"/>
  <c r="W464" i="17" s="1"/>
  <c r="W463" i="17"/>
  <c r="Y464" i="17" l="1"/>
  <c r="X464" i="17"/>
  <c r="X463" i="17"/>
  <c r="Y463" i="17"/>
  <c r="V466" i="17"/>
  <c r="V467" i="17" l="1"/>
  <c r="W465" i="17"/>
  <c r="X465" i="17" l="1"/>
  <c r="Y465" i="17"/>
  <c r="V468" i="17"/>
  <c r="W467" i="17" s="1"/>
  <c r="W466" i="17"/>
  <c r="Y467" i="17" l="1"/>
  <c r="X467" i="17"/>
  <c r="X466" i="17"/>
  <c r="Y466" i="17"/>
  <c r="V469" i="17"/>
  <c r="V470" i="17" l="1"/>
  <c r="W468" i="17"/>
  <c r="X468" i="17" l="1"/>
  <c r="Y468" i="17"/>
  <c r="V471" i="17"/>
  <c r="W470" i="17" s="1"/>
  <c r="W469" i="17"/>
  <c r="Y470" i="17" l="1"/>
  <c r="X470" i="17"/>
  <c r="X469" i="17"/>
  <c r="Y469" i="17"/>
  <c r="V472" i="17"/>
  <c r="W471" i="17" s="1"/>
  <c r="X471" i="17" l="1"/>
  <c r="Y471" i="17"/>
  <c r="V473" i="17"/>
  <c r="V474" i="17" l="1"/>
  <c r="W473" i="17" s="1"/>
  <c r="W472" i="17"/>
  <c r="Y473" i="17" l="1"/>
  <c r="X473" i="17"/>
  <c r="X472" i="17"/>
  <c r="Y472" i="17"/>
  <c r="V475" i="17"/>
  <c r="W474" i="17" s="1"/>
  <c r="X474" i="17" l="1"/>
  <c r="Y474" i="17"/>
  <c r="V476" i="17"/>
  <c r="W475" i="17" s="1"/>
  <c r="X475" i="17" l="1"/>
  <c r="Y475" i="17"/>
  <c r="V477" i="17"/>
  <c r="V478" i="17" l="1"/>
  <c r="W476" i="17"/>
  <c r="Y476" i="17" l="1"/>
  <c r="X476" i="17"/>
  <c r="V479" i="17"/>
  <c r="W477" i="17"/>
  <c r="V480" i="17" l="1"/>
  <c r="W479" i="17" s="1"/>
  <c r="X477" i="17"/>
  <c r="Y477" i="17"/>
  <c r="W478" i="17"/>
  <c r="Y479" i="17" l="1"/>
  <c r="X479" i="17"/>
  <c r="X478" i="17"/>
  <c r="Y478" i="17"/>
  <c r="V481" i="17"/>
  <c r="V482" i="17" l="1"/>
  <c r="W480" i="17"/>
  <c r="X480" i="17" l="1"/>
  <c r="Y480" i="17"/>
  <c r="V483" i="17"/>
  <c r="W482" i="17" s="1"/>
  <c r="W481" i="17"/>
  <c r="Y482" i="17" l="1"/>
  <c r="X482" i="17"/>
  <c r="X481" i="17"/>
  <c r="Y481" i="17"/>
  <c r="V484" i="17"/>
  <c r="V485" i="17" l="1"/>
  <c r="W483" i="17"/>
  <c r="X483" i="17" l="1"/>
  <c r="Y483" i="17"/>
  <c r="V486" i="17"/>
  <c r="W485" i="17" s="1"/>
  <c r="W484" i="17"/>
  <c r="X484" i="17" l="1"/>
  <c r="Y484" i="17"/>
  <c r="Y485" i="17"/>
  <c r="X485" i="17"/>
  <c r="V487" i="17"/>
  <c r="W486" i="17" s="1"/>
  <c r="X486" i="17" l="1"/>
  <c r="Y486" i="17"/>
  <c r="V488" i="17"/>
  <c r="V489" i="17" l="1"/>
  <c r="W488" i="17" s="1"/>
  <c r="W487" i="17"/>
  <c r="Y488" i="17" l="1"/>
  <c r="X488" i="17"/>
  <c r="X487" i="17"/>
  <c r="Y487" i="17"/>
  <c r="V490" i="17"/>
  <c r="W489" i="17" s="1"/>
  <c r="X489" i="17" l="1"/>
  <c r="Y489" i="17"/>
  <c r="V491" i="17"/>
  <c r="W491" i="17" s="1"/>
  <c r="W490" i="17" l="1"/>
  <c r="Y491" i="17"/>
  <c r="X491" i="17"/>
  <c r="X490" i="17" l="1"/>
  <c r="Y490" i="17"/>
  <c r="K9" i="35"/>
  <c r="B10" i="35" s="1"/>
  <c r="B12" i="35" l="1"/>
  <c r="D23" i="35" s="1"/>
  <c r="D24" i="35" l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B23" i="35" l="1"/>
  <c r="C23" i="35" s="1"/>
  <c r="A24" i="35"/>
  <c r="B24" i="35" s="1"/>
  <c r="C24" i="35" s="1"/>
  <c r="A25" i="35" l="1"/>
  <c r="E1" i="35"/>
  <c r="H1" i="35"/>
  <c r="K1" i="35"/>
  <c r="E4" i="35"/>
  <c r="E13" i="35"/>
  <c r="E14" i="35" s="1"/>
  <c r="H12" i="35" s="1"/>
  <c r="A26" i="35" l="1"/>
  <c r="B25" i="35"/>
  <c r="C25" i="35" s="1"/>
  <c r="A27" i="35" l="1"/>
  <c r="B26" i="35"/>
  <c r="C26" i="35" s="1"/>
  <c r="B27" i="35" l="1"/>
  <c r="C27" i="35" s="1"/>
  <c r="A28" i="35"/>
  <c r="A29" i="35" l="1"/>
  <c r="B28" i="35"/>
  <c r="C28" i="35" s="1"/>
  <c r="B29" i="35" l="1"/>
  <c r="C29" i="35" s="1"/>
  <c r="A30" i="35"/>
  <c r="B30" i="35" l="1"/>
  <c r="C30" i="35" s="1"/>
  <c r="A31" i="35"/>
  <c r="B31" i="35" l="1"/>
  <c r="C31" i="35" s="1"/>
  <c r="A32" i="35"/>
  <c r="B32" i="35" l="1"/>
  <c r="C32" i="35" s="1"/>
  <c r="A33" i="35"/>
  <c r="B33" i="35" l="1"/>
  <c r="C33" i="35" s="1"/>
  <c r="A34" i="35"/>
  <c r="A35" i="35" l="1"/>
  <c r="B34" i="35"/>
  <c r="C34" i="35" s="1"/>
  <c r="B35" i="35" l="1"/>
  <c r="C35" i="35" s="1"/>
  <c r="A36" i="35"/>
  <c r="B36" i="35" l="1"/>
  <c r="C36" i="35" s="1"/>
  <c r="A37" i="35"/>
  <c r="B37" i="35" l="1"/>
  <c r="C37" i="35" s="1"/>
  <c r="A38" i="35"/>
  <c r="B38" i="35" l="1"/>
  <c r="C38" i="35" s="1"/>
  <c r="A39" i="35"/>
  <c r="B39" i="35" l="1"/>
  <c r="C39" i="35" s="1"/>
  <c r="A40" i="35"/>
  <c r="A41" i="35" l="1"/>
  <c r="B40" i="35"/>
  <c r="C40" i="35" s="1"/>
  <c r="A42" i="35" l="1"/>
  <c r="B41" i="35"/>
  <c r="C41" i="35" s="1"/>
  <c r="B42" i="35" l="1"/>
  <c r="C42" i="35" s="1"/>
  <c r="A43" i="35"/>
  <c r="B43" i="35" l="1"/>
  <c r="C43" i="35" l="1"/>
  <c r="B44" i="35"/>
  <c r="E3" i="35"/>
  <c r="K13" i="35"/>
  <c r="K14" i="35" s="1"/>
  <c r="H15" i="35" s="1"/>
  <c r="H16" i="35"/>
  <c r="H18" i="35"/>
  <c r="Q6" i="35" s="1"/>
  <c r="N7" i="35" l="1"/>
  <c r="V32" i="35"/>
  <c r="Y32" i="35" l="1"/>
  <c r="W32" i="35" s="1"/>
  <c r="X32" i="35" s="1"/>
  <c r="AY32" i="35"/>
  <c r="AZ32" i="35" s="1"/>
  <c r="AA32" i="35"/>
  <c r="AB32" i="35" l="1"/>
  <c r="H32" i="35"/>
  <c r="AH32" i="35" l="1"/>
  <c r="AF32" i="35"/>
  <c r="AG32" i="35" s="1"/>
  <c r="AD32" i="35"/>
  <c r="AI32" i="35" s="1"/>
  <c r="V33" i="35"/>
  <c r="Y33" i="35" s="1"/>
  <c r="W33" i="35" s="1"/>
  <c r="X33" i="35" s="1"/>
  <c r="AY33" i="35" l="1"/>
  <c r="AZ33" i="35" s="1"/>
  <c r="AB33" i="35"/>
  <c r="AH33" i="35" s="1"/>
  <c r="H33" i="35"/>
  <c r="AA33" i="35"/>
  <c r="U32" i="35"/>
  <c r="AJ32" i="35"/>
  <c r="AO32" i="35" s="1"/>
  <c r="AD33" i="35"/>
  <c r="AI33" i="35" s="1"/>
  <c r="AF33" i="35"/>
  <c r="AG33" i="35" s="1"/>
  <c r="AK32" i="35" l="1"/>
  <c r="AP32" i="35"/>
  <c r="U33" i="35"/>
  <c r="AJ33" i="35"/>
  <c r="AO33" i="35" s="1"/>
  <c r="AK33" i="35" l="1"/>
  <c r="AP33" i="35"/>
  <c r="V34" i="35"/>
  <c r="AA34" i="35" s="1"/>
  <c r="Y34" i="35" l="1"/>
  <c r="W34" i="35" s="1"/>
  <c r="X34" i="35" s="1"/>
  <c r="AB34" i="35" s="1"/>
  <c r="AY34" i="35"/>
  <c r="AZ34" i="35" s="1"/>
  <c r="H34" i="35" l="1"/>
  <c r="AD34" i="35"/>
  <c r="AI34" i="35" s="1"/>
  <c r="AF34" i="35"/>
  <c r="AG34" i="35" s="1"/>
  <c r="AH34" i="35"/>
  <c r="U34" i="35" l="1"/>
  <c r="AJ34" i="35"/>
  <c r="AO34" i="35" s="1"/>
  <c r="AK34" i="35" l="1"/>
  <c r="AP34" i="35"/>
  <c r="V35" i="35"/>
  <c r="Y35" i="35" l="1"/>
  <c r="W35" i="35" s="1"/>
  <c r="AY35" i="35"/>
  <c r="AZ35" i="35" s="1"/>
  <c r="AA35" i="35"/>
  <c r="X35" i="35"/>
  <c r="H35" i="35" l="1"/>
  <c r="AB35" i="35"/>
  <c r="AH35" i="35" l="1"/>
  <c r="AD35" i="35"/>
  <c r="AI35" i="35" s="1"/>
  <c r="AF35" i="35"/>
  <c r="AG35" i="35" s="1"/>
  <c r="U35" i="35" l="1"/>
  <c r="AJ35" i="35"/>
  <c r="AO35" i="35" s="1"/>
  <c r="AP35" i="35" l="1"/>
  <c r="AK35" i="35"/>
  <c r="V36" i="35"/>
  <c r="Y36" i="35" l="1"/>
  <c r="W36" i="35" s="1"/>
  <c r="X36" i="35" s="1"/>
  <c r="AY36" i="35"/>
  <c r="AZ36" i="35" s="1"/>
  <c r="AA36" i="35"/>
  <c r="H36" i="35" l="1"/>
  <c r="AB36" i="35"/>
  <c r="AH36" i="35" l="1"/>
  <c r="AD36" i="35"/>
  <c r="AI36" i="35" s="1"/>
  <c r="AF36" i="35"/>
  <c r="AG36" i="35" s="1"/>
  <c r="U36" i="35" l="1"/>
  <c r="AJ36" i="35"/>
  <c r="AO36" i="35" s="1"/>
  <c r="AP36" i="35" l="1"/>
  <c r="AK36" i="35"/>
  <c r="V37" i="35"/>
  <c r="AA37" i="35" s="1"/>
  <c r="Y37" i="35" l="1"/>
  <c r="W37" i="35" s="1"/>
  <c r="X37" i="35" s="1"/>
  <c r="AY37" i="35"/>
  <c r="AZ37" i="35" s="1"/>
  <c r="AB37" i="35" l="1"/>
  <c r="H37" i="35"/>
  <c r="AF37" i="35" l="1"/>
  <c r="AG37" i="35" s="1"/>
  <c r="AD37" i="35"/>
  <c r="AI37" i="35" s="1"/>
  <c r="AH37" i="35"/>
  <c r="U37" i="35" l="1"/>
  <c r="AJ37" i="35"/>
  <c r="AO37" i="35" s="1"/>
  <c r="AP37" i="35" l="1"/>
  <c r="AK37" i="35"/>
  <c r="V38" i="35"/>
  <c r="AY38" i="35" s="1"/>
  <c r="AZ38" i="35" s="1"/>
  <c r="Y38" i="35" l="1"/>
  <c r="W38" i="35" s="1"/>
  <c r="X38" i="35" s="1"/>
  <c r="AA38" i="35"/>
  <c r="H38" i="35" l="1"/>
  <c r="AB38" i="35"/>
  <c r="AH38" i="35" s="1"/>
  <c r="AF38" i="35" l="1"/>
  <c r="AG38" i="35" s="1"/>
  <c r="AD38" i="35"/>
  <c r="AI38" i="35" s="1"/>
  <c r="U38" i="35"/>
  <c r="AJ38" i="35"/>
  <c r="AO38" i="35" s="1"/>
  <c r="AK38" i="35" l="1"/>
  <c r="AP38" i="35"/>
  <c r="V39" i="35"/>
  <c r="Y39" i="35" s="1"/>
  <c r="W39" i="35" s="1"/>
  <c r="X39" i="35" s="1"/>
  <c r="H39" i="35" l="1"/>
  <c r="AB39" i="35"/>
  <c r="AA39" i="35"/>
  <c r="AY39" i="35"/>
  <c r="AZ39" i="35" s="1"/>
  <c r="AH39" i="35" l="1"/>
  <c r="AD39" i="35"/>
  <c r="AI39" i="35" s="1"/>
  <c r="AF39" i="35"/>
  <c r="AG39" i="35" s="1"/>
  <c r="AJ39" i="35" l="1"/>
  <c r="AO39" i="35" s="1"/>
  <c r="U39" i="35"/>
  <c r="AK39" i="35" l="1"/>
  <c r="AP39" i="35"/>
  <c r="V40" i="35"/>
  <c r="Y40" i="35" l="1"/>
  <c r="W40" i="35" s="1"/>
  <c r="X40" i="35" s="1"/>
  <c r="AY40" i="35"/>
  <c r="AZ40" i="35" s="1"/>
  <c r="AA40" i="35"/>
  <c r="AB40" i="35" l="1"/>
  <c r="H40" i="35"/>
  <c r="AH40" i="35" l="1"/>
  <c r="AD40" i="35"/>
  <c r="AI40" i="35" s="1"/>
  <c r="AF40" i="35"/>
  <c r="AG40" i="35" s="1"/>
  <c r="U40" i="35" l="1"/>
  <c r="AJ40" i="35"/>
  <c r="AO40" i="35" s="1"/>
  <c r="AP40" i="35" l="1"/>
  <c r="AK40" i="35"/>
  <c r="V41" i="35"/>
  <c r="Y41" i="35" s="1"/>
  <c r="W41" i="35" s="1"/>
  <c r="X41" i="35" s="1"/>
  <c r="AY41" i="35" l="1"/>
  <c r="AZ41" i="35" s="1"/>
  <c r="AA41" i="35"/>
  <c r="AB41" i="35"/>
  <c r="H41" i="35"/>
  <c r="AD41" i="35" l="1"/>
  <c r="AI41" i="35" s="1"/>
  <c r="AF41" i="35"/>
  <c r="AG41" i="35" s="1"/>
  <c r="AH41" i="35"/>
  <c r="U41" i="35" l="1"/>
  <c r="AJ41" i="35"/>
  <c r="AO41" i="35" s="1"/>
  <c r="AK41" i="35" l="1"/>
  <c r="AP41" i="35"/>
  <c r="V42" i="35"/>
  <c r="AA42" i="35" s="1"/>
  <c r="Y42" i="35" l="1"/>
  <c r="W42" i="35" s="1"/>
  <c r="X42" i="35" s="1"/>
  <c r="AY42" i="35"/>
  <c r="AZ42" i="35" s="1"/>
  <c r="AB42" i="35" l="1"/>
  <c r="H42" i="35"/>
  <c r="AH42" i="35" l="1"/>
  <c r="AD42" i="35"/>
  <c r="AI42" i="35" s="1"/>
  <c r="AF42" i="35"/>
  <c r="AG42" i="35" s="1"/>
  <c r="U42" i="35" l="1"/>
  <c r="AJ42" i="35"/>
  <c r="AO42" i="35" s="1"/>
  <c r="AP42" i="35" l="1"/>
  <c r="AK42" i="35"/>
  <c r="V43" i="35"/>
  <c r="Y43" i="35" l="1"/>
  <c r="W43" i="35" s="1"/>
  <c r="X43" i="35" s="1"/>
  <c r="AY43" i="35"/>
  <c r="AZ43" i="35" s="1"/>
  <c r="AA43" i="35"/>
  <c r="H43" i="35" l="1"/>
  <c r="AB43" i="35"/>
  <c r="AH43" i="35" l="1"/>
  <c r="AF43" i="35"/>
  <c r="AG43" i="35" s="1"/>
  <c r="AD43" i="35"/>
  <c r="AI43" i="35" s="1"/>
  <c r="U43" i="35" l="1"/>
  <c r="AJ43" i="35"/>
  <c r="AO43" i="35" s="1"/>
  <c r="AK43" i="35" l="1"/>
  <c r="AP43" i="35"/>
  <c r="AA201" i="17"/>
  <c r="AC201" i="17" s="1"/>
  <c r="AG201" i="17" s="1"/>
  <c r="AK201" i="17" s="1"/>
  <c r="AA202" i="17"/>
  <c r="AC202" i="17" s="1"/>
  <c r="AA203" i="17"/>
  <c r="AC203" i="17" s="1"/>
  <c r="AA204" i="17"/>
  <c r="AC204" i="17" s="1"/>
  <c r="AA205" i="17"/>
  <c r="AA206" i="17"/>
  <c r="AA207" i="17"/>
  <c r="AC207" i="17" s="1"/>
  <c r="AA208" i="17"/>
  <c r="AC208" i="17" s="1"/>
  <c r="AE208" i="17"/>
  <c r="AH208" i="17" s="1"/>
  <c r="AA209" i="17"/>
  <c r="AC209" i="17" s="1"/>
  <c r="AA210" i="17"/>
  <c r="AC210" i="17" s="1"/>
  <c r="AA211" i="17"/>
  <c r="AA212" i="17"/>
  <c r="AA213" i="17"/>
  <c r="AC213" i="17" s="1"/>
  <c r="AA214" i="17"/>
  <c r="AC214" i="17" s="1"/>
  <c r="AE214" i="17"/>
  <c r="AH214" i="17" s="1"/>
  <c r="AA215" i="17"/>
  <c r="AC215" i="17" s="1"/>
  <c r="AA216" i="17"/>
  <c r="AC216" i="17" s="1"/>
  <c r="AA217" i="17"/>
  <c r="AA218" i="17"/>
  <c r="AA219" i="17"/>
  <c r="AC219" i="17" s="1"/>
  <c r="AA220" i="17"/>
  <c r="AC220" i="17" s="1"/>
  <c r="AE220" i="17"/>
  <c r="AH220" i="17" s="1"/>
  <c r="AA221" i="17"/>
  <c r="AC221" i="17" s="1"/>
  <c r="AA222" i="17"/>
  <c r="AC222" i="17" s="1"/>
  <c r="AA223" i="17"/>
  <c r="AA224" i="17"/>
  <c r="AA225" i="17"/>
  <c r="AC225" i="17" s="1"/>
  <c r="AA226" i="17"/>
  <c r="AC226" i="17" s="1"/>
  <c r="AE226" i="17"/>
  <c r="AH226" i="17" s="1"/>
  <c r="AA227" i="17"/>
  <c r="AC227" i="17" s="1"/>
  <c r="AA228" i="17"/>
  <c r="AC228" i="17" s="1"/>
  <c r="AA229" i="17"/>
  <c r="AA230" i="17"/>
  <c r="AA231" i="17"/>
  <c r="AC231" i="17" s="1"/>
  <c r="AA236" i="17"/>
  <c r="AC236" i="17" s="1"/>
  <c r="AA237" i="17"/>
  <c r="AC237" i="17"/>
  <c r="AA238" i="17"/>
  <c r="AC238" i="17" s="1"/>
  <c r="AA239" i="17"/>
  <c r="AC239" i="17" s="1"/>
  <c r="AA240" i="17"/>
  <c r="AA241" i="17"/>
  <c r="AC241" i="17" s="1"/>
  <c r="AA242" i="17"/>
  <c r="AC242" i="17" s="1"/>
  <c r="AA243" i="17"/>
  <c r="AC243" i="17" s="1"/>
  <c r="AA244" i="17"/>
  <c r="AC244" i="17"/>
  <c r="AA245" i="17"/>
  <c r="AC245" i="17" s="1"/>
  <c r="AA246" i="17"/>
  <c r="AA247" i="17"/>
  <c r="AC247" i="17" s="1"/>
  <c r="AA248" i="17"/>
  <c r="AC248" i="17" s="1"/>
  <c r="AA249" i="17"/>
  <c r="AC249" i="17"/>
  <c r="AA250" i="17"/>
  <c r="AC250" i="17"/>
  <c r="AA251" i="17"/>
  <c r="AC251" i="17" s="1"/>
  <c r="AA252" i="17"/>
  <c r="AA253" i="17"/>
  <c r="AC253" i="17" s="1"/>
  <c r="AA254" i="17"/>
  <c r="AC254" i="17" s="1"/>
  <c r="AA255" i="17"/>
  <c r="AC255" i="17"/>
  <c r="AA256" i="17"/>
  <c r="AC256" i="17" s="1"/>
  <c r="AA257" i="17"/>
  <c r="AC257" i="17" s="1"/>
  <c r="AA258" i="17"/>
  <c r="AA259" i="17"/>
  <c r="AC259" i="17" s="1"/>
  <c r="AA260" i="17"/>
  <c r="AC260" i="17" s="1"/>
  <c r="AA261" i="17"/>
  <c r="AC261" i="17" s="1"/>
  <c r="AA262" i="17"/>
  <c r="AC262" i="17"/>
  <c r="AA263" i="17"/>
  <c r="AC263" i="17" s="1"/>
  <c r="AA264" i="17"/>
  <c r="AA265" i="17"/>
  <c r="AC265" i="17" s="1"/>
  <c r="AA266" i="17"/>
  <c r="AC266" i="17" s="1"/>
  <c r="AA267" i="17"/>
  <c r="AC267" i="17" s="1"/>
  <c r="AA268" i="17"/>
  <c r="AC268" i="17"/>
  <c r="AA269" i="17"/>
  <c r="AC269" i="17" s="1"/>
  <c r="AA270" i="17"/>
  <c r="AA271" i="17"/>
  <c r="AC271" i="17" s="1"/>
  <c r="AA272" i="17"/>
  <c r="AC272" i="17" s="1"/>
  <c r="AA273" i="17"/>
  <c r="AC273" i="17"/>
  <c r="AA274" i="17"/>
  <c r="AC274" i="17" s="1"/>
  <c r="AA275" i="17"/>
  <c r="AC275" i="17" s="1"/>
  <c r="AA276" i="17"/>
  <c r="AA277" i="17"/>
  <c r="AC277" i="17" s="1"/>
  <c r="AA278" i="17"/>
  <c r="AC278" i="17" s="1"/>
  <c r="AA279" i="17"/>
  <c r="AC279" i="17" s="1"/>
  <c r="AA280" i="17"/>
  <c r="AC280" i="17" s="1"/>
  <c r="AA281" i="17"/>
  <c r="AC281" i="17" s="1"/>
  <c r="AA282" i="17"/>
  <c r="AA283" i="17"/>
  <c r="AC283" i="17" s="1"/>
  <c r="AA284" i="17"/>
  <c r="AC284" i="17" s="1"/>
  <c r="AE202" i="17" l="1"/>
  <c r="AH202" i="17" s="1"/>
  <c r="AE231" i="17"/>
  <c r="AE227" i="17"/>
  <c r="AH227" i="17" s="1"/>
  <c r="AE225" i="17"/>
  <c r="AE221" i="17"/>
  <c r="AH221" i="17" s="1"/>
  <c r="AE219" i="17"/>
  <c r="AE215" i="17"/>
  <c r="AH215" i="17" s="1"/>
  <c r="AE213" i="17"/>
  <c r="AE209" i="17"/>
  <c r="AH209" i="17" s="1"/>
  <c r="AE207" i="17"/>
  <c r="AE203" i="17"/>
  <c r="AH203" i="17" s="1"/>
  <c r="AF201" i="17"/>
  <c r="AE201" i="17"/>
  <c r="AH231" i="17"/>
  <c r="AH225" i="17"/>
  <c r="AH219" i="17"/>
  <c r="AH213" i="17"/>
  <c r="AH207" i="17"/>
  <c r="AH201" i="17"/>
  <c r="AJ201" i="17"/>
  <c r="AC264" i="17"/>
  <c r="AC240" i="17"/>
  <c r="AC224" i="17"/>
  <c r="AE224" i="17"/>
  <c r="AC218" i="17"/>
  <c r="AE218" i="17"/>
  <c r="AC212" i="17"/>
  <c r="AE212" i="17"/>
  <c r="AC223" i="17"/>
  <c r="AE223" i="17"/>
  <c r="AC217" i="17"/>
  <c r="AE217" i="17"/>
  <c r="AC211" i="17"/>
  <c r="AE211" i="17"/>
  <c r="AE228" i="17"/>
  <c r="AE222" i="17"/>
  <c r="AE216" i="17"/>
  <c r="AE210" i="17"/>
  <c r="AE204" i="17"/>
  <c r="AC282" i="17"/>
  <c r="AC276" i="17"/>
  <c r="AC270" i="17"/>
  <c r="AC258" i="17"/>
  <c r="AC252" i="17"/>
  <c r="AC246" i="17"/>
  <c r="AC230" i="17"/>
  <c r="AE230" i="17"/>
  <c r="AC206" i="17"/>
  <c r="AE206" i="17"/>
  <c r="AC229" i="17"/>
  <c r="AE229" i="17"/>
  <c r="AC205" i="17"/>
  <c r="AE205" i="17"/>
  <c r="AH211" i="17" l="1"/>
  <c r="AH205" i="17"/>
  <c r="AH206" i="17"/>
  <c r="AH230" i="17"/>
  <c r="A201" i="17"/>
  <c r="AI201" i="17"/>
  <c r="AM201" i="17" s="1"/>
  <c r="AO201" i="17" s="1"/>
  <c r="AH217" i="17"/>
  <c r="AH212" i="17"/>
  <c r="AH224" i="17"/>
  <c r="AH223" i="17"/>
  <c r="AH229" i="17"/>
  <c r="AH204" i="17"/>
  <c r="AH228" i="17"/>
  <c r="AH210" i="17"/>
  <c r="AH222" i="17"/>
  <c r="AH218" i="17"/>
  <c r="AH216" i="17"/>
  <c r="AN201" i="17" l="1"/>
  <c r="F202" i="17"/>
  <c r="E202" i="17"/>
  <c r="D202" i="17"/>
  <c r="A202" i="17"/>
  <c r="T202" i="17" l="1"/>
  <c r="B202" i="17"/>
  <c r="C202" i="17" s="1"/>
  <c r="W202" i="17" l="1"/>
  <c r="Y202" i="17"/>
  <c r="U202" i="17" l="1"/>
  <c r="V202" i="17" s="1"/>
  <c r="Z202" i="17" s="1"/>
  <c r="AJ202" i="17"/>
  <c r="AI202" i="17" l="1"/>
  <c r="AM202" i="17" s="1"/>
  <c r="AO202" i="17" s="1"/>
  <c r="AB202" i="17"/>
  <c r="AG202" i="17" s="1"/>
  <c r="AK202" i="17" s="1"/>
  <c r="AF202" i="17"/>
  <c r="F203" i="17" l="1"/>
  <c r="E203" i="17"/>
  <c r="AN202" i="17"/>
  <c r="D203" i="17" s="1"/>
  <c r="A203" i="17"/>
  <c r="B203" i="17" l="1"/>
  <c r="C203" i="17" s="1"/>
  <c r="T203" i="17"/>
  <c r="Y203" i="17" l="1"/>
  <c r="W203" i="17"/>
  <c r="U203" i="17" l="1"/>
  <c r="V203" i="17" s="1"/>
  <c r="Z203" i="17" s="1"/>
  <c r="AJ203" i="17"/>
  <c r="AI203" i="17" l="1"/>
  <c r="AM203" i="17" s="1"/>
  <c r="AO203" i="17" s="1"/>
  <c r="AF203" i="17"/>
  <c r="AB203" i="17"/>
  <c r="AG203" i="17" s="1"/>
  <c r="AK203" i="17" s="1"/>
  <c r="F204" i="17" l="1"/>
  <c r="E204" i="17"/>
  <c r="AN203" i="17"/>
  <c r="D204" i="17" s="1"/>
  <c r="A204" i="17"/>
  <c r="T204" i="17" l="1"/>
  <c r="B204" i="17"/>
  <c r="C204" i="17" s="1"/>
  <c r="W204" i="17" l="1"/>
  <c r="Y204" i="17"/>
  <c r="U204" i="17" l="1"/>
  <c r="V204" i="17" s="1"/>
  <c r="Z204" i="17" s="1"/>
  <c r="AJ204" i="17"/>
  <c r="AB204" i="17" l="1"/>
  <c r="AG204" i="17" s="1"/>
  <c r="AK204" i="17" s="1"/>
  <c r="AF204" i="17"/>
  <c r="AI204" i="17"/>
  <c r="AM204" i="17" s="1"/>
  <c r="AN204" i="17" l="1"/>
  <c r="D205" i="17" s="1"/>
  <c r="A205" i="17"/>
  <c r="AO204" i="17"/>
  <c r="T205" i="17" l="1"/>
  <c r="B205" i="17"/>
  <c r="C205" i="17" s="1"/>
  <c r="F205" i="17"/>
  <c r="E205" i="17"/>
  <c r="W205" i="17" l="1"/>
  <c r="Y205" i="17"/>
  <c r="U205" i="17" l="1"/>
  <c r="V205" i="17" s="1"/>
  <c r="Z205" i="17" s="1"/>
  <c r="AJ205" i="17"/>
  <c r="AI205" i="17" l="1"/>
  <c r="AM205" i="17" s="1"/>
  <c r="AO205" i="17" s="1"/>
  <c r="AB205" i="17"/>
  <c r="AG205" i="17" s="1"/>
  <c r="AK205" i="17" s="1"/>
  <c r="AF205" i="17"/>
  <c r="E206" i="17" l="1"/>
  <c r="F206" i="17"/>
  <c r="AN205" i="17"/>
  <c r="D206" i="17" s="1"/>
  <c r="A206" i="17"/>
  <c r="B206" i="17" l="1"/>
  <c r="C206" i="17" s="1"/>
  <c r="T206" i="17"/>
  <c r="W206" i="17" l="1"/>
  <c r="Y206" i="17"/>
  <c r="U206" i="17" l="1"/>
  <c r="V206" i="17" s="1"/>
  <c r="Z206" i="17" s="1"/>
  <c r="AJ206" i="17"/>
  <c r="AI206" i="17" l="1"/>
  <c r="AM206" i="17" s="1"/>
  <c r="AO206" i="17" s="1"/>
  <c r="AB206" i="17"/>
  <c r="AG206" i="17" s="1"/>
  <c r="AK206" i="17" s="1"/>
  <c r="AF206" i="17"/>
  <c r="AN206" i="17" l="1"/>
  <c r="D207" i="17" s="1"/>
  <c r="A207" i="17"/>
  <c r="F207" i="17"/>
  <c r="E207" i="17"/>
  <c r="B207" i="17" l="1"/>
  <c r="C207" i="17" s="1"/>
  <c r="T207" i="17"/>
  <c r="W207" i="17" l="1"/>
  <c r="Y207" i="17"/>
  <c r="U207" i="17" l="1"/>
  <c r="V207" i="17" s="1"/>
  <c r="Z207" i="17" s="1"/>
  <c r="AJ207" i="17"/>
  <c r="AB207" i="17" l="1"/>
  <c r="AG207" i="17" s="1"/>
  <c r="AK207" i="17" s="1"/>
  <c r="AF207" i="17"/>
  <c r="AI207" i="17"/>
  <c r="AM207" i="17" s="1"/>
  <c r="AN207" i="17" l="1"/>
  <c r="D208" i="17" s="1"/>
  <c r="A208" i="17"/>
  <c r="AO207" i="17"/>
  <c r="T208" i="17" l="1"/>
  <c r="E208" i="17"/>
  <c r="F208" i="17"/>
  <c r="B208" i="17"/>
  <c r="C208" i="17" s="1"/>
  <c r="W208" i="17" l="1"/>
  <c r="Y208" i="17"/>
  <c r="U208" i="17" l="1"/>
  <c r="V208" i="17" s="1"/>
  <c r="Z208" i="17" s="1"/>
  <c r="AJ208" i="17"/>
  <c r="AB208" i="17" l="1"/>
  <c r="AG208" i="17" s="1"/>
  <c r="AK208" i="17" s="1"/>
  <c r="AF208" i="17"/>
  <c r="AI208" i="17"/>
  <c r="AM208" i="17" s="1"/>
  <c r="AO208" i="17" s="1"/>
  <c r="AN208" i="17" l="1"/>
  <c r="D209" i="17" s="1"/>
  <c r="A209" i="17"/>
  <c r="E209" i="17"/>
  <c r="F209" i="17"/>
  <c r="B209" i="17" l="1"/>
  <c r="C209" i="17" s="1"/>
  <c r="T209" i="17"/>
  <c r="Y209" i="17" l="1"/>
  <c r="W209" i="17"/>
  <c r="U209" i="17" l="1"/>
  <c r="V209" i="17" s="1"/>
  <c r="Z209" i="17" s="1"/>
  <c r="AJ209" i="17"/>
  <c r="AF209" i="17" l="1"/>
  <c r="AB209" i="17"/>
  <c r="AG209" i="17" s="1"/>
  <c r="AK209" i="17" s="1"/>
  <c r="AI209" i="17"/>
  <c r="AM209" i="17" s="1"/>
  <c r="AO209" i="17" s="1"/>
  <c r="AN209" i="17" l="1"/>
  <c r="D210" i="17" s="1"/>
  <c r="A210" i="17"/>
  <c r="E210" i="17"/>
  <c r="F210" i="17"/>
  <c r="B210" i="17" l="1"/>
  <c r="C210" i="17" s="1"/>
  <c r="T210" i="17"/>
  <c r="W210" i="17" l="1"/>
  <c r="Y210" i="17"/>
  <c r="U210" i="17" l="1"/>
  <c r="V210" i="17" s="1"/>
  <c r="Z210" i="17" s="1"/>
  <c r="AJ210" i="17"/>
  <c r="AI210" i="17" l="1"/>
  <c r="AM210" i="17" s="1"/>
  <c r="AB210" i="17"/>
  <c r="AG210" i="17" s="1"/>
  <c r="AK210" i="17" s="1"/>
  <c r="AF210" i="17"/>
  <c r="AN210" i="17" l="1"/>
  <c r="D211" i="17" s="1"/>
  <c r="A211" i="17"/>
  <c r="AO210" i="17"/>
  <c r="T211" i="17" l="1"/>
  <c r="F211" i="17"/>
  <c r="E211" i="17"/>
  <c r="B211" i="17"/>
  <c r="C211" i="17" s="1"/>
  <c r="W211" i="17" l="1"/>
  <c r="Y211" i="17"/>
  <c r="U211" i="17" l="1"/>
  <c r="V211" i="17" s="1"/>
  <c r="Z211" i="17" s="1"/>
  <c r="AJ211" i="17"/>
  <c r="AI211" i="17" l="1"/>
  <c r="AM211" i="17" s="1"/>
  <c r="AO211" i="17" s="1"/>
  <c r="AB211" i="17"/>
  <c r="AG211" i="17" s="1"/>
  <c r="AK211" i="17" s="1"/>
  <c r="AF211" i="17"/>
  <c r="E212" i="17" l="1"/>
  <c r="F212" i="17"/>
  <c r="AN211" i="17"/>
  <c r="D212" i="17" s="1"/>
  <c r="A212" i="17"/>
  <c r="B212" i="17" l="1"/>
  <c r="C212" i="17" s="1"/>
  <c r="T212" i="17"/>
  <c r="W212" i="17" l="1"/>
  <c r="Y212" i="17"/>
  <c r="U212" i="17" l="1"/>
  <c r="V212" i="17" s="1"/>
  <c r="Z212" i="17" s="1"/>
  <c r="AJ212" i="17"/>
  <c r="AI212" i="17" l="1"/>
  <c r="AM212" i="17" s="1"/>
  <c r="AO212" i="17" s="1"/>
  <c r="AB212" i="17"/>
  <c r="AG212" i="17" s="1"/>
  <c r="AK212" i="17" s="1"/>
  <c r="AF212" i="17"/>
  <c r="F213" i="17" l="1"/>
  <c r="E213" i="17"/>
  <c r="AN212" i="17"/>
  <c r="D213" i="17" s="1"/>
  <c r="A213" i="17"/>
  <c r="B213" i="17" l="1"/>
  <c r="C213" i="17" s="1"/>
  <c r="T213" i="17"/>
  <c r="W213" i="17" l="1"/>
  <c r="Y213" i="17"/>
  <c r="U213" i="17" l="1"/>
  <c r="V213" i="17" s="1"/>
  <c r="Z213" i="17" s="1"/>
  <c r="AJ213" i="17"/>
  <c r="AI213" i="17" l="1"/>
  <c r="AM213" i="17" s="1"/>
  <c r="AB213" i="17"/>
  <c r="AG213" i="17" s="1"/>
  <c r="AK213" i="17" s="1"/>
  <c r="AF213" i="17"/>
  <c r="AN213" i="17" l="1"/>
  <c r="D214" i="17" s="1"/>
  <c r="A214" i="17"/>
  <c r="AO213" i="17"/>
  <c r="E214" i="17" l="1"/>
  <c r="F214" i="17"/>
  <c r="B214" i="17"/>
  <c r="C214" i="17" s="1"/>
  <c r="T214" i="17"/>
  <c r="W214" i="17" l="1"/>
  <c r="Y214" i="17"/>
  <c r="U214" i="17" l="1"/>
  <c r="V214" i="17" s="1"/>
  <c r="Z214" i="17" s="1"/>
  <c r="AJ214" i="17"/>
  <c r="AI214" i="17" l="1"/>
  <c r="AM214" i="17" s="1"/>
  <c r="AB214" i="17"/>
  <c r="AG214" i="17" s="1"/>
  <c r="AK214" i="17" s="1"/>
  <c r="AF214" i="17"/>
  <c r="AN214" i="17" l="1"/>
  <c r="D215" i="17" s="1"/>
  <c r="A215" i="17"/>
  <c r="AO214" i="17"/>
  <c r="F215" i="17" l="1"/>
  <c r="E215" i="17"/>
  <c r="B215" i="17"/>
  <c r="C215" i="17" s="1"/>
  <c r="T215" i="17"/>
  <c r="Y215" i="17" l="1"/>
  <c r="W215" i="17"/>
  <c r="U215" i="17" l="1"/>
  <c r="V215" i="17" s="1"/>
  <c r="Z215" i="17" s="1"/>
  <c r="AJ215" i="17"/>
  <c r="AF215" i="17" l="1"/>
  <c r="AB215" i="17"/>
  <c r="AG215" i="17" s="1"/>
  <c r="AK215" i="17" s="1"/>
  <c r="AI215" i="17"/>
  <c r="AM215" i="17" s="1"/>
  <c r="AN215" i="17" l="1"/>
  <c r="D216" i="17" s="1"/>
  <c r="A216" i="17"/>
  <c r="AO215" i="17"/>
  <c r="F216" i="17" l="1"/>
  <c r="E216" i="17"/>
  <c r="B216" i="17"/>
  <c r="C216" i="17" s="1"/>
  <c r="T216" i="17"/>
  <c r="W216" i="17" l="1"/>
  <c r="Y216" i="17"/>
  <c r="U216" i="17" l="1"/>
  <c r="V216" i="17" s="1"/>
  <c r="Z216" i="17" s="1"/>
  <c r="AJ216" i="17"/>
  <c r="AI216" i="17" l="1"/>
  <c r="AM216" i="17" s="1"/>
  <c r="AB216" i="17"/>
  <c r="AG216" i="17" s="1"/>
  <c r="AK216" i="17" s="1"/>
  <c r="AF216" i="17"/>
  <c r="AN216" i="17" l="1"/>
  <c r="D217" i="17" s="1"/>
  <c r="A217" i="17"/>
  <c r="AO216" i="17"/>
  <c r="B217" i="17" l="1"/>
  <c r="C217" i="17" s="1"/>
  <c r="T217" i="17"/>
  <c r="E217" i="17"/>
  <c r="F217" i="17"/>
  <c r="W217" i="17" l="1"/>
  <c r="Y217" i="17"/>
  <c r="U217" i="17" l="1"/>
  <c r="V217" i="17" s="1"/>
  <c r="Z217" i="17" s="1"/>
  <c r="AJ217" i="17"/>
  <c r="AB217" i="17" l="1"/>
  <c r="AG217" i="17" s="1"/>
  <c r="AK217" i="17" s="1"/>
  <c r="AF217" i="17"/>
  <c r="AI217" i="17"/>
  <c r="AM217" i="17" s="1"/>
  <c r="AO217" i="17" s="1"/>
  <c r="E218" i="17" l="1"/>
  <c r="F218" i="17"/>
  <c r="AN217" i="17"/>
  <c r="D218" i="17" s="1"/>
  <c r="A218" i="17"/>
  <c r="B218" i="17" l="1"/>
  <c r="C218" i="17" s="1"/>
  <c r="T218" i="17"/>
  <c r="W218" i="17" l="1"/>
  <c r="Y218" i="17"/>
  <c r="U218" i="17" l="1"/>
  <c r="V218" i="17" s="1"/>
  <c r="Z218" i="17" s="1"/>
  <c r="AJ218" i="17"/>
  <c r="AI218" i="17" l="1"/>
  <c r="AM218" i="17" s="1"/>
  <c r="AO218" i="17" s="1"/>
  <c r="AB218" i="17"/>
  <c r="AG218" i="17" s="1"/>
  <c r="AK218" i="17" s="1"/>
  <c r="AF218" i="17"/>
  <c r="F219" i="17" l="1"/>
  <c r="E219" i="17"/>
  <c r="AN218" i="17"/>
  <c r="D219" i="17" s="1"/>
  <c r="A219" i="17"/>
  <c r="T219" i="17" l="1"/>
  <c r="B219" i="17"/>
  <c r="C219" i="17" s="1"/>
  <c r="W219" i="17" l="1"/>
  <c r="Y219" i="17"/>
  <c r="U219" i="17" l="1"/>
  <c r="V219" i="17" s="1"/>
  <c r="Z219" i="17" s="1"/>
  <c r="AJ219" i="17"/>
  <c r="AI219" i="17" l="1"/>
  <c r="AM219" i="17" s="1"/>
  <c r="AB219" i="17"/>
  <c r="AG219" i="17" s="1"/>
  <c r="AK219" i="17" s="1"/>
  <c r="AF219" i="17"/>
  <c r="AN219" i="17" l="1"/>
  <c r="D220" i="17" s="1"/>
  <c r="A220" i="17"/>
  <c r="AO219" i="17"/>
  <c r="E220" i="17" l="1"/>
  <c r="F220" i="17"/>
  <c r="B220" i="17"/>
  <c r="C220" i="17" s="1"/>
  <c r="T220" i="17"/>
  <c r="W220" i="17" l="1"/>
  <c r="Y220" i="17"/>
  <c r="U220" i="17" l="1"/>
  <c r="V220" i="17" s="1"/>
  <c r="Z220" i="17" s="1"/>
  <c r="AJ220" i="17"/>
  <c r="AI220" i="17" l="1"/>
  <c r="AM220" i="17" s="1"/>
  <c r="AB220" i="17"/>
  <c r="AG220" i="17" s="1"/>
  <c r="AK220" i="17" s="1"/>
  <c r="AF220" i="17"/>
  <c r="AN220" i="17" l="1"/>
  <c r="D221" i="17" s="1"/>
  <c r="A221" i="17"/>
  <c r="AO220" i="17"/>
  <c r="B221" i="17" l="1"/>
  <c r="C221" i="17" s="1"/>
  <c r="F221" i="17"/>
  <c r="E221" i="17"/>
  <c r="T221" i="17"/>
  <c r="Y221" i="17" l="1"/>
  <c r="W221" i="17"/>
  <c r="U221" i="17" l="1"/>
  <c r="V221" i="17" s="1"/>
  <c r="Z221" i="17" s="1"/>
  <c r="AJ221" i="17"/>
  <c r="AI221" i="17" l="1"/>
  <c r="AM221" i="17" s="1"/>
  <c r="AF221" i="17"/>
  <c r="AB221" i="17"/>
  <c r="AG221" i="17" s="1"/>
  <c r="AK221" i="17" s="1"/>
  <c r="AN221" i="17" l="1"/>
  <c r="D222" i="17" s="1"/>
  <c r="A222" i="17"/>
  <c r="AO221" i="17"/>
  <c r="E222" i="17" l="1"/>
  <c r="F222" i="17"/>
  <c r="B222" i="17"/>
  <c r="C222" i="17" s="1"/>
  <c r="T222" i="17"/>
  <c r="W222" i="17" l="1"/>
  <c r="Y222" i="17"/>
  <c r="U222" i="17" l="1"/>
  <c r="V222" i="17" s="1"/>
  <c r="Z222" i="17" s="1"/>
  <c r="AJ222" i="17"/>
  <c r="AI222" i="17" l="1"/>
  <c r="AM222" i="17" s="1"/>
  <c r="AB222" i="17"/>
  <c r="AG222" i="17" s="1"/>
  <c r="AK222" i="17" s="1"/>
  <c r="AF222" i="17"/>
  <c r="AN222" i="17" l="1"/>
  <c r="D223" i="17" s="1"/>
  <c r="A223" i="17"/>
  <c r="AO222" i="17"/>
  <c r="B223" i="17" l="1"/>
  <c r="C223" i="17" s="1"/>
  <c r="F223" i="17"/>
  <c r="E223" i="17"/>
  <c r="T223" i="17"/>
  <c r="W223" i="17" l="1"/>
  <c r="Y223" i="17"/>
  <c r="U223" i="17" l="1"/>
  <c r="V223" i="17" s="1"/>
  <c r="Z223" i="17" s="1"/>
  <c r="AJ223" i="17"/>
  <c r="AI223" i="17" l="1"/>
  <c r="AM223" i="17" s="1"/>
  <c r="AO223" i="17" s="1"/>
  <c r="AB223" i="17"/>
  <c r="AG223" i="17" s="1"/>
  <c r="AK223" i="17" s="1"/>
  <c r="AF223" i="17"/>
  <c r="E224" i="17" l="1"/>
  <c r="F224" i="17"/>
  <c r="AN223" i="17"/>
  <c r="D224" i="17" s="1"/>
  <c r="A224" i="17"/>
  <c r="B224" i="17" l="1"/>
  <c r="C224" i="17" s="1"/>
  <c r="T224" i="17"/>
  <c r="W224" i="17" l="1"/>
  <c r="Y224" i="17"/>
  <c r="U224" i="17" l="1"/>
  <c r="V224" i="17" s="1"/>
  <c r="Z224" i="17" s="1"/>
  <c r="AJ224" i="17"/>
  <c r="AI224" i="17" l="1"/>
  <c r="AM224" i="17" s="1"/>
  <c r="AO224" i="17" s="1"/>
  <c r="AB224" i="17"/>
  <c r="AG224" i="17" s="1"/>
  <c r="AK224" i="17" s="1"/>
  <c r="AF224" i="17"/>
  <c r="E225" i="17" l="1"/>
  <c r="F225" i="17"/>
  <c r="AN224" i="17"/>
  <c r="D225" i="17" s="1"/>
  <c r="A225" i="17"/>
  <c r="B225" i="17" l="1"/>
  <c r="C225" i="17" s="1"/>
  <c r="T225" i="17"/>
  <c r="W225" i="17" l="1"/>
  <c r="Y225" i="17"/>
  <c r="U225" i="17" l="1"/>
  <c r="V225" i="17" s="1"/>
  <c r="Z225" i="17" s="1"/>
  <c r="AJ225" i="17"/>
  <c r="AI225" i="17" l="1"/>
  <c r="AM225" i="17" s="1"/>
  <c r="AB225" i="17"/>
  <c r="AG225" i="17" s="1"/>
  <c r="AK225" i="17" s="1"/>
  <c r="AF225" i="17"/>
  <c r="AN225" i="17" l="1"/>
  <c r="D226" i="17" s="1"/>
  <c r="A226" i="17"/>
  <c r="AO225" i="17"/>
  <c r="E226" i="17" l="1"/>
  <c r="F226" i="17"/>
  <c r="B226" i="17"/>
  <c r="C226" i="17" s="1"/>
  <c r="T226" i="17"/>
  <c r="W226" i="17" l="1"/>
  <c r="Y226" i="17"/>
  <c r="U226" i="17" l="1"/>
  <c r="V226" i="17" s="1"/>
  <c r="Z226" i="17" s="1"/>
  <c r="AJ226" i="17"/>
  <c r="AI226" i="17" l="1"/>
  <c r="AM226" i="17" s="1"/>
  <c r="AB226" i="17"/>
  <c r="AG226" i="17" s="1"/>
  <c r="AK226" i="17" s="1"/>
  <c r="AF226" i="17"/>
  <c r="AN226" i="17" l="1"/>
  <c r="D227" i="17" s="1"/>
  <c r="A227" i="17"/>
  <c r="AO226" i="17"/>
  <c r="F227" i="17" l="1"/>
  <c r="E227" i="17"/>
  <c r="B227" i="17"/>
  <c r="C227" i="17" s="1"/>
  <c r="T227" i="17"/>
  <c r="Y227" i="17" l="1"/>
  <c r="W227" i="17"/>
  <c r="U227" i="17" l="1"/>
  <c r="V227" i="17" s="1"/>
  <c r="Z227" i="17" s="1"/>
  <c r="AJ227" i="17"/>
  <c r="AI227" i="17" l="1"/>
  <c r="AM227" i="17" s="1"/>
  <c r="AF227" i="17"/>
  <c r="AB227" i="17"/>
  <c r="AG227" i="17" s="1"/>
  <c r="AK227" i="17" s="1"/>
  <c r="AN227" i="17" l="1"/>
  <c r="D228" i="17" s="1"/>
  <c r="A228" i="17"/>
  <c r="AO227" i="17"/>
  <c r="E228" i="17" l="1"/>
  <c r="F228" i="17"/>
  <c r="B228" i="17"/>
  <c r="C228" i="17" s="1"/>
  <c r="T228" i="17"/>
  <c r="W228" i="17" l="1"/>
  <c r="Y228" i="17"/>
  <c r="U228" i="17" l="1"/>
  <c r="V228" i="17" s="1"/>
  <c r="Z228" i="17" s="1"/>
  <c r="AJ228" i="17"/>
  <c r="AI228" i="17" l="1"/>
  <c r="AM228" i="17" s="1"/>
  <c r="AB228" i="17"/>
  <c r="AG228" i="17" s="1"/>
  <c r="AK228" i="17" s="1"/>
  <c r="AF228" i="17"/>
  <c r="AN228" i="17" l="1"/>
  <c r="D229" i="17" s="1"/>
  <c r="A229" i="17"/>
  <c r="AO228" i="17"/>
  <c r="F229" i="17" l="1"/>
  <c r="E229" i="17"/>
  <c r="B229" i="17"/>
  <c r="C229" i="17" s="1"/>
  <c r="T229" i="17"/>
  <c r="W229" i="17" l="1"/>
  <c r="Y229" i="17"/>
  <c r="U229" i="17" l="1"/>
  <c r="V229" i="17" s="1"/>
  <c r="Z229" i="17" s="1"/>
  <c r="AJ229" i="17"/>
  <c r="AI229" i="17" l="1"/>
  <c r="AM229" i="17" s="1"/>
  <c r="AO229" i="17" s="1"/>
  <c r="AB229" i="17"/>
  <c r="AG229" i="17" s="1"/>
  <c r="AK229" i="17" s="1"/>
  <c r="AF229" i="17"/>
  <c r="E230" i="17" l="1"/>
  <c r="F230" i="17"/>
  <c r="AN229" i="17"/>
  <c r="D230" i="17" s="1"/>
  <c r="A230" i="17"/>
  <c r="T230" i="17" l="1"/>
  <c r="B230" i="17"/>
  <c r="C230" i="17" s="1"/>
  <c r="W230" i="17" l="1"/>
  <c r="Y230" i="17"/>
  <c r="U230" i="17" l="1"/>
  <c r="V230" i="17" s="1"/>
  <c r="Z230" i="17" s="1"/>
  <c r="AJ230" i="17"/>
  <c r="AI230" i="17" l="1"/>
  <c r="AM230" i="17" s="1"/>
  <c r="AO230" i="17" s="1"/>
  <c r="AB230" i="17"/>
  <c r="AG230" i="17" s="1"/>
  <c r="AK230" i="17" s="1"/>
  <c r="AF230" i="17"/>
  <c r="E231" i="17" l="1"/>
  <c r="E236" i="17" s="1"/>
  <c r="F231" i="17"/>
  <c r="AN230" i="17"/>
  <c r="D231" i="17" s="1"/>
  <c r="A231" i="17"/>
  <c r="T231" i="17" l="1"/>
  <c r="D236" i="17"/>
  <c r="B231" i="17"/>
  <c r="C231" i="17" s="1"/>
  <c r="A236" i="17"/>
  <c r="A237" i="17" l="1"/>
  <c r="B236" i="17"/>
  <c r="C236" i="17" s="1"/>
  <c r="T236" i="17"/>
  <c r="Y231" i="17"/>
  <c r="W231" i="17"/>
  <c r="W236" i="17" l="1"/>
  <c r="Y236" i="17"/>
  <c r="U231" i="17"/>
  <c r="V231" i="17" s="1"/>
  <c r="Z231" i="17" s="1"/>
  <c r="AJ231" i="17"/>
  <c r="B237" i="17"/>
  <c r="C237" i="17" s="1"/>
  <c r="A238" i="17"/>
  <c r="AI231" i="17" l="1"/>
  <c r="AM231" i="17" s="1"/>
  <c r="AN231" i="17" s="1"/>
  <c r="U236" i="17"/>
  <c r="V236" i="17" s="1"/>
  <c r="Z236" i="17"/>
  <c r="AB231" i="17"/>
  <c r="AG231" i="17" s="1"/>
  <c r="AK231" i="17" s="1"/>
  <c r="AF231" i="17"/>
  <c r="B238" i="17"/>
  <c r="C238" i="17" s="1"/>
  <c r="A239" i="17"/>
  <c r="B239" i="17" l="1"/>
  <c r="C239" i="17" s="1"/>
  <c r="A240" i="17"/>
  <c r="AB236" i="17"/>
  <c r="AD236" i="17"/>
  <c r="AO231" i="17"/>
  <c r="AE236" i="17" l="1"/>
  <c r="AG236" i="17"/>
  <c r="AK236" i="17" s="1"/>
  <c r="B240" i="17"/>
  <c r="C240" i="17" s="1"/>
  <c r="A241" i="17"/>
  <c r="B241" i="17" l="1"/>
  <c r="C241" i="17" s="1"/>
  <c r="A242" i="17"/>
  <c r="AH236" i="17"/>
  <c r="AN236" i="17" s="1"/>
  <c r="AF236" i="17"/>
  <c r="AJ236" i="17"/>
  <c r="AO236" i="17" l="1"/>
  <c r="AI236" i="17"/>
  <c r="D237" i="17"/>
  <c r="B242" i="17"/>
  <c r="C242" i="17" s="1"/>
  <c r="A243" i="17"/>
  <c r="B243" i="17" l="1"/>
  <c r="C243" i="17" s="1"/>
  <c r="A244" i="17"/>
  <c r="T237" i="17"/>
  <c r="F237" i="17"/>
  <c r="E237" i="17"/>
  <c r="W237" i="17" l="1"/>
  <c r="Y237" i="17"/>
  <c r="A245" i="17"/>
  <c r="B244" i="17"/>
  <c r="C244" i="17" s="1"/>
  <c r="Z237" i="17" l="1"/>
  <c r="U237" i="17"/>
  <c r="V237" i="17" s="1"/>
  <c r="B245" i="17"/>
  <c r="C245" i="17" s="1"/>
  <c r="A246" i="17"/>
  <c r="B246" i="17" l="1"/>
  <c r="C246" i="17" s="1"/>
  <c r="A247" i="17"/>
  <c r="AB237" i="17"/>
  <c r="AD237" i="17"/>
  <c r="AE237" i="17" l="1"/>
  <c r="AG237" i="17"/>
  <c r="AK237" i="17" s="1"/>
  <c r="B247" i="17"/>
  <c r="C247" i="17" s="1"/>
  <c r="A248" i="17"/>
  <c r="B248" i="17" l="1"/>
  <c r="C248" i="17" s="1"/>
  <c r="A249" i="17"/>
  <c r="AF237" i="17"/>
  <c r="AH237" i="17"/>
  <c r="AN237" i="17" s="1"/>
  <c r="AJ237" i="17"/>
  <c r="D238" i="17" l="1"/>
  <c r="AO237" i="17"/>
  <c r="AI237" i="17"/>
  <c r="T238" i="17"/>
  <c r="B249" i="17"/>
  <c r="C249" i="17" s="1"/>
  <c r="A250" i="17"/>
  <c r="B250" i="17" l="1"/>
  <c r="C250" i="17" s="1"/>
  <c r="A251" i="17"/>
  <c r="Y238" i="17"/>
  <c r="W238" i="17"/>
  <c r="F238" i="17"/>
  <c r="E238" i="17"/>
  <c r="Z238" i="17" l="1"/>
  <c r="U238" i="17"/>
  <c r="V238" i="17" s="1"/>
  <c r="B251" i="17"/>
  <c r="C251" i="17" s="1"/>
  <c r="A252" i="17"/>
  <c r="B252" i="17" l="1"/>
  <c r="C252" i="17" s="1"/>
  <c r="A253" i="17"/>
  <c r="AB238" i="17"/>
  <c r="AD238" i="17"/>
  <c r="AE238" i="17" l="1"/>
  <c r="AG238" i="17"/>
  <c r="AK238" i="17" s="1"/>
  <c r="B253" i="17"/>
  <c r="C253" i="17" s="1"/>
  <c r="A254" i="17"/>
  <c r="B254" i="17" l="1"/>
  <c r="C254" i="17" s="1"/>
  <c r="A255" i="17"/>
  <c r="AF238" i="17"/>
  <c r="AJ238" i="17"/>
  <c r="AH238" i="17"/>
  <c r="AN238" i="17" s="1"/>
  <c r="D239" i="17" l="1"/>
  <c r="AO238" i="17"/>
  <c r="AI238" i="17"/>
  <c r="B255" i="17"/>
  <c r="C255" i="17" s="1"/>
  <c r="A256" i="17"/>
  <c r="T239" i="17"/>
  <c r="W239" i="17" l="1"/>
  <c r="Y239" i="17"/>
  <c r="A257" i="17"/>
  <c r="B256" i="17"/>
  <c r="C256" i="17" s="1"/>
  <c r="F239" i="17"/>
  <c r="E239" i="17"/>
  <c r="B257" i="17" l="1"/>
  <c r="C257" i="17" s="1"/>
  <c r="A258" i="17"/>
  <c r="Z239" i="17"/>
  <c r="U239" i="17"/>
  <c r="V239" i="17" s="1"/>
  <c r="B258" i="17" l="1"/>
  <c r="C258" i="17" s="1"/>
  <c r="A259" i="17"/>
  <c r="AD239" i="17"/>
  <c r="AB239" i="17"/>
  <c r="B259" i="17" l="1"/>
  <c r="C259" i="17" s="1"/>
  <c r="A260" i="17"/>
  <c r="AG239" i="17"/>
  <c r="AK239" i="17" s="1"/>
  <c r="AE239" i="17"/>
  <c r="AJ239" i="17" l="1"/>
  <c r="AF239" i="17"/>
  <c r="AH239" i="17"/>
  <c r="AN239" i="17" s="1"/>
  <c r="B260" i="17"/>
  <c r="C260" i="17" s="1"/>
  <c r="A261" i="17"/>
  <c r="D240" i="17" l="1"/>
  <c r="B261" i="17"/>
  <c r="C261" i="17" s="1"/>
  <c r="A262" i="17"/>
  <c r="T240" i="17"/>
  <c r="AI239" i="17"/>
  <c r="AO239" i="17"/>
  <c r="F240" i="17" l="1"/>
  <c r="E240" i="17"/>
  <c r="B262" i="17"/>
  <c r="C262" i="17" s="1"/>
  <c r="A263" i="17"/>
  <c r="W240" i="17"/>
  <c r="Y240" i="17"/>
  <c r="U240" i="17" l="1"/>
  <c r="V240" i="17" s="1"/>
  <c r="Z240" i="17"/>
  <c r="B263" i="17"/>
  <c r="C263" i="17" s="1"/>
  <c r="A264" i="17"/>
  <c r="AD240" i="17" l="1"/>
  <c r="AB240" i="17"/>
  <c r="B264" i="17"/>
  <c r="C264" i="17" s="1"/>
  <c r="A265" i="17"/>
  <c r="B265" i="17" l="1"/>
  <c r="C265" i="17" s="1"/>
  <c r="A266" i="17"/>
  <c r="AE240" i="17"/>
  <c r="AG240" i="17"/>
  <c r="AK240" i="17" s="1"/>
  <c r="B266" i="17" l="1"/>
  <c r="C266" i="17" s="1"/>
  <c r="A267" i="17"/>
  <c r="AJ240" i="17"/>
  <c r="AH240" i="17"/>
  <c r="AN240" i="17" s="1"/>
  <c r="AF240" i="17"/>
  <c r="D241" i="17" l="1"/>
  <c r="AI240" i="17"/>
  <c r="AO240" i="17"/>
  <c r="B267" i="17"/>
  <c r="C267" i="17" s="1"/>
  <c r="A268" i="17"/>
  <c r="T241" i="17"/>
  <c r="W241" i="17" l="1"/>
  <c r="Y241" i="17"/>
  <c r="F241" i="17"/>
  <c r="E241" i="17"/>
  <c r="B268" i="17"/>
  <c r="C268" i="17" s="1"/>
  <c r="A269" i="17"/>
  <c r="U241" i="17" l="1"/>
  <c r="V241" i="17" s="1"/>
  <c r="Z241" i="17"/>
  <c r="B269" i="17"/>
  <c r="C269" i="17" s="1"/>
  <c r="A270" i="17"/>
  <c r="AB241" i="17" l="1"/>
  <c r="AD241" i="17"/>
  <c r="B270" i="17"/>
  <c r="C270" i="17" s="1"/>
  <c r="A271" i="17"/>
  <c r="B271" i="17" l="1"/>
  <c r="C271" i="17" s="1"/>
  <c r="A272" i="17"/>
  <c r="AE241" i="17"/>
  <c r="AG241" i="17"/>
  <c r="AK241" i="17" s="1"/>
  <c r="B272" i="17" l="1"/>
  <c r="C272" i="17" s="1"/>
  <c r="A273" i="17"/>
  <c r="AH241" i="17"/>
  <c r="AN241" i="17" s="1"/>
  <c r="AJ241" i="17"/>
  <c r="AF241" i="17"/>
  <c r="D242" i="17" l="1"/>
  <c r="T242" i="17"/>
  <c r="B273" i="17"/>
  <c r="C273" i="17" s="1"/>
  <c r="A274" i="17"/>
  <c r="AI241" i="17"/>
  <c r="AO241" i="17"/>
  <c r="A275" i="17" l="1"/>
  <c r="B274" i="17"/>
  <c r="C274" i="17" s="1"/>
  <c r="E242" i="17"/>
  <c r="F242" i="17"/>
  <c r="W242" i="17"/>
  <c r="Y242" i="17"/>
  <c r="U242" i="17" l="1"/>
  <c r="V242" i="17" s="1"/>
  <c r="Z242" i="17"/>
  <c r="B275" i="17"/>
  <c r="C275" i="17" s="1"/>
  <c r="A276" i="17"/>
  <c r="B276" i="17" l="1"/>
  <c r="C276" i="17" s="1"/>
  <c r="A277" i="17"/>
  <c r="AB242" i="17"/>
  <c r="AD242" i="17"/>
  <c r="AE242" i="17" l="1"/>
  <c r="AG242" i="17"/>
  <c r="AK242" i="17" s="1"/>
  <c r="B277" i="17"/>
  <c r="C277" i="17" s="1"/>
  <c r="A278" i="17"/>
  <c r="B278" i="17" l="1"/>
  <c r="C278" i="17" s="1"/>
  <c r="A279" i="17"/>
  <c r="AH242" i="17"/>
  <c r="AN242" i="17" s="1"/>
  <c r="D243" i="17" s="1"/>
  <c r="AF242" i="17"/>
  <c r="AJ242" i="17"/>
  <c r="T243" i="17" l="1"/>
  <c r="AO242" i="17"/>
  <c r="AI242" i="17"/>
  <c r="B279" i="17"/>
  <c r="C279" i="17" s="1"/>
  <c r="A280" i="17"/>
  <c r="A281" i="17" l="1"/>
  <c r="B280" i="17"/>
  <c r="C280" i="17" s="1"/>
  <c r="E243" i="17"/>
  <c r="F243" i="17"/>
  <c r="W243" i="17"/>
  <c r="Y243" i="17"/>
  <c r="Z243" i="17" l="1"/>
  <c r="U243" i="17"/>
  <c r="V243" i="17" s="1"/>
  <c r="B281" i="17"/>
  <c r="C281" i="17" s="1"/>
  <c r="A282" i="17"/>
  <c r="B282" i="17" l="1"/>
  <c r="C282" i="17" s="1"/>
  <c r="A283" i="17"/>
  <c r="AB243" i="17"/>
  <c r="AD243" i="17"/>
  <c r="B283" i="17" l="1"/>
  <c r="C283" i="17" s="1"/>
  <c r="A284" i="17"/>
  <c r="B284" i="17" s="1"/>
  <c r="C284" i="17" s="1"/>
  <c r="AE243" i="17"/>
  <c r="AG243" i="17"/>
  <c r="AK243" i="17" s="1"/>
  <c r="AF243" i="17" l="1"/>
  <c r="AH243" i="17"/>
  <c r="AN243" i="17" s="1"/>
  <c r="D244" i="17" s="1"/>
  <c r="AJ243" i="17"/>
  <c r="T244" i="17" l="1"/>
  <c r="AO243" i="17"/>
  <c r="AI243" i="17"/>
  <c r="Y244" i="17" l="1"/>
  <c r="W244" i="17"/>
  <c r="E244" i="17"/>
  <c r="F244" i="17"/>
  <c r="Z244" i="17" l="1"/>
  <c r="U244" i="17"/>
  <c r="V244" i="17" s="1"/>
  <c r="AB244" i="17" l="1"/>
  <c r="AD244" i="17"/>
  <c r="AE244" i="17" l="1"/>
  <c r="AG244" i="17"/>
  <c r="AK244" i="17" s="1"/>
  <c r="AF244" i="17" l="1"/>
  <c r="AJ244" i="17"/>
  <c r="AH244" i="17"/>
  <c r="AN244" i="17" s="1"/>
  <c r="D245" i="17" s="1"/>
  <c r="AO244" i="17" l="1"/>
  <c r="AI244" i="17"/>
  <c r="T245" i="17"/>
  <c r="W245" i="17" l="1"/>
  <c r="Y245" i="17"/>
  <c r="F245" i="17"/>
  <c r="E245" i="17"/>
  <c r="Z245" i="17" l="1"/>
  <c r="U245" i="17"/>
  <c r="V245" i="17" s="1"/>
  <c r="AD245" i="17" l="1"/>
  <c r="AB245" i="17"/>
  <c r="AE245" i="17" l="1"/>
  <c r="AG245" i="17"/>
  <c r="AK245" i="17" s="1"/>
  <c r="AJ245" i="17" l="1"/>
  <c r="AF245" i="17"/>
  <c r="AH245" i="17"/>
  <c r="AN245" i="17" s="1"/>
  <c r="D246" i="17" s="1"/>
  <c r="T246" i="17" l="1"/>
  <c r="AO245" i="17"/>
  <c r="AI245" i="17"/>
  <c r="W246" i="17" l="1"/>
  <c r="Y246" i="17"/>
  <c r="E246" i="17"/>
  <c r="F246" i="17"/>
  <c r="Z246" i="17" l="1"/>
  <c r="U246" i="17"/>
  <c r="V246" i="17" s="1"/>
  <c r="AD246" i="17" l="1"/>
  <c r="AB246" i="17"/>
  <c r="AE246" i="17" l="1"/>
  <c r="AG246" i="17"/>
  <c r="AK246" i="17" s="1"/>
  <c r="AJ246" i="17" l="1"/>
  <c r="AH246" i="17"/>
  <c r="AN246" i="17" s="1"/>
  <c r="D247" i="17" s="1"/>
  <c r="AF246" i="17"/>
  <c r="T247" i="17" l="1"/>
  <c r="AI246" i="17"/>
  <c r="AO246" i="17"/>
  <c r="F247" i="17" l="1"/>
  <c r="E247" i="17"/>
  <c r="W247" i="17"/>
  <c r="Y247" i="17"/>
  <c r="U247" i="17" l="1"/>
  <c r="V247" i="17" s="1"/>
  <c r="Z247" i="17"/>
  <c r="AB247" i="17" l="1"/>
  <c r="AD247" i="17"/>
  <c r="AE247" i="17" l="1"/>
  <c r="AG247" i="17"/>
  <c r="AK247" i="17" s="1"/>
  <c r="AH247" i="17" l="1"/>
  <c r="AN247" i="17" s="1"/>
  <c r="D248" i="17" s="1"/>
  <c r="AJ247" i="17"/>
  <c r="AF247" i="17"/>
  <c r="AI247" i="17" l="1"/>
  <c r="AO247" i="17"/>
  <c r="T248" i="17"/>
  <c r="E248" i="17" l="1"/>
  <c r="F248" i="17"/>
  <c r="W248" i="17"/>
  <c r="Y248" i="17"/>
  <c r="U248" i="17" l="1"/>
  <c r="V248" i="17" s="1"/>
  <c r="Z248" i="17"/>
  <c r="AB248" i="17" l="1"/>
  <c r="AD248" i="17"/>
  <c r="AE248" i="17" l="1"/>
  <c r="AG248" i="17"/>
  <c r="AK248" i="17" s="1"/>
  <c r="AH248" i="17" l="1"/>
  <c r="AN248" i="17" s="1"/>
  <c r="D249" i="17" s="1"/>
  <c r="AF248" i="17"/>
  <c r="AJ248" i="17"/>
  <c r="AO248" i="17" l="1"/>
  <c r="AI248" i="17"/>
  <c r="T249" i="17"/>
  <c r="W249" i="17" l="1"/>
  <c r="Y249" i="17"/>
  <c r="F249" i="17"/>
  <c r="E249" i="17"/>
  <c r="Z249" i="17" l="1"/>
  <c r="U249" i="17"/>
  <c r="V249" i="17" s="1"/>
  <c r="AB249" i="17" l="1"/>
  <c r="AD249" i="17"/>
  <c r="AE249" i="17" l="1"/>
  <c r="AG249" i="17"/>
  <c r="AK249" i="17" s="1"/>
  <c r="AF249" i="17" l="1"/>
  <c r="AH249" i="17"/>
  <c r="AN249" i="17" s="1"/>
  <c r="D250" i="17" s="1"/>
  <c r="AJ249" i="17"/>
  <c r="AO249" i="17" l="1"/>
  <c r="AI249" i="17"/>
  <c r="T250" i="17"/>
  <c r="Y250" i="17" l="1"/>
  <c r="W250" i="17"/>
  <c r="E250" i="17"/>
  <c r="F250" i="17"/>
  <c r="Z250" i="17" l="1"/>
  <c r="U250" i="17"/>
  <c r="V250" i="17" s="1"/>
  <c r="AB250" i="17" l="1"/>
  <c r="AD250" i="17"/>
  <c r="AE250" i="17" l="1"/>
  <c r="AG250" i="17"/>
  <c r="AK250" i="17" s="1"/>
  <c r="AF250" i="17" l="1"/>
  <c r="AJ250" i="17"/>
  <c r="AH250" i="17"/>
  <c r="AN250" i="17" s="1"/>
  <c r="D251" i="17" s="1"/>
  <c r="T251" i="17" l="1"/>
  <c r="AO250" i="17"/>
  <c r="AI250" i="17"/>
  <c r="W251" i="17" l="1"/>
  <c r="Y251" i="17"/>
  <c r="F251" i="17"/>
  <c r="E251" i="17"/>
  <c r="Z251" i="17" l="1"/>
  <c r="U251" i="17"/>
  <c r="V251" i="17" s="1"/>
  <c r="AD251" i="17" l="1"/>
  <c r="AB251" i="17"/>
  <c r="AG251" i="17" l="1"/>
  <c r="AK251" i="17" s="1"/>
  <c r="AE251" i="17"/>
  <c r="AJ251" i="17" l="1"/>
  <c r="AF251" i="17"/>
  <c r="AH251" i="17"/>
  <c r="AN251" i="17" s="1"/>
  <c r="D252" i="17" s="1"/>
  <c r="T252" i="17" l="1"/>
  <c r="AI251" i="17"/>
  <c r="AO251" i="17"/>
  <c r="W252" i="17" l="1"/>
  <c r="Y252" i="17"/>
  <c r="E252" i="17"/>
  <c r="F252" i="17"/>
  <c r="Z252" i="17" l="1"/>
  <c r="U252" i="17"/>
  <c r="V252" i="17" s="1"/>
  <c r="AD252" i="17" l="1"/>
  <c r="AB252" i="17"/>
  <c r="AE252" i="17" l="1"/>
  <c r="AG252" i="17"/>
  <c r="AK252" i="17" s="1"/>
  <c r="AJ252" i="17" l="1"/>
  <c r="AH252" i="17"/>
  <c r="AN252" i="17" s="1"/>
  <c r="D253" i="17" s="1"/>
  <c r="AF252" i="17"/>
  <c r="T253" i="17" l="1"/>
  <c r="AI252" i="17"/>
  <c r="AO252" i="17"/>
  <c r="F253" i="17" l="1"/>
  <c r="E253" i="17"/>
  <c r="W253" i="17"/>
  <c r="Y253" i="17"/>
  <c r="U253" i="17" l="1"/>
  <c r="V253" i="17" s="1"/>
  <c r="Z253" i="17"/>
  <c r="AB253" i="17" l="1"/>
  <c r="AD253" i="17"/>
  <c r="AE253" i="17" l="1"/>
  <c r="AG253" i="17"/>
  <c r="AK253" i="17" s="1"/>
  <c r="AH253" i="17" l="1"/>
  <c r="AN253" i="17" s="1"/>
  <c r="D254" i="17" s="1"/>
  <c r="AJ253" i="17"/>
  <c r="AF253" i="17"/>
  <c r="AI253" i="17" l="1"/>
  <c r="AO253" i="17"/>
  <c r="T254" i="17"/>
  <c r="Y254" i="17" l="1"/>
  <c r="W254" i="17"/>
  <c r="E254" i="17"/>
  <c r="F254" i="17"/>
  <c r="U254" i="17" l="1"/>
  <c r="V254" i="17" s="1"/>
  <c r="Z254" i="17"/>
  <c r="AB254" i="17" l="1"/>
  <c r="AD254" i="17"/>
  <c r="AE254" i="17" l="1"/>
  <c r="AG254" i="17"/>
  <c r="AK254" i="17" s="1"/>
  <c r="AH254" i="17" l="1"/>
  <c r="AN254" i="17" s="1"/>
  <c r="D255" i="17" s="1"/>
  <c r="AF254" i="17"/>
  <c r="AJ254" i="17"/>
  <c r="AO254" i="17" l="1"/>
  <c r="AI254" i="17"/>
  <c r="T255" i="17"/>
  <c r="W255" i="17" l="1"/>
  <c r="Y255" i="17"/>
  <c r="F255" i="17"/>
  <c r="E255" i="17"/>
  <c r="Z255" i="17" l="1"/>
  <c r="U255" i="17"/>
  <c r="V255" i="17" s="1"/>
  <c r="AB255" i="17" l="1"/>
  <c r="AD255" i="17"/>
  <c r="AE255" i="17" l="1"/>
  <c r="AG255" i="17"/>
  <c r="AK255" i="17" s="1"/>
  <c r="AF255" i="17" l="1"/>
  <c r="AH255" i="17"/>
  <c r="AN255" i="17" s="1"/>
  <c r="D256" i="17" s="1"/>
  <c r="AJ255" i="17"/>
  <c r="AO255" i="17" l="1"/>
  <c r="AI255" i="17"/>
  <c r="T256" i="17"/>
  <c r="Y256" i="17" l="1"/>
  <c r="W256" i="17"/>
  <c r="E256" i="17"/>
  <c r="F256" i="17"/>
  <c r="Z256" i="17" l="1"/>
  <c r="U256" i="17"/>
  <c r="V256" i="17" s="1"/>
  <c r="AB256" i="17" l="1"/>
  <c r="AD256" i="17"/>
  <c r="AE256" i="17" l="1"/>
  <c r="AG256" i="17"/>
  <c r="AK256" i="17" s="1"/>
  <c r="AF256" i="17" l="1"/>
  <c r="AJ256" i="17"/>
  <c r="AH256" i="17"/>
  <c r="AN256" i="17" s="1"/>
  <c r="D257" i="17" s="1"/>
  <c r="AO256" i="17" l="1"/>
  <c r="AI256" i="17"/>
  <c r="T257" i="17"/>
  <c r="W257" i="17" l="1"/>
  <c r="Y257" i="17"/>
  <c r="F257" i="17"/>
  <c r="E257" i="17"/>
  <c r="Z257" i="17" l="1"/>
  <c r="U257" i="17"/>
  <c r="V257" i="17" s="1"/>
  <c r="AD257" i="17" l="1"/>
  <c r="AB257" i="17"/>
  <c r="AG257" i="17" l="1"/>
  <c r="AK257" i="17" s="1"/>
  <c r="AE257" i="17"/>
  <c r="AJ257" i="17" l="1"/>
  <c r="AF257" i="17"/>
  <c r="AH257" i="17"/>
  <c r="AN257" i="17" s="1"/>
  <c r="D258" i="17" s="1"/>
  <c r="T258" i="17" l="1"/>
  <c r="AO257" i="17"/>
  <c r="AI257" i="17"/>
  <c r="W258" i="17" l="1"/>
  <c r="Y258" i="17"/>
  <c r="E258" i="17"/>
  <c r="F258" i="17"/>
  <c r="Z258" i="17" l="1"/>
  <c r="U258" i="17"/>
  <c r="V258" i="17" s="1"/>
  <c r="AD258" i="17" l="1"/>
  <c r="AB258" i="17"/>
  <c r="AE258" i="17" l="1"/>
  <c r="AG258" i="17"/>
  <c r="AK258" i="17" s="1"/>
  <c r="AJ258" i="17" l="1"/>
  <c r="AH258" i="17"/>
  <c r="AN258" i="17" s="1"/>
  <c r="D259" i="17" s="1"/>
  <c r="AF258" i="17"/>
  <c r="T259" i="17" l="1"/>
  <c r="AI258" i="17"/>
  <c r="AO258" i="17"/>
  <c r="E259" i="17" l="1"/>
  <c r="F259" i="17"/>
  <c r="W259" i="17"/>
  <c r="Y259" i="17"/>
  <c r="U259" i="17" l="1"/>
  <c r="V259" i="17" s="1"/>
  <c r="Z259" i="17"/>
  <c r="AB259" i="17" l="1"/>
  <c r="AD259" i="17"/>
  <c r="AE259" i="17" l="1"/>
  <c r="AG259" i="17"/>
  <c r="AK259" i="17" s="1"/>
  <c r="AH259" i="17" l="1"/>
  <c r="AN259" i="17" s="1"/>
  <c r="D260" i="17" s="1"/>
  <c r="AJ259" i="17"/>
  <c r="AF259" i="17"/>
  <c r="AI259" i="17" l="1"/>
  <c r="AO259" i="17"/>
  <c r="T260" i="17"/>
  <c r="W260" i="17" l="1"/>
  <c r="Y260" i="17"/>
  <c r="F260" i="17"/>
  <c r="E260" i="17"/>
  <c r="U260" i="17" l="1"/>
  <c r="V260" i="17" s="1"/>
  <c r="Z260" i="17"/>
  <c r="AB260" i="17" l="1"/>
  <c r="AD260" i="17"/>
  <c r="AE260" i="17" l="1"/>
  <c r="AG260" i="17"/>
  <c r="AK260" i="17" s="1"/>
  <c r="AH260" i="17" l="1"/>
  <c r="AN260" i="17" s="1"/>
  <c r="D261" i="17" s="1"/>
  <c r="AF260" i="17"/>
  <c r="AJ260" i="17"/>
  <c r="AO260" i="17" l="1"/>
  <c r="AI260" i="17"/>
  <c r="T261" i="17"/>
  <c r="W261" i="17" l="1"/>
  <c r="Y261" i="17"/>
  <c r="F261" i="17"/>
  <c r="E261" i="17"/>
  <c r="Z261" i="17" l="1"/>
  <c r="U261" i="17"/>
  <c r="V261" i="17" s="1"/>
  <c r="AB261" i="17" l="1"/>
  <c r="AD261" i="17"/>
  <c r="AE261" i="17" l="1"/>
  <c r="AG261" i="17"/>
  <c r="AK261" i="17" s="1"/>
  <c r="AF261" i="17" l="1"/>
  <c r="AH261" i="17"/>
  <c r="AN261" i="17" s="1"/>
  <c r="D262" i="17" s="1"/>
  <c r="AJ261" i="17"/>
  <c r="T262" i="17" l="1"/>
  <c r="AO261" i="17"/>
  <c r="AI261" i="17"/>
  <c r="Y262" i="17" l="1"/>
  <c r="W262" i="17"/>
  <c r="E262" i="17"/>
  <c r="F262" i="17"/>
  <c r="Z262" i="17" l="1"/>
  <c r="U262" i="17"/>
  <c r="V262" i="17" s="1"/>
  <c r="AB262" i="17" l="1"/>
  <c r="AD262" i="17"/>
  <c r="AE262" i="17" l="1"/>
  <c r="AG262" i="17"/>
  <c r="AK262" i="17" s="1"/>
  <c r="AF262" i="17" l="1"/>
  <c r="AJ262" i="17"/>
  <c r="AH262" i="17"/>
  <c r="AN262" i="17" s="1"/>
  <c r="D263" i="17" s="1"/>
  <c r="AO262" i="17" l="1"/>
  <c r="AI262" i="17"/>
  <c r="T263" i="17"/>
  <c r="W263" i="17" l="1"/>
  <c r="Y263" i="17"/>
  <c r="F263" i="17"/>
  <c r="E263" i="17"/>
  <c r="Z263" i="17" l="1"/>
  <c r="U263" i="17"/>
  <c r="V263" i="17" s="1"/>
  <c r="AD263" i="17" l="1"/>
  <c r="AB263" i="17"/>
  <c r="AE263" i="17" l="1"/>
  <c r="AG263" i="17"/>
  <c r="AK263" i="17" s="1"/>
  <c r="AJ263" i="17" l="1"/>
  <c r="AF263" i="17"/>
  <c r="AH263" i="17"/>
  <c r="AN263" i="17" s="1"/>
  <c r="D264" i="17" s="1"/>
  <c r="T264" i="17" l="1"/>
  <c r="AI263" i="17"/>
  <c r="AO263" i="17"/>
  <c r="W264" i="17" l="1"/>
  <c r="Y264" i="17"/>
  <c r="E264" i="17"/>
  <c r="F264" i="17"/>
  <c r="Z264" i="17" l="1"/>
  <c r="U264" i="17"/>
  <c r="V264" i="17" s="1"/>
  <c r="AD264" i="17" l="1"/>
  <c r="AB264" i="17"/>
  <c r="AE264" i="17" l="1"/>
  <c r="AG264" i="17"/>
  <c r="AK264" i="17" s="1"/>
  <c r="AJ264" i="17" l="1"/>
  <c r="AH264" i="17"/>
  <c r="AN264" i="17" s="1"/>
  <c r="D265" i="17" s="1"/>
  <c r="AF264" i="17"/>
  <c r="T265" i="17" l="1"/>
  <c r="AI264" i="17"/>
  <c r="AO264" i="17"/>
  <c r="E265" i="17" l="1"/>
  <c r="F265" i="17"/>
  <c r="W265" i="17"/>
  <c r="Y265" i="17"/>
  <c r="U265" i="17" l="1"/>
  <c r="V265" i="17" s="1"/>
  <c r="Z265" i="17"/>
  <c r="AB265" i="17" l="1"/>
  <c r="AD265" i="17"/>
  <c r="AE265" i="17" l="1"/>
  <c r="AG265" i="17"/>
  <c r="AK265" i="17" s="1"/>
  <c r="AH265" i="17" l="1"/>
  <c r="AN265" i="17" s="1"/>
  <c r="D266" i="17" s="1"/>
  <c r="AJ265" i="17"/>
  <c r="AF265" i="17"/>
  <c r="AI265" i="17" l="1"/>
  <c r="AO265" i="17"/>
  <c r="T266" i="17"/>
  <c r="F266" i="17" l="1"/>
  <c r="E266" i="17"/>
  <c r="W266" i="17"/>
  <c r="Y266" i="17"/>
  <c r="U266" i="17" l="1"/>
  <c r="V266" i="17" s="1"/>
  <c r="Z266" i="17"/>
  <c r="AB266" i="17" l="1"/>
  <c r="AD266" i="17"/>
  <c r="AE266" i="17" l="1"/>
  <c r="AG266" i="17"/>
  <c r="AK266" i="17" s="1"/>
  <c r="AH266" i="17" l="1"/>
  <c r="AN266" i="17" s="1"/>
  <c r="D267" i="17" s="1"/>
  <c r="AJ266" i="17"/>
  <c r="AF266" i="17"/>
  <c r="AO266" i="17" l="1"/>
  <c r="AI266" i="17"/>
  <c r="T267" i="17"/>
  <c r="W267" i="17" l="1"/>
  <c r="Y267" i="17"/>
  <c r="F267" i="17"/>
  <c r="E267" i="17"/>
  <c r="Z267" i="17" l="1"/>
  <c r="U267" i="17"/>
  <c r="V267" i="17" s="1"/>
  <c r="AB267" i="17" l="1"/>
  <c r="AD267" i="17"/>
  <c r="AE267" i="17" l="1"/>
  <c r="AG267" i="17"/>
  <c r="AK267" i="17" s="1"/>
  <c r="AF267" i="17" l="1"/>
  <c r="AH267" i="17"/>
  <c r="AN267" i="17" s="1"/>
  <c r="D268" i="17" s="1"/>
  <c r="AJ267" i="17"/>
  <c r="T268" i="17" l="1"/>
  <c r="AO267" i="17"/>
  <c r="AI267" i="17"/>
  <c r="Y268" i="17" l="1"/>
  <c r="W268" i="17"/>
  <c r="E268" i="17"/>
  <c r="F268" i="17"/>
  <c r="Z268" i="17" l="1"/>
  <c r="U268" i="17"/>
  <c r="V268" i="17" s="1"/>
  <c r="AB268" i="17" l="1"/>
  <c r="AD268" i="17"/>
  <c r="AE268" i="17" l="1"/>
  <c r="AG268" i="17"/>
  <c r="AK268" i="17" s="1"/>
  <c r="AF268" i="17" l="1"/>
  <c r="AJ268" i="17"/>
  <c r="AH268" i="17"/>
  <c r="AN268" i="17" s="1"/>
  <c r="D269" i="17" s="1"/>
  <c r="AO268" i="17" l="1"/>
  <c r="AI268" i="17"/>
  <c r="T269" i="17"/>
  <c r="W269" i="17" l="1"/>
  <c r="Y269" i="17"/>
  <c r="F269" i="17"/>
  <c r="E269" i="17"/>
  <c r="Z269" i="17" l="1"/>
  <c r="U269" i="17"/>
  <c r="V269" i="17" s="1"/>
  <c r="AD269" i="17" l="1"/>
  <c r="AB269" i="17"/>
  <c r="AG269" i="17" l="1"/>
  <c r="AK269" i="17" s="1"/>
  <c r="AE269" i="17"/>
  <c r="AJ269" i="17" l="1"/>
  <c r="AF269" i="17"/>
  <c r="AH269" i="17"/>
  <c r="AN269" i="17" s="1"/>
  <c r="D270" i="17" s="1"/>
  <c r="T270" i="17" l="1"/>
  <c r="AI269" i="17"/>
  <c r="AO269" i="17"/>
  <c r="E270" i="17" l="1"/>
  <c r="F270" i="17"/>
  <c r="W270" i="17"/>
  <c r="Y270" i="17"/>
  <c r="U270" i="17" l="1"/>
  <c r="V270" i="17" s="1"/>
  <c r="Z270" i="17"/>
  <c r="AD270" i="17" l="1"/>
  <c r="AB270" i="17"/>
  <c r="AE270" i="17" l="1"/>
  <c r="AG270" i="17"/>
  <c r="AK270" i="17" s="1"/>
  <c r="AJ270" i="17" l="1"/>
  <c r="AH270" i="17"/>
  <c r="AN270" i="17" s="1"/>
  <c r="D271" i="17" s="1"/>
  <c r="AF270" i="17"/>
  <c r="T271" i="17" l="1"/>
  <c r="AI270" i="17"/>
  <c r="AO270" i="17"/>
  <c r="F271" i="17" l="1"/>
  <c r="E271" i="17"/>
  <c r="W271" i="17"/>
  <c r="Y271" i="17"/>
  <c r="U271" i="17" l="1"/>
  <c r="V271" i="17" s="1"/>
  <c r="Z271" i="17"/>
  <c r="AB271" i="17" l="1"/>
  <c r="AD271" i="17"/>
  <c r="AE271" i="17" l="1"/>
  <c r="AG271" i="17"/>
  <c r="AK271" i="17" s="1"/>
  <c r="AH271" i="17" l="1"/>
  <c r="AN271" i="17" s="1"/>
  <c r="D272" i="17" s="1"/>
  <c r="AJ271" i="17"/>
  <c r="AF271" i="17"/>
  <c r="AI271" i="17" l="1"/>
  <c r="AO271" i="17"/>
  <c r="T272" i="17"/>
  <c r="E272" i="17" l="1"/>
  <c r="F272" i="17"/>
  <c r="Y272" i="17"/>
  <c r="W272" i="17"/>
  <c r="U272" i="17" l="1"/>
  <c r="V272" i="17" s="1"/>
  <c r="Z272" i="17"/>
  <c r="AB272" i="17" l="1"/>
  <c r="AD272" i="17"/>
  <c r="AE272" i="17" l="1"/>
  <c r="AG272" i="17"/>
  <c r="AK272" i="17" s="1"/>
  <c r="AH272" i="17" l="1"/>
  <c r="AN272" i="17" s="1"/>
  <c r="D273" i="17" s="1"/>
  <c r="AF272" i="17"/>
  <c r="AJ272" i="17"/>
  <c r="AO272" i="17" l="1"/>
  <c r="AI272" i="17"/>
  <c r="T273" i="17"/>
  <c r="W273" i="17" l="1"/>
  <c r="Y273" i="17"/>
  <c r="F273" i="17"/>
  <c r="E273" i="17"/>
  <c r="Z273" i="17" l="1"/>
  <c r="U273" i="17"/>
  <c r="V273" i="17" s="1"/>
  <c r="AB273" i="17" l="1"/>
  <c r="AD273" i="17"/>
  <c r="AE273" i="17" l="1"/>
  <c r="AG273" i="17"/>
  <c r="AK273" i="17" s="1"/>
  <c r="AF273" i="17" l="1"/>
  <c r="AH273" i="17"/>
  <c r="AN273" i="17" s="1"/>
  <c r="D274" i="17" s="1"/>
  <c r="AJ273" i="17"/>
  <c r="AO273" i="17" l="1"/>
  <c r="AI273" i="17"/>
  <c r="T274" i="17"/>
  <c r="Y274" i="17" l="1"/>
  <c r="W274" i="17"/>
  <c r="F274" i="17"/>
  <c r="E274" i="17"/>
  <c r="Z274" i="17" l="1"/>
  <c r="U274" i="17"/>
  <c r="V274" i="17" s="1"/>
  <c r="AB274" i="17" l="1"/>
  <c r="AD274" i="17"/>
  <c r="AE274" i="17" l="1"/>
  <c r="AG274" i="17"/>
  <c r="AK274" i="17" s="1"/>
  <c r="AF274" i="17" l="1"/>
  <c r="AJ274" i="17"/>
  <c r="AH274" i="17"/>
  <c r="AN274" i="17" s="1"/>
  <c r="D275" i="17" s="1"/>
  <c r="AO274" i="17" l="1"/>
  <c r="AI274" i="17"/>
  <c r="T275" i="17"/>
  <c r="W275" i="17" l="1"/>
  <c r="Y275" i="17"/>
  <c r="F275" i="17"/>
  <c r="E275" i="17"/>
  <c r="Z275" i="17" l="1"/>
  <c r="U275" i="17"/>
  <c r="V275" i="17" s="1"/>
  <c r="AD275" i="17" l="1"/>
  <c r="AB275" i="17"/>
  <c r="AG275" i="17" l="1"/>
  <c r="AK275" i="17" s="1"/>
  <c r="AE275" i="17"/>
  <c r="AJ275" i="17" l="1"/>
  <c r="AF275" i="17"/>
  <c r="AH275" i="17"/>
  <c r="AN275" i="17" s="1"/>
  <c r="D276" i="17" s="1"/>
  <c r="T276" i="17" l="1"/>
  <c r="AO275" i="17"/>
  <c r="AI275" i="17"/>
  <c r="E276" i="17" l="1"/>
  <c r="F276" i="17"/>
  <c r="W276" i="17"/>
  <c r="Y276" i="17"/>
  <c r="Z276" i="17" l="1"/>
  <c r="U276" i="17"/>
  <c r="V276" i="17" s="1"/>
  <c r="AD276" i="17" l="1"/>
  <c r="AB276" i="17"/>
  <c r="AE276" i="17" l="1"/>
  <c r="AG276" i="17"/>
  <c r="AK276" i="17" s="1"/>
  <c r="AJ276" i="17" l="1"/>
  <c r="AH276" i="17"/>
  <c r="AN276" i="17" s="1"/>
  <c r="D277" i="17" s="1"/>
  <c r="AF276" i="17"/>
  <c r="T277" i="17" l="1"/>
  <c r="AI276" i="17"/>
  <c r="AO276" i="17"/>
  <c r="F277" i="17" l="1"/>
  <c r="E277" i="17"/>
  <c r="W277" i="17"/>
  <c r="Y277" i="17"/>
  <c r="U277" i="17" l="1"/>
  <c r="V277" i="17" s="1"/>
  <c r="Z277" i="17"/>
  <c r="AB277" i="17" l="1"/>
  <c r="AD277" i="17"/>
  <c r="AE277" i="17" l="1"/>
  <c r="AG277" i="17"/>
  <c r="AK277" i="17" s="1"/>
  <c r="AH277" i="17" l="1"/>
  <c r="AN277" i="17" s="1"/>
  <c r="D278" i="17" s="1"/>
  <c r="AJ277" i="17"/>
  <c r="AF277" i="17"/>
  <c r="AI277" i="17" l="1"/>
  <c r="AO277" i="17"/>
  <c r="T278" i="17"/>
  <c r="E278" i="17" l="1"/>
  <c r="F278" i="17"/>
  <c r="W278" i="17"/>
  <c r="Y278" i="17"/>
  <c r="U278" i="17" l="1"/>
  <c r="V278" i="17" s="1"/>
  <c r="Z278" i="17"/>
  <c r="AB278" i="17" l="1"/>
  <c r="AD278" i="17"/>
  <c r="AE278" i="17" l="1"/>
  <c r="AG278" i="17"/>
  <c r="AK278" i="17" s="1"/>
  <c r="AH278" i="17" l="1"/>
  <c r="AN278" i="17" s="1"/>
  <c r="D279" i="17" s="1"/>
  <c r="AJ278" i="17"/>
  <c r="AF278" i="17"/>
  <c r="AO278" i="17" l="1"/>
  <c r="AI278" i="17"/>
  <c r="T279" i="17"/>
  <c r="W279" i="17" l="1"/>
  <c r="Y279" i="17"/>
  <c r="E279" i="17"/>
  <c r="F279" i="17"/>
  <c r="Z279" i="17" l="1"/>
  <c r="U279" i="17"/>
  <c r="V279" i="17" s="1"/>
  <c r="AB279" i="17" l="1"/>
  <c r="AD279" i="17"/>
  <c r="AE279" i="17" l="1"/>
  <c r="AG279" i="17"/>
  <c r="AK279" i="17" s="1"/>
  <c r="AF279" i="17" l="1"/>
  <c r="AH279" i="17"/>
  <c r="AN279" i="17" s="1"/>
  <c r="D280" i="17" s="1"/>
  <c r="AJ279" i="17"/>
  <c r="T280" i="17" l="1"/>
  <c r="AO279" i="17"/>
  <c r="AI279" i="17"/>
  <c r="Y280" i="17" l="1"/>
  <c r="W280" i="17"/>
  <c r="E280" i="17"/>
  <c r="F280" i="17"/>
  <c r="Z280" i="17" l="1"/>
  <c r="U280" i="17"/>
  <c r="V280" i="17" s="1"/>
  <c r="AB280" i="17" l="1"/>
  <c r="AD280" i="17"/>
  <c r="AE280" i="17" l="1"/>
  <c r="AG280" i="17"/>
  <c r="AK280" i="17" s="1"/>
  <c r="AF280" i="17" l="1"/>
  <c r="AJ280" i="17"/>
  <c r="AH280" i="17"/>
  <c r="AN280" i="17" s="1"/>
  <c r="D281" i="17" s="1"/>
  <c r="AO280" i="17" l="1"/>
  <c r="AI280" i="17"/>
  <c r="T281" i="17"/>
  <c r="W281" i="17" l="1"/>
  <c r="Y281" i="17"/>
  <c r="F281" i="17"/>
  <c r="E281" i="17"/>
  <c r="Z281" i="17" l="1"/>
  <c r="U281" i="17"/>
  <c r="V281" i="17" s="1"/>
  <c r="AD281" i="17" l="1"/>
  <c r="AB281" i="17"/>
  <c r="AG281" i="17" l="1"/>
  <c r="AK281" i="17" s="1"/>
  <c r="AE281" i="17"/>
  <c r="AJ281" i="17" l="1"/>
  <c r="AF281" i="17"/>
  <c r="AH281" i="17"/>
  <c r="AN281" i="17" s="1"/>
  <c r="D282" i="17" s="1"/>
  <c r="T282" i="17" l="1"/>
  <c r="AO281" i="17"/>
  <c r="AI281" i="17"/>
  <c r="W282" i="17" l="1"/>
  <c r="Y282" i="17"/>
  <c r="E282" i="17"/>
  <c r="F282" i="17"/>
  <c r="Z282" i="17" l="1"/>
  <c r="U282" i="17"/>
  <c r="V282" i="17" s="1"/>
  <c r="AD282" i="17" l="1"/>
  <c r="AB282" i="17"/>
  <c r="AE282" i="17" l="1"/>
  <c r="AG282" i="17"/>
  <c r="AK282" i="17" s="1"/>
  <c r="AJ282" i="17" l="1"/>
  <c r="AH282" i="17"/>
  <c r="AN282" i="17" s="1"/>
  <c r="AF282" i="17"/>
  <c r="D283" i="17" l="1"/>
  <c r="C195" i="17"/>
  <c r="T283" i="17"/>
  <c r="AI282" i="17"/>
  <c r="AO282" i="17"/>
  <c r="F283" i="17" l="1"/>
  <c r="E283" i="17"/>
  <c r="W283" i="17"/>
  <c r="Y283" i="17"/>
  <c r="U283" i="17" l="1"/>
  <c r="V283" i="17" s="1"/>
  <c r="Z283" i="17"/>
  <c r="AB283" i="17" l="1"/>
  <c r="AD283" i="17"/>
  <c r="AE283" i="17" l="1"/>
  <c r="AG283" i="17"/>
  <c r="AK283" i="17" s="1"/>
  <c r="AH283" i="17" l="1"/>
  <c r="AN283" i="17" s="1"/>
  <c r="D284" i="17" s="1"/>
  <c r="T284" i="17" s="1"/>
  <c r="AJ283" i="17"/>
  <c r="AF283" i="17"/>
  <c r="AI283" i="17" l="1"/>
  <c r="AO283" i="17"/>
  <c r="W284" i="17"/>
  <c r="Y284" i="17"/>
  <c r="U284" i="17" l="1"/>
  <c r="V284" i="17" s="1"/>
  <c r="Z284" i="17"/>
  <c r="E284" i="17"/>
  <c r="F284" i="17"/>
  <c r="AB284" i="17" l="1"/>
  <c r="AD284" i="17"/>
  <c r="AE284" i="17" l="1"/>
  <c r="AG284" i="17"/>
  <c r="AK284" i="17" s="1"/>
  <c r="AH284" i="17" l="1"/>
  <c r="AN284" i="17" s="1"/>
  <c r="AJ284" i="17"/>
  <c r="AF284" i="17"/>
  <c r="AO284" i="17" l="1"/>
  <c r="F192" i="17" s="1"/>
  <c r="AI284" i="17"/>
  <c r="C6" i="30"/>
  <c r="C9" i="30"/>
  <c r="AP23" i="48"/>
  <c r="AH23" i="48" s="1"/>
  <c r="D73" i="50"/>
  <c r="B48" i="50"/>
  <c r="C48" i="50" s="1"/>
  <c r="B49" i="50"/>
  <c r="C49" i="50" s="1"/>
  <c r="B50" i="50" l="1"/>
  <c r="C50" i="50" s="1"/>
  <c r="B51" i="50" l="1"/>
  <c r="C51" i="50" s="1"/>
  <c r="B52" i="50" l="1"/>
  <c r="C52" i="50" s="1"/>
  <c r="B53" i="50" l="1"/>
  <c r="C53" i="50" s="1"/>
  <c r="B54" i="50" l="1"/>
  <c r="C54" i="50" s="1"/>
  <c r="B55" i="50" l="1"/>
  <c r="C55" i="50" s="1"/>
  <c r="B56" i="50" l="1"/>
  <c r="C56" i="50" s="1"/>
  <c r="B57" i="50" l="1"/>
  <c r="C57" i="50" s="1"/>
  <c r="B58" i="50" l="1"/>
  <c r="C58" i="50" s="1"/>
  <c r="B59" i="50" l="1"/>
  <c r="C59" i="50" s="1"/>
  <c r="B60" i="50" l="1"/>
  <c r="C60" i="50" s="1"/>
  <c r="B61" i="50" l="1"/>
  <c r="C61" i="50" s="1"/>
  <c r="B62" i="50" l="1"/>
  <c r="C62" i="50" s="1"/>
  <c r="B63" i="50" l="1"/>
  <c r="C63" i="50" s="1"/>
  <c r="B64" i="50" l="1"/>
  <c r="C64" i="50" s="1"/>
  <c r="B65" i="50" l="1"/>
  <c r="C65" i="50" s="1"/>
  <c r="B66" i="50" l="1"/>
  <c r="C66" i="50" s="1"/>
  <c r="B67" i="50" l="1"/>
  <c r="C67" i="50" s="1"/>
  <c r="A73" i="50" l="1"/>
  <c r="B68" i="50"/>
  <c r="B69" i="50" l="1"/>
  <c r="C68" i="50"/>
  <c r="B73" i="50"/>
  <c r="C73" i="50" s="1"/>
  <c r="B12" i="50"/>
  <c r="D23" i="50"/>
  <c r="D195" i="50"/>
  <c r="G257" i="50"/>
  <c r="H257" i="50"/>
  <c r="I258" i="50" s="1"/>
  <c r="G258" i="50"/>
  <c r="H258" i="50"/>
  <c r="G259" i="50"/>
  <c r="H259" i="50"/>
  <c r="I260" i="50" s="1"/>
  <c r="J260" i="50" s="1"/>
  <c r="I259" i="50"/>
  <c r="J259" i="50" s="1"/>
  <c r="G260" i="50"/>
  <c r="H260" i="50"/>
  <c r="I261" i="50" s="1"/>
  <c r="J261" i="50" s="1"/>
  <c r="G261" i="50"/>
  <c r="H261" i="50"/>
  <c r="G262" i="50"/>
  <c r="I263" i="50" s="1"/>
  <c r="J263" i="50" s="1"/>
  <c r="H262" i="50"/>
  <c r="I262" i="50"/>
  <c r="J262" i="50" s="1"/>
  <c r="G263" i="50"/>
  <c r="H263" i="50"/>
  <c r="I264" i="50" s="1"/>
  <c r="J264" i="50" s="1"/>
  <c r="G264" i="50"/>
  <c r="H264" i="50"/>
  <c r="I265" i="50" s="1"/>
  <c r="J265" i="50" s="1"/>
  <c r="G265" i="50"/>
  <c r="I266" i="50" s="1"/>
  <c r="J266" i="50" s="1"/>
  <c r="H265" i="50"/>
  <c r="G266" i="50"/>
  <c r="H266" i="50"/>
  <c r="I267" i="50" s="1"/>
  <c r="J267" i="50" s="1"/>
  <c r="G267" i="50"/>
  <c r="H267" i="50"/>
  <c r="G268" i="50"/>
  <c r="H268" i="50"/>
  <c r="I269" i="50" s="1"/>
  <c r="J269" i="50" s="1"/>
  <c r="I268" i="50"/>
  <c r="J268" i="50" s="1"/>
  <c r="G269" i="50"/>
  <c r="H269" i="50"/>
  <c r="I270" i="50" s="1"/>
  <c r="J270" i="50" s="1"/>
  <c r="G270" i="50"/>
  <c r="H270" i="50"/>
  <c r="G271" i="50"/>
  <c r="I272" i="50" s="1"/>
  <c r="J272" i="50" s="1"/>
  <c r="H271" i="50"/>
  <c r="I271" i="50"/>
  <c r="J271" i="50" s="1"/>
  <c r="G272" i="50"/>
  <c r="H272" i="50"/>
  <c r="I273" i="50" s="1"/>
  <c r="J273" i="50" s="1"/>
  <c r="G273" i="50"/>
  <c r="H273" i="50"/>
  <c r="G274" i="50"/>
  <c r="H274" i="50"/>
  <c r="I274" i="50"/>
  <c r="J274" i="50" s="1"/>
  <c r="G275" i="50"/>
  <c r="H275" i="50"/>
  <c r="I276" i="50" s="1"/>
  <c r="J276" i="50" s="1"/>
  <c r="I275" i="50"/>
  <c r="J275" i="50" s="1"/>
  <c r="G276" i="50"/>
  <c r="H276" i="50"/>
  <c r="G277" i="50"/>
  <c r="I278" i="50" s="1"/>
  <c r="J278" i="50" s="1"/>
  <c r="H277" i="50"/>
  <c r="I277" i="50"/>
  <c r="J277" i="50" s="1"/>
  <c r="G278" i="50"/>
  <c r="H278" i="50"/>
  <c r="I279" i="50" s="1"/>
  <c r="J279" i="50" s="1"/>
  <c r="G279" i="50"/>
  <c r="H279" i="50"/>
  <c r="G280" i="50"/>
  <c r="I281" i="50" s="1"/>
  <c r="J281" i="50" s="1"/>
  <c r="H280" i="50"/>
  <c r="I280" i="50"/>
  <c r="J280" i="50" s="1"/>
  <c r="G281" i="50"/>
  <c r="H281" i="50"/>
  <c r="I282" i="50" s="1"/>
  <c r="J282" i="50" s="1"/>
  <c r="G282" i="50"/>
  <c r="H282" i="50"/>
  <c r="G283" i="50"/>
  <c r="H283" i="50"/>
  <c r="I283" i="50"/>
  <c r="J283" i="50" s="1"/>
  <c r="D292" i="50"/>
  <c r="M297" i="50"/>
  <c r="G298" i="50" s="1"/>
  <c r="G299" i="50"/>
  <c r="G300" i="50"/>
  <c r="H300" i="50"/>
  <c r="I300" i="50" s="1"/>
  <c r="J300" i="50" s="1"/>
  <c r="H301" i="50"/>
  <c r="G305" i="50"/>
  <c r="H305" i="50"/>
  <c r="I305" i="50" s="1"/>
  <c r="J305" i="50" s="1"/>
  <c r="H306" i="50"/>
  <c r="G308" i="50"/>
  <c r="H309" i="50"/>
  <c r="G311" i="50"/>
  <c r="H312" i="50"/>
  <c r="G314" i="50"/>
  <c r="G315" i="50"/>
  <c r="H315" i="50"/>
  <c r="I315" i="50" s="1"/>
  <c r="J315" i="50" s="1"/>
  <c r="G318" i="50"/>
  <c r="H318" i="50"/>
  <c r="I318" i="50" s="1"/>
  <c r="J318" i="50" s="1"/>
  <c r="D328" i="50"/>
  <c r="M333" i="50"/>
  <c r="J258" i="50" l="1"/>
  <c r="L285" i="50" s="1"/>
  <c r="L268" i="50"/>
  <c r="I285" i="50"/>
  <c r="G312" i="50"/>
  <c r="I312" i="50" s="1"/>
  <c r="J312" i="50" s="1"/>
  <c r="G306" i="50"/>
  <c r="I306" i="50" s="1"/>
  <c r="J306" i="50" s="1"/>
  <c r="H302" i="50"/>
  <c r="G317" i="50"/>
  <c r="H314" i="50"/>
  <c r="I314" i="50" s="1"/>
  <c r="J314" i="50" s="1"/>
  <c r="H311" i="50"/>
  <c r="I311" i="50" s="1"/>
  <c r="J311" i="50" s="1"/>
  <c r="H308" i="50"/>
  <c r="I308" i="50" s="1"/>
  <c r="J308" i="50" s="1"/>
  <c r="G304" i="50"/>
  <c r="H299" i="50"/>
  <c r="I299" i="50" s="1"/>
  <c r="J299" i="50" s="1"/>
  <c r="G309" i="50"/>
  <c r="I309" i="50" s="1"/>
  <c r="J309" i="50" s="1"/>
  <c r="G301" i="50"/>
  <c r="I301" i="50" s="1"/>
  <c r="J301" i="50" s="1"/>
  <c r="G316" i="50"/>
  <c r="H313" i="50"/>
  <c r="H310" i="50"/>
  <c r="H307" i="50"/>
  <c r="I307" i="50" s="1"/>
  <c r="J307" i="50" s="1"/>
  <c r="H303" i="50"/>
  <c r="I303" i="50" s="1"/>
  <c r="J303" i="50" s="1"/>
  <c r="G302" i="50"/>
  <c r="H298" i="50"/>
  <c r="H316" i="50"/>
  <c r="I316" i="50" s="1"/>
  <c r="J316" i="50" s="1"/>
  <c r="H317" i="50"/>
  <c r="I317" i="50" s="1"/>
  <c r="J317" i="50" s="1"/>
  <c r="G313" i="50"/>
  <c r="G310" i="50"/>
  <c r="G307" i="50"/>
  <c r="H304" i="50"/>
  <c r="I304" i="50" s="1"/>
  <c r="J304" i="50" s="1"/>
  <c r="G303" i="50"/>
  <c r="I310" i="50" l="1"/>
  <c r="J310" i="50" s="1"/>
  <c r="I313" i="50"/>
  <c r="J313" i="50" s="1"/>
  <c r="I302" i="50"/>
  <c r="J302" i="50" s="1"/>
  <c r="L320" i="50"/>
  <c r="E2" i="29"/>
  <c r="F2" i="29"/>
  <c r="G2" i="29"/>
  <c r="H2" i="29" a="1"/>
  <c r="H2" i="29"/>
  <c r="E3" i="29"/>
  <c r="F3" i="29"/>
  <c r="G3" i="29"/>
  <c r="H3" i="29" a="1"/>
  <c r="H3" i="29"/>
  <c r="E4" i="29"/>
  <c r="F4" i="29"/>
  <c r="G4" i="29"/>
  <c r="H4" i="29" a="1"/>
  <c r="H4" i="29"/>
  <c r="E5" i="29"/>
  <c r="F5" i="29"/>
  <c r="G5" i="29"/>
  <c r="H5" i="29" a="1"/>
  <c r="H5" i="29"/>
  <c r="E8" i="29"/>
  <c r="F8" i="29"/>
  <c r="G8" i="29"/>
  <c r="H8" i="29" a="1"/>
  <c r="H8" i="29"/>
  <c r="E9" i="29"/>
  <c r="F9" i="29"/>
  <c r="G9" i="29"/>
  <c r="H9" i="29" a="1"/>
  <c r="H9" i="29"/>
  <c r="B10" i="29"/>
  <c r="E10" i="29"/>
  <c r="F10" i="29"/>
  <c r="G10" i="29"/>
  <c r="H10" i="29" a="1"/>
  <c r="H10" i="29"/>
  <c r="L10" i="29"/>
  <c r="E11" i="29"/>
  <c r="F11" i="29"/>
  <c r="G11" i="29"/>
  <c r="H11" i="29" a="1"/>
  <c r="H11" i="29"/>
  <c r="B12" i="29"/>
  <c r="E15" i="29"/>
  <c r="H15" i="29"/>
  <c r="D25" i="29"/>
  <c r="T25" i="29"/>
  <c r="U25" i="29"/>
  <c r="V25" i="29"/>
  <c r="W25" i="29"/>
  <c r="Y25" i="29"/>
  <c r="Z25" i="29"/>
  <c r="AB25" i="29"/>
  <c r="AD25" i="29"/>
  <c r="AE25" i="29"/>
  <c r="AF25" i="29"/>
  <c r="AG25" i="29"/>
  <c r="AH25" i="29"/>
  <c r="AI25" i="29"/>
  <c r="AJ25" i="29"/>
  <c r="AK25" i="29"/>
  <c r="AN25" i="29"/>
  <c r="AX25" i="29"/>
  <c r="AY25" i="29"/>
  <c r="BA25" i="29"/>
  <c r="BB25" i="29"/>
  <c r="BC25" i="29"/>
  <c r="D26" i="29"/>
  <c r="T26" i="29"/>
  <c r="U26" i="29"/>
  <c r="V26" i="29"/>
  <c r="W26" i="29"/>
  <c r="Y26" i="29"/>
  <c r="Z26" i="29"/>
  <c r="AB26" i="29"/>
  <c r="AD26" i="29"/>
  <c r="AE26" i="29"/>
  <c r="AF26" i="29"/>
  <c r="AG26" i="29"/>
  <c r="AH26" i="29"/>
  <c r="AI26" i="29"/>
  <c r="AJ26" i="29"/>
  <c r="AK26" i="29"/>
  <c r="AN26" i="29"/>
  <c r="AX26" i="29"/>
  <c r="AY26" i="29"/>
  <c r="BA26" i="29"/>
  <c r="BB26" i="29"/>
  <c r="BC26" i="29"/>
  <c r="D27" i="29"/>
  <c r="T27" i="29"/>
  <c r="U27" i="29"/>
  <c r="V27" i="29"/>
  <c r="W27" i="29"/>
  <c r="Y27" i="29"/>
  <c r="Z27" i="29"/>
  <c r="AB27" i="29"/>
  <c r="AD27" i="29"/>
  <c r="AE27" i="29"/>
  <c r="AF27" i="29"/>
  <c r="AG27" i="29"/>
  <c r="AH27" i="29"/>
  <c r="AI27" i="29"/>
  <c r="AJ27" i="29"/>
  <c r="AK27" i="29"/>
  <c r="AN27" i="29"/>
  <c r="AX27" i="29"/>
  <c r="AY27" i="29"/>
  <c r="BA27" i="29"/>
  <c r="BB27" i="29"/>
  <c r="BC27" i="29"/>
  <c r="D28" i="29"/>
  <c r="T28" i="29"/>
  <c r="U28" i="29"/>
  <c r="V28" i="29"/>
  <c r="W28" i="29"/>
  <c r="Y28" i="29"/>
  <c r="Z28" i="29"/>
  <c r="AB28" i="29"/>
  <c r="AD28" i="29"/>
  <c r="AE28" i="29"/>
  <c r="AF28" i="29"/>
  <c r="AG28" i="29"/>
  <c r="AH28" i="29"/>
  <c r="AI28" i="29"/>
  <c r="AJ28" i="29"/>
  <c r="AK28" i="29"/>
  <c r="AN28" i="29"/>
  <c r="AX28" i="29"/>
  <c r="AY28" i="29"/>
  <c r="BA28" i="29"/>
  <c r="BB28" i="29"/>
  <c r="BC28" i="29"/>
  <c r="D29" i="29"/>
  <c r="T29" i="29"/>
  <c r="U29" i="29"/>
  <c r="V29" i="29"/>
  <c r="W29" i="29"/>
  <c r="Y29" i="29"/>
  <c r="Z29" i="29"/>
  <c r="AB29" i="29"/>
  <c r="AD29" i="29"/>
  <c r="AE29" i="29"/>
  <c r="AF29" i="29"/>
  <c r="AG29" i="29"/>
  <c r="AH29" i="29"/>
  <c r="AI29" i="29"/>
  <c r="AJ29" i="29"/>
  <c r="AK29" i="29"/>
  <c r="AN29" i="29"/>
  <c r="AX29" i="29"/>
  <c r="AY29" i="29"/>
  <c r="BA29" i="29"/>
  <c r="BB29" i="29"/>
  <c r="BC29" i="29"/>
  <c r="D30" i="29"/>
  <c r="T30" i="29"/>
  <c r="U30" i="29"/>
  <c r="V30" i="29"/>
  <c r="W30" i="29"/>
  <c r="Y30" i="29"/>
  <c r="Z30" i="29"/>
  <c r="AB30" i="29"/>
  <c r="AD30" i="29"/>
  <c r="AE30" i="29"/>
  <c r="AF30" i="29"/>
  <c r="AG30" i="29"/>
  <c r="AH30" i="29"/>
  <c r="AI30" i="29"/>
  <c r="AJ30" i="29"/>
  <c r="AK30" i="29"/>
  <c r="AN30" i="29"/>
  <c r="AX30" i="29"/>
  <c r="AY30" i="29"/>
  <c r="BA30" i="29"/>
  <c r="BB30" i="29"/>
  <c r="BC30" i="29"/>
  <c r="D31" i="29"/>
  <c r="T31" i="29"/>
  <c r="U31" i="29"/>
  <c r="V31" i="29"/>
  <c r="W31" i="29"/>
  <c r="Y31" i="29"/>
  <c r="Z31" i="29"/>
  <c r="AB31" i="29"/>
  <c r="AD31" i="29"/>
  <c r="AE31" i="29"/>
  <c r="AF31" i="29"/>
  <c r="AG31" i="29"/>
  <c r="AH31" i="29"/>
  <c r="AI31" i="29"/>
  <c r="AJ31" i="29"/>
  <c r="AK31" i="29"/>
  <c r="AN31" i="29"/>
  <c r="AX31" i="29"/>
  <c r="AY31" i="29"/>
  <c r="BA31" i="29"/>
  <c r="BB31" i="29"/>
  <c r="BC31" i="29"/>
  <c r="D32" i="29"/>
  <c r="T32" i="29"/>
  <c r="U32" i="29"/>
  <c r="V32" i="29"/>
  <c r="W32" i="29"/>
  <c r="Y32" i="29"/>
  <c r="Z32" i="29"/>
  <c r="AB32" i="29"/>
  <c r="AD32" i="29"/>
  <c r="AE32" i="29"/>
  <c r="AF32" i="29"/>
  <c r="AG32" i="29"/>
  <c r="AH32" i="29"/>
  <c r="AI32" i="29"/>
  <c r="AJ32" i="29"/>
  <c r="AK32" i="29"/>
  <c r="AN32" i="29"/>
  <c r="AX32" i="29"/>
  <c r="AY32" i="29"/>
  <c r="BA32" i="29"/>
  <c r="BB32" i="29"/>
  <c r="BC32" i="29"/>
  <c r="D33" i="29"/>
  <c r="T33" i="29"/>
  <c r="U33" i="29"/>
  <c r="V33" i="29"/>
  <c r="W33" i="29"/>
  <c r="Y33" i="29"/>
  <c r="Z33" i="29"/>
  <c r="AB33" i="29"/>
  <c r="AD33" i="29"/>
  <c r="AE33" i="29"/>
  <c r="AF33" i="29"/>
  <c r="AG33" i="29"/>
  <c r="AH33" i="29"/>
  <c r="AI33" i="29"/>
  <c r="AJ33" i="29"/>
  <c r="AK33" i="29"/>
  <c r="AN33" i="29"/>
  <c r="AX33" i="29"/>
  <c r="AY33" i="29"/>
  <c r="BA33" i="29"/>
  <c r="BB33" i="29"/>
  <c r="BC33" i="29"/>
  <c r="D34" i="29"/>
  <c r="T34" i="29"/>
  <c r="U34" i="29"/>
  <c r="V34" i="29"/>
  <c r="W34" i="29"/>
  <c r="Y34" i="29"/>
  <c r="Z34" i="29"/>
  <c r="AB34" i="29"/>
  <c r="AD34" i="29"/>
  <c r="AE34" i="29"/>
  <c r="AF34" i="29"/>
  <c r="AG34" i="29"/>
  <c r="AH34" i="29"/>
  <c r="AI34" i="29"/>
  <c r="AJ34" i="29"/>
  <c r="AK34" i="29"/>
  <c r="AN34" i="29"/>
  <c r="AX34" i="29"/>
  <c r="AY34" i="29"/>
  <c r="BA34" i="29"/>
  <c r="BB34" i="29"/>
  <c r="BC34" i="29"/>
  <c r="D35" i="29"/>
  <c r="T35" i="29"/>
  <c r="U35" i="29"/>
  <c r="V35" i="29"/>
  <c r="W35" i="29"/>
  <c r="Y35" i="29"/>
  <c r="Z35" i="29"/>
  <c r="AB35" i="29"/>
  <c r="AD35" i="29"/>
  <c r="AE35" i="29"/>
  <c r="AF35" i="29"/>
  <c r="AG35" i="29"/>
  <c r="AH35" i="29"/>
  <c r="AI35" i="29"/>
  <c r="AJ35" i="29"/>
  <c r="AK35" i="29"/>
  <c r="AN35" i="29"/>
  <c r="AX35" i="29"/>
  <c r="AY35" i="29"/>
  <c r="BA35" i="29"/>
  <c r="BB35" i="29"/>
  <c r="BC35" i="29"/>
  <c r="D36" i="29"/>
  <c r="T36" i="29"/>
  <c r="U36" i="29"/>
  <c r="V36" i="29"/>
  <c r="W36" i="29"/>
  <c r="Y36" i="29"/>
  <c r="Z36" i="29"/>
  <c r="AB36" i="29"/>
  <c r="AD36" i="29"/>
  <c r="AE36" i="29"/>
  <c r="AF36" i="29"/>
  <c r="AG36" i="29"/>
  <c r="AH36" i="29"/>
  <c r="AI36" i="29"/>
  <c r="AJ36" i="29"/>
  <c r="AK36" i="29"/>
  <c r="AN36" i="29"/>
  <c r="AX36" i="29"/>
  <c r="AY36" i="29"/>
  <c r="BA36" i="29"/>
  <c r="BB36" i="29"/>
  <c r="BC36" i="29"/>
  <c r="D37" i="29"/>
  <c r="T37" i="29"/>
  <c r="U37" i="29"/>
  <c r="V37" i="29"/>
  <c r="W37" i="29"/>
  <c r="Y37" i="29"/>
  <c r="Z37" i="29"/>
  <c r="AB37" i="29"/>
  <c r="AD37" i="29"/>
  <c r="AE37" i="29"/>
  <c r="AF37" i="29"/>
  <c r="AG37" i="29"/>
  <c r="AH37" i="29"/>
  <c r="AI37" i="29"/>
  <c r="AJ37" i="29"/>
  <c r="AK37" i="29"/>
  <c r="AN37" i="29"/>
  <c r="AX37" i="29"/>
  <c r="AY37" i="29"/>
  <c r="BA37" i="29"/>
  <c r="BB37" i="29"/>
  <c r="BC37" i="29"/>
  <c r="D38" i="29"/>
  <c r="T38" i="29"/>
  <c r="U38" i="29"/>
  <c r="V38" i="29"/>
  <c r="W38" i="29"/>
  <c r="Y38" i="29"/>
  <c r="Z38" i="29"/>
  <c r="AB38" i="29"/>
  <c r="AD38" i="29"/>
  <c r="AE38" i="29"/>
  <c r="AF38" i="29"/>
  <c r="AG38" i="29"/>
  <c r="AH38" i="29"/>
  <c r="AI38" i="29"/>
  <c r="AJ38" i="29"/>
  <c r="AK38" i="29"/>
  <c r="AN38" i="29"/>
  <c r="AX38" i="29"/>
  <c r="AY38" i="29"/>
  <c r="BA38" i="29"/>
  <c r="BB38" i="29"/>
  <c r="BC38" i="29"/>
  <c r="D39" i="29"/>
  <c r="T39" i="29"/>
  <c r="U39" i="29"/>
  <c r="V39" i="29"/>
  <c r="W39" i="29"/>
  <c r="Y39" i="29"/>
  <c r="Z39" i="29"/>
  <c r="AB39" i="29"/>
  <c r="AD39" i="29"/>
  <c r="AE39" i="29"/>
  <c r="AF39" i="29"/>
  <c r="AG39" i="29"/>
  <c r="AH39" i="29"/>
  <c r="AI39" i="29"/>
  <c r="AJ39" i="29"/>
  <c r="AK39" i="29"/>
  <c r="AN39" i="29"/>
  <c r="AX39" i="29"/>
  <c r="AY39" i="29"/>
  <c r="BA39" i="29"/>
  <c r="BB39" i="29"/>
  <c r="BC39" i="29"/>
  <c r="D40" i="29"/>
  <c r="T40" i="29"/>
  <c r="U40" i="29"/>
  <c r="V40" i="29"/>
  <c r="W40" i="29"/>
  <c r="Y40" i="29"/>
  <c r="Z40" i="29"/>
  <c r="AB40" i="29"/>
  <c r="AD40" i="29"/>
  <c r="AE40" i="29"/>
  <c r="AF40" i="29"/>
  <c r="AG40" i="29"/>
  <c r="AH40" i="29"/>
  <c r="AI40" i="29"/>
  <c r="AJ40" i="29"/>
  <c r="AK40" i="29"/>
  <c r="AN40" i="29"/>
  <c r="AX40" i="29"/>
  <c r="AY40" i="29"/>
  <c r="BA40" i="29"/>
  <c r="BB40" i="29"/>
  <c r="BC40" i="29"/>
  <c r="D41" i="29"/>
  <c r="T41" i="29"/>
  <c r="U41" i="29"/>
  <c r="V41" i="29"/>
  <c r="W41" i="29"/>
  <c r="Y41" i="29"/>
  <c r="Z41" i="29"/>
  <c r="AB41" i="29"/>
  <c r="AD41" i="29"/>
  <c r="AE41" i="29"/>
  <c r="AF41" i="29"/>
  <c r="AG41" i="29"/>
  <c r="AH41" i="29"/>
  <c r="AI41" i="29"/>
  <c r="AJ41" i="29"/>
  <c r="AK41" i="29"/>
  <c r="AN41" i="29"/>
  <c r="AX41" i="29"/>
  <c r="AY41" i="29"/>
  <c r="BA41" i="29"/>
  <c r="BB41" i="29"/>
  <c r="BC41" i="29"/>
  <c r="D42" i="29"/>
  <c r="T42" i="29"/>
  <c r="U42" i="29"/>
  <c r="V42" i="29"/>
  <c r="W42" i="29"/>
  <c r="Y42" i="29"/>
  <c r="Z42" i="29"/>
  <c r="AB42" i="29"/>
  <c r="AD42" i="29"/>
  <c r="AE42" i="29"/>
  <c r="AF42" i="29"/>
  <c r="AG42" i="29"/>
  <c r="AH42" i="29"/>
  <c r="AI42" i="29"/>
  <c r="AJ42" i="29"/>
  <c r="AK42" i="29"/>
  <c r="AN42" i="29"/>
  <c r="AX42" i="29"/>
  <c r="AY42" i="29"/>
  <c r="BA42" i="29"/>
  <c r="BB42" i="29"/>
  <c r="BC42" i="29"/>
  <c r="D43" i="29"/>
  <c r="T43" i="29"/>
  <c r="U43" i="29"/>
  <c r="V43" i="29"/>
  <c r="W43" i="29"/>
  <c r="Y43" i="29"/>
  <c r="Z43" i="29"/>
  <c r="AB43" i="29"/>
  <c r="AD43" i="29"/>
  <c r="AE43" i="29"/>
  <c r="AF43" i="29"/>
  <c r="AG43" i="29"/>
  <c r="AH43" i="29"/>
  <c r="AI43" i="29"/>
  <c r="AJ43" i="29"/>
  <c r="AK43" i="29"/>
  <c r="AN43" i="29"/>
  <c r="AX43" i="29"/>
  <c r="AY43" i="29"/>
  <c r="BA43" i="29"/>
  <c r="BB43" i="29"/>
  <c r="BC43" i="29"/>
  <c r="D44" i="29"/>
  <c r="T44" i="29"/>
  <c r="U44" i="29"/>
  <c r="V44" i="29"/>
  <c r="W44" i="29"/>
  <c r="Y44" i="29"/>
  <c r="Z44" i="29"/>
  <c r="AB44" i="29"/>
  <c r="AD44" i="29"/>
  <c r="AE44" i="29"/>
  <c r="AF44" i="29"/>
  <c r="AG44" i="29"/>
  <c r="AH44" i="29"/>
  <c r="AI44" i="29"/>
  <c r="AJ44" i="29"/>
  <c r="AK44" i="29"/>
  <c r="AN44" i="29"/>
  <c r="AX44" i="29"/>
  <c r="AY44" i="29"/>
  <c r="BA44" i="29"/>
  <c r="BB44" i="29"/>
  <c r="BC44" i="29"/>
  <c r="D45" i="29"/>
  <c r="T45" i="29"/>
  <c r="U45" i="29"/>
  <c r="V45" i="29"/>
  <c r="W45" i="29"/>
  <c r="Y45" i="29"/>
  <c r="Z45" i="29"/>
  <c r="AB45" i="29"/>
  <c r="AD45" i="29"/>
  <c r="AE45" i="29"/>
  <c r="AF45" i="29"/>
  <c r="AG45" i="29"/>
  <c r="AH45" i="29"/>
  <c r="AI45" i="29"/>
  <c r="AJ45" i="29"/>
  <c r="AK45" i="29"/>
  <c r="AN45" i="29"/>
  <c r="AX45" i="29"/>
  <c r="AY45" i="29"/>
  <c r="BA45" i="29"/>
  <c r="BB45" i="29"/>
  <c r="BC45" i="29"/>
  <c r="D46" i="29"/>
  <c r="T46" i="29"/>
  <c r="U46" i="29"/>
  <c r="V46" i="29"/>
  <c r="W46" i="29"/>
  <c r="Y46" i="29"/>
  <c r="Z46" i="29"/>
  <c r="AB46" i="29"/>
  <c r="AD46" i="29"/>
  <c r="AE46" i="29"/>
  <c r="AF46" i="29"/>
  <c r="AG46" i="29"/>
  <c r="AH46" i="29"/>
  <c r="AI46" i="29"/>
  <c r="AJ46" i="29"/>
  <c r="AK46" i="29"/>
  <c r="AN46" i="29"/>
  <c r="AX46" i="29"/>
  <c r="AY46" i="29"/>
  <c r="BA46" i="29"/>
  <c r="BB46" i="29"/>
  <c r="BC46" i="29"/>
  <c r="D47" i="29"/>
  <c r="T47" i="29"/>
  <c r="U47" i="29"/>
  <c r="V47" i="29"/>
  <c r="W47" i="29"/>
  <c r="Y47" i="29"/>
  <c r="Z47" i="29"/>
  <c r="AB47" i="29"/>
  <c r="AD47" i="29"/>
  <c r="AE47" i="29"/>
  <c r="AF47" i="29"/>
  <c r="AG47" i="29"/>
  <c r="AH47" i="29"/>
  <c r="AI47" i="29"/>
  <c r="AJ47" i="29"/>
  <c r="AK47" i="29"/>
  <c r="AN47" i="29"/>
  <c r="AX47" i="29"/>
  <c r="AY47" i="29"/>
  <c r="BA47" i="29"/>
  <c r="BB47" i="29"/>
  <c r="BC47" i="29"/>
  <c r="D48" i="29"/>
  <c r="T48" i="29"/>
  <c r="U48" i="29"/>
  <c r="V48" i="29"/>
  <c r="W48" i="29"/>
  <c r="Y48" i="29"/>
  <c r="Z48" i="29"/>
  <c r="AB48" i="29"/>
  <c r="AD48" i="29"/>
  <c r="AE48" i="29"/>
  <c r="AF48" i="29"/>
  <c r="AG48" i="29"/>
  <c r="AH48" i="29"/>
  <c r="AI48" i="29"/>
  <c r="AJ48" i="29"/>
  <c r="AK48" i="29"/>
  <c r="AN48" i="29"/>
  <c r="AX48" i="29"/>
  <c r="AY48" i="29"/>
  <c r="BA48" i="29"/>
  <c r="BB48" i="29"/>
  <c r="BC48" i="29"/>
  <c r="D49" i="29"/>
  <c r="T49" i="29"/>
  <c r="U49" i="29"/>
  <c r="V49" i="29"/>
  <c r="W49" i="29"/>
  <c r="Y49" i="29"/>
  <c r="Z49" i="29"/>
  <c r="AB49" i="29"/>
  <c r="AD49" i="29"/>
  <c r="AE49" i="29"/>
  <c r="AF49" i="29"/>
  <c r="AG49" i="29"/>
  <c r="AH49" i="29"/>
  <c r="AI49" i="29"/>
  <c r="AJ49" i="29"/>
  <c r="AK49" i="29"/>
  <c r="AN49" i="29"/>
  <c r="AX49" i="29"/>
  <c r="AY49" i="29"/>
  <c r="BA49" i="29"/>
  <c r="BB49" i="29"/>
  <c r="BC49" i="29"/>
  <c r="D50" i="29"/>
  <c r="T50" i="29"/>
  <c r="U50" i="29"/>
  <c r="V50" i="29"/>
  <c r="W50" i="29"/>
  <c r="Y50" i="29"/>
  <c r="Z50" i="29"/>
  <c r="AB50" i="29"/>
  <c r="AD50" i="29"/>
  <c r="AE50" i="29"/>
  <c r="AF50" i="29"/>
  <c r="AG50" i="29"/>
  <c r="AH50" i="29"/>
  <c r="AI50" i="29"/>
  <c r="AJ50" i="29"/>
  <c r="AK50" i="29"/>
  <c r="AN50" i="29"/>
  <c r="AX50" i="29"/>
  <c r="AY50" i="29"/>
  <c r="BA50" i="29"/>
  <c r="BB50" i="29"/>
  <c r="BC50" i="29"/>
  <c r="D51" i="29"/>
  <c r="T51" i="29"/>
  <c r="U51" i="29"/>
  <c r="V51" i="29"/>
  <c r="W51" i="29"/>
  <c r="Y51" i="29"/>
  <c r="Z51" i="29"/>
  <c r="AB51" i="29"/>
  <c r="AD51" i="29"/>
  <c r="AE51" i="29"/>
  <c r="AF51" i="29"/>
  <c r="AG51" i="29"/>
  <c r="AH51" i="29"/>
  <c r="AI51" i="29"/>
  <c r="AJ51" i="29"/>
  <c r="AK51" i="29"/>
  <c r="AN51" i="29"/>
  <c r="AX51" i="29"/>
  <c r="AY51" i="29"/>
  <c r="BA51" i="29"/>
  <c r="BB51" i="29"/>
  <c r="BC51" i="29"/>
  <c r="D52" i="29"/>
  <c r="T52" i="29"/>
  <c r="U52" i="29"/>
  <c r="V52" i="29"/>
  <c r="W52" i="29"/>
  <c r="Y52" i="29"/>
  <c r="Z52" i="29"/>
  <c r="AB52" i="29"/>
  <c r="AD52" i="29"/>
  <c r="AE52" i="29"/>
  <c r="AF52" i="29"/>
  <c r="AG52" i="29"/>
  <c r="AH52" i="29"/>
  <c r="AI52" i="29"/>
  <c r="AJ52" i="29"/>
  <c r="AK52" i="29"/>
  <c r="AN52" i="29"/>
  <c r="AX52" i="29"/>
  <c r="AY52" i="29"/>
  <c r="BA52" i="29"/>
  <c r="BB52" i="29"/>
  <c r="BC52" i="29"/>
  <c r="D53" i="29"/>
  <c r="T53" i="29"/>
  <c r="U53" i="29"/>
  <c r="V53" i="29"/>
  <c r="W53" i="29"/>
  <c r="Y53" i="29"/>
  <c r="Z53" i="29"/>
  <c r="AB53" i="29"/>
  <c r="AD53" i="29"/>
  <c r="AE53" i="29"/>
  <c r="AF53" i="29"/>
  <c r="AG53" i="29"/>
  <c r="AH53" i="29"/>
  <c r="AI53" i="29"/>
  <c r="AJ53" i="29"/>
  <c r="AK53" i="29"/>
  <c r="AN53" i="29"/>
  <c r="AX53" i="29"/>
  <c r="AY53" i="29"/>
  <c r="BA53" i="29"/>
  <c r="BB53" i="29"/>
  <c r="BC53" i="29"/>
  <c r="D54" i="29"/>
  <c r="T54" i="29"/>
  <c r="U54" i="29"/>
  <c r="V54" i="29"/>
  <c r="W54" i="29"/>
  <c r="Y54" i="29"/>
  <c r="Z54" i="29"/>
  <c r="AB54" i="29"/>
  <c r="AD54" i="29"/>
  <c r="AE54" i="29"/>
  <c r="AF54" i="29"/>
  <c r="AG54" i="29"/>
  <c r="AH54" i="29"/>
  <c r="AI54" i="29"/>
  <c r="AJ54" i="29"/>
  <c r="AK54" i="29"/>
  <c r="AN54" i="29"/>
  <c r="AX54" i="29"/>
  <c r="AY54" i="29"/>
  <c r="BA54" i="29"/>
  <c r="BB54" i="29"/>
  <c r="BC54" i="29"/>
  <c r="D55" i="29"/>
  <c r="T55" i="29"/>
  <c r="U55" i="29"/>
  <c r="V55" i="29"/>
  <c r="W55" i="29"/>
  <c r="Y55" i="29"/>
  <c r="Z55" i="29"/>
  <c r="AB55" i="29"/>
  <c r="AD55" i="29"/>
  <c r="AE55" i="29"/>
  <c r="AF55" i="29"/>
  <c r="AG55" i="29"/>
  <c r="AH55" i="29"/>
  <c r="AI55" i="29"/>
  <c r="AJ55" i="29"/>
  <c r="AK55" i="29"/>
  <c r="AN55" i="29"/>
  <c r="AX55" i="29"/>
  <c r="AY55" i="29"/>
  <c r="BA55" i="29"/>
  <c r="BB55" i="29"/>
  <c r="BC55" i="29"/>
  <c r="D56" i="29"/>
  <c r="T56" i="29"/>
  <c r="U56" i="29"/>
  <c r="V56" i="29"/>
  <c r="W56" i="29"/>
  <c r="Y56" i="29"/>
  <c r="Z56" i="29"/>
  <c r="AB56" i="29"/>
  <c r="AD56" i="29"/>
  <c r="AE56" i="29"/>
  <c r="AF56" i="29"/>
  <c r="AG56" i="29"/>
  <c r="AH56" i="29"/>
  <c r="AI56" i="29"/>
  <c r="AJ56" i="29"/>
  <c r="AK56" i="29"/>
  <c r="AN56" i="29"/>
  <c r="AX56" i="29"/>
  <c r="AY56" i="29"/>
  <c r="BA56" i="29"/>
  <c r="BB56" i="29"/>
  <c r="BC56" i="29"/>
  <c r="D57" i="29"/>
  <c r="T57" i="29"/>
  <c r="U57" i="29"/>
  <c r="V57" i="29"/>
  <c r="W57" i="29"/>
  <c r="Y57" i="29"/>
  <c r="Z57" i="29"/>
  <c r="AB57" i="29"/>
  <c r="AD57" i="29"/>
  <c r="AE57" i="29"/>
  <c r="AF57" i="29"/>
  <c r="AG57" i="29"/>
  <c r="AH57" i="29"/>
  <c r="AI57" i="29"/>
  <c r="AJ57" i="29"/>
  <c r="AK57" i="29"/>
  <c r="AN57" i="29"/>
  <c r="AX57" i="29"/>
  <c r="AY57" i="29"/>
  <c r="BA57" i="29"/>
  <c r="BB57" i="29"/>
  <c r="BC57" i="29"/>
  <c r="D58" i="29"/>
  <c r="T58" i="29"/>
  <c r="U58" i="29"/>
  <c r="V58" i="29"/>
  <c r="W58" i="29"/>
  <c r="Y58" i="29"/>
  <c r="Z58" i="29"/>
  <c r="AB58" i="29"/>
  <c r="AD58" i="29"/>
  <c r="AE58" i="29"/>
  <c r="AF58" i="29"/>
  <c r="AG58" i="29"/>
  <c r="AH58" i="29"/>
  <c r="AI58" i="29"/>
  <c r="AJ58" i="29"/>
  <c r="AK58" i="29"/>
  <c r="AN58" i="29"/>
  <c r="AX58" i="29"/>
  <c r="AY58" i="29"/>
  <c r="BA58" i="29"/>
  <c r="BB58" i="29"/>
  <c r="BC58" i="29"/>
  <c r="D59" i="29"/>
  <c r="T59" i="29"/>
  <c r="U59" i="29"/>
  <c r="V59" i="29"/>
  <c r="W59" i="29"/>
  <c r="Y59" i="29"/>
  <c r="Z59" i="29"/>
  <c r="AB59" i="29"/>
  <c r="AD59" i="29"/>
  <c r="AE59" i="29"/>
  <c r="AF59" i="29"/>
  <c r="AG59" i="29"/>
  <c r="AH59" i="29"/>
  <c r="AI59" i="29"/>
  <c r="AJ59" i="29"/>
  <c r="AK59" i="29"/>
  <c r="AN59" i="29"/>
  <c r="AX59" i="29"/>
  <c r="AY59" i="29"/>
  <c r="BA59" i="29"/>
  <c r="BB59" i="29"/>
  <c r="BC59" i="29"/>
  <c r="D60" i="29"/>
  <c r="T60" i="29"/>
  <c r="U60" i="29"/>
  <c r="V60" i="29"/>
  <c r="W60" i="29"/>
  <c r="Y60" i="29"/>
  <c r="Z60" i="29"/>
  <c r="AB60" i="29"/>
  <c r="AD60" i="29"/>
  <c r="AE60" i="29"/>
  <c r="AF60" i="29"/>
  <c r="AG60" i="29"/>
  <c r="AH60" i="29"/>
  <c r="AI60" i="29"/>
  <c r="AJ60" i="29"/>
  <c r="AK60" i="29"/>
  <c r="AN60" i="29"/>
  <c r="AX60" i="29"/>
  <c r="AY60" i="29"/>
  <c r="BA60" i="29"/>
  <c r="BB60" i="29"/>
  <c r="BC60" i="29"/>
  <c r="D61" i="29"/>
  <c r="T61" i="29"/>
  <c r="U61" i="29"/>
  <c r="V61" i="29"/>
  <c r="W61" i="29"/>
  <c r="Y61" i="29"/>
  <c r="Z61" i="29"/>
  <c r="AB61" i="29"/>
  <c r="AD61" i="29"/>
  <c r="AE61" i="29"/>
  <c r="AF61" i="29"/>
  <c r="AG61" i="29"/>
  <c r="AH61" i="29"/>
  <c r="AI61" i="29"/>
  <c r="AJ61" i="29"/>
  <c r="AK61" i="29"/>
  <c r="AN61" i="29"/>
  <c r="AX61" i="29"/>
  <c r="AY61" i="29"/>
  <c r="BA61" i="29"/>
  <c r="BB61" i="29"/>
  <c r="BC61" i="29"/>
  <c r="D62" i="29"/>
  <c r="T62" i="29"/>
  <c r="U62" i="29"/>
  <c r="V62" i="29"/>
  <c r="W62" i="29"/>
  <c r="Y62" i="29"/>
  <c r="Z62" i="29"/>
  <c r="AB62" i="29"/>
  <c r="AD62" i="29"/>
  <c r="AE62" i="29"/>
  <c r="AF62" i="29"/>
  <c r="AG62" i="29"/>
  <c r="AH62" i="29"/>
  <c r="AI62" i="29"/>
  <c r="AJ62" i="29"/>
  <c r="AK62" i="29"/>
  <c r="AN62" i="29"/>
  <c r="AX62" i="29"/>
  <c r="AY62" i="29"/>
  <c r="BA62" i="29"/>
  <c r="BB62" i="29"/>
  <c r="BC62" i="29"/>
  <c r="D63" i="29"/>
  <c r="T63" i="29"/>
  <c r="U63" i="29"/>
  <c r="V63" i="29"/>
  <c r="W63" i="29"/>
  <c r="Y63" i="29"/>
  <c r="Z63" i="29"/>
  <c r="AB63" i="29"/>
  <c r="AD63" i="29"/>
  <c r="AE63" i="29"/>
  <c r="AF63" i="29"/>
  <c r="AG63" i="29"/>
  <c r="AH63" i="29"/>
  <c r="AI63" i="29"/>
  <c r="AJ63" i="29"/>
  <c r="AK63" i="29"/>
  <c r="AN63" i="29"/>
  <c r="AX63" i="29"/>
  <c r="AY63" i="29"/>
  <c r="BA63" i="29"/>
  <c r="BB63" i="29"/>
  <c r="BC63" i="29"/>
  <c r="D64" i="29"/>
  <c r="T64" i="29"/>
  <c r="U64" i="29"/>
  <c r="V64" i="29"/>
  <c r="W64" i="29"/>
  <c r="Y64" i="29"/>
  <c r="Z64" i="29"/>
  <c r="AB64" i="29"/>
  <c r="AD64" i="29"/>
  <c r="AE64" i="29"/>
  <c r="AF64" i="29"/>
  <c r="AG64" i="29"/>
  <c r="AH64" i="29"/>
  <c r="AI64" i="29"/>
  <c r="AJ64" i="29"/>
  <c r="AK64" i="29"/>
  <c r="AN64" i="29"/>
  <c r="AX64" i="29"/>
  <c r="AY64" i="29"/>
  <c r="BA64" i="29"/>
  <c r="BB64" i="29"/>
  <c r="BC64" i="29"/>
  <c r="D65" i="29"/>
  <c r="T65" i="29"/>
  <c r="U65" i="29"/>
  <c r="V65" i="29"/>
  <c r="W65" i="29"/>
  <c r="Y65" i="29"/>
  <c r="Z65" i="29"/>
  <c r="AB65" i="29"/>
  <c r="AD65" i="29"/>
  <c r="AE65" i="29"/>
  <c r="AF65" i="29"/>
  <c r="AG65" i="29"/>
  <c r="AH65" i="29"/>
  <c r="AI65" i="29"/>
  <c r="AJ65" i="29"/>
  <c r="AK65" i="29"/>
  <c r="AN65" i="29"/>
  <c r="AX65" i="29"/>
  <c r="AY65" i="29"/>
  <c r="BA65" i="29"/>
  <c r="BB65" i="29"/>
  <c r="BC65" i="29"/>
  <c r="D66" i="29"/>
  <c r="T66" i="29"/>
  <c r="U66" i="29"/>
  <c r="V66" i="29"/>
  <c r="W66" i="29"/>
  <c r="Y66" i="29"/>
  <c r="Z66" i="29"/>
  <c r="AB66" i="29"/>
  <c r="AD66" i="29"/>
  <c r="AE66" i="29"/>
  <c r="AF66" i="29"/>
  <c r="AG66" i="29"/>
  <c r="AH66" i="29"/>
  <c r="AI66" i="29"/>
  <c r="AJ66" i="29"/>
  <c r="AK66" i="29"/>
  <c r="AN66" i="29"/>
  <c r="AX66" i="29"/>
  <c r="AY66" i="29"/>
  <c r="BA66" i="29"/>
  <c r="BB66" i="29"/>
  <c r="BC66" i="29"/>
  <c r="D67" i="29"/>
  <c r="T67" i="29"/>
  <c r="U67" i="29"/>
  <c r="V67" i="29"/>
  <c r="W67" i="29"/>
  <c r="Y67" i="29"/>
  <c r="Z67" i="29"/>
  <c r="AB67" i="29"/>
  <c r="AD67" i="29"/>
  <c r="AE67" i="29"/>
  <c r="AF67" i="29"/>
  <c r="AG67" i="29"/>
  <c r="AH67" i="29"/>
  <c r="AI67" i="29"/>
  <c r="AJ67" i="29"/>
  <c r="AK67" i="29"/>
  <c r="AN67" i="29"/>
  <c r="AX67" i="29"/>
  <c r="AY67" i="29"/>
  <c r="BA67" i="29"/>
  <c r="BB67" i="29"/>
  <c r="BC67" i="29"/>
  <c r="D68" i="29"/>
  <c r="T68" i="29"/>
  <c r="U68" i="29"/>
  <c r="V68" i="29"/>
  <c r="W68" i="29"/>
  <c r="Y68" i="29"/>
  <c r="Z68" i="29"/>
  <c r="AB68" i="29"/>
  <c r="AD68" i="29"/>
  <c r="AE68" i="29"/>
  <c r="AF68" i="29"/>
  <c r="AG68" i="29"/>
  <c r="AH68" i="29"/>
  <c r="AI68" i="29"/>
  <c r="AJ68" i="29"/>
  <c r="AK68" i="29"/>
  <c r="AN68" i="29"/>
  <c r="AX68" i="29"/>
  <c r="AY68" i="29"/>
  <c r="BA68" i="29"/>
  <c r="BB68" i="29"/>
  <c r="BC68" i="29"/>
  <c r="D69" i="29"/>
  <c r="T69" i="29"/>
  <c r="U69" i="29"/>
  <c r="V69" i="29"/>
  <c r="W69" i="29"/>
  <c r="Y69" i="29"/>
  <c r="Z69" i="29"/>
  <c r="AB69" i="29"/>
  <c r="AD69" i="29"/>
  <c r="AE69" i="29"/>
  <c r="AF69" i="29"/>
  <c r="AG69" i="29"/>
  <c r="AH69" i="29"/>
  <c r="AI69" i="29"/>
  <c r="AJ69" i="29"/>
  <c r="AK69" i="29"/>
  <c r="AN69" i="29"/>
  <c r="AX69" i="29"/>
  <c r="AY69" i="29"/>
  <c r="BA69" i="29"/>
  <c r="BB69" i="29"/>
  <c r="BC69" i="29"/>
  <c r="D70" i="29"/>
  <c r="T70" i="29"/>
  <c r="U70" i="29"/>
  <c r="V70" i="29"/>
  <c r="W70" i="29"/>
  <c r="Y70" i="29"/>
  <c r="Z70" i="29"/>
  <c r="AB70" i="29"/>
  <c r="AD70" i="29"/>
  <c r="AE70" i="29"/>
  <c r="AF70" i="29"/>
  <c r="AG70" i="29"/>
  <c r="AH70" i="29"/>
  <c r="AI70" i="29"/>
  <c r="AJ70" i="29"/>
  <c r="AK70" i="29"/>
  <c r="AN70" i="29"/>
  <c r="AX70" i="29"/>
  <c r="AY70" i="29"/>
  <c r="BA70" i="29"/>
  <c r="BB70" i="29"/>
  <c r="BC70" i="29"/>
  <c r="D71" i="29"/>
  <c r="T71" i="29"/>
  <c r="U71" i="29"/>
  <c r="V71" i="29"/>
  <c r="W71" i="29"/>
  <c r="Y71" i="29"/>
  <c r="Z71" i="29"/>
  <c r="AB71" i="29"/>
  <c r="AD71" i="29"/>
  <c r="AE71" i="29"/>
  <c r="AF71" i="29"/>
  <c r="AG71" i="29"/>
  <c r="AH71" i="29"/>
  <c r="AI71" i="29"/>
  <c r="AJ71" i="29"/>
  <c r="AK71" i="29"/>
  <c r="AN71" i="29"/>
  <c r="AX71" i="29"/>
  <c r="AY71" i="29"/>
  <c r="BA71" i="29"/>
  <c r="BB71" i="29"/>
  <c r="BC71" i="29"/>
  <c r="D72" i="29"/>
  <c r="T72" i="29"/>
  <c r="U72" i="29"/>
  <c r="V72" i="29"/>
  <c r="W72" i="29"/>
  <c r="Y72" i="29"/>
  <c r="Z72" i="29"/>
  <c r="AB72" i="29"/>
  <c r="AD72" i="29"/>
  <c r="AE72" i="29"/>
  <c r="AF72" i="29"/>
  <c r="AG72" i="29"/>
  <c r="AH72" i="29"/>
  <c r="AI72" i="29"/>
  <c r="AJ72" i="29"/>
  <c r="AK72" i="29"/>
  <c r="AN72" i="29"/>
  <c r="AX72" i="29"/>
  <c r="AY72" i="29"/>
  <c r="BA72" i="29"/>
  <c r="BB72" i="29"/>
  <c r="BC72" i="29"/>
  <c r="D73" i="29"/>
  <c r="T73" i="29"/>
  <c r="U73" i="29"/>
  <c r="V73" i="29"/>
  <c r="W73" i="29"/>
  <c r="Y73" i="29"/>
  <c r="Z73" i="29"/>
  <c r="AB73" i="29"/>
  <c r="AD73" i="29"/>
  <c r="AE73" i="29"/>
  <c r="AF73" i="29"/>
  <c r="AG73" i="29"/>
  <c r="AH73" i="29"/>
  <c r="AI73" i="29"/>
  <c r="AJ73" i="29"/>
  <c r="AK73" i="29"/>
  <c r="AN73" i="29"/>
  <c r="AX73" i="29"/>
  <c r="AY73" i="29"/>
  <c r="BA73" i="29"/>
  <c r="BB73" i="29"/>
  <c r="BC73" i="29"/>
  <c r="D74" i="29"/>
  <c r="T74" i="29"/>
  <c r="U74" i="29"/>
  <c r="V74" i="29"/>
  <c r="W74" i="29"/>
  <c r="Y74" i="29"/>
  <c r="Z74" i="29"/>
  <c r="AB74" i="29"/>
  <c r="AD74" i="29"/>
  <c r="AE74" i="29"/>
  <c r="AF74" i="29"/>
  <c r="AG74" i="29"/>
  <c r="AH74" i="29"/>
  <c r="AI74" i="29"/>
  <c r="AJ74" i="29"/>
  <c r="AK74" i="29"/>
  <c r="AN74" i="29"/>
  <c r="AX74" i="29"/>
  <c r="AY74" i="29"/>
  <c r="BA74" i="29"/>
  <c r="BB74" i="29"/>
  <c r="BC74" i="29"/>
  <c r="D75" i="29"/>
  <c r="T75" i="29"/>
  <c r="U75" i="29"/>
  <c r="V75" i="29"/>
  <c r="W75" i="29"/>
  <c r="Y75" i="29"/>
  <c r="Z75" i="29"/>
  <c r="AB75" i="29"/>
  <c r="AD75" i="29"/>
  <c r="AE75" i="29"/>
  <c r="AF75" i="29"/>
  <c r="AG75" i="29"/>
  <c r="AH75" i="29"/>
  <c r="AI75" i="29"/>
  <c r="AJ75" i="29"/>
  <c r="AK75" i="29"/>
  <c r="AN75" i="29"/>
  <c r="AX75" i="29"/>
  <c r="AY75" i="29"/>
  <c r="BA75" i="29"/>
  <c r="BB75" i="29"/>
  <c r="BC75" i="29"/>
  <c r="D76" i="29"/>
  <c r="T76" i="29"/>
  <c r="U76" i="29"/>
  <c r="V76" i="29"/>
  <c r="W76" i="29"/>
  <c r="Y76" i="29"/>
  <c r="Z76" i="29"/>
  <c r="AB76" i="29"/>
  <c r="AD76" i="29"/>
  <c r="AE76" i="29"/>
  <c r="AF76" i="29"/>
  <c r="AG76" i="29"/>
  <c r="AH76" i="29"/>
  <c r="AI76" i="29"/>
  <c r="AJ76" i="29"/>
  <c r="AK76" i="29"/>
  <c r="AN76" i="29"/>
  <c r="AX76" i="29"/>
  <c r="AY76" i="29"/>
  <c r="BA76" i="29"/>
  <c r="BB76" i="29"/>
  <c r="BC76" i="29"/>
  <c r="D77" i="29"/>
  <c r="T77" i="29"/>
  <c r="U77" i="29"/>
  <c r="V77" i="29"/>
  <c r="W77" i="29"/>
  <c r="Y77" i="29"/>
  <c r="Z77" i="29"/>
  <c r="AB77" i="29"/>
  <c r="AD77" i="29"/>
  <c r="AE77" i="29"/>
  <c r="AF77" i="29"/>
  <c r="AG77" i="29"/>
  <c r="AH77" i="29"/>
  <c r="AI77" i="29"/>
  <c r="AJ77" i="29"/>
  <c r="AK77" i="29"/>
  <c r="AN77" i="29"/>
  <c r="AX77" i="29"/>
  <c r="AY77" i="29"/>
  <c r="BA77" i="29"/>
  <c r="BB77" i="29"/>
  <c r="BC77" i="29"/>
  <c r="D78" i="29"/>
  <c r="T78" i="29"/>
  <c r="U78" i="29"/>
  <c r="V78" i="29"/>
  <c r="W78" i="29"/>
  <c r="Y78" i="29"/>
  <c r="Z78" i="29"/>
  <c r="AB78" i="29"/>
  <c r="AD78" i="29"/>
  <c r="AE78" i="29"/>
  <c r="AF78" i="29"/>
  <c r="AG78" i="29"/>
  <c r="AH78" i="29"/>
  <c r="AI78" i="29"/>
  <c r="AJ78" i="29"/>
  <c r="AK78" i="29"/>
  <c r="AN78" i="29"/>
  <c r="AX78" i="29"/>
  <c r="AY78" i="29"/>
  <c r="BA78" i="29"/>
  <c r="BB78" i="29"/>
  <c r="BC78" i="29"/>
  <c r="D79" i="29"/>
  <c r="T79" i="29"/>
  <c r="U79" i="29"/>
  <c r="V79" i="29"/>
  <c r="W79" i="29"/>
  <c r="Y79" i="29"/>
  <c r="Z79" i="29"/>
  <c r="AB79" i="29"/>
  <c r="AD79" i="29"/>
  <c r="AE79" i="29"/>
  <c r="AF79" i="29"/>
  <c r="AG79" i="29"/>
  <c r="AH79" i="29"/>
  <c r="AI79" i="29"/>
  <c r="AJ79" i="29"/>
  <c r="AK79" i="29"/>
  <c r="AN79" i="29"/>
  <c r="AX79" i="29"/>
  <c r="AY79" i="29"/>
  <c r="BA79" i="29"/>
  <c r="BB79" i="29"/>
  <c r="BC79" i="29"/>
  <c r="D80" i="29"/>
  <c r="T80" i="29"/>
  <c r="U80" i="29"/>
  <c r="V80" i="29"/>
  <c r="W80" i="29"/>
  <c r="Y80" i="29"/>
  <c r="Z80" i="29"/>
  <c r="AB80" i="29"/>
  <c r="AD80" i="29"/>
  <c r="AE80" i="29"/>
  <c r="AF80" i="29"/>
  <c r="AG80" i="29"/>
  <c r="AH80" i="29"/>
  <c r="AI80" i="29"/>
  <c r="AJ80" i="29"/>
  <c r="AK80" i="29"/>
  <c r="AN80" i="29"/>
  <c r="AX80" i="29"/>
  <c r="AY80" i="29"/>
  <c r="BA80" i="29"/>
  <c r="BB80" i="29"/>
  <c r="BC80" i="29"/>
  <c r="D81" i="29"/>
  <c r="T81" i="29"/>
  <c r="U81" i="29"/>
  <c r="V81" i="29"/>
  <c r="W81" i="29"/>
  <c r="Y81" i="29"/>
  <c r="Z81" i="29"/>
  <c r="AB81" i="29"/>
  <c r="AD81" i="29"/>
  <c r="AE81" i="29"/>
  <c r="AF81" i="29"/>
  <c r="AG81" i="29"/>
  <c r="AH81" i="29"/>
  <c r="AI81" i="29"/>
  <c r="AJ81" i="29"/>
  <c r="AK81" i="29"/>
  <c r="AN81" i="29"/>
  <c r="AX81" i="29"/>
  <c r="AY81" i="29"/>
  <c r="BA81" i="29"/>
  <c r="BB81" i="29"/>
  <c r="BC81" i="29"/>
  <c r="D82" i="29"/>
  <c r="T82" i="29"/>
  <c r="U82" i="29"/>
  <c r="V82" i="29"/>
  <c r="W82" i="29"/>
  <c r="Y82" i="29"/>
  <c r="Z82" i="29"/>
  <c r="AB82" i="29"/>
  <c r="AD82" i="29"/>
  <c r="AE82" i="29"/>
  <c r="AF82" i="29"/>
  <c r="AG82" i="29"/>
  <c r="AH82" i="29"/>
  <c r="AI82" i="29"/>
  <c r="AJ82" i="29"/>
  <c r="AK82" i="29"/>
  <c r="AN82" i="29"/>
  <c r="AX82" i="29"/>
  <c r="AY82" i="29"/>
  <c r="BA82" i="29"/>
  <c r="BB82" i="29"/>
  <c r="BC82" i="29"/>
  <c r="D83" i="29"/>
  <c r="T83" i="29"/>
  <c r="U83" i="29"/>
  <c r="V83" i="29"/>
  <c r="W83" i="29"/>
  <c r="Y83" i="29"/>
  <c r="Z83" i="29"/>
  <c r="AB83" i="29"/>
  <c r="AD83" i="29"/>
  <c r="AE83" i="29"/>
  <c r="AF83" i="29"/>
  <c r="AG83" i="29"/>
  <c r="AH83" i="29"/>
  <c r="AI83" i="29"/>
  <c r="AJ83" i="29"/>
  <c r="AK83" i="29"/>
  <c r="AN83" i="29"/>
  <c r="AX83" i="29"/>
  <c r="AY83" i="29"/>
  <c r="BA83" i="29"/>
  <c r="BB83" i="29"/>
  <c r="BC83" i="29"/>
  <c r="D84" i="29"/>
  <c r="T84" i="29"/>
  <c r="U84" i="29"/>
  <c r="V84" i="29"/>
  <c r="W84" i="29"/>
  <c r="Y84" i="29"/>
  <c r="Z84" i="29"/>
  <c r="AB84" i="29"/>
  <c r="AD84" i="29"/>
  <c r="AE84" i="29"/>
  <c r="AF84" i="29"/>
  <c r="AG84" i="29"/>
  <c r="AH84" i="29"/>
  <c r="AI84" i="29"/>
  <c r="AJ84" i="29"/>
  <c r="AK84" i="29"/>
  <c r="AN84" i="29"/>
  <c r="AX84" i="29"/>
  <c r="AY84" i="29"/>
  <c r="BA84" i="29"/>
  <c r="BB84" i="29"/>
  <c r="BC84" i="29"/>
  <c r="D85" i="29"/>
  <c r="T85" i="29"/>
  <c r="U85" i="29"/>
  <c r="V85" i="29"/>
  <c r="W85" i="29"/>
  <c r="Y85" i="29"/>
  <c r="Z85" i="29"/>
  <c r="AB85" i="29"/>
  <c r="AD85" i="29"/>
  <c r="AE85" i="29"/>
  <c r="AF85" i="29"/>
  <c r="AG85" i="29"/>
  <c r="AH85" i="29"/>
  <c r="AI85" i="29"/>
  <c r="AJ85" i="29"/>
  <c r="AK85" i="29"/>
  <c r="AN85" i="29"/>
  <c r="AX85" i="29"/>
  <c r="AY85" i="29"/>
  <c r="BA85" i="29"/>
  <c r="BB85" i="29"/>
  <c r="BC85" i="29"/>
  <c r="D86" i="29"/>
  <c r="T86" i="29"/>
  <c r="U86" i="29"/>
  <c r="V86" i="29"/>
  <c r="W86" i="29"/>
  <c r="Y86" i="29"/>
  <c r="Z86" i="29"/>
  <c r="AB86" i="29"/>
  <c r="AD86" i="29"/>
  <c r="AE86" i="29"/>
  <c r="AF86" i="29"/>
  <c r="AG86" i="29"/>
  <c r="AH86" i="29"/>
  <c r="AI86" i="29"/>
  <c r="AJ86" i="29"/>
  <c r="AK86" i="29"/>
  <c r="AN86" i="29"/>
  <c r="AX86" i="29"/>
  <c r="AY86" i="29"/>
  <c r="BA86" i="29"/>
  <c r="BB86" i="29"/>
  <c r="BC86" i="29"/>
  <c r="D87" i="29"/>
  <c r="T87" i="29"/>
  <c r="U87" i="29"/>
  <c r="V87" i="29"/>
  <c r="W87" i="29"/>
  <c r="Y87" i="29"/>
  <c r="Z87" i="29"/>
  <c r="AB87" i="29"/>
  <c r="AD87" i="29"/>
  <c r="AE87" i="29"/>
  <c r="AF87" i="29"/>
  <c r="AG87" i="29"/>
  <c r="AH87" i="29"/>
  <c r="AI87" i="29"/>
  <c r="AJ87" i="29"/>
  <c r="AK87" i="29"/>
  <c r="AN87" i="29"/>
  <c r="AX87" i="29"/>
  <c r="AY87" i="29"/>
  <c r="BA87" i="29"/>
  <c r="BB87" i="29"/>
  <c r="BC87" i="29"/>
  <c r="D88" i="29"/>
  <c r="T88" i="29"/>
  <c r="U88" i="29"/>
  <c r="V88" i="29"/>
  <c r="W88" i="29"/>
  <c r="Y88" i="29"/>
  <c r="Z88" i="29"/>
  <c r="AB88" i="29"/>
  <c r="AD88" i="29"/>
  <c r="AE88" i="29"/>
  <c r="AF88" i="29"/>
  <c r="AG88" i="29"/>
  <c r="AH88" i="29"/>
  <c r="AI88" i="29"/>
  <c r="AJ88" i="29"/>
  <c r="AK88" i="29"/>
  <c r="AN88" i="29"/>
  <c r="AX88" i="29"/>
  <c r="AY88" i="29"/>
  <c r="BA88" i="29"/>
  <c r="BB88" i="29"/>
  <c r="BC88" i="29"/>
  <c r="D89" i="29"/>
  <c r="T89" i="29"/>
  <c r="U89" i="29"/>
  <c r="V89" i="29"/>
  <c r="W89" i="29"/>
  <c r="Y89" i="29"/>
  <c r="Z89" i="29"/>
  <c r="AB89" i="29"/>
  <c r="AD89" i="29"/>
  <c r="AE89" i="29"/>
  <c r="AF89" i="29"/>
  <c r="AG89" i="29"/>
  <c r="AH89" i="29"/>
  <c r="AI89" i="29"/>
  <c r="AJ89" i="29"/>
  <c r="AK89" i="29"/>
  <c r="AN89" i="29"/>
  <c r="AX89" i="29"/>
  <c r="AY89" i="29"/>
  <c r="BA89" i="29"/>
  <c r="BB89" i="29"/>
  <c r="BC89" i="29"/>
  <c r="D90" i="29"/>
  <c r="T90" i="29"/>
  <c r="U90" i="29"/>
  <c r="V90" i="29"/>
  <c r="W90" i="29"/>
  <c r="Y90" i="29"/>
  <c r="Z90" i="29"/>
  <c r="AB90" i="29"/>
  <c r="AD90" i="29"/>
  <c r="AE90" i="29"/>
  <c r="AF90" i="29"/>
  <c r="AG90" i="29"/>
  <c r="AH90" i="29"/>
  <c r="AI90" i="29"/>
  <c r="AJ90" i="29"/>
  <c r="AK90" i="29"/>
  <c r="AN90" i="29"/>
  <c r="AX90" i="29"/>
  <c r="AY90" i="29"/>
  <c r="BA90" i="29"/>
  <c r="BB90" i="29"/>
  <c r="BC90" i="29"/>
  <c r="D91" i="29"/>
  <c r="T91" i="29"/>
  <c r="U91" i="29"/>
  <c r="V91" i="29"/>
  <c r="W91" i="29"/>
  <c r="Y91" i="29"/>
  <c r="Z91" i="29"/>
  <c r="AB91" i="29"/>
  <c r="AD91" i="29"/>
  <c r="AE91" i="29"/>
  <c r="AF91" i="29"/>
  <c r="AG91" i="29"/>
  <c r="AH91" i="29"/>
  <c r="AI91" i="29"/>
  <c r="AJ91" i="29"/>
  <c r="AK91" i="29"/>
  <c r="AN91" i="29"/>
  <c r="AX91" i="29"/>
  <c r="AY91" i="29"/>
  <c r="BA91" i="29"/>
  <c r="BB91" i="29"/>
  <c r="BC91" i="29"/>
  <c r="D92" i="29"/>
  <c r="T92" i="29"/>
  <c r="U92" i="29"/>
  <c r="V92" i="29"/>
  <c r="W92" i="29"/>
  <c r="Y92" i="29"/>
  <c r="Z92" i="29"/>
  <c r="AB92" i="29"/>
  <c r="AD92" i="29"/>
  <c r="AE92" i="29"/>
  <c r="AF92" i="29"/>
  <c r="AG92" i="29"/>
  <c r="AH92" i="29"/>
  <c r="AI92" i="29"/>
  <c r="AJ92" i="29"/>
  <c r="AK92" i="29"/>
  <c r="AN92" i="29"/>
  <c r="AX92" i="29"/>
  <c r="AY92" i="29"/>
  <c r="BA92" i="29"/>
  <c r="BB92" i="29"/>
  <c r="BC92" i="29"/>
  <c r="D93" i="29"/>
  <c r="T93" i="29"/>
  <c r="U93" i="29"/>
  <c r="V93" i="29"/>
  <c r="W93" i="29"/>
  <c r="Y93" i="29"/>
  <c r="Z93" i="29"/>
  <c r="AB93" i="29"/>
  <c r="AD93" i="29"/>
  <c r="AE93" i="29"/>
  <c r="AF93" i="29"/>
  <c r="AG93" i="29"/>
  <c r="AH93" i="29"/>
  <c r="AI93" i="29"/>
  <c r="AJ93" i="29"/>
  <c r="AK93" i="29"/>
  <c r="AN93" i="29"/>
  <c r="AX93" i="29"/>
  <c r="AY93" i="29"/>
  <c r="BA93" i="29"/>
  <c r="BB93" i="29"/>
  <c r="BC93" i="29"/>
  <c r="D94" i="29"/>
  <c r="T94" i="29"/>
  <c r="U94" i="29"/>
  <c r="V94" i="29"/>
  <c r="W94" i="29"/>
  <c r="Y94" i="29"/>
  <c r="Z94" i="29"/>
  <c r="AB94" i="29"/>
  <c r="AD94" i="29"/>
  <c r="AE94" i="29"/>
  <c r="AF94" i="29"/>
  <c r="AG94" i="29"/>
  <c r="AH94" i="29"/>
  <c r="AI94" i="29"/>
  <c r="AJ94" i="29"/>
  <c r="AK94" i="29"/>
  <c r="AN94" i="29"/>
  <c r="AX94" i="29"/>
  <c r="AY94" i="29"/>
  <c r="BA94" i="29"/>
  <c r="BB94" i="29"/>
  <c r="BC94" i="29"/>
  <c r="D95" i="29"/>
  <c r="T95" i="29"/>
  <c r="U95" i="29"/>
  <c r="V95" i="29"/>
  <c r="W95" i="29"/>
  <c r="Y95" i="29"/>
  <c r="Z95" i="29"/>
  <c r="AB95" i="29"/>
  <c r="AD95" i="29"/>
  <c r="AE95" i="29"/>
  <c r="AF95" i="29"/>
  <c r="AG95" i="29"/>
  <c r="AH95" i="29"/>
  <c r="AI95" i="29"/>
  <c r="AJ95" i="29"/>
  <c r="AK95" i="29"/>
  <c r="AN95" i="29"/>
  <c r="AX95" i="29"/>
  <c r="AY95" i="29"/>
  <c r="BA95" i="29"/>
  <c r="BB95" i="29"/>
  <c r="BC95" i="29"/>
  <c r="D96" i="29"/>
  <c r="T96" i="29"/>
  <c r="U96" i="29"/>
  <c r="V96" i="29"/>
  <c r="W96" i="29"/>
  <c r="Y96" i="29"/>
  <c r="Z96" i="29"/>
  <c r="AB96" i="29"/>
  <c r="AD96" i="29"/>
  <c r="AE96" i="29"/>
  <c r="AF96" i="29"/>
  <c r="AG96" i="29"/>
  <c r="AH96" i="29"/>
  <c r="AI96" i="29"/>
  <c r="AJ96" i="29"/>
  <c r="AK96" i="29"/>
  <c r="AN96" i="29"/>
  <c r="AX96" i="29"/>
  <c r="AY96" i="29"/>
  <c r="BA96" i="29"/>
  <c r="BB96" i="29"/>
  <c r="BC96" i="29"/>
  <c r="D97" i="29"/>
  <c r="T97" i="29"/>
  <c r="U97" i="29"/>
  <c r="V97" i="29"/>
  <c r="W97" i="29"/>
  <c r="Y97" i="29"/>
  <c r="Z97" i="29"/>
  <c r="AB97" i="29"/>
  <c r="AD97" i="29"/>
  <c r="AE97" i="29"/>
  <c r="AF97" i="29"/>
  <c r="AG97" i="29"/>
  <c r="AH97" i="29"/>
  <c r="AI97" i="29"/>
  <c r="AJ97" i="29"/>
  <c r="AK97" i="29"/>
  <c r="AN97" i="29"/>
  <c r="AX97" i="29"/>
  <c r="AY97" i="29"/>
  <c r="BA97" i="29"/>
  <c r="BB97" i="29"/>
  <c r="BC97" i="29"/>
  <c r="D98" i="29"/>
  <c r="T98" i="29"/>
  <c r="U98" i="29"/>
  <c r="V98" i="29"/>
  <c r="W98" i="29"/>
  <c r="Y98" i="29"/>
  <c r="Z98" i="29"/>
  <c r="AB98" i="29"/>
  <c r="AD98" i="29"/>
  <c r="AE98" i="29"/>
  <c r="AF98" i="29"/>
  <c r="AG98" i="29"/>
  <c r="AH98" i="29"/>
  <c r="AI98" i="29"/>
  <c r="AJ98" i="29"/>
  <c r="AK98" i="29"/>
  <c r="AN98" i="29"/>
  <c r="AX98" i="29"/>
  <c r="AY98" i="29"/>
  <c r="BA98" i="29"/>
  <c r="BB98" i="29"/>
  <c r="BC98" i="29"/>
  <c r="D99" i="29"/>
  <c r="T99" i="29"/>
  <c r="U99" i="29"/>
  <c r="V99" i="29"/>
  <c r="W99" i="29"/>
  <c r="Y99" i="29"/>
  <c r="Z99" i="29"/>
  <c r="AB99" i="29"/>
  <c r="AD99" i="29"/>
  <c r="AE99" i="29"/>
  <c r="AF99" i="29"/>
  <c r="AG99" i="29"/>
  <c r="AH99" i="29"/>
  <c r="AI99" i="29"/>
  <c r="AJ99" i="29"/>
  <c r="AK99" i="29"/>
  <c r="AN99" i="29"/>
  <c r="AX99" i="29"/>
  <c r="AY99" i="29"/>
  <c r="BA99" i="29"/>
  <c r="BB99" i="29"/>
  <c r="BC99" i="29"/>
  <c r="D100" i="29"/>
  <c r="T100" i="29"/>
  <c r="U100" i="29"/>
  <c r="V100" i="29"/>
  <c r="W100" i="29"/>
  <c r="Y100" i="29"/>
  <c r="Z100" i="29"/>
  <c r="AB100" i="29"/>
  <c r="AD100" i="29"/>
  <c r="AE100" i="29"/>
  <c r="AF100" i="29"/>
  <c r="AG100" i="29"/>
  <c r="AH100" i="29"/>
  <c r="AI100" i="29"/>
  <c r="AJ100" i="29"/>
  <c r="AK100" i="29"/>
  <c r="AN100" i="29"/>
  <c r="AX100" i="29"/>
  <c r="AY100" i="29"/>
  <c r="BA100" i="29"/>
  <c r="BB100" i="29"/>
  <c r="BC100" i="29"/>
  <c r="D101" i="29"/>
  <c r="T101" i="29"/>
  <c r="U101" i="29"/>
  <c r="V101" i="29"/>
  <c r="W101" i="29"/>
  <c r="Y101" i="29"/>
  <c r="Z101" i="29"/>
  <c r="AB101" i="29"/>
  <c r="AD101" i="29"/>
  <c r="AE101" i="29"/>
  <c r="AF101" i="29"/>
  <c r="AG101" i="29"/>
  <c r="AH101" i="29"/>
  <c r="AI101" i="29"/>
  <c r="AJ101" i="29"/>
  <c r="AK101" i="29"/>
  <c r="AN101" i="29"/>
  <c r="AX101" i="29"/>
  <c r="AY101" i="29"/>
  <c r="BA101" i="29"/>
  <c r="BB101" i="29"/>
  <c r="BC101" i="29"/>
  <c r="D102" i="29"/>
  <c r="T102" i="29"/>
  <c r="U102" i="29"/>
  <c r="V102" i="29"/>
  <c r="W102" i="29"/>
  <c r="Y102" i="29"/>
  <c r="Z102" i="29"/>
  <c r="AB102" i="29"/>
  <c r="AD102" i="29"/>
  <c r="AE102" i="29"/>
  <c r="AF102" i="29"/>
  <c r="AG102" i="29"/>
  <c r="AH102" i="29"/>
  <c r="AI102" i="29"/>
  <c r="AJ102" i="29"/>
  <c r="AK102" i="29"/>
  <c r="AN102" i="29"/>
  <c r="AX102" i="29"/>
  <c r="AY102" i="29"/>
  <c r="BA102" i="29"/>
  <c r="BB102" i="29"/>
  <c r="BC102" i="29"/>
  <c r="D103" i="29"/>
  <c r="T103" i="29"/>
  <c r="U103" i="29"/>
  <c r="V103" i="29"/>
  <c r="W103" i="29"/>
  <c r="Y103" i="29"/>
  <c r="Z103" i="29"/>
  <c r="AB103" i="29"/>
  <c r="AD103" i="29"/>
  <c r="AE103" i="29"/>
  <c r="AF103" i="29"/>
  <c r="AG103" i="29"/>
  <c r="AH103" i="29"/>
  <c r="AI103" i="29"/>
  <c r="AJ103" i="29"/>
  <c r="AK103" i="29"/>
  <c r="AN103" i="29"/>
  <c r="AX103" i="29"/>
  <c r="AY103" i="29"/>
  <c r="BA103" i="29"/>
  <c r="BB103" i="29"/>
  <c r="BC103" i="29"/>
  <c r="D104" i="29"/>
  <c r="T104" i="29"/>
  <c r="U104" i="29"/>
  <c r="V104" i="29"/>
  <c r="W104" i="29"/>
  <c r="Y104" i="29"/>
  <c r="Z104" i="29"/>
  <c r="AB104" i="29"/>
  <c r="AD104" i="29"/>
  <c r="AE104" i="29"/>
  <c r="AF104" i="29"/>
  <c r="AG104" i="29"/>
  <c r="AH104" i="29"/>
  <c r="AI104" i="29"/>
  <c r="AJ104" i="29"/>
  <c r="AK104" i="29"/>
  <c r="AN104" i="29"/>
  <c r="AX104" i="29"/>
  <c r="AY104" i="29"/>
  <c r="BA104" i="29"/>
  <c r="BB104" i="29"/>
  <c r="BC104" i="29"/>
  <c r="D109" i="29"/>
  <c r="T109" i="29"/>
  <c r="U109" i="29"/>
  <c r="V109" i="29"/>
  <c r="W109" i="29"/>
  <c r="Y109" i="29"/>
  <c r="Z109" i="29"/>
  <c r="AB109" i="29"/>
  <c r="AD109" i="29"/>
  <c r="AE109" i="29"/>
  <c r="AF109" i="29"/>
  <c r="AG109" i="29"/>
  <c r="AH109" i="29"/>
  <c r="AI109" i="29"/>
  <c r="AJ109" i="29"/>
  <c r="AK109" i="29"/>
  <c r="AN109" i="29"/>
  <c r="AX109" i="29"/>
  <c r="AY109" i="29"/>
  <c r="BA109" i="29"/>
  <c r="BB109" i="29"/>
  <c r="BC109" i="29"/>
  <c r="D110" i="29"/>
  <c r="T110" i="29"/>
  <c r="U110" i="29"/>
  <c r="V110" i="29"/>
  <c r="W110" i="29"/>
  <c r="Y110" i="29"/>
  <c r="Z110" i="29"/>
  <c r="AB110" i="29"/>
  <c r="AD110" i="29"/>
  <c r="AE110" i="29"/>
  <c r="AF110" i="29"/>
  <c r="AG110" i="29"/>
  <c r="AH110" i="29"/>
  <c r="AI110" i="29"/>
  <c r="AJ110" i="29"/>
  <c r="AK110" i="29"/>
  <c r="AN110" i="29"/>
  <c r="AX110" i="29"/>
  <c r="AY110" i="29"/>
  <c r="BA110" i="29"/>
  <c r="BB110" i="29"/>
  <c r="BC110" i="29"/>
  <c r="D111" i="29"/>
  <c r="T111" i="29"/>
  <c r="U111" i="29"/>
  <c r="V111" i="29"/>
  <c r="W111" i="29"/>
  <c r="Y111" i="29"/>
  <c r="Z111" i="29"/>
  <c r="AB111" i="29"/>
  <c r="AD111" i="29"/>
  <c r="AE111" i="29"/>
  <c r="AF111" i="29"/>
  <c r="AG111" i="29"/>
  <c r="AH111" i="29"/>
  <c r="AI111" i="29"/>
  <c r="AJ111" i="29"/>
  <c r="AK111" i="29"/>
  <c r="AN111" i="29"/>
  <c r="AX111" i="29"/>
  <c r="AY111" i="29"/>
  <c r="BA111" i="29"/>
  <c r="BB111" i="29"/>
  <c r="BC111" i="29"/>
  <c r="D112" i="29"/>
  <c r="T112" i="29"/>
  <c r="U112" i="29"/>
  <c r="V112" i="29"/>
  <c r="W112" i="29"/>
  <c r="Y112" i="29"/>
  <c r="Z112" i="29"/>
  <c r="AB112" i="29"/>
  <c r="AD112" i="29"/>
  <c r="AE112" i="29"/>
  <c r="AF112" i="29"/>
  <c r="AG112" i="29"/>
  <c r="AH112" i="29"/>
  <c r="AI112" i="29"/>
  <c r="AJ112" i="29"/>
  <c r="AK112" i="29"/>
  <c r="AN112" i="29"/>
  <c r="AX112" i="29"/>
  <c r="AY112" i="29"/>
  <c r="BA112" i="29"/>
  <c r="BB112" i="29"/>
  <c r="BC112" i="29"/>
  <c r="D113" i="29"/>
  <c r="T113" i="29"/>
  <c r="U113" i="29"/>
  <c r="V113" i="29"/>
  <c r="W113" i="29"/>
  <c r="Y113" i="29"/>
  <c r="Z113" i="29"/>
  <c r="AB113" i="29"/>
  <c r="AD113" i="29"/>
  <c r="AE113" i="29"/>
  <c r="AF113" i="29"/>
  <c r="AG113" i="29"/>
  <c r="AH113" i="29"/>
  <c r="AI113" i="29"/>
  <c r="AJ113" i="29"/>
  <c r="AK113" i="29"/>
  <c r="AN113" i="29"/>
  <c r="AX113" i="29"/>
  <c r="AY113" i="29"/>
  <c r="BA113" i="29"/>
  <c r="BB113" i="29"/>
  <c r="BC113" i="29"/>
  <c r="D114" i="29"/>
  <c r="T114" i="29"/>
  <c r="U114" i="29"/>
  <c r="V114" i="29"/>
  <c r="W114" i="29"/>
  <c r="Y114" i="29"/>
  <c r="Z114" i="29"/>
  <c r="AB114" i="29"/>
  <c r="AD114" i="29"/>
  <c r="AE114" i="29"/>
  <c r="AF114" i="29"/>
  <c r="AG114" i="29"/>
  <c r="AH114" i="29"/>
  <c r="AI114" i="29"/>
  <c r="AJ114" i="29"/>
  <c r="AK114" i="29"/>
  <c r="AN114" i="29"/>
  <c r="AX114" i="29"/>
  <c r="AY114" i="29"/>
  <c r="BA114" i="29"/>
  <c r="BB114" i="29"/>
  <c r="BC114" i="29"/>
  <c r="D115" i="29"/>
  <c r="T115" i="29"/>
  <c r="U115" i="29"/>
  <c r="V115" i="29"/>
  <c r="W115" i="29"/>
  <c r="Y115" i="29"/>
  <c r="Z115" i="29"/>
  <c r="AB115" i="29"/>
  <c r="AD115" i="29"/>
  <c r="AE115" i="29"/>
  <c r="AF115" i="29"/>
  <c r="AG115" i="29"/>
  <c r="AH115" i="29"/>
  <c r="AI115" i="29"/>
  <c r="AJ115" i="29"/>
  <c r="AK115" i="29"/>
  <c r="AN115" i="29"/>
  <c r="AX115" i="29"/>
  <c r="AY115" i="29"/>
  <c r="BA115" i="29"/>
  <c r="BB115" i="29"/>
  <c r="BC115" i="29"/>
  <c r="D116" i="29"/>
  <c r="T116" i="29"/>
  <c r="U116" i="29"/>
  <c r="V116" i="29"/>
  <c r="W116" i="29"/>
  <c r="Y116" i="29"/>
  <c r="Z116" i="29"/>
  <c r="AB116" i="29"/>
  <c r="AD116" i="29"/>
  <c r="AE116" i="29"/>
  <c r="AF116" i="29"/>
  <c r="AG116" i="29"/>
  <c r="AH116" i="29"/>
  <c r="AI116" i="29"/>
  <c r="AJ116" i="29"/>
  <c r="AK116" i="29"/>
  <c r="AN116" i="29"/>
  <c r="AX116" i="29"/>
  <c r="AY116" i="29"/>
  <c r="BA116" i="29"/>
  <c r="BB116" i="29"/>
  <c r="BC116" i="29"/>
  <c r="D117" i="29"/>
  <c r="T117" i="29"/>
  <c r="U117" i="29"/>
  <c r="V117" i="29"/>
  <c r="W117" i="29"/>
  <c r="Y117" i="29"/>
  <c r="Z117" i="29"/>
  <c r="AB117" i="29"/>
  <c r="AD117" i="29"/>
  <c r="AE117" i="29"/>
  <c r="AF117" i="29"/>
  <c r="AG117" i="29"/>
  <c r="AH117" i="29"/>
  <c r="AI117" i="29"/>
  <c r="AJ117" i="29"/>
  <c r="AK117" i="29"/>
  <c r="AN117" i="29"/>
  <c r="AX117" i="29"/>
  <c r="AY117" i="29"/>
  <c r="BA117" i="29"/>
  <c r="BB117" i="29"/>
  <c r="BC117" i="29"/>
  <c r="D118" i="29"/>
  <c r="T118" i="29"/>
  <c r="U118" i="29"/>
  <c r="V118" i="29"/>
  <c r="W118" i="29"/>
  <c r="Y118" i="29"/>
  <c r="Z118" i="29"/>
  <c r="AB118" i="29"/>
  <c r="AD118" i="29"/>
  <c r="AE118" i="29"/>
  <c r="AF118" i="29"/>
  <c r="AG118" i="29"/>
  <c r="AH118" i="29"/>
  <c r="AI118" i="29"/>
  <c r="AJ118" i="29"/>
  <c r="AK118" i="29"/>
  <c r="AN118" i="29"/>
  <c r="AX118" i="29"/>
  <c r="AY118" i="29"/>
  <c r="BA118" i="29"/>
  <c r="BB118" i="29"/>
  <c r="BC118" i="29"/>
  <c r="D119" i="29"/>
  <c r="T119" i="29"/>
  <c r="U119" i="29"/>
  <c r="V119" i="29"/>
  <c r="W119" i="29"/>
  <c r="Y119" i="29"/>
  <c r="Z119" i="29"/>
  <c r="AB119" i="29"/>
  <c r="AD119" i="29"/>
  <c r="AE119" i="29"/>
  <c r="AF119" i="29"/>
  <c r="AG119" i="29"/>
  <c r="AH119" i="29"/>
  <c r="AI119" i="29"/>
  <c r="AJ119" i="29"/>
  <c r="AK119" i="29"/>
  <c r="AN119" i="29"/>
  <c r="AX119" i="29"/>
  <c r="AY119" i="29"/>
  <c r="BA119" i="29"/>
  <c r="BB119" i="29"/>
  <c r="BC119" i="29"/>
  <c r="D120" i="29"/>
  <c r="T120" i="29"/>
  <c r="U120" i="29"/>
  <c r="V120" i="29"/>
  <c r="W120" i="29"/>
  <c r="Y120" i="29"/>
  <c r="Z120" i="29"/>
  <c r="AB120" i="29"/>
  <c r="AD120" i="29"/>
  <c r="AE120" i="29"/>
  <c r="AF120" i="29"/>
  <c r="AG120" i="29"/>
  <c r="AH120" i="29"/>
  <c r="AI120" i="29"/>
  <c r="AJ120" i="29"/>
  <c r="AK120" i="29"/>
  <c r="AN120" i="29"/>
  <c r="AX120" i="29"/>
  <c r="AY120" i="29"/>
  <c r="BA120" i="29"/>
  <c r="BB120" i="29"/>
  <c r="BC120" i="29"/>
  <c r="D121" i="29"/>
  <c r="T121" i="29"/>
  <c r="U121" i="29"/>
  <c r="V121" i="29"/>
  <c r="W121" i="29"/>
  <c r="Y121" i="29"/>
  <c r="Z121" i="29"/>
  <c r="AB121" i="29"/>
  <c r="AD121" i="29"/>
  <c r="AE121" i="29"/>
  <c r="AF121" i="29"/>
  <c r="AG121" i="29"/>
  <c r="AH121" i="29"/>
  <c r="AI121" i="29"/>
  <c r="AJ121" i="29"/>
  <c r="AK121" i="29"/>
  <c r="AN121" i="29"/>
  <c r="AX121" i="29"/>
  <c r="AY121" i="29"/>
  <c r="BA121" i="29"/>
  <c r="BB121" i="29"/>
  <c r="BC121" i="29"/>
  <c r="D122" i="29"/>
  <c r="T122" i="29"/>
  <c r="U122" i="29"/>
  <c r="V122" i="29"/>
  <c r="W122" i="29"/>
  <c r="Y122" i="29"/>
  <c r="Z122" i="29"/>
  <c r="AB122" i="29"/>
  <c r="AD122" i="29"/>
  <c r="AE122" i="29"/>
  <c r="AF122" i="29"/>
  <c r="AG122" i="29"/>
  <c r="AH122" i="29"/>
  <c r="AI122" i="29"/>
  <c r="AJ122" i="29"/>
  <c r="AK122" i="29"/>
  <c r="AN122" i="29"/>
  <c r="AX122" i="29"/>
  <c r="AY122" i="29"/>
  <c r="BA122" i="29"/>
  <c r="BB122" i="29"/>
  <c r="BC122" i="29"/>
  <c r="D123" i="29"/>
  <c r="T123" i="29"/>
  <c r="U123" i="29"/>
  <c r="V123" i="29"/>
  <c r="W123" i="29"/>
  <c r="Y123" i="29"/>
  <c r="Z123" i="29"/>
  <c r="AB123" i="29"/>
  <c r="AD123" i="29"/>
  <c r="AE123" i="29"/>
  <c r="AF123" i="29"/>
  <c r="AG123" i="29"/>
  <c r="AH123" i="29"/>
  <c r="AI123" i="29"/>
  <c r="AJ123" i="29"/>
  <c r="AK123" i="29"/>
  <c r="AN123" i="29"/>
  <c r="AX123" i="29"/>
  <c r="AY123" i="29"/>
  <c r="BA123" i="29"/>
  <c r="BB123" i="29"/>
  <c r="BC123" i="29"/>
  <c r="D124" i="29"/>
  <c r="T124" i="29"/>
  <c r="U124" i="29"/>
  <c r="V124" i="29"/>
  <c r="W124" i="29"/>
  <c r="Y124" i="29"/>
  <c r="Z124" i="29"/>
  <c r="AB124" i="29"/>
  <c r="AD124" i="29"/>
  <c r="AE124" i="29"/>
  <c r="AF124" i="29"/>
  <c r="AG124" i="29"/>
  <c r="AH124" i="29"/>
  <c r="AI124" i="29"/>
  <c r="AJ124" i="29"/>
  <c r="AK124" i="29"/>
  <c r="AN124" i="29"/>
  <c r="AX124" i="29"/>
  <c r="AY124" i="29"/>
  <c r="BA124" i="29"/>
  <c r="BB124" i="29"/>
  <c r="BC124" i="29"/>
  <c r="D125" i="29"/>
  <c r="T125" i="29"/>
  <c r="U125" i="29"/>
  <c r="V125" i="29"/>
  <c r="W125" i="29"/>
  <c r="Y125" i="29"/>
  <c r="Z125" i="29"/>
  <c r="AB125" i="29"/>
  <c r="AD125" i="29"/>
  <c r="AE125" i="29"/>
  <c r="AF125" i="29"/>
  <c r="AG125" i="29"/>
  <c r="AH125" i="29"/>
  <c r="AI125" i="29"/>
  <c r="AJ125" i="29"/>
  <c r="AK125" i="29"/>
  <c r="AN125" i="29"/>
  <c r="AX125" i="29"/>
  <c r="AY125" i="29"/>
  <c r="BA125" i="29"/>
  <c r="BB125" i="29"/>
  <c r="BC125" i="29"/>
  <c r="D126" i="29"/>
  <c r="T126" i="29"/>
  <c r="U126" i="29"/>
  <c r="V126" i="29"/>
  <c r="W126" i="29"/>
  <c r="Y126" i="29"/>
  <c r="Z126" i="29"/>
  <c r="AB126" i="29"/>
  <c r="AD126" i="29"/>
  <c r="AE126" i="29"/>
  <c r="AF126" i="29"/>
  <c r="AG126" i="29"/>
  <c r="AH126" i="29"/>
  <c r="AI126" i="29"/>
  <c r="AJ126" i="29"/>
  <c r="AK126" i="29"/>
  <c r="AN126" i="29"/>
  <c r="AX126" i="29"/>
  <c r="AY126" i="29"/>
  <c r="BA126" i="29"/>
  <c r="BB126" i="29"/>
  <c r="BC126" i="29"/>
  <c r="D127" i="29"/>
  <c r="T127" i="29"/>
  <c r="U127" i="29"/>
  <c r="V127" i="29"/>
  <c r="W127" i="29"/>
  <c r="Y127" i="29"/>
  <c r="Z127" i="29"/>
  <c r="AB127" i="29"/>
  <c r="AD127" i="29"/>
  <c r="AE127" i="29"/>
  <c r="AF127" i="29"/>
  <c r="AG127" i="29"/>
  <c r="AH127" i="29"/>
  <c r="AI127" i="29"/>
  <c r="AJ127" i="29"/>
  <c r="AK127" i="29"/>
  <c r="AN127" i="29"/>
  <c r="AX127" i="29"/>
  <c r="AY127" i="29"/>
  <c r="BA127" i="29"/>
  <c r="BB127" i="29"/>
  <c r="BC127" i="29"/>
  <c r="D128" i="29"/>
  <c r="T128" i="29"/>
  <c r="U128" i="29"/>
  <c r="V128" i="29"/>
  <c r="W128" i="29"/>
  <c r="Y128" i="29"/>
  <c r="Z128" i="29"/>
  <c r="AB128" i="29"/>
  <c r="AD128" i="29"/>
  <c r="AE128" i="29"/>
  <c r="AF128" i="29"/>
  <c r="AG128" i="29"/>
  <c r="AH128" i="29"/>
  <c r="AI128" i="29"/>
  <c r="AJ128" i="29"/>
  <c r="AK128" i="29"/>
  <c r="AN128" i="29"/>
  <c r="AX128" i="29"/>
  <c r="AY128" i="29"/>
  <c r="BA128" i="29"/>
  <c r="BB128" i="29"/>
  <c r="BC128" i="29"/>
  <c r="D129" i="29"/>
  <c r="T129" i="29"/>
  <c r="U129" i="29"/>
  <c r="V129" i="29"/>
  <c r="W129" i="29"/>
  <c r="Y129" i="29"/>
  <c r="Z129" i="29"/>
  <c r="AB129" i="29"/>
  <c r="AD129" i="29"/>
  <c r="AE129" i="29"/>
  <c r="AF129" i="29"/>
  <c r="AG129" i="29"/>
  <c r="AH129" i="29"/>
  <c r="AI129" i="29"/>
  <c r="AJ129" i="29"/>
  <c r="AK129" i="29"/>
  <c r="AN129" i="29"/>
  <c r="AX129" i="29"/>
  <c r="AY129" i="29"/>
  <c r="BA129" i="29"/>
  <c r="BB129" i="29"/>
  <c r="BC129" i="29"/>
  <c r="D130" i="29"/>
  <c r="T130" i="29"/>
  <c r="U130" i="29"/>
  <c r="V130" i="29"/>
  <c r="W130" i="29"/>
  <c r="Y130" i="29"/>
  <c r="Z130" i="29"/>
  <c r="AB130" i="29"/>
  <c r="AD130" i="29"/>
  <c r="AE130" i="29"/>
  <c r="AF130" i="29"/>
  <c r="AG130" i="29"/>
  <c r="AH130" i="29"/>
  <c r="AI130" i="29"/>
  <c r="AJ130" i="29"/>
  <c r="AK130" i="29"/>
  <c r="AN130" i="29"/>
  <c r="AX130" i="29"/>
  <c r="AY130" i="29"/>
  <c r="BA130" i="29"/>
  <c r="BB130" i="29"/>
  <c r="BC130" i="29"/>
  <c r="D131" i="29"/>
  <c r="T131" i="29"/>
  <c r="U131" i="29"/>
  <c r="V131" i="29"/>
  <c r="W131" i="29"/>
  <c r="Y131" i="29"/>
  <c r="Z131" i="29"/>
  <c r="AB131" i="29"/>
  <c r="AD131" i="29"/>
  <c r="AE131" i="29"/>
  <c r="AF131" i="29"/>
  <c r="AG131" i="29"/>
  <c r="AH131" i="29"/>
  <c r="AI131" i="29"/>
  <c r="AJ131" i="29"/>
  <c r="AK131" i="29"/>
  <c r="AN131" i="29"/>
  <c r="AX131" i="29"/>
  <c r="AY131" i="29"/>
  <c r="BA131" i="29"/>
  <c r="BB131" i="29"/>
  <c r="BC131" i="29"/>
  <c r="D132" i="29"/>
  <c r="T132" i="29"/>
  <c r="U132" i="29"/>
  <c r="V132" i="29"/>
  <c r="W132" i="29"/>
  <c r="Y132" i="29"/>
  <c r="Z132" i="29"/>
  <c r="AB132" i="29"/>
  <c r="AD132" i="29"/>
  <c r="AE132" i="29"/>
  <c r="AF132" i="29"/>
  <c r="AG132" i="29"/>
  <c r="AH132" i="29"/>
  <c r="AI132" i="29"/>
  <c r="AJ132" i="29"/>
  <c r="AK132" i="29"/>
  <c r="AN132" i="29"/>
  <c r="AX132" i="29"/>
  <c r="AY132" i="29"/>
  <c r="BA132" i="29"/>
  <c r="BB132" i="29"/>
  <c r="BC132" i="29"/>
  <c r="D133" i="29"/>
  <c r="T133" i="29"/>
  <c r="U133" i="29"/>
  <c r="V133" i="29"/>
  <c r="W133" i="29"/>
  <c r="Y133" i="29"/>
  <c r="Z133" i="29"/>
  <c r="AB133" i="29"/>
  <c r="AD133" i="29"/>
  <c r="AE133" i="29"/>
  <c r="AF133" i="29"/>
  <c r="AG133" i="29"/>
  <c r="AH133" i="29"/>
  <c r="AI133" i="29"/>
  <c r="AJ133" i="29"/>
  <c r="AK133" i="29"/>
  <c r="AN133" i="29"/>
  <c r="AX133" i="29"/>
  <c r="AY133" i="29"/>
  <c r="BA133" i="29"/>
  <c r="BB133" i="29"/>
  <c r="BC133" i="29"/>
  <c r="D134" i="29"/>
  <c r="T134" i="29"/>
  <c r="U134" i="29"/>
  <c r="V134" i="29"/>
  <c r="W134" i="29"/>
  <c r="Y134" i="29"/>
  <c r="Z134" i="29"/>
  <c r="AB134" i="29"/>
  <c r="AD134" i="29"/>
  <c r="AE134" i="29"/>
  <c r="AF134" i="29"/>
  <c r="AG134" i="29"/>
  <c r="AH134" i="29"/>
  <c r="AI134" i="29"/>
  <c r="AJ134" i="29"/>
  <c r="AK134" i="29"/>
  <c r="AN134" i="29"/>
  <c r="AX134" i="29"/>
  <c r="AY134" i="29"/>
  <c r="BA134" i="29"/>
  <c r="BB134" i="29"/>
  <c r="BC134" i="29"/>
  <c r="D135" i="29"/>
  <c r="T135" i="29"/>
  <c r="U135" i="29"/>
  <c r="V135" i="29"/>
  <c r="W135" i="29"/>
  <c r="Y135" i="29"/>
  <c r="Z135" i="29"/>
  <c r="AB135" i="29"/>
  <c r="AD135" i="29"/>
  <c r="AE135" i="29"/>
  <c r="AF135" i="29"/>
  <c r="AG135" i="29"/>
  <c r="AH135" i="29"/>
  <c r="AI135" i="29"/>
  <c r="AJ135" i="29"/>
  <c r="AK135" i="29"/>
  <c r="AN135" i="29"/>
  <c r="AX135" i="29"/>
  <c r="AY135" i="29"/>
  <c r="BA135" i="29"/>
  <c r="BB135" i="29"/>
  <c r="BC135" i="29"/>
  <c r="D136" i="29"/>
  <c r="T136" i="29"/>
  <c r="U136" i="29"/>
  <c r="V136" i="29"/>
  <c r="W136" i="29"/>
  <c r="Y136" i="29"/>
  <c r="Z136" i="29"/>
  <c r="AB136" i="29"/>
  <c r="AD136" i="29"/>
  <c r="AE136" i="29"/>
  <c r="AF136" i="29"/>
  <c r="AG136" i="29"/>
  <c r="AH136" i="29"/>
  <c r="AI136" i="29"/>
  <c r="AJ136" i="29"/>
  <c r="AK136" i="29"/>
  <c r="AN136" i="29"/>
  <c r="AX136" i="29"/>
  <c r="AY136" i="29"/>
  <c r="BA136" i="29"/>
  <c r="BB136" i="29"/>
  <c r="BC136" i="29"/>
  <c r="D137" i="29"/>
  <c r="T137" i="29"/>
  <c r="U137" i="29"/>
  <c r="V137" i="29"/>
  <c r="W137" i="29"/>
  <c r="Y137" i="29"/>
  <c r="Z137" i="29"/>
  <c r="AB137" i="29"/>
  <c r="AD137" i="29"/>
  <c r="AE137" i="29"/>
  <c r="AF137" i="29"/>
  <c r="AG137" i="29"/>
  <c r="AH137" i="29"/>
  <c r="AI137" i="29"/>
  <c r="AJ137" i="29"/>
  <c r="AK137" i="29"/>
  <c r="AN137" i="29"/>
  <c r="AX137" i="29"/>
  <c r="AY137" i="29"/>
  <c r="BA137" i="29"/>
  <c r="BB137" i="29"/>
  <c r="BC137" i="29"/>
  <c r="D138" i="29"/>
  <c r="T138" i="29"/>
  <c r="U138" i="29"/>
  <c r="V138" i="29"/>
  <c r="W138" i="29"/>
  <c r="Y138" i="29"/>
  <c r="Z138" i="29"/>
  <c r="AB138" i="29"/>
  <c r="AD138" i="29"/>
  <c r="AE138" i="29"/>
  <c r="AF138" i="29"/>
  <c r="AG138" i="29"/>
  <c r="AH138" i="29"/>
  <c r="AI138" i="29"/>
  <c r="AJ138" i="29"/>
  <c r="AK138" i="29"/>
  <c r="AN138" i="29"/>
  <c r="AX138" i="29"/>
  <c r="AY138" i="29"/>
  <c r="BA138" i="29"/>
  <c r="BB138" i="29"/>
  <c r="BC138" i="29"/>
  <c r="D139" i="29"/>
  <c r="T139" i="29"/>
  <c r="U139" i="29"/>
  <c r="V139" i="29"/>
  <c r="W139" i="29"/>
  <c r="Y139" i="29"/>
  <c r="Z139" i="29"/>
  <c r="AB139" i="29"/>
  <c r="AD139" i="29"/>
  <c r="AE139" i="29"/>
  <c r="AF139" i="29"/>
  <c r="AG139" i="29"/>
  <c r="AH139" i="29"/>
  <c r="AI139" i="29"/>
  <c r="AJ139" i="29"/>
  <c r="AK139" i="29"/>
  <c r="AN139" i="29"/>
  <c r="AX139" i="29"/>
  <c r="AY139" i="29"/>
  <c r="BA139" i="29"/>
  <c r="BB139" i="29"/>
  <c r="BC139" i="29"/>
  <c r="D140" i="29"/>
  <c r="T140" i="29"/>
  <c r="U140" i="29"/>
  <c r="V140" i="29"/>
  <c r="W140" i="29"/>
  <c r="Y140" i="29"/>
  <c r="Z140" i="29"/>
  <c r="AB140" i="29"/>
  <c r="AD140" i="29"/>
  <c r="AE140" i="29"/>
  <c r="AF140" i="29"/>
  <c r="AG140" i="29"/>
  <c r="AH140" i="29"/>
  <c r="AI140" i="29"/>
  <c r="AJ140" i="29"/>
  <c r="AK140" i="29"/>
  <c r="AN140" i="29"/>
  <c r="AX140" i="29"/>
  <c r="AY140" i="29"/>
  <c r="BA140" i="29"/>
  <c r="BB140" i="29"/>
  <c r="BC140" i="29"/>
  <c r="D141" i="29"/>
  <c r="T141" i="29"/>
  <c r="U141" i="29"/>
  <c r="V141" i="29"/>
  <c r="W141" i="29"/>
  <c r="Y141" i="29"/>
  <c r="Z141" i="29"/>
  <c r="AB141" i="29"/>
  <c r="AD141" i="29"/>
  <c r="AE141" i="29"/>
  <c r="AF141" i="29"/>
  <c r="AG141" i="29"/>
  <c r="AH141" i="29"/>
  <c r="AI141" i="29"/>
  <c r="AJ141" i="29"/>
  <c r="AK141" i="29"/>
  <c r="AN141" i="29"/>
  <c r="AX141" i="29"/>
  <c r="AY141" i="29"/>
  <c r="BA141" i="29"/>
  <c r="BB141" i="29"/>
  <c r="BC141" i="29"/>
  <c r="D142" i="29"/>
  <c r="T142" i="29"/>
  <c r="U142" i="29"/>
  <c r="V142" i="29"/>
  <c r="W142" i="29"/>
  <c r="Y142" i="29"/>
  <c r="Z142" i="29"/>
  <c r="AB142" i="29"/>
  <c r="AD142" i="29"/>
  <c r="AE142" i="29"/>
  <c r="AF142" i="29"/>
  <c r="AG142" i="29"/>
  <c r="AH142" i="29"/>
  <c r="AI142" i="29"/>
  <c r="AJ142" i="29"/>
  <c r="AK142" i="29"/>
  <c r="AN142" i="29"/>
  <c r="AX142" i="29"/>
  <c r="AY142" i="29"/>
  <c r="BA142" i="29"/>
  <c r="BB142" i="29"/>
  <c r="BC142" i="29"/>
  <c r="D143" i="29"/>
  <c r="T143" i="29"/>
  <c r="U143" i="29"/>
  <c r="V143" i="29"/>
  <c r="W143" i="29"/>
  <c r="Y143" i="29"/>
  <c r="Z143" i="29"/>
  <c r="AB143" i="29"/>
  <c r="AD143" i="29"/>
  <c r="AE143" i="29"/>
  <c r="AF143" i="29"/>
  <c r="AG143" i="29"/>
  <c r="AH143" i="29"/>
  <c r="AI143" i="29"/>
  <c r="AJ143" i="29"/>
  <c r="AK143" i="29"/>
  <c r="AN143" i="29"/>
  <c r="AX143" i="29"/>
  <c r="AY143" i="29"/>
  <c r="BA143" i="29"/>
  <c r="BB143" i="29"/>
  <c r="BC143" i="29"/>
  <c r="D144" i="29"/>
  <c r="T144" i="29"/>
  <c r="U144" i="29"/>
  <c r="V144" i="29"/>
  <c r="W144" i="29"/>
  <c r="Y144" i="29"/>
  <c r="Z144" i="29"/>
  <c r="AB144" i="29"/>
  <c r="AD144" i="29"/>
  <c r="AE144" i="29"/>
  <c r="AF144" i="29"/>
  <c r="AG144" i="29"/>
  <c r="AH144" i="29"/>
  <c r="AI144" i="29"/>
  <c r="AJ144" i="29"/>
  <c r="AK144" i="29"/>
  <c r="AN144" i="29"/>
  <c r="AX144" i="29"/>
  <c r="AY144" i="29"/>
  <c r="BA144" i="29"/>
  <c r="BB144" i="29"/>
  <c r="BC144" i="29"/>
  <c r="D145" i="29"/>
  <c r="T145" i="29"/>
  <c r="U145" i="29"/>
  <c r="V145" i="29"/>
  <c r="W145" i="29"/>
  <c r="Y145" i="29"/>
  <c r="Z145" i="29"/>
  <c r="AB145" i="29"/>
  <c r="AD145" i="29"/>
  <c r="AE145" i="29"/>
  <c r="AF145" i="29"/>
  <c r="AG145" i="29"/>
  <c r="AH145" i="29"/>
  <c r="AI145" i="29"/>
  <c r="AJ145" i="29"/>
  <c r="AK145" i="29"/>
  <c r="AN145" i="29"/>
  <c r="AX145" i="29"/>
  <c r="AY145" i="29"/>
  <c r="BA145" i="29"/>
  <c r="BB145" i="29"/>
  <c r="BC145" i="29"/>
  <c r="D146" i="29"/>
  <c r="T146" i="29"/>
  <c r="U146" i="29"/>
  <c r="V146" i="29"/>
  <c r="W146" i="29"/>
  <c r="Y146" i="29"/>
  <c r="Z146" i="29"/>
  <c r="AB146" i="29"/>
  <c r="AD146" i="29"/>
  <c r="AE146" i="29"/>
  <c r="AF146" i="29"/>
  <c r="AG146" i="29"/>
  <c r="AH146" i="29"/>
  <c r="AI146" i="29"/>
  <c r="AJ146" i="29"/>
  <c r="AK146" i="29"/>
  <c r="AN146" i="29"/>
  <c r="AX146" i="29"/>
  <c r="AY146" i="29"/>
  <c r="BA146" i="29"/>
  <c r="BB146" i="29"/>
  <c r="BC146" i="29"/>
  <c r="D147" i="29"/>
  <c r="T147" i="29"/>
  <c r="U147" i="29"/>
  <c r="V147" i="29"/>
  <c r="W147" i="29"/>
  <c r="Y147" i="29"/>
  <c r="Z147" i="29"/>
  <c r="AB147" i="29"/>
  <c r="AD147" i="29"/>
  <c r="AE147" i="29"/>
  <c r="AF147" i="29"/>
  <c r="AG147" i="29"/>
  <c r="AH147" i="29"/>
  <c r="AI147" i="29"/>
  <c r="AJ147" i="29"/>
  <c r="AK147" i="29"/>
  <c r="AN147" i="29"/>
  <c r="AX147" i="29"/>
  <c r="AY147" i="29"/>
  <c r="BA147" i="29"/>
  <c r="BB147" i="29"/>
  <c r="BC147" i="29"/>
  <c r="D148" i="29"/>
  <c r="T148" i="29"/>
  <c r="U148" i="29"/>
  <c r="V148" i="29"/>
  <c r="W148" i="29"/>
  <c r="Y148" i="29"/>
  <c r="Z148" i="29"/>
  <c r="AB148" i="29"/>
  <c r="AD148" i="29"/>
  <c r="AE148" i="29"/>
  <c r="AF148" i="29"/>
  <c r="AG148" i="29"/>
  <c r="AH148" i="29"/>
  <c r="AI148" i="29"/>
  <c r="AJ148" i="29"/>
  <c r="AK148" i="29"/>
  <c r="AN148" i="29"/>
  <c r="AX148" i="29"/>
  <c r="AY148" i="29"/>
  <c r="BA148" i="29"/>
  <c r="BB148" i="29"/>
  <c r="BC148" i="29"/>
  <c r="D149" i="29"/>
  <c r="T149" i="29"/>
  <c r="U149" i="29"/>
  <c r="V149" i="29"/>
  <c r="W149" i="29"/>
  <c r="Y149" i="29"/>
  <c r="Z149" i="29"/>
  <c r="AB149" i="29"/>
  <c r="AD149" i="29"/>
  <c r="AE149" i="29"/>
  <c r="AF149" i="29"/>
  <c r="AG149" i="29"/>
  <c r="AH149" i="29"/>
  <c r="AI149" i="29"/>
  <c r="AJ149" i="29"/>
  <c r="AK149" i="29"/>
  <c r="AN149" i="29"/>
  <c r="AX149" i="29"/>
  <c r="AY149" i="29"/>
  <c r="BA149" i="29"/>
  <c r="BB149" i="29"/>
  <c r="BC149" i="29"/>
  <c r="D150" i="29"/>
  <c r="T150" i="29"/>
  <c r="U150" i="29"/>
  <c r="V150" i="29"/>
  <c r="W150" i="29"/>
  <c r="Y150" i="29"/>
  <c r="Z150" i="29"/>
  <c r="AB150" i="29"/>
  <c r="AD150" i="29"/>
  <c r="AE150" i="29"/>
  <c r="AF150" i="29"/>
  <c r="AG150" i="29"/>
  <c r="AH150" i="29"/>
  <c r="AI150" i="29"/>
  <c r="AJ150" i="29"/>
  <c r="AK150" i="29"/>
  <c r="AN150" i="29"/>
  <c r="AX150" i="29"/>
  <c r="AY150" i="29"/>
  <c r="BA150" i="29"/>
  <c r="BB150" i="29"/>
  <c r="BC150" i="29"/>
  <c r="D151" i="29"/>
  <c r="T151" i="29"/>
  <c r="U151" i="29"/>
  <c r="V151" i="29"/>
  <c r="W151" i="29"/>
  <c r="Y151" i="29"/>
  <c r="Z151" i="29"/>
  <c r="AB151" i="29"/>
  <c r="AD151" i="29"/>
  <c r="AE151" i="29"/>
  <c r="AF151" i="29"/>
  <c r="AG151" i="29"/>
  <c r="AH151" i="29"/>
  <c r="AI151" i="29"/>
  <c r="AJ151" i="29"/>
  <c r="AK151" i="29"/>
  <c r="AN151" i="29"/>
  <c r="AX151" i="29"/>
  <c r="AY151" i="29"/>
  <c r="BA151" i="29"/>
  <c r="BB151" i="29"/>
  <c r="BC151" i="29"/>
  <c r="D152" i="29"/>
  <c r="T152" i="29"/>
  <c r="U152" i="29"/>
  <c r="V152" i="29"/>
  <c r="W152" i="29"/>
  <c r="Y152" i="29"/>
  <c r="Z152" i="29"/>
  <c r="AB152" i="29"/>
  <c r="AD152" i="29"/>
  <c r="AE152" i="29"/>
  <c r="AF152" i="29"/>
  <c r="AG152" i="29"/>
  <c r="AH152" i="29"/>
  <c r="AI152" i="29"/>
  <c r="AJ152" i="29"/>
  <c r="AK152" i="29"/>
  <c r="AN152" i="29"/>
  <c r="AX152" i="29"/>
  <c r="AY152" i="29"/>
  <c r="BA152" i="29"/>
  <c r="BB152" i="29"/>
  <c r="BC152" i="29"/>
  <c r="D153" i="29"/>
  <c r="T153" i="29"/>
  <c r="U153" i="29"/>
  <c r="V153" i="29"/>
  <c r="W153" i="29"/>
  <c r="Y153" i="29"/>
  <c r="Z153" i="29"/>
  <c r="AB153" i="29"/>
  <c r="AD153" i="29"/>
  <c r="AE153" i="29"/>
  <c r="AF153" i="29"/>
  <c r="AG153" i="29"/>
  <c r="AH153" i="29"/>
  <c r="AI153" i="29"/>
  <c r="AJ153" i="29"/>
  <c r="AK153" i="29"/>
  <c r="AN153" i="29"/>
  <c r="AX153" i="29"/>
  <c r="AY153" i="29"/>
  <c r="BA153" i="29"/>
  <c r="BB153" i="29"/>
  <c r="BC153" i="29"/>
  <c r="D154" i="29"/>
  <c r="T154" i="29"/>
  <c r="U154" i="29"/>
  <c r="V154" i="29"/>
  <c r="W154" i="29"/>
  <c r="Y154" i="29"/>
  <c r="Z154" i="29"/>
  <c r="AB154" i="29"/>
  <c r="AD154" i="29"/>
  <c r="AE154" i="29"/>
  <c r="AF154" i="29"/>
  <c r="AG154" i="29"/>
  <c r="AH154" i="29"/>
  <c r="AI154" i="29"/>
  <c r="AJ154" i="29"/>
  <c r="AK154" i="29"/>
  <c r="AN154" i="29"/>
  <c r="AX154" i="29"/>
  <c r="AY154" i="29"/>
  <c r="BA154" i="29"/>
  <c r="BB154" i="29"/>
  <c r="BC154" i="29"/>
  <c r="D155" i="29"/>
  <c r="T155" i="29"/>
  <c r="U155" i="29"/>
  <c r="V155" i="29"/>
  <c r="W155" i="29"/>
  <c r="Y155" i="29"/>
  <c r="Z155" i="29"/>
  <c r="AB155" i="29"/>
  <c r="AD155" i="29"/>
  <c r="AE155" i="29"/>
  <c r="AF155" i="29"/>
  <c r="AG155" i="29"/>
  <c r="AH155" i="29"/>
  <c r="AI155" i="29"/>
  <c r="AJ155" i="29"/>
  <c r="AK155" i="29"/>
  <c r="AN155" i="29"/>
  <c r="AX155" i="29"/>
  <c r="AY155" i="29"/>
  <c r="BA155" i="29"/>
  <c r="BB155" i="29"/>
  <c r="BC155" i="29"/>
  <c r="D156" i="29"/>
  <c r="T156" i="29"/>
  <c r="U156" i="29"/>
  <c r="V156" i="29"/>
  <c r="W156" i="29"/>
  <c r="Y156" i="29"/>
  <c r="Z156" i="29"/>
  <c r="AB156" i="29"/>
  <c r="AD156" i="29"/>
  <c r="AE156" i="29"/>
  <c r="AF156" i="29"/>
  <c r="AG156" i="29"/>
  <c r="AH156" i="29"/>
  <c r="AI156" i="29"/>
  <c r="AJ156" i="29"/>
  <c r="AK156" i="29"/>
  <c r="AN156" i="29"/>
  <c r="AX156" i="29"/>
  <c r="AY156" i="29"/>
  <c r="BA156" i="29"/>
  <c r="BB156" i="29"/>
  <c r="BC156" i="29"/>
  <c r="D157" i="29"/>
  <c r="T157" i="29"/>
  <c r="U157" i="29"/>
  <c r="V157" i="29"/>
  <c r="W157" i="29"/>
  <c r="Y157" i="29"/>
  <c r="Z157" i="29"/>
  <c r="AB157" i="29"/>
  <c r="AD157" i="29"/>
  <c r="AE157" i="29"/>
  <c r="AF157" i="29"/>
  <c r="AG157" i="29"/>
  <c r="AH157" i="29"/>
  <c r="AI157" i="29"/>
  <c r="AJ157" i="29"/>
  <c r="AK157" i="29"/>
  <c r="AN157" i="29"/>
  <c r="AX157" i="29"/>
  <c r="AY157" i="29"/>
  <c r="BA157" i="29"/>
  <c r="BB157" i="29"/>
  <c r="BC157" i="29"/>
  <c r="D158" i="29"/>
  <c r="T158" i="29"/>
  <c r="U158" i="29"/>
  <c r="V158" i="29"/>
  <c r="W158" i="29"/>
  <c r="Y158" i="29"/>
  <c r="Z158" i="29"/>
  <c r="AB158" i="29"/>
  <c r="AD158" i="29"/>
  <c r="AE158" i="29"/>
  <c r="AF158" i="29"/>
  <c r="AG158" i="29"/>
  <c r="AH158" i="29"/>
  <c r="AI158" i="29"/>
  <c r="AJ158" i="29"/>
  <c r="AK158" i="29"/>
  <c r="AN158" i="29"/>
  <c r="AX158" i="29"/>
  <c r="AY158" i="29"/>
  <c r="BA158" i="29"/>
  <c r="BB158" i="29"/>
  <c r="BC158" i="29"/>
  <c r="D159" i="29"/>
  <c r="T159" i="29"/>
  <c r="U159" i="29"/>
  <c r="V159" i="29"/>
  <c r="W159" i="29"/>
  <c r="Y159" i="29"/>
  <c r="Z159" i="29"/>
  <c r="AB159" i="29"/>
  <c r="AD159" i="29"/>
  <c r="AE159" i="29"/>
  <c r="AF159" i="29"/>
  <c r="AG159" i="29"/>
  <c r="AH159" i="29"/>
  <c r="AI159" i="29"/>
  <c r="AJ159" i="29"/>
  <c r="AK159" i="29"/>
  <c r="AN159" i="29"/>
  <c r="AX159" i="29"/>
  <c r="AY159" i="29"/>
  <c r="BA159" i="29"/>
  <c r="BB159" i="29"/>
  <c r="BC159" i="29"/>
  <c r="D160" i="29"/>
  <c r="T160" i="29"/>
  <c r="U160" i="29"/>
  <c r="V160" i="29"/>
  <c r="W160" i="29"/>
  <c r="Y160" i="29"/>
  <c r="Z160" i="29"/>
  <c r="AB160" i="29"/>
  <c r="AD160" i="29"/>
  <c r="AE160" i="29"/>
  <c r="AF160" i="29"/>
  <c r="AG160" i="29"/>
  <c r="AH160" i="29"/>
  <c r="AI160" i="29"/>
  <c r="AJ160" i="29"/>
  <c r="AK160" i="29"/>
  <c r="AN160" i="29"/>
  <c r="AX160" i="29"/>
  <c r="AY160" i="29"/>
  <c r="BA160" i="29"/>
  <c r="BB160" i="29"/>
  <c r="BC160" i="29"/>
  <c r="D161" i="29"/>
  <c r="T161" i="29"/>
  <c r="U161" i="29"/>
  <c r="V161" i="29"/>
  <c r="W161" i="29"/>
  <c r="Y161" i="29"/>
  <c r="Z161" i="29"/>
  <c r="AB161" i="29"/>
  <c r="AD161" i="29"/>
  <c r="AE161" i="29"/>
  <c r="AF161" i="29"/>
  <c r="AG161" i="29"/>
  <c r="AH161" i="29"/>
  <c r="AI161" i="29"/>
  <c r="AJ161" i="29"/>
  <c r="AK161" i="29"/>
  <c r="AN161" i="29"/>
  <c r="AX161" i="29"/>
  <c r="AY161" i="29"/>
  <c r="BA161" i="29"/>
  <c r="BB161" i="29"/>
  <c r="BC161" i="29"/>
  <c r="D162" i="29"/>
  <c r="T162" i="29"/>
  <c r="U162" i="29"/>
  <c r="V162" i="29"/>
  <c r="W162" i="29"/>
  <c r="Y162" i="29"/>
  <c r="Z162" i="29"/>
  <c r="AB162" i="29"/>
  <c r="AD162" i="29"/>
  <c r="AE162" i="29"/>
  <c r="AF162" i="29"/>
  <c r="AG162" i="29"/>
  <c r="AH162" i="29"/>
  <c r="AI162" i="29"/>
  <c r="AJ162" i="29"/>
  <c r="AK162" i="29"/>
  <c r="AN162" i="29"/>
  <c r="AX162" i="29"/>
  <c r="AY162" i="29"/>
  <c r="BA162" i="29"/>
  <c r="BB162" i="29"/>
  <c r="BC162" i="29"/>
  <c r="D163" i="29"/>
  <c r="T163" i="29"/>
  <c r="U163" i="29"/>
  <c r="V163" i="29"/>
  <c r="W163" i="29"/>
  <c r="Y163" i="29"/>
  <c r="Z163" i="29"/>
  <c r="AB163" i="29"/>
  <c r="AD163" i="29"/>
  <c r="AE163" i="29"/>
  <c r="AF163" i="29"/>
  <c r="AG163" i="29"/>
  <c r="AH163" i="29"/>
  <c r="AI163" i="29"/>
  <c r="AJ163" i="29"/>
  <c r="AK163" i="29"/>
  <c r="AN163" i="29"/>
  <c r="AX163" i="29"/>
  <c r="AY163" i="29"/>
  <c r="BA163" i="29"/>
  <c r="BB163" i="29"/>
  <c r="BC163" i="29"/>
  <c r="D164" i="29"/>
  <c r="T164" i="29"/>
  <c r="U164" i="29"/>
  <c r="V164" i="29"/>
  <c r="W164" i="29"/>
  <c r="Y164" i="29"/>
  <c r="Z164" i="29"/>
  <c r="AB164" i="29"/>
  <c r="AD164" i="29"/>
  <c r="AE164" i="29"/>
  <c r="AF164" i="29"/>
  <c r="AG164" i="29"/>
  <c r="AH164" i="29"/>
  <c r="AI164" i="29"/>
  <c r="AJ164" i="29"/>
  <c r="AK164" i="29"/>
  <c r="AN164" i="29"/>
  <c r="AX164" i="29"/>
  <c r="AY164" i="29"/>
  <c r="BA164" i="29"/>
  <c r="BB164" i="29"/>
  <c r="BC164" i="29"/>
  <c r="D165" i="29"/>
  <c r="T165" i="29"/>
  <c r="U165" i="29"/>
  <c r="V165" i="29"/>
  <c r="W165" i="29"/>
  <c r="Y165" i="29"/>
  <c r="Z165" i="29"/>
  <c r="AB165" i="29"/>
  <c r="AD165" i="29"/>
  <c r="AE165" i="29"/>
  <c r="AF165" i="29"/>
  <c r="AG165" i="29"/>
  <c r="AH165" i="29"/>
  <c r="AI165" i="29"/>
  <c r="AJ165" i="29"/>
  <c r="AK165" i="29"/>
  <c r="AN165" i="29"/>
  <c r="AX165" i="29"/>
  <c r="AY165" i="29"/>
  <c r="BA165" i="29"/>
  <c r="BB165" i="29"/>
  <c r="BC165" i="29"/>
  <c r="D166" i="29"/>
  <c r="T166" i="29"/>
  <c r="U166" i="29"/>
  <c r="V166" i="29"/>
  <c r="W166" i="29"/>
  <c r="Y166" i="29"/>
  <c r="Z166" i="29"/>
  <c r="AB166" i="29"/>
  <c r="AD166" i="29"/>
  <c r="AE166" i="29"/>
  <c r="AF166" i="29"/>
  <c r="AG166" i="29"/>
  <c r="AH166" i="29"/>
  <c r="AI166" i="29"/>
  <c r="AJ166" i="29"/>
  <c r="AK166" i="29"/>
  <c r="AN166" i="29"/>
  <c r="AX166" i="29"/>
  <c r="AY166" i="29"/>
  <c r="BA166" i="29"/>
  <c r="BB166" i="29"/>
  <c r="BC166" i="29"/>
  <c r="D167" i="29"/>
  <c r="T167" i="29"/>
  <c r="U167" i="29"/>
  <c r="V167" i="29"/>
  <c r="W167" i="29"/>
  <c r="Y167" i="29"/>
  <c r="Z167" i="29"/>
  <c r="AB167" i="29"/>
  <c r="AD167" i="29"/>
  <c r="AE167" i="29"/>
  <c r="AF167" i="29"/>
  <c r="AG167" i="29"/>
  <c r="AH167" i="29"/>
  <c r="AI167" i="29"/>
  <c r="AJ167" i="29"/>
  <c r="AK167" i="29"/>
  <c r="AN167" i="29"/>
  <c r="AX167" i="29"/>
  <c r="AY167" i="29"/>
  <c r="BA167" i="29"/>
  <c r="BB167" i="29"/>
  <c r="BC167" i="29"/>
  <c r="D168" i="29"/>
  <c r="T168" i="29"/>
  <c r="U168" i="29"/>
  <c r="V168" i="29"/>
  <c r="W168" i="29"/>
  <c r="Y168" i="29"/>
  <c r="Z168" i="29"/>
  <c r="AB168" i="29"/>
  <c r="AD168" i="29"/>
  <c r="AE168" i="29"/>
  <c r="AF168" i="29"/>
  <c r="AG168" i="29"/>
  <c r="AH168" i="29"/>
  <c r="AI168" i="29"/>
  <c r="AJ168" i="29"/>
  <c r="AK168" i="29"/>
  <c r="AN168" i="29"/>
  <c r="AX168" i="29"/>
  <c r="AY168" i="29"/>
  <c r="BA168" i="29"/>
  <c r="BB168" i="29"/>
  <c r="BC168" i="29"/>
  <c r="D169" i="29"/>
  <c r="T169" i="29"/>
  <c r="U169" i="29"/>
  <c r="V169" i="29"/>
  <c r="W169" i="29"/>
  <c r="Y169" i="29"/>
  <c r="Z169" i="29"/>
  <c r="AB169" i="29"/>
  <c r="AD169" i="29"/>
  <c r="AE169" i="29"/>
  <c r="AF169" i="29"/>
  <c r="AG169" i="29"/>
  <c r="AH169" i="29"/>
  <c r="AI169" i="29"/>
  <c r="AJ169" i="29"/>
  <c r="AK169" i="29"/>
  <c r="AN169" i="29"/>
  <c r="AX169" i="29"/>
  <c r="AY169" i="29"/>
  <c r="BA169" i="29"/>
  <c r="BB169" i="29"/>
  <c r="BC169" i="29"/>
  <c r="D170" i="29"/>
  <c r="T170" i="29"/>
  <c r="U170" i="29"/>
  <c r="V170" i="29"/>
  <c r="W170" i="29"/>
  <c r="Y170" i="29"/>
  <c r="Z170" i="29"/>
  <c r="AB170" i="29"/>
  <c r="AD170" i="29"/>
  <c r="AE170" i="29"/>
  <c r="AF170" i="29"/>
  <c r="AG170" i="29"/>
  <c r="AH170" i="29"/>
  <c r="AI170" i="29"/>
  <c r="AJ170" i="29"/>
  <c r="AK170" i="29"/>
  <c r="AN170" i="29"/>
  <c r="AX170" i="29"/>
  <c r="AY170" i="29"/>
  <c r="BA170" i="29"/>
  <c r="BB170" i="29"/>
  <c r="BC170" i="29"/>
  <c r="D171" i="29"/>
  <c r="T171" i="29"/>
  <c r="U171" i="29"/>
  <c r="V171" i="29"/>
  <c r="W171" i="29"/>
  <c r="Y171" i="29"/>
  <c r="Z171" i="29"/>
  <c r="AB171" i="29"/>
  <c r="AD171" i="29"/>
  <c r="AE171" i="29"/>
  <c r="AF171" i="29"/>
  <c r="AG171" i="29"/>
  <c r="AH171" i="29"/>
  <c r="AI171" i="29"/>
  <c r="AJ171" i="29"/>
  <c r="AK171" i="29"/>
  <c r="AN171" i="29"/>
  <c r="AX171" i="29"/>
  <c r="AY171" i="29"/>
  <c r="BA171" i="29"/>
  <c r="BB171" i="29"/>
  <c r="BC171" i="29"/>
  <c r="D172" i="29"/>
  <c r="T172" i="29"/>
  <c r="U172" i="29"/>
  <c r="V172" i="29"/>
  <c r="W172" i="29"/>
  <c r="Y172" i="29"/>
  <c r="Z172" i="29"/>
  <c r="AB172" i="29"/>
  <c r="AD172" i="29"/>
  <c r="AE172" i="29"/>
  <c r="AF172" i="29"/>
  <c r="AG172" i="29"/>
  <c r="AH172" i="29"/>
  <c r="AI172" i="29"/>
  <c r="AJ172" i="29"/>
  <c r="AK172" i="29"/>
  <c r="AN172" i="29"/>
  <c r="AX172" i="29"/>
  <c r="AY172" i="29"/>
  <c r="BA172" i="29"/>
  <c r="BB172" i="29"/>
  <c r="BC172" i="29"/>
  <c r="D173" i="29"/>
  <c r="T173" i="29"/>
  <c r="U173" i="29"/>
  <c r="V173" i="29"/>
  <c r="W173" i="29"/>
  <c r="Y173" i="29"/>
  <c r="Z173" i="29"/>
  <c r="AB173" i="29"/>
  <c r="AD173" i="29"/>
  <c r="AE173" i="29"/>
  <c r="AF173" i="29"/>
  <c r="AG173" i="29"/>
  <c r="AH173" i="29"/>
  <c r="AI173" i="29"/>
  <c r="AJ173" i="29"/>
  <c r="AK173" i="29"/>
  <c r="AN173" i="29"/>
  <c r="AX173" i="29"/>
  <c r="AY173" i="29"/>
  <c r="BA173" i="29"/>
  <c r="BB173" i="29"/>
  <c r="BC173" i="29"/>
  <c r="D174" i="29"/>
  <c r="T174" i="29"/>
  <c r="U174" i="29"/>
  <c r="V174" i="29"/>
  <c r="W174" i="29"/>
  <c r="Y174" i="29"/>
  <c r="Z174" i="29"/>
  <c r="AB174" i="29"/>
  <c r="AD174" i="29"/>
  <c r="AE174" i="29"/>
  <c r="AF174" i="29"/>
  <c r="AG174" i="29"/>
  <c r="AH174" i="29"/>
  <c r="AI174" i="29"/>
  <c r="AJ174" i="29"/>
  <c r="AK174" i="29"/>
  <c r="AN174" i="29"/>
  <c r="AX174" i="29"/>
  <c r="AY174" i="29"/>
  <c r="BA174" i="29"/>
  <c r="BB174" i="29"/>
  <c r="BC174" i="29"/>
  <c r="D175" i="29"/>
  <c r="T175" i="29"/>
  <c r="U175" i="29"/>
  <c r="V175" i="29"/>
  <c r="W175" i="29"/>
  <c r="Y175" i="29"/>
  <c r="Z175" i="29"/>
  <c r="AB175" i="29"/>
  <c r="AD175" i="29"/>
  <c r="AE175" i="29"/>
  <c r="AF175" i="29"/>
  <c r="AG175" i="29"/>
  <c r="AH175" i="29"/>
  <c r="AI175" i="29"/>
  <c r="AJ175" i="29"/>
  <c r="AK175" i="29"/>
  <c r="AN175" i="29"/>
  <c r="AX175" i="29"/>
  <c r="AY175" i="29"/>
  <c r="BA175" i="29"/>
  <c r="BB175" i="29"/>
  <c r="BC175" i="29"/>
  <c r="D176" i="29"/>
  <c r="T176" i="29"/>
  <c r="U176" i="29"/>
  <c r="V176" i="29"/>
  <c r="W176" i="29"/>
  <c r="Y176" i="29"/>
  <c r="Z176" i="29"/>
  <c r="AB176" i="29"/>
  <c r="AD176" i="29"/>
  <c r="AE176" i="29"/>
  <c r="AF176" i="29"/>
  <c r="AG176" i="29"/>
  <c r="AH176" i="29"/>
  <c r="AI176" i="29"/>
  <c r="AJ176" i="29"/>
  <c r="AK176" i="29"/>
  <c r="AN176" i="29"/>
  <c r="AX176" i="29"/>
  <c r="AY176" i="29"/>
  <c r="BA176" i="29"/>
  <c r="BB176" i="29"/>
  <c r="BC176" i="29"/>
  <c r="D177" i="29"/>
  <c r="T177" i="29"/>
  <c r="U177" i="29"/>
  <c r="V177" i="29"/>
  <c r="W177" i="29"/>
  <c r="Y177" i="29"/>
  <c r="Z177" i="29"/>
  <c r="AB177" i="29"/>
  <c r="AD177" i="29"/>
  <c r="AE177" i="29"/>
  <c r="AF177" i="29"/>
  <c r="AG177" i="29"/>
  <c r="AH177" i="29"/>
  <c r="AI177" i="29"/>
  <c r="AJ177" i="29"/>
  <c r="AK177" i="29"/>
  <c r="AN177" i="29"/>
  <c r="AX177" i="29"/>
  <c r="AY177" i="29"/>
  <c r="BA177" i="29"/>
  <c r="BB177" i="29"/>
  <c r="BC177" i="29"/>
  <c r="D178" i="29"/>
  <c r="T178" i="29"/>
  <c r="U178" i="29"/>
  <c r="V178" i="29"/>
  <c r="W178" i="29"/>
  <c r="Y178" i="29"/>
  <c r="Z178" i="29"/>
  <c r="AB178" i="29"/>
  <c r="AD178" i="29"/>
  <c r="AE178" i="29"/>
  <c r="AF178" i="29"/>
  <c r="AG178" i="29"/>
  <c r="AH178" i="29"/>
  <c r="AI178" i="29"/>
  <c r="AJ178" i="29"/>
  <c r="AK178" i="29"/>
  <c r="AN178" i="29"/>
  <c r="AX178" i="29"/>
  <c r="AY178" i="29"/>
  <c r="BA178" i="29"/>
  <c r="BB178" i="29"/>
  <c r="BC178" i="29"/>
  <c r="D179" i="29"/>
  <c r="T179" i="29"/>
  <c r="U179" i="29"/>
  <c r="V179" i="29"/>
  <c r="W179" i="29"/>
  <c r="Y179" i="29"/>
  <c r="Z179" i="29"/>
  <c r="AB179" i="29"/>
  <c r="AD179" i="29"/>
  <c r="AE179" i="29"/>
  <c r="AF179" i="29"/>
  <c r="AG179" i="29"/>
  <c r="AH179" i="29"/>
  <c r="AI179" i="29"/>
  <c r="AJ179" i="29"/>
  <c r="AK179" i="29"/>
  <c r="AN179" i="29"/>
  <c r="AX179" i="29"/>
  <c r="AY179" i="29"/>
  <c r="BA179" i="29"/>
  <c r="BB179" i="29"/>
  <c r="BC179" i="29"/>
  <c r="D180" i="29"/>
  <c r="T180" i="29"/>
  <c r="U180" i="29"/>
  <c r="V180" i="29"/>
  <c r="W180" i="29"/>
  <c r="Y180" i="29"/>
  <c r="Z180" i="29"/>
  <c r="AB180" i="29"/>
  <c r="AD180" i="29"/>
  <c r="AE180" i="29"/>
  <c r="AF180" i="29"/>
  <c r="AG180" i="29"/>
  <c r="AH180" i="29"/>
  <c r="AI180" i="29"/>
  <c r="AJ180" i="29"/>
  <c r="AK180" i="29"/>
  <c r="AN180" i="29"/>
  <c r="AX180" i="29"/>
  <c r="AY180" i="29"/>
  <c r="BA180" i="29"/>
  <c r="BB180" i="29"/>
  <c r="BC180" i="29"/>
  <c r="D181" i="29"/>
  <c r="T181" i="29"/>
  <c r="U181" i="29"/>
  <c r="V181" i="29"/>
  <c r="W181" i="29"/>
  <c r="Y181" i="29"/>
  <c r="Z181" i="29"/>
  <c r="AB181" i="29"/>
  <c r="AD181" i="29"/>
  <c r="AE181" i="29"/>
  <c r="AF181" i="29"/>
  <c r="AG181" i="29"/>
  <c r="AH181" i="29"/>
  <c r="AI181" i="29"/>
  <c r="AJ181" i="29"/>
  <c r="AK181" i="29"/>
  <c r="AN181" i="29"/>
  <c r="AX181" i="29"/>
  <c r="AY181" i="29"/>
  <c r="BA181" i="29"/>
  <c r="BB181" i="29"/>
  <c r="BC181" i="29"/>
  <c r="D182" i="29"/>
  <c r="T182" i="29"/>
  <c r="U182" i="29"/>
  <c r="V182" i="29"/>
  <c r="W182" i="29"/>
  <c r="Y182" i="29"/>
  <c r="Z182" i="29"/>
  <c r="AB182" i="29"/>
  <c r="AD182" i="29"/>
  <c r="AE182" i="29"/>
  <c r="AF182" i="29"/>
  <c r="AG182" i="29"/>
  <c r="AH182" i="29"/>
  <c r="AI182" i="29"/>
  <c r="AJ182" i="29"/>
  <c r="AK182" i="29"/>
  <c r="AN182" i="29"/>
  <c r="AX182" i="29"/>
  <c r="AY182" i="29"/>
  <c r="BA182" i="29"/>
  <c r="BB182" i="29"/>
  <c r="BC182" i="29"/>
  <c r="D183" i="29"/>
  <c r="T183" i="29"/>
  <c r="U183" i="29"/>
  <c r="V183" i="29"/>
  <c r="W183" i="29"/>
  <c r="Y183" i="29"/>
  <c r="Z183" i="29"/>
  <c r="AB183" i="29"/>
  <c r="AD183" i="29"/>
  <c r="AE183" i="29"/>
  <c r="AF183" i="29"/>
  <c r="AG183" i="29"/>
  <c r="AH183" i="29"/>
  <c r="AI183" i="29"/>
  <c r="AJ183" i="29"/>
  <c r="AK183" i="29"/>
  <c r="AN183" i="29"/>
  <c r="AX183" i="29"/>
  <c r="AY183" i="29"/>
  <c r="BA183" i="29"/>
  <c r="BB183" i="29"/>
  <c r="BC183" i="29"/>
  <c r="D184" i="29"/>
  <c r="T184" i="29"/>
  <c r="U184" i="29"/>
  <c r="V184" i="29"/>
  <c r="W184" i="29"/>
  <c r="Y184" i="29"/>
  <c r="Z184" i="29"/>
  <c r="AB184" i="29"/>
  <c r="AD184" i="29"/>
  <c r="AE184" i="29"/>
  <c r="AF184" i="29"/>
  <c r="AG184" i="29"/>
  <c r="AH184" i="29"/>
  <c r="AI184" i="29"/>
  <c r="AJ184" i="29"/>
  <c r="AK184" i="29"/>
  <c r="AN184" i="29"/>
  <c r="AX184" i="29"/>
  <c r="AY184" i="29"/>
  <c r="BA184" i="29"/>
  <c r="BB184" i="29"/>
  <c r="BC184" i="29"/>
  <c r="D185" i="29"/>
  <c r="T185" i="29"/>
  <c r="U185" i="29"/>
  <c r="V185" i="29"/>
  <c r="W185" i="29"/>
  <c r="Y185" i="29"/>
  <c r="Z185" i="29"/>
  <c r="AB185" i="29"/>
  <c r="AD185" i="29"/>
  <c r="AE185" i="29"/>
  <c r="AF185" i="29"/>
  <c r="AG185" i="29"/>
  <c r="AH185" i="29"/>
  <c r="AI185" i="29"/>
  <c r="AJ185" i="29"/>
  <c r="AK185" i="29"/>
  <c r="AN185" i="29"/>
  <c r="AX185" i="29"/>
  <c r="AY185" i="29"/>
  <c r="BA185" i="29"/>
  <c r="BB185" i="29"/>
  <c r="BC185" i="29"/>
  <c r="D186" i="29"/>
  <c r="T186" i="29"/>
  <c r="U186" i="29"/>
  <c r="V186" i="29"/>
  <c r="W186" i="29"/>
  <c r="Y186" i="29"/>
  <c r="Z186" i="29"/>
  <c r="AB186" i="29"/>
  <c r="AD186" i="29"/>
  <c r="AE186" i="29"/>
  <c r="AF186" i="29"/>
  <c r="AG186" i="29"/>
  <c r="AH186" i="29"/>
  <c r="AI186" i="29"/>
  <c r="AJ186" i="29"/>
  <c r="AK186" i="29"/>
  <c r="AN186" i="29"/>
  <c r="AX186" i="29"/>
  <c r="AY186" i="29"/>
  <c r="BA186" i="29"/>
  <c r="BB186" i="29"/>
  <c r="BC186" i="29"/>
  <c r="D187" i="29"/>
  <c r="T187" i="29"/>
  <c r="U187" i="29"/>
  <c r="V187" i="29"/>
  <c r="W187" i="29"/>
  <c r="Y187" i="29"/>
  <c r="Z187" i="29"/>
  <c r="AB187" i="29"/>
  <c r="AD187" i="29"/>
  <c r="AE187" i="29"/>
  <c r="AF187" i="29"/>
  <c r="AG187" i="29"/>
  <c r="AH187" i="29"/>
  <c r="AI187" i="29"/>
  <c r="AJ187" i="29"/>
  <c r="AK187" i="29"/>
  <c r="AN187" i="29"/>
  <c r="AX187" i="29"/>
  <c r="AY187" i="29"/>
  <c r="BA187" i="29"/>
  <c r="BB187" i="29"/>
  <c r="BC187" i="29"/>
  <c r="D188" i="29"/>
  <c r="T188" i="29"/>
  <c r="U188" i="29"/>
  <c r="V188" i="29"/>
  <c r="W188" i="29"/>
  <c r="Y188" i="29"/>
  <c r="Z188" i="29"/>
  <c r="AB188" i="29"/>
  <c r="AD188" i="29"/>
  <c r="AE188" i="29"/>
  <c r="AF188" i="29"/>
  <c r="AG188" i="29"/>
  <c r="AH188" i="29"/>
  <c r="AI188" i="29"/>
  <c r="AJ188" i="29"/>
  <c r="AK188" i="29"/>
  <c r="AN188" i="29"/>
  <c r="AX188" i="29"/>
  <c r="AY188" i="29"/>
  <c r="BA188" i="29"/>
  <c r="BB188" i="29"/>
  <c r="BC188" i="29"/>
  <c r="D189" i="29"/>
  <c r="T189" i="29"/>
  <c r="U189" i="29"/>
  <c r="V189" i="29"/>
  <c r="W189" i="29"/>
  <c r="Y189" i="29"/>
  <c r="Z189" i="29"/>
  <c r="AB189" i="29"/>
  <c r="AD189" i="29"/>
  <c r="AE189" i="29"/>
  <c r="AF189" i="29"/>
  <c r="AG189" i="29"/>
  <c r="AH189" i="29"/>
  <c r="AI189" i="29"/>
  <c r="AJ189" i="29"/>
  <c r="AK189" i="29"/>
  <c r="AN189" i="29"/>
  <c r="AX189" i="29"/>
  <c r="AY189" i="29"/>
  <c r="BA189" i="29"/>
  <c r="BB189" i="29"/>
  <c r="BC189" i="29"/>
  <c r="E3" i="16"/>
  <c r="F3" i="16"/>
  <c r="G3" i="16"/>
  <c r="H3" i="16" a="1"/>
  <c r="H3" i="16"/>
  <c r="E4" i="16"/>
  <c r="F4" i="16"/>
  <c r="G4" i="16"/>
  <c r="H4" i="16" a="1"/>
  <c r="H4" i="16"/>
  <c r="E5" i="16"/>
  <c r="F5" i="16"/>
  <c r="G5" i="16"/>
  <c r="H5" i="16" a="1"/>
  <c r="H5" i="16"/>
  <c r="B10" i="16"/>
  <c r="B12" i="16"/>
  <c r="E12" i="16"/>
  <c r="D25" i="16"/>
  <c r="T25" i="16"/>
  <c r="U25" i="16"/>
  <c r="V25" i="16"/>
  <c r="W25" i="16"/>
  <c r="Y25" i="16"/>
  <c r="Z25" i="16"/>
  <c r="AB25" i="16"/>
  <c r="AD25" i="16"/>
  <c r="AE25" i="16"/>
  <c r="AF25" i="16"/>
  <c r="AG25" i="16"/>
  <c r="AH25" i="16"/>
  <c r="AI25" i="16"/>
  <c r="AJ25" i="16"/>
  <c r="AK25" i="16"/>
  <c r="AN25" i="16"/>
  <c r="AX25" i="16"/>
  <c r="AY25" i="16"/>
  <c r="D26" i="16"/>
  <c r="T26" i="16"/>
  <c r="U26" i="16"/>
  <c r="V26" i="16"/>
  <c r="W26" i="16"/>
  <c r="Y26" i="16"/>
  <c r="Z26" i="16"/>
  <c r="AB26" i="16"/>
  <c r="AD26" i="16"/>
  <c r="AE26" i="16"/>
  <c r="AF26" i="16"/>
  <c r="AG26" i="16"/>
  <c r="AH26" i="16"/>
  <c r="AI26" i="16"/>
  <c r="AJ26" i="16"/>
  <c r="AK26" i="16"/>
  <c r="AN26" i="16"/>
  <c r="AX26" i="16"/>
  <c r="AY26" i="16"/>
  <c r="D27" i="16"/>
  <c r="T27" i="16"/>
  <c r="U27" i="16"/>
  <c r="V27" i="16"/>
  <c r="W27" i="16"/>
  <c r="Y27" i="16"/>
  <c r="Z27" i="16"/>
  <c r="AB27" i="16"/>
  <c r="AD27" i="16"/>
  <c r="AE27" i="16"/>
  <c r="AF27" i="16"/>
  <c r="AG27" i="16"/>
  <c r="AH27" i="16"/>
  <c r="AI27" i="16"/>
  <c r="AJ27" i="16"/>
  <c r="AK27" i="16"/>
  <c r="AN27" i="16"/>
  <c r="AX27" i="16"/>
  <c r="AY27" i="16"/>
  <c r="D28" i="16"/>
  <c r="T28" i="16"/>
  <c r="U28" i="16"/>
  <c r="V28" i="16"/>
  <c r="W28" i="16"/>
  <c r="Y28" i="16"/>
  <c r="Z28" i="16"/>
  <c r="AB28" i="16"/>
  <c r="AD28" i="16"/>
  <c r="AE28" i="16"/>
  <c r="AF28" i="16"/>
  <c r="AG28" i="16"/>
  <c r="AH28" i="16"/>
  <c r="AI28" i="16"/>
  <c r="AJ28" i="16"/>
  <c r="AK28" i="16"/>
  <c r="AN28" i="16"/>
  <c r="AX28" i="16"/>
  <c r="AY28" i="16"/>
  <c r="D29" i="16"/>
  <c r="T29" i="16"/>
  <c r="U29" i="16"/>
  <c r="V29" i="16"/>
  <c r="W29" i="16"/>
  <c r="Y29" i="16"/>
  <c r="Z29" i="16"/>
  <c r="AB29" i="16"/>
  <c r="AD29" i="16"/>
  <c r="AE29" i="16"/>
  <c r="AF29" i="16"/>
  <c r="AG29" i="16"/>
  <c r="AH29" i="16"/>
  <c r="AI29" i="16"/>
  <c r="AJ29" i="16"/>
  <c r="AK29" i="16"/>
  <c r="AN29" i="16"/>
  <c r="AX29" i="16"/>
  <c r="AY29" i="16"/>
  <c r="D30" i="16"/>
  <c r="T30" i="16"/>
  <c r="U30" i="16"/>
  <c r="V30" i="16"/>
  <c r="W30" i="16"/>
  <c r="Y30" i="16"/>
  <c r="Z30" i="16"/>
  <c r="AB30" i="16"/>
  <c r="AD30" i="16"/>
  <c r="AE30" i="16"/>
  <c r="AF30" i="16"/>
  <c r="AG30" i="16"/>
  <c r="AH30" i="16"/>
  <c r="AI30" i="16"/>
  <c r="AJ30" i="16"/>
  <c r="AK30" i="16"/>
  <c r="AN30" i="16"/>
  <c r="AX30" i="16"/>
  <c r="AY30" i="16"/>
  <c r="D31" i="16"/>
  <c r="T31" i="16"/>
  <c r="U31" i="16"/>
  <c r="V31" i="16"/>
  <c r="W31" i="16"/>
  <c r="Y31" i="16"/>
  <c r="Z31" i="16"/>
  <c r="AB31" i="16"/>
  <c r="AD31" i="16"/>
  <c r="AE31" i="16"/>
  <c r="AF31" i="16"/>
  <c r="AG31" i="16"/>
  <c r="AH31" i="16"/>
  <c r="AI31" i="16"/>
  <c r="AJ31" i="16"/>
  <c r="AK31" i="16"/>
  <c r="AN31" i="16"/>
  <c r="AX31" i="16"/>
  <c r="AY31" i="16"/>
  <c r="D32" i="16"/>
  <c r="T32" i="16"/>
  <c r="U32" i="16"/>
  <c r="V32" i="16"/>
  <c r="W32" i="16"/>
  <c r="Y32" i="16"/>
  <c r="Z32" i="16"/>
  <c r="AB32" i="16"/>
  <c r="AD32" i="16"/>
  <c r="AE32" i="16"/>
  <c r="AF32" i="16"/>
  <c r="AG32" i="16"/>
  <c r="AH32" i="16"/>
  <c r="AI32" i="16"/>
  <c r="AJ32" i="16"/>
  <c r="AK32" i="16"/>
  <c r="AN32" i="16"/>
  <c r="AX32" i="16"/>
  <c r="AY32" i="16"/>
  <c r="D33" i="16"/>
  <c r="T33" i="16"/>
  <c r="U33" i="16"/>
  <c r="V33" i="16"/>
  <c r="W33" i="16"/>
  <c r="Y33" i="16"/>
  <c r="Z33" i="16"/>
  <c r="AB33" i="16"/>
  <c r="AD33" i="16"/>
  <c r="AE33" i="16"/>
  <c r="AF33" i="16"/>
  <c r="AG33" i="16"/>
  <c r="AH33" i="16"/>
  <c r="AI33" i="16"/>
  <c r="AJ33" i="16"/>
  <c r="AK33" i="16"/>
  <c r="AN33" i="16"/>
  <c r="AX33" i="16"/>
  <c r="AY33" i="16"/>
  <c r="D34" i="16"/>
  <c r="T34" i="16"/>
  <c r="U34" i="16"/>
  <c r="V34" i="16"/>
  <c r="W34" i="16"/>
  <c r="Y34" i="16"/>
  <c r="Z34" i="16"/>
  <c r="AB34" i="16"/>
  <c r="AD34" i="16"/>
  <c r="AE34" i="16"/>
  <c r="AF34" i="16"/>
  <c r="AG34" i="16"/>
  <c r="AH34" i="16"/>
  <c r="AI34" i="16"/>
  <c r="AJ34" i="16"/>
  <c r="AK34" i="16"/>
  <c r="AN34" i="16"/>
  <c r="AX34" i="16"/>
  <c r="AY34" i="16"/>
  <c r="D35" i="16"/>
  <c r="T35" i="16"/>
  <c r="U35" i="16"/>
  <c r="V35" i="16"/>
  <c r="W35" i="16"/>
  <c r="Y35" i="16"/>
  <c r="Z35" i="16"/>
  <c r="AB35" i="16"/>
  <c r="AD35" i="16"/>
  <c r="AE35" i="16"/>
  <c r="AF35" i="16"/>
  <c r="AG35" i="16"/>
  <c r="AH35" i="16"/>
  <c r="AI35" i="16"/>
  <c r="AJ35" i="16"/>
  <c r="AK35" i="16"/>
  <c r="AN35" i="16"/>
  <c r="AX35" i="16"/>
  <c r="AY35" i="16"/>
  <c r="D36" i="16"/>
  <c r="T36" i="16"/>
  <c r="U36" i="16"/>
  <c r="V36" i="16"/>
  <c r="W36" i="16"/>
  <c r="Y36" i="16"/>
  <c r="Z36" i="16"/>
  <c r="AB36" i="16"/>
  <c r="AD36" i="16"/>
  <c r="AE36" i="16"/>
  <c r="AF36" i="16"/>
  <c r="AG36" i="16"/>
  <c r="AH36" i="16"/>
  <c r="AI36" i="16"/>
  <c r="AJ36" i="16"/>
  <c r="AK36" i="16"/>
  <c r="AN36" i="16"/>
  <c r="AX36" i="16"/>
  <c r="AY36" i="16"/>
  <c r="D37" i="16"/>
  <c r="T37" i="16"/>
  <c r="U37" i="16"/>
  <c r="V37" i="16"/>
  <c r="W37" i="16"/>
  <c r="Y37" i="16"/>
  <c r="Z37" i="16"/>
  <c r="AB37" i="16"/>
  <c r="AD37" i="16"/>
  <c r="AE37" i="16"/>
  <c r="AF37" i="16"/>
  <c r="AG37" i="16"/>
  <c r="AH37" i="16"/>
  <c r="AI37" i="16"/>
  <c r="AJ37" i="16"/>
  <c r="AK37" i="16"/>
  <c r="AN37" i="16"/>
  <c r="AX37" i="16"/>
  <c r="AY37" i="16"/>
  <c r="D38" i="16"/>
  <c r="T38" i="16"/>
  <c r="U38" i="16"/>
  <c r="V38" i="16"/>
  <c r="W38" i="16"/>
  <c r="Y38" i="16"/>
  <c r="Z38" i="16"/>
  <c r="AB38" i="16"/>
  <c r="AD38" i="16"/>
  <c r="AE38" i="16"/>
  <c r="AF38" i="16"/>
  <c r="AG38" i="16"/>
  <c r="AH38" i="16"/>
  <c r="AI38" i="16"/>
  <c r="AJ38" i="16"/>
  <c r="AK38" i="16"/>
  <c r="AN38" i="16"/>
  <c r="AX38" i="16"/>
  <c r="AY38" i="16"/>
  <c r="D39" i="16"/>
  <c r="T39" i="16"/>
  <c r="U39" i="16"/>
  <c r="V39" i="16"/>
  <c r="W39" i="16"/>
  <c r="Y39" i="16"/>
  <c r="Z39" i="16"/>
  <c r="AB39" i="16"/>
  <c r="AD39" i="16"/>
  <c r="AE39" i="16"/>
  <c r="AF39" i="16"/>
  <c r="AG39" i="16"/>
  <c r="AH39" i="16"/>
  <c r="AI39" i="16"/>
  <c r="AJ39" i="16"/>
  <c r="AK39" i="16"/>
  <c r="AN39" i="16"/>
  <c r="AX39" i="16"/>
  <c r="AY39" i="16"/>
  <c r="D40" i="16"/>
  <c r="T40" i="16"/>
  <c r="U40" i="16"/>
  <c r="V40" i="16"/>
  <c r="W40" i="16"/>
  <c r="Y40" i="16"/>
  <c r="Z40" i="16"/>
  <c r="AB40" i="16"/>
  <c r="AD40" i="16"/>
  <c r="AE40" i="16"/>
  <c r="AF40" i="16"/>
  <c r="AG40" i="16"/>
  <c r="AH40" i="16"/>
  <c r="AI40" i="16"/>
  <c r="AJ40" i="16"/>
  <c r="AK40" i="16"/>
  <c r="AN40" i="16"/>
  <c r="AX40" i="16"/>
  <c r="AY40" i="16"/>
  <c r="D41" i="16"/>
  <c r="T41" i="16"/>
  <c r="U41" i="16"/>
  <c r="V41" i="16"/>
  <c r="W41" i="16"/>
  <c r="Y41" i="16"/>
  <c r="Z41" i="16"/>
  <c r="AB41" i="16"/>
  <c r="AD41" i="16"/>
  <c r="AE41" i="16"/>
  <c r="AF41" i="16"/>
  <c r="AG41" i="16"/>
  <c r="AH41" i="16"/>
  <c r="AI41" i="16"/>
  <c r="AJ41" i="16"/>
  <c r="AK41" i="16"/>
  <c r="AN41" i="16"/>
  <c r="AX41" i="16"/>
  <c r="AY41" i="16"/>
  <c r="D42" i="16"/>
  <c r="T42" i="16"/>
  <c r="U42" i="16"/>
  <c r="V42" i="16"/>
  <c r="W42" i="16"/>
  <c r="Y42" i="16"/>
  <c r="Z42" i="16"/>
  <c r="AB42" i="16"/>
  <c r="AD42" i="16"/>
  <c r="AE42" i="16"/>
  <c r="AF42" i="16"/>
  <c r="AG42" i="16"/>
  <c r="AH42" i="16"/>
  <c r="AI42" i="16"/>
  <c r="AJ42" i="16"/>
  <c r="AK42" i="16"/>
  <c r="AN42" i="16"/>
  <c r="AX42" i="16"/>
  <c r="AY42" i="16"/>
  <c r="D43" i="16"/>
  <c r="T43" i="16"/>
  <c r="U43" i="16"/>
  <c r="V43" i="16"/>
  <c r="W43" i="16"/>
  <c r="Y43" i="16"/>
  <c r="Z43" i="16"/>
  <c r="AB43" i="16"/>
  <c r="AD43" i="16"/>
  <c r="AE43" i="16"/>
  <c r="AF43" i="16"/>
  <c r="AG43" i="16"/>
  <c r="AH43" i="16"/>
  <c r="AI43" i="16"/>
  <c r="AJ43" i="16"/>
  <c r="AK43" i="16"/>
  <c r="AN43" i="16"/>
  <c r="AX43" i="16"/>
  <c r="AY43" i="16"/>
  <c r="D44" i="16"/>
  <c r="T44" i="16"/>
  <c r="U44" i="16"/>
  <c r="V44" i="16"/>
  <c r="W44" i="16"/>
  <c r="Y44" i="16"/>
  <c r="Z44" i="16"/>
  <c r="AB44" i="16"/>
  <c r="AD44" i="16"/>
  <c r="AE44" i="16"/>
  <c r="AF44" i="16"/>
  <c r="AG44" i="16"/>
  <c r="AH44" i="16"/>
  <c r="AI44" i="16"/>
  <c r="AJ44" i="16"/>
  <c r="AK44" i="16"/>
  <c r="AN44" i="16"/>
  <c r="AX44" i="16"/>
  <c r="AY44" i="16"/>
  <c r="D45" i="16"/>
  <c r="T45" i="16"/>
  <c r="U45" i="16"/>
  <c r="V45" i="16"/>
  <c r="W45" i="16"/>
  <c r="Y45" i="16"/>
  <c r="Z45" i="16"/>
  <c r="AB45" i="16"/>
  <c r="AD45" i="16"/>
  <c r="AE45" i="16"/>
  <c r="AF45" i="16"/>
  <c r="AG45" i="16"/>
  <c r="AH45" i="16"/>
  <c r="AI45" i="16"/>
  <c r="AJ45" i="16"/>
  <c r="AK45" i="16"/>
  <c r="AN45" i="16"/>
  <c r="AX45" i="16"/>
  <c r="AY45" i="16"/>
  <c r="D46" i="16"/>
  <c r="T46" i="16"/>
  <c r="U46" i="16"/>
  <c r="V46" i="16"/>
  <c r="W46" i="16"/>
  <c r="Y46" i="16"/>
  <c r="Z46" i="16"/>
  <c r="AB46" i="16"/>
  <c r="AD46" i="16"/>
  <c r="AE46" i="16"/>
  <c r="AF46" i="16"/>
  <c r="AG46" i="16"/>
  <c r="AH46" i="16"/>
  <c r="AI46" i="16"/>
  <c r="AJ46" i="16"/>
  <c r="AK46" i="16"/>
  <c r="AN46" i="16"/>
  <c r="AX46" i="16"/>
  <c r="AY46" i="16"/>
  <c r="D47" i="16"/>
  <c r="T47" i="16"/>
  <c r="U47" i="16"/>
  <c r="V47" i="16"/>
  <c r="W47" i="16"/>
  <c r="Y47" i="16"/>
  <c r="Z47" i="16"/>
  <c r="AB47" i="16"/>
  <c r="AD47" i="16"/>
  <c r="AE47" i="16"/>
  <c r="AF47" i="16"/>
  <c r="AG47" i="16"/>
  <c r="AH47" i="16"/>
  <c r="AI47" i="16"/>
  <c r="AJ47" i="16"/>
  <c r="AK47" i="16"/>
  <c r="AN47" i="16"/>
  <c r="AX47" i="16"/>
  <c r="AY47" i="16"/>
  <c r="D48" i="16"/>
  <c r="T48" i="16"/>
  <c r="U48" i="16"/>
  <c r="V48" i="16"/>
  <c r="W48" i="16"/>
  <c r="Y48" i="16"/>
  <c r="Z48" i="16"/>
  <c r="AB48" i="16"/>
  <c r="AD48" i="16"/>
  <c r="AE48" i="16"/>
  <c r="AF48" i="16"/>
  <c r="AG48" i="16"/>
  <c r="AH48" i="16"/>
  <c r="AI48" i="16"/>
  <c r="AJ48" i="16"/>
  <c r="AK48" i="16"/>
  <c r="AN48" i="16"/>
  <c r="AX48" i="16"/>
  <c r="AY48" i="16"/>
  <c r="D49" i="16"/>
  <c r="T49" i="16"/>
  <c r="U49" i="16"/>
  <c r="V49" i="16"/>
  <c r="W49" i="16"/>
  <c r="Y49" i="16"/>
  <c r="Z49" i="16"/>
  <c r="AB49" i="16"/>
  <c r="AD49" i="16"/>
  <c r="AE49" i="16"/>
  <c r="AF49" i="16"/>
  <c r="AG49" i="16"/>
  <c r="AH49" i="16"/>
  <c r="AI49" i="16"/>
  <c r="AJ49" i="16"/>
  <c r="AK49" i="16"/>
  <c r="AN49" i="16"/>
  <c r="AX49" i="16"/>
  <c r="AY49" i="16"/>
  <c r="D50" i="16"/>
  <c r="T50" i="16"/>
  <c r="U50" i="16"/>
  <c r="V50" i="16"/>
  <c r="W50" i="16"/>
  <c r="Y50" i="16"/>
  <c r="Z50" i="16"/>
  <c r="AB50" i="16"/>
  <c r="AD50" i="16"/>
  <c r="AE50" i="16"/>
  <c r="AF50" i="16"/>
  <c r="AG50" i="16"/>
  <c r="AH50" i="16"/>
  <c r="AI50" i="16"/>
  <c r="AJ50" i="16"/>
  <c r="AK50" i="16"/>
  <c r="AN50" i="16"/>
  <c r="AX50" i="16"/>
  <c r="AY50" i="16"/>
  <c r="D51" i="16"/>
  <c r="T51" i="16"/>
  <c r="U51" i="16"/>
  <c r="V51" i="16"/>
  <c r="W51" i="16"/>
  <c r="Y51" i="16"/>
  <c r="Z51" i="16"/>
  <c r="AB51" i="16"/>
  <c r="AD51" i="16"/>
  <c r="AE51" i="16"/>
  <c r="AF51" i="16"/>
  <c r="AG51" i="16"/>
  <c r="AH51" i="16"/>
  <c r="AI51" i="16"/>
  <c r="AJ51" i="16"/>
  <c r="AK51" i="16"/>
  <c r="AN51" i="16"/>
  <c r="AX51" i="16"/>
  <c r="AY51" i="16"/>
  <c r="D52" i="16"/>
  <c r="T52" i="16"/>
  <c r="U52" i="16"/>
  <c r="V52" i="16"/>
  <c r="W52" i="16"/>
  <c r="Y52" i="16"/>
  <c r="Z52" i="16"/>
  <c r="AB52" i="16"/>
  <c r="AD52" i="16"/>
  <c r="AE52" i="16"/>
  <c r="AF52" i="16"/>
  <c r="AG52" i="16"/>
  <c r="AH52" i="16"/>
  <c r="AI52" i="16"/>
  <c r="AJ52" i="16"/>
  <c r="AK52" i="16"/>
  <c r="AN52" i="16"/>
  <c r="AX52" i="16"/>
  <c r="AY52" i="16"/>
  <c r="D53" i="16"/>
  <c r="T53" i="16"/>
  <c r="U53" i="16"/>
  <c r="V53" i="16"/>
  <c r="W53" i="16"/>
  <c r="Y53" i="16"/>
  <c r="Z53" i="16"/>
  <c r="AB53" i="16"/>
  <c r="AD53" i="16"/>
  <c r="AE53" i="16"/>
  <c r="AF53" i="16"/>
  <c r="AG53" i="16"/>
  <c r="AH53" i="16"/>
  <c r="AI53" i="16"/>
  <c r="AJ53" i="16"/>
  <c r="AK53" i="16"/>
  <c r="AN53" i="16"/>
  <c r="AX53" i="16"/>
  <c r="AY53" i="16"/>
  <c r="D54" i="16"/>
  <c r="T54" i="16"/>
  <c r="U54" i="16"/>
  <c r="V54" i="16"/>
  <c r="W54" i="16"/>
  <c r="Y54" i="16"/>
  <c r="Z54" i="16"/>
  <c r="AB54" i="16"/>
  <c r="AD54" i="16"/>
  <c r="AE54" i="16"/>
  <c r="AF54" i="16"/>
  <c r="AG54" i="16"/>
  <c r="AH54" i="16"/>
  <c r="AI54" i="16"/>
  <c r="AJ54" i="16"/>
  <c r="AK54" i="16"/>
  <c r="AN54" i="16"/>
  <c r="AX54" i="16"/>
  <c r="AY54" i="16"/>
  <c r="D55" i="16"/>
  <c r="T55" i="16"/>
  <c r="U55" i="16"/>
  <c r="V55" i="16"/>
  <c r="W55" i="16"/>
  <c r="Y55" i="16"/>
  <c r="Z55" i="16"/>
  <c r="AB55" i="16"/>
  <c r="AD55" i="16"/>
  <c r="AE55" i="16"/>
  <c r="AF55" i="16"/>
  <c r="AG55" i="16"/>
  <c r="AH55" i="16"/>
  <c r="AI55" i="16"/>
  <c r="AJ55" i="16"/>
  <c r="AK55" i="16"/>
  <c r="AN55" i="16"/>
  <c r="AX55" i="16"/>
  <c r="AY55" i="16"/>
  <c r="D56" i="16"/>
  <c r="T56" i="16"/>
  <c r="U56" i="16"/>
  <c r="V56" i="16"/>
  <c r="W56" i="16"/>
  <c r="Y56" i="16"/>
  <c r="Z56" i="16"/>
  <c r="AB56" i="16"/>
  <c r="AD56" i="16"/>
  <c r="AE56" i="16"/>
  <c r="AF56" i="16"/>
  <c r="AG56" i="16"/>
  <c r="AH56" i="16"/>
  <c r="AI56" i="16"/>
  <c r="AJ56" i="16"/>
  <c r="AK56" i="16"/>
  <c r="AN56" i="16"/>
  <c r="AX56" i="16"/>
  <c r="AY56" i="16"/>
  <c r="D57" i="16"/>
  <c r="T57" i="16"/>
  <c r="U57" i="16"/>
  <c r="V57" i="16"/>
  <c r="W57" i="16"/>
  <c r="Y57" i="16"/>
  <c r="Z57" i="16"/>
  <c r="AB57" i="16"/>
  <c r="AD57" i="16"/>
  <c r="AE57" i="16"/>
  <c r="AF57" i="16"/>
  <c r="AG57" i="16"/>
  <c r="AH57" i="16"/>
  <c r="AI57" i="16"/>
  <c r="AJ57" i="16"/>
  <c r="AK57" i="16"/>
  <c r="AN57" i="16"/>
  <c r="AX57" i="16"/>
  <c r="AY57" i="16"/>
  <c r="D58" i="16"/>
  <c r="T58" i="16"/>
  <c r="U58" i="16"/>
  <c r="V58" i="16"/>
  <c r="W58" i="16"/>
  <c r="Y58" i="16"/>
  <c r="Z58" i="16"/>
  <c r="AB58" i="16"/>
  <c r="AD58" i="16"/>
  <c r="AE58" i="16"/>
  <c r="AF58" i="16"/>
  <c r="AG58" i="16"/>
  <c r="AH58" i="16"/>
  <c r="AI58" i="16"/>
  <c r="AJ58" i="16"/>
  <c r="AK58" i="16"/>
  <c r="AN58" i="16"/>
  <c r="AX58" i="16"/>
  <c r="AY58" i="16"/>
  <c r="D59" i="16"/>
  <c r="T59" i="16"/>
  <c r="U59" i="16"/>
  <c r="V59" i="16"/>
  <c r="W59" i="16"/>
  <c r="Y59" i="16"/>
  <c r="Z59" i="16"/>
  <c r="AB59" i="16"/>
  <c r="AD59" i="16"/>
  <c r="AE59" i="16"/>
  <c r="AF59" i="16"/>
  <c r="AG59" i="16"/>
  <c r="AH59" i="16"/>
  <c r="AI59" i="16"/>
  <c r="AJ59" i="16"/>
  <c r="AK59" i="16"/>
  <c r="AN59" i="16"/>
  <c r="AX59" i="16"/>
  <c r="AY59" i="16"/>
  <c r="D60" i="16"/>
  <c r="T60" i="16"/>
  <c r="U60" i="16"/>
  <c r="V60" i="16"/>
  <c r="W60" i="16"/>
  <c r="Y60" i="16"/>
  <c r="Z60" i="16"/>
  <c r="AB60" i="16"/>
  <c r="AD60" i="16"/>
  <c r="AE60" i="16"/>
  <c r="AF60" i="16"/>
  <c r="AG60" i="16"/>
  <c r="AH60" i="16"/>
  <c r="AI60" i="16"/>
  <c r="AJ60" i="16"/>
  <c r="AK60" i="16"/>
  <c r="AN60" i="16"/>
  <c r="AX60" i="16"/>
  <c r="AY60" i="16"/>
  <c r="D61" i="16"/>
  <c r="T61" i="16"/>
  <c r="U61" i="16"/>
  <c r="V61" i="16"/>
  <c r="W61" i="16"/>
  <c r="Y61" i="16"/>
  <c r="Z61" i="16"/>
  <c r="AB61" i="16"/>
  <c r="AD61" i="16"/>
  <c r="AE61" i="16"/>
  <c r="AF61" i="16"/>
  <c r="AG61" i="16"/>
  <c r="AH61" i="16"/>
  <c r="AI61" i="16"/>
  <c r="AJ61" i="16"/>
  <c r="AK61" i="16"/>
  <c r="AN61" i="16"/>
  <c r="AX61" i="16"/>
  <c r="AY61" i="16"/>
  <c r="D62" i="16"/>
  <c r="T62" i="16"/>
  <c r="U62" i="16"/>
  <c r="V62" i="16"/>
  <c r="W62" i="16"/>
  <c r="Y62" i="16"/>
  <c r="Z62" i="16"/>
  <c r="AB62" i="16"/>
  <c r="AD62" i="16"/>
  <c r="AE62" i="16"/>
  <c r="AF62" i="16"/>
  <c r="AG62" i="16"/>
  <c r="AH62" i="16"/>
  <c r="AI62" i="16"/>
  <c r="AJ62" i="16"/>
  <c r="AK62" i="16"/>
  <c r="AN62" i="16"/>
  <c r="AX62" i="16"/>
  <c r="AY62" i="16"/>
  <c r="D63" i="16"/>
  <c r="T63" i="16"/>
  <c r="U63" i="16"/>
  <c r="V63" i="16"/>
  <c r="W63" i="16"/>
  <c r="Y63" i="16"/>
  <c r="Z63" i="16"/>
  <c r="AB63" i="16"/>
  <c r="AD63" i="16"/>
  <c r="AE63" i="16"/>
  <c r="AF63" i="16"/>
  <c r="AG63" i="16"/>
  <c r="AH63" i="16"/>
  <c r="AI63" i="16"/>
  <c r="AJ63" i="16"/>
  <c r="AK63" i="16"/>
  <c r="AN63" i="16"/>
  <c r="AX63" i="16"/>
  <c r="AY63" i="16"/>
  <c r="D64" i="16"/>
  <c r="T64" i="16"/>
  <c r="U64" i="16"/>
  <c r="V64" i="16"/>
  <c r="W64" i="16"/>
  <c r="Y64" i="16"/>
  <c r="Z64" i="16"/>
  <c r="AB64" i="16"/>
  <c r="AD64" i="16"/>
  <c r="AE64" i="16"/>
  <c r="AF64" i="16"/>
  <c r="AG64" i="16"/>
  <c r="AH64" i="16"/>
  <c r="AI64" i="16"/>
  <c r="AJ64" i="16"/>
  <c r="AK64" i="16"/>
  <c r="AN64" i="16"/>
  <c r="AX64" i="16"/>
  <c r="AY64" i="16"/>
  <c r="D65" i="16"/>
  <c r="T65" i="16"/>
  <c r="U65" i="16"/>
  <c r="V65" i="16"/>
  <c r="W65" i="16"/>
  <c r="Y65" i="16"/>
  <c r="Z65" i="16"/>
  <c r="AB65" i="16"/>
  <c r="AD65" i="16"/>
  <c r="AE65" i="16"/>
  <c r="AF65" i="16"/>
  <c r="AG65" i="16"/>
  <c r="AH65" i="16"/>
  <c r="AI65" i="16"/>
  <c r="AJ65" i="16"/>
  <c r="AK65" i="16"/>
  <c r="AN65" i="16"/>
  <c r="AX65" i="16"/>
  <c r="AY65" i="16"/>
  <c r="D66" i="16"/>
  <c r="T66" i="16"/>
  <c r="U66" i="16"/>
  <c r="V66" i="16"/>
  <c r="W66" i="16"/>
  <c r="Y66" i="16"/>
  <c r="Z66" i="16"/>
  <c r="AB66" i="16"/>
  <c r="AD66" i="16"/>
  <c r="AE66" i="16"/>
  <c r="AF66" i="16"/>
  <c r="AG66" i="16"/>
  <c r="AH66" i="16"/>
  <c r="AI66" i="16"/>
  <c r="AJ66" i="16"/>
  <c r="AK66" i="16"/>
  <c r="AN66" i="16"/>
  <c r="AX66" i="16"/>
  <c r="AY66" i="16"/>
  <c r="D67" i="16"/>
  <c r="T67" i="16"/>
  <c r="U67" i="16"/>
  <c r="V67" i="16"/>
  <c r="W67" i="16"/>
  <c r="Y67" i="16"/>
  <c r="Z67" i="16"/>
  <c r="AB67" i="16"/>
  <c r="AD67" i="16"/>
  <c r="AE67" i="16"/>
  <c r="AF67" i="16"/>
  <c r="AG67" i="16"/>
  <c r="AH67" i="16"/>
  <c r="AI67" i="16"/>
  <c r="AJ67" i="16"/>
  <c r="AK67" i="16"/>
  <c r="AN67" i="16"/>
  <c r="AX67" i="16"/>
  <c r="AY67" i="16"/>
  <c r="D68" i="16"/>
  <c r="T68" i="16"/>
  <c r="U68" i="16"/>
  <c r="V68" i="16"/>
  <c r="W68" i="16"/>
  <c r="Y68" i="16"/>
  <c r="Z68" i="16"/>
  <c r="AB68" i="16"/>
  <c r="AD68" i="16"/>
  <c r="AE68" i="16"/>
  <c r="AF68" i="16"/>
  <c r="AG68" i="16"/>
  <c r="AH68" i="16"/>
  <c r="AI68" i="16"/>
  <c r="AJ68" i="16"/>
  <c r="AK68" i="16"/>
  <c r="AN68" i="16"/>
  <c r="AX68" i="16"/>
  <c r="AY68" i="16"/>
  <c r="D69" i="16"/>
  <c r="T69" i="16"/>
  <c r="U69" i="16"/>
  <c r="V69" i="16"/>
  <c r="W69" i="16"/>
  <c r="Y69" i="16"/>
  <c r="Z69" i="16"/>
  <c r="AB69" i="16"/>
  <c r="AD69" i="16"/>
  <c r="AE69" i="16"/>
  <c r="AF69" i="16"/>
  <c r="AG69" i="16"/>
  <c r="AH69" i="16"/>
  <c r="AI69" i="16"/>
  <c r="AJ69" i="16"/>
  <c r="AK69" i="16"/>
  <c r="AN69" i="16"/>
  <c r="AX69" i="16"/>
  <c r="AY69" i="16"/>
  <c r="D70" i="16"/>
  <c r="T70" i="16"/>
  <c r="U70" i="16"/>
  <c r="V70" i="16"/>
  <c r="W70" i="16"/>
  <c r="Y70" i="16"/>
  <c r="Z70" i="16"/>
  <c r="AB70" i="16"/>
  <c r="AD70" i="16"/>
  <c r="AE70" i="16"/>
  <c r="AF70" i="16"/>
  <c r="AG70" i="16"/>
  <c r="AH70" i="16"/>
  <c r="AI70" i="16"/>
  <c r="AJ70" i="16"/>
  <c r="AK70" i="16"/>
  <c r="AN70" i="16"/>
  <c r="AX70" i="16"/>
  <c r="AY70" i="16"/>
  <c r="D71" i="16"/>
  <c r="T71" i="16"/>
  <c r="U71" i="16"/>
  <c r="V71" i="16"/>
  <c r="W71" i="16"/>
  <c r="Y71" i="16"/>
  <c r="Z71" i="16"/>
  <c r="AB71" i="16"/>
  <c r="AD71" i="16"/>
  <c r="AE71" i="16"/>
  <c r="AF71" i="16"/>
  <c r="AG71" i="16"/>
  <c r="AH71" i="16"/>
  <c r="AI71" i="16"/>
  <c r="AJ71" i="16"/>
  <c r="AK71" i="16"/>
  <c r="AN71" i="16"/>
  <c r="AX71" i="16"/>
  <c r="AY71" i="16"/>
  <c r="D72" i="16"/>
  <c r="T72" i="16"/>
  <c r="U72" i="16"/>
  <c r="V72" i="16"/>
  <c r="W72" i="16"/>
  <c r="Y72" i="16"/>
  <c r="Z72" i="16"/>
  <c r="AB72" i="16"/>
  <c r="AD72" i="16"/>
  <c r="AE72" i="16"/>
  <c r="AF72" i="16"/>
  <c r="AG72" i="16"/>
  <c r="AH72" i="16"/>
  <c r="AI72" i="16"/>
  <c r="AJ72" i="16"/>
  <c r="AK72" i="16"/>
  <c r="AN72" i="16"/>
  <c r="AX72" i="16"/>
  <c r="AY72" i="16"/>
  <c r="D73" i="16"/>
  <c r="T73" i="16"/>
  <c r="U73" i="16"/>
  <c r="V73" i="16"/>
  <c r="W73" i="16"/>
  <c r="Y73" i="16"/>
  <c r="Z73" i="16"/>
  <c r="AB73" i="16"/>
  <c r="AD73" i="16"/>
  <c r="AE73" i="16"/>
  <c r="AF73" i="16"/>
  <c r="AG73" i="16"/>
  <c r="AH73" i="16"/>
  <c r="AI73" i="16"/>
  <c r="AJ73" i="16"/>
  <c r="AK73" i="16"/>
  <c r="AN73" i="16"/>
  <c r="AX73" i="16"/>
  <c r="AY73" i="16"/>
  <c r="D74" i="16"/>
  <c r="T74" i="16"/>
  <c r="U74" i="16"/>
  <c r="V74" i="16"/>
  <c r="W74" i="16"/>
  <c r="Y74" i="16"/>
  <c r="Z74" i="16"/>
  <c r="AB74" i="16"/>
  <c r="AD74" i="16"/>
  <c r="AE74" i="16"/>
  <c r="AF74" i="16"/>
  <c r="AG74" i="16"/>
  <c r="AH74" i="16"/>
  <c r="AI74" i="16"/>
  <c r="AJ74" i="16"/>
  <c r="AK74" i="16"/>
  <c r="AN74" i="16"/>
  <c r="AX74" i="16"/>
  <c r="AY74" i="16"/>
  <c r="D75" i="16"/>
  <c r="T75" i="16"/>
  <c r="U75" i="16"/>
  <c r="V75" i="16"/>
  <c r="W75" i="16"/>
  <c r="Y75" i="16"/>
  <c r="Z75" i="16"/>
  <c r="AB75" i="16"/>
  <c r="AD75" i="16"/>
  <c r="AE75" i="16"/>
  <c r="AF75" i="16"/>
  <c r="AG75" i="16"/>
  <c r="AH75" i="16"/>
  <c r="AI75" i="16"/>
  <c r="AJ75" i="16"/>
  <c r="AK75" i="16"/>
  <c r="AN75" i="16"/>
  <c r="AX75" i="16"/>
  <c r="AY75" i="16"/>
  <c r="D76" i="16"/>
  <c r="T76" i="16"/>
  <c r="U76" i="16"/>
  <c r="V76" i="16"/>
  <c r="W76" i="16"/>
  <c r="Y76" i="16"/>
  <c r="Z76" i="16"/>
  <c r="AB76" i="16"/>
  <c r="AD76" i="16"/>
  <c r="AE76" i="16"/>
  <c r="AF76" i="16"/>
  <c r="AG76" i="16"/>
  <c r="AH76" i="16"/>
  <c r="AI76" i="16"/>
  <c r="AJ76" i="16"/>
  <c r="AK76" i="16"/>
  <c r="AN76" i="16"/>
  <c r="AX76" i="16"/>
  <c r="AY76" i="16"/>
  <c r="D77" i="16"/>
  <c r="T77" i="16"/>
  <c r="U77" i="16"/>
  <c r="V77" i="16"/>
  <c r="W77" i="16"/>
  <c r="Y77" i="16"/>
  <c r="Z77" i="16"/>
  <c r="AB77" i="16"/>
  <c r="AD77" i="16"/>
  <c r="AE77" i="16"/>
  <c r="AF77" i="16"/>
  <c r="AG77" i="16"/>
  <c r="AH77" i="16"/>
  <c r="AI77" i="16"/>
  <c r="AJ77" i="16"/>
  <c r="AK77" i="16"/>
  <c r="AN77" i="16"/>
  <c r="AX77" i="16"/>
  <c r="AY77" i="16"/>
  <c r="D78" i="16"/>
  <c r="T78" i="16"/>
  <c r="U78" i="16"/>
  <c r="V78" i="16"/>
  <c r="W78" i="16"/>
  <c r="Y78" i="16"/>
  <c r="Z78" i="16"/>
  <c r="AB78" i="16"/>
  <c r="AD78" i="16"/>
  <c r="AE78" i="16"/>
  <c r="AF78" i="16"/>
  <c r="AG78" i="16"/>
  <c r="AH78" i="16"/>
  <c r="AI78" i="16"/>
  <c r="AJ78" i="16"/>
  <c r="AK78" i="16"/>
  <c r="AN78" i="16"/>
  <c r="AX78" i="16"/>
  <c r="AY78" i="16"/>
  <c r="D79" i="16"/>
  <c r="T79" i="16"/>
  <c r="U79" i="16"/>
  <c r="V79" i="16"/>
  <c r="W79" i="16"/>
  <c r="Y79" i="16"/>
  <c r="Z79" i="16"/>
  <c r="AB79" i="16"/>
  <c r="AD79" i="16"/>
  <c r="AE79" i="16"/>
  <c r="AF79" i="16"/>
  <c r="AG79" i="16"/>
  <c r="AH79" i="16"/>
  <c r="AI79" i="16"/>
  <c r="AJ79" i="16"/>
  <c r="AK79" i="16"/>
  <c r="AN79" i="16"/>
  <c r="AX79" i="16"/>
  <c r="AY79" i="16"/>
  <c r="D80" i="16"/>
  <c r="T80" i="16"/>
  <c r="U80" i="16"/>
  <c r="V80" i="16"/>
  <c r="W80" i="16"/>
  <c r="Y80" i="16"/>
  <c r="Z80" i="16"/>
  <c r="AB80" i="16"/>
  <c r="AD80" i="16"/>
  <c r="AE80" i="16"/>
  <c r="AF80" i="16"/>
  <c r="AG80" i="16"/>
  <c r="AH80" i="16"/>
  <c r="AI80" i="16"/>
  <c r="AJ80" i="16"/>
  <c r="AK80" i="16"/>
  <c r="AN80" i="16"/>
  <c r="AX80" i="16"/>
  <c r="AY80" i="16"/>
  <c r="D81" i="16"/>
  <c r="T81" i="16"/>
  <c r="U81" i="16"/>
  <c r="V81" i="16"/>
  <c r="W81" i="16"/>
  <c r="Y81" i="16"/>
  <c r="Z81" i="16"/>
  <c r="AB81" i="16"/>
  <c r="AD81" i="16"/>
  <c r="AE81" i="16"/>
  <c r="AF81" i="16"/>
  <c r="AG81" i="16"/>
  <c r="AH81" i="16"/>
  <c r="AI81" i="16"/>
  <c r="AJ81" i="16"/>
  <c r="AK81" i="16"/>
  <c r="AN81" i="16"/>
  <c r="AX81" i="16"/>
  <c r="AY81" i="16"/>
  <c r="D82" i="16"/>
  <c r="T82" i="16"/>
  <c r="U82" i="16"/>
  <c r="V82" i="16"/>
  <c r="W82" i="16"/>
  <c r="Y82" i="16"/>
  <c r="Z82" i="16"/>
  <c r="AB82" i="16"/>
  <c r="AD82" i="16"/>
  <c r="AE82" i="16"/>
  <c r="AF82" i="16"/>
  <c r="AG82" i="16"/>
  <c r="AH82" i="16"/>
  <c r="AI82" i="16"/>
  <c r="AJ82" i="16"/>
  <c r="AK82" i="16"/>
  <c r="AN82" i="16"/>
  <c r="AX82" i="16"/>
  <c r="AY82" i="16"/>
  <c r="D83" i="16"/>
  <c r="T83" i="16"/>
  <c r="U83" i="16"/>
  <c r="V83" i="16"/>
  <c r="W83" i="16"/>
  <c r="Y83" i="16"/>
  <c r="Z83" i="16"/>
  <c r="AB83" i="16"/>
  <c r="AD83" i="16"/>
  <c r="AE83" i="16"/>
  <c r="AF83" i="16"/>
  <c r="AG83" i="16"/>
  <c r="AH83" i="16"/>
  <c r="AI83" i="16"/>
  <c r="AJ83" i="16"/>
  <c r="AK83" i="16"/>
  <c r="AN83" i="16"/>
  <c r="AX83" i="16"/>
  <c r="AY83" i="16"/>
  <c r="D84" i="16"/>
  <c r="T84" i="16"/>
  <c r="U84" i="16"/>
  <c r="V84" i="16"/>
  <c r="W84" i="16"/>
  <c r="Y84" i="16"/>
  <c r="Z84" i="16"/>
  <c r="AB84" i="16"/>
  <c r="AD84" i="16"/>
  <c r="AE84" i="16"/>
  <c r="AF84" i="16"/>
  <c r="AG84" i="16"/>
  <c r="AH84" i="16"/>
  <c r="AI84" i="16"/>
  <c r="AJ84" i="16"/>
  <c r="AK84" i="16"/>
  <c r="AN84" i="16"/>
  <c r="AX84" i="16"/>
  <c r="AY84" i="16"/>
  <c r="D85" i="16"/>
  <c r="T85" i="16"/>
  <c r="U85" i="16"/>
  <c r="V85" i="16"/>
  <c r="W85" i="16"/>
  <c r="Y85" i="16"/>
  <c r="Z85" i="16"/>
  <c r="AB85" i="16"/>
  <c r="AD85" i="16"/>
  <c r="AE85" i="16"/>
  <c r="AF85" i="16"/>
  <c r="AG85" i="16"/>
  <c r="AH85" i="16"/>
  <c r="AI85" i="16"/>
  <c r="AJ85" i="16"/>
  <c r="AK85" i="16"/>
  <c r="AN85" i="16"/>
  <c r="AX85" i="16"/>
  <c r="AY85" i="16"/>
  <c r="D86" i="16"/>
  <c r="T86" i="16"/>
  <c r="U86" i="16"/>
  <c r="V86" i="16"/>
  <c r="W86" i="16"/>
  <c r="Y86" i="16"/>
  <c r="Z86" i="16"/>
  <c r="AB86" i="16"/>
  <c r="AD86" i="16"/>
  <c r="AE86" i="16"/>
  <c r="AF86" i="16"/>
  <c r="AG86" i="16"/>
  <c r="AH86" i="16"/>
  <c r="AI86" i="16"/>
  <c r="AJ86" i="16"/>
  <c r="AK86" i="16"/>
  <c r="AN86" i="16"/>
  <c r="AX86" i="16"/>
  <c r="AY86" i="16"/>
  <c r="D87" i="16"/>
  <c r="T87" i="16"/>
  <c r="U87" i="16"/>
  <c r="V87" i="16"/>
  <c r="W87" i="16"/>
  <c r="Y87" i="16"/>
  <c r="Z87" i="16"/>
  <c r="AB87" i="16"/>
  <c r="AD87" i="16"/>
  <c r="AE87" i="16"/>
  <c r="AF87" i="16"/>
  <c r="AG87" i="16"/>
  <c r="AH87" i="16"/>
  <c r="AI87" i="16"/>
  <c r="AJ87" i="16"/>
  <c r="AK87" i="16"/>
  <c r="AN87" i="16"/>
  <c r="AX87" i="16"/>
  <c r="AY87" i="16"/>
  <c r="D88" i="16"/>
  <c r="T88" i="16"/>
  <c r="U88" i="16"/>
  <c r="V88" i="16"/>
  <c r="W88" i="16"/>
  <c r="Y88" i="16"/>
  <c r="Z88" i="16"/>
  <c r="AB88" i="16"/>
  <c r="AD88" i="16"/>
  <c r="AE88" i="16"/>
  <c r="AF88" i="16"/>
  <c r="AG88" i="16"/>
  <c r="AH88" i="16"/>
  <c r="AI88" i="16"/>
  <c r="AJ88" i="16"/>
  <c r="AK88" i="16"/>
  <c r="AN88" i="16"/>
  <c r="AX88" i="16"/>
  <c r="AY88" i="16"/>
  <c r="D89" i="16"/>
  <c r="T89" i="16"/>
  <c r="U89" i="16"/>
  <c r="V89" i="16"/>
  <c r="W89" i="16"/>
  <c r="Y89" i="16"/>
  <c r="Z89" i="16"/>
  <c r="AB89" i="16"/>
  <c r="AD89" i="16"/>
  <c r="AE89" i="16"/>
  <c r="AF89" i="16"/>
  <c r="AG89" i="16"/>
  <c r="AH89" i="16"/>
  <c r="AI89" i="16"/>
  <c r="AJ89" i="16"/>
  <c r="AK89" i="16"/>
  <c r="AN89" i="16"/>
  <c r="AX89" i="16"/>
  <c r="AY89" i="16"/>
  <c r="D90" i="16"/>
  <c r="T90" i="16"/>
  <c r="U90" i="16"/>
  <c r="V90" i="16"/>
  <c r="W90" i="16"/>
  <c r="Y90" i="16"/>
  <c r="Z90" i="16"/>
  <c r="AB90" i="16"/>
  <c r="AD90" i="16"/>
  <c r="AE90" i="16"/>
  <c r="AF90" i="16"/>
  <c r="AG90" i="16"/>
  <c r="AH90" i="16"/>
  <c r="AI90" i="16"/>
  <c r="AJ90" i="16"/>
  <c r="AK90" i="16"/>
  <c r="AN90" i="16"/>
  <c r="AX90" i="16"/>
  <c r="AY90" i="16"/>
  <c r="D91" i="16"/>
  <c r="T91" i="16"/>
  <c r="U91" i="16"/>
  <c r="V91" i="16"/>
  <c r="W91" i="16"/>
  <c r="Y91" i="16"/>
  <c r="Z91" i="16"/>
  <c r="AB91" i="16"/>
  <c r="AD91" i="16"/>
  <c r="AE91" i="16"/>
  <c r="AF91" i="16"/>
  <c r="AG91" i="16"/>
  <c r="AH91" i="16"/>
  <c r="AI91" i="16"/>
  <c r="AJ91" i="16"/>
  <c r="AK91" i="16"/>
  <c r="AN91" i="16"/>
  <c r="AX91" i="16"/>
  <c r="AY91" i="16"/>
  <c r="D92" i="16"/>
  <c r="T92" i="16"/>
  <c r="U92" i="16"/>
  <c r="V92" i="16"/>
  <c r="W92" i="16"/>
  <c r="Y92" i="16"/>
  <c r="Z92" i="16"/>
  <c r="AB92" i="16"/>
  <c r="AD92" i="16"/>
  <c r="AE92" i="16"/>
  <c r="AF92" i="16"/>
  <c r="AG92" i="16"/>
  <c r="AH92" i="16"/>
  <c r="AI92" i="16"/>
  <c r="AJ92" i="16"/>
  <c r="AK92" i="16"/>
  <c r="AN92" i="16"/>
  <c r="AX92" i="16"/>
  <c r="AY92" i="16"/>
  <c r="D93" i="16"/>
  <c r="T93" i="16"/>
  <c r="U93" i="16"/>
  <c r="V93" i="16"/>
  <c r="W93" i="16"/>
  <c r="Y93" i="16"/>
  <c r="Z93" i="16"/>
  <c r="AB93" i="16"/>
  <c r="AD93" i="16"/>
  <c r="AE93" i="16"/>
  <c r="AF93" i="16"/>
  <c r="AG93" i="16"/>
  <c r="AH93" i="16"/>
  <c r="AI93" i="16"/>
  <c r="AJ93" i="16"/>
  <c r="AK93" i="16"/>
  <c r="AN93" i="16"/>
  <c r="AX93" i="16"/>
  <c r="AY93" i="16"/>
  <c r="D94" i="16"/>
  <c r="T94" i="16"/>
  <c r="U94" i="16"/>
  <c r="V94" i="16"/>
  <c r="W94" i="16"/>
  <c r="Y94" i="16"/>
  <c r="Z94" i="16"/>
  <c r="AB94" i="16"/>
  <c r="AD94" i="16"/>
  <c r="AE94" i="16"/>
  <c r="AF94" i="16"/>
  <c r="AG94" i="16"/>
  <c r="AH94" i="16"/>
  <c r="AI94" i="16"/>
  <c r="AJ94" i="16"/>
  <c r="AK94" i="16"/>
  <c r="AN94" i="16"/>
  <c r="AX94" i="16"/>
  <c r="AY94" i="16"/>
  <c r="D95" i="16"/>
  <c r="T95" i="16"/>
  <c r="U95" i="16"/>
  <c r="V95" i="16"/>
  <c r="W95" i="16"/>
  <c r="Y95" i="16"/>
  <c r="Z95" i="16"/>
  <c r="AB95" i="16"/>
  <c r="AD95" i="16"/>
  <c r="AE95" i="16"/>
  <c r="AF95" i="16"/>
  <c r="AG95" i="16"/>
  <c r="AH95" i="16"/>
  <c r="AI95" i="16"/>
  <c r="AJ95" i="16"/>
  <c r="AK95" i="16"/>
  <c r="AN95" i="16"/>
  <c r="AX95" i="16"/>
  <c r="AY95" i="16"/>
  <c r="D96" i="16"/>
  <c r="T96" i="16"/>
  <c r="U96" i="16"/>
  <c r="V96" i="16"/>
  <c r="W96" i="16"/>
  <c r="Y96" i="16"/>
  <c r="Z96" i="16"/>
  <c r="AB96" i="16"/>
  <c r="AD96" i="16"/>
  <c r="AE96" i="16"/>
  <c r="AF96" i="16"/>
  <c r="AG96" i="16"/>
  <c r="AH96" i="16"/>
  <c r="AI96" i="16"/>
  <c r="AJ96" i="16"/>
  <c r="AK96" i="16"/>
  <c r="AN96" i="16"/>
  <c r="AX96" i="16"/>
  <c r="AY96" i="16"/>
  <c r="D97" i="16"/>
  <c r="T97" i="16"/>
  <c r="U97" i="16"/>
  <c r="V97" i="16"/>
  <c r="W97" i="16"/>
  <c r="Y97" i="16"/>
  <c r="Z97" i="16"/>
  <c r="AB97" i="16"/>
  <c r="AD97" i="16"/>
  <c r="AE97" i="16"/>
  <c r="AF97" i="16"/>
  <c r="AG97" i="16"/>
  <c r="AH97" i="16"/>
  <c r="AI97" i="16"/>
  <c r="AJ97" i="16"/>
  <c r="AK97" i="16"/>
  <c r="AN97" i="16"/>
  <c r="AX97" i="16"/>
  <c r="AY97" i="16"/>
  <c r="D98" i="16"/>
  <c r="T98" i="16"/>
  <c r="U98" i="16"/>
  <c r="V98" i="16"/>
  <c r="W98" i="16"/>
  <c r="Y98" i="16"/>
  <c r="Z98" i="16"/>
  <c r="AB98" i="16"/>
  <c r="AD98" i="16"/>
  <c r="AE98" i="16"/>
  <c r="AF98" i="16"/>
  <c r="AG98" i="16"/>
  <c r="AH98" i="16"/>
  <c r="AI98" i="16"/>
  <c r="AJ98" i="16"/>
  <c r="AK98" i="16"/>
  <c r="AN98" i="16"/>
  <c r="AX98" i="16"/>
  <c r="AY98" i="16"/>
  <c r="D99" i="16"/>
  <c r="T99" i="16"/>
  <c r="U99" i="16"/>
  <c r="V99" i="16"/>
  <c r="W99" i="16"/>
  <c r="Y99" i="16"/>
  <c r="Z99" i="16"/>
  <c r="AB99" i="16"/>
  <c r="AD99" i="16"/>
  <c r="AE99" i="16"/>
  <c r="AF99" i="16"/>
  <c r="AG99" i="16"/>
  <c r="AH99" i="16"/>
  <c r="AI99" i="16"/>
  <c r="AJ99" i="16"/>
  <c r="AK99" i="16"/>
  <c r="AN99" i="16"/>
  <c r="AX99" i="16"/>
  <c r="AY99" i="16"/>
  <c r="D100" i="16"/>
  <c r="T100" i="16"/>
  <c r="U100" i="16"/>
  <c r="V100" i="16"/>
  <c r="W100" i="16"/>
  <c r="Y100" i="16"/>
  <c r="Z100" i="16"/>
  <c r="AB100" i="16"/>
  <c r="AD100" i="16"/>
  <c r="AE100" i="16"/>
  <c r="AF100" i="16"/>
  <c r="AG100" i="16"/>
  <c r="AH100" i="16"/>
  <c r="AI100" i="16"/>
  <c r="AJ100" i="16"/>
  <c r="AK100" i="16"/>
  <c r="AN100" i="16"/>
  <c r="AX100" i="16"/>
  <c r="AY100" i="16"/>
  <c r="D101" i="16"/>
  <c r="T101" i="16"/>
  <c r="U101" i="16"/>
  <c r="V101" i="16"/>
  <c r="W101" i="16"/>
  <c r="Y101" i="16"/>
  <c r="Z101" i="16"/>
  <c r="AB101" i="16"/>
  <c r="AD101" i="16"/>
  <c r="AE101" i="16"/>
  <c r="AF101" i="16"/>
  <c r="AG101" i="16"/>
  <c r="AH101" i="16"/>
  <c r="AI101" i="16"/>
  <c r="AJ101" i="16"/>
  <c r="AK101" i="16"/>
  <c r="AN101" i="16"/>
  <c r="AX101" i="16"/>
  <c r="AY101" i="16"/>
  <c r="D102" i="16"/>
  <c r="T102" i="16"/>
  <c r="U102" i="16"/>
  <c r="V102" i="16"/>
  <c r="W102" i="16"/>
  <c r="Y102" i="16"/>
  <c r="Z102" i="16"/>
  <c r="AB102" i="16"/>
  <c r="AD102" i="16"/>
  <c r="AE102" i="16"/>
  <c r="AF102" i="16"/>
  <c r="AG102" i="16"/>
  <c r="AH102" i="16"/>
  <c r="AI102" i="16"/>
  <c r="AJ102" i="16"/>
  <c r="AK102" i="16"/>
  <c r="AN102" i="16"/>
  <c r="AX102" i="16"/>
  <c r="AY102" i="16"/>
  <c r="D103" i="16"/>
  <c r="T103" i="16"/>
  <c r="U103" i="16"/>
  <c r="V103" i="16"/>
  <c r="W103" i="16"/>
  <c r="Y103" i="16"/>
  <c r="Z103" i="16"/>
  <c r="AB103" i="16"/>
  <c r="AD103" i="16"/>
  <c r="AE103" i="16"/>
  <c r="AF103" i="16"/>
  <c r="AG103" i="16"/>
  <c r="AH103" i="16"/>
  <c r="AI103" i="16"/>
  <c r="AJ103" i="16"/>
  <c r="AK103" i="16"/>
  <c r="AN103" i="16"/>
  <c r="AX103" i="16"/>
  <c r="AY103" i="16"/>
  <c r="D104" i="16"/>
  <c r="T104" i="16"/>
  <c r="U104" i="16"/>
  <c r="V104" i="16"/>
  <c r="W104" i="16"/>
  <c r="Y104" i="16"/>
  <c r="Z104" i="16"/>
  <c r="AB104" i="16"/>
  <c r="AD104" i="16"/>
  <c r="AE104" i="16"/>
  <c r="AF104" i="16"/>
  <c r="AG104" i="16"/>
  <c r="AH104" i="16"/>
  <c r="AI104" i="16"/>
  <c r="AJ104" i="16"/>
  <c r="AK104" i="16"/>
  <c r="AN104" i="16"/>
  <c r="AX104" i="16"/>
  <c r="AY104" i="16"/>
  <c r="E1" i="36"/>
  <c r="H1" i="36"/>
  <c r="K1" i="36"/>
  <c r="E3" i="36"/>
  <c r="E4" i="36"/>
  <c r="N4" i="36"/>
  <c r="Q6" i="36"/>
  <c r="N7" i="36"/>
  <c r="K8" i="36"/>
  <c r="K9" i="36"/>
  <c r="Q9" i="36"/>
  <c r="B10" i="36"/>
  <c r="Q10" i="36"/>
  <c r="B12" i="36"/>
  <c r="H12" i="36"/>
  <c r="E13" i="36"/>
  <c r="H13" i="36"/>
  <c r="K13" i="36"/>
  <c r="E14" i="36"/>
  <c r="K14" i="36"/>
  <c r="H15" i="36"/>
  <c r="H16" i="36"/>
  <c r="Q16" i="36"/>
  <c r="H17" i="36"/>
  <c r="Q17" i="36"/>
  <c r="H18" i="36"/>
  <c r="A23" i="36"/>
  <c r="D23" i="36"/>
  <c r="S23" i="36"/>
  <c r="T23" i="36"/>
  <c r="U23" i="36"/>
  <c r="V23" i="36"/>
  <c r="W23" i="36"/>
  <c r="X23" i="36"/>
  <c r="Z23" i="36"/>
  <c r="AA23" i="36"/>
  <c r="AC23" i="36"/>
  <c r="AG23" i="36"/>
  <c r="AH23" i="36"/>
  <c r="AJ23" i="36"/>
  <c r="AK23" i="36"/>
  <c r="AM23" i="36"/>
  <c r="AN23" i="36"/>
  <c r="AO23" i="36"/>
  <c r="AX23" i="36"/>
  <c r="AY23" i="36"/>
  <c r="A24" i="36"/>
  <c r="B24" i="36"/>
  <c r="C24" i="36"/>
  <c r="D24" i="36"/>
  <c r="E24" i="36"/>
  <c r="F24" i="36"/>
  <c r="S24" i="36"/>
  <c r="T24" i="36"/>
  <c r="U24" i="36"/>
  <c r="V24" i="36"/>
  <c r="W24" i="36"/>
  <c r="X24" i="36"/>
  <c r="Z24" i="36"/>
  <c r="AA24" i="36"/>
  <c r="AC24" i="36"/>
  <c r="AG24" i="36"/>
  <c r="AH24" i="36"/>
  <c r="AJ24" i="36"/>
  <c r="AK24" i="36"/>
  <c r="AM24" i="36"/>
  <c r="AN24" i="36"/>
  <c r="AO24" i="36"/>
  <c r="AX24" i="36"/>
  <c r="AY24" i="36"/>
  <c r="A25" i="36"/>
  <c r="B25" i="36"/>
  <c r="C25" i="36"/>
  <c r="D25" i="36"/>
  <c r="E25" i="36"/>
  <c r="F25" i="36"/>
  <c r="S25" i="36"/>
  <c r="T25" i="36"/>
  <c r="U25" i="36"/>
  <c r="V25" i="36"/>
  <c r="W25" i="36"/>
  <c r="X25" i="36"/>
  <c r="Z25" i="36"/>
  <c r="AA25" i="36"/>
  <c r="AC25" i="36"/>
  <c r="AG25" i="36"/>
  <c r="AH25" i="36"/>
  <c r="AJ25" i="36"/>
  <c r="AK25" i="36"/>
  <c r="AM25" i="36"/>
  <c r="AN25" i="36"/>
  <c r="AO25" i="36"/>
  <c r="AX25" i="36"/>
  <c r="AY25" i="36"/>
  <c r="A26" i="36"/>
  <c r="B26" i="36"/>
  <c r="C26" i="36"/>
  <c r="D26" i="36"/>
  <c r="E26" i="36"/>
  <c r="F26" i="36"/>
  <c r="S26" i="36"/>
  <c r="T26" i="36"/>
  <c r="U26" i="36"/>
  <c r="V26" i="36"/>
  <c r="W26" i="36"/>
  <c r="X26" i="36"/>
  <c r="Z26" i="36"/>
  <c r="AA26" i="36"/>
  <c r="AC26" i="36"/>
  <c r="AG26" i="36"/>
  <c r="AH26" i="36"/>
  <c r="AJ26" i="36"/>
  <c r="AK26" i="36"/>
  <c r="AM26" i="36"/>
  <c r="AN26" i="36"/>
  <c r="AO26" i="36"/>
  <c r="AX26" i="36"/>
  <c r="AY26" i="36"/>
  <c r="A27" i="36"/>
  <c r="B27" i="36"/>
  <c r="C27" i="36"/>
  <c r="D27" i="36"/>
  <c r="E27" i="36"/>
  <c r="F27" i="36"/>
  <c r="S27" i="36"/>
  <c r="T27" i="36"/>
  <c r="U27" i="36"/>
  <c r="V27" i="36"/>
  <c r="W27" i="36"/>
  <c r="X27" i="36"/>
  <c r="Z27" i="36"/>
  <c r="AA27" i="36"/>
  <c r="AC27" i="36"/>
  <c r="AG27" i="36"/>
  <c r="AH27" i="36"/>
  <c r="AJ27" i="36"/>
  <c r="AK27" i="36"/>
  <c r="AM27" i="36"/>
  <c r="AN27" i="36"/>
  <c r="AO27" i="36"/>
  <c r="AX27" i="36"/>
  <c r="AY27" i="36"/>
  <c r="A28" i="36"/>
  <c r="B28" i="36"/>
  <c r="C28" i="36"/>
  <c r="D28" i="36"/>
  <c r="E28" i="36"/>
  <c r="F28" i="36"/>
  <c r="S28" i="36"/>
  <c r="T28" i="36"/>
  <c r="U28" i="36"/>
  <c r="V28" i="36"/>
  <c r="W28" i="36"/>
  <c r="X28" i="36"/>
  <c r="Z28" i="36"/>
  <c r="AA28" i="36"/>
  <c r="AC28" i="36"/>
  <c r="AG28" i="36"/>
  <c r="AH28" i="36"/>
  <c r="AJ28" i="36"/>
  <c r="AK28" i="36"/>
  <c r="AM28" i="36"/>
  <c r="AN28" i="36"/>
  <c r="AO28" i="36"/>
  <c r="AX28" i="36"/>
  <c r="AY28" i="36"/>
  <c r="A29" i="36"/>
  <c r="B29" i="36"/>
  <c r="C29" i="36"/>
  <c r="D29" i="36"/>
  <c r="E29" i="36"/>
  <c r="F29" i="36"/>
  <c r="S29" i="36"/>
  <c r="T29" i="36"/>
  <c r="U29" i="36"/>
  <c r="V29" i="36"/>
  <c r="W29" i="36"/>
  <c r="X29" i="36"/>
  <c r="Z29" i="36"/>
  <c r="AA29" i="36"/>
  <c r="AC29" i="36"/>
  <c r="AG29" i="36"/>
  <c r="AH29" i="36"/>
  <c r="AJ29" i="36"/>
  <c r="AK29" i="36"/>
  <c r="AM29" i="36"/>
  <c r="AN29" i="36"/>
  <c r="AO29" i="36"/>
  <c r="AX29" i="36"/>
  <c r="AY29" i="36"/>
  <c r="A30" i="36"/>
  <c r="B30" i="36"/>
  <c r="C30" i="36"/>
  <c r="D30" i="36"/>
  <c r="E30" i="36"/>
  <c r="F30" i="36"/>
  <c r="S30" i="36"/>
  <c r="T30" i="36"/>
  <c r="U30" i="36"/>
  <c r="V30" i="36"/>
  <c r="W30" i="36"/>
  <c r="X30" i="36"/>
  <c r="Z30" i="36"/>
  <c r="AA30" i="36"/>
  <c r="AC30" i="36"/>
  <c r="AG30" i="36"/>
  <c r="AH30" i="36"/>
  <c r="AJ30" i="36"/>
  <c r="AK30" i="36"/>
  <c r="AM30" i="36"/>
  <c r="AN30" i="36"/>
  <c r="AO30" i="36"/>
  <c r="AX30" i="36"/>
  <c r="AY30" i="36"/>
  <c r="A31" i="36"/>
  <c r="B31" i="36"/>
  <c r="C31" i="36"/>
  <c r="D31" i="36"/>
  <c r="E31" i="36"/>
  <c r="F31" i="36"/>
  <c r="S31" i="36"/>
  <c r="T31" i="36"/>
  <c r="U31" i="36"/>
  <c r="V31" i="36"/>
  <c r="W31" i="36"/>
  <c r="X31" i="36"/>
  <c r="Z31" i="36"/>
  <c r="AA31" i="36"/>
  <c r="AC31" i="36"/>
  <c r="AG31" i="36"/>
  <c r="AH31" i="36"/>
  <c r="AJ31" i="36"/>
  <c r="AK31" i="36"/>
  <c r="AM31" i="36"/>
  <c r="AN31" i="36"/>
  <c r="AO31" i="36"/>
  <c r="AX31" i="36"/>
  <c r="AY31" i="36"/>
  <c r="A32" i="36"/>
  <c r="B32" i="36"/>
  <c r="C32" i="36"/>
  <c r="D32" i="36"/>
  <c r="E32" i="36"/>
  <c r="F32" i="36"/>
  <c r="S32" i="36"/>
  <c r="T32" i="36"/>
  <c r="U32" i="36"/>
  <c r="V32" i="36"/>
  <c r="W32" i="36"/>
  <c r="X32" i="36"/>
  <c r="Z32" i="36"/>
  <c r="AA32" i="36"/>
  <c r="AC32" i="36"/>
  <c r="AG32" i="36"/>
  <c r="AH32" i="36"/>
  <c r="AJ32" i="36"/>
  <c r="AK32" i="36"/>
  <c r="AM32" i="36"/>
  <c r="AN32" i="36"/>
  <c r="AO32" i="36"/>
  <c r="AX32" i="36"/>
  <c r="AY32" i="36"/>
  <c r="A33" i="36"/>
  <c r="B33" i="36"/>
  <c r="C33" i="36"/>
  <c r="D33" i="36"/>
  <c r="E33" i="36"/>
  <c r="F33" i="36"/>
  <c r="S33" i="36"/>
  <c r="T33" i="36"/>
  <c r="U33" i="36"/>
  <c r="V33" i="36"/>
  <c r="W33" i="36"/>
  <c r="X33" i="36"/>
  <c r="Z33" i="36"/>
  <c r="AA33" i="36"/>
  <c r="AC33" i="36"/>
  <c r="AG33" i="36"/>
  <c r="AH33" i="36"/>
  <c r="AJ33" i="36"/>
  <c r="AK33" i="36"/>
  <c r="AM33" i="36"/>
  <c r="AN33" i="36"/>
  <c r="AO33" i="36"/>
  <c r="AX33" i="36"/>
  <c r="AY33" i="36"/>
  <c r="A34" i="36"/>
  <c r="B34" i="36"/>
  <c r="C34" i="36"/>
  <c r="D34" i="36"/>
  <c r="E34" i="36"/>
  <c r="F34" i="36"/>
  <c r="S34" i="36"/>
  <c r="T34" i="36"/>
  <c r="U34" i="36"/>
  <c r="V34" i="36"/>
  <c r="W34" i="36"/>
  <c r="X34" i="36"/>
  <c r="Z34" i="36"/>
  <c r="AA34" i="36"/>
  <c r="AC34" i="36"/>
  <c r="AG34" i="36"/>
  <c r="AH34" i="36"/>
  <c r="AJ34" i="36"/>
  <c r="AK34" i="36"/>
  <c r="AM34" i="36"/>
  <c r="AN34" i="36"/>
  <c r="AO34" i="36"/>
  <c r="AX34" i="36"/>
  <c r="AY34" i="36"/>
  <c r="A35" i="36"/>
  <c r="B35" i="36"/>
  <c r="C35" i="36"/>
  <c r="D35" i="36"/>
  <c r="E35" i="36"/>
  <c r="F35" i="36"/>
  <c r="S35" i="36"/>
  <c r="T35" i="36"/>
  <c r="U35" i="36"/>
  <c r="V35" i="36"/>
  <c r="W35" i="36"/>
  <c r="X35" i="36"/>
  <c r="Z35" i="36"/>
  <c r="AA35" i="36"/>
  <c r="AC35" i="36"/>
  <c r="AG35" i="36"/>
  <c r="AH35" i="36"/>
  <c r="AJ35" i="36"/>
  <c r="AK35" i="36"/>
  <c r="AM35" i="36"/>
  <c r="AN35" i="36"/>
  <c r="AO35" i="36"/>
  <c r="AX35" i="36"/>
  <c r="AY35" i="36"/>
  <c r="A36" i="36"/>
  <c r="B36" i="36"/>
  <c r="C36" i="36"/>
  <c r="D36" i="36"/>
  <c r="E36" i="36"/>
  <c r="F36" i="36"/>
  <c r="S36" i="36"/>
  <c r="T36" i="36"/>
  <c r="U36" i="36"/>
  <c r="V36" i="36"/>
  <c r="W36" i="36"/>
  <c r="X36" i="36"/>
  <c r="Z36" i="36"/>
  <c r="AA36" i="36"/>
  <c r="AC36" i="36"/>
  <c r="AG36" i="36"/>
  <c r="AH36" i="36"/>
  <c r="AJ36" i="36"/>
  <c r="AK36" i="36"/>
  <c r="AM36" i="36"/>
  <c r="AN36" i="36"/>
  <c r="AO36" i="36"/>
  <c r="AX36" i="36"/>
  <c r="AY36" i="36"/>
  <c r="A37" i="36"/>
  <c r="B37" i="36"/>
  <c r="C37" i="36"/>
  <c r="D37" i="36"/>
  <c r="E37" i="36"/>
  <c r="F37" i="36"/>
  <c r="S37" i="36"/>
  <c r="T37" i="36"/>
  <c r="U37" i="36"/>
  <c r="V37" i="36"/>
  <c r="W37" i="36"/>
  <c r="X37" i="36"/>
  <c r="Z37" i="36"/>
  <c r="AA37" i="36"/>
  <c r="AC37" i="36"/>
  <c r="AG37" i="36"/>
  <c r="AH37" i="36"/>
  <c r="AJ37" i="36"/>
  <c r="AK37" i="36"/>
  <c r="AM37" i="36"/>
  <c r="AN37" i="36"/>
  <c r="AO37" i="36"/>
  <c r="AX37" i="36"/>
  <c r="AY37" i="36"/>
  <c r="A38" i="36"/>
  <c r="B38" i="36"/>
  <c r="C38" i="36"/>
  <c r="D38" i="36"/>
  <c r="E38" i="36"/>
  <c r="F38" i="36"/>
  <c r="S38" i="36"/>
  <c r="T38" i="36"/>
  <c r="U38" i="36"/>
  <c r="V38" i="36"/>
  <c r="W38" i="36"/>
  <c r="X38" i="36"/>
  <c r="Z38" i="36"/>
  <c r="AA38" i="36"/>
  <c r="AC38" i="36"/>
  <c r="AG38" i="36"/>
  <c r="AH38" i="36"/>
  <c r="AJ38" i="36"/>
  <c r="AK38" i="36"/>
  <c r="AM38" i="36"/>
  <c r="AN38" i="36"/>
  <c r="AO38" i="36"/>
  <c r="AX38" i="36"/>
  <c r="AY38" i="36"/>
  <c r="A39" i="36"/>
  <c r="B39" i="36"/>
  <c r="C39" i="36"/>
  <c r="D39" i="36"/>
  <c r="E39" i="36"/>
  <c r="F39" i="36"/>
  <c r="S39" i="36"/>
  <c r="T39" i="36"/>
  <c r="U39" i="36"/>
  <c r="V39" i="36"/>
  <c r="W39" i="36"/>
  <c r="X39" i="36"/>
  <c r="Z39" i="36"/>
  <c r="AA39" i="36"/>
  <c r="AC39" i="36"/>
  <c r="AG39" i="36"/>
  <c r="AH39" i="36"/>
  <c r="AJ39" i="36"/>
  <c r="AK39" i="36"/>
  <c r="AM39" i="36"/>
  <c r="AN39" i="36"/>
  <c r="AO39" i="36"/>
  <c r="AX39" i="36"/>
  <c r="AY39" i="36"/>
  <c r="A40" i="36"/>
  <c r="B40" i="36"/>
  <c r="C40" i="36"/>
  <c r="D40" i="36"/>
  <c r="E40" i="36"/>
  <c r="F40" i="36"/>
  <c r="S40" i="36"/>
  <c r="T40" i="36"/>
  <c r="U40" i="36"/>
  <c r="V40" i="36"/>
  <c r="W40" i="36"/>
  <c r="X40" i="36"/>
  <c r="Z40" i="36"/>
  <c r="AA40" i="36"/>
  <c r="AC40" i="36"/>
  <c r="AG40" i="36"/>
  <c r="AH40" i="36"/>
  <c r="AJ40" i="36"/>
  <c r="AK40" i="36"/>
  <c r="AM40" i="36"/>
  <c r="AN40" i="36"/>
  <c r="AO40" i="36"/>
  <c r="AX40" i="36"/>
  <c r="AY40" i="36"/>
  <c r="A41" i="36"/>
  <c r="B41" i="36"/>
  <c r="C41" i="36"/>
  <c r="D41" i="36"/>
  <c r="E41" i="36"/>
  <c r="F41" i="36"/>
  <c r="S41" i="36"/>
  <c r="T41" i="36"/>
  <c r="U41" i="36"/>
  <c r="V41" i="36"/>
  <c r="W41" i="36"/>
  <c r="X41" i="36"/>
  <c r="Z41" i="36"/>
  <c r="AA41" i="36"/>
  <c r="AC41" i="36"/>
  <c r="AG41" i="36"/>
  <c r="AH41" i="36"/>
  <c r="AJ41" i="36"/>
  <c r="AK41" i="36"/>
  <c r="AM41" i="36"/>
  <c r="AN41" i="36"/>
  <c r="AO41" i="36"/>
  <c r="AX41" i="36"/>
  <c r="AY41" i="36"/>
  <c r="A42" i="36"/>
  <c r="B42" i="36"/>
  <c r="C42" i="36"/>
  <c r="D42" i="36"/>
  <c r="E42" i="36"/>
  <c r="F42" i="36"/>
  <c r="S42" i="36"/>
  <c r="T42" i="36"/>
  <c r="U42" i="36"/>
  <c r="V42" i="36"/>
  <c r="W42" i="36"/>
  <c r="X42" i="36"/>
  <c r="Z42" i="36"/>
  <c r="AA42" i="36"/>
  <c r="AC42" i="36"/>
  <c r="AG42" i="36"/>
  <c r="AH42" i="36"/>
  <c r="AJ42" i="36"/>
  <c r="AK42" i="36"/>
  <c r="AM42" i="36"/>
  <c r="AN42" i="36"/>
  <c r="AO42" i="36"/>
  <c r="AX42" i="36"/>
  <c r="AY42" i="36"/>
  <c r="A43" i="36"/>
  <c r="B43" i="36"/>
  <c r="C43" i="36"/>
  <c r="D43" i="36"/>
  <c r="E43" i="36"/>
  <c r="F43" i="36"/>
  <c r="S43" i="36"/>
  <c r="T43" i="36"/>
  <c r="U43" i="36"/>
  <c r="V43" i="36"/>
  <c r="W43" i="36"/>
  <c r="X43" i="36"/>
  <c r="Z43" i="36"/>
  <c r="AA43" i="36"/>
  <c r="AC43" i="36"/>
  <c r="AG43" i="36"/>
  <c r="AH43" i="36"/>
  <c r="AJ43" i="36"/>
  <c r="AK43" i="36"/>
  <c r="AM43" i="36"/>
  <c r="AN43" i="36"/>
  <c r="AO43" i="36"/>
  <c r="AX43" i="36"/>
  <c r="AY43" i="36"/>
  <c r="B44" i="36"/>
  <c r="X44" i="36"/>
  <c r="AN44" i="36"/>
  <c r="A48" i="36"/>
  <c r="B48" i="36"/>
  <c r="C48" i="36"/>
  <c r="D48" i="36"/>
  <c r="E48" i="36"/>
  <c r="S48" i="36"/>
  <c r="T48" i="36"/>
  <c r="U48" i="36"/>
  <c r="V48" i="36"/>
  <c r="W48" i="36"/>
  <c r="X48" i="36"/>
  <c r="Z48" i="36"/>
  <c r="AA48" i="36"/>
  <c r="AC48" i="36"/>
  <c r="AE48" i="36"/>
  <c r="AF48" i="36"/>
  <c r="AG48" i="36"/>
  <c r="AH48" i="36"/>
  <c r="AI48" i="36"/>
  <c r="AJ48" i="36"/>
  <c r="AN48" i="36"/>
  <c r="AX48" i="36"/>
  <c r="AY48" i="36"/>
  <c r="BA48" i="36"/>
  <c r="BB48" i="36"/>
  <c r="BC48" i="36"/>
  <c r="A49" i="36"/>
  <c r="B49" i="36"/>
  <c r="C49" i="36"/>
  <c r="D49" i="36"/>
  <c r="E49" i="36"/>
  <c r="S49" i="36"/>
  <c r="T49" i="36"/>
  <c r="U49" i="36"/>
  <c r="V49" i="36"/>
  <c r="W49" i="36"/>
  <c r="X49" i="36"/>
  <c r="Z49" i="36"/>
  <c r="AA49" i="36"/>
  <c r="AC49" i="36"/>
  <c r="AE49" i="36"/>
  <c r="AF49" i="36"/>
  <c r="AG49" i="36"/>
  <c r="AH49" i="36"/>
  <c r="AI49" i="36"/>
  <c r="AJ49" i="36"/>
  <c r="AN49" i="36"/>
  <c r="AX49" i="36"/>
  <c r="AY49" i="36"/>
  <c r="BA49" i="36"/>
  <c r="BB49" i="36"/>
  <c r="BC49" i="36"/>
  <c r="A50" i="36"/>
  <c r="B50" i="36"/>
  <c r="C50" i="36"/>
  <c r="D50" i="36"/>
  <c r="E50" i="36"/>
  <c r="S50" i="36"/>
  <c r="T50" i="36"/>
  <c r="U50" i="36"/>
  <c r="V50" i="36"/>
  <c r="W50" i="36"/>
  <c r="X50" i="36"/>
  <c r="Z50" i="36"/>
  <c r="AA50" i="36"/>
  <c r="AC50" i="36"/>
  <c r="AE50" i="36"/>
  <c r="AF50" i="36"/>
  <c r="AG50" i="36"/>
  <c r="AH50" i="36"/>
  <c r="AI50" i="36"/>
  <c r="AJ50" i="36"/>
  <c r="AN50" i="36"/>
  <c r="AX50" i="36"/>
  <c r="AY50" i="36"/>
  <c r="BA50" i="36"/>
  <c r="BB50" i="36"/>
  <c r="BC50" i="36"/>
  <c r="A51" i="36"/>
  <c r="B51" i="36"/>
  <c r="C51" i="36"/>
  <c r="D51" i="36"/>
  <c r="E51" i="36"/>
  <c r="S51" i="36"/>
  <c r="T51" i="36"/>
  <c r="U51" i="36"/>
  <c r="V51" i="36"/>
  <c r="W51" i="36"/>
  <c r="X51" i="36"/>
  <c r="Z51" i="36"/>
  <c r="AA51" i="36"/>
  <c r="AC51" i="36"/>
  <c r="AE51" i="36"/>
  <c r="AF51" i="36"/>
  <c r="AG51" i="36"/>
  <c r="AH51" i="36"/>
  <c r="AI51" i="36"/>
  <c r="AJ51" i="36"/>
  <c r="AN51" i="36"/>
  <c r="AX51" i="36"/>
  <c r="AY51" i="36"/>
  <c r="BA51" i="36"/>
  <c r="BB51" i="36"/>
  <c r="BC51" i="36"/>
  <c r="A52" i="36"/>
  <c r="B52" i="36"/>
  <c r="C52" i="36"/>
  <c r="D52" i="36"/>
  <c r="E52" i="36"/>
  <c r="S52" i="36"/>
  <c r="T52" i="36"/>
  <c r="U52" i="36"/>
  <c r="V52" i="36"/>
  <c r="W52" i="36"/>
  <c r="X52" i="36"/>
  <c r="Z52" i="36"/>
  <c r="AA52" i="36"/>
  <c r="AC52" i="36"/>
  <c r="AE52" i="36"/>
  <c r="AF52" i="36"/>
  <c r="AG52" i="36"/>
  <c r="AH52" i="36"/>
  <c r="AI52" i="36"/>
  <c r="AJ52" i="36"/>
  <c r="AN52" i="36"/>
  <c r="AX52" i="36"/>
  <c r="AY52" i="36"/>
  <c r="BA52" i="36"/>
  <c r="BB52" i="36"/>
  <c r="BC52" i="36"/>
  <c r="A53" i="36"/>
  <c r="B53" i="36"/>
  <c r="C53" i="36"/>
  <c r="D53" i="36"/>
  <c r="E53" i="36"/>
  <c r="S53" i="36"/>
  <c r="T53" i="36"/>
  <c r="U53" i="36"/>
  <c r="V53" i="36"/>
  <c r="W53" i="36"/>
  <c r="X53" i="36"/>
  <c r="Z53" i="36"/>
  <c r="AA53" i="36"/>
  <c r="AC53" i="36"/>
  <c r="AE53" i="36"/>
  <c r="AF53" i="36"/>
  <c r="AG53" i="36"/>
  <c r="AH53" i="36"/>
  <c r="AI53" i="36"/>
  <c r="AJ53" i="36"/>
  <c r="AN53" i="36"/>
  <c r="AX53" i="36"/>
  <c r="AY53" i="36"/>
  <c r="BA53" i="36"/>
  <c r="BB53" i="36"/>
  <c r="BC53" i="36"/>
  <c r="A54" i="36"/>
  <c r="B54" i="36"/>
  <c r="C54" i="36"/>
  <c r="D54" i="36"/>
  <c r="E54" i="36"/>
  <c r="S54" i="36"/>
  <c r="T54" i="36"/>
  <c r="U54" i="36"/>
  <c r="V54" i="36"/>
  <c r="W54" i="36"/>
  <c r="X54" i="36"/>
  <c r="Z54" i="36"/>
  <c r="AA54" i="36"/>
  <c r="AC54" i="36"/>
  <c r="AE54" i="36"/>
  <c r="AF54" i="36"/>
  <c r="AG54" i="36"/>
  <c r="AH54" i="36"/>
  <c r="AI54" i="36"/>
  <c r="AJ54" i="36"/>
  <c r="AN54" i="36"/>
  <c r="AX54" i="36"/>
  <c r="AY54" i="36"/>
  <c r="BA54" i="36"/>
  <c r="BB54" i="36"/>
  <c r="BC54" i="36"/>
  <c r="A55" i="36"/>
  <c r="B55" i="36"/>
  <c r="C55" i="36"/>
  <c r="D55" i="36"/>
  <c r="E55" i="36"/>
  <c r="S55" i="36"/>
  <c r="T55" i="36"/>
  <c r="U55" i="36"/>
  <c r="V55" i="36"/>
  <c r="W55" i="36"/>
  <c r="X55" i="36"/>
  <c r="Z55" i="36"/>
  <c r="AA55" i="36"/>
  <c r="AC55" i="36"/>
  <c r="AE55" i="36"/>
  <c r="AF55" i="36"/>
  <c r="AG55" i="36"/>
  <c r="AH55" i="36"/>
  <c r="AI55" i="36"/>
  <c r="AJ55" i="36"/>
  <c r="AN55" i="36"/>
  <c r="AX55" i="36"/>
  <c r="AY55" i="36"/>
  <c r="BA55" i="36"/>
  <c r="BB55" i="36"/>
  <c r="BC55" i="36"/>
  <c r="A56" i="36"/>
  <c r="B56" i="36"/>
  <c r="C56" i="36"/>
  <c r="D56" i="36"/>
  <c r="E56" i="36"/>
  <c r="S56" i="36"/>
  <c r="T56" i="36"/>
  <c r="U56" i="36"/>
  <c r="V56" i="36"/>
  <c r="W56" i="36"/>
  <c r="X56" i="36"/>
  <c r="Z56" i="36"/>
  <c r="AA56" i="36"/>
  <c r="AC56" i="36"/>
  <c r="AE56" i="36"/>
  <c r="AF56" i="36"/>
  <c r="AG56" i="36"/>
  <c r="AH56" i="36"/>
  <c r="AI56" i="36"/>
  <c r="AJ56" i="36"/>
  <c r="AN56" i="36"/>
  <c r="AX56" i="36"/>
  <c r="AY56" i="36"/>
  <c r="BA56" i="36"/>
  <c r="BB56" i="36"/>
  <c r="BC56" i="36"/>
  <c r="A57" i="36"/>
  <c r="B57" i="36"/>
  <c r="C57" i="36"/>
  <c r="D57" i="36"/>
  <c r="E57" i="36"/>
  <c r="S57" i="36"/>
  <c r="T57" i="36"/>
  <c r="U57" i="36"/>
  <c r="V57" i="36"/>
  <c r="W57" i="36"/>
  <c r="X57" i="36"/>
  <c r="Z57" i="36"/>
  <c r="AA57" i="36"/>
  <c r="AC57" i="36"/>
  <c r="AE57" i="36"/>
  <c r="AF57" i="36"/>
  <c r="AG57" i="36"/>
  <c r="AH57" i="36"/>
  <c r="AI57" i="36"/>
  <c r="AJ57" i="36"/>
  <c r="AN57" i="36"/>
  <c r="AX57" i="36"/>
  <c r="AY57" i="36"/>
  <c r="BA57" i="36"/>
  <c r="BB57" i="36"/>
  <c r="BC57" i="36"/>
  <c r="A58" i="36"/>
  <c r="B58" i="36"/>
  <c r="C58" i="36"/>
  <c r="D58" i="36"/>
  <c r="E58" i="36"/>
  <c r="S58" i="36"/>
  <c r="T58" i="36"/>
  <c r="U58" i="36"/>
  <c r="V58" i="36"/>
  <c r="W58" i="36"/>
  <c r="X58" i="36"/>
  <c r="Z58" i="36"/>
  <c r="AA58" i="36"/>
  <c r="AC58" i="36"/>
  <c r="AE58" i="36"/>
  <c r="AF58" i="36"/>
  <c r="AG58" i="36"/>
  <c r="AH58" i="36"/>
  <c r="AI58" i="36"/>
  <c r="AJ58" i="36"/>
  <c r="AN58" i="36"/>
  <c r="AX58" i="36"/>
  <c r="AY58" i="36"/>
  <c r="BA58" i="36"/>
  <c r="BB58" i="36"/>
  <c r="BC58" i="36"/>
  <c r="A59" i="36"/>
  <c r="B59" i="36"/>
  <c r="C59" i="36"/>
  <c r="D59" i="36"/>
  <c r="E59" i="36"/>
  <c r="S59" i="36"/>
  <c r="T59" i="36"/>
  <c r="U59" i="36"/>
  <c r="V59" i="36"/>
  <c r="W59" i="36"/>
  <c r="X59" i="36"/>
  <c r="Z59" i="36"/>
  <c r="AA59" i="36"/>
  <c r="AC59" i="36"/>
  <c r="AE59" i="36"/>
  <c r="AF59" i="36"/>
  <c r="AG59" i="36"/>
  <c r="AH59" i="36"/>
  <c r="AI59" i="36"/>
  <c r="AJ59" i="36"/>
  <c r="AN59" i="36"/>
  <c r="AX59" i="36"/>
  <c r="AY59" i="36"/>
  <c r="BA59" i="36"/>
  <c r="BB59" i="36"/>
  <c r="BC59" i="36"/>
  <c r="A60" i="36"/>
  <c r="B60" i="36"/>
  <c r="C60" i="36"/>
  <c r="D60" i="36"/>
  <c r="E60" i="36"/>
  <c r="S60" i="36"/>
  <c r="T60" i="36"/>
  <c r="U60" i="36"/>
  <c r="V60" i="36"/>
  <c r="W60" i="36"/>
  <c r="X60" i="36"/>
  <c r="Z60" i="36"/>
  <c r="AA60" i="36"/>
  <c r="AC60" i="36"/>
  <c r="AE60" i="36"/>
  <c r="AF60" i="36"/>
  <c r="AG60" i="36"/>
  <c r="AH60" i="36"/>
  <c r="AI60" i="36"/>
  <c r="AJ60" i="36"/>
  <c r="AN60" i="36"/>
  <c r="AX60" i="36"/>
  <c r="AY60" i="36"/>
  <c r="BA60" i="36"/>
  <c r="BB60" i="36"/>
  <c r="BC60" i="36"/>
  <c r="A61" i="36"/>
  <c r="B61" i="36"/>
  <c r="C61" i="36"/>
  <c r="D61" i="36"/>
  <c r="E61" i="36"/>
  <c r="S61" i="36"/>
  <c r="T61" i="36"/>
  <c r="U61" i="36"/>
  <c r="V61" i="36"/>
  <c r="W61" i="36"/>
  <c r="X61" i="36"/>
  <c r="Z61" i="36"/>
  <c r="AA61" i="36"/>
  <c r="AC61" i="36"/>
  <c r="AE61" i="36"/>
  <c r="AF61" i="36"/>
  <c r="AG61" i="36"/>
  <c r="AH61" i="36"/>
  <c r="AI61" i="36"/>
  <c r="AJ61" i="36"/>
  <c r="AN61" i="36"/>
  <c r="AX61" i="36"/>
  <c r="AY61" i="36"/>
  <c r="BA61" i="36"/>
  <c r="BB61" i="36"/>
  <c r="BC61" i="36"/>
  <c r="A62" i="36"/>
  <c r="B62" i="36"/>
  <c r="C62" i="36"/>
  <c r="D62" i="36"/>
  <c r="E62" i="36"/>
  <c r="S62" i="36"/>
  <c r="T62" i="36"/>
  <c r="U62" i="36"/>
  <c r="V62" i="36"/>
  <c r="W62" i="36"/>
  <c r="X62" i="36"/>
  <c r="Z62" i="36"/>
  <c r="AA62" i="36"/>
  <c r="AC62" i="36"/>
  <c r="AE62" i="36"/>
  <c r="AF62" i="36"/>
  <c r="AG62" i="36"/>
  <c r="AH62" i="36"/>
  <c r="AI62" i="36"/>
  <c r="AJ62" i="36"/>
  <c r="AN62" i="36"/>
  <c r="AX62" i="36"/>
  <c r="AY62" i="36"/>
  <c r="BA62" i="36"/>
  <c r="BB62" i="36"/>
  <c r="BC62" i="36"/>
  <c r="A63" i="36"/>
  <c r="B63" i="36"/>
  <c r="C63" i="36"/>
  <c r="D63" i="36"/>
  <c r="E63" i="36"/>
  <c r="S63" i="36"/>
  <c r="T63" i="36"/>
  <c r="U63" i="36"/>
  <c r="V63" i="36"/>
  <c r="W63" i="36"/>
  <c r="X63" i="36"/>
  <c r="Z63" i="36"/>
  <c r="AA63" i="36"/>
  <c r="AC63" i="36"/>
  <c r="AE63" i="36"/>
  <c r="AF63" i="36"/>
  <c r="AG63" i="36"/>
  <c r="AH63" i="36"/>
  <c r="AI63" i="36"/>
  <c r="AJ63" i="36"/>
  <c r="AN63" i="36"/>
  <c r="AX63" i="36"/>
  <c r="AY63" i="36"/>
  <c r="BA63" i="36"/>
  <c r="BB63" i="36"/>
  <c r="BC63" i="36"/>
  <c r="A64" i="36"/>
  <c r="B64" i="36"/>
  <c r="C64" i="36"/>
  <c r="D64" i="36"/>
  <c r="E64" i="36"/>
  <c r="S64" i="36"/>
  <c r="T64" i="36"/>
  <c r="U64" i="36"/>
  <c r="V64" i="36"/>
  <c r="W64" i="36"/>
  <c r="X64" i="36"/>
  <c r="Z64" i="36"/>
  <c r="AA64" i="36"/>
  <c r="AC64" i="36"/>
  <c r="AE64" i="36"/>
  <c r="AF64" i="36"/>
  <c r="AG64" i="36"/>
  <c r="AH64" i="36"/>
  <c r="AI64" i="36"/>
  <c r="AJ64" i="36"/>
  <c r="AN64" i="36"/>
  <c r="AX64" i="36"/>
  <c r="AY64" i="36"/>
  <c r="BA64" i="36"/>
  <c r="BB64" i="36"/>
  <c r="BC64" i="36"/>
  <c r="A65" i="36"/>
  <c r="B65" i="36"/>
  <c r="C65" i="36"/>
  <c r="D65" i="36"/>
  <c r="E65" i="36"/>
  <c r="S65" i="36"/>
  <c r="T65" i="36"/>
  <c r="U65" i="36"/>
  <c r="V65" i="36"/>
  <c r="W65" i="36"/>
  <c r="X65" i="36"/>
  <c r="Z65" i="36"/>
  <c r="AA65" i="36"/>
  <c r="AC65" i="36"/>
  <c r="AE65" i="36"/>
  <c r="AF65" i="36"/>
  <c r="AG65" i="36"/>
  <c r="AH65" i="36"/>
  <c r="AI65" i="36"/>
  <c r="AJ65" i="36"/>
  <c r="AN65" i="36"/>
  <c r="AX65" i="36"/>
  <c r="AY65" i="36"/>
  <c r="BA65" i="36"/>
  <c r="BB65" i="36"/>
  <c r="BC65" i="36"/>
  <c r="A66" i="36"/>
  <c r="B66" i="36"/>
  <c r="C66" i="36"/>
  <c r="D66" i="36"/>
  <c r="E66" i="36"/>
  <c r="S66" i="36"/>
  <c r="T66" i="36"/>
  <c r="U66" i="36"/>
  <c r="V66" i="36"/>
  <c r="W66" i="36"/>
  <c r="X66" i="36"/>
  <c r="Z66" i="36"/>
  <c r="AA66" i="36"/>
  <c r="AC66" i="36"/>
  <c r="AE66" i="36"/>
  <c r="AF66" i="36"/>
  <c r="AG66" i="36"/>
  <c r="AH66" i="36"/>
  <c r="AI66" i="36"/>
  <c r="AJ66" i="36"/>
  <c r="AN66" i="36"/>
  <c r="AX66" i="36"/>
  <c r="AY66" i="36"/>
  <c r="BA66" i="36"/>
  <c r="BB66" i="36"/>
  <c r="BC66" i="36"/>
  <c r="A67" i="36"/>
  <c r="B67" i="36"/>
  <c r="C67" i="36"/>
  <c r="D67" i="36"/>
  <c r="E67" i="36"/>
  <c r="S67" i="36"/>
  <c r="T67" i="36"/>
  <c r="U67" i="36"/>
  <c r="V67" i="36"/>
  <c r="W67" i="36"/>
  <c r="X67" i="36"/>
  <c r="Z67" i="36"/>
  <c r="AA67" i="36"/>
  <c r="AC67" i="36"/>
  <c r="AE67" i="36"/>
  <c r="AF67" i="36"/>
  <c r="AG67" i="36"/>
  <c r="AH67" i="36"/>
  <c r="AI67" i="36"/>
  <c r="AJ67" i="36"/>
  <c r="AN67" i="36"/>
  <c r="AX67" i="36"/>
  <c r="AY67" i="36"/>
  <c r="BA67" i="36"/>
  <c r="BB67" i="36"/>
  <c r="BC67" i="36"/>
  <c r="A68" i="36"/>
  <c r="B68" i="36"/>
  <c r="C68" i="36"/>
  <c r="D68" i="36"/>
  <c r="E68" i="36"/>
  <c r="S68" i="36"/>
  <c r="T68" i="36"/>
  <c r="U68" i="36"/>
  <c r="V68" i="36"/>
  <c r="W68" i="36"/>
  <c r="X68" i="36"/>
  <c r="Z68" i="36"/>
  <c r="AA68" i="36"/>
  <c r="AC68" i="36"/>
  <c r="AE68" i="36"/>
  <c r="AF68" i="36"/>
  <c r="AG68" i="36"/>
  <c r="AH68" i="36"/>
  <c r="AI68" i="36"/>
  <c r="AJ68" i="36"/>
  <c r="AN68" i="36"/>
  <c r="AX68" i="36"/>
  <c r="AY68" i="36"/>
  <c r="BA68" i="36"/>
  <c r="BB68" i="36"/>
  <c r="BC68" i="36"/>
  <c r="B69" i="36"/>
  <c r="X69" i="36"/>
  <c r="AN69" i="36"/>
  <c r="A73" i="36"/>
  <c r="B73" i="36"/>
  <c r="C73" i="36"/>
  <c r="D73" i="36"/>
  <c r="E73" i="36"/>
  <c r="S73" i="36"/>
  <c r="T73" i="36"/>
  <c r="U73" i="36"/>
  <c r="V73" i="36"/>
  <c r="W73" i="36"/>
  <c r="X73" i="36"/>
  <c r="Z73" i="36"/>
  <c r="AA73" i="36"/>
  <c r="AC73" i="36"/>
  <c r="AG73" i="36"/>
  <c r="AH73" i="36"/>
  <c r="AJ73" i="36"/>
  <c r="AM73" i="36"/>
  <c r="AN73" i="36"/>
  <c r="AO73" i="36"/>
  <c r="AX73" i="36"/>
  <c r="AY73" i="36"/>
  <c r="A74" i="36"/>
  <c r="B74" i="36"/>
  <c r="C74" i="36"/>
  <c r="D74" i="36"/>
  <c r="E74" i="36"/>
  <c r="F74" i="36"/>
  <c r="S74" i="36"/>
  <c r="T74" i="36"/>
  <c r="U74" i="36"/>
  <c r="V74" i="36"/>
  <c r="W74" i="36"/>
  <c r="X74" i="36"/>
  <c r="Z74" i="36"/>
  <c r="AA74" i="36"/>
  <c r="AC74" i="36"/>
  <c r="AG74" i="36"/>
  <c r="AH74" i="36"/>
  <c r="AJ74" i="36"/>
  <c r="AM74" i="36"/>
  <c r="AN74" i="36"/>
  <c r="AO74" i="36"/>
  <c r="AX74" i="36"/>
  <c r="AY74" i="36"/>
  <c r="A75" i="36"/>
  <c r="B75" i="36"/>
  <c r="C75" i="36"/>
  <c r="D75" i="36"/>
  <c r="E75" i="36"/>
  <c r="F75" i="36"/>
  <c r="S75" i="36"/>
  <c r="T75" i="36"/>
  <c r="U75" i="36"/>
  <c r="V75" i="36"/>
  <c r="W75" i="36"/>
  <c r="X75" i="36"/>
  <c r="Z75" i="36"/>
  <c r="AA75" i="36"/>
  <c r="AC75" i="36"/>
  <c r="AG75" i="36"/>
  <c r="AH75" i="36"/>
  <c r="AJ75" i="36"/>
  <c r="AM75" i="36"/>
  <c r="AN75" i="36"/>
  <c r="AO75" i="36"/>
  <c r="AX75" i="36"/>
  <c r="AY75" i="36"/>
  <c r="A76" i="36"/>
  <c r="B76" i="36"/>
  <c r="C76" i="36"/>
  <c r="D76" i="36"/>
  <c r="E76" i="36"/>
  <c r="F76" i="36"/>
  <c r="S76" i="36"/>
  <c r="T76" i="36"/>
  <c r="U76" i="36"/>
  <c r="V76" i="36"/>
  <c r="W76" i="36"/>
  <c r="X76" i="36"/>
  <c r="Z76" i="36"/>
  <c r="AA76" i="36"/>
  <c r="AC76" i="36"/>
  <c r="AG76" i="36"/>
  <c r="AH76" i="36"/>
  <c r="AJ76" i="36"/>
  <c r="AM76" i="36"/>
  <c r="AN76" i="36"/>
  <c r="AO76" i="36"/>
  <c r="AX76" i="36"/>
  <c r="AY76" i="36"/>
  <c r="A77" i="36"/>
  <c r="B77" i="36"/>
  <c r="C77" i="36"/>
  <c r="D77" i="36"/>
  <c r="E77" i="36"/>
  <c r="F77" i="36"/>
  <c r="S77" i="36"/>
  <c r="T77" i="36"/>
  <c r="U77" i="36"/>
  <c r="V77" i="36"/>
  <c r="W77" i="36"/>
  <c r="X77" i="36"/>
  <c r="Z77" i="36"/>
  <c r="AA77" i="36"/>
  <c r="AC77" i="36"/>
  <c r="AG77" i="36"/>
  <c r="AH77" i="36"/>
  <c r="AJ77" i="36"/>
  <c r="AM77" i="36"/>
  <c r="AN77" i="36"/>
  <c r="AO77" i="36"/>
  <c r="AX77" i="36"/>
  <c r="AY77" i="36"/>
  <c r="A78" i="36"/>
  <c r="B78" i="36"/>
  <c r="C78" i="36"/>
  <c r="D78" i="36"/>
  <c r="E78" i="36"/>
  <c r="F78" i="36"/>
  <c r="S78" i="36"/>
  <c r="T78" i="36"/>
  <c r="U78" i="36"/>
  <c r="V78" i="36"/>
  <c r="W78" i="36"/>
  <c r="X78" i="36"/>
  <c r="Z78" i="36"/>
  <c r="AA78" i="36"/>
  <c r="AC78" i="36"/>
  <c r="AG78" i="36"/>
  <c r="AH78" i="36"/>
  <c r="AJ78" i="36"/>
  <c r="AM78" i="36"/>
  <c r="AN78" i="36"/>
  <c r="AO78" i="36"/>
  <c r="AX78" i="36"/>
  <c r="AY78" i="36"/>
  <c r="A79" i="36"/>
  <c r="B79" i="36"/>
  <c r="C79" i="36"/>
  <c r="D79" i="36"/>
  <c r="E79" i="36"/>
  <c r="F79" i="36"/>
  <c r="S79" i="36"/>
  <c r="T79" i="36"/>
  <c r="U79" i="36"/>
  <c r="V79" i="36"/>
  <c r="W79" i="36"/>
  <c r="X79" i="36"/>
  <c r="Z79" i="36"/>
  <c r="AA79" i="36"/>
  <c r="AC79" i="36"/>
  <c r="AG79" i="36"/>
  <c r="AH79" i="36"/>
  <c r="AJ79" i="36"/>
  <c r="AM79" i="36"/>
  <c r="AN79" i="36"/>
  <c r="AO79" i="36"/>
  <c r="AX79" i="36"/>
  <c r="AY79" i="36"/>
  <c r="A80" i="36"/>
  <c r="B80" i="36"/>
  <c r="C80" i="36"/>
  <c r="D80" i="36"/>
  <c r="E80" i="36"/>
  <c r="F80" i="36"/>
  <c r="S80" i="36"/>
  <c r="T80" i="36"/>
  <c r="U80" i="36"/>
  <c r="V80" i="36"/>
  <c r="W80" i="36"/>
  <c r="X80" i="36"/>
  <c r="Z80" i="36"/>
  <c r="AA80" i="36"/>
  <c r="AC80" i="36"/>
  <c r="AG80" i="36"/>
  <c r="AH80" i="36"/>
  <c r="AJ80" i="36"/>
  <c r="AM80" i="36"/>
  <c r="AN80" i="36"/>
  <c r="AO80" i="36"/>
  <c r="AX80" i="36"/>
  <c r="AY80" i="36"/>
  <c r="A81" i="36"/>
  <c r="B81" i="36"/>
  <c r="C81" i="36"/>
  <c r="D81" i="36"/>
  <c r="E81" i="36"/>
  <c r="F81" i="36"/>
  <c r="S81" i="36"/>
  <c r="T81" i="36"/>
  <c r="U81" i="36"/>
  <c r="V81" i="36"/>
  <c r="W81" i="36"/>
  <c r="X81" i="36"/>
  <c r="Z81" i="36"/>
  <c r="AA81" i="36"/>
  <c r="AC81" i="36"/>
  <c r="AG81" i="36"/>
  <c r="AH81" i="36"/>
  <c r="AJ81" i="36"/>
  <c r="AM81" i="36"/>
  <c r="AN81" i="36"/>
  <c r="AO81" i="36"/>
  <c r="AX81" i="36"/>
  <c r="AY81" i="36"/>
  <c r="A82" i="36"/>
  <c r="B82" i="36"/>
  <c r="C82" i="36"/>
  <c r="D82" i="36"/>
  <c r="E82" i="36"/>
  <c r="F82" i="36"/>
  <c r="S82" i="36"/>
  <c r="T82" i="36"/>
  <c r="U82" i="36"/>
  <c r="V82" i="36"/>
  <c r="W82" i="36"/>
  <c r="X82" i="36"/>
  <c r="Z82" i="36"/>
  <c r="AA82" i="36"/>
  <c r="AC82" i="36"/>
  <c r="AG82" i="36"/>
  <c r="AH82" i="36"/>
  <c r="AJ82" i="36"/>
  <c r="AM82" i="36"/>
  <c r="AN82" i="36"/>
  <c r="AO82" i="36"/>
  <c r="AX82" i="36"/>
  <c r="AY82" i="36"/>
  <c r="A83" i="36"/>
  <c r="B83" i="36"/>
  <c r="C83" i="36"/>
  <c r="D83" i="36"/>
  <c r="E83" i="36"/>
  <c r="F83" i="36"/>
  <c r="S83" i="36"/>
  <c r="T83" i="36"/>
  <c r="U83" i="36"/>
  <c r="V83" i="36"/>
  <c r="W83" i="36"/>
  <c r="X83" i="36"/>
  <c r="Z83" i="36"/>
  <c r="AA83" i="36"/>
  <c r="AC83" i="36"/>
  <c r="AG83" i="36"/>
  <c r="AH83" i="36"/>
  <c r="AJ83" i="36"/>
  <c r="AM83" i="36"/>
  <c r="AN83" i="36"/>
  <c r="AO83" i="36"/>
  <c r="AX83" i="36"/>
  <c r="AY83" i="36"/>
  <c r="A84" i="36"/>
  <c r="B84" i="36"/>
  <c r="C84" i="36"/>
  <c r="D84" i="36"/>
  <c r="E84" i="36"/>
  <c r="F84" i="36"/>
  <c r="S84" i="36"/>
  <c r="T84" i="36"/>
  <c r="U84" i="36"/>
  <c r="V84" i="36"/>
  <c r="W84" i="36"/>
  <c r="X84" i="36"/>
  <c r="Z84" i="36"/>
  <c r="AA84" i="36"/>
  <c r="AC84" i="36"/>
  <c r="AG84" i="36"/>
  <c r="AH84" i="36"/>
  <c r="AJ84" i="36"/>
  <c r="AM84" i="36"/>
  <c r="AN84" i="36"/>
  <c r="AO84" i="36"/>
  <c r="AX84" i="36"/>
  <c r="AY84" i="36"/>
  <c r="A85" i="36"/>
  <c r="B85" i="36"/>
  <c r="C85" i="36"/>
  <c r="D85" i="36"/>
  <c r="E85" i="36"/>
  <c r="F85" i="36"/>
  <c r="S85" i="36"/>
  <c r="T85" i="36"/>
  <c r="U85" i="36"/>
  <c r="V85" i="36"/>
  <c r="W85" i="36"/>
  <c r="X85" i="36"/>
  <c r="Z85" i="36"/>
  <c r="AA85" i="36"/>
  <c r="AC85" i="36"/>
  <c r="AG85" i="36"/>
  <c r="AH85" i="36"/>
  <c r="AJ85" i="36"/>
  <c r="AM85" i="36"/>
  <c r="AN85" i="36"/>
  <c r="AO85" i="36"/>
  <c r="AX85" i="36"/>
  <c r="AY85" i="36"/>
  <c r="A86" i="36"/>
  <c r="B86" i="36"/>
  <c r="C86" i="36"/>
  <c r="D86" i="36"/>
  <c r="E86" i="36"/>
  <c r="F86" i="36"/>
  <c r="S86" i="36"/>
  <c r="T86" i="36"/>
  <c r="U86" i="36"/>
  <c r="V86" i="36"/>
  <c r="W86" i="36"/>
  <c r="X86" i="36"/>
  <c r="Z86" i="36"/>
  <c r="AA86" i="36"/>
  <c r="AC86" i="36"/>
  <c r="AG86" i="36"/>
  <c r="AH86" i="36"/>
  <c r="AJ86" i="36"/>
  <c r="AM86" i="36"/>
  <c r="AN86" i="36"/>
  <c r="AO86" i="36"/>
  <c r="AX86" i="36"/>
  <c r="AY86" i="36"/>
  <c r="A87" i="36"/>
  <c r="B87" i="36"/>
  <c r="C87" i="36"/>
  <c r="D87" i="36"/>
  <c r="E87" i="36"/>
  <c r="F87" i="36"/>
  <c r="S87" i="36"/>
  <c r="T87" i="36"/>
  <c r="U87" i="36"/>
  <c r="V87" i="36"/>
  <c r="W87" i="36"/>
  <c r="X87" i="36"/>
  <c r="Z87" i="36"/>
  <c r="AA87" i="36"/>
  <c r="AC87" i="36"/>
  <c r="AG87" i="36"/>
  <c r="AH87" i="36"/>
  <c r="AJ87" i="36"/>
  <c r="AM87" i="36"/>
  <c r="AN87" i="36"/>
  <c r="AO87" i="36"/>
  <c r="AX87" i="36"/>
  <c r="AY87" i="36"/>
  <c r="A88" i="36"/>
  <c r="B88" i="36"/>
  <c r="C88" i="36"/>
  <c r="D88" i="36"/>
  <c r="E88" i="36"/>
  <c r="F88" i="36"/>
  <c r="S88" i="36"/>
  <c r="T88" i="36"/>
  <c r="U88" i="36"/>
  <c r="V88" i="36"/>
  <c r="W88" i="36"/>
  <c r="X88" i="36"/>
  <c r="Z88" i="36"/>
  <c r="AA88" i="36"/>
  <c r="AC88" i="36"/>
  <c r="AG88" i="36"/>
  <c r="AH88" i="36"/>
  <c r="AJ88" i="36"/>
  <c r="AM88" i="36"/>
  <c r="AN88" i="36"/>
  <c r="AO88" i="36"/>
  <c r="AX88" i="36"/>
  <c r="AY88" i="36"/>
  <c r="A89" i="36"/>
  <c r="B89" i="36"/>
  <c r="C89" i="36"/>
  <c r="D89" i="36"/>
  <c r="E89" i="36"/>
  <c r="F89" i="36"/>
  <c r="S89" i="36"/>
  <c r="T89" i="36"/>
  <c r="U89" i="36"/>
  <c r="V89" i="36"/>
  <c r="W89" i="36"/>
  <c r="X89" i="36"/>
  <c r="Z89" i="36"/>
  <c r="AA89" i="36"/>
  <c r="AC89" i="36"/>
  <c r="AG89" i="36"/>
  <c r="AH89" i="36"/>
  <c r="AJ89" i="36"/>
  <c r="AM89" i="36"/>
  <c r="AN89" i="36"/>
  <c r="AO89" i="36"/>
  <c r="AX89" i="36"/>
  <c r="AY89" i="36"/>
  <c r="A90" i="36"/>
  <c r="B90" i="36"/>
  <c r="C90" i="36"/>
  <c r="D90" i="36"/>
  <c r="E90" i="36"/>
  <c r="F90" i="36"/>
  <c r="S90" i="36"/>
  <c r="T90" i="36"/>
  <c r="U90" i="36"/>
  <c r="V90" i="36"/>
  <c r="W90" i="36"/>
  <c r="X90" i="36"/>
  <c r="Z90" i="36"/>
  <c r="AA90" i="36"/>
  <c r="AC90" i="36"/>
  <c r="AG90" i="36"/>
  <c r="AH90" i="36"/>
  <c r="AJ90" i="36"/>
  <c r="AM90" i="36"/>
  <c r="AN90" i="36"/>
  <c r="AO90" i="36"/>
  <c r="AX90" i="36"/>
  <c r="AY90" i="36"/>
  <c r="A91" i="36"/>
  <c r="B91" i="36"/>
  <c r="C91" i="36"/>
  <c r="D91" i="36"/>
  <c r="E91" i="36"/>
  <c r="F91" i="36"/>
  <c r="S91" i="36"/>
  <c r="T91" i="36"/>
  <c r="U91" i="36"/>
  <c r="V91" i="36"/>
  <c r="W91" i="36"/>
  <c r="X91" i="36"/>
  <c r="Z91" i="36"/>
  <c r="AA91" i="36"/>
  <c r="AC91" i="36"/>
  <c r="AG91" i="36"/>
  <c r="AH91" i="36"/>
  <c r="AJ91" i="36"/>
  <c r="AM91" i="36"/>
  <c r="AN91" i="36"/>
  <c r="AO91" i="36"/>
  <c r="AX91" i="36"/>
  <c r="AY91" i="36"/>
  <c r="A92" i="36"/>
  <c r="B92" i="36"/>
  <c r="C92" i="36"/>
  <c r="D92" i="36"/>
  <c r="E92" i="36"/>
  <c r="F92" i="36"/>
  <c r="S92" i="36"/>
  <c r="T92" i="36"/>
  <c r="U92" i="36"/>
  <c r="V92" i="36"/>
  <c r="W92" i="36"/>
  <c r="X92" i="36"/>
  <c r="Z92" i="36"/>
  <c r="AA92" i="36"/>
  <c r="AC92" i="36"/>
  <c r="AG92" i="36"/>
  <c r="AH92" i="36"/>
  <c r="AJ92" i="36"/>
  <c r="AM92" i="36"/>
  <c r="AN92" i="36"/>
  <c r="AO92" i="36"/>
  <c r="AX92" i="36"/>
  <c r="AY92" i="36"/>
  <c r="A93" i="36"/>
  <c r="B93" i="36"/>
  <c r="C93" i="36"/>
  <c r="D93" i="36"/>
  <c r="E93" i="36"/>
  <c r="F93" i="36"/>
  <c r="S93" i="36"/>
  <c r="T93" i="36"/>
  <c r="U93" i="36"/>
  <c r="V93" i="36"/>
  <c r="W93" i="36"/>
  <c r="X93" i="36"/>
  <c r="Z93" i="36"/>
  <c r="AA93" i="36"/>
  <c r="AC93" i="36"/>
  <c r="AG93" i="36"/>
  <c r="AH93" i="36"/>
  <c r="AJ93" i="36"/>
  <c r="AM93" i="36"/>
  <c r="AN93" i="36"/>
  <c r="AO93" i="36"/>
  <c r="AX93" i="36"/>
  <c r="AY93" i="36"/>
  <c r="B94" i="36"/>
  <c r="X94" i="36"/>
  <c r="AN94" i="36"/>
  <c r="A98" i="36"/>
  <c r="B98" i="36"/>
  <c r="C98" i="36"/>
  <c r="D98" i="36"/>
  <c r="E98" i="36"/>
  <c r="S98" i="36"/>
  <c r="T98" i="36"/>
  <c r="U98" i="36"/>
  <c r="V98" i="36"/>
  <c r="W98" i="36"/>
  <c r="X98" i="36"/>
  <c r="Z98" i="36"/>
  <c r="AA98" i="36"/>
  <c r="AC98" i="36"/>
  <c r="AE98" i="36"/>
  <c r="AF98" i="36"/>
  <c r="AG98" i="36"/>
  <c r="AH98" i="36"/>
  <c r="AI98" i="36"/>
  <c r="AJ98" i="36"/>
  <c r="AN98" i="36"/>
  <c r="AO98" i="36"/>
  <c r="AX98" i="36"/>
  <c r="AY98" i="36"/>
  <c r="BA98" i="36"/>
  <c r="A99" i="36"/>
  <c r="B99" i="36"/>
  <c r="C99" i="36"/>
  <c r="D99" i="36"/>
  <c r="E99" i="36"/>
  <c r="F99" i="36"/>
  <c r="S99" i="36"/>
  <c r="T99" i="36"/>
  <c r="U99" i="36"/>
  <c r="V99" i="36"/>
  <c r="W99" i="36"/>
  <c r="X99" i="36"/>
  <c r="Z99" i="36"/>
  <c r="AA99" i="36"/>
  <c r="AC99" i="36"/>
  <c r="AE99" i="36"/>
  <c r="AF99" i="36"/>
  <c r="AG99" i="36"/>
  <c r="AH99" i="36"/>
  <c r="AI99" i="36"/>
  <c r="AJ99" i="36"/>
  <c r="AN99" i="36"/>
  <c r="AO99" i="36"/>
  <c r="AX99" i="36"/>
  <c r="AY99" i="36"/>
  <c r="BA99" i="36"/>
  <c r="A100" i="36"/>
  <c r="B100" i="36"/>
  <c r="C100" i="36"/>
  <c r="D100" i="36"/>
  <c r="E100" i="36"/>
  <c r="F100" i="36"/>
  <c r="S100" i="36"/>
  <c r="T100" i="36"/>
  <c r="U100" i="36"/>
  <c r="V100" i="36"/>
  <c r="W100" i="36"/>
  <c r="X100" i="36"/>
  <c r="Z100" i="36"/>
  <c r="AA100" i="36"/>
  <c r="AC100" i="36"/>
  <c r="AE100" i="36"/>
  <c r="AF100" i="36"/>
  <c r="AG100" i="36"/>
  <c r="AH100" i="36"/>
  <c r="AI100" i="36"/>
  <c r="AJ100" i="36"/>
  <c r="AN100" i="36"/>
  <c r="AO100" i="36"/>
  <c r="AX100" i="36"/>
  <c r="AY100" i="36"/>
  <c r="BA100" i="36"/>
  <c r="A101" i="36"/>
  <c r="B101" i="36"/>
  <c r="C101" i="36"/>
  <c r="D101" i="36"/>
  <c r="E101" i="36"/>
  <c r="F101" i="36"/>
  <c r="S101" i="36"/>
  <c r="T101" i="36"/>
  <c r="U101" i="36"/>
  <c r="V101" i="36"/>
  <c r="W101" i="36"/>
  <c r="X101" i="36"/>
  <c r="Z101" i="36"/>
  <c r="AA101" i="36"/>
  <c r="AC101" i="36"/>
  <c r="AE101" i="36"/>
  <c r="AF101" i="36"/>
  <c r="AG101" i="36"/>
  <c r="AH101" i="36"/>
  <c r="AI101" i="36"/>
  <c r="AJ101" i="36"/>
  <c r="AN101" i="36"/>
  <c r="AO101" i="36"/>
  <c r="AX101" i="36"/>
  <c r="AY101" i="36"/>
  <c r="BA101" i="36"/>
  <c r="A102" i="36"/>
  <c r="B102" i="36"/>
  <c r="C102" i="36"/>
  <c r="D102" i="36"/>
  <c r="E102" i="36"/>
  <c r="F102" i="36"/>
  <c r="S102" i="36"/>
  <c r="T102" i="36"/>
  <c r="U102" i="36"/>
  <c r="V102" i="36"/>
  <c r="W102" i="36"/>
  <c r="X102" i="36"/>
  <c r="Z102" i="36"/>
  <c r="AA102" i="36"/>
  <c r="AC102" i="36"/>
  <c r="AE102" i="36"/>
  <c r="AF102" i="36"/>
  <c r="AG102" i="36"/>
  <c r="AH102" i="36"/>
  <c r="AI102" i="36"/>
  <c r="AJ102" i="36"/>
  <c r="AN102" i="36"/>
  <c r="AO102" i="36"/>
  <c r="AX102" i="36"/>
  <c r="AY102" i="36"/>
  <c r="BA102" i="36"/>
  <c r="A103" i="36"/>
  <c r="B103" i="36"/>
  <c r="C103" i="36"/>
  <c r="D103" i="36"/>
  <c r="E103" i="36"/>
  <c r="F103" i="36"/>
  <c r="S103" i="36"/>
  <c r="T103" i="36"/>
  <c r="U103" i="36"/>
  <c r="V103" i="36"/>
  <c r="W103" i="36"/>
  <c r="X103" i="36"/>
  <c r="Z103" i="36"/>
  <c r="AA103" i="36"/>
  <c r="AC103" i="36"/>
  <c r="AE103" i="36"/>
  <c r="AF103" i="36"/>
  <c r="AG103" i="36"/>
  <c r="AH103" i="36"/>
  <c r="AI103" i="36"/>
  <c r="AJ103" i="36"/>
  <c r="AN103" i="36"/>
  <c r="AO103" i="36"/>
  <c r="AX103" i="36"/>
  <c r="AY103" i="36"/>
  <c r="BA103" i="36"/>
  <c r="A104" i="36"/>
  <c r="B104" i="36"/>
  <c r="C104" i="36"/>
  <c r="D104" i="36"/>
  <c r="E104" i="36"/>
  <c r="F104" i="36"/>
  <c r="S104" i="36"/>
  <c r="T104" i="36"/>
  <c r="U104" i="36"/>
  <c r="V104" i="36"/>
  <c r="W104" i="36"/>
  <c r="X104" i="36"/>
  <c r="Z104" i="36"/>
  <c r="AA104" i="36"/>
  <c r="AC104" i="36"/>
  <c r="AE104" i="36"/>
  <c r="AF104" i="36"/>
  <c r="AG104" i="36"/>
  <c r="AH104" i="36"/>
  <c r="AI104" i="36"/>
  <c r="AJ104" i="36"/>
  <c r="AN104" i="36"/>
  <c r="AO104" i="36"/>
  <c r="AX104" i="36"/>
  <c r="AY104" i="36"/>
  <c r="BA104" i="36"/>
  <c r="A105" i="36"/>
  <c r="B105" i="36"/>
  <c r="C105" i="36"/>
  <c r="D105" i="36"/>
  <c r="E105" i="36"/>
  <c r="F105" i="36"/>
  <c r="S105" i="36"/>
  <c r="T105" i="36"/>
  <c r="U105" i="36"/>
  <c r="V105" i="36"/>
  <c r="W105" i="36"/>
  <c r="X105" i="36"/>
  <c r="Z105" i="36"/>
  <c r="AA105" i="36"/>
  <c r="AC105" i="36"/>
  <c r="AE105" i="36"/>
  <c r="AF105" i="36"/>
  <c r="AG105" i="36"/>
  <c r="AH105" i="36"/>
  <c r="AI105" i="36"/>
  <c r="AJ105" i="36"/>
  <c r="AN105" i="36"/>
  <c r="AO105" i="36"/>
  <c r="AX105" i="36"/>
  <c r="AY105" i="36"/>
  <c r="BA105" i="36"/>
  <c r="A106" i="36"/>
  <c r="B106" i="36"/>
  <c r="C106" i="36"/>
  <c r="D106" i="36"/>
  <c r="E106" i="36"/>
  <c r="F106" i="36"/>
  <c r="S106" i="36"/>
  <c r="T106" i="36"/>
  <c r="U106" i="36"/>
  <c r="V106" i="36"/>
  <c r="W106" i="36"/>
  <c r="X106" i="36"/>
  <c r="Z106" i="36"/>
  <c r="AA106" i="36"/>
  <c r="AC106" i="36"/>
  <c r="AE106" i="36"/>
  <c r="AF106" i="36"/>
  <c r="AG106" i="36"/>
  <c r="AH106" i="36"/>
  <c r="AI106" i="36"/>
  <c r="AJ106" i="36"/>
  <c r="AN106" i="36"/>
  <c r="AO106" i="36"/>
  <c r="AX106" i="36"/>
  <c r="AY106" i="36"/>
  <c r="BA106" i="36"/>
  <c r="A107" i="36"/>
  <c r="B107" i="36"/>
  <c r="C107" i="36"/>
  <c r="D107" i="36"/>
  <c r="E107" i="36"/>
  <c r="F107" i="36"/>
  <c r="S107" i="36"/>
  <c r="T107" i="36"/>
  <c r="U107" i="36"/>
  <c r="V107" i="36"/>
  <c r="W107" i="36"/>
  <c r="X107" i="36"/>
  <c r="Z107" i="36"/>
  <c r="AA107" i="36"/>
  <c r="AC107" i="36"/>
  <c r="AE107" i="36"/>
  <c r="AF107" i="36"/>
  <c r="AG107" i="36"/>
  <c r="AH107" i="36"/>
  <c r="AI107" i="36"/>
  <c r="AJ107" i="36"/>
  <c r="AN107" i="36"/>
  <c r="AO107" i="36"/>
  <c r="AX107" i="36"/>
  <c r="AY107" i="36"/>
  <c r="BA107" i="36"/>
  <c r="A108" i="36"/>
  <c r="B108" i="36"/>
  <c r="C108" i="36"/>
  <c r="D108" i="36"/>
  <c r="E108" i="36"/>
  <c r="F108" i="36"/>
  <c r="S108" i="36"/>
  <c r="T108" i="36"/>
  <c r="U108" i="36"/>
  <c r="V108" i="36"/>
  <c r="W108" i="36"/>
  <c r="X108" i="36"/>
  <c r="Z108" i="36"/>
  <c r="AA108" i="36"/>
  <c r="AC108" i="36"/>
  <c r="AE108" i="36"/>
  <c r="AF108" i="36"/>
  <c r="AG108" i="36"/>
  <c r="AH108" i="36"/>
  <c r="AI108" i="36"/>
  <c r="AJ108" i="36"/>
  <c r="AN108" i="36"/>
  <c r="AO108" i="36"/>
  <c r="AX108" i="36"/>
  <c r="AY108" i="36"/>
  <c r="BA108" i="36"/>
  <c r="A109" i="36"/>
  <c r="B109" i="36"/>
  <c r="C109" i="36"/>
  <c r="D109" i="36"/>
  <c r="E109" i="36"/>
  <c r="F109" i="36"/>
  <c r="S109" i="36"/>
  <c r="T109" i="36"/>
  <c r="U109" i="36"/>
  <c r="V109" i="36"/>
  <c r="W109" i="36"/>
  <c r="X109" i="36"/>
  <c r="Z109" i="36"/>
  <c r="AA109" i="36"/>
  <c r="AC109" i="36"/>
  <c r="AE109" i="36"/>
  <c r="AF109" i="36"/>
  <c r="AG109" i="36"/>
  <c r="AH109" i="36"/>
  <c r="AI109" i="36"/>
  <c r="AJ109" i="36"/>
  <c r="AN109" i="36"/>
  <c r="AO109" i="36"/>
  <c r="AX109" i="36"/>
  <c r="AY109" i="36"/>
  <c r="BA109" i="36"/>
  <c r="A110" i="36"/>
  <c r="B110" i="36"/>
  <c r="C110" i="36"/>
  <c r="D110" i="36"/>
  <c r="E110" i="36"/>
  <c r="F110" i="36"/>
  <c r="S110" i="36"/>
  <c r="T110" i="36"/>
  <c r="U110" i="36"/>
  <c r="V110" i="36"/>
  <c r="W110" i="36"/>
  <c r="X110" i="36"/>
  <c r="Z110" i="36"/>
  <c r="AA110" i="36"/>
  <c r="AC110" i="36"/>
  <c r="AE110" i="36"/>
  <c r="AF110" i="36"/>
  <c r="AG110" i="36"/>
  <c r="AH110" i="36"/>
  <c r="AI110" i="36"/>
  <c r="AJ110" i="36"/>
  <c r="AN110" i="36"/>
  <c r="AO110" i="36"/>
  <c r="AX110" i="36"/>
  <c r="AY110" i="36"/>
  <c r="BA110" i="36"/>
  <c r="A111" i="36"/>
  <c r="B111" i="36"/>
  <c r="C111" i="36"/>
  <c r="D111" i="36"/>
  <c r="E111" i="36"/>
  <c r="F111" i="36"/>
  <c r="S111" i="36"/>
  <c r="T111" i="36"/>
  <c r="U111" i="36"/>
  <c r="V111" i="36"/>
  <c r="W111" i="36"/>
  <c r="X111" i="36"/>
  <c r="Z111" i="36"/>
  <c r="AA111" i="36"/>
  <c r="AC111" i="36"/>
  <c r="AE111" i="36"/>
  <c r="AF111" i="36"/>
  <c r="AG111" i="36"/>
  <c r="AH111" i="36"/>
  <c r="AI111" i="36"/>
  <c r="AJ111" i="36"/>
  <c r="AN111" i="36"/>
  <c r="AO111" i="36"/>
  <c r="AX111" i="36"/>
  <c r="AY111" i="36"/>
  <c r="BA111" i="36"/>
  <c r="A112" i="36"/>
  <c r="B112" i="36"/>
  <c r="C112" i="36"/>
  <c r="D112" i="36"/>
  <c r="E112" i="36"/>
  <c r="F112" i="36"/>
  <c r="S112" i="36"/>
  <c r="T112" i="36"/>
  <c r="U112" i="36"/>
  <c r="V112" i="36"/>
  <c r="W112" i="36"/>
  <c r="X112" i="36"/>
  <c r="Z112" i="36"/>
  <c r="AA112" i="36"/>
  <c r="AC112" i="36"/>
  <c r="AE112" i="36"/>
  <c r="AF112" i="36"/>
  <c r="AG112" i="36"/>
  <c r="AH112" i="36"/>
  <c r="AI112" i="36"/>
  <c r="AJ112" i="36"/>
  <c r="AN112" i="36"/>
  <c r="AO112" i="36"/>
  <c r="AX112" i="36"/>
  <c r="AY112" i="36"/>
  <c r="BA112" i="36"/>
  <c r="A113" i="36"/>
  <c r="B113" i="36"/>
  <c r="C113" i="36"/>
  <c r="D113" i="36"/>
  <c r="E113" i="36"/>
  <c r="F113" i="36"/>
  <c r="S113" i="36"/>
  <c r="T113" i="36"/>
  <c r="U113" i="36"/>
  <c r="V113" i="36"/>
  <c r="W113" i="36"/>
  <c r="X113" i="36"/>
  <c r="Z113" i="36"/>
  <c r="AA113" i="36"/>
  <c r="AC113" i="36"/>
  <c r="AE113" i="36"/>
  <c r="AF113" i="36"/>
  <c r="AG113" i="36"/>
  <c r="AH113" i="36"/>
  <c r="AI113" i="36"/>
  <c r="AJ113" i="36"/>
  <c r="AN113" i="36"/>
  <c r="AO113" i="36"/>
  <c r="AX113" i="36"/>
  <c r="AY113" i="36"/>
  <c r="BA113" i="36"/>
  <c r="A114" i="36"/>
  <c r="B114" i="36"/>
  <c r="C114" i="36"/>
  <c r="D114" i="36"/>
  <c r="E114" i="36"/>
  <c r="F114" i="36"/>
  <c r="S114" i="36"/>
  <c r="T114" i="36"/>
  <c r="U114" i="36"/>
  <c r="V114" i="36"/>
  <c r="W114" i="36"/>
  <c r="X114" i="36"/>
  <c r="Z114" i="36"/>
  <c r="AA114" i="36"/>
  <c r="AC114" i="36"/>
  <c r="AE114" i="36"/>
  <c r="AF114" i="36"/>
  <c r="AG114" i="36"/>
  <c r="AH114" i="36"/>
  <c r="AI114" i="36"/>
  <c r="AJ114" i="36"/>
  <c r="AN114" i="36"/>
  <c r="AO114" i="36"/>
  <c r="AX114" i="36"/>
  <c r="AY114" i="36"/>
  <c r="BA114" i="36"/>
  <c r="A115" i="36"/>
  <c r="B115" i="36"/>
  <c r="C115" i="36"/>
  <c r="D115" i="36"/>
  <c r="E115" i="36"/>
  <c r="F115" i="36"/>
  <c r="S115" i="36"/>
  <c r="T115" i="36"/>
  <c r="U115" i="36"/>
  <c r="V115" i="36"/>
  <c r="W115" i="36"/>
  <c r="X115" i="36"/>
  <c r="Z115" i="36"/>
  <c r="AA115" i="36"/>
  <c r="AC115" i="36"/>
  <c r="AE115" i="36"/>
  <c r="AF115" i="36"/>
  <c r="AG115" i="36"/>
  <c r="AH115" i="36"/>
  <c r="AI115" i="36"/>
  <c r="AJ115" i="36"/>
  <c r="AN115" i="36"/>
  <c r="AO115" i="36"/>
  <c r="AX115" i="36"/>
  <c r="AY115" i="36"/>
  <c r="BA115" i="36"/>
  <c r="A116" i="36"/>
  <c r="B116" i="36"/>
  <c r="C116" i="36"/>
  <c r="D116" i="36"/>
  <c r="E116" i="36"/>
  <c r="F116" i="36"/>
  <c r="S116" i="36"/>
  <c r="T116" i="36"/>
  <c r="U116" i="36"/>
  <c r="V116" i="36"/>
  <c r="W116" i="36"/>
  <c r="X116" i="36"/>
  <c r="Z116" i="36"/>
  <c r="AA116" i="36"/>
  <c r="AC116" i="36"/>
  <c r="AE116" i="36"/>
  <c r="AF116" i="36"/>
  <c r="AG116" i="36"/>
  <c r="AH116" i="36"/>
  <c r="AI116" i="36"/>
  <c r="AJ116" i="36"/>
  <c r="AN116" i="36"/>
  <c r="AO116" i="36"/>
  <c r="AX116" i="36"/>
  <c r="AY116" i="36"/>
  <c r="BA116" i="36"/>
  <c r="A117" i="36"/>
  <c r="B117" i="36"/>
  <c r="C117" i="36"/>
  <c r="D117" i="36"/>
  <c r="E117" i="36"/>
  <c r="F117" i="36"/>
  <c r="S117" i="36"/>
  <c r="T117" i="36"/>
  <c r="U117" i="36"/>
  <c r="V117" i="36"/>
  <c r="W117" i="36"/>
  <c r="X117" i="36"/>
  <c r="Z117" i="36"/>
  <c r="AA117" i="36"/>
  <c r="AC117" i="36"/>
  <c r="AE117" i="36"/>
  <c r="AF117" i="36"/>
  <c r="AG117" i="36"/>
  <c r="AH117" i="36"/>
  <c r="AI117" i="36"/>
  <c r="AJ117" i="36"/>
  <c r="AN117" i="36"/>
  <c r="AO117" i="36"/>
  <c r="AX117" i="36"/>
  <c r="AY117" i="36"/>
  <c r="BA117" i="36"/>
  <c r="A118" i="36"/>
  <c r="B118" i="36"/>
  <c r="C118" i="36"/>
  <c r="D118" i="36"/>
  <c r="E118" i="36"/>
  <c r="F118" i="36"/>
  <c r="S118" i="36"/>
  <c r="T118" i="36"/>
  <c r="U118" i="36"/>
  <c r="V118" i="36"/>
  <c r="W118" i="36"/>
  <c r="X118" i="36"/>
  <c r="Z118" i="36"/>
  <c r="AA118" i="36"/>
  <c r="AC118" i="36"/>
  <c r="AE118" i="36"/>
  <c r="AF118" i="36"/>
  <c r="AG118" i="36"/>
  <c r="AH118" i="36"/>
  <c r="AI118" i="36"/>
  <c r="AJ118" i="36"/>
  <c r="AN118" i="36"/>
  <c r="AO118" i="36"/>
  <c r="AX118" i="36"/>
  <c r="AY118" i="36"/>
  <c r="BA118" i="36"/>
  <c r="B119" i="36"/>
  <c r="X119" i="36"/>
  <c r="AN119" i="36"/>
  <c r="A123" i="36"/>
  <c r="B123" i="36"/>
  <c r="C123" i="36"/>
  <c r="D123" i="36"/>
  <c r="E123" i="36"/>
  <c r="S123" i="36"/>
  <c r="T123" i="36"/>
  <c r="U123" i="36"/>
  <c r="V123" i="36"/>
  <c r="W123" i="36"/>
  <c r="X123" i="36"/>
  <c r="Z123" i="36"/>
  <c r="AA123" i="36"/>
  <c r="AC123" i="36"/>
  <c r="AG123" i="36"/>
  <c r="AH123" i="36"/>
  <c r="AJ123" i="36"/>
  <c r="AM123" i="36"/>
  <c r="AN123" i="36"/>
  <c r="AO123" i="36"/>
  <c r="AX123" i="36"/>
  <c r="AY123" i="36"/>
  <c r="A124" i="36"/>
  <c r="B124" i="36"/>
  <c r="C124" i="36"/>
  <c r="D124" i="36"/>
  <c r="E124" i="36"/>
  <c r="F124" i="36"/>
  <c r="S124" i="36"/>
  <c r="T124" i="36"/>
  <c r="U124" i="36"/>
  <c r="V124" i="36"/>
  <c r="W124" i="36"/>
  <c r="X124" i="36"/>
  <c r="Z124" i="36"/>
  <c r="AA124" i="36"/>
  <c r="AC124" i="36"/>
  <c r="AG124" i="36"/>
  <c r="AH124" i="36"/>
  <c r="AJ124" i="36"/>
  <c r="AM124" i="36"/>
  <c r="AN124" i="36"/>
  <c r="AO124" i="36"/>
  <c r="AX124" i="36"/>
  <c r="AY124" i="36"/>
  <c r="A125" i="36"/>
  <c r="B125" i="36"/>
  <c r="C125" i="36"/>
  <c r="D125" i="36"/>
  <c r="E125" i="36"/>
  <c r="F125" i="36"/>
  <c r="S125" i="36"/>
  <c r="T125" i="36"/>
  <c r="U125" i="36"/>
  <c r="V125" i="36"/>
  <c r="W125" i="36"/>
  <c r="X125" i="36"/>
  <c r="Z125" i="36"/>
  <c r="AA125" i="36"/>
  <c r="AC125" i="36"/>
  <c r="AG125" i="36"/>
  <c r="AH125" i="36"/>
  <c r="AJ125" i="36"/>
  <c r="AM125" i="36"/>
  <c r="AN125" i="36"/>
  <c r="AO125" i="36"/>
  <c r="AX125" i="36"/>
  <c r="AY125" i="36"/>
  <c r="A126" i="36"/>
  <c r="B126" i="36"/>
  <c r="C126" i="36"/>
  <c r="D126" i="36"/>
  <c r="E126" i="36"/>
  <c r="F126" i="36"/>
  <c r="S126" i="36"/>
  <c r="T126" i="36"/>
  <c r="U126" i="36"/>
  <c r="V126" i="36"/>
  <c r="W126" i="36"/>
  <c r="X126" i="36"/>
  <c r="Z126" i="36"/>
  <c r="AA126" i="36"/>
  <c r="AC126" i="36"/>
  <c r="AG126" i="36"/>
  <c r="AH126" i="36"/>
  <c r="AJ126" i="36"/>
  <c r="AM126" i="36"/>
  <c r="AN126" i="36"/>
  <c r="AO126" i="36"/>
  <c r="AX126" i="36"/>
  <c r="AY126" i="36"/>
  <c r="A127" i="36"/>
  <c r="B127" i="36"/>
  <c r="C127" i="36"/>
  <c r="D127" i="36"/>
  <c r="E127" i="36"/>
  <c r="F127" i="36"/>
  <c r="S127" i="36"/>
  <c r="T127" i="36"/>
  <c r="U127" i="36"/>
  <c r="V127" i="36"/>
  <c r="W127" i="36"/>
  <c r="X127" i="36"/>
  <c r="Z127" i="36"/>
  <c r="AA127" i="36"/>
  <c r="AC127" i="36"/>
  <c r="AG127" i="36"/>
  <c r="AH127" i="36"/>
  <c r="AJ127" i="36"/>
  <c r="AM127" i="36"/>
  <c r="AN127" i="36"/>
  <c r="AO127" i="36"/>
  <c r="AX127" i="36"/>
  <c r="AY127" i="36"/>
  <c r="A128" i="36"/>
  <c r="B128" i="36"/>
  <c r="C128" i="36"/>
  <c r="D128" i="36"/>
  <c r="E128" i="36"/>
  <c r="F128" i="36"/>
  <c r="S128" i="36"/>
  <c r="T128" i="36"/>
  <c r="U128" i="36"/>
  <c r="V128" i="36"/>
  <c r="W128" i="36"/>
  <c r="X128" i="36"/>
  <c r="Z128" i="36"/>
  <c r="AA128" i="36"/>
  <c r="AC128" i="36"/>
  <c r="AG128" i="36"/>
  <c r="AH128" i="36"/>
  <c r="AJ128" i="36"/>
  <c r="AM128" i="36"/>
  <c r="AN128" i="36"/>
  <c r="AO128" i="36"/>
  <c r="AX128" i="36"/>
  <c r="AY128" i="36"/>
  <c r="A129" i="36"/>
  <c r="B129" i="36"/>
  <c r="C129" i="36"/>
  <c r="D129" i="36"/>
  <c r="E129" i="36"/>
  <c r="F129" i="36"/>
  <c r="S129" i="36"/>
  <c r="T129" i="36"/>
  <c r="U129" i="36"/>
  <c r="V129" i="36"/>
  <c r="W129" i="36"/>
  <c r="X129" i="36"/>
  <c r="Z129" i="36"/>
  <c r="AA129" i="36"/>
  <c r="AC129" i="36"/>
  <c r="AG129" i="36"/>
  <c r="AH129" i="36"/>
  <c r="AJ129" i="36"/>
  <c r="AM129" i="36"/>
  <c r="AN129" i="36"/>
  <c r="AO129" i="36"/>
  <c r="AX129" i="36"/>
  <c r="AY129" i="36"/>
  <c r="A130" i="36"/>
  <c r="B130" i="36"/>
  <c r="C130" i="36"/>
  <c r="D130" i="36"/>
  <c r="E130" i="36"/>
  <c r="F130" i="36"/>
  <c r="S130" i="36"/>
  <c r="T130" i="36"/>
  <c r="U130" i="36"/>
  <c r="V130" i="36"/>
  <c r="W130" i="36"/>
  <c r="X130" i="36"/>
  <c r="Z130" i="36"/>
  <c r="AA130" i="36"/>
  <c r="AC130" i="36"/>
  <c r="AG130" i="36"/>
  <c r="AH130" i="36"/>
  <c r="AJ130" i="36"/>
  <c r="AM130" i="36"/>
  <c r="AN130" i="36"/>
  <c r="AO130" i="36"/>
  <c r="AX130" i="36"/>
  <c r="AY130" i="36"/>
  <c r="A131" i="36"/>
  <c r="B131" i="36"/>
  <c r="C131" i="36"/>
  <c r="D131" i="36"/>
  <c r="E131" i="36"/>
  <c r="F131" i="36"/>
  <c r="S131" i="36"/>
  <c r="T131" i="36"/>
  <c r="U131" i="36"/>
  <c r="V131" i="36"/>
  <c r="W131" i="36"/>
  <c r="X131" i="36"/>
  <c r="Z131" i="36"/>
  <c r="AA131" i="36"/>
  <c r="AC131" i="36"/>
  <c r="AG131" i="36"/>
  <c r="AH131" i="36"/>
  <c r="AJ131" i="36"/>
  <c r="AM131" i="36"/>
  <c r="AN131" i="36"/>
  <c r="AO131" i="36"/>
  <c r="AX131" i="36"/>
  <c r="AY131" i="36"/>
  <c r="A132" i="36"/>
  <c r="B132" i="36"/>
  <c r="C132" i="36"/>
  <c r="D132" i="36"/>
  <c r="E132" i="36"/>
  <c r="F132" i="36"/>
  <c r="S132" i="36"/>
  <c r="T132" i="36"/>
  <c r="U132" i="36"/>
  <c r="V132" i="36"/>
  <c r="W132" i="36"/>
  <c r="X132" i="36"/>
  <c r="Z132" i="36"/>
  <c r="AA132" i="36"/>
  <c r="AC132" i="36"/>
  <c r="AG132" i="36"/>
  <c r="AH132" i="36"/>
  <c r="AJ132" i="36"/>
  <c r="AM132" i="36"/>
  <c r="AN132" i="36"/>
  <c r="AO132" i="36"/>
  <c r="AX132" i="36"/>
  <c r="AY132" i="36"/>
  <c r="A133" i="36"/>
  <c r="B133" i="36"/>
  <c r="C133" i="36"/>
  <c r="D133" i="36"/>
  <c r="E133" i="36"/>
  <c r="F133" i="36"/>
  <c r="S133" i="36"/>
  <c r="T133" i="36"/>
  <c r="U133" i="36"/>
  <c r="V133" i="36"/>
  <c r="W133" i="36"/>
  <c r="X133" i="36"/>
  <c r="Z133" i="36"/>
  <c r="AA133" i="36"/>
  <c r="AC133" i="36"/>
  <c r="AG133" i="36"/>
  <c r="AH133" i="36"/>
  <c r="AJ133" i="36"/>
  <c r="AM133" i="36"/>
  <c r="AN133" i="36"/>
  <c r="AO133" i="36"/>
  <c r="AX133" i="36"/>
  <c r="AY133" i="36"/>
  <c r="A134" i="36"/>
  <c r="B134" i="36"/>
  <c r="C134" i="36"/>
  <c r="D134" i="36"/>
  <c r="E134" i="36"/>
  <c r="F134" i="36"/>
  <c r="S134" i="36"/>
  <c r="T134" i="36"/>
  <c r="U134" i="36"/>
  <c r="V134" i="36"/>
  <c r="W134" i="36"/>
  <c r="X134" i="36"/>
  <c r="Z134" i="36"/>
  <c r="AA134" i="36"/>
  <c r="AC134" i="36"/>
  <c r="AG134" i="36"/>
  <c r="AH134" i="36"/>
  <c r="AJ134" i="36"/>
  <c r="AM134" i="36"/>
  <c r="AN134" i="36"/>
  <c r="AO134" i="36"/>
  <c r="AX134" i="36"/>
  <c r="AY134" i="36"/>
  <c r="A135" i="36"/>
  <c r="B135" i="36"/>
  <c r="C135" i="36"/>
  <c r="D135" i="36"/>
  <c r="E135" i="36"/>
  <c r="F135" i="36"/>
  <c r="S135" i="36"/>
  <c r="T135" i="36"/>
  <c r="U135" i="36"/>
  <c r="V135" i="36"/>
  <c r="W135" i="36"/>
  <c r="X135" i="36"/>
  <c r="Z135" i="36"/>
  <c r="AA135" i="36"/>
  <c r="AC135" i="36"/>
  <c r="AG135" i="36"/>
  <c r="AH135" i="36"/>
  <c r="AJ135" i="36"/>
  <c r="AM135" i="36"/>
  <c r="AN135" i="36"/>
  <c r="AO135" i="36"/>
  <c r="AX135" i="36"/>
  <c r="AY135" i="36"/>
  <c r="A136" i="36"/>
  <c r="B136" i="36"/>
  <c r="C136" i="36"/>
  <c r="D136" i="36"/>
  <c r="E136" i="36"/>
  <c r="F136" i="36"/>
  <c r="S136" i="36"/>
  <c r="T136" i="36"/>
  <c r="U136" i="36"/>
  <c r="V136" i="36"/>
  <c r="W136" i="36"/>
  <c r="X136" i="36"/>
  <c r="Z136" i="36"/>
  <c r="AA136" i="36"/>
  <c r="AC136" i="36"/>
  <c r="AG136" i="36"/>
  <c r="AH136" i="36"/>
  <c r="AJ136" i="36"/>
  <c r="AM136" i="36"/>
  <c r="AN136" i="36"/>
  <c r="AO136" i="36"/>
  <c r="AX136" i="36"/>
  <c r="AY136" i="36"/>
  <c r="A137" i="36"/>
  <c r="B137" i="36"/>
  <c r="C137" i="36"/>
  <c r="D137" i="36"/>
  <c r="E137" i="36"/>
  <c r="F137" i="36"/>
  <c r="S137" i="36"/>
  <c r="T137" i="36"/>
  <c r="U137" i="36"/>
  <c r="V137" i="36"/>
  <c r="W137" i="36"/>
  <c r="X137" i="36"/>
  <c r="Z137" i="36"/>
  <c r="AA137" i="36"/>
  <c r="AC137" i="36"/>
  <c r="AG137" i="36"/>
  <c r="AH137" i="36"/>
  <c r="AJ137" i="36"/>
  <c r="AM137" i="36"/>
  <c r="AN137" i="36"/>
  <c r="AO137" i="36"/>
  <c r="AX137" i="36"/>
  <c r="AY137" i="36"/>
  <c r="A138" i="36"/>
  <c r="B138" i="36"/>
  <c r="C138" i="36"/>
  <c r="D138" i="36"/>
  <c r="E138" i="36"/>
  <c r="F138" i="36"/>
  <c r="S138" i="36"/>
  <c r="T138" i="36"/>
  <c r="U138" i="36"/>
  <c r="V138" i="36"/>
  <c r="W138" i="36"/>
  <c r="X138" i="36"/>
  <c r="Z138" i="36"/>
  <c r="AA138" i="36"/>
  <c r="AC138" i="36"/>
  <c r="AG138" i="36"/>
  <c r="AH138" i="36"/>
  <c r="AJ138" i="36"/>
  <c r="AM138" i="36"/>
  <c r="AN138" i="36"/>
  <c r="AO138" i="36"/>
  <c r="AX138" i="36"/>
  <c r="AY138" i="36"/>
  <c r="A139" i="36"/>
  <c r="B139" i="36"/>
  <c r="C139" i="36"/>
  <c r="D139" i="36"/>
  <c r="E139" i="36"/>
  <c r="F139" i="36"/>
  <c r="S139" i="36"/>
  <c r="T139" i="36"/>
  <c r="U139" i="36"/>
  <c r="V139" i="36"/>
  <c r="W139" i="36"/>
  <c r="X139" i="36"/>
  <c r="Z139" i="36"/>
  <c r="AA139" i="36"/>
  <c r="AC139" i="36"/>
  <c r="AG139" i="36"/>
  <c r="AH139" i="36"/>
  <c r="AJ139" i="36"/>
  <c r="AM139" i="36"/>
  <c r="AN139" i="36"/>
  <c r="AO139" i="36"/>
  <c r="AX139" i="36"/>
  <c r="AY139" i="36"/>
  <c r="A140" i="36"/>
  <c r="B140" i="36"/>
  <c r="C140" i="36"/>
  <c r="D140" i="36"/>
  <c r="E140" i="36"/>
  <c r="F140" i="36"/>
  <c r="S140" i="36"/>
  <c r="T140" i="36"/>
  <c r="U140" i="36"/>
  <c r="V140" i="36"/>
  <c r="W140" i="36"/>
  <c r="X140" i="36"/>
  <c r="Z140" i="36"/>
  <c r="AA140" i="36"/>
  <c r="AC140" i="36"/>
  <c r="AG140" i="36"/>
  <c r="AH140" i="36"/>
  <c r="AJ140" i="36"/>
  <c r="AM140" i="36"/>
  <c r="AN140" i="36"/>
  <c r="AO140" i="36"/>
  <c r="AX140" i="36"/>
  <c r="AY140" i="36"/>
  <c r="A141" i="36"/>
  <c r="B141" i="36"/>
  <c r="C141" i="36"/>
  <c r="D141" i="36"/>
  <c r="E141" i="36"/>
  <c r="F141" i="36"/>
  <c r="S141" i="36"/>
  <c r="T141" i="36"/>
  <c r="U141" i="36"/>
  <c r="V141" i="36"/>
  <c r="W141" i="36"/>
  <c r="X141" i="36"/>
  <c r="Z141" i="36"/>
  <c r="AA141" i="36"/>
  <c r="AC141" i="36"/>
  <c r="AG141" i="36"/>
  <c r="AH141" i="36"/>
  <c r="AJ141" i="36"/>
  <c r="AM141" i="36"/>
  <c r="AN141" i="36"/>
  <c r="AO141" i="36"/>
  <c r="AX141" i="36"/>
  <c r="AY141" i="36"/>
  <c r="A142" i="36"/>
  <c r="B142" i="36"/>
  <c r="C142" i="36"/>
  <c r="D142" i="36"/>
  <c r="E142" i="36"/>
  <c r="F142" i="36"/>
  <c r="S142" i="36"/>
  <c r="T142" i="36"/>
  <c r="U142" i="36"/>
  <c r="V142" i="36"/>
  <c r="W142" i="36"/>
  <c r="X142" i="36"/>
  <c r="Z142" i="36"/>
  <c r="AA142" i="36"/>
  <c r="AC142" i="36"/>
  <c r="AG142" i="36"/>
  <c r="AH142" i="36"/>
  <c r="AJ142" i="36"/>
  <c r="AM142" i="36"/>
  <c r="AN142" i="36"/>
  <c r="AO142" i="36"/>
  <c r="AX142" i="36"/>
  <c r="AY142" i="36"/>
  <c r="A143" i="36"/>
  <c r="B143" i="36"/>
  <c r="C143" i="36"/>
  <c r="D143" i="36"/>
  <c r="E143" i="36"/>
  <c r="F143" i="36"/>
  <c r="S143" i="36"/>
  <c r="T143" i="36"/>
  <c r="U143" i="36"/>
  <c r="V143" i="36"/>
  <c r="W143" i="36"/>
  <c r="X143" i="36"/>
  <c r="Z143" i="36"/>
  <c r="AA143" i="36"/>
  <c r="AC143" i="36"/>
  <c r="AG143" i="36"/>
  <c r="AH143" i="36"/>
  <c r="AJ143" i="36"/>
  <c r="AM143" i="36"/>
  <c r="AN143" i="36"/>
  <c r="AO143" i="36"/>
  <c r="AX143" i="36"/>
  <c r="AY143" i="36"/>
  <c r="B144" i="36"/>
  <c r="X144" i="36"/>
  <c r="AN144" i="36"/>
  <c r="A148" i="36"/>
  <c r="B148" i="36"/>
  <c r="C148" i="36"/>
  <c r="D148" i="36"/>
  <c r="E148" i="36"/>
  <c r="S148" i="36"/>
  <c r="T148" i="36"/>
  <c r="U148" i="36"/>
  <c r="V148" i="36"/>
  <c r="W148" i="36"/>
  <c r="X148" i="36"/>
  <c r="Z148" i="36"/>
  <c r="AA148" i="36"/>
  <c r="AC148" i="36"/>
  <c r="AE148" i="36"/>
  <c r="AF148" i="36"/>
  <c r="AG148" i="36"/>
  <c r="AH148" i="36"/>
  <c r="AI148" i="36"/>
  <c r="AJ148" i="36"/>
  <c r="AN148" i="36"/>
  <c r="AX148" i="36"/>
  <c r="AY148" i="36"/>
  <c r="BA148" i="36"/>
  <c r="A149" i="36"/>
  <c r="B149" i="36"/>
  <c r="C149" i="36"/>
  <c r="D149" i="36"/>
  <c r="E149" i="36"/>
  <c r="S149" i="36"/>
  <c r="T149" i="36"/>
  <c r="U149" i="36"/>
  <c r="V149" i="36"/>
  <c r="W149" i="36"/>
  <c r="X149" i="36"/>
  <c r="Z149" i="36"/>
  <c r="AA149" i="36"/>
  <c r="AC149" i="36"/>
  <c r="AE149" i="36"/>
  <c r="AF149" i="36"/>
  <c r="AG149" i="36"/>
  <c r="AH149" i="36"/>
  <c r="AI149" i="36"/>
  <c r="AJ149" i="36"/>
  <c r="AN149" i="36"/>
  <c r="AX149" i="36"/>
  <c r="AY149" i="36"/>
  <c r="BA149" i="36"/>
  <c r="A150" i="36"/>
  <c r="B150" i="36"/>
  <c r="C150" i="36"/>
  <c r="D150" i="36"/>
  <c r="E150" i="36"/>
  <c r="S150" i="36"/>
  <c r="T150" i="36"/>
  <c r="U150" i="36"/>
  <c r="V150" i="36"/>
  <c r="W150" i="36"/>
  <c r="X150" i="36"/>
  <c r="Z150" i="36"/>
  <c r="AA150" i="36"/>
  <c r="AC150" i="36"/>
  <c r="AE150" i="36"/>
  <c r="AF150" i="36"/>
  <c r="AG150" i="36"/>
  <c r="AH150" i="36"/>
  <c r="AI150" i="36"/>
  <c r="AJ150" i="36"/>
  <c r="AN150" i="36"/>
  <c r="AX150" i="36"/>
  <c r="AY150" i="36"/>
  <c r="BA150" i="36"/>
  <c r="A151" i="36"/>
  <c r="B151" i="36"/>
  <c r="C151" i="36"/>
  <c r="D151" i="36"/>
  <c r="E151" i="36"/>
  <c r="S151" i="36"/>
  <c r="T151" i="36"/>
  <c r="U151" i="36"/>
  <c r="V151" i="36"/>
  <c r="W151" i="36"/>
  <c r="X151" i="36"/>
  <c r="Z151" i="36"/>
  <c r="AA151" i="36"/>
  <c r="AC151" i="36"/>
  <c r="AE151" i="36"/>
  <c r="AF151" i="36"/>
  <c r="AG151" i="36"/>
  <c r="AH151" i="36"/>
  <c r="AI151" i="36"/>
  <c r="AJ151" i="36"/>
  <c r="AN151" i="36"/>
  <c r="AX151" i="36"/>
  <c r="AY151" i="36"/>
  <c r="BA151" i="36"/>
  <c r="A152" i="36"/>
  <c r="B152" i="36"/>
  <c r="C152" i="36"/>
  <c r="D152" i="36"/>
  <c r="E152" i="36"/>
  <c r="S152" i="36"/>
  <c r="T152" i="36"/>
  <c r="U152" i="36"/>
  <c r="V152" i="36"/>
  <c r="W152" i="36"/>
  <c r="X152" i="36"/>
  <c r="Z152" i="36"/>
  <c r="AA152" i="36"/>
  <c r="AC152" i="36"/>
  <c r="AE152" i="36"/>
  <c r="AF152" i="36"/>
  <c r="AG152" i="36"/>
  <c r="AH152" i="36"/>
  <c r="AI152" i="36"/>
  <c r="AJ152" i="36"/>
  <c r="AN152" i="36"/>
  <c r="AX152" i="36"/>
  <c r="AY152" i="36"/>
  <c r="BA152" i="36"/>
  <c r="A153" i="36"/>
  <c r="B153" i="36"/>
  <c r="C153" i="36"/>
  <c r="D153" i="36"/>
  <c r="E153" i="36"/>
  <c r="S153" i="36"/>
  <c r="T153" i="36"/>
  <c r="U153" i="36"/>
  <c r="V153" i="36"/>
  <c r="W153" i="36"/>
  <c r="X153" i="36"/>
  <c r="Z153" i="36"/>
  <c r="AA153" i="36"/>
  <c r="AC153" i="36"/>
  <c r="AE153" i="36"/>
  <c r="AF153" i="36"/>
  <c r="AG153" i="36"/>
  <c r="AH153" i="36"/>
  <c r="AI153" i="36"/>
  <c r="AJ153" i="36"/>
  <c r="AN153" i="36"/>
  <c r="AX153" i="36"/>
  <c r="AY153" i="36"/>
  <c r="BA153" i="36"/>
  <c r="A154" i="36"/>
  <c r="B154" i="36"/>
  <c r="C154" i="36"/>
  <c r="D154" i="36"/>
  <c r="E154" i="36"/>
  <c r="S154" i="36"/>
  <c r="T154" i="36"/>
  <c r="U154" i="36"/>
  <c r="V154" i="36"/>
  <c r="W154" i="36"/>
  <c r="X154" i="36"/>
  <c r="Z154" i="36"/>
  <c r="AA154" i="36"/>
  <c r="AC154" i="36"/>
  <c r="AE154" i="36"/>
  <c r="AF154" i="36"/>
  <c r="AG154" i="36"/>
  <c r="AH154" i="36"/>
  <c r="AI154" i="36"/>
  <c r="AJ154" i="36"/>
  <c r="AN154" i="36"/>
  <c r="AX154" i="36"/>
  <c r="AY154" i="36"/>
  <c r="BA154" i="36"/>
  <c r="A155" i="36"/>
  <c r="B155" i="36"/>
  <c r="C155" i="36"/>
  <c r="D155" i="36"/>
  <c r="E155" i="36"/>
  <c r="S155" i="36"/>
  <c r="T155" i="36"/>
  <c r="U155" i="36"/>
  <c r="V155" i="36"/>
  <c r="W155" i="36"/>
  <c r="X155" i="36"/>
  <c r="Z155" i="36"/>
  <c r="AA155" i="36"/>
  <c r="AC155" i="36"/>
  <c r="AE155" i="36"/>
  <c r="AF155" i="36"/>
  <c r="AG155" i="36"/>
  <c r="AH155" i="36"/>
  <c r="AI155" i="36"/>
  <c r="AJ155" i="36"/>
  <c r="AN155" i="36"/>
  <c r="AX155" i="36"/>
  <c r="AY155" i="36"/>
  <c r="BA155" i="36"/>
  <c r="A156" i="36"/>
  <c r="B156" i="36"/>
  <c r="C156" i="36"/>
  <c r="D156" i="36"/>
  <c r="E156" i="36"/>
  <c r="S156" i="36"/>
  <c r="T156" i="36"/>
  <c r="U156" i="36"/>
  <c r="V156" i="36"/>
  <c r="W156" i="36"/>
  <c r="X156" i="36"/>
  <c r="Z156" i="36"/>
  <c r="AA156" i="36"/>
  <c r="AC156" i="36"/>
  <c r="AE156" i="36"/>
  <c r="AF156" i="36"/>
  <c r="AG156" i="36"/>
  <c r="AH156" i="36"/>
  <c r="AI156" i="36"/>
  <c r="AJ156" i="36"/>
  <c r="AN156" i="36"/>
  <c r="AX156" i="36"/>
  <c r="AY156" i="36"/>
  <c r="BA156" i="36"/>
  <c r="A157" i="36"/>
  <c r="B157" i="36"/>
  <c r="C157" i="36"/>
  <c r="D157" i="36"/>
  <c r="E157" i="36"/>
  <c r="S157" i="36"/>
  <c r="T157" i="36"/>
  <c r="U157" i="36"/>
  <c r="V157" i="36"/>
  <c r="W157" i="36"/>
  <c r="X157" i="36"/>
  <c r="Z157" i="36"/>
  <c r="AA157" i="36"/>
  <c r="AC157" i="36"/>
  <c r="AE157" i="36"/>
  <c r="AF157" i="36"/>
  <c r="AG157" i="36"/>
  <c r="AH157" i="36"/>
  <c r="AI157" i="36"/>
  <c r="AJ157" i="36"/>
  <c r="AN157" i="36"/>
  <c r="AX157" i="36"/>
  <c r="AY157" i="36"/>
  <c r="BA157" i="36"/>
  <c r="A158" i="36"/>
  <c r="B158" i="36"/>
  <c r="C158" i="36"/>
  <c r="D158" i="36"/>
  <c r="E158" i="36"/>
  <c r="S158" i="36"/>
  <c r="T158" i="36"/>
  <c r="U158" i="36"/>
  <c r="V158" i="36"/>
  <c r="W158" i="36"/>
  <c r="X158" i="36"/>
  <c r="Z158" i="36"/>
  <c r="AA158" i="36"/>
  <c r="AC158" i="36"/>
  <c r="AE158" i="36"/>
  <c r="AF158" i="36"/>
  <c r="AG158" i="36"/>
  <c r="AH158" i="36"/>
  <c r="AI158" i="36"/>
  <c r="AJ158" i="36"/>
  <c r="AN158" i="36"/>
  <c r="AX158" i="36"/>
  <c r="AY158" i="36"/>
  <c r="BA158" i="36"/>
  <c r="A159" i="36"/>
  <c r="B159" i="36"/>
  <c r="C159" i="36"/>
  <c r="D159" i="36"/>
  <c r="E159" i="36"/>
  <c r="S159" i="36"/>
  <c r="T159" i="36"/>
  <c r="U159" i="36"/>
  <c r="V159" i="36"/>
  <c r="W159" i="36"/>
  <c r="X159" i="36"/>
  <c r="Z159" i="36"/>
  <c r="AA159" i="36"/>
  <c r="AC159" i="36"/>
  <c r="AE159" i="36"/>
  <c r="AF159" i="36"/>
  <c r="AG159" i="36"/>
  <c r="AH159" i="36"/>
  <c r="AI159" i="36"/>
  <c r="AJ159" i="36"/>
  <c r="AN159" i="36"/>
  <c r="AX159" i="36"/>
  <c r="AY159" i="36"/>
  <c r="BA159" i="36"/>
  <c r="A160" i="36"/>
  <c r="B160" i="36"/>
  <c r="C160" i="36"/>
  <c r="D160" i="36"/>
  <c r="E160" i="36"/>
  <c r="S160" i="36"/>
  <c r="T160" i="36"/>
  <c r="U160" i="36"/>
  <c r="V160" i="36"/>
  <c r="W160" i="36"/>
  <c r="X160" i="36"/>
  <c r="Z160" i="36"/>
  <c r="AA160" i="36"/>
  <c r="AC160" i="36"/>
  <c r="AE160" i="36"/>
  <c r="AF160" i="36"/>
  <c r="AG160" i="36"/>
  <c r="AH160" i="36"/>
  <c r="AI160" i="36"/>
  <c r="AJ160" i="36"/>
  <c r="AN160" i="36"/>
  <c r="AX160" i="36"/>
  <c r="AY160" i="36"/>
  <c r="BA160" i="36"/>
  <c r="A161" i="36"/>
  <c r="B161" i="36"/>
  <c r="C161" i="36"/>
  <c r="D161" i="36"/>
  <c r="E161" i="36"/>
  <c r="S161" i="36"/>
  <c r="T161" i="36"/>
  <c r="U161" i="36"/>
  <c r="V161" i="36"/>
  <c r="W161" i="36"/>
  <c r="X161" i="36"/>
  <c r="Z161" i="36"/>
  <c r="AA161" i="36"/>
  <c r="AC161" i="36"/>
  <c r="AE161" i="36"/>
  <c r="AF161" i="36"/>
  <c r="AG161" i="36"/>
  <c r="AH161" i="36"/>
  <c r="AI161" i="36"/>
  <c r="AJ161" i="36"/>
  <c r="AN161" i="36"/>
  <c r="AX161" i="36"/>
  <c r="AY161" i="36"/>
  <c r="BA161" i="36"/>
  <c r="A162" i="36"/>
  <c r="B162" i="36"/>
  <c r="C162" i="36"/>
  <c r="D162" i="36"/>
  <c r="E162" i="36"/>
  <c r="S162" i="36"/>
  <c r="T162" i="36"/>
  <c r="U162" i="36"/>
  <c r="V162" i="36"/>
  <c r="W162" i="36"/>
  <c r="X162" i="36"/>
  <c r="Z162" i="36"/>
  <c r="AA162" i="36"/>
  <c r="AC162" i="36"/>
  <c r="AE162" i="36"/>
  <c r="AF162" i="36"/>
  <c r="AG162" i="36"/>
  <c r="AH162" i="36"/>
  <c r="AI162" i="36"/>
  <c r="AJ162" i="36"/>
  <c r="AN162" i="36"/>
  <c r="AX162" i="36"/>
  <c r="AY162" i="36"/>
  <c r="BA162" i="36"/>
  <c r="A163" i="36"/>
  <c r="B163" i="36"/>
  <c r="C163" i="36"/>
  <c r="D163" i="36"/>
  <c r="E163" i="36"/>
  <c r="S163" i="36"/>
  <c r="T163" i="36"/>
  <c r="U163" i="36"/>
  <c r="V163" i="36"/>
  <c r="W163" i="36"/>
  <c r="X163" i="36"/>
  <c r="Z163" i="36"/>
  <c r="AA163" i="36"/>
  <c r="AC163" i="36"/>
  <c r="AE163" i="36"/>
  <c r="AF163" i="36"/>
  <c r="AG163" i="36"/>
  <c r="AH163" i="36"/>
  <c r="AI163" i="36"/>
  <c r="AJ163" i="36"/>
  <c r="AN163" i="36"/>
  <c r="AX163" i="36"/>
  <c r="AY163" i="36"/>
  <c r="BA163" i="36"/>
  <c r="A164" i="36"/>
  <c r="B164" i="36"/>
  <c r="C164" i="36"/>
  <c r="D164" i="36"/>
  <c r="E164" i="36"/>
  <c r="S164" i="36"/>
  <c r="T164" i="36"/>
  <c r="U164" i="36"/>
  <c r="V164" i="36"/>
  <c r="W164" i="36"/>
  <c r="X164" i="36"/>
  <c r="Z164" i="36"/>
  <c r="AA164" i="36"/>
  <c r="AC164" i="36"/>
  <c r="AE164" i="36"/>
  <c r="AF164" i="36"/>
  <c r="AG164" i="36"/>
  <c r="AH164" i="36"/>
  <c r="AI164" i="36"/>
  <c r="AJ164" i="36"/>
  <c r="AN164" i="36"/>
  <c r="AX164" i="36"/>
  <c r="AY164" i="36"/>
  <c r="BA164" i="36"/>
  <c r="A165" i="36"/>
  <c r="B165" i="36"/>
  <c r="C165" i="36"/>
  <c r="D165" i="36"/>
  <c r="E165" i="36"/>
  <c r="S165" i="36"/>
  <c r="T165" i="36"/>
  <c r="U165" i="36"/>
  <c r="V165" i="36"/>
  <c r="W165" i="36"/>
  <c r="X165" i="36"/>
  <c r="Z165" i="36"/>
  <c r="AA165" i="36"/>
  <c r="AC165" i="36"/>
  <c r="AE165" i="36"/>
  <c r="AF165" i="36"/>
  <c r="AG165" i="36"/>
  <c r="AH165" i="36"/>
  <c r="AI165" i="36"/>
  <c r="AJ165" i="36"/>
  <c r="AN165" i="36"/>
  <c r="AX165" i="36"/>
  <c r="AY165" i="36"/>
  <c r="BA165" i="36"/>
  <c r="A166" i="36"/>
  <c r="B166" i="36"/>
  <c r="C166" i="36"/>
  <c r="D166" i="36"/>
  <c r="E166" i="36"/>
  <c r="S166" i="36"/>
  <c r="T166" i="36"/>
  <c r="U166" i="36"/>
  <c r="V166" i="36"/>
  <c r="W166" i="36"/>
  <c r="X166" i="36"/>
  <c r="Z166" i="36"/>
  <c r="AA166" i="36"/>
  <c r="AC166" i="36"/>
  <c r="AE166" i="36"/>
  <c r="AF166" i="36"/>
  <c r="AG166" i="36"/>
  <c r="AH166" i="36"/>
  <c r="AI166" i="36"/>
  <c r="AJ166" i="36"/>
  <c r="AN166" i="36"/>
  <c r="AX166" i="36"/>
  <c r="AY166" i="36"/>
  <c r="BA166" i="36"/>
  <c r="A167" i="36"/>
  <c r="B167" i="36"/>
  <c r="C167" i="36"/>
  <c r="D167" i="36"/>
  <c r="E167" i="36"/>
  <c r="S167" i="36"/>
  <c r="T167" i="36"/>
  <c r="U167" i="36"/>
  <c r="V167" i="36"/>
  <c r="W167" i="36"/>
  <c r="X167" i="36"/>
  <c r="Z167" i="36"/>
  <c r="AA167" i="36"/>
  <c r="AC167" i="36"/>
  <c r="AE167" i="36"/>
  <c r="AF167" i="36"/>
  <c r="AG167" i="36"/>
  <c r="AH167" i="36"/>
  <c r="AI167" i="36"/>
  <c r="AJ167" i="36"/>
  <c r="AN167" i="36"/>
  <c r="AX167" i="36"/>
  <c r="AY167" i="36"/>
  <c r="BA167" i="36"/>
  <c r="A168" i="36"/>
  <c r="B168" i="36"/>
  <c r="C168" i="36"/>
  <c r="D168" i="36"/>
  <c r="E168" i="36"/>
  <c r="S168" i="36"/>
  <c r="T168" i="36"/>
  <c r="U168" i="36"/>
  <c r="V168" i="36"/>
  <c r="W168" i="36"/>
  <c r="X168" i="36"/>
  <c r="Z168" i="36"/>
  <c r="AA168" i="36"/>
  <c r="AC168" i="36"/>
  <c r="AE168" i="36"/>
  <c r="AF168" i="36"/>
  <c r="AG168" i="36"/>
  <c r="AH168" i="36"/>
  <c r="AI168" i="36"/>
  <c r="AJ168" i="36"/>
  <c r="AN168" i="36"/>
  <c r="AX168" i="36"/>
  <c r="AY168" i="36"/>
  <c r="BA168" i="36"/>
  <c r="B169" i="36"/>
  <c r="X169" i="36"/>
  <c r="AN169" i="36"/>
  <c r="A173" i="36"/>
  <c r="B173" i="36"/>
  <c r="C173" i="36"/>
  <c r="D173" i="36"/>
  <c r="E173" i="36"/>
  <c r="S173" i="36"/>
  <c r="T173" i="36"/>
  <c r="U173" i="36"/>
  <c r="V173" i="36"/>
  <c r="W173" i="36"/>
  <c r="X173" i="36"/>
  <c r="Z173" i="36"/>
  <c r="AA173" i="36"/>
  <c r="AC173" i="36"/>
  <c r="AG173" i="36"/>
  <c r="AH173" i="36"/>
  <c r="AJ173" i="36"/>
  <c r="AM173" i="36"/>
  <c r="AN173" i="36"/>
  <c r="AO173" i="36"/>
  <c r="AX173" i="36"/>
  <c r="AY173" i="36"/>
  <c r="A174" i="36"/>
  <c r="B174" i="36"/>
  <c r="C174" i="36"/>
  <c r="D174" i="36"/>
  <c r="E174" i="36"/>
  <c r="F174" i="36"/>
  <c r="S174" i="36"/>
  <c r="T174" i="36"/>
  <c r="U174" i="36"/>
  <c r="V174" i="36"/>
  <c r="W174" i="36"/>
  <c r="X174" i="36"/>
  <c r="Z174" i="36"/>
  <c r="AA174" i="36"/>
  <c r="AC174" i="36"/>
  <c r="AG174" i="36"/>
  <c r="AH174" i="36"/>
  <c r="AJ174" i="36"/>
  <c r="AM174" i="36"/>
  <c r="AN174" i="36"/>
  <c r="AO174" i="36"/>
  <c r="AX174" i="36"/>
  <c r="AY174" i="36"/>
  <c r="A175" i="36"/>
  <c r="B175" i="36"/>
  <c r="C175" i="36"/>
  <c r="D175" i="36"/>
  <c r="E175" i="36"/>
  <c r="F175" i="36"/>
  <c r="S175" i="36"/>
  <c r="T175" i="36"/>
  <c r="U175" i="36"/>
  <c r="V175" i="36"/>
  <c r="W175" i="36"/>
  <c r="X175" i="36"/>
  <c r="Z175" i="36"/>
  <c r="AA175" i="36"/>
  <c r="AC175" i="36"/>
  <c r="AG175" i="36"/>
  <c r="AH175" i="36"/>
  <c r="AJ175" i="36"/>
  <c r="AM175" i="36"/>
  <c r="AN175" i="36"/>
  <c r="AO175" i="36"/>
  <c r="AX175" i="36"/>
  <c r="AY175" i="36"/>
  <c r="A176" i="36"/>
  <c r="B176" i="36"/>
  <c r="C176" i="36"/>
  <c r="D176" i="36"/>
  <c r="E176" i="36"/>
  <c r="F176" i="36"/>
  <c r="S176" i="36"/>
  <c r="T176" i="36"/>
  <c r="U176" i="36"/>
  <c r="V176" i="36"/>
  <c r="W176" i="36"/>
  <c r="X176" i="36"/>
  <c r="Z176" i="36"/>
  <c r="AA176" i="36"/>
  <c r="AC176" i="36"/>
  <c r="AG176" i="36"/>
  <c r="AH176" i="36"/>
  <c r="AJ176" i="36"/>
  <c r="AM176" i="36"/>
  <c r="AN176" i="36"/>
  <c r="AO176" i="36"/>
  <c r="AX176" i="36"/>
  <c r="AY176" i="36"/>
  <c r="A177" i="36"/>
  <c r="B177" i="36"/>
  <c r="C177" i="36"/>
  <c r="D177" i="36"/>
  <c r="E177" i="36"/>
  <c r="F177" i="36"/>
  <c r="S177" i="36"/>
  <c r="T177" i="36"/>
  <c r="U177" i="36"/>
  <c r="V177" i="36"/>
  <c r="W177" i="36"/>
  <c r="X177" i="36"/>
  <c r="Z177" i="36"/>
  <c r="AA177" i="36"/>
  <c r="AC177" i="36"/>
  <c r="AG177" i="36"/>
  <c r="AH177" i="36"/>
  <c r="AJ177" i="36"/>
  <c r="AM177" i="36"/>
  <c r="AN177" i="36"/>
  <c r="AO177" i="36"/>
  <c r="AX177" i="36"/>
  <c r="AY177" i="36"/>
  <c r="A178" i="36"/>
  <c r="B178" i="36"/>
  <c r="C178" i="36"/>
  <c r="D178" i="36"/>
  <c r="E178" i="36"/>
  <c r="F178" i="36"/>
  <c r="S178" i="36"/>
  <c r="T178" i="36"/>
  <c r="U178" i="36"/>
  <c r="V178" i="36"/>
  <c r="W178" i="36"/>
  <c r="X178" i="36"/>
  <c r="Z178" i="36"/>
  <c r="AA178" i="36"/>
  <c r="AC178" i="36"/>
  <c r="AG178" i="36"/>
  <c r="AH178" i="36"/>
  <c r="AJ178" i="36"/>
  <c r="AM178" i="36"/>
  <c r="AN178" i="36"/>
  <c r="AO178" i="36"/>
  <c r="AX178" i="36"/>
  <c r="AY178" i="36"/>
  <c r="A179" i="36"/>
  <c r="B179" i="36"/>
  <c r="C179" i="36"/>
  <c r="D179" i="36"/>
  <c r="E179" i="36"/>
  <c r="F179" i="36"/>
  <c r="S179" i="36"/>
  <c r="T179" i="36"/>
  <c r="U179" i="36"/>
  <c r="V179" i="36"/>
  <c r="W179" i="36"/>
  <c r="X179" i="36"/>
  <c r="Z179" i="36"/>
  <c r="AA179" i="36"/>
  <c r="AC179" i="36"/>
  <c r="AG179" i="36"/>
  <c r="AH179" i="36"/>
  <c r="AJ179" i="36"/>
  <c r="AM179" i="36"/>
  <c r="AN179" i="36"/>
  <c r="AO179" i="36"/>
  <c r="AX179" i="36"/>
  <c r="AY179" i="36"/>
  <c r="A180" i="36"/>
  <c r="B180" i="36"/>
  <c r="C180" i="36"/>
  <c r="D180" i="36"/>
  <c r="E180" i="36"/>
  <c r="F180" i="36"/>
  <c r="S180" i="36"/>
  <c r="T180" i="36"/>
  <c r="U180" i="36"/>
  <c r="V180" i="36"/>
  <c r="W180" i="36"/>
  <c r="X180" i="36"/>
  <c r="Z180" i="36"/>
  <c r="AA180" i="36"/>
  <c r="AC180" i="36"/>
  <c r="AG180" i="36"/>
  <c r="AH180" i="36"/>
  <c r="AJ180" i="36"/>
  <c r="AM180" i="36"/>
  <c r="AN180" i="36"/>
  <c r="AO180" i="36"/>
  <c r="AX180" i="36"/>
  <c r="AY180" i="36"/>
  <c r="A181" i="36"/>
  <c r="B181" i="36"/>
  <c r="C181" i="36"/>
  <c r="D181" i="36"/>
  <c r="E181" i="36"/>
  <c r="F181" i="36"/>
  <c r="S181" i="36"/>
  <c r="T181" i="36"/>
  <c r="U181" i="36"/>
  <c r="V181" i="36"/>
  <c r="W181" i="36"/>
  <c r="X181" i="36"/>
  <c r="Z181" i="36"/>
  <c r="AA181" i="36"/>
  <c r="AC181" i="36"/>
  <c r="AG181" i="36"/>
  <c r="AH181" i="36"/>
  <c r="AJ181" i="36"/>
  <c r="AM181" i="36"/>
  <c r="AN181" i="36"/>
  <c r="AO181" i="36"/>
  <c r="AX181" i="36"/>
  <c r="AY181" i="36"/>
  <c r="A182" i="36"/>
  <c r="B182" i="36"/>
  <c r="C182" i="36"/>
  <c r="D182" i="36"/>
  <c r="E182" i="36"/>
  <c r="F182" i="36"/>
  <c r="S182" i="36"/>
  <c r="T182" i="36"/>
  <c r="U182" i="36"/>
  <c r="V182" i="36"/>
  <c r="W182" i="36"/>
  <c r="X182" i="36"/>
  <c r="Z182" i="36"/>
  <c r="AA182" i="36"/>
  <c r="AC182" i="36"/>
  <c r="AG182" i="36"/>
  <c r="AH182" i="36"/>
  <c r="AJ182" i="36"/>
  <c r="AM182" i="36"/>
  <c r="AN182" i="36"/>
  <c r="AO182" i="36"/>
  <c r="AX182" i="36"/>
  <c r="AY182" i="36"/>
  <c r="A183" i="36"/>
  <c r="B183" i="36"/>
  <c r="C183" i="36"/>
  <c r="D183" i="36"/>
  <c r="E183" i="36"/>
  <c r="F183" i="36"/>
  <c r="S183" i="36"/>
  <c r="T183" i="36"/>
  <c r="U183" i="36"/>
  <c r="V183" i="36"/>
  <c r="W183" i="36"/>
  <c r="X183" i="36"/>
  <c r="Z183" i="36"/>
  <c r="AA183" i="36"/>
  <c r="AC183" i="36"/>
  <c r="AG183" i="36"/>
  <c r="AH183" i="36"/>
  <c r="AJ183" i="36"/>
  <c r="AM183" i="36"/>
  <c r="AN183" i="36"/>
  <c r="AO183" i="36"/>
  <c r="AX183" i="36"/>
  <c r="AY183" i="36"/>
  <c r="A184" i="36"/>
  <c r="B184" i="36"/>
  <c r="C184" i="36"/>
  <c r="D184" i="36"/>
  <c r="E184" i="36"/>
  <c r="F184" i="36"/>
  <c r="S184" i="36"/>
  <c r="T184" i="36"/>
  <c r="U184" i="36"/>
  <c r="V184" i="36"/>
  <c r="W184" i="36"/>
  <c r="X184" i="36"/>
  <c r="Z184" i="36"/>
  <c r="AA184" i="36"/>
  <c r="AC184" i="36"/>
  <c r="AG184" i="36"/>
  <c r="AH184" i="36"/>
  <c r="AJ184" i="36"/>
  <c r="AM184" i="36"/>
  <c r="AN184" i="36"/>
  <c r="AO184" i="36"/>
  <c r="AX184" i="36"/>
  <c r="AY184" i="36"/>
  <c r="A185" i="36"/>
  <c r="B185" i="36"/>
  <c r="C185" i="36"/>
  <c r="D185" i="36"/>
  <c r="E185" i="36"/>
  <c r="F185" i="36"/>
  <c r="S185" i="36"/>
  <c r="T185" i="36"/>
  <c r="U185" i="36"/>
  <c r="V185" i="36"/>
  <c r="W185" i="36"/>
  <c r="X185" i="36"/>
  <c r="Z185" i="36"/>
  <c r="AA185" i="36"/>
  <c r="AC185" i="36"/>
  <c r="AG185" i="36"/>
  <c r="AH185" i="36"/>
  <c r="AJ185" i="36"/>
  <c r="AM185" i="36"/>
  <c r="AN185" i="36"/>
  <c r="AO185" i="36"/>
  <c r="AX185" i="36"/>
  <c r="AY185" i="36"/>
  <c r="A186" i="36"/>
  <c r="B186" i="36"/>
  <c r="C186" i="36"/>
  <c r="D186" i="36"/>
  <c r="E186" i="36"/>
  <c r="F186" i="36"/>
  <c r="S186" i="36"/>
  <c r="T186" i="36"/>
  <c r="U186" i="36"/>
  <c r="V186" i="36"/>
  <c r="W186" i="36"/>
  <c r="X186" i="36"/>
  <c r="Z186" i="36"/>
  <c r="AA186" i="36"/>
  <c r="AC186" i="36"/>
  <c r="AG186" i="36"/>
  <c r="AH186" i="36"/>
  <c r="AJ186" i="36"/>
  <c r="AM186" i="36"/>
  <c r="AN186" i="36"/>
  <c r="AO186" i="36"/>
  <c r="AX186" i="36"/>
  <c r="AY186" i="36"/>
  <c r="A187" i="36"/>
  <c r="B187" i="36"/>
  <c r="C187" i="36"/>
  <c r="D187" i="36"/>
  <c r="E187" i="36"/>
  <c r="F187" i="36"/>
  <c r="S187" i="36"/>
  <c r="T187" i="36"/>
  <c r="U187" i="36"/>
  <c r="V187" i="36"/>
  <c r="W187" i="36"/>
  <c r="X187" i="36"/>
  <c r="Z187" i="36"/>
  <c r="AA187" i="36"/>
  <c r="AC187" i="36"/>
  <c r="AG187" i="36"/>
  <c r="AH187" i="36"/>
  <c r="AJ187" i="36"/>
  <c r="AM187" i="36"/>
  <c r="AN187" i="36"/>
  <c r="AO187" i="36"/>
  <c r="AX187" i="36"/>
  <c r="AY187" i="36"/>
  <c r="A188" i="36"/>
  <c r="B188" i="36"/>
  <c r="C188" i="36"/>
  <c r="D188" i="36"/>
  <c r="E188" i="36"/>
  <c r="F188" i="36"/>
  <c r="S188" i="36"/>
  <c r="T188" i="36"/>
  <c r="U188" i="36"/>
  <c r="V188" i="36"/>
  <c r="W188" i="36"/>
  <c r="X188" i="36"/>
  <c r="Z188" i="36"/>
  <c r="AA188" i="36"/>
  <c r="AC188" i="36"/>
  <c r="AG188" i="36"/>
  <c r="AH188" i="36"/>
  <c r="AJ188" i="36"/>
  <c r="AM188" i="36"/>
  <c r="AN188" i="36"/>
  <c r="AO188" i="36"/>
  <c r="AX188" i="36"/>
  <c r="AY188" i="36"/>
  <c r="A189" i="36"/>
  <c r="B189" i="36"/>
  <c r="C189" i="36"/>
  <c r="D189" i="36"/>
  <c r="E189" i="36"/>
  <c r="F189" i="36"/>
  <c r="S189" i="36"/>
  <c r="T189" i="36"/>
  <c r="U189" i="36"/>
  <c r="V189" i="36"/>
  <c r="W189" i="36"/>
  <c r="X189" i="36"/>
  <c r="Z189" i="36"/>
  <c r="AA189" i="36"/>
  <c r="AC189" i="36"/>
  <c r="AG189" i="36"/>
  <c r="AH189" i="36"/>
  <c r="AJ189" i="36"/>
  <c r="AM189" i="36"/>
  <c r="AN189" i="36"/>
  <c r="AO189" i="36"/>
  <c r="AX189" i="36"/>
  <c r="AY189" i="36"/>
  <c r="A190" i="36"/>
  <c r="B190" i="36"/>
  <c r="C190" i="36"/>
  <c r="D190" i="36"/>
  <c r="E190" i="36"/>
  <c r="F190" i="36"/>
  <c r="S190" i="36"/>
  <c r="T190" i="36"/>
  <c r="U190" i="36"/>
  <c r="V190" i="36"/>
  <c r="W190" i="36"/>
  <c r="X190" i="36"/>
  <c r="Z190" i="36"/>
  <c r="AA190" i="36"/>
  <c r="AC190" i="36"/>
  <c r="AG190" i="36"/>
  <c r="AH190" i="36"/>
  <c r="AJ190" i="36"/>
  <c r="AM190" i="36"/>
  <c r="AN190" i="36"/>
  <c r="AO190" i="36"/>
  <c r="AX190" i="36"/>
  <c r="AY190" i="36"/>
  <c r="A191" i="36"/>
  <c r="B191" i="36"/>
  <c r="C191" i="36"/>
  <c r="D191" i="36"/>
  <c r="E191" i="36"/>
  <c r="F191" i="36"/>
  <c r="S191" i="36"/>
  <c r="T191" i="36"/>
  <c r="U191" i="36"/>
  <c r="V191" i="36"/>
  <c r="W191" i="36"/>
  <c r="X191" i="36"/>
  <c r="Z191" i="36"/>
  <c r="AA191" i="36"/>
  <c r="AC191" i="36"/>
  <c r="AG191" i="36"/>
  <c r="AH191" i="36"/>
  <c r="AJ191" i="36"/>
  <c r="AM191" i="36"/>
  <c r="AN191" i="36"/>
  <c r="AO191" i="36"/>
  <c r="AX191" i="36"/>
  <c r="AY191" i="36"/>
  <c r="A192" i="36"/>
  <c r="B192" i="36"/>
  <c r="C192" i="36"/>
  <c r="D192" i="36"/>
  <c r="E192" i="36"/>
  <c r="F192" i="36"/>
  <c r="S192" i="36"/>
  <c r="T192" i="36"/>
  <c r="U192" i="36"/>
  <c r="V192" i="36"/>
  <c r="W192" i="36"/>
  <c r="X192" i="36"/>
  <c r="Z192" i="36"/>
  <c r="AA192" i="36"/>
  <c r="AC192" i="36"/>
  <c r="AG192" i="36"/>
  <c r="AH192" i="36"/>
  <c r="AJ192" i="36"/>
  <c r="AM192" i="36"/>
  <c r="AN192" i="36"/>
  <c r="AO192" i="36"/>
  <c r="AX192" i="36"/>
  <c r="AY192" i="36"/>
  <c r="A193" i="36"/>
  <c r="B193" i="36"/>
  <c r="C193" i="36"/>
  <c r="D193" i="36"/>
  <c r="E193" i="36"/>
  <c r="F193" i="36"/>
  <c r="S193" i="36"/>
  <c r="T193" i="36"/>
  <c r="U193" i="36"/>
  <c r="V193" i="36"/>
  <c r="W193" i="36"/>
  <c r="X193" i="36"/>
  <c r="Z193" i="36"/>
  <c r="AA193" i="36"/>
  <c r="AC193" i="36"/>
  <c r="AG193" i="36"/>
  <c r="AH193" i="36"/>
  <c r="AJ193" i="36"/>
  <c r="AO193" i="36"/>
  <c r="AX193" i="36"/>
  <c r="AY193" i="36"/>
  <c r="B194" i="36"/>
  <c r="X194" i="36"/>
  <c r="AN194" i="36"/>
  <c r="A195" i="36"/>
  <c r="B195" i="36"/>
  <c r="C195" i="36"/>
  <c r="D195" i="36"/>
  <c r="E195" i="36"/>
  <c r="F195" i="36"/>
  <c r="S195" i="36"/>
  <c r="T195" i="36"/>
  <c r="U195" i="36"/>
  <c r="V195" i="36"/>
  <c r="W195" i="36"/>
  <c r="X195" i="36"/>
  <c r="Z195" i="36"/>
  <c r="AA195" i="36"/>
  <c r="AC195" i="36"/>
  <c r="AG195" i="36"/>
  <c r="AH195" i="36"/>
  <c r="AJ195" i="36"/>
  <c r="AO195" i="36"/>
  <c r="AX195" i="36"/>
  <c r="AY195" i="36"/>
  <c r="C197" i="36"/>
  <c r="G197" i="36"/>
  <c r="C200" i="36"/>
  <c r="C201" i="36"/>
  <c r="G202" i="36"/>
  <c r="A207" i="36"/>
  <c r="D207" i="36"/>
  <c r="S207" i="36"/>
  <c r="T207" i="36"/>
  <c r="U207" i="36"/>
  <c r="V207" i="36"/>
  <c r="W207" i="36"/>
  <c r="X207" i="36"/>
  <c r="Z207" i="36"/>
  <c r="AA207" i="36"/>
  <c r="AC207" i="36"/>
  <c r="AJ207" i="36"/>
  <c r="AM207" i="36"/>
  <c r="AN207" i="36"/>
  <c r="AO207" i="36"/>
  <c r="AX207" i="36"/>
  <c r="AY207" i="36"/>
  <c r="A208" i="36"/>
  <c r="B208" i="36"/>
  <c r="C208" i="36"/>
  <c r="D208" i="36"/>
  <c r="E208" i="36"/>
  <c r="F208" i="36"/>
  <c r="S208" i="36"/>
  <c r="T208" i="36"/>
  <c r="U208" i="36"/>
  <c r="V208" i="36"/>
  <c r="W208" i="36"/>
  <c r="X208" i="36"/>
  <c r="Z208" i="36"/>
  <c r="AA208" i="36"/>
  <c r="AC208" i="36"/>
  <c r="AJ208" i="36"/>
  <c r="AM208" i="36"/>
  <c r="AN208" i="36"/>
  <c r="AO208" i="36"/>
  <c r="AX208" i="36"/>
  <c r="AY208" i="36"/>
  <c r="A209" i="36"/>
  <c r="B209" i="36"/>
  <c r="C209" i="36"/>
  <c r="D209" i="36"/>
  <c r="E209" i="36"/>
  <c r="F209" i="36"/>
  <c r="S209" i="36"/>
  <c r="T209" i="36"/>
  <c r="U209" i="36"/>
  <c r="V209" i="36"/>
  <c r="W209" i="36"/>
  <c r="X209" i="36"/>
  <c r="Z209" i="36"/>
  <c r="AA209" i="36"/>
  <c r="AC209" i="36"/>
  <c r="AJ209" i="36"/>
  <c r="AM209" i="36"/>
  <c r="AN209" i="36"/>
  <c r="AO209" i="36"/>
  <c r="AX209" i="36"/>
  <c r="AY209" i="36"/>
  <c r="A210" i="36"/>
  <c r="B210" i="36"/>
  <c r="C210" i="36"/>
  <c r="D210" i="36"/>
  <c r="E210" i="36"/>
  <c r="F210" i="36"/>
  <c r="S210" i="36"/>
  <c r="T210" i="36"/>
  <c r="U210" i="36"/>
  <c r="V210" i="36"/>
  <c r="W210" i="36"/>
  <c r="X210" i="36"/>
  <c r="Z210" i="36"/>
  <c r="AA210" i="36"/>
  <c r="AC210" i="36"/>
  <c r="AJ210" i="36"/>
  <c r="AM210" i="36"/>
  <c r="AN210" i="36"/>
  <c r="AO210" i="36"/>
  <c r="AX210" i="36"/>
  <c r="AY210" i="36"/>
  <c r="A211" i="36"/>
  <c r="B211" i="36"/>
  <c r="C211" i="36"/>
  <c r="D211" i="36"/>
  <c r="E211" i="36"/>
  <c r="F211" i="36"/>
  <c r="S211" i="36"/>
  <c r="T211" i="36"/>
  <c r="U211" i="36"/>
  <c r="V211" i="36"/>
  <c r="W211" i="36"/>
  <c r="X211" i="36"/>
  <c r="Z211" i="36"/>
  <c r="AA211" i="36"/>
  <c r="AC211" i="36"/>
  <c r="AJ211" i="36"/>
  <c r="AM211" i="36"/>
  <c r="AN211" i="36"/>
  <c r="AO211" i="36"/>
  <c r="AX211" i="36"/>
  <c r="AY211" i="36"/>
  <c r="A212" i="36"/>
  <c r="B212" i="36"/>
  <c r="C212" i="36"/>
  <c r="D212" i="36"/>
  <c r="E212" i="36"/>
  <c r="F212" i="36"/>
  <c r="S212" i="36"/>
  <c r="T212" i="36"/>
  <c r="U212" i="36"/>
  <c r="V212" i="36"/>
  <c r="W212" i="36"/>
  <c r="X212" i="36"/>
  <c r="Z212" i="36"/>
  <c r="AA212" i="36"/>
  <c r="AC212" i="36"/>
  <c r="AJ212" i="36"/>
  <c r="AM212" i="36"/>
  <c r="AN212" i="36"/>
  <c r="AO212" i="36"/>
  <c r="AX212" i="36"/>
  <c r="AY212" i="36"/>
  <c r="A213" i="36"/>
  <c r="B213" i="36"/>
  <c r="C213" i="36"/>
  <c r="D213" i="36"/>
  <c r="E213" i="36"/>
  <c r="F213" i="36"/>
  <c r="S213" i="36"/>
  <c r="T213" i="36"/>
  <c r="U213" i="36"/>
  <c r="V213" i="36"/>
  <c r="W213" i="36"/>
  <c r="X213" i="36"/>
  <c r="Z213" i="36"/>
  <c r="AA213" i="36"/>
  <c r="AC213" i="36"/>
  <c r="AJ213" i="36"/>
  <c r="AM213" i="36"/>
  <c r="AN213" i="36"/>
  <c r="AO213" i="36"/>
  <c r="AX213" i="36"/>
  <c r="AY213" i="36"/>
  <c r="A214" i="36"/>
  <c r="B214" i="36"/>
  <c r="C214" i="36"/>
  <c r="D214" i="36"/>
  <c r="E214" i="36"/>
  <c r="F214" i="36"/>
  <c r="S214" i="36"/>
  <c r="T214" i="36"/>
  <c r="U214" i="36"/>
  <c r="V214" i="36"/>
  <c r="W214" i="36"/>
  <c r="X214" i="36"/>
  <c r="Z214" i="36"/>
  <c r="AA214" i="36"/>
  <c r="AC214" i="36"/>
  <c r="AJ214" i="36"/>
  <c r="AM214" i="36"/>
  <c r="AN214" i="36"/>
  <c r="AO214" i="36"/>
  <c r="AX214" i="36"/>
  <c r="AY214" i="36"/>
  <c r="A215" i="36"/>
  <c r="B215" i="36"/>
  <c r="C215" i="36"/>
  <c r="D215" i="36"/>
  <c r="E215" i="36"/>
  <c r="F215" i="36"/>
  <c r="S215" i="36"/>
  <c r="T215" i="36"/>
  <c r="U215" i="36"/>
  <c r="V215" i="36"/>
  <c r="W215" i="36"/>
  <c r="X215" i="36"/>
  <c r="Z215" i="36"/>
  <c r="AA215" i="36"/>
  <c r="AC215" i="36"/>
  <c r="AJ215" i="36"/>
  <c r="AM215" i="36"/>
  <c r="AN215" i="36"/>
  <c r="AO215" i="36"/>
  <c r="AX215" i="36"/>
  <c r="AY215" i="36"/>
  <c r="A216" i="36"/>
  <c r="B216" i="36"/>
  <c r="C216" i="36"/>
  <c r="D216" i="36"/>
  <c r="E216" i="36"/>
  <c r="F216" i="36"/>
  <c r="S216" i="36"/>
  <c r="T216" i="36"/>
  <c r="U216" i="36"/>
  <c r="V216" i="36"/>
  <c r="W216" i="36"/>
  <c r="X216" i="36"/>
  <c r="Z216" i="36"/>
  <c r="AA216" i="36"/>
  <c r="AC216" i="36"/>
  <c r="AJ216" i="36"/>
  <c r="AM216" i="36"/>
  <c r="AN216" i="36"/>
  <c r="AO216" i="36"/>
  <c r="AX216" i="36"/>
  <c r="AY216" i="36"/>
  <c r="A217" i="36"/>
  <c r="B217" i="36"/>
  <c r="C217" i="36"/>
  <c r="D217" i="36"/>
  <c r="E217" i="36"/>
  <c r="F217" i="36"/>
  <c r="S217" i="36"/>
  <c r="T217" i="36"/>
  <c r="U217" i="36"/>
  <c r="V217" i="36"/>
  <c r="W217" i="36"/>
  <c r="X217" i="36"/>
  <c r="Z217" i="36"/>
  <c r="AA217" i="36"/>
  <c r="AC217" i="36"/>
  <c r="AJ217" i="36"/>
  <c r="AM217" i="36"/>
  <c r="AN217" i="36"/>
  <c r="AO217" i="36"/>
  <c r="AX217" i="36"/>
  <c r="AY217" i="36"/>
  <c r="A218" i="36"/>
  <c r="B218" i="36"/>
  <c r="C218" i="36"/>
  <c r="D218" i="36"/>
  <c r="E218" i="36"/>
  <c r="F218" i="36"/>
  <c r="S218" i="36"/>
  <c r="T218" i="36"/>
  <c r="U218" i="36"/>
  <c r="V218" i="36"/>
  <c r="W218" i="36"/>
  <c r="X218" i="36"/>
  <c r="Z218" i="36"/>
  <c r="AA218" i="36"/>
  <c r="AC218" i="36"/>
  <c r="AJ218" i="36"/>
  <c r="AM218" i="36"/>
  <c r="AN218" i="36"/>
  <c r="AO218" i="36"/>
  <c r="AX218" i="36"/>
  <c r="AY218" i="36"/>
  <c r="A219" i="36"/>
  <c r="B219" i="36"/>
  <c r="C219" i="36"/>
  <c r="D219" i="36"/>
  <c r="E219" i="36"/>
  <c r="F219" i="36"/>
  <c r="S219" i="36"/>
  <c r="T219" i="36"/>
  <c r="U219" i="36"/>
  <c r="V219" i="36"/>
  <c r="W219" i="36"/>
  <c r="X219" i="36"/>
  <c r="Z219" i="36"/>
  <c r="AA219" i="36"/>
  <c r="AC219" i="36"/>
  <c r="AJ219" i="36"/>
  <c r="AM219" i="36"/>
  <c r="AN219" i="36"/>
  <c r="AO219" i="36"/>
  <c r="AX219" i="36"/>
  <c r="AY219" i="36"/>
  <c r="A220" i="36"/>
  <c r="B220" i="36"/>
  <c r="C220" i="36"/>
  <c r="D220" i="36"/>
  <c r="E220" i="36"/>
  <c r="F220" i="36"/>
  <c r="S220" i="36"/>
  <c r="T220" i="36"/>
  <c r="U220" i="36"/>
  <c r="V220" i="36"/>
  <c r="W220" i="36"/>
  <c r="X220" i="36"/>
  <c r="Z220" i="36"/>
  <c r="AA220" i="36"/>
  <c r="AC220" i="36"/>
  <c r="AJ220" i="36"/>
  <c r="AM220" i="36"/>
  <c r="AN220" i="36"/>
  <c r="AO220" i="36"/>
  <c r="AX220" i="36"/>
  <c r="AY220" i="36"/>
  <c r="A221" i="36"/>
  <c r="B221" i="36"/>
  <c r="C221" i="36"/>
  <c r="D221" i="36"/>
  <c r="E221" i="36"/>
  <c r="F221" i="36"/>
  <c r="S221" i="36"/>
  <c r="T221" i="36"/>
  <c r="U221" i="36"/>
  <c r="V221" i="36"/>
  <c r="W221" i="36"/>
  <c r="X221" i="36"/>
  <c r="Z221" i="36"/>
  <c r="AA221" i="36"/>
  <c r="AC221" i="36"/>
  <c r="AJ221" i="36"/>
  <c r="AM221" i="36"/>
  <c r="AN221" i="36"/>
  <c r="AO221" i="36"/>
  <c r="AX221" i="36"/>
  <c r="AY221" i="36"/>
  <c r="A222" i="36"/>
  <c r="B222" i="36"/>
  <c r="C222" i="36"/>
  <c r="D222" i="36"/>
  <c r="E222" i="36"/>
  <c r="F222" i="36"/>
  <c r="S222" i="36"/>
  <c r="T222" i="36"/>
  <c r="U222" i="36"/>
  <c r="V222" i="36"/>
  <c r="W222" i="36"/>
  <c r="X222" i="36"/>
  <c r="Z222" i="36"/>
  <c r="AA222" i="36"/>
  <c r="AC222" i="36"/>
  <c r="AJ222" i="36"/>
  <c r="AM222" i="36"/>
  <c r="AN222" i="36"/>
  <c r="AO222" i="36"/>
  <c r="AX222" i="36"/>
  <c r="AY222" i="36"/>
  <c r="A223" i="36"/>
  <c r="B223" i="36"/>
  <c r="C223" i="36"/>
  <c r="D223" i="36"/>
  <c r="E223" i="36"/>
  <c r="F223" i="36"/>
  <c r="S223" i="36"/>
  <c r="T223" i="36"/>
  <c r="U223" i="36"/>
  <c r="V223" i="36"/>
  <c r="W223" i="36"/>
  <c r="X223" i="36"/>
  <c r="Z223" i="36"/>
  <c r="AA223" i="36"/>
  <c r="AC223" i="36"/>
  <c r="AJ223" i="36"/>
  <c r="AM223" i="36"/>
  <c r="AN223" i="36"/>
  <c r="AO223" i="36"/>
  <c r="AX223" i="36"/>
  <c r="AY223" i="36"/>
  <c r="A224" i="36"/>
  <c r="B224" i="36"/>
  <c r="C224" i="36"/>
  <c r="D224" i="36"/>
  <c r="E224" i="36"/>
  <c r="F224" i="36"/>
  <c r="S224" i="36"/>
  <c r="T224" i="36"/>
  <c r="U224" i="36"/>
  <c r="V224" i="36"/>
  <c r="W224" i="36"/>
  <c r="X224" i="36"/>
  <c r="Z224" i="36"/>
  <c r="AA224" i="36"/>
  <c r="AC224" i="36"/>
  <c r="AJ224" i="36"/>
  <c r="AM224" i="36"/>
  <c r="AN224" i="36"/>
  <c r="AO224" i="36"/>
  <c r="AX224" i="36"/>
  <c r="AY224" i="36"/>
  <c r="A225" i="36"/>
  <c r="B225" i="36"/>
  <c r="C225" i="36"/>
  <c r="D225" i="36"/>
  <c r="E225" i="36"/>
  <c r="F225" i="36"/>
  <c r="S225" i="36"/>
  <c r="T225" i="36"/>
  <c r="U225" i="36"/>
  <c r="V225" i="36"/>
  <c r="W225" i="36"/>
  <c r="X225" i="36"/>
  <c r="Z225" i="36"/>
  <c r="AA225" i="36"/>
  <c r="AC225" i="36"/>
  <c r="AJ225" i="36"/>
  <c r="AM225" i="36"/>
  <c r="AN225" i="36"/>
  <c r="AO225" i="36"/>
  <c r="AX225" i="36"/>
  <c r="AY225" i="36"/>
  <c r="A226" i="36"/>
  <c r="B226" i="36"/>
  <c r="C226" i="36"/>
  <c r="D226" i="36"/>
  <c r="E226" i="36"/>
  <c r="F226" i="36"/>
  <c r="S226" i="36"/>
  <c r="T226" i="36"/>
  <c r="U226" i="36"/>
  <c r="V226" i="36"/>
  <c r="W226" i="36"/>
  <c r="X226" i="36"/>
  <c r="Z226" i="36"/>
  <c r="AA226" i="36"/>
  <c r="AC226" i="36"/>
  <c r="AJ226" i="36"/>
  <c r="AM226" i="36"/>
  <c r="AN226" i="36"/>
  <c r="AO226" i="36"/>
  <c r="AX226" i="36"/>
  <c r="AY226" i="36"/>
  <c r="A227" i="36"/>
  <c r="B227" i="36"/>
  <c r="C227" i="36"/>
  <c r="D227" i="36"/>
  <c r="E227" i="36"/>
  <c r="F227" i="36"/>
  <c r="S227" i="36"/>
  <c r="T227" i="36"/>
  <c r="U227" i="36"/>
  <c r="V227" i="36"/>
  <c r="W227" i="36"/>
  <c r="X227" i="36"/>
  <c r="Z227" i="36"/>
  <c r="AA227" i="36"/>
  <c r="AC227" i="36"/>
  <c r="AJ227" i="36"/>
  <c r="AM227" i="36"/>
  <c r="AN227" i="36"/>
  <c r="AO227" i="36"/>
  <c r="AX227" i="36"/>
  <c r="AY227" i="36"/>
  <c r="A232" i="36"/>
  <c r="B232" i="36"/>
  <c r="C232" i="36"/>
  <c r="D232" i="36"/>
  <c r="E232" i="36"/>
  <c r="S232" i="36"/>
  <c r="T232" i="36"/>
  <c r="U232" i="36"/>
  <c r="V232" i="36"/>
  <c r="W232" i="36"/>
  <c r="X232" i="36"/>
  <c r="Z232" i="36"/>
  <c r="AA232" i="36"/>
  <c r="AC232" i="36"/>
  <c r="AE232" i="36"/>
  <c r="AF232" i="36"/>
  <c r="AI232" i="36"/>
  <c r="AJ232" i="36"/>
  <c r="AN232" i="36"/>
  <c r="AO232" i="36"/>
  <c r="AX232" i="36"/>
  <c r="AY232" i="36"/>
  <c r="A233" i="36"/>
  <c r="B233" i="36"/>
  <c r="C233" i="36"/>
  <c r="D233" i="36"/>
  <c r="E233" i="36"/>
  <c r="F233" i="36"/>
  <c r="S233" i="36"/>
  <c r="T233" i="36"/>
  <c r="U233" i="36"/>
  <c r="V233" i="36"/>
  <c r="W233" i="36"/>
  <c r="X233" i="36"/>
  <c r="Z233" i="36"/>
  <c r="AA233" i="36"/>
  <c r="AC233" i="36"/>
  <c r="AE233" i="36"/>
  <c r="AF233" i="36"/>
  <c r="AI233" i="36"/>
  <c r="AJ233" i="36"/>
  <c r="AN233" i="36"/>
  <c r="AO233" i="36"/>
  <c r="AX233" i="36"/>
  <c r="AY233" i="36"/>
  <c r="A234" i="36"/>
  <c r="B234" i="36"/>
  <c r="C234" i="36"/>
  <c r="D234" i="36"/>
  <c r="E234" i="36"/>
  <c r="F234" i="36"/>
  <c r="S234" i="36"/>
  <c r="T234" i="36"/>
  <c r="U234" i="36"/>
  <c r="V234" i="36"/>
  <c r="W234" i="36"/>
  <c r="X234" i="36"/>
  <c r="Z234" i="36"/>
  <c r="AA234" i="36"/>
  <c r="AC234" i="36"/>
  <c r="AE234" i="36"/>
  <c r="AF234" i="36"/>
  <c r="AI234" i="36"/>
  <c r="AJ234" i="36"/>
  <c r="AN234" i="36"/>
  <c r="AO234" i="36"/>
  <c r="AX234" i="36"/>
  <c r="AY234" i="36"/>
  <c r="A235" i="36"/>
  <c r="B235" i="36"/>
  <c r="C235" i="36"/>
  <c r="D235" i="36"/>
  <c r="E235" i="36"/>
  <c r="F235" i="36"/>
  <c r="S235" i="36"/>
  <c r="T235" i="36"/>
  <c r="U235" i="36"/>
  <c r="V235" i="36"/>
  <c r="W235" i="36"/>
  <c r="X235" i="36"/>
  <c r="Z235" i="36"/>
  <c r="AA235" i="36"/>
  <c r="AC235" i="36"/>
  <c r="AE235" i="36"/>
  <c r="AF235" i="36"/>
  <c r="AI235" i="36"/>
  <c r="AJ235" i="36"/>
  <c r="AN235" i="36"/>
  <c r="AO235" i="36"/>
  <c r="AX235" i="36"/>
  <c r="AY235" i="36"/>
  <c r="A236" i="36"/>
  <c r="B236" i="36"/>
  <c r="C236" i="36"/>
  <c r="D236" i="36"/>
  <c r="E236" i="36"/>
  <c r="F236" i="36"/>
  <c r="S236" i="36"/>
  <c r="T236" i="36"/>
  <c r="U236" i="36"/>
  <c r="V236" i="36"/>
  <c r="W236" i="36"/>
  <c r="X236" i="36"/>
  <c r="Z236" i="36"/>
  <c r="AA236" i="36"/>
  <c r="AC236" i="36"/>
  <c r="AE236" i="36"/>
  <c r="AF236" i="36"/>
  <c r="AI236" i="36"/>
  <c r="AJ236" i="36"/>
  <c r="AN236" i="36"/>
  <c r="AO236" i="36"/>
  <c r="AX236" i="36"/>
  <c r="AY236" i="36"/>
  <c r="A237" i="36"/>
  <c r="B237" i="36"/>
  <c r="C237" i="36"/>
  <c r="D237" i="36"/>
  <c r="E237" i="36"/>
  <c r="F237" i="36"/>
  <c r="S237" i="36"/>
  <c r="T237" i="36"/>
  <c r="U237" i="36"/>
  <c r="V237" i="36"/>
  <c r="W237" i="36"/>
  <c r="X237" i="36"/>
  <c r="Z237" i="36"/>
  <c r="AA237" i="36"/>
  <c r="AC237" i="36"/>
  <c r="AE237" i="36"/>
  <c r="AF237" i="36"/>
  <c r="AI237" i="36"/>
  <c r="AJ237" i="36"/>
  <c r="AN237" i="36"/>
  <c r="AO237" i="36"/>
  <c r="AX237" i="36"/>
  <c r="AY237" i="36"/>
  <c r="A238" i="36"/>
  <c r="B238" i="36"/>
  <c r="C238" i="36"/>
  <c r="D238" i="36"/>
  <c r="E238" i="36"/>
  <c r="F238" i="36"/>
  <c r="S238" i="36"/>
  <c r="T238" i="36"/>
  <c r="U238" i="36"/>
  <c r="V238" i="36"/>
  <c r="W238" i="36"/>
  <c r="X238" i="36"/>
  <c r="Z238" i="36"/>
  <c r="AA238" i="36"/>
  <c r="AC238" i="36"/>
  <c r="AE238" i="36"/>
  <c r="AF238" i="36"/>
  <c r="AI238" i="36"/>
  <c r="AJ238" i="36"/>
  <c r="AN238" i="36"/>
  <c r="AO238" i="36"/>
  <c r="AX238" i="36"/>
  <c r="AY238" i="36"/>
  <c r="A239" i="36"/>
  <c r="B239" i="36"/>
  <c r="C239" i="36"/>
  <c r="D239" i="36"/>
  <c r="E239" i="36"/>
  <c r="F239" i="36"/>
  <c r="S239" i="36"/>
  <c r="T239" i="36"/>
  <c r="U239" i="36"/>
  <c r="V239" i="36"/>
  <c r="W239" i="36"/>
  <c r="X239" i="36"/>
  <c r="Z239" i="36"/>
  <c r="AA239" i="36"/>
  <c r="AC239" i="36"/>
  <c r="AE239" i="36"/>
  <c r="AF239" i="36"/>
  <c r="AI239" i="36"/>
  <c r="AJ239" i="36"/>
  <c r="AN239" i="36"/>
  <c r="AO239" i="36"/>
  <c r="AX239" i="36"/>
  <c r="AY239" i="36"/>
  <c r="A240" i="36"/>
  <c r="B240" i="36"/>
  <c r="C240" i="36"/>
  <c r="D240" i="36"/>
  <c r="E240" i="36"/>
  <c r="F240" i="36"/>
  <c r="S240" i="36"/>
  <c r="T240" i="36"/>
  <c r="U240" i="36"/>
  <c r="V240" i="36"/>
  <c r="W240" i="36"/>
  <c r="X240" i="36"/>
  <c r="Z240" i="36"/>
  <c r="AA240" i="36"/>
  <c r="AC240" i="36"/>
  <c r="AE240" i="36"/>
  <c r="AF240" i="36"/>
  <c r="AI240" i="36"/>
  <c r="AJ240" i="36"/>
  <c r="AN240" i="36"/>
  <c r="AO240" i="36"/>
  <c r="AX240" i="36"/>
  <c r="AY240" i="36"/>
  <c r="A241" i="36"/>
  <c r="B241" i="36"/>
  <c r="C241" i="36"/>
  <c r="D241" i="36"/>
  <c r="E241" i="36"/>
  <c r="F241" i="36"/>
  <c r="S241" i="36"/>
  <c r="T241" i="36"/>
  <c r="U241" i="36"/>
  <c r="V241" i="36"/>
  <c r="W241" i="36"/>
  <c r="X241" i="36"/>
  <c r="Z241" i="36"/>
  <c r="AA241" i="36"/>
  <c r="AC241" i="36"/>
  <c r="AE241" i="36"/>
  <c r="AF241" i="36"/>
  <c r="AI241" i="36"/>
  <c r="AJ241" i="36"/>
  <c r="AN241" i="36"/>
  <c r="AO241" i="36"/>
  <c r="AX241" i="36"/>
  <c r="AY241" i="36"/>
  <c r="A242" i="36"/>
  <c r="B242" i="36"/>
  <c r="C242" i="36"/>
  <c r="D242" i="36"/>
  <c r="E242" i="36"/>
  <c r="F242" i="36"/>
  <c r="S242" i="36"/>
  <c r="T242" i="36"/>
  <c r="U242" i="36"/>
  <c r="V242" i="36"/>
  <c r="W242" i="36"/>
  <c r="X242" i="36"/>
  <c r="Z242" i="36"/>
  <c r="AA242" i="36"/>
  <c r="AC242" i="36"/>
  <c r="AE242" i="36"/>
  <c r="AF242" i="36"/>
  <c r="AI242" i="36"/>
  <c r="AJ242" i="36"/>
  <c r="AN242" i="36"/>
  <c r="AO242" i="36"/>
  <c r="AX242" i="36"/>
  <c r="AY242" i="36"/>
  <c r="A243" i="36"/>
  <c r="B243" i="36"/>
  <c r="C243" i="36"/>
  <c r="D243" i="36"/>
  <c r="E243" i="36"/>
  <c r="F243" i="36"/>
  <c r="S243" i="36"/>
  <c r="T243" i="36"/>
  <c r="U243" i="36"/>
  <c r="V243" i="36"/>
  <c r="W243" i="36"/>
  <c r="X243" i="36"/>
  <c r="Z243" i="36"/>
  <c r="AA243" i="36"/>
  <c r="AC243" i="36"/>
  <c r="AE243" i="36"/>
  <c r="AF243" i="36"/>
  <c r="AI243" i="36"/>
  <c r="AJ243" i="36"/>
  <c r="AN243" i="36"/>
  <c r="AO243" i="36"/>
  <c r="AX243" i="36"/>
  <c r="AY243" i="36"/>
  <c r="A244" i="36"/>
  <c r="B244" i="36"/>
  <c r="C244" i="36"/>
  <c r="D244" i="36"/>
  <c r="E244" i="36"/>
  <c r="F244" i="36"/>
  <c r="S244" i="36"/>
  <c r="T244" i="36"/>
  <c r="U244" i="36"/>
  <c r="V244" i="36"/>
  <c r="W244" i="36"/>
  <c r="X244" i="36"/>
  <c r="Z244" i="36"/>
  <c r="AA244" i="36"/>
  <c r="AC244" i="36"/>
  <c r="AE244" i="36"/>
  <c r="AF244" i="36"/>
  <c r="AI244" i="36"/>
  <c r="AJ244" i="36"/>
  <c r="AN244" i="36"/>
  <c r="AO244" i="36"/>
  <c r="AX244" i="36"/>
  <c r="AY244" i="36"/>
  <c r="A245" i="36"/>
  <c r="B245" i="36"/>
  <c r="C245" i="36"/>
  <c r="D245" i="36"/>
  <c r="E245" i="36"/>
  <c r="F245" i="36"/>
  <c r="S245" i="36"/>
  <c r="T245" i="36"/>
  <c r="U245" i="36"/>
  <c r="V245" i="36"/>
  <c r="W245" i="36"/>
  <c r="X245" i="36"/>
  <c r="Z245" i="36"/>
  <c r="AA245" i="36"/>
  <c r="AC245" i="36"/>
  <c r="AE245" i="36"/>
  <c r="AF245" i="36"/>
  <c r="AI245" i="36"/>
  <c r="AJ245" i="36"/>
  <c r="AN245" i="36"/>
  <c r="AO245" i="36"/>
  <c r="AX245" i="36"/>
  <c r="AY245" i="36"/>
  <c r="A246" i="36"/>
  <c r="B246" i="36"/>
  <c r="C246" i="36"/>
  <c r="D246" i="36"/>
  <c r="E246" i="36"/>
  <c r="F246" i="36"/>
  <c r="S246" i="36"/>
  <c r="T246" i="36"/>
  <c r="U246" i="36"/>
  <c r="V246" i="36"/>
  <c r="W246" i="36"/>
  <c r="X246" i="36"/>
  <c r="Z246" i="36"/>
  <c r="AA246" i="36"/>
  <c r="AC246" i="36"/>
  <c r="AE246" i="36"/>
  <c r="AF246" i="36"/>
  <c r="AI246" i="36"/>
  <c r="AJ246" i="36"/>
  <c r="AN246" i="36"/>
  <c r="AO246" i="36"/>
  <c r="AX246" i="36"/>
  <c r="AY246" i="36"/>
  <c r="A247" i="36"/>
  <c r="B247" i="36"/>
  <c r="C247" i="36"/>
  <c r="D247" i="36"/>
  <c r="E247" i="36"/>
  <c r="F247" i="36"/>
  <c r="S247" i="36"/>
  <c r="T247" i="36"/>
  <c r="U247" i="36"/>
  <c r="V247" i="36"/>
  <c r="W247" i="36"/>
  <c r="X247" i="36"/>
  <c r="Z247" i="36"/>
  <c r="AA247" i="36"/>
  <c r="AC247" i="36"/>
  <c r="AE247" i="36"/>
  <c r="AF247" i="36"/>
  <c r="AI247" i="36"/>
  <c r="AJ247" i="36"/>
  <c r="AN247" i="36"/>
  <c r="AO247" i="36"/>
  <c r="AX247" i="36"/>
  <c r="AY247" i="36"/>
  <c r="A248" i="36"/>
  <c r="B248" i="36"/>
  <c r="C248" i="36"/>
  <c r="D248" i="36"/>
  <c r="E248" i="36"/>
  <c r="F248" i="36"/>
  <c r="S248" i="36"/>
  <c r="T248" i="36"/>
  <c r="U248" i="36"/>
  <c r="V248" i="36"/>
  <c r="W248" i="36"/>
  <c r="X248" i="36"/>
  <c r="Z248" i="36"/>
  <c r="AA248" i="36"/>
  <c r="AC248" i="36"/>
  <c r="AE248" i="36"/>
  <c r="AF248" i="36"/>
  <c r="AI248" i="36"/>
  <c r="AJ248" i="36"/>
  <c r="AN248" i="36"/>
  <c r="AO248" i="36"/>
  <c r="AX248" i="36"/>
  <c r="AY248" i="36"/>
  <c r="A249" i="36"/>
  <c r="B249" i="36"/>
  <c r="C249" i="36"/>
  <c r="D249" i="36"/>
  <c r="E249" i="36"/>
  <c r="F249" i="36"/>
  <c r="S249" i="36"/>
  <c r="T249" i="36"/>
  <c r="U249" i="36"/>
  <c r="V249" i="36"/>
  <c r="W249" i="36"/>
  <c r="X249" i="36"/>
  <c r="Z249" i="36"/>
  <c r="AA249" i="36"/>
  <c r="AC249" i="36"/>
  <c r="AE249" i="36"/>
  <c r="AF249" i="36"/>
  <c r="AI249" i="36"/>
  <c r="AJ249" i="36"/>
  <c r="AN249" i="36"/>
  <c r="AO249" i="36"/>
  <c r="AX249" i="36"/>
  <c r="AY249" i="36"/>
  <c r="A250" i="36"/>
  <c r="B250" i="36"/>
  <c r="C250" i="36"/>
  <c r="D250" i="36"/>
  <c r="E250" i="36"/>
  <c r="F250" i="36"/>
  <c r="S250" i="36"/>
  <c r="T250" i="36"/>
  <c r="U250" i="36"/>
  <c r="V250" i="36"/>
  <c r="W250" i="36"/>
  <c r="X250" i="36"/>
  <c r="Z250" i="36"/>
  <c r="AA250" i="36"/>
  <c r="AC250" i="36"/>
  <c r="AE250" i="36"/>
  <c r="AF250" i="36"/>
  <c r="AI250" i="36"/>
  <c r="AJ250" i="36"/>
  <c r="AN250" i="36"/>
  <c r="AO250" i="36"/>
  <c r="AX250" i="36"/>
  <c r="AY250" i="36"/>
  <c r="A251" i="36"/>
  <c r="B251" i="36"/>
  <c r="C251" i="36"/>
  <c r="D251" i="36"/>
  <c r="E251" i="36"/>
  <c r="F251" i="36"/>
  <c r="S251" i="36"/>
  <c r="T251" i="36"/>
  <c r="U251" i="36"/>
  <c r="V251" i="36"/>
  <c r="W251" i="36"/>
  <c r="X251" i="36"/>
  <c r="Z251" i="36"/>
  <c r="AA251" i="36"/>
  <c r="AC251" i="36"/>
  <c r="AE251" i="36"/>
  <c r="AF251" i="36"/>
  <c r="AI251" i="36"/>
  <c r="AJ251" i="36"/>
  <c r="AN251" i="36"/>
  <c r="AO251" i="36"/>
  <c r="AX251" i="36"/>
  <c r="AY251" i="36"/>
  <c r="A252" i="36"/>
  <c r="B252" i="36"/>
  <c r="C252" i="36"/>
  <c r="D252" i="36"/>
  <c r="E252" i="36"/>
  <c r="F252" i="36"/>
  <c r="S252" i="36"/>
  <c r="T252" i="36"/>
  <c r="U252" i="36"/>
  <c r="V252" i="36"/>
  <c r="W252" i="36"/>
  <c r="X252" i="36"/>
  <c r="Z252" i="36"/>
  <c r="AA252" i="36"/>
  <c r="AC252" i="36"/>
  <c r="AE252" i="36"/>
  <c r="AF252" i="36"/>
  <c r="AI252" i="36"/>
  <c r="AJ252" i="36"/>
  <c r="AN252" i="36"/>
  <c r="AO252" i="36"/>
  <c r="AX252" i="36"/>
  <c r="AY252" i="36"/>
  <c r="G257" i="36"/>
  <c r="H257" i="36"/>
  <c r="K257" i="36"/>
  <c r="G258" i="36"/>
  <c r="H258" i="36"/>
  <c r="I258" i="36"/>
  <c r="J258" i="36"/>
  <c r="G259" i="36"/>
  <c r="H259" i="36"/>
  <c r="I259" i="36"/>
  <c r="J259" i="36"/>
  <c r="G260" i="36"/>
  <c r="H260" i="36"/>
  <c r="I260" i="36"/>
  <c r="J260" i="36"/>
  <c r="K260" i="36"/>
  <c r="G261" i="36"/>
  <c r="H261" i="36"/>
  <c r="I261" i="36"/>
  <c r="J261" i="36"/>
  <c r="G262" i="36"/>
  <c r="H262" i="36"/>
  <c r="I262" i="36"/>
  <c r="J262" i="36"/>
  <c r="B263" i="36"/>
  <c r="G263" i="36"/>
  <c r="H263" i="36"/>
  <c r="I263" i="36"/>
  <c r="J263" i="36"/>
  <c r="K263" i="36"/>
  <c r="G264" i="36"/>
  <c r="H264" i="36"/>
  <c r="I264" i="36"/>
  <c r="J264" i="36"/>
  <c r="G265" i="36"/>
  <c r="H265" i="36"/>
  <c r="I265" i="36"/>
  <c r="J265" i="36"/>
  <c r="B266" i="36"/>
  <c r="G266" i="36"/>
  <c r="H266" i="36"/>
  <c r="I266" i="36"/>
  <c r="J266" i="36"/>
  <c r="B267" i="36"/>
  <c r="C267" i="36"/>
  <c r="G267" i="36"/>
  <c r="H267" i="36"/>
  <c r="I267" i="36"/>
  <c r="J267" i="36"/>
  <c r="G268" i="36"/>
  <c r="H268" i="36"/>
  <c r="I268" i="36"/>
  <c r="J268" i="36"/>
  <c r="L268" i="36"/>
  <c r="G269" i="36"/>
  <c r="H269" i="36"/>
  <c r="I269" i="36"/>
  <c r="J269" i="36"/>
  <c r="G270" i="36"/>
  <c r="H270" i="36"/>
  <c r="I270" i="36"/>
  <c r="J270" i="36"/>
  <c r="G271" i="36"/>
  <c r="H271" i="36"/>
  <c r="I271" i="36"/>
  <c r="J271" i="36"/>
  <c r="G272" i="36"/>
  <c r="H272" i="36"/>
  <c r="I272" i="36"/>
  <c r="J272" i="36"/>
  <c r="G273" i="36"/>
  <c r="H273" i="36"/>
  <c r="I273" i="36"/>
  <c r="J273" i="36"/>
  <c r="G274" i="36"/>
  <c r="H274" i="36"/>
  <c r="I274" i="36"/>
  <c r="J274" i="36"/>
  <c r="G275" i="36"/>
  <c r="H275" i="36"/>
  <c r="I275" i="36"/>
  <c r="J275" i="36"/>
  <c r="G276" i="36"/>
  <c r="H276" i="36"/>
  <c r="I276" i="36"/>
  <c r="J276" i="36"/>
  <c r="G277" i="36"/>
  <c r="H277" i="36"/>
  <c r="I277" i="36"/>
  <c r="J277" i="36"/>
  <c r="G278" i="36"/>
  <c r="H278" i="36"/>
  <c r="I278" i="36"/>
  <c r="J278" i="36"/>
  <c r="G279" i="36"/>
  <c r="H279" i="36"/>
  <c r="I279" i="36"/>
  <c r="J279" i="36"/>
  <c r="G280" i="36"/>
  <c r="H280" i="36"/>
  <c r="I280" i="36"/>
  <c r="J280" i="36"/>
  <c r="G281" i="36"/>
  <c r="H281" i="36"/>
  <c r="I281" i="36"/>
  <c r="J281" i="36"/>
  <c r="G282" i="36"/>
  <c r="H282" i="36"/>
  <c r="I282" i="36"/>
  <c r="J282" i="36"/>
  <c r="G283" i="36"/>
  <c r="H283" i="36"/>
  <c r="I283" i="36"/>
  <c r="J283" i="36"/>
  <c r="I285" i="36"/>
  <c r="L285" i="36"/>
  <c r="I286" i="36"/>
  <c r="I287" i="36"/>
  <c r="L287" i="36"/>
  <c r="I288" i="36"/>
  <c r="L288" i="36"/>
  <c r="C289" i="36"/>
  <c r="I289" i="36"/>
  <c r="L289" i="36"/>
  <c r="A292" i="36"/>
  <c r="D292" i="36"/>
  <c r="S292" i="36"/>
  <c r="T292" i="36"/>
  <c r="U292" i="36"/>
  <c r="V292" i="36"/>
  <c r="W292" i="36"/>
  <c r="X292" i="36"/>
  <c r="Z292" i="36"/>
  <c r="AA292" i="36"/>
  <c r="AC292" i="36"/>
  <c r="AG292" i="36"/>
  <c r="AH292" i="36"/>
  <c r="AJ292" i="36"/>
  <c r="AK292" i="36"/>
  <c r="AM292" i="36"/>
  <c r="AN292" i="36"/>
  <c r="AO292" i="36"/>
  <c r="AX292" i="36"/>
  <c r="AY292" i="36"/>
  <c r="B297" i="36"/>
  <c r="M297" i="36"/>
  <c r="B298" i="36"/>
  <c r="E298" i="36"/>
  <c r="G298" i="36"/>
  <c r="H298" i="36"/>
  <c r="I298" i="36"/>
  <c r="B299" i="36"/>
  <c r="G299" i="36"/>
  <c r="H299" i="36"/>
  <c r="I299" i="36"/>
  <c r="J299" i="36"/>
  <c r="B300" i="36"/>
  <c r="G300" i="36"/>
  <c r="H300" i="36"/>
  <c r="I300" i="36"/>
  <c r="J300" i="36"/>
  <c r="B301" i="36"/>
  <c r="G301" i="36"/>
  <c r="H301" i="36"/>
  <c r="I301" i="36"/>
  <c r="J301" i="36"/>
  <c r="B302" i="36"/>
  <c r="G302" i="36"/>
  <c r="H302" i="36"/>
  <c r="I302" i="36"/>
  <c r="J302" i="36"/>
  <c r="B303" i="36"/>
  <c r="G303" i="36"/>
  <c r="H303" i="36"/>
  <c r="I303" i="36"/>
  <c r="J303" i="36"/>
  <c r="B304" i="36"/>
  <c r="G304" i="36"/>
  <c r="H304" i="36"/>
  <c r="I304" i="36"/>
  <c r="J304" i="36"/>
  <c r="G305" i="36"/>
  <c r="H305" i="36"/>
  <c r="I305" i="36"/>
  <c r="J305" i="36"/>
  <c r="B306" i="36"/>
  <c r="G306" i="36"/>
  <c r="H306" i="36"/>
  <c r="I306" i="36"/>
  <c r="J306" i="36"/>
  <c r="G307" i="36"/>
  <c r="H307" i="36"/>
  <c r="I307" i="36"/>
  <c r="J307" i="36"/>
  <c r="G308" i="36"/>
  <c r="H308" i="36"/>
  <c r="I308" i="36"/>
  <c r="J308" i="36"/>
  <c r="G309" i="36"/>
  <c r="H309" i="36"/>
  <c r="I309" i="36"/>
  <c r="J309" i="36"/>
  <c r="G310" i="36"/>
  <c r="H310" i="36"/>
  <c r="I310" i="36"/>
  <c r="J310" i="36"/>
  <c r="G311" i="36"/>
  <c r="H311" i="36"/>
  <c r="I311" i="36"/>
  <c r="J311" i="36"/>
  <c r="G312" i="36"/>
  <c r="H312" i="36"/>
  <c r="I312" i="36"/>
  <c r="J312" i="36"/>
  <c r="G313" i="36"/>
  <c r="H313" i="36"/>
  <c r="I313" i="36"/>
  <c r="J313" i="36"/>
  <c r="G314" i="36"/>
  <c r="H314" i="36"/>
  <c r="I314" i="36"/>
  <c r="J314" i="36"/>
  <c r="B315" i="36"/>
  <c r="G315" i="36"/>
  <c r="H315" i="36"/>
  <c r="I315" i="36"/>
  <c r="J315" i="36"/>
  <c r="G316" i="36"/>
  <c r="H316" i="36"/>
  <c r="I316" i="36"/>
  <c r="J316" i="36"/>
  <c r="G317" i="36"/>
  <c r="H317" i="36"/>
  <c r="I317" i="36"/>
  <c r="J317" i="36"/>
  <c r="G318" i="36"/>
  <c r="H318" i="36"/>
  <c r="I318" i="36"/>
  <c r="J318" i="36"/>
  <c r="I320" i="36"/>
  <c r="L320" i="36"/>
  <c r="I321" i="36"/>
  <c r="I322" i="36"/>
  <c r="L322" i="36"/>
  <c r="I323" i="36"/>
  <c r="L323" i="36"/>
  <c r="I324" i="36"/>
  <c r="L324" i="36"/>
  <c r="D328" i="36"/>
  <c r="S328" i="36"/>
  <c r="T328" i="36"/>
  <c r="U328" i="36"/>
  <c r="V328" i="36"/>
  <c r="W328" i="36"/>
  <c r="X328" i="36"/>
  <c r="Z328" i="36"/>
  <c r="AA328" i="36"/>
  <c r="AC328" i="36"/>
  <c r="AG328" i="36"/>
  <c r="AH328" i="36"/>
  <c r="AJ328" i="36"/>
  <c r="AO328" i="36"/>
  <c r="AX328" i="36"/>
  <c r="AY328" i="36"/>
  <c r="M333" i="36"/>
  <c r="E1" i="39"/>
  <c r="H1" i="39"/>
  <c r="K1" i="39"/>
  <c r="E3" i="39"/>
  <c r="E4" i="39"/>
  <c r="Q6" i="39"/>
  <c r="N7" i="39"/>
  <c r="K8" i="39"/>
  <c r="K9" i="39"/>
  <c r="B10" i="39"/>
  <c r="B12" i="39"/>
  <c r="H12" i="39"/>
  <c r="E13" i="39"/>
  <c r="H13" i="39"/>
  <c r="K13" i="39"/>
  <c r="E14" i="39"/>
  <c r="K14" i="39"/>
  <c r="H15" i="39"/>
  <c r="H16" i="39"/>
  <c r="H17" i="39"/>
  <c r="H18" i="39"/>
  <c r="D23" i="39"/>
  <c r="S23" i="39"/>
  <c r="T23" i="39"/>
  <c r="U23" i="39"/>
  <c r="V23" i="39"/>
  <c r="W23" i="39"/>
  <c r="X23" i="39"/>
  <c r="Z23" i="39"/>
  <c r="AA23" i="39"/>
  <c r="AC23" i="39"/>
  <c r="AG23" i="39"/>
  <c r="AH23" i="39"/>
  <c r="AJ23" i="39"/>
  <c r="AK23" i="39"/>
  <c r="AM23" i="39"/>
  <c r="AN23" i="39"/>
  <c r="AO23" i="39"/>
  <c r="AX23" i="39"/>
  <c r="AY23" i="39"/>
  <c r="A24" i="39"/>
  <c r="B24" i="39"/>
  <c r="C24" i="39"/>
  <c r="D24" i="39"/>
  <c r="E24" i="39"/>
  <c r="F24" i="39"/>
  <c r="S24" i="39"/>
  <c r="T24" i="39"/>
  <c r="U24" i="39"/>
  <c r="V24" i="39"/>
  <c r="W24" i="39"/>
  <c r="X24" i="39"/>
  <c r="Z24" i="39"/>
  <c r="AA24" i="39"/>
  <c r="AC24" i="39"/>
  <c r="AG24" i="39"/>
  <c r="AH24" i="39"/>
  <c r="AJ24" i="39"/>
  <c r="AK24" i="39"/>
  <c r="AM24" i="39"/>
  <c r="AN24" i="39"/>
  <c r="AO24" i="39"/>
  <c r="AX24" i="39"/>
  <c r="AY24" i="39"/>
  <c r="A25" i="39"/>
  <c r="B25" i="39"/>
  <c r="C25" i="39"/>
  <c r="D25" i="39"/>
  <c r="E25" i="39"/>
  <c r="F25" i="39"/>
  <c r="S25" i="39"/>
  <c r="T25" i="39"/>
  <c r="U25" i="39"/>
  <c r="V25" i="39"/>
  <c r="W25" i="39"/>
  <c r="X25" i="39"/>
  <c r="Z25" i="39"/>
  <c r="AA25" i="39"/>
  <c r="AC25" i="39"/>
  <c r="AG25" i="39"/>
  <c r="AH25" i="39"/>
  <c r="AJ25" i="39"/>
  <c r="AK25" i="39"/>
  <c r="AM25" i="39"/>
  <c r="AN25" i="39"/>
  <c r="AO25" i="39"/>
  <c r="AX25" i="39"/>
  <c r="AY25" i="39"/>
  <c r="A26" i="39"/>
  <c r="B26" i="39"/>
  <c r="C26" i="39"/>
  <c r="D26" i="39"/>
  <c r="E26" i="39"/>
  <c r="F26" i="39"/>
  <c r="S26" i="39"/>
  <c r="T26" i="39"/>
  <c r="U26" i="39"/>
  <c r="V26" i="39"/>
  <c r="W26" i="39"/>
  <c r="X26" i="39"/>
  <c r="Z26" i="39"/>
  <c r="AA26" i="39"/>
  <c r="AC26" i="39"/>
  <c r="AG26" i="39"/>
  <c r="AH26" i="39"/>
  <c r="AJ26" i="39"/>
  <c r="AK26" i="39"/>
  <c r="AM26" i="39"/>
  <c r="AN26" i="39"/>
  <c r="AO26" i="39"/>
  <c r="AX26" i="39"/>
  <c r="AY26" i="39"/>
  <c r="A27" i="39"/>
  <c r="B27" i="39"/>
  <c r="C27" i="39"/>
  <c r="D27" i="39"/>
  <c r="E27" i="39"/>
  <c r="F27" i="39"/>
  <c r="S27" i="39"/>
  <c r="T27" i="39"/>
  <c r="U27" i="39"/>
  <c r="V27" i="39"/>
  <c r="W27" i="39"/>
  <c r="X27" i="39"/>
  <c r="Z27" i="39"/>
  <c r="AA27" i="39"/>
  <c r="AC27" i="39"/>
  <c r="AG27" i="39"/>
  <c r="AH27" i="39"/>
  <c r="AJ27" i="39"/>
  <c r="AK27" i="39"/>
  <c r="AM27" i="39"/>
  <c r="AN27" i="39"/>
  <c r="AO27" i="39"/>
  <c r="AX27" i="39"/>
  <c r="AY27" i="39"/>
  <c r="A28" i="39"/>
  <c r="B28" i="39"/>
  <c r="C28" i="39"/>
  <c r="D28" i="39"/>
  <c r="E28" i="39"/>
  <c r="F28" i="39"/>
  <c r="S28" i="39"/>
  <c r="T28" i="39"/>
  <c r="U28" i="39"/>
  <c r="V28" i="39"/>
  <c r="W28" i="39"/>
  <c r="X28" i="39"/>
  <c r="Z28" i="39"/>
  <c r="AA28" i="39"/>
  <c r="AC28" i="39"/>
  <c r="AG28" i="39"/>
  <c r="AH28" i="39"/>
  <c r="AJ28" i="39"/>
  <c r="AK28" i="39"/>
  <c r="AM28" i="39"/>
  <c r="AN28" i="39"/>
  <c r="AO28" i="39"/>
  <c r="AX28" i="39"/>
  <c r="AY28" i="39"/>
  <c r="A29" i="39"/>
  <c r="B29" i="39"/>
  <c r="C29" i="39"/>
  <c r="D29" i="39"/>
  <c r="E29" i="39"/>
  <c r="F29" i="39"/>
  <c r="S29" i="39"/>
  <c r="T29" i="39"/>
  <c r="U29" i="39"/>
  <c r="V29" i="39"/>
  <c r="W29" i="39"/>
  <c r="X29" i="39"/>
  <c r="Z29" i="39"/>
  <c r="AA29" i="39"/>
  <c r="AC29" i="39"/>
  <c r="AG29" i="39"/>
  <c r="AH29" i="39"/>
  <c r="AJ29" i="39"/>
  <c r="AK29" i="39"/>
  <c r="AM29" i="39"/>
  <c r="AN29" i="39"/>
  <c r="AO29" i="39"/>
  <c r="AX29" i="39"/>
  <c r="AY29" i="39"/>
  <c r="A30" i="39"/>
  <c r="B30" i="39"/>
  <c r="C30" i="39"/>
  <c r="D30" i="39"/>
  <c r="E30" i="39"/>
  <c r="F30" i="39"/>
  <c r="S30" i="39"/>
  <c r="T30" i="39"/>
  <c r="U30" i="39"/>
  <c r="V30" i="39"/>
  <c r="W30" i="39"/>
  <c r="X30" i="39"/>
  <c r="Z30" i="39"/>
  <c r="AA30" i="39"/>
  <c r="AC30" i="39"/>
  <c r="AG30" i="39"/>
  <c r="AH30" i="39"/>
  <c r="AJ30" i="39"/>
  <c r="AK30" i="39"/>
  <c r="AM30" i="39"/>
  <c r="AN30" i="39"/>
  <c r="AO30" i="39"/>
  <c r="AX30" i="39"/>
  <c r="AY30" i="39"/>
  <c r="A31" i="39"/>
  <c r="B31" i="39"/>
  <c r="C31" i="39"/>
  <c r="D31" i="39"/>
  <c r="E31" i="39"/>
  <c r="F31" i="39"/>
  <c r="S31" i="39"/>
  <c r="T31" i="39"/>
  <c r="U31" i="39"/>
  <c r="V31" i="39"/>
  <c r="W31" i="39"/>
  <c r="X31" i="39"/>
  <c r="Z31" i="39"/>
  <c r="AA31" i="39"/>
  <c r="AC31" i="39"/>
  <c r="AG31" i="39"/>
  <c r="AH31" i="39"/>
  <c r="AJ31" i="39"/>
  <c r="AK31" i="39"/>
  <c r="AM31" i="39"/>
  <c r="AN31" i="39"/>
  <c r="AO31" i="39"/>
  <c r="AX31" i="39"/>
  <c r="AY31" i="39"/>
  <c r="A32" i="39"/>
  <c r="B32" i="39"/>
  <c r="C32" i="39"/>
  <c r="D32" i="39"/>
  <c r="E32" i="39"/>
  <c r="F32" i="39"/>
  <c r="S32" i="39"/>
  <c r="T32" i="39"/>
  <c r="U32" i="39"/>
  <c r="V32" i="39"/>
  <c r="W32" i="39"/>
  <c r="X32" i="39"/>
  <c r="Z32" i="39"/>
  <c r="AA32" i="39"/>
  <c r="AC32" i="39"/>
  <c r="AG32" i="39"/>
  <c r="AH32" i="39"/>
  <c r="AJ32" i="39"/>
  <c r="AK32" i="39"/>
  <c r="AM32" i="39"/>
  <c r="AN32" i="39"/>
  <c r="AO32" i="39"/>
  <c r="AX32" i="39"/>
  <c r="AY32" i="39"/>
  <c r="A33" i="39"/>
  <c r="B33" i="39"/>
  <c r="C33" i="39"/>
  <c r="D33" i="39"/>
  <c r="E33" i="39"/>
  <c r="F33" i="39"/>
  <c r="S33" i="39"/>
  <c r="T33" i="39"/>
  <c r="U33" i="39"/>
  <c r="V33" i="39"/>
  <c r="W33" i="39"/>
  <c r="X33" i="39"/>
  <c r="Z33" i="39"/>
  <c r="AA33" i="39"/>
  <c r="AC33" i="39"/>
  <c r="AG33" i="39"/>
  <c r="AH33" i="39"/>
  <c r="AJ33" i="39"/>
  <c r="AK33" i="39"/>
  <c r="AM33" i="39"/>
  <c r="AN33" i="39"/>
  <c r="AO33" i="39"/>
  <c r="AX33" i="39"/>
  <c r="AY33" i="39"/>
  <c r="A34" i="39"/>
  <c r="B34" i="39"/>
  <c r="C34" i="39"/>
  <c r="D34" i="39"/>
  <c r="E34" i="39"/>
  <c r="F34" i="39"/>
  <c r="S34" i="39"/>
  <c r="T34" i="39"/>
  <c r="U34" i="39"/>
  <c r="V34" i="39"/>
  <c r="W34" i="39"/>
  <c r="X34" i="39"/>
  <c r="Z34" i="39"/>
  <c r="AA34" i="39"/>
  <c r="AC34" i="39"/>
  <c r="AG34" i="39"/>
  <c r="AH34" i="39"/>
  <c r="AJ34" i="39"/>
  <c r="AK34" i="39"/>
  <c r="AM34" i="39"/>
  <c r="AN34" i="39"/>
  <c r="AO34" i="39"/>
  <c r="AX34" i="39"/>
  <c r="AY34" i="39"/>
  <c r="A35" i="39"/>
  <c r="B35" i="39"/>
  <c r="C35" i="39"/>
  <c r="D35" i="39"/>
  <c r="E35" i="39"/>
  <c r="F35" i="39"/>
  <c r="S35" i="39"/>
  <c r="T35" i="39"/>
  <c r="U35" i="39"/>
  <c r="V35" i="39"/>
  <c r="W35" i="39"/>
  <c r="X35" i="39"/>
  <c r="Z35" i="39"/>
  <c r="AA35" i="39"/>
  <c r="AC35" i="39"/>
  <c r="AG35" i="39"/>
  <c r="AH35" i="39"/>
  <c r="AJ35" i="39"/>
  <c r="AK35" i="39"/>
  <c r="AM35" i="39"/>
  <c r="AN35" i="39"/>
  <c r="AO35" i="39"/>
  <c r="AX35" i="39"/>
  <c r="AY35" i="39"/>
  <c r="A36" i="39"/>
  <c r="B36" i="39"/>
  <c r="C36" i="39"/>
  <c r="D36" i="39"/>
  <c r="E36" i="39"/>
  <c r="F36" i="39"/>
  <c r="S36" i="39"/>
  <c r="T36" i="39"/>
  <c r="U36" i="39"/>
  <c r="V36" i="39"/>
  <c r="W36" i="39"/>
  <c r="X36" i="39"/>
  <c r="Z36" i="39"/>
  <c r="AA36" i="39"/>
  <c r="AC36" i="39"/>
  <c r="AG36" i="39"/>
  <c r="AH36" i="39"/>
  <c r="AJ36" i="39"/>
  <c r="AK36" i="39"/>
  <c r="AM36" i="39"/>
  <c r="AN36" i="39"/>
  <c r="AO36" i="39"/>
  <c r="AX36" i="39"/>
  <c r="AY36" i="39"/>
  <c r="A37" i="39"/>
  <c r="B37" i="39"/>
  <c r="C37" i="39"/>
  <c r="D37" i="39"/>
  <c r="E37" i="39"/>
  <c r="F37" i="39"/>
  <c r="S37" i="39"/>
  <c r="T37" i="39"/>
  <c r="U37" i="39"/>
  <c r="V37" i="39"/>
  <c r="W37" i="39"/>
  <c r="X37" i="39"/>
  <c r="Z37" i="39"/>
  <c r="AA37" i="39"/>
  <c r="AC37" i="39"/>
  <c r="AG37" i="39"/>
  <c r="AH37" i="39"/>
  <c r="AJ37" i="39"/>
  <c r="AK37" i="39"/>
  <c r="AM37" i="39"/>
  <c r="AN37" i="39"/>
  <c r="AO37" i="39"/>
  <c r="AX37" i="39"/>
  <c r="AY37" i="39"/>
  <c r="A38" i="39"/>
  <c r="B38" i="39"/>
  <c r="C38" i="39"/>
  <c r="D38" i="39"/>
  <c r="E38" i="39"/>
  <c r="F38" i="39"/>
  <c r="S38" i="39"/>
  <c r="T38" i="39"/>
  <c r="U38" i="39"/>
  <c r="V38" i="39"/>
  <c r="W38" i="39"/>
  <c r="X38" i="39"/>
  <c r="Z38" i="39"/>
  <c r="AA38" i="39"/>
  <c r="AC38" i="39"/>
  <c r="AG38" i="39"/>
  <c r="AH38" i="39"/>
  <c r="AJ38" i="39"/>
  <c r="AK38" i="39"/>
  <c r="AM38" i="39"/>
  <c r="AN38" i="39"/>
  <c r="AO38" i="39"/>
  <c r="AX38" i="39"/>
  <c r="AY38" i="39"/>
  <c r="A39" i="39"/>
  <c r="B39" i="39"/>
  <c r="C39" i="39"/>
  <c r="D39" i="39"/>
  <c r="E39" i="39"/>
  <c r="F39" i="39"/>
  <c r="S39" i="39"/>
  <c r="T39" i="39"/>
  <c r="U39" i="39"/>
  <c r="V39" i="39"/>
  <c r="W39" i="39"/>
  <c r="X39" i="39"/>
  <c r="Z39" i="39"/>
  <c r="AA39" i="39"/>
  <c r="AC39" i="39"/>
  <c r="AG39" i="39"/>
  <c r="AH39" i="39"/>
  <c r="AJ39" i="39"/>
  <c r="AK39" i="39"/>
  <c r="AM39" i="39"/>
  <c r="AN39" i="39"/>
  <c r="AO39" i="39"/>
  <c r="AX39" i="39"/>
  <c r="AY39" i="39"/>
  <c r="A40" i="39"/>
  <c r="B40" i="39"/>
  <c r="C40" i="39"/>
  <c r="D40" i="39"/>
  <c r="E40" i="39"/>
  <c r="F40" i="39"/>
  <c r="S40" i="39"/>
  <c r="T40" i="39"/>
  <c r="U40" i="39"/>
  <c r="V40" i="39"/>
  <c r="W40" i="39"/>
  <c r="X40" i="39"/>
  <c r="Z40" i="39"/>
  <c r="AA40" i="39"/>
  <c r="AC40" i="39"/>
  <c r="AG40" i="39"/>
  <c r="AH40" i="39"/>
  <c r="AJ40" i="39"/>
  <c r="AK40" i="39"/>
  <c r="AM40" i="39"/>
  <c r="AN40" i="39"/>
  <c r="AO40" i="39"/>
  <c r="AX40" i="39"/>
  <c r="AY40" i="39"/>
  <c r="A41" i="39"/>
  <c r="B41" i="39"/>
  <c r="C41" i="39"/>
  <c r="D41" i="39"/>
  <c r="E41" i="39"/>
  <c r="F41" i="39"/>
  <c r="S41" i="39"/>
  <c r="T41" i="39"/>
  <c r="U41" i="39"/>
  <c r="V41" i="39"/>
  <c r="W41" i="39"/>
  <c r="X41" i="39"/>
  <c r="Z41" i="39"/>
  <c r="AA41" i="39"/>
  <c r="AC41" i="39"/>
  <c r="AG41" i="39"/>
  <c r="AH41" i="39"/>
  <c r="AJ41" i="39"/>
  <c r="AK41" i="39"/>
  <c r="AM41" i="39"/>
  <c r="AN41" i="39"/>
  <c r="AO41" i="39"/>
  <c r="AX41" i="39"/>
  <c r="AY41" i="39"/>
  <c r="A42" i="39"/>
  <c r="B42" i="39"/>
  <c r="C42" i="39"/>
  <c r="D42" i="39"/>
  <c r="E42" i="39"/>
  <c r="F42" i="39"/>
  <c r="S42" i="39"/>
  <c r="T42" i="39"/>
  <c r="U42" i="39"/>
  <c r="V42" i="39"/>
  <c r="W42" i="39"/>
  <c r="X42" i="39"/>
  <c r="Z42" i="39"/>
  <c r="AA42" i="39"/>
  <c r="AC42" i="39"/>
  <c r="AG42" i="39"/>
  <c r="AH42" i="39"/>
  <c r="AJ42" i="39"/>
  <c r="AK42" i="39"/>
  <c r="AM42" i="39"/>
  <c r="AN42" i="39"/>
  <c r="AO42" i="39"/>
  <c r="AX42" i="39"/>
  <c r="AY42" i="39"/>
  <c r="A43" i="39"/>
  <c r="B43" i="39"/>
  <c r="C43" i="39"/>
  <c r="D43" i="39"/>
  <c r="E43" i="39"/>
  <c r="F43" i="39"/>
  <c r="S43" i="39"/>
  <c r="T43" i="39"/>
  <c r="U43" i="39"/>
  <c r="V43" i="39"/>
  <c r="W43" i="39"/>
  <c r="X43" i="39"/>
  <c r="Z43" i="39"/>
  <c r="AA43" i="39"/>
  <c r="AC43" i="39"/>
  <c r="AG43" i="39"/>
  <c r="AH43" i="39"/>
  <c r="AJ43" i="39"/>
  <c r="AK43" i="39"/>
  <c r="AM43" i="39"/>
  <c r="AN43" i="39"/>
  <c r="AO43" i="39"/>
  <c r="AX43" i="39"/>
  <c r="AY43" i="39"/>
  <c r="B44" i="39"/>
  <c r="X44" i="39"/>
  <c r="AN44" i="39"/>
  <c r="A48" i="39"/>
  <c r="B48" i="39"/>
  <c r="C48" i="39"/>
  <c r="D48" i="39"/>
  <c r="E48" i="39"/>
  <c r="S48" i="39"/>
  <c r="T48" i="39"/>
  <c r="U48" i="39"/>
  <c r="V48" i="39"/>
  <c r="W48" i="39"/>
  <c r="X48" i="39"/>
  <c r="Z48" i="39"/>
  <c r="AA48" i="39"/>
  <c r="AC48" i="39"/>
  <c r="AE48" i="39"/>
  <c r="AF48" i="39"/>
  <c r="AG48" i="39"/>
  <c r="AH48" i="39"/>
  <c r="AI48" i="39"/>
  <c r="AJ48" i="39"/>
  <c r="AN48" i="39"/>
  <c r="AX48" i="39"/>
  <c r="AY48" i="39"/>
  <c r="BA48" i="39"/>
  <c r="BB48" i="39"/>
  <c r="BC48" i="39"/>
  <c r="A49" i="39"/>
  <c r="B49" i="39"/>
  <c r="C49" i="39"/>
  <c r="D49" i="39"/>
  <c r="E49" i="39"/>
  <c r="S49" i="39"/>
  <c r="T49" i="39"/>
  <c r="U49" i="39"/>
  <c r="V49" i="39"/>
  <c r="W49" i="39"/>
  <c r="X49" i="39"/>
  <c r="Z49" i="39"/>
  <c r="AA49" i="39"/>
  <c r="AC49" i="39"/>
  <c r="AE49" i="39"/>
  <c r="AF49" i="39"/>
  <c r="AG49" i="39"/>
  <c r="AH49" i="39"/>
  <c r="AI49" i="39"/>
  <c r="AJ49" i="39"/>
  <c r="AN49" i="39"/>
  <c r="AX49" i="39"/>
  <c r="AY49" i="39"/>
  <c r="BA49" i="39"/>
  <c r="BB49" i="39"/>
  <c r="BC49" i="39"/>
  <c r="A50" i="39"/>
  <c r="B50" i="39"/>
  <c r="C50" i="39"/>
  <c r="D50" i="39"/>
  <c r="E50" i="39"/>
  <c r="S50" i="39"/>
  <c r="T50" i="39"/>
  <c r="U50" i="39"/>
  <c r="V50" i="39"/>
  <c r="W50" i="39"/>
  <c r="X50" i="39"/>
  <c r="Z50" i="39"/>
  <c r="AA50" i="39"/>
  <c r="AC50" i="39"/>
  <c r="AE50" i="39"/>
  <c r="AF50" i="39"/>
  <c r="AG50" i="39"/>
  <c r="AH50" i="39"/>
  <c r="AI50" i="39"/>
  <c r="AJ50" i="39"/>
  <c r="AN50" i="39"/>
  <c r="AX50" i="39"/>
  <c r="AY50" i="39"/>
  <c r="BA50" i="39"/>
  <c r="BB50" i="39"/>
  <c r="BC50" i="39"/>
  <c r="A51" i="39"/>
  <c r="B51" i="39"/>
  <c r="C51" i="39"/>
  <c r="D51" i="39"/>
  <c r="E51" i="39"/>
  <c r="S51" i="39"/>
  <c r="T51" i="39"/>
  <c r="U51" i="39"/>
  <c r="V51" i="39"/>
  <c r="W51" i="39"/>
  <c r="X51" i="39"/>
  <c r="Z51" i="39"/>
  <c r="AA51" i="39"/>
  <c r="AC51" i="39"/>
  <c r="AE51" i="39"/>
  <c r="AF51" i="39"/>
  <c r="AG51" i="39"/>
  <c r="AH51" i="39"/>
  <c r="AI51" i="39"/>
  <c r="AJ51" i="39"/>
  <c r="AN51" i="39"/>
  <c r="AX51" i="39"/>
  <c r="AY51" i="39"/>
  <c r="BA51" i="39"/>
  <c r="BB51" i="39"/>
  <c r="BC51" i="39"/>
  <c r="A52" i="39"/>
  <c r="B52" i="39"/>
  <c r="C52" i="39"/>
  <c r="D52" i="39"/>
  <c r="E52" i="39"/>
  <c r="S52" i="39"/>
  <c r="T52" i="39"/>
  <c r="U52" i="39"/>
  <c r="V52" i="39"/>
  <c r="W52" i="39"/>
  <c r="X52" i="39"/>
  <c r="Z52" i="39"/>
  <c r="AA52" i="39"/>
  <c r="AC52" i="39"/>
  <c r="AE52" i="39"/>
  <c r="AF52" i="39"/>
  <c r="AG52" i="39"/>
  <c r="AH52" i="39"/>
  <c r="AI52" i="39"/>
  <c r="AJ52" i="39"/>
  <c r="AN52" i="39"/>
  <c r="AX52" i="39"/>
  <c r="AY52" i="39"/>
  <c r="BA52" i="39"/>
  <c r="BB52" i="39"/>
  <c r="BC52" i="39"/>
  <c r="A53" i="39"/>
  <c r="B53" i="39"/>
  <c r="C53" i="39"/>
  <c r="D53" i="39"/>
  <c r="E53" i="39"/>
  <c r="S53" i="39"/>
  <c r="T53" i="39"/>
  <c r="U53" i="39"/>
  <c r="V53" i="39"/>
  <c r="W53" i="39"/>
  <c r="X53" i="39"/>
  <c r="Z53" i="39"/>
  <c r="AA53" i="39"/>
  <c r="AC53" i="39"/>
  <c r="AE53" i="39"/>
  <c r="AF53" i="39"/>
  <c r="AG53" i="39"/>
  <c r="AH53" i="39"/>
  <c r="AI53" i="39"/>
  <c r="AJ53" i="39"/>
  <c r="AN53" i="39"/>
  <c r="AX53" i="39"/>
  <c r="AY53" i="39"/>
  <c r="BA53" i="39"/>
  <c r="BB53" i="39"/>
  <c r="BC53" i="39"/>
  <c r="A54" i="39"/>
  <c r="B54" i="39"/>
  <c r="C54" i="39"/>
  <c r="D54" i="39"/>
  <c r="E54" i="39"/>
  <c r="S54" i="39"/>
  <c r="T54" i="39"/>
  <c r="U54" i="39"/>
  <c r="V54" i="39"/>
  <c r="W54" i="39"/>
  <c r="X54" i="39"/>
  <c r="Z54" i="39"/>
  <c r="AA54" i="39"/>
  <c r="AC54" i="39"/>
  <c r="AE54" i="39"/>
  <c r="AF54" i="39"/>
  <c r="AG54" i="39"/>
  <c r="AH54" i="39"/>
  <c r="AI54" i="39"/>
  <c r="AJ54" i="39"/>
  <c r="AN54" i="39"/>
  <c r="AX54" i="39"/>
  <c r="AY54" i="39"/>
  <c r="BA54" i="39"/>
  <c r="BB54" i="39"/>
  <c r="BC54" i="39"/>
  <c r="A55" i="39"/>
  <c r="B55" i="39"/>
  <c r="C55" i="39"/>
  <c r="D55" i="39"/>
  <c r="E55" i="39"/>
  <c r="S55" i="39"/>
  <c r="T55" i="39"/>
  <c r="U55" i="39"/>
  <c r="V55" i="39"/>
  <c r="W55" i="39"/>
  <c r="X55" i="39"/>
  <c r="Z55" i="39"/>
  <c r="AA55" i="39"/>
  <c r="AC55" i="39"/>
  <c r="AE55" i="39"/>
  <c r="AF55" i="39"/>
  <c r="AG55" i="39"/>
  <c r="AH55" i="39"/>
  <c r="AI55" i="39"/>
  <c r="AJ55" i="39"/>
  <c r="AN55" i="39"/>
  <c r="AX55" i="39"/>
  <c r="AY55" i="39"/>
  <c r="BA55" i="39"/>
  <c r="BB55" i="39"/>
  <c r="BC55" i="39"/>
  <c r="A56" i="39"/>
  <c r="B56" i="39"/>
  <c r="C56" i="39"/>
  <c r="D56" i="39"/>
  <c r="E56" i="39"/>
  <c r="S56" i="39"/>
  <c r="T56" i="39"/>
  <c r="U56" i="39"/>
  <c r="V56" i="39"/>
  <c r="W56" i="39"/>
  <c r="X56" i="39"/>
  <c r="Z56" i="39"/>
  <c r="AA56" i="39"/>
  <c r="AC56" i="39"/>
  <c r="AE56" i="39"/>
  <c r="AF56" i="39"/>
  <c r="AG56" i="39"/>
  <c r="AH56" i="39"/>
  <c r="AI56" i="39"/>
  <c r="AJ56" i="39"/>
  <c r="AN56" i="39"/>
  <c r="AX56" i="39"/>
  <c r="AY56" i="39"/>
  <c r="BA56" i="39"/>
  <c r="BB56" i="39"/>
  <c r="BC56" i="39"/>
  <c r="A57" i="39"/>
  <c r="B57" i="39"/>
  <c r="C57" i="39"/>
  <c r="D57" i="39"/>
  <c r="E57" i="39"/>
  <c r="S57" i="39"/>
  <c r="T57" i="39"/>
  <c r="U57" i="39"/>
  <c r="V57" i="39"/>
  <c r="W57" i="39"/>
  <c r="X57" i="39"/>
  <c r="Z57" i="39"/>
  <c r="AA57" i="39"/>
  <c r="AC57" i="39"/>
  <c r="AE57" i="39"/>
  <c r="AF57" i="39"/>
  <c r="AG57" i="39"/>
  <c r="AH57" i="39"/>
  <c r="AI57" i="39"/>
  <c r="AJ57" i="39"/>
  <c r="AN57" i="39"/>
  <c r="AX57" i="39"/>
  <c r="AY57" i="39"/>
  <c r="BA57" i="39"/>
  <c r="BB57" i="39"/>
  <c r="BC57" i="39"/>
  <c r="A58" i="39"/>
  <c r="B58" i="39"/>
  <c r="C58" i="39"/>
  <c r="D58" i="39"/>
  <c r="E58" i="39"/>
  <c r="S58" i="39"/>
  <c r="T58" i="39"/>
  <c r="U58" i="39"/>
  <c r="V58" i="39"/>
  <c r="W58" i="39"/>
  <c r="X58" i="39"/>
  <c r="Z58" i="39"/>
  <c r="AA58" i="39"/>
  <c r="AC58" i="39"/>
  <c r="AE58" i="39"/>
  <c r="AF58" i="39"/>
  <c r="AG58" i="39"/>
  <c r="AH58" i="39"/>
  <c r="AI58" i="39"/>
  <c r="AJ58" i="39"/>
  <c r="AN58" i="39"/>
  <c r="AX58" i="39"/>
  <c r="AY58" i="39"/>
  <c r="BA58" i="39"/>
  <c r="BB58" i="39"/>
  <c r="BC58" i="39"/>
  <c r="A59" i="39"/>
  <c r="B59" i="39"/>
  <c r="C59" i="39"/>
  <c r="D59" i="39"/>
  <c r="E59" i="39"/>
  <c r="S59" i="39"/>
  <c r="T59" i="39"/>
  <c r="U59" i="39"/>
  <c r="V59" i="39"/>
  <c r="W59" i="39"/>
  <c r="X59" i="39"/>
  <c r="Z59" i="39"/>
  <c r="AA59" i="39"/>
  <c r="AC59" i="39"/>
  <c r="AE59" i="39"/>
  <c r="AF59" i="39"/>
  <c r="AG59" i="39"/>
  <c r="AH59" i="39"/>
  <c r="AI59" i="39"/>
  <c r="AJ59" i="39"/>
  <c r="AN59" i="39"/>
  <c r="AX59" i="39"/>
  <c r="AY59" i="39"/>
  <c r="BA59" i="39"/>
  <c r="BB59" i="39"/>
  <c r="BC59" i="39"/>
  <c r="A60" i="39"/>
  <c r="B60" i="39"/>
  <c r="C60" i="39"/>
  <c r="D60" i="39"/>
  <c r="E60" i="39"/>
  <c r="S60" i="39"/>
  <c r="T60" i="39"/>
  <c r="U60" i="39"/>
  <c r="V60" i="39"/>
  <c r="W60" i="39"/>
  <c r="X60" i="39"/>
  <c r="Z60" i="39"/>
  <c r="AA60" i="39"/>
  <c r="AC60" i="39"/>
  <c r="AE60" i="39"/>
  <c r="AF60" i="39"/>
  <c r="AG60" i="39"/>
  <c r="AH60" i="39"/>
  <c r="AI60" i="39"/>
  <c r="AJ60" i="39"/>
  <c r="AN60" i="39"/>
  <c r="AX60" i="39"/>
  <c r="AY60" i="39"/>
  <c r="BA60" i="39"/>
  <c r="BB60" i="39"/>
  <c r="BC60" i="39"/>
  <c r="A61" i="39"/>
  <c r="B61" i="39"/>
  <c r="C61" i="39"/>
  <c r="D61" i="39"/>
  <c r="E61" i="39"/>
  <c r="S61" i="39"/>
  <c r="T61" i="39"/>
  <c r="U61" i="39"/>
  <c r="V61" i="39"/>
  <c r="W61" i="39"/>
  <c r="X61" i="39"/>
  <c r="Z61" i="39"/>
  <c r="AA61" i="39"/>
  <c r="AC61" i="39"/>
  <c r="AE61" i="39"/>
  <c r="AF61" i="39"/>
  <c r="AG61" i="39"/>
  <c r="AH61" i="39"/>
  <c r="AI61" i="39"/>
  <c r="AJ61" i="39"/>
  <c r="AN61" i="39"/>
  <c r="AX61" i="39"/>
  <c r="AY61" i="39"/>
  <c r="BA61" i="39"/>
  <c r="BB61" i="39"/>
  <c r="BC61" i="39"/>
  <c r="A62" i="39"/>
  <c r="B62" i="39"/>
  <c r="C62" i="39"/>
  <c r="D62" i="39"/>
  <c r="E62" i="39"/>
  <c r="S62" i="39"/>
  <c r="T62" i="39"/>
  <c r="U62" i="39"/>
  <c r="V62" i="39"/>
  <c r="W62" i="39"/>
  <c r="X62" i="39"/>
  <c r="Z62" i="39"/>
  <c r="AA62" i="39"/>
  <c r="AC62" i="39"/>
  <c r="AE62" i="39"/>
  <c r="AF62" i="39"/>
  <c r="AG62" i="39"/>
  <c r="AH62" i="39"/>
  <c r="AI62" i="39"/>
  <c r="AJ62" i="39"/>
  <c r="AN62" i="39"/>
  <c r="AX62" i="39"/>
  <c r="AY62" i="39"/>
  <c r="BA62" i="39"/>
  <c r="BB62" i="39"/>
  <c r="BC62" i="39"/>
  <c r="A63" i="39"/>
  <c r="B63" i="39"/>
  <c r="C63" i="39"/>
  <c r="D63" i="39"/>
  <c r="E63" i="39"/>
  <c r="S63" i="39"/>
  <c r="T63" i="39"/>
  <c r="U63" i="39"/>
  <c r="V63" i="39"/>
  <c r="W63" i="39"/>
  <c r="X63" i="39"/>
  <c r="Z63" i="39"/>
  <c r="AA63" i="39"/>
  <c r="AC63" i="39"/>
  <c r="AE63" i="39"/>
  <c r="AF63" i="39"/>
  <c r="AG63" i="39"/>
  <c r="AH63" i="39"/>
  <c r="AI63" i="39"/>
  <c r="AJ63" i="39"/>
  <c r="AN63" i="39"/>
  <c r="AX63" i="39"/>
  <c r="AY63" i="39"/>
  <c r="BA63" i="39"/>
  <c r="BB63" i="39"/>
  <c r="BC63" i="39"/>
  <c r="A64" i="39"/>
  <c r="B64" i="39"/>
  <c r="C64" i="39"/>
  <c r="D64" i="39"/>
  <c r="E64" i="39"/>
  <c r="S64" i="39"/>
  <c r="T64" i="39"/>
  <c r="U64" i="39"/>
  <c r="V64" i="39"/>
  <c r="W64" i="39"/>
  <c r="X64" i="39"/>
  <c r="Z64" i="39"/>
  <c r="AA64" i="39"/>
  <c r="AC64" i="39"/>
  <c r="AE64" i="39"/>
  <c r="AF64" i="39"/>
  <c r="AG64" i="39"/>
  <c r="AH64" i="39"/>
  <c r="AI64" i="39"/>
  <c r="AJ64" i="39"/>
  <c r="AN64" i="39"/>
  <c r="AX64" i="39"/>
  <c r="AY64" i="39"/>
  <c r="BA64" i="39"/>
  <c r="BB64" i="39"/>
  <c r="BC64" i="39"/>
  <c r="A65" i="39"/>
  <c r="B65" i="39"/>
  <c r="C65" i="39"/>
  <c r="D65" i="39"/>
  <c r="E65" i="39"/>
  <c r="S65" i="39"/>
  <c r="T65" i="39"/>
  <c r="U65" i="39"/>
  <c r="V65" i="39"/>
  <c r="W65" i="39"/>
  <c r="X65" i="39"/>
  <c r="Z65" i="39"/>
  <c r="AA65" i="39"/>
  <c r="AC65" i="39"/>
  <c r="AE65" i="39"/>
  <c r="AF65" i="39"/>
  <c r="AG65" i="39"/>
  <c r="AH65" i="39"/>
  <c r="AI65" i="39"/>
  <c r="AJ65" i="39"/>
  <c r="AN65" i="39"/>
  <c r="AX65" i="39"/>
  <c r="AY65" i="39"/>
  <c r="BA65" i="39"/>
  <c r="BB65" i="39"/>
  <c r="BC65" i="39"/>
  <c r="A66" i="39"/>
  <c r="B66" i="39"/>
  <c r="C66" i="39"/>
  <c r="D66" i="39"/>
  <c r="E66" i="39"/>
  <c r="S66" i="39"/>
  <c r="T66" i="39"/>
  <c r="U66" i="39"/>
  <c r="V66" i="39"/>
  <c r="W66" i="39"/>
  <c r="X66" i="39"/>
  <c r="Z66" i="39"/>
  <c r="AA66" i="39"/>
  <c r="AC66" i="39"/>
  <c r="AE66" i="39"/>
  <c r="AF66" i="39"/>
  <c r="AG66" i="39"/>
  <c r="AH66" i="39"/>
  <c r="AI66" i="39"/>
  <c r="AJ66" i="39"/>
  <c r="AN66" i="39"/>
  <c r="AX66" i="39"/>
  <c r="AY66" i="39"/>
  <c r="BA66" i="39"/>
  <c r="BB66" i="39"/>
  <c r="BC66" i="39"/>
  <c r="A67" i="39"/>
  <c r="B67" i="39"/>
  <c r="C67" i="39"/>
  <c r="D67" i="39"/>
  <c r="E67" i="39"/>
  <c r="S67" i="39"/>
  <c r="T67" i="39"/>
  <c r="U67" i="39"/>
  <c r="V67" i="39"/>
  <c r="W67" i="39"/>
  <c r="X67" i="39"/>
  <c r="Z67" i="39"/>
  <c r="AA67" i="39"/>
  <c r="AC67" i="39"/>
  <c r="AE67" i="39"/>
  <c r="AF67" i="39"/>
  <c r="AG67" i="39"/>
  <c r="AH67" i="39"/>
  <c r="AI67" i="39"/>
  <c r="AJ67" i="39"/>
  <c r="AN67" i="39"/>
  <c r="AX67" i="39"/>
  <c r="AY67" i="39"/>
  <c r="BA67" i="39"/>
  <c r="BB67" i="39"/>
  <c r="BC67" i="39"/>
  <c r="A68" i="39"/>
  <c r="B68" i="39"/>
  <c r="C68" i="39"/>
  <c r="D68" i="39"/>
  <c r="E68" i="39"/>
  <c r="S68" i="39"/>
  <c r="T68" i="39"/>
  <c r="U68" i="39"/>
  <c r="V68" i="39"/>
  <c r="W68" i="39"/>
  <c r="X68" i="39"/>
  <c r="Z68" i="39"/>
  <c r="AA68" i="39"/>
  <c r="AC68" i="39"/>
  <c r="AE68" i="39"/>
  <c r="AF68" i="39"/>
  <c r="AG68" i="39"/>
  <c r="AH68" i="39"/>
  <c r="AI68" i="39"/>
  <c r="AJ68" i="39"/>
  <c r="AN68" i="39"/>
  <c r="AX68" i="39"/>
  <c r="AY68" i="39"/>
  <c r="BA68" i="39"/>
  <c r="BB68" i="39"/>
  <c r="BC68" i="39"/>
  <c r="B69" i="39"/>
  <c r="X69" i="39"/>
  <c r="AN69" i="39"/>
  <c r="A73" i="39"/>
  <c r="B73" i="39"/>
  <c r="C73" i="39"/>
  <c r="D73" i="39"/>
  <c r="E73" i="39"/>
  <c r="S73" i="39"/>
  <c r="T73" i="39"/>
  <c r="U73" i="39"/>
  <c r="V73" i="39"/>
  <c r="W73" i="39"/>
  <c r="X73" i="39"/>
  <c r="Z73" i="39"/>
  <c r="AA73" i="39"/>
  <c r="AC73" i="39"/>
  <c r="AG73" i="39"/>
  <c r="AH73" i="39"/>
  <c r="AJ73" i="39"/>
  <c r="AM73" i="39"/>
  <c r="AN73" i="39"/>
  <c r="AO73" i="39"/>
  <c r="AX73" i="39"/>
  <c r="AY73" i="39"/>
  <c r="A74" i="39"/>
  <c r="B74" i="39"/>
  <c r="C74" i="39"/>
  <c r="D74" i="39"/>
  <c r="E74" i="39"/>
  <c r="F74" i="39"/>
  <c r="S74" i="39"/>
  <c r="T74" i="39"/>
  <c r="U74" i="39"/>
  <c r="V74" i="39"/>
  <c r="W74" i="39"/>
  <c r="X74" i="39"/>
  <c r="Z74" i="39"/>
  <c r="AA74" i="39"/>
  <c r="AC74" i="39"/>
  <c r="AG74" i="39"/>
  <c r="AH74" i="39"/>
  <c r="AJ74" i="39"/>
  <c r="AM74" i="39"/>
  <c r="AN74" i="39"/>
  <c r="AO74" i="39"/>
  <c r="AX74" i="39"/>
  <c r="AY74" i="39"/>
  <c r="A75" i="39"/>
  <c r="B75" i="39"/>
  <c r="C75" i="39"/>
  <c r="D75" i="39"/>
  <c r="E75" i="39"/>
  <c r="F75" i="39"/>
  <c r="S75" i="39"/>
  <c r="T75" i="39"/>
  <c r="U75" i="39"/>
  <c r="V75" i="39"/>
  <c r="W75" i="39"/>
  <c r="X75" i="39"/>
  <c r="Z75" i="39"/>
  <c r="AA75" i="39"/>
  <c r="AC75" i="39"/>
  <c r="AG75" i="39"/>
  <c r="AH75" i="39"/>
  <c r="AJ75" i="39"/>
  <c r="AM75" i="39"/>
  <c r="AN75" i="39"/>
  <c r="AO75" i="39"/>
  <c r="AX75" i="39"/>
  <c r="AY75" i="39"/>
  <c r="A76" i="39"/>
  <c r="B76" i="39"/>
  <c r="C76" i="39"/>
  <c r="D76" i="39"/>
  <c r="E76" i="39"/>
  <c r="F76" i="39"/>
  <c r="S76" i="39"/>
  <c r="T76" i="39"/>
  <c r="U76" i="39"/>
  <c r="V76" i="39"/>
  <c r="W76" i="39"/>
  <c r="X76" i="39"/>
  <c r="Z76" i="39"/>
  <c r="AA76" i="39"/>
  <c r="AC76" i="39"/>
  <c r="AG76" i="39"/>
  <c r="AH76" i="39"/>
  <c r="AJ76" i="39"/>
  <c r="AM76" i="39"/>
  <c r="AN76" i="39"/>
  <c r="AO76" i="39"/>
  <c r="AX76" i="39"/>
  <c r="AY76" i="39"/>
  <c r="A77" i="39"/>
  <c r="B77" i="39"/>
  <c r="C77" i="39"/>
  <c r="D77" i="39"/>
  <c r="E77" i="39"/>
  <c r="F77" i="39"/>
  <c r="S77" i="39"/>
  <c r="T77" i="39"/>
  <c r="U77" i="39"/>
  <c r="V77" i="39"/>
  <c r="W77" i="39"/>
  <c r="X77" i="39"/>
  <c r="Z77" i="39"/>
  <c r="AA77" i="39"/>
  <c r="AC77" i="39"/>
  <c r="AG77" i="39"/>
  <c r="AH77" i="39"/>
  <c r="AJ77" i="39"/>
  <c r="AM77" i="39"/>
  <c r="AN77" i="39"/>
  <c r="AO77" i="39"/>
  <c r="AX77" i="39"/>
  <c r="AY77" i="39"/>
  <c r="A78" i="39"/>
  <c r="B78" i="39"/>
  <c r="C78" i="39"/>
  <c r="D78" i="39"/>
  <c r="E78" i="39"/>
  <c r="F78" i="39"/>
  <c r="S78" i="39"/>
  <c r="T78" i="39"/>
  <c r="U78" i="39"/>
  <c r="V78" i="39"/>
  <c r="W78" i="39"/>
  <c r="X78" i="39"/>
  <c r="Z78" i="39"/>
  <c r="AA78" i="39"/>
  <c r="AC78" i="39"/>
  <c r="AG78" i="39"/>
  <c r="AH78" i="39"/>
  <c r="AJ78" i="39"/>
  <c r="AM78" i="39"/>
  <c r="AN78" i="39"/>
  <c r="AO78" i="39"/>
  <c r="AX78" i="39"/>
  <c r="AY78" i="39"/>
  <c r="A79" i="39"/>
  <c r="B79" i="39"/>
  <c r="C79" i="39"/>
  <c r="D79" i="39"/>
  <c r="E79" i="39"/>
  <c r="F79" i="39"/>
  <c r="S79" i="39"/>
  <c r="T79" i="39"/>
  <c r="U79" i="39"/>
  <c r="V79" i="39"/>
  <c r="W79" i="39"/>
  <c r="X79" i="39"/>
  <c r="Z79" i="39"/>
  <c r="AA79" i="39"/>
  <c r="AC79" i="39"/>
  <c r="AG79" i="39"/>
  <c r="AH79" i="39"/>
  <c r="AJ79" i="39"/>
  <c r="AM79" i="39"/>
  <c r="AN79" i="39"/>
  <c r="AO79" i="39"/>
  <c r="AX79" i="39"/>
  <c r="AY79" i="39"/>
  <c r="A80" i="39"/>
  <c r="B80" i="39"/>
  <c r="C80" i="39"/>
  <c r="D80" i="39"/>
  <c r="E80" i="39"/>
  <c r="F80" i="39"/>
  <c r="S80" i="39"/>
  <c r="T80" i="39"/>
  <c r="U80" i="39"/>
  <c r="V80" i="39"/>
  <c r="W80" i="39"/>
  <c r="X80" i="39"/>
  <c r="Z80" i="39"/>
  <c r="AA80" i="39"/>
  <c r="AC80" i="39"/>
  <c r="AG80" i="39"/>
  <c r="AH80" i="39"/>
  <c r="AJ80" i="39"/>
  <c r="AM80" i="39"/>
  <c r="AN80" i="39"/>
  <c r="AO80" i="39"/>
  <c r="AX80" i="39"/>
  <c r="AY80" i="39"/>
  <c r="A81" i="39"/>
  <c r="B81" i="39"/>
  <c r="C81" i="39"/>
  <c r="D81" i="39"/>
  <c r="E81" i="39"/>
  <c r="F81" i="39"/>
  <c r="S81" i="39"/>
  <c r="T81" i="39"/>
  <c r="U81" i="39"/>
  <c r="V81" i="39"/>
  <c r="W81" i="39"/>
  <c r="X81" i="39"/>
  <c r="Z81" i="39"/>
  <c r="AA81" i="39"/>
  <c r="AC81" i="39"/>
  <c r="AG81" i="39"/>
  <c r="AH81" i="39"/>
  <c r="AJ81" i="39"/>
  <c r="AM81" i="39"/>
  <c r="AN81" i="39"/>
  <c r="AO81" i="39"/>
  <c r="AX81" i="39"/>
  <c r="AY81" i="39"/>
  <c r="A82" i="39"/>
  <c r="B82" i="39"/>
  <c r="C82" i="39"/>
  <c r="D82" i="39"/>
  <c r="E82" i="39"/>
  <c r="F82" i="39"/>
  <c r="S82" i="39"/>
  <c r="T82" i="39"/>
  <c r="U82" i="39"/>
  <c r="V82" i="39"/>
  <c r="W82" i="39"/>
  <c r="X82" i="39"/>
  <c r="Z82" i="39"/>
  <c r="AA82" i="39"/>
  <c r="AC82" i="39"/>
  <c r="AG82" i="39"/>
  <c r="AH82" i="39"/>
  <c r="AJ82" i="39"/>
  <c r="AM82" i="39"/>
  <c r="AN82" i="39"/>
  <c r="AO82" i="39"/>
  <c r="AX82" i="39"/>
  <c r="AY82" i="39"/>
  <c r="A83" i="39"/>
  <c r="B83" i="39"/>
  <c r="C83" i="39"/>
  <c r="D83" i="39"/>
  <c r="E83" i="39"/>
  <c r="F83" i="39"/>
  <c r="S83" i="39"/>
  <c r="T83" i="39"/>
  <c r="U83" i="39"/>
  <c r="V83" i="39"/>
  <c r="W83" i="39"/>
  <c r="X83" i="39"/>
  <c r="Z83" i="39"/>
  <c r="AA83" i="39"/>
  <c r="AC83" i="39"/>
  <c r="AG83" i="39"/>
  <c r="AH83" i="39"/>
  <c r="AJ83" i="39"/>
  <c r="AM83" i="39"/>
  <c r="AN83" i="39"/>
  <c r="AO83" i="39"/>
  <c r="AX83" i="39"/>
  <c r="AY83" i="39"/>
  <c r="A84" i="39"/>
  <c r="B84" i="39"/>
  <c r="C84" i="39"/>
  <c r="D84" i="39"/>
  <c r="E84" i="39"/>
  <c r="F84" i="39"/>
  <c r="S84" i="39"/>
  <c r="T84" i="39"/>
  <c r="U84" i="39"/>
  <c r="V84" i="39"/>
  <c r="W84" i="39"/>
  <c r="X84" i="39"/>
  <c r="Z84" i="39"/>
  <c r="AA84" i="39"/>
  <c r="AC84" i="39"/>
  <c r="AG84" i="39"/>
  <c r="AH84" i="39"/>
  <c r="AJ84" i="39"/>
  <c r="AM84" i="39"/>
  <c r="AN84" i="39"/>
  <c r="AO84" i="39"/>
  <c r="AX84" i="39"/>
  <c r="AY84" i="39"/>
  <c r="A85" i="39"/>
  <c r="B85" i="39"/>
  <c r="C85" i="39"/>
  <c r="D85" i="39"/>
  <c r="E85" i="39"/>
  <c r="F85" i="39"/>
  <c r="S85" i="39"/>
  <c r="T85" i="39"/>
  <c r="U85" i="39"/>
  <c r="V85" i="39"/>
  <c r="W85" i="39"/>
  <c r="X85" i="39"/>
  <c r="Z85" i="39"/>
  <c r="AA85" i="39"/>
  <c r="AC85" i="39"/>
  <c r="AG85" i="39"/>
  <c r="AH85" i="39"/>
  <c r="AJ85" i="39"/>
  <c r="AM85" i="39"/>
  <c r="AN85" i="39"/>
  <c r="AO85" i="39"/>
  <c r="AX85" i="39"/>
  <c r="AY85" i="39"/>
  <c r="A86" i="39"/>
  <c r="B86" i="39"/>
  <c r="C86" i="39"/>
  <c r="D86" i="39"/>
  <c r="E86" i="39"/>
  <c r="F86" i="39"/>
  <c r="S86" i="39"/>
  <c r="T86" i="39"/>
  <c r="U86" i="39"/>
  <c r="V86" i="39"/>
  <c r="W86" i="39"/>
  <c r="X86" i="39"/>
  <c r="Z86" i="39"/>
  <c r="AA86" i="39"/>
  <c r="AC86" i="39"/>
  <c r="AG86" i="39"/>
  <c r="AH86" i="39"/>
  <c r="AJ86" i="39"/>
  <c r="AM86" i="39"/>
  <c r="AN86" i="39"/>
  <c r="AO86" i="39"/>
  <c r="AX86" i="39"/>
  <c r="AY86" i="39"/>
  <c r="A87" i="39"/>
  <c r="B87" i="39"/>
  <c r="C87" i="39"/>
  <c r="D87" i="39"/>
  <c r="E87" i="39"/>
  <c r="F87" i="39"/>
  <c r="S87" i="39"/>
  <c r="T87" i="39"/>
  <c r="U87" i="39"/>
  <c r="V87" i="39"/>
  <c r="W87" i="39"/>
  <c r="X87" i="39"/>
  <c r="Z87" i="39"/>
  <c r="AA87" i="39"/>
  <c r="AC87" i="39"/>
  <c r="AG87" i="39"/>
  <c r="AH87" i="39"/>
  <c r="AJ87" i="39"/>
  <c r="AM87" i="39"/>
  <c r="AN87" i="39"/>
  <c r="AO87" i="39"/>
  <c r="AX87" i="39"/>
  <c r="AY87" i="39"/>
  <c r="A88" i="39"/>
  <c r="B88" i="39"/>
  <c r="C88" i="39"/>
  <c r="D88" i="39"/>
  <c r="E88" i="39"/>
  <c r="F88" i="39"/>
  <c r="S88" i="39"/>
  <c r="T88" i="39"/>
  <c r="U88" i="39"/>
  <c r="V88" i="39"/>
  <c r="W88" i="39"/>
  <c r="X88" i="39"/>
  <c r="Z88" i="39"/>
  <c r="AA88" i="39"/>
  <c r="AC88" i="39"/>
  <c r="AG88" i="39"/>
  <c r="AH88" i="39"/>
  <c r="AJ88" i="39"/>
  <c r="AM88" i="39"/>
  <c r="AN88" i="39"/>
  <c r="AO88" i="39"/>
  <c r="AX88" i="39"/>
  <c r="AY88" i="39"/>
  <c r="A89" i="39"/>
  <c r="B89" i="39"/>
  <c r="C89" i="39"/>
  <c r="D89" i="39"/>
  <c r="E89" i="39"/>
  <c r="F89" i="39"/>
  <c r="S89" i="39"/>
  <c r="T89" i="39"/>
  <c r="U89" i="39"/>
  <c r="V89" i="39"/>
  <c r="W89" i="39"/>
  <c r="X89" i="39"/>
  <c r="Z89" i="39"/>
  <c r="AA89" i="39"/>
  <c r="AC89" i="39"/>
  <c r="AG89" i="39"/>
  <c r="AH89" i="39"/>
  <c r="AJ89" i="39"/>
  <c r="AM89" i="39"/>
  <c r="AN89" i="39"/>
  <c r="AO89" i="39"/>
  <c r="AX89" i="39"/>
  <c r="AY89" i="39"/>
  <c r="A90" i="39"/>
  <c r="B90" i="39"/>
  <c r="C90" i="39"/>
  <c r="D90" i="39"/>
  <c r="E90" i="39"/>
  <c r="F90" i="39"/>
  <c r="S90" i="39"/>
  <c r="T90" i="39"/>
  <c r="U90" i="39"/>
  <c r="V90" i="39"/>
  <c r="W90" i="39"/>
  <c r="X90" i="39"/>
  <c r="Z90" i="39"/>
  <c r="AA90" i="39"/>
  <c r="AC90" i="39"/>
  <c r="AG90" i="39"/>
  <c r="AH90" i="39"/>
  <c r="AJ90" i="39"/>
  <c r="AM90" i="39"/>
  <c r="AN90" i="39"/>
  <c r="AO90" i="39"/>
  <c r="AX90" i="39"/>
  <c r="AY90" i="39"/>
  <c r="A91" i="39"/>
  <c r="B91" i="39"/>
  <c r="C91" i="39"/>
  <c r="D91" i="39"/>
  <c r="E91" i="39"/>
  <c r="F91" i="39"/>
  <c r="S91" i="39"/>
  <c r="T91" i="39"/>
  <c r="U91" i="39"/>
  <c r="V91" i="39"/>
  <c r="W91" i="39"/>
  <c r="X91" i="39"/>
  <c r="Z91" i="39"/>
  <c r="AA91" i="39"/>
  <c r="AC91" i="39"/>
  <c r="AG91" i="39"/>
  <c r="AH91" i="39"/>
  <c r="AJ91" i="39"/>
  <c r="AM91" i="39"/>
  <c r="AN91" i="39"/>
  <c r="AO91" i="39"/>
  <c r="AX91" i="39"/>
  <c r="AY91" i="39"/>
  <c r="A92" i="39"/>
  <c r="B92" i="39"/>
  <c r="C92" i="39"/>
  <c r="D92" i="39"/>
  <c r="E92" i="39"/>
  <c r="F92" i="39"/>
  <c r="S92" i="39"/>
  <c r="T92" i="39"/>
  <c r="U92" i="39"/>
  <c r="V92" i="39"/>
  <c r="W92" i="39"/>
  <c r="X92" i="39"/>
  <c r="Z92" i="39"/>
  <c r="AA92" i="39"/>
  <c r="AC92" i="39"/>
  <c r="AG92" i="39"/>
  <c r="AH92" i="39"/>
  <c r="AJ92" i="39"/>
  <c r="AM92" i="39"/>
  <c r="AN92" i="39"/>
  <c r="AO92" i="39"/>
  <c r="AX92" i="39"/>
  <c r="AY92" i="39"/>
  <c r="A93" i="39"/>
  <c r="B93" i="39"/>
  <c r="C93" i="39"/>
  <c r="D93" i="39"/>
  <c r="E93" i="39"/>
  <c r="F93" i="39"/>
  <c r="S93" i="39"/>
  <c r="T93" i="39"/>
  <c r="U93" i="39"/>
  <c r="V93" i="39"/>
  <c r="W93" i="39"/>
  <c r="X93" i="39"/>
  <c r="Z93" i="39"/>
  <c r="AA93" i="39"/>
  <c r="AC93" i="39"/>
  <c r="AG93" i="39"/>
  <c r="AH93" i="39"/>
  <c r="AJ93" i="39"/>
  <c r="AM93" i="39"/>
  <c r="AN93" i="39"/>
  <c r="AO93" i="39"/>
  <c r="AX93" i="39"/>
  <c r="AY93" i="39"/>
  <c r="B94" i="39"/>
  <c r="X94" i="39"/>
  <c r="AN94" i="39"/>
  <c r="A98" i="39"/>
  <c r="B98" i="39"/>
  <c r="C98" i="39"/>
  <c r="D98" i="39"/>
  <c r="E98" i="39"/>
  <c r="S98" i="39"/>
  <c r="T98" i="39"/>
  <c r="U98" i="39"/>
  <c r="V98" i="39"/>
  <c r="W98" i="39"/>
  <c r="X98" i="39"/>
  <c r="Z98" i="39"/>
  <c r="AA98" i="39"/>
  <c r="AC98" i="39"/>
  <c r="AE98" i="39"/>
  <c r="AF98" i="39"/>
  <c r="AG98" i="39"/>
  <c r="AH98" i="39"/>
  <c r="AI98" i="39"/>
  <c r="AJ98" i="39"/>
  <c r="AN98" i="39"/>
  <c r="AO98" i="39"/>
  <c r="AX98" i="39"/>
  <c r="AY98" i="39"/>
  <c r="BA98" i="39"/>
  <c r="A99" i="39"/>
  <c r="B99" i="39"/>
  <c r="C99" i="39"/>
  <c r="D99" i="39"/>
  <c r="E99" i="39"/>
  <c r="F99" i="39"/>
  <c r="S99" i="39"/>
  <c r="T99" i="39"/>
  <c r="U99" i="39"/>
  <c r="V99" i="39"/>
  <c r="W99" i="39"/>
  <c r="X99" i="39"/>
  <c r="Z99" i="39"/>
  <c r="AA99" i="39"/>
  <c r="AC99" i="39"/>
  <c r="AE99" i="39"/>
  <c r="AF99" i="39"/>
  <c r="AG99" i="39"/>
  <c r="AH99" i="39"/>
  <c r="AI99" i="39"/>
  <c r="AJ99" i="39"/>
  <c r="AN99" i="39"/>
  <c r="AO99" i="39"/>
  <c r="AX99" i="39"/>
  <c r="AY99" i="39"/>
  <c r="BA99" i="39"/>
  <c r="A100" i="39"/>
  <c r="B100" i="39"/>
  <c r="C100" i="39"/>
  <c r="D100" i="39"/>
  <c r="E100" i="39"/>
  <c r="F100" i="39"/>
  <c r="S100" i="39"/>
  <c r="T100" i="39"/>
  <c r="U100" i="39"/>
  <c r="V100" i="39"/>
  <c r="W100" i="39"/>
  <c r="X100" i="39"/>
  <c r="Z100" i="39"/>
  <c r="AA100" i="39"/>
  <c r="AC100" i="39"/>
  <c r="AE100" i="39"/>
  <c r="AF100" i="39"/>
  <c r="AG100" i="39"/>
  <c r="AH100" i="39"/>
  <c r="AI100" i="39"/>
  <c r="AJ100" i="39"/>
  <c r="AN100" i="39"/>
  <c r="AO100" i="39"/>
  <c r="AX100" i="39"/>
  <c r="AY100" i="39"/>
  <c r="BA100" i="39"/>
  <c r="A101" i="39"/>
  <c r="B101" i="39"/>
  <c r="C101" i="39"/>
  <c r="D101" i="39"/>
  <c r="E101" i="39"/>
  <c r="F101" i="39"/>
  <c r="S101" i="39"/>
  <c r="T101" i="39"/>
  <c r="U101" i="39"/>
  <c r="V101" i="39"/>
  <c r="W101" i="39"/>
  <c r="X101" i="39"/>
  <c r="Z101" i="39"/>
  <c r="AA101" i="39"/>
  <c r="AC101" i="39"/>
  <c r="AE101" i="39"/>
  <c r="AF101" i="39"/>
  <c r="AG101" i="39"/>
  <c r="AH101" i="39"/>
  <c r="AI101" i="39"/>
  <c r="AJ101" i="39"/>
  <c r="AN101" i="39"/>
  <c r="AO101" i="39"/>
  <c r="AX101" i="39"/>
  <c r="AY101" i="39"/>
  <c r="BA101" i="39"/>
  <c r="A102" i="39"/>
  <c r="B102" i="39"/>
  <c r="C102" i="39"/>
  <c r="D102" i="39"/>
  <c r="E102" i="39"/>
  <c r="F102" i="39"/>
  <c r="S102" i="39"/>
  <c r="T102" i="39"/>
  <c r="U102" i="39"/>
  <c r="V102" i="39"/>
  <c r="W102" i="39"/>
  <c r="X102" i="39"/>
  <c r="Z102" i="39"/>
  <c r="AA102" i="39"/>
  <c r="AC102" i="39"/>
  <c r="AE102" i="39"/>
  <c r="AF102" i="39"/>
  <c r="AG102" i="39"/>
  <c r="AH102" i="39"/>
  <c r="AI102" i="39"/>
  <c r="AJ102" i="39"/>
  <c r="AN102" i="39"/>
  <c r="AO102" i="39"/>
  <c r="AX102" i="39"/>
  <c r="AY102" i="39"/>
  <c r="BA102" i="39"/>
  <c r="A103" i="39"/>
  <c r="B103" i="39"/>
  <c r="C103" i="39"/>
  <c r="D103" i="39"/>
  <c r="E103" i="39"/>
  <c r="F103" i="39"/>
  <c r="S103" i="39"/>
  <c r="T103" i="39"/>
  <c r="U103" i="39"/>
  <c r="V103" i="39"/>
  <c r="W103" i="39"/>
  <c r="X103" i="39"/>
  <c r="Z103" i="39"/>
  <c r="AA103" i="39"/>
  <c r="AC103" i="39"/>
  <c r="AE103" i="39"/>
  <c r="AF103" i="39"/>
  <c r="AG103" i="39"/>
  <c r="AH103" i="39"/>
  <c r="AI103" i="39"/>
  <c r="AJ103" i="39"/>
  <c r="AN103" i="39"/>
  <c r="AO103" i="39"/>
  <c r="AX103" i="39"/>
  <c r="AY103" i="39"/>
  <c r="BA103" i="39"/>
  <c r="A104" i="39"/>
  <c r="B104" i="39"/>
  <c r="C104" i="39"/>
  <c r="D104" i="39"/>
  <c r="E104" i="39"/>
  <c r="F104" i="39"/>
  <c r="S104" i="39"/>
  <c r="T104" i="39"/>
  <c r="U104" i="39"/>
  <c r="V104" i="39"/>
  <c r="W104" i="39"/>
  <c r="X104" i="39"/>
  <c r="Z104" i="39"/>
  <c r="AA104" i="39"/>
  <c r="AC104" i="39"/>
  <c r="AE104" i="39"/>
  <c r="AF104" i="39"/>
  <c r="AG104" i="39"/>
  <c r="AH104" i="39"/>
  <c r="AI104" i="39"/>
  <c r="AJ104" i="39"/>
  <c r="AN104" i="39"/>
  <c r="AO104" i="39"/>
  <c r="AX104" i="39"/>
  <c r="AY104" i="39"/>
  <c r="BA104" i="39"/>
  <c r="A105" i="39"/>
  <c r="B105" i="39"/>
  <c r="C105" i="39"/>
  <c r="D105" i="39"/>
  <c r="E105" i="39"/>
  <c r="F105" i="39"/>
  <c r="S105" i="39"/>
  <c r="T105" i="39"/>
  <c r="U105" i="39"/>
  <c r="V105" i="39"/>
  <c r="W105" i="39"/>
  <c r="X105" i="39"/>
  <c r="Z105" i="39"/>
  <c r="AA105" i="39"/>
  <c r="AC105" i="39"/>
  <c r="AE105" i="39"/>
  <c r="AF105" i="39"/>
  <c r="AG105" i="39"/>
  <c r="AH105" i="39"/>
  <c r="AI105" i="39"/>
  <c r="AJ105" i="39"/>
  <c r="AN105" i="39"/>
  <c r="AO105" i="39"/>
  <c r="AX105" i="39"/>
  <c r="AY105" i="39"/>
  <c r="BA105" i="39"/>
  <c r="A106" i="39"/>
  <c r="B106" i="39"/>
  <c r="C106" i="39"/>
  <c r="D106" i="39"/>
  <c r="E106" i="39"/>
  <c r="F106" i="39"/>
  <c r="S106" i="39"/>
  <c r="T106" i="39"/>
  <c r="U106" i="39"/>
  <c r="V106" i="39"/>
  <c r="W106" i="39"/>
  <c r="X106" i="39"/>
  <c r="Z106" i="39"/>
  <c r="AA106" i="39"/>
  <c r="AC106" i="39"/>
  <c r="AE106" i="39"/>
  <c r="AF106" i="39"/>
  <c r="AG106" i="39"/>
  <c r="AH106" i="39"/>
  <c r="AI106" i="39"/>
  <c r="AJ106" i="39"/>
  <c r="AN106" i="39"/>
  <c r="AO106" i="39"/>
  <c r="AX106" i="39"/>
  <c r="AY106" i="39"/>
  <c r="BA106" i="39"/>
  <c r="A107" i="39"/>
  <c r="B107" i="39"/>
  <c r="C107" i="39"/>
  <c r="D107" i="39"/>
  <c r="E107" i="39"/>
  <c r="F107" i="39"/>
  <c r="S107" i="39"/>
  <c r="T107" i="39"/>
  <c r="U107" i="39"/>
  <c r="V107" i="39"/>
  <c r="W107" i="39"/>
  <c r="X107" i="39"/>
  <c r="Z107" i="39"/>
  <c r="AA107" i="39"/>
  <c r="AC107" i="39"/>
  <c r="AE107" i="39"/>
  <c r="AF107" i="39"/>
  <c r="AG107" i="39"/>
  <c r="AH107" i="39"/>
  <c r="AI107" i="39"/>
  <c r="AJ107" i="39"/>
  <c r="AN107" i="39"/>
  <c r="AO107" i="39"/>
  <c r="AX107" i="39"/>
  <c r="AY107" i="39"/>
  <c r="BA107" i="39"/>
  <c r="A108" i="39"/>
  <c r="B108" i="39"/>
  <c r="C108" i="39"/>
  <c r="D108" i="39"/>
  <c r="E108" i="39"/>
  <c r="F108" i="39"/>
  <c r="S108" i="39"/>
  <c r="T108" i="39"/>
  <c r="U108" i="39"/>
  <c r="V108" i="39"/>
  <c r="W108" i="39"/>
  <c r="X108" i="39"/>
  <c r="Z108" i="39"/>
  <c r="AA108" i="39"/>
  <c r="AC108" i="39"/>
  <c r="AE108" i="39"/>
  <c r="AF108" i="39"/>
  <c r="AG108" i="39"/>
  <c r="AH108" i="39"/>
  <c r="AI108" i="39"/>
  <c r="AJ108" i="39"/>
  <c r="AN108" i="39"/>
  <c r="AO108" i="39"/>
  <c r="AX108" i="39"/>
  <c r="AY108" i="39"/>
  <c r="BA108" i="39"/>
  <c r="A109" i="39"/>
  <c r="B109" i="39"/>
  <c r="C109" i="39"/>
  <c r="D109" i="39"/>
  <c r="E109" i="39"/>
  <c r="F109" i="39"/>
  <c r="S109" i="39"/>
  <c r="T109" i="39"/>
  <c r="U109" i="39"/>
  <c r="V109" i="39"/>
  <c r="W109" i="39"/>
  <c r="X109" i="39"/>
  <c r="Z109" i="39"/>
  <c r="AA109" i="39"/>
  <c r="AC109" i="39"/>
  <c r="AE109" i="39"/>
  <c r="AF109" i="39"/>
  <c r="AG109" i="39"/>
  <c r="AH109" i="39"/>
  <c r="AI109" i="39"/>
  <c r="AJ109" i="39"/>
  <c r="AN109" i="39"/>
  <c r="AO109" i="39"/>
  <c r="AX109" i="39"/>
  <c r="AY109" i="39"/>
  <c r="BA109" i="39"/>
  <c r="A110" i="39"/>
  <c r="B110" i="39"/>
  <c r="C110" i="39"/>
  <c r="D110" i="39"/>
  <c r="E110" i="39"/>
  <c r="F110" i="39"/>
  <c r="S110" i="39"/>
  <c r="T110" i="39"/>
  <c r="U110" i="39"/>
  <c r="V110" i="39"/>
  <c r="W110" i="39"/>
  <c r="X110" i="39"/>
  <c r="Z110" i="39"/>
  <c r="AA110" i="39"/>
  <c r="AC110" i="39"/>
  <c r="AE110" i="39"/>
  <c r="AF110" i="39"/>
  <c r="AG110" i="39"/>
  <c r="AH110" i="39"/>
  <c r="AI110" i="39"/>
  <c r="AJ110" i="39"/>
  <c r="AN110" i="39"/>
  <c r="AO110" i="39"/>
  <c r="AX110" i="39"/>
  <c r="AY110" i="39"/>
  <c r="BA110" i="39"/>
  <c r="A111" i="39"/>
  <c r="B111" i="39"/>
  <c r="C111" i="39"/>
  <c r="D111" i="39"/>
  <c r="E111" i="39"/>
  <c r="F111" i="39"/>
  <c r="S111" i="39"/>
  <c r="T111" i="39"/>
  <c r="U111" i="39"/>
  <c r="V111" i="39"/>
  <c r="W111" i="39"/>
  <c r="X111" i="39"/>
  <c r="Z111" i="39"/>
  <c r="AA111" i="39"/>
  <c r="AC111" i="39"/>
  <c r="AE111" i="39"/>
  <c r="AF111" i="39"/>
  <c r="AG111" i="39"/>
  <c r="AH111" i="39"/>
  <c r="AI111" i="39"/>
  <c r="AJ111" i="39"/>
  <c r="AN111" i="39"/>
  <c r="AO111" i="39"/>
  <c r="AX111" i="39"/>
  <c r="AY111" i="39"/>
  <c r="BA111" i="39"/>
  <c r="A112" i="39"/>
  <c r="B112" i="39"/>
  <c r="C112" i="39"/>
  <c r="D112" i="39"/>
  <c r="E112" i="39"/>
  <c r="F112" i="39"/>
  <c r="S112" i="39"/>
  <c r="T112" i="39"/>
  <c r="U112" i="39"/>
  <c r="V112" i="39"/>
  <c r="W112" i="39"/>
  <c r="X112" i="39"/>
  <c r="Z112" i="39"/>
  <c r="AA112" i="39"/>
  <c r="AC112" i="39"/>
  <c r="AE112" i="39"/>
  <c r="AF112" i="39"/>
  <c r="AG112" i="39"/>
  <c r="AH112" i="39"/>
  <c r="AI112" i="39"/>
  <c r="AJ112" i="39"/>
  <c r="AN112" i="39"/>
  <c r="AO112" i="39"/>
  <c r="AX112" i="39"/>
  <c r="AY112" i="39"/>
  <c r="BA112" i="39"/>
  <c r="A113" i="39"/>
  <c r="B113" i="39"/>
  <c r="C113" i="39"/>
  <c r="D113" i="39"/>
  <c r="E113" i="39"/>
  <c r="F113" i="39"/>
  <c r="S113" i="39"/>
  <c r="T113" i="39"/>
  <c r="U113" i="39"/>
  <c r="V113" i="39"/>
  <c r="W113" i="39"/>
  <c r="X113" i="39"/>
  <c r="Z113" i="39"/>
  <c r="AA113" i="39"/>
  <c r="AC113" i="39"/>
  <c r="AE113" i="39"/>
  <c r="AF113" i="39"/>
  <c r="AG113" i="39"/>
  <c r="AH113" i="39"/>
  <c r="AI113" i="39"/>
  <c r="AJ113" i="39"/>
  <c r="AN113" i="39"/>
  <c r="AO113" i="39"/>
  <c r="AX113" i="39"/>
  <c r="AY113" i="39"/>
  <c r="BA113" i="39"/>
  <c r="A114" i="39"/>
  <c r="B114" i="39"/>
  <c r="C114" i="39"/>
  <c r="D114" i="39"/>
  <c r="E114" i="39"/>
  <c r="F114" i="39"/>
  <c r="S114" i="39"/>
  <c r="T114" i="39"/>
  <c r="U114" i="39"/>
  <c r="V114" i="39"/>
  <c r="W114" i="39"/>
  <c r="X114" i="39"/>
  <c r="Z114" i="39"/>
  <c r="AA114" i="39"/>
  <c r="AC114" i="39"/>
  <c r="AE114" i="39"/>
  <c r="AF114" i="39"/>
  <c r="AG114" i="39"/>
  <c r="AH114" i="39"/>
  <c r="AI114" i="39"/>
  <c r="AJ114" i="39"/>
  <c r="AN114" i="39"/>
  <c r="AO114" i="39"/>
  <c r="AX114" i="39"/>
  <c r="AY114" i="39"/>
  <c r="BA114" i="39"/>
  <c r="A115" i="39"/>
  <c r="B115" i="39"/>
  <c r="C115" i="39"/>
  <c r="D115" i="39"/>
  <c r="E115" i="39"/>
  <c r="F115" i="39"/>
  <c r="S115" i="39"/>
  <c r="T115" i="39"/>
  <c r="U115" i="39"/>
  <c r="V115" i="39"/>
  <c r="W115" i="39"/>
  <c r="X115" i="39"/>
  <c r="Z115" i="39"/>
  <c r="AA115" i="39"/>
  <c r="AC115" i="39"/>
  <c r="AE115" i="39"/>
  <c r="AF115" i="39"/>
  <c r="AG115" i="39"/>
  <c r="AH115" i="39"/>
  <c r="AI115" i="39"/>
  <c r="AJ115" i="39"/>
  <c r="AN115" i="39"/>
  <c r="AO115" i="39"/>
  <c r="AX115" i="39"/>
  <c r="AY115" i="39"/>
  <c r="BA115" i="39"/>
  <c r="A116" i="39"/>
  <c r="B116" i="39"/>
  <c r="C116" i="39"/>
  <c r="D116" i="39"/>
  <c r="E116" i="39"/>
  <c r="F116" i="39"/>
  <c r="S116" i="39"/>
  <c r="T116" i="39"/>
  <c r="U116" i="39"/>
  <c r="V116" i="39"/>
  <c r="W116" i="39"/>
  <c r="X116" i="39"/>
  <c r="Z116" i="39"/>
  <c r="AA116" i="39"/>
  <c r="AC116" i="39"/>
  <c r="AE116" i="39"/>
  <c r="AF116" i="39"/>
  <c r="AG116" i="39"/>
  <c r="AH116" i="39"/>
  <c r="AI116" i="39"/>
  <c r="AJ116" i="39"/>
  <c r="AN116" i="39"/>
  <c r="AO116" i="39"/>
  <c r="AX116" i="39"/>
  <c r="AY116" i="39"/>
  <c r="BA116" i="39"/>
  <c r="A117" i="39"/>
  <c r="B117" i="39"/>
  <c r="C117" i="39"/>
  <c r="D117" i="39"/>
  <c r="E117" i="39"/>
  <c r="F117" i="39"/>
  <c r="S117" i="39"/>
  <c r="T117" i="39"/>
  <c r="U117" i="39"/>
  <c r="V117" i="39"/>
  <c r="W117" i="39"/>
  <c r="X117" i="39"/>
  <c r="Z117" i="39"/>
  <c r="AA117" i="39"/>
  <c r="AC117" i="39"/>
  <c r="AE117" i="39"/>
  <c r="AF117" i="39"/>
  <c r="AG117" i="39"/>
  <c r="AH117" i="39"/>
  <c r="AI117" i="39"/>
  <c r="AJ117" i="39"/>
  <c r="AN117" i="39"/>
  <c r="AO117" i="39"/>
  <c r="AX117" i="39"/>
  <c r="AY117" i="39"/>
  <c r="BA117" i="39"/>
  <c r="A118" i="39"/>
  <c r="B118" i="39"/>
  <c r="C118" i="39"/>
  <c r="D118" i="39"/>
  <c r="E118" i="39"/>
  <c r="F118" i="39"/>
  <c r="S118" i="39"/>
  <c r="T118" i="39"/>
  <c r="U118" i="39"/>
  <c r="V118" i="39"/>
  <c r="W118" i="39"/>
  <c r="X118" i="39"/>
  <c r="Z118" i="39"/>
  <c r="AA118" i="39"/>
  <c r="AC118" i="39"/>
  <c r="AE118" i="39"/>
  <c r="AF118" i="39"/>
  <c r="AG118" i="39"/>
  <c r="AH118" i="39"/>
  <c r="AI118" i="39"/>
  <c r="AJ118" i="39"/>
  <c r="AN118" i="39"/>
  <c r="AO118" i="39"/>
  <c r="AX118" i="39"/>
  <c r="AY118" i="39"/>
  <c r="BA118" i="39"/>
  <c r="B119" i="39"/>
  <c r="X119" i="39"/>
  <c r="AN119" i="39"/>
  <c r="A123" i="39"/>
  <c r="B123" i="39"/>
  <c r="C123" i="39"/>
  <c r="D123" i="39"/>
  <c r="E123" i="39"/>
  <c r="S123" i="39"/>
  <c r="T123" i="39"/>
  <c r="U123" i="39"/>
  <c r="V123" i="39"/>
  <c r="W123" i="39"/>
  <c r="X123" i="39"/>
  <c r="Z123" i="39"/>
  <c r="AA123" i="39"/>
  <c r="AC123" i="39"/>
  <c r="AG123" i="39"/>
  <c r="AH123" i="39"/>
  <c r="AJ123" i="39"/>
  <c r="AM123" i="39"/>
  <c r="AN123" i="39"/>
  <c r="AO123" i="39"/>
  <c r="AX123" i="39"/>
  <c r="AY123" i="39"/>
  <c r="A124" i="39"/>
  <c r="B124" i="39"/>
  <c r="C124" i="39"/>
  <c r="D124" i="39"/>
  <c r="E124" i="39"/>
  <c r="F124" i="39"/>
  <c r="S124" i="39"/>
  <c r="T124" i="39"/>
  <c r="U124" i="39"/>
  <c r="V124" i="39"/>
  <c r="W124" i="39"/>
  <c r="X124" i="39"/>
  <c r="Z124" i="39"/>
  <c r="AA124" i="39"/>
  <c r="AC124" i="39"/>
  <c r="AG124" i="39"/>
  <c r="AH124" i="39"/>
  <c r="AJ124" i="39"/>
  <c r="AM124" i="39"/>
  <c r="AN124" i="39"/>
  <c r="AO124" i="39"/>
  <c r="AX124" i="39"/>
  <c r="AY124" i="39"/>
  <c r="A125" i="39"/>
  <c r="B125" i="39"/>
  <c r="C125" i="39"/>
  <c r="D125" i="39"/>
  <c r="E125" i="39"/>
  <c r="F125" i="39"/>
  <c r="S125" i="39"/>
  <c r="T125" i="39"/>
  <c r="U125" i="39"/>
  <c r="V125" i="39"/>
  <c r="W125" i="39"/>
  <c r="X125" i="39"/>
  <c r="Z125" i="39"/>
  <c r="AA125" i="39"/>
  <c r="AC125" i="39"/>
  <c r="AG125" i="39"/>
  <c r="AH125" i="39"/>
  <c r="AJ125" i="39"/>
  <c r="AM125" i="39"/>
  <c r="AN125" i="39"/>
  <c r="AO125" i="39"/>
  <c r="AX125" i="39"/>
  <c r="AY125" i="39"/>
  <c r="A126" i="39"/>
  <c r="B126" i="39"/>
  <c r="C126" i="39"/>
  <c r="D126" i="39"/>
  <c r="E126" i="39"/>
  <c r="F126" i="39"/>
  <c r="S126" i="39"/>
  <c r="T126" i="39"/>
  <c r="U126" i="39"/>
  <c r="V126" i="39"/>
  <c r="W126" i="39"/>
  <c r="X126" i="39"/>
  <c r="Z126" i="39"/>
  <c r="AA126" i="39"/>
  <c r="AC126" i="39"/>
  <c r="AG126" i="39"/>
  <c r="AH126" i="39"/>
  <c r="AJ126" i="39"/>
  <c r="AM126" i="39"/>
  <c r="AN126" i="39"/>
  <c r="AO126" i="39"/>
  <c r="AX126" i="39"/>
  <c r="AY126" i="39"/>
  <c r="A127" i="39"/>
  <c r="B127" i="39"/>
  <c r="C127" i="39"/>
  <c r="D127" i="39"/>
  <c r="E127" i="39"/>
  <c r="F127" i="39"/>
  <c r="S127" i="39"/>
  <c r="T127" i="39"/>
  <c r="U127" i="39"/>
  <c r="V127" i="39"/>
  <c r="W127" i="39"/>
  <c r="X127" i="39"/>
  <c r="Z127" i="39"/>
  <c r="AA127" i="39"/>
  <c r="AC127" i="39"/>
  <c r="AG127" i="39"/>
  <c r="AH127" i="39"/>
  <c r="AJ127" i="39"/>
  <c r="AM127" i="39"/>
  <c r="AN127" i="39"/>
  <c r="AO127" i="39"/>
  <c r="AX127" i="39"/>
  <c r="AY127" i="39"/>
  <c r="A128" i="39"/>
  <c r="B128" i="39"/>
  <c r="C128" i="39"/>
  <c r="D128" i="39"/>
  <c r="E128" i="39"/>
  <c r="F128" i="39"/>
  <c r="S128" i="39"/>
  <c r="T128" i="39"/>
  <c r="U128" i="39"/>
  <c r="V128" i="39"/>
  <c r="W128" i="39"/>
  <c r="X128" i="39"/>
  <c r="Z128" i="39"/>
  <c r="AA128" i="39"/>
  <c r="AC128" i="39"/>
  <c r="AG128" i="39"/>
  <c r="AH128" i="39"/>
  <c r="AJ128" i="39"/>
  <c r="AM128" i="39"/>
  <c r="AN128" i="39"/>
  <c r="AO128" i="39"/>
  <c r="AX128" i="39"/>
  <c r="AY128" i="39"/>
  <c r="A129" i="39"/>
  <c r="B129" i="39"/>
  <c r="C129" i="39"/>
  <c r="D129" i="39"/>
  <c r="E129" i="39"/>
  <c r="F129" i="39"/>
  <c r="S129" i="39"/>
  <c r="T129" i="39"/>
  <c r="U129" i="39"/>
  <c r="V129" i="39"/>
  <c r="W129" i="39"/>
  <c r="X129" i="39"/>
  <c r="Z129" i="39"/>
  <c r="AA129" i="39"/>
  <c r="AC129" i="39"/>
  <c r="AG129" i="39"/>
  <c r="AH129" i="39"/>
  <c r="AJ129" i="39"/>
  <c r="AM129" i="39"/>
  <c r="AN129" i="39"/>
  <c r="AO129" i="39"/>
  <c r="AX129" i="39"/>
  <c r="AY129" i="39"/>
  <c r="A130" i="39"/>
  <c r="B130" i="39"/>
  <c r="C130" i="39"/>
  <c r="D130" i="39"/>
  <c r="E130" i="39"/>
  <c r="F130" i="39"/>
  <c r="S130" i="39"/>
  <c r="T130" i="39"/>
  <c r="U130" i="39"/>
  <c r="V130" i="39"/>
  <c r="W130" i="39"/>
  <c r="X130" i="39"/>
  <c r="Z130" i="39"/>
  <c r="AA130" i="39"/>
  <c r="AC130" i="39"/>
  <c r="AG130" i="39"/>
  <c r="AH130" i="39"/>
  <c r="AJ130" i="39"/>
  <c r="AM130" i="39"/>
  <c r="AN130" i="39"/>
  <c r="AO130" i="39"/>
  <c r="AX130" i="39"/>
  <c r="AY130" i="39"/>
  <c r="A131" i="39"/>
  <c r="B131" i="39"/>
  <c r="C131" i="39"/>
  <c r="D131" i="39"/>
  <c r="E131" i="39"/>
  <c r="F131" i="39"/>
  <c r="S131" i="39"/>
  <c r="T131" i="39"/>
  <c r="U131" i="39"/>
  <c r="V131" i="39"/>
  <c r="W131" i="39"/>
  <c r="X131" i="39"/>
  <c r="Z131" i="39"/>
  <c r="AA131" i="39"/>
  <c r="AC131" i="39"/>
  <c r="AG131" i="39"/>
  <c r="AH131" i="39"/>
  <c r="AJ131" i="39"/>
  <c r="AM131" i="39"/>
  <c r="AN131" i="39"/>
  <c r="AO131" i="39"/>
  <c r="AX131" i="39"/>
  <c r="AY131" i="39"/>
  <c r="A132" i="39"/>
  <c r="B132" i="39"/>
  <c r="C132" i="39"/>
  <c r="D132" i="39"/>
  <c r="E132" i="39"/>
  <c r="F132" i="39"/>
  <c r="S132" i="39"/>
  <c r="T132" i="39"/>
  <c r="U132" i="39"/>
  <c r="V132" i="39"/>
  <c r="W132" i="39"/>
  <c r="X132" i="39"/>
  <c r="Z132" i="39"/>
  <c r="AA132" i="39"/>
  <c r="AC132" i="39"/>
  <c r="AG132" i="39"/>
  <c r="AH132" i="39"/>
  <c r="AJ132" i="39"/>
  <c r="AM132" i="39"/>
  <c r="AN132" i="39"/>
  <c r="AO132" i="39"/>
  <c r="AX132" i="39"/>
  <c r="AY132" i="39"/>
  <c r="A133" i="39"/>
  <c r="B133" i="39"/>
  <c r="C133" i="39"/>
  <c r="D133" i="39"/>
  <c r="E133" i="39"/>
  <c r="F133" i="39"/>
  <c r="S133" i="39"/>
  <c r="T133" i="39"/>
  <c r="U133" i="39"/>
  <c r="V133" i="39"/>
  <c r="W133" i="39"/>
  <c r="X133" i="39"/>
  <c r="Z133" i="39"/>
  <c r="AA133" i="39"/>
  <c r="AC133" i="39"/>
  <c r="AG133" i="39"/>
  <c r="AH133" i="39"/>
  <c r="AJ133" i="39"/>
  <c r="AM133" i="39"/>
  <c r="AN133" i="39"/>
  <c r="AO133" i="39"/>
  <c r="AX133" i="39"/>
  <c r="AY133" i="39"/>
  <c r="A134" i="39"/>
  <c r="B134" i="39"/>
  <c r="C134" i="39"/>
  <c r="D134" i="39"/>
  <c r="E134" i="39"/>
  <c r="F134" i="39"/>
  <c r="S134" i="39"/>
  <c r="T134" i="39"/>
  <c r="U134" i="39"/>
  <c r="V134" i="39"/>
  <c r="W134" i="39"/>
  <c r="X134" i="39"/>
  <c r="Z134" i="39"/>
  <c r="AA134" i="39"/>
  <c r="AC134" i="39"/>
  <c r="AG134" i="39"/>
  <c r="AH134" i="39"/>
  <c r="AJ134" i="39"/>
  <c r="AM134" i="39"/>
  <c r="AN134" i="39"/>
  <c r="AO134" i="39"/>
  <c r="AX134" i="39"/>
  <c r="AY134" i="39"/>
  <c r="A135" i="39"/>
  <c r="B135" i="39"/>
  <c r="C135" i="39"/>
  <c r="D135" i="39"/>
  <c r="E135" i="39"/>
  <c r="F135" i="39"/>
  <c r="S135" i="39"/>
  <c r="T135" i="39"/>
  <c r="U135" i="39"/>
  <c r="V135" i="39"/>
  <c r="W135" i="39"/>
  <c r="X135" i="39"/>
  <c r="Z135" i="39"/>
  <c r="AA135" i="39"/>
  <c r="AC135" i="39"/>
  <c r="AG135" i="39"/>
  <c r="AH135" i="39"/>
  <c r="AJ135" i="39"/>
  <c r="AM135" i="39"/>
  <c r="AN135" i="39"/>
  <c r="AO135" i="39"/>
  <c r="AX135" i="39"/>
  <c r="AY135" i="39"/>
  <c r="A136" i="39"/>
  <c r="B136" i="39"/>
  <c r="C136" i="39"/>
  <c r="D136" i="39"/>
  <c r="E136" i="39"/>
  <c r="F136" i="39"/>
  <c r="S136" i="39"/>
  <c r="T136" i="39"/>
  <c r="U136" i="39"/>
  <c r="V136" i="39"/>
  <c r="W136" i="39"/>
  <c r="X136" i="39"/>
  <c r="Z136" i="39"/>
  <c r="AA136" i="39"/>
  <c r="AC136" i="39"/>
  <c r="AG136" i="39"/>
  <c r="AH136" i="39"/>
  <c r="AJ136" i="39"/>
  <c r="AM136" i="39"/>
  <c r="AN136" i="39"/>
  <c r="AO136" i="39"/>
  <c r="AX136" i="39"/>
  <c r="AY136" i="39"/>
  <c r="A137" i="39"/>
  <c r="B137" i="39"/>
  <c r="C137" i="39"/>
  <c r="D137" i="39"/>
  <c r="E137" i="39"/>
  <c r="F137" i="39"/>
  <c r="S137" i="39"/>
  <c r="T137" i="39"/>
  <c r="U137" i="39"/>
  <c r="V137" i="39"/>
  <c r="W137" i="39"/>
  <c r="X137" i="39"/>
  <c r="Z137" i="39"/>
  <c r="AA137" i="39"/>
  <c r="AC137" i="39"/>
  <c r="AG137" i="39"/>
  <c r="AH137" i="39"/>
  <c r="AJ137" i="39"/>
  <c r="AM137" i="39"/>
  <c r="AN137" i="39"/>
  <c r="AO137" i="39"/>
  <c r="AX137" i="39"/>
  <c r="AY137" i="39"/>
  <c r="A138" i="39"/>
  <c r="B138" i="39"/>
  <c r="C138" i="39"/>
  <c r="D138" i="39"/>
  <c r="E138" i="39"/>
  <c r="F138" i="39"/>
  <c r="S138" i="39"/>
  <c r="T138" i="39"/>
  <c r="U138" i="39"/>
  <c r="V138" i="39"/>
  <c r="W138" i="39"/>
  <c r="X138" i="39"/>
  <c r="Z138" i="39"/>
  <c r="AA138" i="39"/>
  <c r="AC138" i="39"/>
  <c r="AG138" i="39"/>
  <c r="AH138" i="39"/>
  <c r="AJ138" i="39"/>
  <c r="AM138" i="39"/>
  <c r="AN138" i="39"/>
  <c r="AO138" i="39"/>
  <c r="AX138" i="39"/>
  <c r="AY138" i="39"/>
  <c r="A139" i="39"/>
  <c r="B139" i="39"/>
  <c r="C139" i="39"/>
  <c r="D139" i="39"/>
  <c r="E139" i="39"/>
  <c r="F139" i="39"/>
  <c r="S139" i="39"/>
  <c r="T139" i="39"/>
  <c r="U139" i="39"/>
  <c r="V139" i="39"/>
  <c r="W139" i="39"/>
  <c r="X139" i="39"/>
  <c r="Z139" i="39"/>
  <c r="AA139" i="39"/>
  <c r="AC139" i="39"/>
  <c r="AG139" i="39"/>
  <c r="AH139" i="39"/>
  <c r="AJ139" i="39"/>
  <c r="AM139" i="39"/>
  <c r="AN139" i="39"/>
  <c r="AO139" i="39"/>
  <c r="AX139" i="39"/>
  <c r="AY139" i="39"/>
  <c r="A140" i="39"/>
  <c r="B140" i="39"/>
  <c r="C140" i="39"/>
  <c r="D140" i="39"/>
  <c r="E140" i="39"/>
  <c r="F140" i="39"/>
  <c r="S140" i="39"/>
  <c r="T140" i="39"/>
  <c r="U140" i="39"/>
  <c r="V140" i="39"/>
  <c r="W140" i="39"/>
  <c r="X140" i="39"/>
  <c r="Z140" i="39"/>
  <c r="AA140" i="39"/>
  <c r="AC140" i="39"/>
  <c r="AG140" i="39"/>
  <c r="AH140" i="39"/>
  <c r="AJ140" i="39"/>
  <c r="AM140" i="39"/>
  <c r="AN140" i="39"/>
  <c r="AO140" i="39"/>
  <c r="AX140" i="39"/>
  <c r="AY140" i="39"/>
  <c r="A141" i="39"/>
  <c r="B141" i="39"/>
  <c r="C141" i="39"/>
  <c r="D141" i="39"/>
  <c r="E141" i="39"/>
  <c r="F141" i="39"/>
  <c r="S141" i="39"/>
  <c r="T141" i="39"/>
  <c r="U141" i="39"/>
  <c r="V141" i="39"/>
  <c r="W141" i="39"/>
  <c r="X141" i="39"/>
  <c r="Z141" i="39"/>
  <c r="AA141" i="39"/>
  <c r="AC141" i="39"/>
  <c r="AG141" i="39"/>
  <c r="AH141" i="39"/>
  <c r="AJ141" i="39"/>
  <c r="AM141" i="39"/>
  <c r="AN141" i="39"/>
  <c r="AO141" i="39"/>
  <c r="AX141" i="39"/>
  <c r="AY141" i="39"/>
  <c r="A142" i="39"/>
  <c r="B142" i="39"/>
  <c r="C142" i="39"/>
  <c r="D142" i="39"/>
  <c r="E142" i="39"/>
  <c r="F142" i="39"/>
  <c r="S142" i="39"/>
  <c r="T142" i="39"/>
  <c r="U142" i="39"/>
  <c r="V142" i="39"/>
  <c r="W142" i="39"/>
  <c r="X142" i="39"/>
  <c r="Z142" i="39"/>
  <c r="AA142" i="39"/>
  <c r="AC142" i="39"/>
  <c r="AG142" i="39"/>
  <c r="AH142" i="39"/>
  <c r="AJ142" i="39"/>
  <c r="AM142" i="39"/>
  <c r="AN142" i="39"/>
  <c r="AO142" i="39"/>
  <c r="AX142" i="39"/>
  <c r="AY142" i="39"/>
  <c r="A143" i="39"/>
  <c r="B143" i="39"/>
  <c r="C143" i="39"/>
  <c r="D143" i="39"/>
  <c r="E143" i="39"/>
  <c r="F143" i="39"/>
  <c r="S143" i="39"/>
  <c r="T143" i="39"/>
  <c r="U143" i="39"/>
  <c r="V143" i="39"/>
  <c r="W143" i="39"/>
  <c r="X143" i="39"/>
  <c r="Z143" i="39"/>
  <c r="AA143" i="39"/>
  <c r="AC143" i="39"/>
  <c r="AG143" i="39"/>
  <c r="AH143" i="39"/>
  <c r="AJ143" i="39"/>
  <c r="AM143" i="39"/>
  <c r="AN143" i="39"/>
  <c r="AO143" i="39"/>
  <c r="AX143" i="39"/>
  <c r="AY143" i="39"/>
  <c r="B144" i="39"/>
  <c r="X144" i="39"/>
  <c r="AN144" i="39"/>
  <c r="A148" i="39"/>
  <c r="B148" i="39"/>
  <c r="C148" i="39"/>
  <c r="D148" i="39"/>
  <c r="E148" i="39"/>
  <c r="S148" i="39"/>
  <c r="T148" i="39"/>
  <c r="U148" i="39"/>
  <c r="V148" i="39"/>
  <c r="W148" i="39"/>
  <c r="X148" i="39"/>
  <c r="Z148" i="39"/>
  <c r="AA148" i="39"/>
  <c r="AC148" i="39"/>
  <c r="AE148" i="39"/>
  <c r="AF148" i="39"/>
  <c r="AG148" i="39"/>
  <c r="AH148" i="39"/>
  <c r="AI148" i="39"/>
  <c r="AJ148" i="39"/>
  <c r="AN148" i="39"/>
  <c r="AX148" i="39"/>
  <c r="AY148" i="39"/>
  <c r="BA148" i="39"/>
  <c r="A149" i="39"/>
  <c r="B149" i="39"/>
  <c r="C149" i="39"/>
  <c r="D149" i="39"/>
  <c r="E149" i="39"/>
  <c r="S149" i="39"/>
  <c r="T149" i="39"/>
  <c r="U149" i="39"/>
  <c r="V149" i="39"/>
  <c r="W149" i="39"/>
  <c r="X149" i="39"/>
  <c r="Z149" i="39"/>
  <c r="AA149" i="39"/>
  <c r="AC149" i="39"/>
  <c r="AE149" i="39"/>
  <c r="AF149" i="39"/>
  <c r="AG149" i="39"/>
  <c r="AH149" i="39"/>
  <c r="AI149" i="39"/>
  <c r="AJ149" i="39"/>
  <c r="AN149" i="39"/>
  <c r="AX149" i="39"/>
  <c r="AY149" i="39"/>
  <c r="BA149" i="39"/>
  <c r="A150" i="39"/>
  <c r="B150" i="39"/>
  <c r="C150" i="39"/>
  <c r="D150" i="39"/>
  <c r="E150" i="39"/>
  <c r="S150" i="39"/>
  <c r="T150" i="39"/>
  <c r="U150" i="39"/>
  <c r="V150" i="39"/>
  <c r="W150" i="39"/>
  <c r="X150" i="39"/>
  <c r="Z150" i="39"/>
  <c r="AA150" i="39"/>
  <c r="AC150" i="39"/>
  <c r="AE150" i="39"/>
  <c r="AF150" i="39"/>
  <c r="AG150" i="39"/>
  <c r="AH150" i="39"/>
  <c r="AI150" i="39"/>
  <c r="AJ150" i="39"/>
  <c r="AN150" i="39"/>
  <c r="AX150" i="39"/>
  <c r="AY150" i="39"/>
  <c r="BA150" i="39"/>
  <c r="A151" i="39"/>
  <c r="B151" i="39"/>
  <c r="C151" i="39"/>
  <c r="D151" i="39"/>
  <c r="E151" i="39"/>
  <c r="S151" i="39"/>
  <c r="T151" i="39"/>
  <c r="U151" i="39"/>
  <c r="V151" i="39"/>
  <c r="W151" i="39"/>
  <c r="X151" i="39"/>
  <c r="Z151" i="39"/>
  <c r="AA151" i="39"/>
  <c r="AC151" i="39"/>
  <c r="AE151" i="39"/>
  <c r="AF151" i="39"/>
  <c r="AG151" i="39"/>
  <c r="AH151" i="39"/>
  <c r="AI151" i="39"/>
  <c r="AJ151" i="39"/>
  <c r="AN151" i="39"/>
  <c r="AX151" i="39"/>
  <c r="AY151" i="39"/>
  <c r="BA151" i="39"/>
  <c r="A152" i="39"/>
  <c r="B152" i="39"/>
  <c r="C152" i="39"/>
  <c r="D152" i="39"/>
  <c r="E152" i="39"/>
  <c r="S152" i="39"/>
  <c r="T152" i="39"/>
  <c r="U152" i="39"/>
  <c r="V152" i="39"/>
  <c r="W152" i="39"/>
  <c r="X152" i="39"/>
  <c r="Z152" i="39"/>
  <c r="AA152" i="39"/>
  <c r="AC152" i="39"/>
  <c r="AE152" i="39"/>
  <c r="AF152" i="39"/>
  <c r="AG152" i="39"/>
  <c r="AH152" i="39"/>
  <c r="AI152" i="39"/>
  <c r="AJ152" i="39"/>
  <c r="AN152" i="39"/>
  <c r="AX152" i="39"/>
  <c r="AY152" i="39"/>
  <c r="BA152" i="39"/>
  <c r="A153" i="39"/>
  <c r="B153" i="39"/>
  <c r="C153" i="39"/>
  <c r="D153" i="39"/>
  <c r="E153" i="39"/>
  <c r="S153" i="39"/>
  <c r="T153" i="39"/>
  <c r="U153" i="39"/>
  <c r="V153" i="39"/>
  <c r="W153" i="39"/>
  <c r="X153" i="39"/>
  <c r="Z153" i="39"/>
  <c r="AA153" i="39"/>
  <c r="AC153" i="39"/>
  <c r="AE153" i="39"/>
  <c r="AF153" i="39"/>
  <c r="AG153" i="39"/>
  <c r="AH153" i="39"/>
  <c r="AI153" i="39"/>
  <c r="AJ153" i="39"/>
  <c r="AN153" i="39"/>
  <c r="AX153" i="39"/>
  <c r="AY153" i="39"/>
  <c r="BA153" i="39"/>
  <c r="A154" i="39"/>
  <c r="B154" i="39"/>
  <c r="C154" i="39"/>
  <c r="D154" i="39"/>
  <c r="E154" i="39"/>
  <c r="S154" i="39"/>
  <c r="T154" i="39"/>
  <c r="U154" i="39"/>
  <c r="V154" i="39"/>
  <c r="W154" i="39"/>
  <c r="X154" i="39"/>
  <c r="Z154" i="39"/>
  <c r="AA154" i="39"/>
  <c r="AC154" i="39"/>
  <c r="AE154" i="39"/>
  <c r="AF154" i="39"/>
  <c r="AG154" i="39"/>
  <c r="AH154" i="39"/>
  <c r="AI154" i="39"/>
  <c r="AJ154" i="39"/>
  <c r="AN154" i="39"/>
  <c r="AX154" i="39"/>
  <c r="AY154" i="39"/>
  <c r="BA154" i="39"/>
  <c r="A155" i="39"/>
  <c r="B155" i="39"/>
  <c r="C155" i="39"/>
  <c r="D155" i="39"/>
  <c r="E155" i="39"/>
  <c r="S155" i="39"/>
  <c r="T155" i="39"/>
  <c r="U155" i="39"/>
  <c r="V155" i="39"/>
  <c r="W155" i="39"/>
  <c r="X155" i="39"/>
  <c r="Z155" i="39"/>
  <c r="AA155" i="39"/>
  <c r="AC155" i="39"/>
  <c r="AE155" i="39"/>
  <c r="AF155" i="39"/>
  <c r="AG155" i="39"/>
  <c r="AH155" i="39"/>
  <c r="AI155" i="39"/>
  <c r="AJ155" i="39"/>
  <c r="AN155" i="39"/>
  <c r="AX155" i="39"/>
  <c r="AY155" i="39"/>
  <c r="BA155" i="39"/>
  <c r="A156" i="39"/>
  <c r="B156" i="39"/>
  <c r="C156" i="39"/>
  <c r="D156" i="39"/>
  <c r="E156" i="39"/>
  <c r="S156" i="39"/>
  <c r="T156" i="39"/>
  <c r="U156" i="39"/>
  <c r="V156" i="39"/>
  <c r="W156" i="39"/>
  <c r="X156" i="39"/>
  <c r="Z156" i="39"/>
  <c r="AA156" i="39"/>
  <c r="AC156" i="39"/>
  <c r="AE156" i="39"/>
  <c r="AF156" i="39"/>
  <c r="AG156" i="39"/>
  <c r="AH156" i="39"/>
  <c r="AI156" i="39"/>
  <c r="AJ156" i="39"/>
  <c r="AN156" i="39"/>
  <c r="AX156" i="39"/>
  <c r="AY156" i="39"/>
  <c r="BA156" i="39"/>
  <c r="A157" i="39"/>
  <c r="B157" i="39"/>
  <c r="C157" i="39"/>
  <c r="D157" i="39"/>
  <c r="E157" i="39"/>
  <c r="S157" i="39"/>
  <c r="T157" i="39"/>
  <c r="U157" i="39"/>
  <c r="V157" i="39"/>
  <c r="W157" i="39"/>
  <c r="X157" i="39"/>
  <c r="Z157" i="39"/>
  <c r="AA157" i="39"/>
  <c r="AC157" i="39"/>
  <c r="AE157" i="39"/>
  <c r="AF157" i="39"/>
  <c r="AG157" i="39"/>
  <c r="AH157" i="39"/>
  <c r="AI157" i="39"/>
  <c r="AJ157" i="39"/>
  <c r="AN157" i="39"/>
  <c r="AX157" i="39"/>
  <c r="AY157" i="39"/>
  <c r="BA157" i="39"/>
  <c r="A158" i="39"/>
  <c r="B158" i="39"/>
  <c r="C158" i="39"/>
  <c r="D158" i="39"/>
  <c r="E158" i="39"/>
  <c r="S158" i="39"/>
  <c r="T158" i="39"/>
  <c r="U158" i="39"/>
  <c r="V158" i="39"/>
  <c r="W158" i="39"/>
  <c r="X158" i="39"/>
  <c r="Z158" i="39"/>
  <c r="AA158" i="39"/>
  <c r="AC158" i="39"/>
  <c r="AE158" i="39"/>
  <c r="AF158" i="39"/>
  <c r="AG158" i="39"/>
  <c r="AH158" i="39"/>
  <c r="AI158" i="39"/>
  <c r="AJ158" i="39"/>
  <c r="AN158" i="39"/>
  <c r="AX158" i="39"/>
  <c r="AY158" i="39"/>
  <c r="BA158" i="39"/>
  <c r="A159" i="39"/>
  <c r="B159" i="39"/>
  <c r="C159" i="39"/>
  <c r="D159" i="39"/>
  <c r="E159" i="39"/>
  <c r="S159" i="39"/>
  <c r="T159" i="39"/>
  <c r="U159" i="39"/>
  <c r="V159" i="39"/>
  <c r="W159" i="39"/>
  <c r="X159" i="39"/>
  <c r="Z159" i="39"/>
  <c r="AA159" i="39"/>
  <c r="AC159" i="39"/>
  <c r="AE159" i="39"/>
  <c r="AF159" i="39"/>
  <c r="AG159" i="39"/>
  <c r="AH159" i="39"/>
  <c r="AI159" i="39"/>
  <c r="AJ159" i="39"/>
  <c r="AN159" i="39"/>
  <c r="AX159" i="39"/>
  <c r="AY159" i="39"/>
  <c r="BA159" i="39"/>
  <c r="A160" i="39"/>
  <c r="B160" i="39"/>
  <c r="C160" i="39"/>
  <c r="D160" i="39"/>
  <c r="E160" i="39"/>
  <c r="S160" i="39"/>
  <c r="T160" i="39"/>
  <c r="U160" i="39"/>
  <c r="V160" i="39"/>
  <c r="W160" i="39"/>
  <c r="X160" i="39"/>
  <c r="Z160" i="39"/>
  <c r="AA160" i="39"/>
  <c r="AC160" i="39"/>
  <c r="AE160" i="39"/>
  <c r="AF160" i="39"/>
  <c r="AG160" i="39"/>
  <c r="AH160" i="39"/>
  <c r="AI160" i="39"/>
  <c r="AJ160" i="39"/>
  <c r="AN160" i="39"/>
  <c r="AX160" i="39"/>
  <c r="AY160" i="39"/>
  <c r="BA160" i="39"/>
  <c r="A161" i="39"/>
  <c r="B161" i="39"/>
  <c r="C161" i="39"/>
  <c r="D161" i="39"/>
  <c r="E161" i="39"/>
  <c r="S161" i="39"/>
  <c r="T161" i="39"/>
  <c r="U161" i="39"/>
  <c r="V161" i="39"/>
  <c r="W161" i="39"/>
  <c r="X161" i="39"/>
  <c r="Z161" i="39"/>
  <c r="AA161" i="39"/>
  <c r="AC161" i="39"/>
  <c r="AE161" i="39"/>
  <c r="AF161" i="39"/>
  <c r="AG161" i="39"/>
  <c r="AH161" i="39"/>
  <c r="AI161" i="39"/>
  <c r="AJ161" i="39"/>
  <c r="AN161" i="39"/>
  <c r="AX161" i="39"/>
  <c r="AY161" i="39"/>
  <c r="BA161" i="39"/>
  <c r="A162" i="39"/>
  <c r="B162" i="39"/>
  <c r="C162" i="39"/>
  <c r="D162" i="39"/>
  <c r="E162" i="39"/>
  <c r="S162" i="39"/>
  <c r="T162" i="39"/>
  <c r="U162" i="39"/>
  <c r="V162" i="39"/>
  <c r="W162" i="39"/>
  <c r="X162" i="39"/>
  <c r="Z162" i="39"/>
  <c r="AA162" i="39"/>
  <c r="AC162" i="39"/>
  <c r="AE162" i="39"/>
  <c r="AF162" i="39"/>
  <c r="AG162" i="39"/>
  <c r="AH162" i="39"/>
  <c r="AI162" i="39"/>
  <c r="AJ162" i="39"/>
  <c r="AN162" i="39"/>
  <c r="AX162" i="39"/>
  <c r="AY162" i="39"/>
  <c r="BA162" i="39"/>
  <c r="A163" i="39"/>
  <c r="B163" i="39"/>
  <c r="C163" i="39"/>
  <c r="D163" i="39"/>
  <c r="E163" i="39"/>
  <c r="S163" i="39"/>
  <c r="T163" i="39"/>
  <c r="U163" i="39"/>
  <c r="V163" i="39"/>
  <c r="W163" i="39"/>
  <c r="X163" i="39"/>
  <c r="Z163" i="39"/>
  <c r="AA163" i="39"/>
  <c r="AC163" i="39"/>
  <c r="AE163" i="39"/>
  <c r="AF163" i="39"/>
  <c r="AG163" i="39"/>
  <c r="AH163" i="39"/>
  <c r="AI163" i="39"/>
  <c r="AJ163" i="39"/>
  <c r="AN163" i="39"/>
  <c r="AX163" i="39"/>
  <c r="AY163" i="39"/>
  <c r="BA163" i="39"/>
  <c r="A164" i="39"/>
  <c r="B164" i="39"/>
  <c r="C164" i="39"/>
  <c r="D164" i="39"/>
  <c r="E164" i="39"/>
  <c r="S164" i="39"/>
  <c r="T164" i="39"/>
  <c r="U164" i="39"/>
  <c r="V164" i="39"/>
  <c r="W164" i="39"/>
  <c r="X164" i="39"/>
  <c r="Z164" i="39"/>
  <c r="AA164" i="39"/>
  <c r="AC164" i="39"/>
  <c r="AE164" i="39"/>
  <c r="AF164" i="39"/>
  <c r="AG164" i="39"/>
  <c r="AH164" i="39"/>
  <c r="AI164" i="39"/>
  <c r="AJ164" i="39"/>
  <c r="AN164" i="39"/>
  <c r="AX164" i="39"/>
  <c r="AY164" i="39"/>
  <c r="BA164" i="39"/>
  <c r="A165" i="39"/>
  <c r="B165" i="39"/>
  <c r="C165" i="39"/>
  <c r="D165" i="39"/>
  <c r="E165" i="39"/>
  <c r="S165" i="39"/>
  <c r="T165" i="39"/>
  <c r="U165" i="39"/>
  <c r="V165" i="39"/>
  <c r="W165" i="39"/>
  <c r="X165" i="39"/>
  <c r="Z165" i="39"/>
  <c r="AA165" i="39"/>
  <c r="AC165" i="39"/>
  <c r="AE165" i="39"/>
  <c r="AF165" i="39"/>
  <c r="AG165" i="39"/>
  <c r="AH165" i="39"/>
  <c r="AI165" i="39"/>
  <c r="AJ165" i="39"/>
  <c r="AN165" i="39"/>
  <c r="AX165" i="39"/>
  <c r="AY165" i="39"/>
  <c r="BA165" i="39"/>
  <c r="A166" i="39"/>
  <c r="B166" i="39"/>
  <c r="C166" i="39"/>
  <c r="D166" i="39"/>
  <c r="E166" i="39"/>
  <c r="S166" i="39"/>
  <c r="T166" i="39"/>
  <c r="U166" i="39"/>
  <c r="V166" i="39"/>
  <c r="W166" i="39"/>
  <c r="X166" i="39"/>
  <c r="Z166" i="39"/>
  <c r="AA166" i="39"/>
  <c r="AC166" i="39"/>
  <c r="AE166" i="39"/>
  <c r="AF166" i="39"/>
  <c r="AG166" i="39"/>
  <c r="AH166" i="39"/>
  <c r="AI166" i="39"/>
  <c r="AJ166" i="39"/>
  <c r="AN166" i="39"/>
  <c r="AX166" i="39"/>
  <c r="AY166" i="39"/>
  <c r="BA166" i="39"/>
  <c r="A167" i="39"/>
  <c r="B167" i="39"/>
  <c r="C167" i="39"/>
  <c r="D167" i="39"/>
  <c r="E167" i="39"/>
  <c r="S167" i="39"/>
  <c r="T167" i="39"/>
  <c r="U167" i="39"/>
  <c r="V167" i="39"/>
  <c r="W167" i="39"/>
  <c r="X167" i="39"/>
  <c r="Z167" i="39"/>
  <c r="AA167" i="39"/>
  <c r="AC167" i="39"/>
  <c r="AE167" i="39"/>
  <c r="AF167" i="39"/>
  <c r="AG167" i="39"/>
  <c r="AH167" i="39"/>
  <c r="AI167" i="39"/>
  <c r="AJ167" i="39"/>
  <c r="AN167" i="39"/>
  <c r="AX167" i="39"/>
  <c r="AY167" i="39"/>
  <c r="BA167" i="39"/>
  <c r="A168" i="39"/>
  <c r="B168" i="39"/>
  <c r="C168" i="39"/>
  <c r="D168" i="39"/>
  <c r="E168" i="39"/>
  <c r="S168" i="39"/>
  <c r="T168" i="39"/>
  <c r="U168" i="39"/>
  <c r="V168" i="39"/>
  <c r="W168" i="39"/>
  <c r="X168" i="39"/>
  <c r="Z168" i="39"/>
  <c r="AA168" i="39"/>
  <c r="AC168" i="39"/>
  <c r="AE168" i="39"/>
  <c r="AF168" i="39"/>
  <c r="AG168" i="39"/>
  <c r="AH168" i="39"/>
  <c r="AI168" i="39"/>
  <c r="AJ168" i="39"/>
  <c r="AN168" i="39"/>
  <c r="AX168" i="39"/>
  <c r="AY168" i="39"/>
  <c r="BA168" i="39"/>
  <c r="B169" i="39"/>
  <c r="X169" i="39"/>
  <c r="AN169" i="39"/>
  <c r="A173" i="39"/>
  <c r="B173" i="39"/>
  <c r="C173" i="39"/>
  <c r="D173" i="39"/>
  <c r="E173" i="39"/>
  <c r="S173" i="39"/>
  <c r="T173" i="39"/>
  <c r="U173" i="39"/>
  <c r="V173" i="39"/>
  <c r="W173" i="39"/>
  <c r="X173" i="39"/>
  <c r="Z173" i="39"/>
  <c r="AA173" i="39"/>
  <c r="AC173" i="39"/>
  <c r="AG173" i="39"/>
  <c r="AH173" i="39"/>
  <c r="AJ173" i="39"/>
  <c r="AM173" i="39"/>
  <c r="AN173" i="39"/>
  <c r="AO173" i="39"/>
  <c r="AX173" i="39"/>
  <c r="AY173" i="39"/>
  <c r="A174" i="39"/>
  <c r="B174" i="39"/>
  <c r="C174" i="39"/>
  <c r="D174" i="39"/>
  <c r="E174" i="39"/>
  <c r="F174" i="39"/>
  <c r="S174" i="39"/>
  <c r="T174" i="39"/>
  <c r="U174" i="39"/>
  <c r="V174" i="39"/>
  <c r="W174" i="39"/>
  <c r="X174" i="39"/>
  <c r="Z174" i="39"/>
  <c r="AA174" i="39"/>
  <c r="AC174" i="39"/>
  <c r="AG174" i="39"/>
  <c r="AH174" i="39"/>
  <c r="AJ174" i="39"/>
  <c r="AM174" i="39"/>
  <c r="AN174" i="39"/>
  <c r="AO174" i="39"/>
  <c r="AX174" i="39"/>
  <c r="AY174" i="39"/>
  <c r="A175" i="39"/>
  <c r="B175" i="39"/>
  <c r="C175" i="39"/>
  <c r="D175" i="39"/>
  <c r="E175" i="39"/>
  <c r="F175" i="39"/>
  <c r="S175" i="39"/>
  <c r="T175" i="39"/>
  <c r="U175" i="39"/>
  <c r="V175" i="39"/>
  <c r="W175" i="39"/>
  <c r="X175" i="39"/>
  <c r="Z175" i="39"/>
  <c r="AA175" i="39"/>
  <c r="AC175" i="39"/>
  <c r="AG175" i="39"/>
  <c r="AH175" i="39"/>
  <c r="AJ175" i="39"/>
  <c r="AM175" i="39"/>
  <c r="AN175" i="39"/>
  <c r="AO175" i="39"/>
  <c r="AX175" i="39"/>
  <c r="AY175" i="39"/>
  <c r="A176" i="39"/>
  <c r="B176" i="39"/>
  <c r="C176" i="39"/>
  <c r="D176" i="39"/>
  <c r="E176" i="39"/>
  <c r="F176" i="39"/>
  <c r="S176" i="39"/>
  <c r="T176" i="39"/>
  <c r="U176" i="39"/>
  <c r="V176" i="39"/>
  <c r="W176" i="39"/>
  <c r="X176" i="39"/>
  <c r="Z176" i="39"/>
  <c r="AA176" i="39"/>
  <c r="AC176" i="39"/>
  <c r="AG176" i="39"/>
  <c r="AH176" i="39"/>
  <c r="AJ176" i="39"/>
  <c r="AM176" i="39"/>
  <c r="AN176" i="39"/>
  <c r="AO176" i="39"/>
  <c r="AX176" i="39"/>
  <c r="AY176" i="39"/>
  <c r="A177" i="39"/>
  <c r="B177" i="39"/>
  <c r="C177" i="39"/>
  <c r="D177" i="39"/>
  <c r="E177" i="39"/>
  <c r="F177" i="39"/>
  <c r="S177" i="39"/>
  <c r="T177" i="39"/>
  <c r="U177" i="39"/>
  <c r="V177" i="39"/>
  <c r="W177" i="39"/>
  <c r="X177" i="39"/>
  <c r="Z177" i="39"/>
  <c r="AA177" i="39"/>
  <c r="AC177" i="39"/>
  <c r="AG177" i="39"/>
  <c r="AH177" i="39"/>
  <c r="AJ177" i="39"/>
  <c r="AM177" i="39"/>
  <c r="AN177" i="39"/>
  <c r="AO177" i="39"/>
  <c r="AX177" i="39"/>
  <c r="AY177" i="39"/>
  <c r="A178" i="39"/>
  <c r="B178" i="39"/>
  <c r="C178" i="39"/>
  <c r="D178" i="39"/>
  <c r="E178" i="39"/>
  <c r="F178" i="39"/>
  <c r="S178" i="39"/>
  <c r="T178" i="39"/>
  <c r="U178" i="39"/>
  <c r="V178" i="39"/>
  <c r="W178" i="39"/>
  <c r="X178" i="39"/>
  <c r="Z178" i="39"/>
  <c r="AA178" i="39"/>
  <c r="AC178" i="39"/>
  <c r="AG178" i="39"/>
  <c r="AH178" i="39"/>
  <c r="AJ178" i="39"/>
  <c r="AM178" i="39"/>
  <c r="AN178" i="39"/>
  <c r="AO178" i="39"/>
  <c r="AX178" i="39"/>
  <c r="AY178" i="39"/>
  <c r="A179" i="39"/>
  <c r="B179" i="39"/>
  <c r="C179" i="39"/>
  <c r="D179" i="39"/>
  <c r="E179" i="39"/>
  <c r="F179" i="39"/>
  <c r="S179" i="39"/>
  <c r="T179" i="39"/>
  <c r="U179" i="39"/>
  <c r="V179" i="39"/>
  <c r="W179" i="39"/>
  <c r="X179" i="39"/>
  <c r="Z179" i="39"/>
  <c r="AA179" i="39"/>
  <c r="AC179" i="39"/>
  <c r="AG179" i="39"/>
  <c r="AH179" i="39"/>
  <c r="AJ179" i="39"/>
  <c r="AM179" i="39"/>
  <c r="AN179" i="39"/>
  <c r="AO179" i="39"/>
  <c r="AX179" i="39"/>
  <c r="AY179" i="39"/>
  <c r="A180" i="39"/>
  <c r="B180" i="39"/>
  <c r="C180" i="39"/>
  <c r="D180" i="39"/>
  <c r="E180" i="39"/>
  <c r="F180" i="39"/>
  <c r="S180" i="39"/>
  <c r="T180" i="39"/>
  <c r="U180" i="39"/>
  <c r="V180" i="39"/>
  <c r="W180" i="39"/>
  <c r="X180" i="39"/>
  <c r="Z180" i="39"/>
  <c r="AA180" i="39"/>
  <c r="AC180" i="39"/>
  <c r="AG180" i="39"/>
  <c r="AH180" i="39"/>
  <c r="AJ180" i="39"/>
  <c r="AM180" i="39"/>
  <c r="AN180" i="39"/>
  <c r="AO180" i="39"/>
  <c r="AX180" i="39"/>
  <c r="AY180" i="39"/>
  <c r="A181" i="39"/>
  <c r="B181" i="39"/>
  <c r="C181" i="39"/>
  <c r="D181" i="39"/>
  <c r="E181" i="39"/>
  <c r="F181" i="39"/>
  <c r="S181" i="39"/>
  <c r="T181" i="39"/>
  <c r="U181" i="39"/>
  <c r="V181" i="39"/>
  <c r="W181" i="39"/>
  <c r="X181" i="39"/>
  <c r="Z181" i="39"/>
  <c r="AA181" i="39"/>
  <c r="AC181" i="39"/>
  <c r="AG181" i="39"/>
  <c r="AH181" i="39"/>
  <c r="AJ181" i="39"/>
  <c r="AM181" i="39"/>
  <c r="AN181" i="39"/>
  <c r="AO181" i="39"/>
  <c r="AX181" i="39"/>
  <c r="AY181" i="39"/>
  <c r="A182" i="39"/>
  <c r="B182" i="39"/>
  <c r="C182" i="39"/>
  <c r="D182" i="39"/>
  <c r="E182" i="39"/>
  <c r="F182" i="39"/>
  <c r="S182" i="39"/>
  <c r="T182" i="39"/>
  <c r="U182" i="39"/>
  <c r="V182" i="39"/>
  <c r="W182" i="39"/>
  <c r="X182" i="39"/>
  <c r="Z182" i="39"/>
  <c r="AA182" i="39"/>
  <c r="AC182" i="39"/>
  <c r="AG182" i="39"/>
  <c r="AH182" i="39"/>
  <c r="AJ182" i="39"/>
  <c r="AM182" i="39"/>
  <c r="AN182" i="39"/>
  <c r="AO182" i="39"/>
  <c r="AX182" i="39"/>
  <c r="AY182" i="39"/>
  <c r="A183" i="39"/>
  <c r="B183" i="39"/>
  <c r="C183" i="39"/>
  <c r="D183" i="39"/>
  <c r="E183" i="39"/>
  <c r="F183" i="39"/>
  <c r="S183" i="39"/>
  <c r="T183" i="39"/>
  <c r="U183" i="39"/>
  <c r="V183" i="39"/>
  <c r="W183" i="39"/>
  <c r="X183" i="39"/>
  <c r="Z183" i="39"/>
  <c r="AA183" i="39"/>
  <c r="AC183" i="39"/>
  <c r="AG183" i="39"/>
  <c r="AH183" i="39"/>
  <c r="AJ183" i="39"/>
  <c r="AM183" i="39"/>
  <c r="AN183" i="39"/>
  <c r="AO183" i="39"/>
  <c r="AX183" i="39"/>
  <c r="AY183" i="39"/>
  <c r="A184" i="39"/>
  <c r="B184" i="39"/>
  <c r="C184" i="39"/>
  <c r="D184" i="39"/>
  <c r="E184" i="39"/>
  <c r="F184" i="39"/>
  <c r="S184" i="39"/>
  <c r="T184" i="39"/>
  <c r="U184" i="39"/>
  <c r="V184" i="39"/>
  <c r="W184" i="39"/>
  <c r="X184" i="39"/>
  <c r="Z184" i="39"/>
  <c r="AA184" i="39"/>
  <c r="AC184" i="39"/>
  <c r="AG184" i="39"/>
  <c r="AH184" i="39"/>
  <c r="AJ184" i="39"/>
  <c r="AM184" i="39"/>
  <c r="AN184" i="39"/>
  <c r="AO184" i="39"/>
  <c r="AX184" i="39"/>
  <c r="AY184" i="39"/>
  <c r="A185" i="39"/>
  <c r="B185" i="39"/>
  <c r="C185" i="39"/>
  <c r="D185" i="39"/>
  <c r="E185" i="39"/>
  <c r="F185" i="39"/>
  <c r="S185" i="39"/>
  <c r="T185" i="39"/>
  <c r="U185" i="39"/>
  <c r="V185" i="39"/>
  <c r="W185" i="39"/>
  <c r="X185" i="39"/>
  <c r="Z185" i="39"/>
  <c r="AA185" i="39"/>
  <c r="AC185" i="39"/>
  <c r="AG185" i="39"/>
  <c r="AH185" i="39"/>
  <c r="AJ185" i="39"/>
  <c r="AM185" i="39"/>
  <c r="AN185" i="39"/>
  <c r="AO185" i="39"/>
  <c r="AX185" i="39"/>
  <c r="AY185" i="39"/>
  <c r="A186" i="39"/>
  <c r="B186" i="39"/>
  <c r="C186" i="39"/>
  <c r="D186" i="39"/>
  <c r="E186" i="39"/>
  <c r="F186" i="39"/>
  <c r="S186" i="39"/>
  <c r="T186" i="39"/>
  <c r="U186" i="39"/>
  <c r="V186" i="39"/>
  <c r="W186" i="39"/>
  <c r="X186" i="39"/>
  <c r="Z186" i="39"/>
  <c r="AA186" i="39"/>
  <c r="AC186" i="39"/>
  <c r="AG186" i="39"/>
  <c r="AH186" i="39"/>
  <c r="AJ186" i="39"/>
  <c r="AM186" i="39"/>
  <c r="AN186" i="39"/>
  <c r="AO186" i="39"/>
  <c r="AX186" i="39"/>
  <c r="AY186" i="39"/>
  <c r="A187" i="39"/>
  <c r="B187" i="39"/>
  <c r="C187" i="39"/>
  <c r="D187" i="39"/>
  <c r="E187" i="39"/>
  <c r="F187" i="39"/>
  <c r="S187" i="39"/>
  <c r="T187" i="39"/>
  <c r="U187" i="39"/>
  <c r="V187" i="39"/>
  <c r="W187" i="39"/>
  <c r="X187" i="39"/>
  <c r="Z187" i="39"/>
  <c r="AA187" i="39"/>
  <c r="AC187" i="39"/>
  <c r="AG187" i="39"/>
  <c r="AH187" i="39"/>
  <c r="AJ187" i="39"/>
  <c r="AM187" i="39"/>
  <c r="AN187" i="39"/>
  <c r="AO187" i="39"/>
  <c r="AX187" i="39"/>
  <c r="AY187" i="39"/>
  <c r="A188" i="39"/>
  <c r="B188" i="39"/>
  <c r="C188" i="39"/>
  <c r="D188" i="39"/>
  <c r="E188" i="39"/>
  <c r="F188" i="39"/>
  <c r="S188" i="39"/>
  <c r="T188" i="39"/>
  <c r="U188" i="39"/>
  <c r="V188" i="39"/>
  <c r="W188" i="39"/>
  <c r="X188" i="39"/>
  <c r="Z188" i="39"/>
  <c r="AA188" i="39"/>
  <c r="AC188" i="39"/>
  <c r="AG188" i="39"/>
  <c r="AH188" i="39"/>
  <c r="AJ188" i="39"/>
  <c r="AM188" i="39"/>
  <c r="AN188" i="39"/>
  <c r="AO188" i="39"/>
  <c r="AX188" i="39"/>
  <c r="AY188" i="39"/>
  <c r="A189" i="39"/>
  <c r="B189" i="39"/>
  <c r="C189" i="39"/>
  <c r="D189" i="39"/>
  <c r="E189" i="39"/>
  <c r="F189" i="39"/>
  <c r="S189" i="39"/>
  <c r="T189" i="39"/>
  <c r="U189" i="39"/>
  <c r="V189" i="39"/>
  <c r="W189" i="39"/>
  <c r="X189" i="39"/>
  <c r="Z189" i="39"/>
  <c r="AA189" i="39"/>
  <c r="AC189" i="39"/>
  <c r="AG189" i="39"/>
  <c r="AH189" i="39"/>
  <c r="AJ189" i="39"/>
  <c r="AM189" i="39"/>
  <c r="AN189" i="39"/>
  <c r="AO189" i="39"/>
  <c r="AX189" i="39"/>
  <c r="AY189" i="39"/>
  <c r="A190" i="39"/>
  <c r="B190" i="39"/>
  <c r="C190" i="39"/>
  <c r="D190" i="39"/>
  <c r="E190" i="39"/>
  <c r="F190" i="39"/>
  <c r="S190" i="39"/>
  <c r="T190" i="39"/>
  <c r="U190" i="39"/>
  <c r="V190" i="39"/>
  <c r="W190" i="39"/>
  <c r="X190" i="39"/>
  <c r="Z190" i="39"/>
  <c r="AA190" i="39"/>
  <c r="AC190" i="39"/>
  <c r="AG190" i="39"/>
  <c r="AH190" i="39"/>
  <c r="AJ190" i="39"/>
  <c r="AM190" i="39"/>
  <c r="AN190" i="39"/>
  <c r="AO190" i="39"/>
  <c r="AX190" i="39"/>
  <c r="AY190" i="39"/>
  <c r="A191" i="39"/>
  <c r="B191" i="39"/>
  <c r="C191" i="39"/>
  <c r="D191" i="39"/>
  <c r="E191" i="39"/>
  <c r="F191" i="39"/>
  <c r="S191" i="39"/>
  <c r="T191" i="39"/>
  <c r="U191" i="39"/>
  <c r="V191" i="39"/>
  <c r="W191" i="39"/>
  <c r="X191" i="39"/>
  <c r="Z191" i="39"/>
  <c r="AA191" i="39"/>
  <c r="AC191" i="39"/>
  <c r="AG191" i="39"/>
  <c r="AH191" i="39"/>
  <c r="AJ191" i="39"/>
  <c r="AM191" i="39"/>
  <c r="AN191" i="39"/>
  <c r="AO191" i="39"/>
  <c r="AX191" i="39"/>
  <c r="AY191" i="39"/>
  <c r="A192" i="39"/>
  <c r="B192" i="39"/>
  <c r="C192" i="39"/>
  <c r="D192" i="39"/>
  <c r="E192" i="39"/>
  <c r="F192" i="39"/>
  <c r="S192" i="39"/>
  <c r="T192" i="39"/>
  <c r="U192" i="39"/>
  <c r="V192" i="39"/>
  <c r="W192" i="39"/>
  <c r="X192" i="39"/>
  <c r="Z192" i="39"/>
  <c r="AA192" i="39"/>
  <c r="AC192" i="39"/>
  <c r="AG192" i="39"/>
  <c r="AH192" i="39"/>
  <c r="AJ192" i="39"/>
  <c r="AM192" i="39"/>
  <c r="AN192" i="39"/>
  <c r="AO192" i="39"/>
  <c r="AX192" i="39"/>
  <c r="AY192" i="39"/>
  <c r="A193" i="39"/>
  <c r="B193" i="39"/>
  <c r="C193" i="39"/>
  <c r="D193" i="39"/>
  <c r="E193" i="39"/>
  <c r="F193" i="39"/>
  <c r="S193" i="39"/>
  <c r="T193" i="39"/>
  <c r="U193" i="39"/>
  <c r="V193" i="39"/>
  <c r="W193" i="39"/>
  <c r="X193" i="39"/>
  <c r="Z193" i="39"/>
  <c r="AA193" i="39"/>
  <c r="AC193" i="39"/>
  <c r="AG193" i="39"/>
  <c r="AH193" i="39"/>
  <c r="AJ193" i="39"/>
  <c r="AO193" i="39"/>
  <c r="AX193" i="39"/>
  <c r="AY193" i="39"/>
  <c r="B194" i="39"/>
  <c r="X194" i="39"/>
  <c r="AN194" i="39"/>
  <c r="A195" i="39"/>
  <c r="B195" i="39"/>
  <c r="C195" i="39"/>
  <c r="D195" i="39"/>
  <c r="E195" i="39"/>
  <c r="F195" i="39"/>
  <c r="S195" i="39"/>
  <c r="T195" i="39"/>
  <c r="U195" i="39"/>
  <c r="V195" i="39"/>
  <c r="W195" i="39"/>
  <c r="X195" i="39"/>
  <c r="Z195" i="39"/>
  <c r="AA195" i="39"/>
  <c r="AC195" i="39"/>
  <c r="AG195" i="39"/>
  <c r="AH195" i="39"/>
  <c r="AJ195" i="39"/>
  <c r="AO195" i="39"/>
  <c r="AX195" i="39"/>
  <c r="AY195" i="39"/>
  <c r="C197" i="39"/>
  <c r="G197" i="39"/>
  <c r="C200" i="39"/>
  <c r="C201" i="39"/>
  <c r="G202" i="39"/>
  <c r="A207" i="39"/>
  <c r="D207" i="39"/>
  <c r="S207" i="39"/>
  <c r="T207" i="39"/>
  <c r="U207" i="39"/>
  <c r="V207" i="39"/>
  <c r="W207" i="39"/>
  <c r="X207" i="39"/>
  <c r="Z207" i="39"/>
  <c r="AA207" i="39"/>
  <c r="AC207" i="39"/>
  <c r="AJ207" i="39"/>
  <c r="AM207" i="39"/>
  <c r="AN207" i="39"/>
  <c r="AO207" i="39"/>
  <c r="AX207" i="39"/>
  <c r="AY207" i="39"/>
  <c r="A208" i="39"/>
  <c r="B208" i="39"/>
  <c r="C208" i="39"/>
  <c r="D208" i="39"/>
  <c r="E208" i="39"/>
  <c r="F208" i="39"/>
  <c r="S208" i="39"/>
  <c r="T208" i="39"/>
  <c r="U208" i="39"/>
  <c r="V208" i="39"/>
  <c r="W208" i="39"/>
  <c r="X208" i="39"/>
  <c r="Z208" i="39"/>
  <c r="AA208" i="39"/>
  <c r="AC208" i="39"/>
  <c r="AJ208" i="39"/>
  <c r="AM208" i="39"/>
  <c r="AN208" i="39"/>
  <c r="AO208" i="39"/>
  <c r="AX208" i="39"/>
  <c r="AY208" i="39"/>
  <c r="A209" i="39"/>
  <c r="B209" i="39"/>
  <c r="C209" i="39"/>
  <c r="D209" i="39"/>
  <c r="E209" i="39"/>
  <c r="F209" i="39"/>
  <c r="S209" i="39"/>
  <c r="T209" i="39"/>
  <c r="U209" i="39"/>
  <c r="V209" i="39"/>
  <c r="W209" i="39"/>
  <c r="X209" i="39"/>
  <c r="Z209" i="39"/>
  <c r="AA209" i="39"/>
  <c r="AC209" i="39"/>
  <c r="AJ209" i="39"/>
  <c r="AM209" i="39"/>
  <c r="AN209" i="39"/>
  <c r="AO209" i="39"/>
  <c r="AX209" i="39"/>
  <c r="AY209" i="39"/>
  <c r="A210" i="39"/>
  <c r="B210" i="39"/>
  <c r="C210" i="39"/>
  <c r="D210" i="39"/>
  <c r="E210" i="39"/>
  <c r="F210" i="39"/>
  <c r="S210" i="39"/>
  <c r="T210" i="39"/>
  <c r="U210" i="39"/>
  <c r="V210" i="39"/>
  <c r="W210" i="39"/>
  <c r="X210" i="39"/>
  <c r="Z210" i="39"/>
  <c r="AA210" i="39"/>
  <c r="AC210" i="39"/>
  <c r="AJ210" i="39"/>
  <c r="AM210" i="39"/>
  <c r="AN210" i="39"/>
  <c r="AO210" i="39"/>
  <c r="AX210" i="39"/>
  <c r="AY210" i="39"/>
  <c r="A211" i="39"/>
  <c r="B211" i="39"/>
  <c r="C211" i="39"/>
  <c r="D211" i="39"/>
  <c r="E211" i="39"/>
  <c r="F211" i="39"/>
  <c r="S211" i="39"/>
  <c r="T211" i="39"/>
  <c r="U211" i="39"/>
  <c r="V211" i="39"/>
  <c r="W211" i="39"/>
  <c r="X211" i="39"/>
  <c r="Z211" i="39"/>
  <c r="AA211" i="39"/>
  <c r="AC211" i="39"/>
  <c r="AJ211" i="39"/>
  <c r="AM211" i="39"/>
  <c r="AN211" i="39"/>
  <c r="AO211" i="39"/>
  <c r="AX211" i="39"/>
  <c r="AY211" i="39"/>
  <c r="A212" i="39"/>
  <c r="B212" i="39"/>
  <c r="C212" i="39"/>
  <c r="D212" i="39"/>
  <c r="E212" i="39"/>
  <c r="F212" i="39"/>
  <c r="S212" i="39"/>
  <c r="T212" i="39"/>
  <c r="U212" i="39"/>
  <c r="V212" i="39"/>
  <c r="W212" i="39"/>
  <c r="X212" i="39"/>
  <c r="Z212" i="39"/>
  <c r="AA212" i="39"/>
  <c r="AC212" i="39"/>
  <c r="AJ212" i="39"/>
  <c r="AM212" i="39"/>
  <c r="AN212" i="39"/>
  <c r="AO212" i="39"/>
  <c r="AX212" i="39"/>
  <c r="AY212" i="39"/>
  <c r="A213" i="39"/>
  <c r="B213" i="39"/>
  <c r="C213" i="39"/>
  <c r="D213" i="39"/>
  <c r="E213" i="39"/>
  <c r="F213" i="39"/>
  <c r="S213" i="39"/>
  <c r="T213" i="39"/>
  <c r="U213" i="39"/>
  <c r="V213" i="39"/>
  <c r="W213" i="39"/>
  <c r="X213" i="39"/>
  <c r="Z213" i="39"/>
  <c r="AA213" i="39"/>
  <c r="AC213" i="39"/>
  <c r="AJ213" i="39"/>
  <c r="AM213" i="39"/>
  <c r="AN213" i="39"/>
  <c r="AO213" i="39"/>
  <c r="AX213" i="39"/>
  <c r="AY213" i="39"/>
  <c r="A214" i="39"/>
  <c r="B214" i="39"/>
  <c r="C214" i="39"/>
  <c r="D214" i="39"/>
  <c r="E214" i="39"/>
  <c r="F214" i="39"/>
  <c r="S214" i="39"/>
  <c r="T214" i="39"/>
  <c r="U214" i="39"/>
  <c r="V214" i="39"/>
  <c r="W214" i="39"/>
  <c r="X214" i="39"/>
  <c r="Z214" i="39"/>
  <c r="AA214" i="39"/>
  <c r="AC214" i="39"/>
  <c r="AJ214" i="39"/>
  <c r="AM214" i="39"/>
  <c r="AN214" i="39"/>
  <c r="AO214" i="39"/>
  <c r="AX214" i="39"/>
  <c r="AY214" i="39"/>
  <c r="A215" i="39"/>
  <c r="B215" i="39"/>
  <c r="C215" i="39"/>
  <c r="D215" i="39"/>
  <c r="E215" i="39"/>
  <c r="F215" i="39"/>
  <c r="S215" i="39"/>
  <c r="T215" i="39"/>
  <c r="U215" i="39"/>
  <c r="V215" i="39"/>
  <c r="W215" i="39"/>
  <c r="X215" i="39"/>
  <c r="Z215" i="39"/>
  <c r="AA215" i="39"/>
  <c r="AC215" i="39"/>
  <c r="AJ215" i="39"/>
  <c r="AM215" i="39"/>
  <c r="AN215" i="39"/>
  <c r="AO215" i="39"/>
  <c r="AX215" i="39"/>
  <c r="AY215" i="39"/>
  <c r="A216" i="39"/>
  <c r="B216" i="39"/>
  <c r="C216" i="39"/>
  <c r="D216" i="39"/>
  <c r="E216" i="39"/>
  <c r="F216" i="39"/>
  <c r="S216" i="39"/>
  <c r="T216" i="39"/>
  <c r="U216" i="39"/>
  <c r="V216" i="39"/>
  <c r="W216" i="39"/>
  <c r="X216" i="39"/>
  <c r="Z216" i="39"/>
  <c r="AA216" i="39"/>
  <c r="AC216" i="39"/>
  <c r="AJ216" i="39"/>
  <c r="AM216" i="39"/>
  <c r="AN216" i="39"/>
  <c r="AO216" i="39"/>
  <c r="AX216" i="39"/>
  <c r="AY216" i="39"/>
  <c r="A217" i="39"/>
  <c r="B217" i="39"/>
  <c r="C217" i="39"/>
  <c r="D217" i="39"/>
  <c r="E217" i="39"/>
  <c r="F217" i="39"/>
  <c r="S217" i="39"/>
  <c r="T217" i="39"/>
  <c r="U217" i="39"/>
  <c r="V217" i="39"/>
  <c r="W217" i="39"/>
  <c r="X217" i="39"/>
  <c r="Z217" i="39"/>
  <c r="AA217" i="39"/>
  <c r="AC217" i="39"/>
  <c r="AJ217" i="39"/>
  <c r="AM217" i="39"/>
  <c r="AN217" i="39"/>
  <c r="AO217" i="39"/>
  <c r="AX217" i="39"/>
  <c r="AY217" i="39"/>
  <c r="A218" i="39"/>
  <c r="B218" i="39"/>
  <c r="C218" i="39"/>
  <c r="D218" i="39"/>
  <c r="E218" i="39"/>
  <c r="F218" i="39"/>
  <c r="S218" i="39"/>
  <c r="T218" i="39"/>
  <c r="U218" i="39"/>
  <c r="V218" i="39"/>
  <c r="W218" i="39"/>
  <c r="X218" i="39"/>
  <c r="Z218" i="39"/>
  <c r="AA218" i="39"/>
  <c r="AC218" i="39"/>
  <c r="AJ218" i="39"/>
  <c r="AM218" i="39"/>
  <c r="AN218" i="39"/>
  <c r="AO218" i="39"/>
  <c r="AX218" i="39"/>
  <c r="AY218" i="39"/>
  <c r="A219" i="39"/>
  <c r="B219" i="39"/>
  <c r="C219" i="39"/>
  <c r="D219" i="39"/>
  <c r="E219" i="39"/>
  <c r="F219" i="39"/>
  <c r="S219" i="39"/>
  <c r="T219" i="39"/>
  <c r="U219" i="39"/>
  <c r="V219" i="39"/>
  <c r="W219" i="39"/>
  <c r="X219" i="39"/>
  <c r="Z219" i="39"/>
  <c r="AA219" i="39"/>
  <c r="AC219" i="39"/>
  <c r="AJ219" i="39"/>
  <c r="AM219" i="39"/>
  <c r="AN219" i="39"/>
  <c r="AO219" i="39"/>
  <c r="AX219" i="39"/>
  <c r="AY219" i="39"/>
  <c r="A220" i="39"/>
  <c r="B220" i="39"/>
  <c r="C220" i="39"/>
  <c r="D220" i="39"/>
  <c r="E220" i="39"/>
  <c r="F220" i="39"/>
  <c r="S220" i="39"/>
  <c r="T220" i="39"/>
  <c r="U220" i="39"/>
  <c r="V220" i="39"/>
  <c r="W220" i="39"/>
  <c r="X220" i="39"/>
  <c r="Z220" i="39"/>
  <c r="AA220" i="39"/>
  <c r="AC220" i="39"/>
  <c r="AJ220" i="39"/>
  <c r="AM220" i="39"/>
  <c r="AN220" i="39"/>
  <c r="AO220" i="39"/>
  <c r="AX220" i="39"/>
  <c r="AY220" i="39"/>
  <c r="A221" i="39"/>
  <c r="B221" i="39"/>
  <c r="C221" i="39"/>
  <c r="D221" i="39"/>
  <c r="E221" i="39"/>
  <c r="F221" i="39"/>
  <c r="S221" i="39"/>
  <c r="T221" i="39"/>
  <c r="U221" i="39"/>
  <c r="V221" i="39"/>
  <c r="W221" i="39"/>
  <c r="X221" i="39"/>
  <c r="Z221" i="39"/>
  <c r="AA221" i="39"/>
  <c r="AC221" i="39"/>
  <c r="AJ221" i="39"/>
  <c r="AM221" i="39"/>
  <c r="AN221" i="39"/>
  <c r="AO221" i="39"/>
  <c r="AX221" i="39"/>
  <c r="AY221" i="39"/>
  <c r="A222" i="39"/>
  <c r="B222" i="39"/>
  <c r="C222" i="39"/>
  <c r="D222" i="39"/>
  <c r="E222" i="39"/>
  <c r="F222" i="39"/>
  <c r="S222" i="39"/>
  <c r="T222" i="39"/>
  <c r="U222" i="39"/>
  <c r="V222" i="39"/>
  <c r="W222" i="39"/>
  <c r="X222" i="39"/>
  <c r="Z222" i="39"/>
  <c r="AA222" i="39"/>
  <c r="AC222" i="39"/>
  <c r="AJ222" i="39"/>
  <c r="AM222" i="39"/>
  <c r="AN222" i="39"/>
  <c r="AO222" i="39"/>
  <c r="AX222" i="39"/>
  <c r="AY222" i="39"/>
  <c r="A223" i="39"/>
  <c r="B223" i="39"/>
  <c r="C223" i="39"/>
  <c r="D223" i="39"/>
  <c r="E223" i="39"/>
  <c r="F223" i="39"/>
  <c r="S223" i="39"/>
  <c r="T223" i="39"/>
  <c r="U223" i="39"/>
  <c r="V223" i="39"/>
  <c r="W223" i="39"/>
  <c r="X223" i="39"/>
  <c r="Z223" i="39"/>
  <c r="AA223" i="39"/>
  <c r="AC223" i="39"/>
  <c r="AJ223" i="39"/>
  <c r="AM223" i="39"/>
  <c r="AN223" i="39"/>
  <c r="AO223" i="39"/>
  <c r="AX223" i="39"/>
  <c r="AY223" i="39"/>
  <c r="A224" i="39"/>
  <c r="B224" i="39"/>
  <c r="C224" i="39"/>
  <c r="D224" i="39"/>
  <c r="E224" i="39"/>
  <c r="F224" i="39"/>
  <c r="S224" i="39"/>
  <c r="T224" i="39"/>
  <c r="U224" i="39"/>
  <c r="V224" i="39"/>
  <c r="W224" i="39"/>
  <c r="X224" i="39"/>
  <c r="Z224" i="39"/>
  <c r="AA224" i="39"/>
  <c r="AC224" i="39"/>
  <c r="AJ224" i="39"/>
  <c r="AM224" i="39"/>
  <c r="AN224" i="39"/>
  <c r="AO224" i="39"/>
  <c r="AX224" i="39"/>
  <c r="AY224" i="39"/>
  <c r="A225" i="39"/>
  <c r="B225" i="39"/>
  <c r="C225" i="39"/>
  <c r="D225" i="39"/>
  <c r="E225" i="39"/>
  <c r="F225" i="39"/>
  <c r="S225" i="39"/>
  <c r="T225" i="39"/>
  <c r="U225" i="39"/>
  <c r="V225" i="39"/>
  <c r="W225" i="39"/>
  <c r="X225" i="39"/>
  <c r="Z225" i="39"/>
  <c r="AA225" i="39"/>
  <c r="AC225" i="39"/>
  <c r="AJ225" i="39"/>
  <c r="AM225" i="39"/>
  <c r="AN225" i="39"/>
  <c r="AO225" i="39"/>
  <c r="AX225" i="39"/>
  <c r="AY225" i="39"/>
  <c r="A226" i="39"/>
  <c r="B226" i="39"/>
  <c r="C226" i="39"/>
  <c r="D226" i="39"/>
  <c r="E226" i="39"/>
  <c r="F226" i="39"/>
  <c r="S226" i="39"/>
  <c r="T226" i="39"/>
  <c r="U226" i="39"/>
  <c r="V226" i="39"/>
  <c r="W226" i="39"/>
  <c r="X226" i="39"/>
  <c r="Z226" i="39"/>
  <c r="AA226" i="39"/>
  <c r="AC226" i="39"/>
  <c r="AJ226" i="39"/>
  <c r="AM226" i="39"/>
  <c r="AN226" i="39"/>
  <c r="AO226" i="39"/>
  <c r="AX226" i="39"/>
  <c r="AY226" i="39"/>
  <c r="A227" i="39"/>
  <c r="B227" i="39"/>
  <c r="C227" i="39"/>
  <c r="D227" i="39"/>
  <c r="E227" i="39"/>
  <c r="F227" i="39"/>
  <c r="S227" i="39"/>
  <c r="T227" i="39"/>
  <c r="U227" i="39"/>
  <c r="V227" i="39"/>
  <c r="W227" i="39"/>
  <c r="X227" i="39"/>
  <c r="Z227" i="39"/>
  <c r="AA227" i="39"/>
  <c r="AC227" i="39"/>
  <c r="AJ227" i="39"/>
  <c r="AM227" i="39"/>
  <c r="AN227" i="39"/>
  <c r="AO227" i="39"/>
  <c r="AX227" i="39"/>
  <c r="AY227" i="39"/>
  <c r="A232" i="39"/>
  <c r="B232" i="39"/>
  <c r="C232" i="39"/>
  <c r="D232" i="39"/>
  <c r="E232" i="39"/>
  <c r="S232" i="39"/>
  <c r="T232" i="39"/>
  <c r="U232" i="39"/>
  <c r="V232" i="39"/>
  <c r="W232" i="39"/>
  <c r="X232" i="39"/>
  <c r="Z232" i="39"/>
  <c r="AA232" i="39"/>
  <c r="AC232" i="39"/>
  <c r="AE232" i="39"/>
  <c r="AF232" i="39"/>
  <c r="AI232" i="39"/>
  <c r="AJ232" i="39"/>
  <c r="AN232" i="39"/>
  <c r="AO232" i="39"/>
  <c r="AX232" i="39"/>
  <c r="AY232" i="39"/>
  <c r="A233" i="39"/>
  <c r="B233" i="39"/>
  <c r="C233" i="39"/>
  <c r="D233" i="39"/>
  <c r="E233" i="39"/>
  <c r="F233" i="39"/>
  <c r="S233" i="39"/>
  <c r="T233" i="39"/>
  <c r="U233" i="39"/>
  <c r="V233" i="39"/>
  <c r="W233" i="39"/>
  <c r="X233" i="39"/>
  <c r="Z233" i="39"/>
  <c r="AA233" i="39"/>
  <c r="AC233" i="39"/>
  <c r="AE233" i="39"/>
  <c r="AF233" i="39"/>
  <c r="AI233" i="39"/>
  <c r="AJ233" i="39"/>
  <c r="AN233" i="39"/>
  <c r="AO233" i="39"/>
  <c r="AX233" i="39"/>
  <c r="AY233" i="39"/>
  <c r="A234" i="39"/>
  <c r="B234" i="39"/>
  <c r="C234" i="39"/>
  <c r="D234" i="39"/>
  <c r="E234" i="39"/>
  <c r="F234" i="39"/>
  <c r="S234" i="39"/>
  <c r="T234" i="39"/>
  <c r="U234" i="39"/>
  <c r="V234" i="39"/>
  <c r="W234" i="39"/>
  <c r="X234" i="39"/>
  <c r="Z234" i="39"/>
  <c r="AA234" i="39"/>
  <c r="AC234" i="39"/>
  <c r="AE234" i="39"/>
  <c r="AF234" i="39"/>
  <c r="AI234" i="39"/>
  <c r="AJ234" i="39"/>
  <c r="AN234" i="39"/>
  <c r="AO234" i="39"/>
  <c r="AX234" i="39"/>
  <c r="AY234" i="39"/>
  <c r="A235" i="39"/>
  <c r="B235" i="39"/>
  <c r="C235" i="39"/>
  <c r="D235" i="39"/>
  <c r="E235" i="39"/>
  <c r="F235" i="39"/>
  <c r="S235" i="39"/>
  <c r="T235" i="39"/>
  <c r="U235" i="39"/>
  <c r="V235" i="39"/>
  <c r="W235" i="39"/>
  <c r="X235" i="39"/>
  <c r="Z235" i="39"/>
  <c r="AA235" i="39"/>
  <c r="AC235" i="39"/>
  <c r="AE235" i="39"/>
  <c r="AF235" i="39"/>
  <c r="AI235" i="39"/>
  <c r="AJ235" i="39"/>
  <c r="AN235" i="39"/>
  <c r="AO235" i="39"/>
  <c r="AX235" i="39"/>
  <c r="AY235" i="39"/>
  <c r="A236" i="39"/>
  <c r="B236" i="39"/>
  <c r="C236" i="39"/>
  <c r="D236" i="39"/>
  <c r="E236" i="39"/>
  <c r="F236" i="39"/>
  <c r="S236" i="39"/>
  <c r="T236" i="39"/>
  <c r="U236" i="39"/>
  <c r="V236" i="39"/>
  <c r="W236" i="39"/>
  <c r="X236" i="39"/>
  <c r="Z236" i="39"/>
  <c r="AA236" i="39"/>
  <c r="AC236" i="39"/>
  <c r="AE236" i="39"/>
  <c r="AF236" i="39"/>
  <c r="AI236" i="39"/>
  <c r="AJ236" i="39"/>
  <c r="AN236" i="39"/>
  <c r="AO236" i="39"/>
  <c r="AX236" i="39"/>
  <c r="AY236" i="39"/>
  <c r="A237" i="39"/>
  <c r="B237" i="39"/>
  <c r="C237" i="39"/>
  <c r="D237" i="39"/>
  <c r="E237" i="39"/>
  <c r="F237" i="39"/>
  <c r="S237" i="39"/>
  <c r="T237" i="39"/>
  <c r="U237" i="39"/>
  <c r="V237" i="39"/>
  <c r="W237" i="39"/>
  <c r="X237" i="39"/>
  <c r="Z237" i="39"/>
  <c r="AA237" i="39"/>
  <c r="AC237" i="39"/>
  <c r="AE237" i="39"/>
  <c r="AF237" i="39"/>
  <c r="AI237" i="39"/>
  <c r="AJ237" i="39"/>
  <c r="AN237" i="39"/>
  <c r="AO237" i="39"/>
  <c r="AX237" i="39"/>
  <c r="AY237" i="39"/>
  <c r="A238" i="39"/>
  <c r="B238" i="39"/>
  <c r="C238" i="39"/>
  <c r="D238" i="39"/>
  <c r="E238" i="39"/>
  <c r="F238" i="39"/>
  <c r="S238" i="39"/>
  <c r="T238" i="39"/>
  <c r="U238" i="39"/>
  <c r="V238" i="39"/>
  <c r="W238" i="39"/>
  <c r="X238" i="39"/>
  <c r="Z238" i="39"/>
  <c r="AA238" i="39"/>
  <c r="AC238" i="39"/>
  <c r="AE238" i="39"/>
  <c r="AF238" i="39"/>
  <c r="AI238" i="39"/>
  <c r="AJ238" i="39"/>
  <c r="AN238" i="39"/>
  <c r="AO238" i="39"/>
  <c r="AX238" i="39"/>
  <c r="AY238" i="39"/>
  <c r="A239" i="39"/>
  <c r="B239" i="39"/>
  <c r="C239" i="39"/>
  <c r="D239" i="39"/>
  <c r="E239" i="39"/>
  <c r="F239" i="39"/>
  <c r="S239" i="39"/>
  <c r="T239" i="39"/>
  <c r="U239" i="39"/>
  <c r="V239" i="39"/>
  <c r="W239" i="39"/>
  <c r="X239" i="39"/>
  <c r="Z239" i="39"/>
  <c r="AA239" i="39"/>
  <c r="AC239" i="39"/>
  <c r="AE239" i="39"/>
  <c r="AF239" i="39"/>
  <c r="AI239" i="39"/>
  <c r="AJ239" i="39"/>
  <c r="AN239" i="39"/>
  <c r="AO239" i="39"/>
  <c r="AX239" i="39"/>
  <c r="AY239" i="39"/>
  <c r="A240" i="39"/>
  <c r="B240" i="39"/>
  <c r="C240" i="39"/>
  <c r="D240" i="39"/>
  <c r="E240" i="39"/>
  <c r="F240" i="39"/>
  <c r="S240" i="39"/>
  <c r="T240" i="39"/>
  <c r="U240" i="39"/>
  <c r="V240" i="39"/>
  <c r="W240" i="39"/>
  <c r="X240" i="39"/>
  <c r="Z240" i="39"/>
  <c r="AA240" i="39"/>
  <c r="AC240" i="39"/>
  <c r="AE240" i="39"/>
  <c r="AF240" i="39"/>
  <c r="AI240" i="39"/>
  <c r="AJ240" i="39"/>
  <c r="AN240" i="39"/>
  <c r="AO240" i="39"/>
  <c r="AX240" i="39"/>
  <c r="AY240" i="39"/>
  <c r="A241" i="39"/>
  <c r="B241" i="39"/>
  <c r="C241" i="39"/>
  <c r="D241" i="39"/>
  <c r="E241" i="39"/>
  <c r="F241" i="39"/>
  <c r="S241" i="39"/>
  <c r="T241" i="39"/>
  <c r="U241" i="39"/>
  <c r="V241" i="39"/>
  <c r="W241" i="39"/>
  <c r="X241" i="39"/>
  <c r="Z241" i="39"/>
  <c r="AA241" i="39"/>
  <c r="AC241" i="39"/>
  <c r="AE241" i="39"/>
  <c r="AF241" i="39"/>
  <c r="AI241" i="39"/>
  <c r="AJ241" i="39"/>
  <c r="AN241" i="39"/>
  <c r="AO241" i="39"/>
  <c r="AX241" i="39"/>
  <c r="AY241" i="39"/>
  <c r="A242" i="39"/>
  <c r="B242" i="39"/>
  <c r="C242" i="39"/>
  <c r="D242" i="39"/>
  <c r="E242" i="39"/>
  <c r="F242" i="39"/>
  <c r="S242" i="39"/>
  <c r="T242" i="39"/>
  <c r="U242" i="39"/>
  <c r="V242" i="39"/>
  <c r="W242" i="39"/>
  <c r="X242" i="39"/>
  <c r="Z242" i="39"/>
  <c r="AA242" i="39"/>
  <c r="AC242" i="39"/>
  <c r="AE242" i="39"/>
  <c r="AF242" i="39"/>
  <c r="AI242" i="39"/>
  <c r="AJ242" i="39"/>
  <c r="AN242" i="39"/>
  <c r="AO242" i="39"/>
  <c r="AX242" i="39"/>
  <c r="AY242" i="39"/>
  <c r="A243" i="39"/>
  <c r="B243" i="39"/>
  <c r="C243" i="39"/>
  <c r="D243" i="39"/>
  <c r="E243" i="39"/>
  <c r="F243" i="39"/>
  <c r="S243" i="39"/>
  <c r="T243" i="39"/>
  <c r="U243" i="39"/>
  <c r="V243" i="39"/>
  <c r="W243" i="39"/>
  <c r="X243" i="39"/>
  <c r="Z243" i="39"/>
  <c r="AA243" i="39"/>
  <c r="AC243" i="39"/>
  <c r="AE243" i="39"/>
  <c r="AF243" i="39"/>
  <c r="AI243" i="39"/>
  <c r="AJ243" i="39"/>
  <c r="AN243" i="39"/>
  <c r="AO243" i="39"/>
  <c r="AX243" i="39"/>
  <c r="AY243" i="39"/>
  <c r="A244" i="39"/>
  <c r="B244" i="39"/>
  <c r="C244" i="39"/>
  <c r="D244" i="39"/>
  <c r="E244" i="39"/>
  <c r="F244" i="39"/>
  <c r="S244" i="39"/>
  <c r="T244" i="39"/>
  <c r="U244" i="39"/>
  <c r="V244" i="39"/>
  <c r="W244" i="39"/>
  <c r="X244" i="39"/>
  <c r="Z244" i="39"/>
  <c r="AA244" i="39"/>
  <c r="AC244" i="39"/>
  <c r="AE244" i="39"/>
  <c r="AF244" i="39"/>
  <c r="AI244" i="39"/>
  <c r="AJ244" i="39"/>
  <c r="AN244" i="39"/>
  <c r="AO244" i="39"/>
  <c r="AX244" i="39"/>
  <c r="AY244" i="39"/>
  <c r="A245" i="39"/>
  <c r="B245" i="39"/>
  <c r="C245" i="39"/>
  <c r="D245" i="39"/>
  <c r="E245" i="39"/>
  <c r="F245" i="39"/>
  <c r="S245" i="39"/>
  <c r="T245" i="39"/>
  <c r="U245" i="39"/>
  <c r="V245" i="39"/>
  <c r="W245" i="39"/>
  <c r="X245" i="39"/>
  <c r="Z245" i="39"/>
  <c r="AA245" i="39"/>
  <c r="AC245" i="39"/>
  <c r="AE245" i="39"/>
  <c r="AF245" i="39"/>
  <c r="AI245" i="39"/>
  <c r="AJ245" i="39"/>
  <c r="AN245" i="39"/>
  <c r="AO245" i="39"/>
  <c r="AX245" i="39"/>
  <c r="AY245" i="39"/>
  <c r="A246" i="39"/>
  <c r="B246" i="39"/>
  <c r="C246" i="39"/>
  <c r="D246" i="39"/>
  <c r="E246" i="39"/>
  <c r="F246" i="39"/>
  <c r="S246" i="39"/>
  <c r="T246" i="39"/>
  <c r="U246" i="39"/>
  <c r="V246" i="39"/>
  <c r="W246" i="39"/>
  <c r="X246" i="39"/>
  <c r="Z246" i="39"/>
  <c r="AA246" i="39"/>
  <c r="AC246" i="39"/>
  <c r="AE246" i="39"/>
  <c r="AF246" i="39"/>
  <c r="AI246" i="39"/>
  <c r="AJ246" i="39"/>
  <c r="AN246" i="39"/>
  <c r="AO246" i="39"/>
  <c r="AX246" i="39"/>
  <c r="AY246" i="39"/>
  <c r="A247" i="39"/>
  <c r="B247" i="39"/>
  <c r="C247" i="39"/>
  <c r="D247" i="39"/>
  <c r="E247" i="39"/>
  <c r="F247" i="39"/>
  <c r="S247" i="39"/>
  <c r="T247" i="39"/>
  <c r="U247" i="39"/>
  <c r="V247" i="39"/>
  <c r="W247" i="39"/>
  <c r="X247" i="39"/>
  <c r="Z247" i="39"/>
  <c r="AA247" i="39"/>
  <c r="AC247" i="39"/>
  <c r="AE247" i="39"/>
  <c r="AF247" i="39"/>
  <c r="AI247" i="39"/>
  <c r="AJ247" i="39"/>
  <c r="AN247" i="39"/>
  <c r="AO247" i="39"/>
  <c r="AX247" i="39"/>
  <c r="AY247" i="39"/>
  <c r="A248" i="39"/>
  <c r="B248" i="39"/>
  <c r="C248" i="39"/>
  <c r="D248" i="39"/>
  <c r="E248" i="39"/>
  <c r="F248" i="39"/>
  <c r="S248" i="39"/>
  <c r="T248" i="39"/>
  <c r="U248" i="39"/>
  <c r="V248" i="39"/>
  <c r="W248" i="39"/>
  <c r="X248" i="39"/>
  <c r="Z248" i="39"/>
  <c r="AA248" i="39"/>
  <c r="AC248" i="39"/>
  <c r="AE248" i="39"/>
  <c r="AF248" i="39"/>
  <c r="AI248" i="39"/>
  <c r="AJ248" i="39"/>
  <c r="AN248" i="39"/>
  <c r="AO248" i="39"/>
  <c r="AX248" i="39"/>
  <c r="AY248" i="39"/>
  <c r="A249" i="39"/>
  <c r="B249" i="39"/>
  <c r="C249" i="39"/>
  <c r="D249" i="39"/>
  <c r="E249" i="39"/>
  <c r="F249" i="39"/>
  <c r="S249" i="39"/>
  <c r="T249" i="39"/>
  <c r="U249" i="39"/>
  <c r="V249" i="39"/>
  <c r="W249" i="39"/>
  <c r="X249" i="39"/>
  <c r="Z249" i="39"/>
  <c r="AA249" i="39"/>
  <c r="AC249" i="39"/>
  <c r="AE249" i="39"/>
  <c r="AF249" i="39"/>
  <c r="AI249" i="39"/>
  <c r="AJ249" i="39"/>
  <c r="AN249" i="39"/>
  <c r="AO249" i="39"/>
  <c r="AX249" i="39"/>
  <c r="AY249" i="39"/>
  <c r="A250" i="39"/>
  <c r="B250" i="39"/>
  <c r="C250" i="39"/>
  <c r="D250" i="39"/>
  <c r="E250" i="39"/>
  <c r="F250" i="39"/>
  <c r="S250" i="39"/>
  <c r="T250" i="39"/>
  <c r="U250" i="39"/>
  <c r="V250" i="39"/>
  <c r="W250" i="39"/>
  <c r="X250" i="39"/>
  <c r="Z250" i="39"/>
  <c r="AA250" i="39"/>
  <c r="AC250" i="39"/>
  <c r="AE250" i="39"/>
  <c r="AF250" i="39"/>
  <c r="AI250" i="39"/>
  <c r="AJ250" i="39"/>
  <c r="AN250" i="39"/>
  <c r="AO250" i="39"/>
  <c r="AX250" i="39"/>
  <c r="AY250" i="39"/>
  <c r="A251" i="39"/>
  <c r="B251" i="39"/>
  <c r="C251" i="39"/>
  <c r="D251" i="39"/>
  <c r="E251" i="39"/>
  <c r="F251" i="39"/>
  <c r="S251" i="39"/>
  <c r="T251" i="39"/>
  <c r="U251" i="39"/>
  <c r="V251" i="39"/>
  <c r="W251" i="39"/>
  <c r="X251" i="39"/>
  <c r="Z251" i="39"/>
  <c r="AA251" i="39"/>
  <c r="AC251" i="39"/>
  <c r="AE251" i="39"/>
  <c r="AF251" i="39"/>
  <c r="AI251" i="39"/>
  <c r="AJ251" i="39"/>
  <c r="AN251" i="39"/>
  <c r="AO251" i="39"/>
  <c r="AX251" i="39"/>
  <c r="AY251" i="39"/>
  <c r="A252" i="39"/>
  <c r="B252" i="39"/>
  <c r="C252" i="39"/>
  <c r="D252" i="39"/>
  <c r="E252" i="39"/>
  <c r="F252" i="39"/>
  <c r="S252" i="39"/>
  <c r="T252" i="39"/>
  <c r="U252" i="39"/>
  <c r="V252" i="39"/>
  <c r="W252" i="39"/>
  <c r="X252" i="39"/>
  <c r="Z252" i="39"/>
  <c r="AA252" i="39"/>
  <c r="AC252" i="39"/>
  <c r="AE252" i="39"/>
  <c r="AF252" i="39"/>
  <c r="AI252" i="39"/>
  <c r="AJ252" i="39"/>
  <c r="AN252" i="39"/>
  <c r="AO252" i="39"/>
  <c r="AX252" i="39"/>
  <c r="AY252" i="39"/>
  <c r="G257" i="39"/>
  <c r="H257" i="39"/>
  <c r="K257" i="39"/>
  <c r="G258" i="39"/>
  <c r="H258" i="39"/>
  <c r="I258" i="39"/>
  <c r="J258" i="39"/>
  <c r="G259" i="39"/>
  <c r="H259" i="39"/>
  <c r="I259" i="39"/>
  <c r="J259" i="39"/>
  <c r="G260" i="39"/>
  <c r="H260" i="39"/>
  <c r="I260" i="39"/>
  <c r="J260" i="39"/>
  <c r="K260" i="39"/>
  <c r="G261" i="39"/>
  <c r="H261" i="39"/>
  <c r="I261" i="39"/>
  <c r="J261" i="39"/>
  <c r="G262" i="39"/>
  <c r="H262" i="39"/>
  <c r="I262" i="39"/>
  <c r="J262" i="39"/>
  <c r="B263" i="39"/>
  <c r="G263" i="39"/>
  <c r="H263" i="39"/>
  <c r="I263" i="39"/>
  <c r="J263" i="39"/>
  <c r="K263" i="39"/>
  <c r="G264" i="39"/>
  <c r="H264" i="39"/>
  <c r="I264" i="39"/>
  <c r="J264" i="39"/>
  <c r="G265" i="39"/>
  <c r="H265" i="39"/>
  <c r="I265" i="39"/>
  <c r="J265" i="39"/>
  <c r="B266" i="39"/>
  <c r="G266" i="39"/>
  <c r="H266" i="39"/>
  <c r="I266" i="39"/>
  <c r="J266" i="39"/>
  <c r="B267" i="39"/>
  <c r="C267" i="39"/>
  <c r="G267" i="39"/>
  <c r="H267" i="39"/>
  <c r="I267" i="39"/>
  <c r="J267" i="39"/>
  <c r="G268" i="39"/>
  <c r="H268" i="39"/>
  <c r="I268" i="39"/>
  <c r="J268" i="39"/>
  <c r="G269" i="39"/>
  <c r="H269" i="39"/>
  <c r="I269" i="39"/>
  <c r="J269" i="39"/>
  <c r="G270" i="39"/>
  <c r="H270" i="39"/>
  <c r="I270" i="39"/>
  <c r="J270" i="39"/>
  <c r="G271" i="39"/>
  <c r="H271" i="39"/>
  <c r="I271" i="39"/>
  <c r="J271" i="39"/>
  <c r="G272" i="39"/>
  <c r="H272" i="39"/>
  <c r="I272" i="39"/>
  <c r="J272" i="39"/>
  <c r="G273" i="39"/>
  <c r="H273" i="39"/>
  <c r="I273" i="39"/>
  <c r="J273" i="39"/>
  <c r="G274" i="39"/>
  <c r="H274" i="39"/>
  <c r="I274" i="39"/>
  <c r="J274" i="39"/>
  <c r="G275" i="39"/>
  <c r="H275" i="39"/>
  <c r="I275" i="39"/>
  <c r="J275" i="39"/>
  <c r="G276" i="39"/>
  <c r="H276" i="39"/>
  <c r="I276" i="39"/>
  <c r="J276" i="39"/>
  <c r="G277" i="39"/>
  <c r="H277" i="39"/>
  <c r="I277" i="39"/>
  <c r="J277" i="39"/>
  <c r="G278" i="39"/>
  <c r="H278" i="39"/>
  <c r="I278" i="39"/>
  <c r="J278" i="39"/>
  <c r="G279" i="39"/>
  <c r="H279" i="39"/>
  <c r="I279" i="39"/>
  <c r="J279" i="39"/>
  <c r="G280" i="39"/>
  <c r="H280" i="39"/>
  <c r="I280" i="39"/>
  <c r="J280" i="39"/>
  <c r="G281" i="39"/>
  <c r="H281" i="39"/>
  <c r="I281" i="39"/>
  <c r="J281" i="39"/>
  <c r="G282" i="39"/>
  <c r="H282" i="39"/>
  <c r="I282" i="39"/>
  <c r="J282" i="39"/>
  <c r="G283" i="39"/>
  <c r="H283" i="39"/>
  <c r="I283" i="39"/>
  <c r="J283" i="39"/>
  <c r="I285" i="39"/>
  <c r="L285" i="39"/>
  <c r="I286" i="39"/>
  <c r="I287" i="39"/>
  <c r="L287" i="39"/>
  <c r="I288" i="39"/>
  <c r="L288" i="39"/>
  <c r="C289" i="39"/>
  <c r="I289" i="39"/>
  <c r="L289" i="39"/>
  <c r="A292" i="39"/>
  <c r="D292" i="39"/>
  <c r="S292" i="39"/>
  <c r="T292" i="39"/>
  <c r="U292" i="39"/>
  <c r="V292" i="39"/>
  <c r="W292" i="39"/>
  <c r="X292" i="39"/>
  <c r="Z292" i="39"/>
  <c r="AA292" i="39"/>
  <c r="AC292" i="39"/>
  <c r="AG292" i="39"/>
  <c r="AH292" i="39"/>
  <c r="AJ292" i="39"/>
  <c r="AK292" i="39"/>
  <c r="AM292" i="39"/>
  <c r="AN292" i="39"/>
  <c r="AO292" i="39"/>
  <c r="AX292" i="39"/>
  <c r="AY292" i="39"/>
  <c r="B297" i="39"/>
  <c r="M297" i="39"/>
  <c r="B298" i="39"/>
  <c r="E298" i="39"/>
  <c r="G298" i="39"/>
  <c r="H298" i="39"/>
  <c r="I298" i="39"/>
  <c r="B299" i="39"/>
  <c r="G299" i="39"/>
  <c r="H299" i="39"/>
  <c r="I299" i="39"/>
  <c r="J299" i="39"/>
  <c r="B300" i="39"/>
  <c r="G300" i="39"/>
  <c r="H300" i="39"/>
  <c r="I300" i="39"/>
  <c r="J300" i="39"/>
  <c r="B301" i="39"/>
  <c r="G301" i="39"/>
  <c r="H301" i="39"/>
  <c r="I301" i="39"/>
  <c r="J301" i="39"/>
  <c r="B302" i="39"/>
  <c r="G302" i="39"/>
  <c r="H302" i="39"/>
  <c r="I302" i="39"/>
  <c r="J302" i="39"/>
  <c r="B303" i="39"/>
  <c r="G303" i="39"/>
  <c r="H303" i="39"/>
  <c r="I303" i="39"/>
  <c r="J303" i="39"/>
  <c r="B304" i="39"/>
  <c r="G304" i="39"/>
  <c r="H304" i="39"/>
  <c r="I304" i="39"/>
  <c r="J304" i="39"/>
  <c r="G305" i="39"/>
  <c r="H305" i="39"/>
  <c r="I305" i="39"/>
  <c r="J305" i="39"/>
  <c r="B306" i="39"/>
  <c r="G306" i="39"/>
  <c r="H306" i="39"/>
  <c r="I306" i="39"/>
  <c r="J306" i="39"/>
  <c r="G307" i="39"/>
  <c r="H307" i="39"/>
  <c r="I307" i="39"/>
  <c r="J307" i="39"/>
  <c r="G308" i="39"/>
  <c r="H308" i="39"/>
  <c r="I308" i="39"/>
  <c r="J308" i="39"/>
  <c r="G309" i="39"/>
  <c r="H309" i="39"/>
  <c r="I309" i="39"/>
  <c r="J309" i="39"/>
  <c r="G310" i="39"/>
  <c r="H310" i="39"/>
  <c r="I310" i="39"/>
  <c r="J310" i="39"/>
  <c r="G311" i="39"/>
  <c r="H311" i="39"/>
  <c r="I311" i="39"/>
  <c r="J311" i="39"/>
  <c r="G312" i="39"/>
  <c r="H312" i="39"/>
  <c r="I312" i="39"/>
  <c r="J312" i="39"/>
  <c r="G313" i="39"/>
  <c r="H313" i="39"/>
  <c r="I313" i="39"/>
  <c r="J313" i="39"/>
  <c r="G314" i="39"/>
  <c r="H314" i="39"/>
  <c r="I314" i="39"/>
  <c r="J314" i="39"/>
  <c r="B315" i="39"/>
  <c r="G315" i="39"/>
  <c r="H315" i="39"/>
  <c r="I315" i="39"/>
  <c r="J315" i="39"/>
  <c r="G316" i="39"/>
  <c r="H316" i="39"/>
  <c r="I316" i="39"/>
  <c r="J316" i="39"/>
  <c r="G317" i="39"/>
  <c r="H317" i="39"/>
  <c r="I317" i="39"/>
  <c r="J317" i="39"/>
  <c r="G318" i="39"/>
  <c r="H318" i="39"/>
  <c r="I318" i="39"/>
  <c r="J318" i="39"/>
  <c r="I320" i="39"/>
  <c r="L320" i="39"/>
  <c r="I321" i="39"/>
  <c r="I322" i="39"/>
  <c r="L322" i="39"/>
  <c r="I323" i="39"/>
  <c r="L323" i="39"/>
  <c r="I324" i="39"/>
  <c r="L324" i="39"/>
  <c r="D328" i="39"/>
  <c r="S328" i="39"/>
  <c r="T328" i="39"/>
  <c r="U328" i="39"/>
  <c r="V328" i="39"/>
  <c r="W328" i="39"/>
  <c r="X328" i="39"/>
  <c r="Z328" i="39"/>
  <c r="AA328" i="39"/>
  <c r="AC328" i="39"/>
  <c r="AG328" i="39"/>
  <c r="AH328" i="39"/>
  <c r="AJ328" i="39"/>
  <c r="AO328" i="39"/>
  <c r="AX328" i="39"/>
  <c r="AY328" i="39"/>
  <c r="M333" i="39"/>
  <c r="E1" i="27"/>
  <c r="H1" i="27"/>
  <c r="K1" i="27"/>
  <c r="E3" i="27"/>
  <c r="E4" i="27"/>
  <c r="N7" i="27"/>
  <c r="K8" i="27"/>
  <c r="K9" i="27"/>
  <c r="B10" i="27"/>
  <c r="B12" i="27"/>
  <c r="H12" i="27"/>
  <c r="E13" i="27"/>
  <c r="H13" i="27"/>
  <c r="K13" i="27"/>
  <c r="E14" i="27"/>
  <c r="K14" i="27"/>
  <c r="H15" i="27"/>
  <c r="H16" i="27"/>
  <c r="Q16" i="27"/>
  <c r="H17" i="27"/>
  <c r="Q17" i="27"/>
  <c r="H18" i="27"/>
  <c r="A23" i="27"/>
  <c r="D23" i="27"/>
  <c r="S23" i="27"/>
  <c r="T23" i="27"/>
  <c r="U23" i="27"/>
  <c r="V23" i="27"/>
  <c r="W23" i="27"/>
  <c r="X23" i="27"/>
  <c r="Z23" i="27"/>
  <c r="AA23" i="27"/>
  <c r="AC23" i="27"/>
  <c r="AG23" i="27"/>
  <c r="AH23" i="27"/>
  <c r="AJ23" i="27"/>
  <c r="AK23" i="27"/>
  <c r="AM23" i="27"/>
  <c r="AN23" i="27"/>
  <c r="AO23" i="27"/>
  <c r="AX23" i="27"/>
  <c r="AY23" i="27"/>
  <c r="A24" i="27"/>
  <c r="B24" i="27"/>
  <c r="C24" i="27"/>
  <c r="D24" i="27"/>
  <c r="E24" i="27"/>
  <c r="F24" i="27"/>
  <c r="S24" i="27"/>
  <c r="T24" i="27"/>
  <c r="U24" i="27"/>
  <c r="V24" i="27"/>
  <c r="W24" i="27"/>
  <c r="X24" i="27"/>
  <c r="Z24" i="27"/>
  <c r="AA24" i="27"/>
  <c r="AC24" i="27"/>
  <c r="AG24" i="27"/>
  <c r="AH24" i="27"/>
  <c r="AJ24" i="27"/>
  <c r="AK24" i="27"/>
  <c r="AM24" i="27"/>
  <c r="AN24" i="27"/>
  <c r="AO24" i="27"/>
  <c r="AX24" i="27"/>
  <c r="AY24" i="27"/>
  <c r="A25" i="27"/>
  <c r="B25" i="27"/>
  <c r="C25" i="27"/>
  <c r="D25" i="27"/>
  <c r="E25" i="27"/>
  <c r="F25" i="27"/>
  <c r="S25" i="27"/>
  <c r="T25" i="27"/>
  <c r="U25" i="27"/>
  <c r="V25" i="27"/>
  <c r="W25" i="27"/>
  <c r="X25" i="27"/>
  <c r="Z25" i="27"/>
  <c r="AA25" i="27"/>
  <c r="AC25" i="27"/>
  <c r="AG25" i="27"/>
  <c r="AH25" i="27"/>
  <c r="AJ25" i="27"/>
  <c r="AK25" i="27"/>
  <c r="AM25" i="27"/>
  <c r="AN25" i="27"/>
  <c r="AO25" i="27"/>
  <c r="AX25" i="27"/>
  <c r="AY25" i="27"/>
  <c r="A26" i="27"/>
  <c r="B26" i="27"/>
  <c r="C26" i="27"/>
  <c r="D26" i="27"/>
  <c r="E26" i="27"/>
  <c r="F26" i="27"/>
  <c r="S26" i="27"/>
  <c r="T26" i="27"/>
  <c r="U26" i="27"/>
  <c r="V26" i="27"/>
  <c r="W26" i="27"/>
  <c r="X26" i="27"/>
  <c r="Z26" i="27"/>
  <c r="AA26" i="27"/>
  <c r="AC26" i="27"/>
  <c r="AG26" i="27"/>
  <c r="AH26" i="27"/>
  <c r="AJ26" i="27"/>
  <c r="AK26" i="27"/>
  <c r="AM26" i="27"/>
  <c r="AN26" i="27"/>
  <c r="AO26" i="27"/>
  <c r="AX26" i="27"/>
  <c r="AY26" i="27"/>
  <c r="A27" i="27"/>
  <c r="B27" i="27"/>
  <c r="C27" i="27"/>
  <c r="D27" i="27"/>
  <c r="E27" i="27"/>
  <c r="F27" i="27"/>
  <c r="S27" i="27"/>
  <c r="T27" i="27"/>
  <c r="U27" i="27"/>
  <c r="V27" i="27"/>
  <c r="W27" i="27"/>
  <c r="X27" i="27"/>
  <c r="Z27" i="27"/>
  <c r="AA27" i="27"/>
  <c r="AC27" i="27"/>
  <c r="AG27" i="27"/>
  <c r="AH27" i="27"/>
  <c r="AJ27" i="27"/>
  <c r="AK27" i="27"/>
  <c r="AM27" i="27"/>
  <c r="AN27" i="27"/>
  <c r="AO27" i="27"/>
  <c r="AX27" i="27"/>
  <c r="AY27" i="27"/>
  <c r="A28" i="27"/>
  <c r="B28" i="27"/>
  <c r="C28" i="27"/>
  <c r="D28" i="27"/>
  <c r="E28" i="27"/>
  <c r="F28" i="27"/>
  <c r="S28" i="27"/>
  <c r="T28" i="27"/>
  <c r="U28" i="27"/>
  <c r="V28" i="27"/>
  <c r="W28" i="27"/>
  <c r="X28" i="27"/>
  <c r="Z28" i="27"/>
  <c r="AA28" i="27"/>
  <c r="AC28" i="27"/>
  <c r="AG28" i="27"/>
  <c r="AH28" i="27"/>
  <c r="AJ28" i="27"/>
  <c r="AK28" i="27"/>
  <c r="AM28" i="27"/>
  <c r="AN28" i="27"/>
  <c r="AO28" i="27"/>
  <c r="AX28" i="27"/>
  <c r="AY28" i="27"/>
  <c r="A29" i="27"/>
  <c r="B29" i="27"/>
  <c r="C29" i="27"/>
  <c r="D29" i="27"/>
  <c r="E29" i="27"/>
  <c r="F29" i="27"/>
  <c r="S29" i="27"/>
  <c r="T29" i="27"/>
  <c r="U29" i="27"/>
  <c r="V29" i="27"/>
  <c r="W29" i="27"/>
  <c r="X29" i="27"/>
  <c r="Z29" i="27"/>
  <c r="AA29" i="27"/>
  <c r="AC29" i="27"/>
  <c r="AG29" i="27"/>
  <c r="AH29" i="27"/>
  <c r="AJ29" i="27"/>
  <c r="AK29" i="27"/>
  <c r="AM29" i="27"/>
  <c r="AN29" i="27"/>
  <c r="AO29" i="27"/>
  <c r="AX29" i="27"/>
  <c r="AY29" i="27"/>
  <c r="A30" i="27"/>
  <c r="B30" i="27"/>
  <c r="C30" i="27"/>
  <c r="D30" i="27"/>
  <c r="E30" i="27"/>
  <c r="F30" i="27"/>
  <c r="S30" i="27"/>
  <c r="T30" i="27"/>
  <c r="U30" i="27"/>
  <c r="V30" i="27"/>
  <c r="W30" i="27"/>
  <c r="X30" i="27"/>
  <c r="Z30" i="27"/>
  <c r="AA30" i="27"/>
  <c r="AC30" i="27"/>
  <c r="AG30" i="27"/>
  <c r="AH30" i="27"/>
  <c r="AJ30" i="27"/>
  <c r="AK30" i="27"/>
  <c r="AM30" i="27"/>
  <c r="AN30" i="27"/>
  <c r="AO30" i="27"/>
  <c r="AX30" i="27"/>
  <c r="AY30" i="27"/>
  <c r="A31" i="27"/>
  <c r="B31" i="27"/>
  <c r="C31" i="27"/>
  <c r="D31" i="27"/>
  <c r="E31" i="27"/>
  <c r="F31" i="27"/>
  <c r="S31" i="27"/>
  <c r="T31" i="27"/>
  <c r="U31" i="27"/>
  <c r="V31" i="27"/>
  <c r="W31" i="27"/>
  <c r="X31" i="27"/>
  <c r="Z31" i="27"/>
  <c r="AA31" i="27"/>
  <c r="AC31" i="27"/>
  <c r="AG31" i="27"/>
  <c r="AH31" i="27"/>
  <c r="AJ31" i="27"/>
  <c r="AK31" i="27"/>
  <c r="AM31" i="27"/>
  <c r="AN31" i="27"/>
  <c r="AO31" i="27"/>
  <c r="AX31" i="27"/>
  <c r="AY31" i="27"/>
  <c r="A32" i="27"/>
  <c r="B32" i="27"/>
  <c r="C32" i="27"/>
  <c r="D32" i="27"/>
  <c r="E32" i="27"/>
  <c r="F32" i="27"/>
  <c r="S32" i="27"/>
  <c r="T32" i="27"/>
  <c r="U32" i="27"/>
  <c r="V32" i="27"/>
  <c r="W32" i="27"/>
  <c r="X32" i="27"/>
  <c r="Z32" i="27"/>
  <c r="AA32" i="27"/>
  <c r="AC32" i="27"/>
  <c r="AG32" i="27"/>
  <c r="AH32" i="27"/>
  <c r="AJ32" i="27"/>
  <c r="AK32" i="27"/>
  <c r="AM32" i="27"/>
  <c r="AN32" i="27"/>
  <c r="AO32" i="27"/>
  <c r="AX32" i="27"/>
  <c r="AY32" i="27"/>
  <c r="A33" i="27"/>
  <c r="B33" i="27"/>
  <c r="C33" i="27"/>
  <c r="D33" i="27"/>
  <c r="E33" i="27"/>
  <c r="F33" i="27"/>
  <c r="S33" i="27"/>
  <c r="T33" i="27"/>
  <c r="U33" i="27"/>
  <c r="V33" i="27"/>
  <c r="W33" i="27"/>
  <c r="X33" i="27"/>
  <c r="Z33" i="27"/>
  <c r="AA33" i="27"/>
  <c r="AC33" i="27"/>
  <c r="AG33" i="27"/>
  <c r="AH33" i="27"/>
  <c r="AJ33" i="27"/>
  <c r="AK33" i="27"/>
  <c r="AM33" i="27"/>
  <c r="AN33" i="27"/>
  <c r="AO33" i="27"/>
  <c r="AX33" i="27"/>
  <c r="AY33" i="27"/>
  <c r="A34" i="27"/>
  <c r="B34" i="27"/>
  <c r="C34" i="27"/>
  <c r="D34" i="27"/>
  <c r="E34" i="27"/>
  <c r="F34" i="27"/>
  <c r="S34" i="27"/>
  <c r="T34" i="27"/>
  <c r="U34" i="27"/>
  <c r="V34" i="27"/>
  <c r="W34" i="27"/>
  <c r="X34" i="27"/>
  <c r="Z34" i="27"/>
  <c r="AA34" i="27"/>
  <c r="AC34" i="27"/>
  <c r="AG34" i="27"/>
  <c r="AH34" i="27"/>
  <c r="AJ34" i="27"/>
  <c r="AK34" i="27"/>
  <c r="AM34" i="27"/>
  <c r="AN34" i="27"/>
  <c r="AO34" i="27"/>
  <c r="AX34" i="27"/>
  <c r="AY34" i="27"/>
  <c r="A35" i="27"/>
  <c r="B35" i="27"/>
  <c r="C35" i="27"/>
  <c r="D35" i="27"/>
  <c r="E35" i="27"/>
  <c r="F35" i="27"/>
  <c r="S35" i="27"/>
  <c r="T35" i="27"/>
  <c r="U35" i="27"/>
  <c r="V35" i="27"/>
  <c r="W35" i="27"/>
  <c r="X35" i="27"/>
  <c r="Z35" i="27"/>
  <c r="AA35" i="27"/>
  <c r="AC35" i="27"/>
  <c r="AG35" i="27"/>
  <c r="AH35" i="27"/>
  <c r="AJ35" i="27"/>
  <c r="AK35" i="27"/>
  <c r="AM35" i="27"/>
  <c r="AN35" i="27"/>
  <c r="AO35" i="27"/>
  <c r="AX35" i="27"/>
  <c r="AY35" i="27"/>
  <c r="A36" i="27"/>
  <c r="B36" i="27"/>
  <c r="C36" i="27"/>
  <c r="D36" i="27"/>
  <c r="E36" i="27"/>
  <c r="F36" i="27"/>
  <c r="S36" i="27"/>
  <c r="T36" i="27"/>
  <c r="U36" i="27"/>
  <c r="V36" i="27"/>
  <c r="W36" i="27"/>
  <c r="X36" i="27"/>
  <c r="Z36" i="27"/>
  <c r="AA36" i="27"/>
  <c r="AC36" i="27"/>
  <c r="AG36" i="27"/>
  <c r="AH36" i="27"/>
  <c r="AJ36" i="27"/>
  <c r="AK36" i="27"/>
  <c r="AM36" i="27"/>
  <c r="AN36" i="27"/>
  <c r="AO36" i="27"/>
  <c r="AX36" i="27"/>
  <c r="AY36" i="27"/>
  <c r="A37" i="27"/>
  <c r="B37" i="27"/>
  <c r="C37" i="27"/>
  <c r="D37" i="27"/>
  <c r="E37" i="27"/>
  <c r="F37" i="27"/>
  <c r="S37" i="27"/>
  <c r="T37" i="27"/>
  <c r="U37" i="27"/>
  <c r="V37" i="27"/>
  <c r="W37" i="27"/>
  <c r="X37" i="27"/>
  <c r="Z37" i="27"/>
  <c r="AA37" i="27"/>
  <c r="AC37" i="27"/>
  <c r="AG37" i="27"/>
  <c r="AH37" i="27"/>
  <c r="AJ37" i="27"/>
  <c r="AK37" i="27"/>
  <c r="AM37" i="27"/>
  <c r="AN37" i="27"/>
  <c r="AO37" i="27"/>
  <c r="AX37" i="27"/>
  <c r="AY37" i="27"/>
  <c r="A38" i="27"/>
  <c r="B38" i="27"/>
  <c r="C38" i="27"/>
  <c r="D38" i="27"/>
  <c r="E38" i="27"/>
  <c r="F38" i="27"/>
  <c r="S38" i="27"/>
  <c r="T38" i="27"/>
  <c r="U38" i="27"/>
  <c r="V38" i="27"/>
  <c r="W38" i="27"/>
  <c r="X38" i="27"/>
  <c r="Z38" i="27"/>
  <c r="AA38" i="27"/>
  <c r="AC38" i="27"/>
  <c r="AG38" i="27"/>
  <c r="AH38" i="27"/>
  <c r="AJ38" i="27"/>
  <c r="AK38" i="27"/>
  <c r="AM38" i="27"/>
  <c r="AN38" i="27"/>
  <c r="AO38" i="27"/>
  <c r="AX38" i="27"/>
  <c r="AY38" i="27"/>
  <c r="A39" i="27"/>
  <c r="B39" i="27"/>
  <c r="C39" i="27"/>
  <c r="D39" i="27"/>
  <c r="E39" i="27"/>
  <c r="F39" i="27"/>
  <c r="S39" i="27"/>
  <c r="T39" i="27"/>
  <c r="U39" i="27"/>
  <c r="V39" i="27"/>
  <c r="W39" i="27"/>
  <c r="X39" i="27"/>
  <c r="Z39" i="27"/>
  <c r="AA39" i="27"/>
  <c r="AC39" i="27"/>
  <c r="AG39" i="27"/>
  <c r="AH39" i="27"/>
  <c r="AJ39" i="27"/>
  <c r="AK39" i="27"/>
  <c r="AM39" i="27"/>
  <c r="AN39" i="27"/>
  <c r="AO39" i="27"/>
  <c r="AX39" i="27"/>
  <c r="AY39" i="27"/>
  <c r="A40" i="27"/>
  <c r="B40" i="27"/>
  <c r="C40" i="27"/>
  <c r="D40" i="27"/>
  <c r="E40" i="27"/>
  <c r="F40" i="27"/>
  <c r="S40" i="27"/>
  <c r="T40" i="27"/>
  <c r="U40" i="27"/>
  <c r="V40" i="27"/>
  <c r="W40" i="27"/>
  <c r="X40" i="27"/>
  <c r="Z40" i="27"/>
  <c r="AA40" i="27"/>
  <c r="AC40" i="27"/>
  <c r="AG40" i="27"/>
  <c r="AH40" i="27"/>
  <c r="AJ40" i="27"/>
  <c r="AK40" i="27"/>
  <c r="AM40" i="27"/>
  <c r="AN40" i="27"/>
  <c r="AO40" i="27"/>
  <c r="AX40" i="27"/>
  <c r="AY40" i="27"/>
  <c r="A41" i="27"/>
  <c r="B41" i="27"/>
  <c r="C41" i="27"/>
  <c r="D41" i="27"/>
  <c r="E41" i="27"/>
  <c r="F41" i="27"/>
  <c r="S41" i="27"/>
  <c r="T41" i="27"/>
  <c r="U41" i="27"/>
  <c r="V41" i="27"/>
  <c r="W41" i="27"/>
  <c r="X41" i="27"/>
  <c r="Z41" i="27"/>
  <c r="AA41" i="27"/>
  <c r="AC41" i="27"/>
  <c r="AG41" i="27"/>
  <c r="AH41" i="27"/>
  <c r="AJ41" i="27"/>
  <c r="AK41" i="27"/>
  <c r="AM41" i="27"/>
  <c r="AN41" i="27"/>
  <c r="AO41" i="27"/>
  <c r="AX41" i="27"/>
  <c r="AY41" i="27"/>
  <c r="A42" i="27"/>
  <c r="B42" i="27"/>
  <c r="C42" i="27"/>
  <c r="D42" i="27"/>
  <c r="E42" i="27"/>
  <c r="F42" i="27"/>
  <c r="S42" i="27"/>
  <c r="T42" i="27"/>
  <c r="U42" i="27"/>
  <c r="V42" i="27"/>
  <c r="W42" i="27"/>
  <c r="X42" i="27"/>
  <c r="Z42" i="27"/>
  <c r="AA42" i="27"/>
  <c r="AC42" i="27"/>
  <c r="AG42" i="27"/>
  <c r="AH42" i="27"/>
  <c r="AJ42" i="27"/>
  <c r="AK42" i="27"/>
  <c r="AM42" i="27"/>
  <c r="AN42" i="27"/>
  <c r="AO42" i="27"/>
  <c r="AX42" i="27"/>
  <c r="AY42" i="27"/>
  <c r="A43" i="27"/>
  <c r="B43" i="27"/>
  <c r="C43" i="27"/>
  <c r="D43" i="27"/>
  <c r="E43" i="27"/>
  <c r="F43" i="27"/>
  <c r="S43" i="27"/>
  <c r="T43" i="27"/>
  <c r="U43" i="27"/>
  <c r="V43" i="27"/>
  <c r="W43" i="27"/>
  <c r="X43" i="27"/>
  <c r="Z43" i="27"/>
  <c r="AA43" i="27"/>
  <c r="AC43" i="27"/>
  <c r="AG43" i="27"/>
  <c r="AH43" i="27"/>
  <c r="AJ43" i="27"/>
  <c r="AK43" i="27"/>
  <c r="AM43" i="27"/>
  <c r="AN43" i="27"/>
  <c r="AO43" i="27"/>
  <c r="AX43" i="27"/>
  <c r="AY43" i="27"/>
  <c r="A44" i="27"/>
  <c r="B44" i="27"/>
  <c r="C44" i="27"/>
  <c r="D44" i="27"/>
  <c r="E44" i="27"/>
  <c r="F44" i="27"/>
  <c r="S44" i="27"/>
  <c r="T44" i="27"/>
  <c r="U44" i="27"/>
  <c r="V44" i="27"/>
  <c r="W44" i="27"/>
  <c r="X44" i="27"/>
  <c r="Z44" i="27"/>
  <c r="AA44" i="27"/>
  <c r="AC44" i="27"/>
  <c r="AG44" i="27"/>
  <c r="AH44" i="27"/>
  <c r="AJ44" i="27"/>
  <c r="AK44" i="27"/>
  <c r="AM44" i="27"/>
  <c r="AN44" i="27"/>
  <c r="AO44" i="27"/>
  <c r="AX44" i="27"/>
  <c r="AY44" i="27"/>
  <c r="A45" i="27"/>
  <c r="B45" i="27"/>
  <c r="C45" i="27"/>
  <c r="D45" i="27"/>
  <c r="E45" i="27"/>
  <c r="F45" i="27"/>
  <c r="S45" i="27"/>
  <c r="T45" i="27"/>
  <c r="U45" i="27"/>
  <c r="V45" i="27"/>
  <c r="W45" i="27"/>
  <c r="X45" i="27"/>
  <c r="Z45" i="27"/>
  <c r="AA45" i="27"/>
  <c r="AC45" i="27"/>
  <c r="AG45" i="27"/>
  <c r="AH45" i="27"/>
  <c r="AJ45" i="27"/>
  <c r="AK45" i="27"/>
  <c r="AM45" i="27"/>
  <c r="AN45" i="27"/>
  <c r="AO45" i="27"/>
  <c r="AX45" i="27"/>
  <c r="AY45" i="27"/>
  <c r="A46" i="27"/>
  <c r="B46" i="27"/>
  <c r="C46" i="27"/>
  <c r="D46" i="27"/>
  <c r="E46" i="27"/>
  <c r="F46" i="27"/>
  <c r="S46" i="27"/>
  <c r="T46" i="27"/>
  <c r="U46" i="27"/>
  <c r="V46" i="27"/>
  <c r="W46" i="27"/>
  <c r="X46" i="27"/>
  <c r="Z46" i="27"/>
  <c r="AA46" i="27"/>
  <c r="AC46" i="27"/>
  <c r="AG46" i="27"/>
  <c r="AH46" i="27"/>
  <c r="AJ46" i="27"/>
  <c r="AK46" i="27"/>
  <c r="AM46" i="27"/>
  <c r="AN46" i="27"/>
  <c r="AO46" i="27"/>
  <c r="AX46" i="27"/>
  <c r="AY46" i="27"/>
  <c r="A47" i="27"/>
  <c r="B47" i="27"/>
  <c r="C47" i="27"/>
  <c r="D47" i="27"/>
  <c r="E47" i="27"/>
  <c r="F47" i="27"/>
  <c r="S47" i="27"/>
  <c r="T47" i="27"/>
  <c r="U47" i="27"/>
  <c r="V47" i="27"/>
  <c r="W47" i="27"/>
  <c r="X47" i="27"/>
  <c r="Z47" i="27"/>
  <c r="AA47" i="27"/>
  <c r="AC47" i="27"/>
  <c r="AG47" i="27"/>
  <c r="AH47" i="27"/>
  <c r="AJ47" i="27"/>
  <c r="AK47" i="27"/>
  <c r="AM47" i="27"/>
  <c r="AN47" i="27"/>
  <c r="AO47" i="27"/>
  <c r="AX47" i="27"/>
  <c r="AY47" i="27"/>
  <c r="A48" i="27"/>
  <c r="B48" i="27"/>
  <c r="C48" i="27"/>
  <c r="D48" i="27"/>
  <c r="E48" i="27"/>
  <c r="F48" i="27"/>
  <c r="S48" i="27"/>
  <c r="T48" i="27"/>
  <c r="U48" i="27"/>
  <c r="V48" i="27"/>
  <c r="W48" i="27"/>
  <c r="X48" i="27"/>
  <c r="Z48" i="27"/>
  <c r="AA48" i="27"/>
  <c r="AC48" i="27"/>
  <c r="AG48" i="27"/>
  <c r="AH48" i="27"/>
  <c r="AJ48" i="27"/>
  <c r="AK48" i="27"/>
  <c r="AM48" i="27"/>
  <c r="AN48" i="27"/>
  <c r="AO48" i="27"/>
  <c r="AX48" i="27"/>
  <c r="AY48" i="27"/>
  <c r="A49" i="27"/>
  <c r="B49" i="27"/>
  <c r="C49" i="27"/>
  <c r="D49" i="27"/>
  <c r="E49" i="27"/>
  <c r="F49" i="27"/>
  <c r="S49" i="27"/>
  <c r="T49" i="27"/>
  <c r="U49" i="27"/>
  <c r="V49" i="27"/>
  <c r="W49" i="27"/>
  <c r="X49" i="27"/>
  <c r="Z49" i="27"/>
  <c r="AA49" i="27"/>
  <c r="AC49" i="27"/>
  <c r="AG49" i="27"/>
  <c r="AH49" i="27"/>
  <c r="AJ49" i="27"/>
  <c r="AK49" i="27"/>
  <c r="AM49" i="27"/>
  <c r="AN49" i="27"/>
  <c r="AO49" i="27"/>
  <c r="AX49" i="27"/>
  <c r="AY49" i="27"/>
  <c r="A50" i="27"/>
  <c r="B50" i="27"/>
  <c r="C50" i="27"/>
  <c r="D50" i="27"/>
  <c r="E50" i="27"/>
  <c r="F50" i="27"/>
  <c r="S50" i="27"/>
  <c r="T50" i="27"/>
  <c r="U50" i="27"/>
  <c r="V50" i="27"/>
  <c r="W50" i="27"/>
  <c r="X50" i="27"/>
  <c r="Z50" i="27"/>
  <c r="AA50" i="27"/>
  <c r="AC50" i="27"/>
  <c r="AG50" i="27"/>
  <c r="AH50" i="27"/>
  <c r="AJ50" i="27"/>
  <c r="AK50" i="27"/>
  <c r="AM50" i="27"/>
  <c r="AN50" i="27"/>
  <c r="AO50" i="27"/>
  <c r="AX50" i="27"/>
  <c r="AY50" i="27"/>
  <c r="A51" i="27"/>
  <c r="B51" i="27"/>
  <c r="C51" i="27"/>
  <c r="D51" i="27"/>
  <c r="E51" i="27"/>
  <c r="F51" i="27"/>
  <c r="S51" i="27"/>
  <c r="T51" i="27"/>
  <c r="U51" i="27"/>
  <c r="V51" i="27"/>
  <c r="W51" i="27"/>
  <c r="X51" i="27"/>
  <c r="Z51" i="27"/>
  <c r="AA51" i="27"/>
  <c r="AC51" i="27"/>
  <c r="AG51" i="27"/>
  <c r="AH51" i="27"/>
  <c r="AJ51" i="27"/>
  <c r="AK51" i="27"/>
  <c r="AM51" i="27"/>
  <c r="AN51" i="27"/>
  <c r="AO51" i="27"/>
  <c r="AX51" i="27"/>
  <c r="AY51" i="27"/>
  <c r="A52" i="27"/>
  <c r="B52" i="27"/>
  <c r="C52" i="27"/>
  <c r="D52" i="27"/>
  <c r="E52" i="27"/>
  <c r="F52" i="27"/>
  <c r="S52" i="27"/>
  <c r="T52" i="27"/>
  <c r="U52" i="27"/>
  <c r="V52" i="27"/>
  <c r="W52" i="27"/>
  <c r="X52" i="27"/>
  <c r="Z52" i="27"/>
  <c r="AA52" i="27"/>
  <c r="AC52" i="27"/>
  <c r="AG52" i="27"/>
  <c r="AH52" i="27"/>
  <c r="AJ52" i="27"/>
  <c r="AK52" i="27"/>
  <c r="AM52" i="27"/>
  <c r="AN52" i="27"/>
  <c r="AO52" i="27"/>
  <c r="AX52" i="27"/>
  <c r="AY52" i="27"/>
  <c r="A53" i="27"/>
  <c r="B53" i="27"/>
  <c r="C53" i="27"/>
  <c r="D53" i="27"/>
  <c r="E53" i="27"/>
  <c r="F53" i="27"/>
  <c r="S53" i="27"/>
  <c r="T53" i="27"/>
  <c r="U53" i="27"/>
  <c r="V53" i="27"/>
  <c r="W53" i="27"/>
  <c r="X53" i="27"/>
  <c r="Z53" i="27"/>
  <c r="AA53" i="27"/>
  <c r="AC53" i="27"/>
  <c r="AG53" i="27"/>
  <c r="AH53" i="27"/>
  <c r="AJ53" i="27"/>
  <c r="AK53" i="27"/>
  <c r="AM53" i="27"/>
  <c r="AN53" i="27"/>
  <c r="AO53" i="27"/>
  <c r="AX53" i="27"/>
  <c r="AY53" i="27"/>
  <c r="A54" i="27"/>
  <c r="B54" i="27"/>
  <c r="C54" i="27"/>
  <c r="D54" i="27"/>
  <c r="E54" i="27"/>
  <c r="F54" i="27"/>
  <c r="S54" i="27"/>
  <c r="T54" i="27"/>
  <c r="U54" i="27"/>
  <c r="V54" i="27"/>
  <c r="W54" i="27"/>
  <c r="X54" i="27"/>
  <c r="Z54" i="27"/>
  <c r="AA54" i="27"/>
  <c r="AC54" i="27"/>
  <c r="AG54" i="27"/>
  <c r="AH54" i="27"/>
  <c r="AJ54" i="27"/>
  <c r="AK54" i="27"/>
  <c r="AM54" i="27"/>
  <c r="AN54" i="27"/>
  <c r="AO54" i="27"/>
  <c r="AX54" i="27"/>
  <c r="AY54" i="27"/>
  <c r="A55" i="27"/>
  <c r="B55" i="27"/>
  <c r="C55" i="27"/>
  <c r="D55" i="27"/>
  <c r="E55" i="27"/>
  <c r="F55" i="27"/>
  <c r="S55" i="27"/>
  <c r="T55" i="27"/>
  <c r="U55" i="27"/>
  <c r="V55" i="27"/>
  <c r="W55" i="27"/>
  <c r="X55" i="27"/>
  <c r="Z55" i="27"/>
  <c r="AA55" i="27"/>
  <c r="AC55" i="27"/>
  <c r="AG55" i="27"/>
  <c r="AH55" i="27"/>
  <c r="AJ55" i="27"/>
  <c r="AK55" i="27"/>
  <c r="AM55" i="27"/>
  <c r="AN55" i="27"/>
  <c r="AO55" i="27"/>
  <c r="AX55" i="27"/>
  <c r="AY55" i="27"/>
  <c r="A56" i="27"/>
  <c r="B56" i="27"/>
  <c r="C56" i="27"/>
  <c r="D56" i="27"/>
  <c r="E56" i="27"/>
  <c r="F56" i="27"/>
  <c r="S56" i="27"/>
  <c r="T56" i="27"/>
  <c r="U56" i="27"/>
  <c r="V56" i="27"/>
  <c r="W56" i="27"/>
  <c r="X56" i="27"/>
  <c r="Z56" i="27"/>
  <c r="AA56" i="27"/>
  <c r="AC56" i="27"/>
  <c r="AG56" i="27"/>
  <c r="AH56" i="27"/>
  <c r="AJ56" i="27"/>
  <c r="AK56" i="27"/>
  <c r="AM56" i="27"/>
  <c r="AN56" i="27"/>
  <c r="AO56" i="27"/>
  <c r="AX56" i="27"/>
  <c r="AY56" i="27"/>
  <c r="A57" i="27"/>
  <c r="B57" i="27"/>
  <c r="C57" i="27"/>
  <c r="D57" i="27"/>
  <c r="E57" i="27"/>
  <c r="F57" i="27"/>
  <c r="S57" i="27"/>
  <c r="T57" i="27"/>
  <c r="U57" i="27"/>
  <c r="V57" i="27"/>
  <c r="W57" i="27"/>
  <c r="X57" i="27"/>
  <c r="Z57" i="27"/>
  <c r="AA57" i="27"/>
  <c r="AC57" i="27"/>
  <c r="AG57" i="27"/>
  <c r="AH57" i="27"/>
  <c r="AJ57" i="27"/>
  <c r="AK57" i="27"/>
  <c r="AM57" i="27"/>
  <c r="AN57" i="27"/>
  <c r="AO57" i="27"/>
  <c r="AX57" i="27"/>
  <c r="AY57" i="27"/>
  <c r="A58" i="27"/>
  <c r="B58" i="27"/>
  <c r="C58" i="27"/>
  <c r="D58" i="27"/>
  <c r="E58" i="27"/>
  <c r="F58" i="27"/>
  <c r="S58" i="27"/>
  <c r="T58" i="27"/>
  <c r="U58" i="27"/>
  <c r="V58" i="27"/>
  <c r="W58" i="27"/>
  <c r="X58" i="27"/>
  <c r="Z58" i="27"/>
  <c r="AA58" i="27"/>
  <c r="AC58" i="27"/>
  <c r="AG58" i="27"/>
  <c r="AH58" i="27"/>
  <c r="AJ58" i="27"/>
  <c r="AK58" i="27"/>
  <c r="AM58" i="27"/>
  <c r="AN58" i="27"/>
  <c r="AO58" i="27"/>
  <c r="AX58" i="27"/>
  <c r="AY58" i="27"/>
  <c r="A59" i="27"/>
  <c r="B59" i="27"/>
  <c r="C59" i="27"/>
  <c r="D59" i="27"/>
  <c r="E59" i="27"/>
  <c r="F59" i="27"/>
  <c r="S59" i="27"/>
  <c r="T59" i="27"/>
  <c r="U59" i="27"/>
  <c r="V59" i="27"/>
  <c r="W59" i="27"/>
  <c r="X59" i="27"/>
  <c r="Z59" i="27"/>
  <c r="AA59" i="27"/>
  <c r="AC59" i="27"/>
  <c r="AG59" i="27"/>
  <c r="AH59" i="27"/>
  <c r="AJ59" i="27"/>
  <c r="AK59" i="27"/>
  <c r="AM59" i="27"/>
  <c r="AN59" i="27"/>
  <c r="AO59" i="27"/>
  <c r="AX59" i="27"/>
  <c r="AY59" i="27"/>
  <c r="A60" i="27"/>
  <c r="B60" i="27"/>
  <c r="C60" i="27"/>
  <c r="D60" i="27"/>
  <c r="E60" i="27"/>
  <c r="F60" i="27"/>
  <c r="S60" i="27"/>
  <c r="T60" i="27"/>
  <c r="U60" i="27"/>
  <c r="V60" i="27"/>
  <c r="W60" i="27"/>
  <c r="X60" i="27"/>
  <c r="Z60" i="27"/>
  <c r="AA60" i="27"/>
  <c r="AC60" i="27"/>
  <c r="AG60" i="27"/>
  <c r="AH60" i="27"/>
  <c r="AJ60" i="27"/>
  <c r="AK60" i="27"/>
  <c r="AM60" i="27"/>
  <c r="AN60" i="27"/>
  <c r="AO60" i="27"/>
  <c r="AX60" i="27"/>
  <c r="AY60" i="27"/>
  <c r="A61" i="27"/>
  <c r="B61" i="27"/>
  <c r="C61" i="27"/>
  <c r="D61" i="27"/>
  <c r="E61" i="27"/>
  <c r="F61" i="27"/>
  <c r="S61" i="27"/>
  <c r="T61" i="27"/>
  <c r="U61" i="27"/>
  <c r="V61" i="27"/>
  <c r="W61" i="27"/>
  <c r="X61" i="27"/>
  <c r="Z61" i="27"/>
  <c r="AA61" i="27"/>
  <c r="AC61" i="27"/>
  <c r="AG61" i="27"/>
  <c r="AH61" i="27"/>
  <c r="AJ61" i="27"/>
  <c r="AK61" i="27"/>
  <c r="AM61" i="27"/>
  <c r="AN61" i="27"/>
  <c r="AO61" i="27"/>
  <c r="AX61" i="27"/>
  <c r="AY61" i="27"/>
  <c r="A62" i="27"/>
  <c r="B62" i="27"/>
  <c r="C62" i="27"/>
  <c r="D62" i="27"/>
  <c r="E62" i="27"/>
  <c r="F62" i="27"/>
  <c r="S62" i="27"/>
  <c r="T62" i="27"/>
  <c r="U62" i="27"/>
  <c r="V62" i="27"/>
  <c r="W62" i="27"/>
  <c r="X62" i="27"/>
  <c r="Z62" i="27"/>
  <c r="AA62" i="27"/>
  <c r="AC62" i="27"/>
  <c r="AG62" i="27"/>
  <c r="AH62" i="27"/>
  <c r="AJ62" i="27"/>
  <c r="AK62" i="27"/>
  <c r="AM62" i="27"/>
  <c r="AN62" i="27"/>
  <c r="AO62" i="27"/>
  <c r="AX62" i="27"/>
  <c r="AY62" i="27"/>
  <c r="A63" i="27"/>
  <c r="B63" i="27"/>
  <c r="C63" i="27"/>
  <c r="D63" i="27"/>
  <c r="E63" i="27"/>
  <c r="F63" i="27"/>
  <c r="S63" i="27"/>
  <c r="T63" i="27"/>
  <c r="U63" i="27"/>
  <c r="V63" i="27"/>
  <c r="W63" i="27"/>
  <c r="X63" i="27"/>
  <c r="Z63" i="27"/>
  <c r="AA63" i="27"/>
  <c r="AC63" i="27"/>
  <c r="AG63" i="27"/>
  <c r="AH63" i="27"/>
  <c r="AJ63" i="27"/>
  <c r="AK63" i="27"/>
  <c r="AM63" i="27"/>
  <c r="AN63" i="27"/>
  <c r="AO63" i="27"/>
  <c r="AX63" i="27"/>
  <c r="AY63" i="27"/>
  <c r="A64" i="27"/>
  <c r="B64" i="27"/>
  <c r="C64" i="27"/>
  <c r="D64" i="27"/>
  <c r="E64" i="27"/>
  <c r="F64" i="27"/>
  <c r="S64" i="27"/>
  <c r="T64" i="27"/>
  <c r="U64" i="27"/>
  <c r="V64" i="27"/>
  <c r="W64" i="27"/>
  <c r="X64" i="27"/>
  <c r="Z64" i="27"/>
  <c r="AA64" i="27"/>
  <c r="AC64" i="27"/>
  <c r="AG64" i="27"/>
  <c r="AH64" i="27"/>
  <c r="AJ64" i="27"/>
  <c r="AK64" i="27"/>
  <c r="AM64" i="27"/>
  <c r="AN64" i="27"/>
  <c r="AO64" i="27"/>
  <c r="AX64" i="27"/>
  <c r="AY64" i="27"/>
  <c r="A65" i="27"/>
  <c r="B65" i="27"/>
  <c r="C65" i="27"/>
  <c r="D65" i="27"/>
  <c r="E65" i="27"/>
  <c r="F65" i="27"/>
  <c r="S65" i="27"/>
  <c r="T65" i="27"/>
  <c r="U65" i="27"/>
  <c r="V65" i="27"/>
  <c r="W65" i="27"/>
  <c r="X65" i="27"/>
  <c r="Z65" i="27"/>
  <c r="AA65" i="27"/>
  <c r="AC65" i="27"/>
  <c r="AG65" i="27"/>
  <c r="AH65" i="27"/>
  <c r="AJ65" i="27"/>
  <c r="AK65" i="27"/>
  <c r="AM65" i="27"/>
  <c r="AN65" i="27"/>
  <c r="AO65" i="27"/>
  <c r="AX65" i="27"/>
  <c r="AY65" i="27"/>
  <c r="A66" i="27"/>
  <c r="B66" i="27"/>
  <c r="C66" i="27"/>
  <c r="D66" i="27"/>
  <c r="E66" i="27"/>
  <c r="F66" i="27"/>
  <c r="S66" i="27"/>
  <c r="T66" i="27"/>
  <c r="U66" i="27"/>
  <c r="V66" i="27"/>
  <c r="W66" i="27"/>
  <c r="X66" i="27"/>
  <c r="Z66" i="27"/>
  <c r="AA66" i="27"/>
  <c r="AC66" i="27"/>
  <c r="AG66" i="27"/>
  <c r="AH66" i="27"/>
  <c r="AJ66" i="27"/>
  <c r="AK66" i="27"/>
  <c r="AM66" i="27"/>
  <c r="AN66" i="27"/>
  <c r="AO66" i="27"/>
  <c r="AX66" i="27"/>
  <c r="AY66" i="27"/>
  <c r="A67" i="27"/>
  <c r="B67" i="27"/>
  <c r="C67" i="27"/>
  <c r="D67" i="27"/>
  <c r="E67" i="27"/>
  <c r="F67" i="27"/>
  <c r="S67" i="27"/>
  <c r="T67" i="27"/>
  <c r="U67" i="27"/>
  <c r="V67" i="27"/>
  <c r="W67" i="27"/>
  <c r="X67" i="27"/>
  <c r="Z67" i="27"/>
  <c r="AA67" i="27"/>
  <c r="AC67" i="27"/>
  <c r="AG67" i="27"/>
  <c r="AH67" i="27"/>
  <c r="AJ67" i="27"/>
  <c r="AK67" i="27"/>
  <c r="AM67" i="27"/>
  <c r="AN67" i="27"/>
  <c r="AO67" i="27"/>
  <c r="AX67" i="27"/>
  <c r="AY67" i="27"/>
  <c r="A68" i="27"/>
  <c r="B68" i="27"/>
  <c r="C68" i="27"/>
  <c r="D68" i="27"/>
  <c r="E68" i="27"/>
  <c r="F68" i="27"/>
  <c r="S68" i="27"/>
  <c r="T68" i="27"/>
  <c r="U68" i="27"/>
  <c r="V68" i="27"/>
  <c r="W68" i="27"/>
  <c r="X68" i="27"/>
  <c r="Z68" i="27"/>
  <c r="AA68" i="27"/>
  <c r="AC68" i="27"/>
  <c r="AG68" i="27"/>
  <c r="AH68" i="27"/>
  <c r="AJ68" i="27"/>
  <c r="AK68" i="27"/>
  <c r="AM68" i="27"/>
  <c r="AN68" i="27"/>
  <c r="AO68" i="27"/>
  <c r="AX68" i="27"/>
  <c r="AY68" i="27"/>
  <c r="B69" i="27"/>
  <c r="X69" i="27"/>
  <c r="AN69" i="27"/>
  <c r="A73" i="27"/>
  <c r="B73" i="27"/>
  <c r="C73" i="27"/>
  <c r="D73" i="27"/>
  <c r="E73" i="27"/>
  <c r="S73" i="27"/>
  <c r="T73" i="27"/>
  <c r="U73" i="27"/>
  <c r="V73" i="27"/>
  <c r="W73" i="27"/>
  <c r="X73" i="27"/>
  <c r="Z73" i="27"/>
  <c r="AA73" i="27"/>
  <c r="AC73" i="27"/>
  <c r="AE73" i="27"/>
  <c r="AF73" i="27"/>
  <c r="AG73" i="27"/>
  <c r="AH73" i="27"/>
  <c r="AI73" i="27"/>
  <c r="AJ73" i="27"/>
  <c r="AN73" i="27"/>
  <c r="AX73" i="27"/>
  <c r="AY73" i="27"/>
  <c r="A74" i="27"/>
  <c r="B74" i="27"/>
  <c r="C74" i="27"/>
  <c r="D74" i="27"/>
  <c r="E74" i="27"/>
  <c r="S74" i="27"/>
  <c r="T74" i="27"/>
  <c r="U74" i="27"/>
  <c r="V74" i="27"/>
  <c r="W74" i="27"/>
  <c r="X74" i="27"/>
  <c r="Z74" i="27"/>
  <c r="AA74" i="27"/>
  <c r="AC74" i="27"/>
  <c r="AE74" i="27"/>
  <c r="AF74" i="27"/>
  <c r="AG74" i="27"/>
  <c r="AH74" i="27"/>
  <c r="AI74" i="27"/>
  <c r="AJ74" i="27"/>
  <c r="AN74" i="27"/>
  <c r="AX74" i="27"/>
  <c r="AY74" i="27"/>
  <c r="A75" i="27"/>
  <c r="B75" i="27"/>
  <c r="C75" i="27"/>
  <c r="D75" i="27"/>
  <c r="E75" i="27"/>
  <c r="S75" i="27"/>
  <c r="T75" i="27"/>
  <c r="U75" i="27"/>
  <c r="V75" i="27"/>
  <c r="W75" i="27"/>
  <c r="X75" i="27"/>
  <c r="Z75" i="27"/>
  <c r="AA75" i="27"/>
  <c r="AC75" i="27"/>
  <c r="AE75" i="27"/>
  <c r="AF75" i="27"/>
  <c r="AG75" i="27"/>
  <c r="AH75" i="27"/>
  <c r="AI75" i="27"/>
  <c r="AJ75" i="27"/>
  <c r="AN75" i="27"/>
  <c r="AX75" i="27"/>
  <c r="AY75" i="27"/>
  <c r="A76" i="27"/>
  <c r="B76" i="27"/>
  <c r="C76" i="27"/>
  <c r="D76" i="27"/>
  <c r="E76" i="27"/>
  <c r="S76" i="27"/>
  <c r="T76" i="27"/>
  <c r="U76" i="27"/>
  <c r="V76" i="27"/>
  <c r="W76" i="27"/>
  <c r="X76" i="27"/>
  <c r="Z76" i="27"/>
  <c r="AA76" i="27"/>
  <c r="AC76" i="27"/>
  <c r="AE76" i="27"/>
  <c r="AF76" i="27"/>
  <c r="AG76" i="27"/>
  <c r="AH76" i="27"/>
  <c r="AI76" i="27"/>
  <c r="AJ76" i="27"/>
  <c r="AN76" i="27"/>
  <c r="AX76" i="27"/>
  <c r="AY76" i="27"/>
  <c r="A77" i="27"/>
  <c r="B77" i="27"/>
  <c r="C77" i="27"/>
  <c r="D77" i="27"/>
  <c r="E77" i="27"/>
  <c r="S77" i="27"/>
  <c r="T77" i="27"/>
  <c r="U77" i="27"/>
  <c r="V77" i="27"/>
  <c r="W77" i="27"/>
  <c r="X77" i="27"/>
  <c r="Z77" i="27"/>
  <c r="AA77" i="27"/>
  <c r="AC77" i="27"/>
  <c r="AE77" i="27"/>
  <c r="AF77" i="27"/>
  <c r="AG77" i="27"/>
  <c r="AH77" i="27"/>
  <c r="AI77" i="27"/>
  <c r="AJ77" i="27"/>
  <c r="AN77" i="27"/>
  <c r="AX77" i="27"/>
  <c r="AY77" i="27"/>
  <c r="A78" i="27"/>
  <c r="B78" i="27"/>
  <c r="C78" i="27"/>
  <c r="D78" i="27"/>
  <c r="E78" i="27"/>
  <c r="S78" i="27"/>
  <c r="T78" i="27"/>
  <c r="U78" i="27"/>
  <c r="V78" i="27"/>
  <c r="W78" i="27"/>
  <c r="X78" i="27"/>
  <c r="Z78" i="27"/>
  <c r="AA78" i="27"/>
  <c r="AC78" i="27"/>
  <c r="AE78" i="27"/>
  <c r="AF78" i="27"/>
  <c r="AG78" i="27"/>
  <c r="AH78" i="27"/>
  <c r="AI78" i="27"/>
  <c r="AJ78" i="27"/>
  <c r="AN78" i="27"/>
  <c r="AX78" i="27"/>
  <c r="AY78" i="27"/>
  <c r="A79" i="27"/>
  <c r="B79" i="27"/>
  <c r="C79" i="27"/>
  <c r="D79" i="27"/>
  <c r="E79" i="27"/>
  <c r="S79" i="27"/>
  <c r="T79" i="27"/>
  <c r="U79" i="27"/>
  <c r="V79" i="27"/>
  <c r="W79" i="27"/>
  <c r="X79" i="27"/>
  <c r="Z79" i="27"/>
  <c r="AA79" i="27"/>
  <c r="AC79" i="27"/>
  <c r="AE79" i="27"/>
  <c r="AF79" i="27"/>
  <c r="AG79" i="27"/>
  <c r="AH79" i="27"/>
  <c r="AI79" i="27"/>
  <c r="AJ79" i="27"/>
  <c r="AN79" i="27"/>
  <c r="AX79" i="27"/>
  <c r="AY79" i="27"/>
  <c r="A80" i="27"/>
  <c r="B80" i="27"/>
  <c r="C80" i="27"/>
  <c r="D80" i="27"/>
  <c r="E80" i="27"/>
  <c r="S80" i="27"/>
  <c r="T80" i="27"/>
  <c r="U80" i="27"/>
  <c r="V80" i="27"/>
  <c r="W80" i="27"/>
  <c r="X80" i="27"/>
  <c r="Z80" i="27"/>
  <c r="AA80" i="27"/>
  <c r="AC80" i="27"/>
  <c r="AE80" i="27"/>
  <c r="AF80" i="27"/>
  <c r="AG80" i="27"/>
  <c r="AH80" i="27"/>
  <c r="AI80" i="27"/>
  <c r="AJ80" i="27"/>
  <c r="AN80" i="27"/>
  <c r="AX80" i="27"/>
  <c r="AY80" i="27"/>
  <c r="A81" i="27"/>
  <c r="B81" i="27"/>
  <c r="C81" i="27"/>
  <c r="D81" i="27"/>
  <c r="E81" i="27"/>
  <c r="S81" i="27"/>
  <c r="T81" i="27"/>
  <c r="U81" i="27"/>
  <c r="V81" i="27"/>
  <c r="W81" i="27"/>
  <c r="X81" i="27"/>
  <c r="Z81" i="27"/>
  <c r="AA81" i="27"/>
  <c r="AC81" i="27"/>
  <c r="AE81" i="27"/>
  <c r="AF81" i="27"/>
  <c r="AG81" i="27"/>
  <c r="AH81" i="27"/>
  <c r="AI81" i="27"/>
  <c r="AJ81" i="27"/>
  <c r="AN81" i="27"/>
  <c r="AX81" i="27"/>
  <c r="AY81" i="27"/>
  <c r="A82" i="27"/>
  <c r="B82" i="27"/>
  <c r="C82" i="27"/>
  <c r="D82" i="27"/>
  <c r="E82" i="27"/>
  <c r="S82" i="27"/>
  <c r="T82" i="27"/>
  <c r="U82" i="27"/>
  <c r="V82" i="27"/>
  <c r="W82" i="27"/>
  <c r="X82" i="27"/>
  <c r="Z82" i="27"/>
  <c r="AA82" i="27"/>
  <c r="AC82" i="27"/>
  <c r="AE82" i="27"/>
  <c r="AF82" i="27"/>
  <c r="AG82" i="27"/>
  <c r="AH82" i="27"/>
  <c r="AI82" i="27"/>
  <c r="AJ82" i="27"/>
  <c r="AN82" i="27"/>
  <c r="AX82" i="27"/>
  <c r="AY82" i="27"/>
  <c r="A83" i="27"/>
  <c r="B83" i="27"/>
  <c r="C83" i="27"/>
  <c r="D83" i="27"/>
  <c r="E83" i="27"/>
  <c r="S83" i="27"/>
  <c r="T83" i="27"/>
  <c r="U83" i="27"/>
  <c r="V83" i="27"/>
  <c r="W83" i="27"/>
  <c r="X83" i="27"/>
  <c r="Z83" i="27"/>
  <c r="AA83" i="27"/>
  <c r="AC83" i="27"/>
  <c r="AE83" i="27"/>
  <c r="AF83" i="27"/>
  <c r="AG83" i="27"/>
  <c r="AH83" i="27"/>
  <c r="AI83" i="27"/>
  <c r="AJ83" i="27"/>
  <c r="AN83" i="27"/>
  <c r="AX83" i="27"/>
  <c r="AY83" i="27"/>
  <c r="A84" i="27"/>
  <c r="B84" i="27"/>
  <c r="C84" i="27"/>
  <c r="D84" i="27"/>
  <c r="E84" i="27"/>
  <c r="S84" i="27"/>
  <c r="T84" i="27"/>
  <c r="U84" i="27"/>
  <c r="V84" i="27"/>
  <c r="W84" i="27"/>
  <c r="X84" i="27"/>
  <c r="Z84" i="27"/>
  <c r="AA84" i="27"/>
  <c r="AC84" i="27"/>
  <c r="AE84" i="27"/>
  <c r="AF84" i="27"/>
  <c r="AG84" i="27"/>
  <c r="AH84" i="27"/>
  <c r="AI84" i="27"/>
  <c r="AJ84" i="27"/>
  <c r="AN84" i="27"/>
  <c r="AX84" i="27"/>
  <c r="AY84" i="27"/>
  <c r="A85" i="27"/>
  <c r="B85" i="27"/>
  <c r="C85" i="27"/>
  <c r="D85" i="27"/>
  <c r="E85" i="27"/>
  <c r="S85" i="27"/>
  <c r="T85" i="27"/>
  <c r="U85" i="27"/>
  <c r="V85" i="27"/>
  <c r="W85" i="27"/>
  <c r="X85" i="27"/>
  <c r="Z85" i="27"/>
  <c r="AA85" i="27"/>
  <c r="AC85" i="27"/>
  <c r="AE85" i="27"/>
  <c r="AF85" i="27"/>
  <c r="AG85" i="27"/>
  <c r="AH85" i="27"/>
  <c r="AI85" i="27"/>
  <c r="AJ85" i="27"/>
  <c r="AN85" i="27"/>
  <c r="AX85" i="27"/>
  <c r="AY85" i="27"/>
  <c r="A86" i="27"/>
  <c r="B86" i="27"/>
  <c r="C86" i="27"/>
  <c r="D86" i="27"/>
  <c r="E86" i="27"/>
  <c r="S86" i="27"/>
  <c r="T86" i="27"/>
  <c r="U86" i="27"/>
  <c r="V86" i="27"/>
  <c r="W86" i="27"/>
  <c r="X86" i="27"/>
  <c r="Z86" i="27"/>
  <c r="AA86" i="27"/>
  <c r="AC86" i="27"/>
  <c r="AE86" i="27"/>
  <c r="AF86" i="27"/>
  <c r="AG86" i="27"/>
  <c r="AH86" i="27"/>
  <c r="AI86" i="27"/>
  <c r="AJ86" i="27"/>
  <c r="AN86" i="27"/>
  <c r="AX86" i="27"/>
  <c r="AY86" i="27"/>
  <c r="A87" i="27"/>
  <c r="B87" i="27"/>
  <c r="C87" i="27"/>
  <c r="D87" i="27"/>
  <c r="E87" i="27"/>
  <c r="S87" i="27"/>
  <c r="T87" i="27"/>
  <c r="U87" i="27"/>
  <c r="V87" i="27"/>
  <c r="W87" i="27"/>
  <c r="X87" i="27"/>
  <c r="Z87" i="27"/>
  <c r="AA87" i="27"/>
  <c r="AC87" i="27"/>
  <c r="AE87" i="27"/>
  <c r="AF87" i="27"/>
  <c r="AG87" i="27"/>
  <c r="AH87" i="27"/>
  <c r="AI87" i="27"/>
  <c r="AJ87" i="27"/>
  <c r="AN87" i="27"/>
  <c r="AX87" i="27"/>
  <c r="AY87" i="27"/>
  <c r="A88" i="27"/>
  <c r="B88" i="27"/>
  <c r="C88" i="27"/>
  <c r="D88" i="27"/>
  <c r="E88" i="27"/>
  <c r="S88" i="27"/>
  <c r="T88" i="27"/>
  <c r="U88" i="27"/>
  <c r="V88" i="27"/>
  <c r="W88" i="27"/>
  <c r="X88" i="27"/>
  <c r="Z88" i="27"/>
  <c r="AA88" i="27"/>
  <c r="AC88" i="27"/>
  <c r="AE88" i="27"/>
  <c r="AF88" i="27"/>
  <c r="AG88" i="27"/>
  <c r="AH88" i="27"/>
  <c r="AI88" i="27"/>
  <c r="AJ88" i="27"/>
  <c r="AN88" i="27"/>
  <c r="AX88" i="27"/>
  <c r="AY88" i="27"/>
  <c r="A89" i="27"/>
  <c r="B89" i="27"/>
  <c r="C89" i="27"/>
  <c r="D89" i="27"/>
  <c r="E89" i="27"/>
  <c r="S89" i="27"/>
  <c r="T89" i="27"/>
  <c r="U89" i="27"/>
  <c r="V89" i="27"/>
  <c r="W89" i="27"/>
  <c r="X89" i="27"/>
  <c r="Z89" i="27"/>
  <c r="AA89" i="27"/>
  <c r="AC89" i="27"/>
  <c r="AE89" i="27"/>
  <c r="AF89" i="27"/>
  <c r="AG89" i="27"/>
  <c r="AH89" i="27"/>
  <c r="AI89" i="27"/>
  <c r="AJ89" i="27"/>
  <c r="AN89" i="27"/>
  <c r="AX89" i="27"/>
  <c r="AY89" i="27"/>
  <c r="A90" i="27"/>
  <c r="B90" i="27"/>
  <c r="C90" i="27"/>
  <c r="D90" i="27"/>
  <c r="E90" i="27"/>
  <c r="S90" i="27"/>
  <c r="T90" i="27"/>
  <c r="U90" i="27"/>
  <c r="V90" i="27"/>
  <c r="W90" i="27"/>
  <c r="X90" i="27"/>
  <c r="Z90" i="27"/>
  <c r="AA90" i="27"/>
  <c r="AC90" i="27"/>
  <c r="AE90" i="27"/>
  <c r="AF90" i="27"/>
  <c r="AG90" i="27"/>
  <c r="AH90" i="27"/>
  <c r="AI90" i="27"/>
  <c r="AJ90" i="27"/>
  <c r="AN90" i="27"/>
  <c r="AX90" i="27"/>
  <c r="AY90" i="27"/>
  <c r="A91" i="27"/>
  <c r="B91" i="27"/>
  <c r="C91" i="27"/>
  <c r="D91" i="27"/>
  <c r="E91" i="27"/>
  <c r="S91" i="27"/>
  <c r="T91" i="27"/>
  <c r="U91" i="27"/>
  <c r="V91" i="27"/>
  <c r="W91" i="27"/>
  <c r="X91" i="27"/>
  <c r="Z91" i="27"/>
  <c r="AA91" i="27"/>
  <c r="AC91" i="27"/>
  <c r="AE91" i="27"/>
  <c r="AF91" i="27"/>
  <c r="AG91" i="27"/>
  <c r="AH91" i="27"/>
  <c r="AI91" i="27"/>
  <c r="AJ91" i="27"/>
  <c r="AN91" i="27"/>
  <c r="AX91" i="27"/>
  <c r="AY91" i="27"/>
  <c r="A92" i="27"/>
  <c r="B92" i="27"/>
  <c r="C92" i="27"/>
  <c r="D92" i="27"/>
  <c r="E92" i="27"/>
  <c r="S92" i="27"/>
  <c r="T92" i="27"/>
  <c r="U92" i="27"/>
  <c r="V92" i="27"/>
  <c r="W92" i="27"/>
  <c r="X92" i="27"/>
  <c r="Z92" i="27"/>
  <c r="AA92" i="27"/>
  <c r="AC92" i="27"/>
  <c r="AE92" i="27"/>
  <c r="AF92" i="27"/>
  <c r="AG92" i="27"/>
  <c r="AH92" i="27"/>
  <c r="AI92" i="27"/>
  <c r="AJ92" i="27"/>
  <c r="AN92" i="27"/>
  <c r="AX92" i="27"/>
  <c r="AY92" i="27"/>
  <c r="A93" i="27"/>
  <c r="B93" i="27"/>
  <c r="C93" i="27"/>
  <c r="D93" i="27"/>
  <c r="E93" i="27"/>
  <c r="S93" i="27"/>
  <c r="T93" i="27"/>
  <c r="U93" i="27"/>
  <c r="V93" i="27"/>
  <c r="W93" i="27"/>
  <c r="X93" i="27"/>
  <c r="Z93" i="27"/>
  <c r="AA93" i="27"/>
  <c r="AC93" i="27"/>
  <c r="AE93" i="27"/>
  <c r="AF93" i="27"/>
  <c r="AG93" i="27"/>
  <c r="AH93" i="27"/>
  <c r="AI93" i="27"/>
  <c r="AJ93" i="27"/>
  <c r="AN93" i="27"/>
  <c r="AX93" i="27"/>
  <c r="AY93" i="27"/>
  <c r="A94" i="27"/>
  <c r="B94" i="27"/>
  <c r="C94" i="27"/>
  <c r="D94" i="27"/>
  <c r="E94" i="27"/>
  <c r="S94" i="27"/>
  <c r="T94" i="27"/>
  <c r="U94" i="27"/>
  <c r="V94" i="27"/>
  <c r="W94" i="27"/>
  <c r="X94" i="27"/>
  <c r="Z94" i="27"/>
  <c r="AA94" i="27"/>
  <c r="AC94" i="27"/>
  <c r="AE94" i="27"/>
  <c r="AF94" i="27"/>
  <c r="AG94" i="27"/>
  <c r="AH94" i="27"/>
  <c r="AI94" i="27"/>
  <c r="AJ94" i="27"/>
  <c r="AN94" i="27"/>
  <c r="AX94" i="27"/>
  <c r="AY94" i="27"/>
  <c r="A95" i="27"/>
  <c r="B95" i="27"/>
  <c r="C95" i="27"/>
  <c r="D95" i="27"/>
  <c r="E95" i="27"/>
  <c r="S95" i="27"/>
  <c r="T95" i="27"/>
  <c r="U95" i="27"/>
  <c r="V95" i="27"/>
  <c r="W95" i="27"/>
  <c r="X95" i="27"/>
  <c r="Z95" i="27"/>
  <c r="AA95" i="27"/>
  <c r="AC95" i="27"/>
  <c r="AE95" i="27"/>
  <c r="AF95" i="27"/>
  <c r="AG95" i="27"/>
  <c r="AH95" i="27"/>
  <c r="AI95" i="27"/>
  <c r="AJ95" i="27"/>
  <c r="AN95" i="27"/>
  <c r="AX95" i="27"/>
  <c r="AY95" i="27"/>
  <c r="A96" i="27"/>
  <c r="B96" i="27"/>
  <c r="C96" i="27"/>
  <c r="D96" i="27"/>
  <c r="E96" i="27"/>
  <c r="S96" i="27"/>
  <c r="T96" i="27"/>
  <c r="U96" i="27"/>
  <c r="V96" i="27"/>
  <c r="W96" i="27"/>
  <c r="X96" i="27"/>
  <c r="Z96" i="27"/>
  <c r="AA96" i="27"/>
  <c r="AC96" i="27"/>
  <c r="AE96" i="27"/>
  <c r="AF96" i="27"/>
  <c r="AG96" i="27"/>
  <c r="AH96" i="27"/>
  <c r="AI96" i="27"/>
  <c r="AJ96" i="27"/>
  <c r="AN96" i="27"/>
  <c r="AX96" i="27"/>
  <c r="AY96" i="27"/>
  <c r="A97" i="27"/>
  <c r="B97" i="27"/>
  <c r="C97" i="27"/>
  <c r="D97" i="27"/>
  <c r="E97" i="27"/>
  <c r="S97" i="27"/>
  <c r="T97" i="27"/>
  <c r="U97" i="27"/>
  <c r="V97" i="27"/>
  <c r="W97" i="27"/>
  <c r="X97" i="27"/>
  <c r="Z97" i="27"/>
  <c r="AA97" i="27"/>
  <c r="AC97" i="27"/>
  <c r="AE97" i="27"/>
  <c r="AF97" i="27"/>
  <c r="AG97" i="27"/>
  <c r="AH97" i="27"/>
  <c r="AI97" i="27"/>
  <c r="AJ97" i="27"/>
  <c r="AN97" i="27"/>
  <c r="AX97" i="27"/>
  <c r="AY97" i="27"/>
  <c r="A98" i="27"/>
  <c r="B98" i="27"/>
  <c r="C98" i="27"/>
  <c r="D98" i="27"/>
  <c r="E98" i="27"/>
  <c r="S98" i="27"/>
  <c r="T98" i="27"/>
  <c r="U98" i="27"/>
  <c r="V98" i="27"/>
  <c r="W98" i="27"/>
  <c r="X98" i="27"/>
  <c r="Z98" i="27"/>
  <c r="AA98" i="27"/>
  <c r="AC98" i="27"/>
  <c r="AE98" i="27"/>
  <c r="AF98" i="27"/>
  <c r="AG98" i="27"/>
  <c r="AH98" i="27"/>
  <c r="AI98" i="27"/>
  <c r="AJ98" i="27"/>
  <c r="AN98" i="27"/>
  <c r="AX98" i="27"/>
  <c r="AY98" i="27"/>
  <c r="A99" i="27"/>
  <c r="B99" i="27"/>
  <c r="C99" i="27"/>
  <c r="D99" i="27"/>
  <c r="E99" i="27"/>
  <c r="S99" i="27"/>
  <c r="T99" i="27"/>
  <c r="U99" i="27"/>
  <c r="V99" i="27"/>
  <c r="W99" i="27"/>
  <c r="X99" i="27"/>
  <c r="Z99" i="27"/>
  <c r="AA99" i="27"/>
  <c r="AC99" i="27"/>
  <c r="AE99" i="27"/>
  <c r="AF99" i="27"/>
  <c r="AG99" i="27"/>
  <c r="AH99" i="27"/>
  <c r="AI99" i="27"/>
  <c r="AJ99" i="27"/>
  <c r="AN99" i="27"/>
  <c r="AX99" i="27"/>
  <c r="AY99" i="27"/>
  <c r="A100" i="27"/>
  <c r="B100" i="27"/>
  <c r="C100" i="27"/>
  <c r="D100" i="27"/>
  <c r="E100" i="27"/>
  <c r="S100" i="27"/>
  <c r="T100" i="27"/>
  <c r="U100" i="27"/>
  <c r="V100" i="27"/>
  <c r="W100" i="27"/>
  <c r="X100" i="27"/>
  <c r="Z100" i="27"/>
  <c r="AA100" i="27"/>
  <c r="AC100" i="27"/>
  <c r="AE100" i="27"/>
  <c r="AF100" i="27"/>
  <c r="AG100" i="27"/>
  <c r="AH100" i="27"/>
  <c r="AI100" i="27"/>
  <c r="AJ100" i="27"/>
  <c r="AN100" i="27"/>
  <c r="AX100" i="27"/>
  <c r="AY100" i="27"/>
  <c r="A101" i="27"/>
  <c r="B101" i="27"/>
  <c r="C101" i="27"/>
  <c r="D101" i="27"/>
  <c r="E101" i="27"/>
  <c r="S101" i="27"/>
  <c r="T101" i="27"/>
  <c r="U101" i="27"/>
  <c r="V101" i="27"/>
  <c r="W101" i="27"/>
  <c r="X101" i="27"/>
  <c r="Z101" i="27"/>
  <c r="AA101" i="27"/>
  <c r="AC101" i="27"/>
  <c r="AE101" i="27"/>
  <c r="AF101" i="27"/>
  <c r="AG101" i="27"/>
  <c r="AH101" i="27"/>
  <c r="AI101" i="27"/>
  <c r="AJ101" i="27"/>
  <c r="AN101" i="27"/>
  <c r="AX101" i="27"/>
  <c r="AY101" i="27"/>
  <c r="A102" i="27"/>
  <c r="B102" i="27"/>
  <c r="C102" i="27"/>
  <c r="D102" i="27"/>
  <c r="E102" i="27"/>
  <c r="S102" i="27"/>
  <c r="T102" i="27"/>
  <c r="U102" i="27"/>
  <c r="V102" i="27"/>
  <c r="W102" i="27"/>
  <c r="X102" i="27"/>
  <c r="Z102" i="27"/>
  <c r="AA102" i="27"/>
  <c r="AC102" i="27"/>
  <c r="AE102" i="27"/>
  <c r="AF102" i="27"/>
  <c r="AG102" i="27"/>
  <c r="AH102" i="27"/>
  <c r="AI102" i="27"/>
  <c r="AJ102" i="27"/>
  <c r="AN102" i="27"/>
  <c r="AX102" i="27"/>
  <c r="AY102" i="27"/>
  <c r="A103" i="27"/>
  <c r="B103" i="27"/>
  <c r="C103" i="27"/>
  <c r="D103" i="27"/>
  <c r="E103" i="27"/>
  <c r="S103" i="27"/>
  <c r="T103" i="27"/>
  <c r="U103" i="27"/>
  <c r="V103" i="27"/>
  <c r="W103" i="27"/>
  <c r="X103" i="27"/>
  <c r="Z103" i="27"/>
  <c r="AA103" i="27"/>
  <c r="AC103" i="27"/>
  <c r="AE103" i="27"/>
  <c r="AF103" i="27"/>
  <c r="AG103" i="27"/>
  <c r="AH103" i="27"/>
  <c r="AI103" i="27"/>
  <c r="AJ103" i="27"/>
  <c r="AN103" i="27"/>
  <c r="AX103" i="27"/>
  <c r="AY103" i="27"/>
  <c r="A104" i="27"/>
  <c r="B104" i="27"/>
  <c r="C104" i="27"/>
  <c r="D104" i="27"/>
  <c r="E104" i="27"/>
  <c r="S104" i="27"/>
  <c r="T104" i="27"/>
  <c r="U104" i="27"/>
  <c r="V104" i="27"/>
  <c r="W104" i="27"/>
  <c r="X104" i="27"/>
  <c r="Z104" i="27"/>
  <c r="AA104" i="27"/>
  <c r="AC104" i="27"/>
  <c r="AE104" i="27"/>
  <c r="AF104" i="27"/>
  <c r="AG104" i="27"/>
  <c r="AH104" i="27"/>
  <c r="AI104" i="27"/>
  <c r="AJ104" i="27"/>
  <c r="AN104" i="27"/>
  <c r="AX104" i="27"/>
  <c r="AY104" i="27"/>
  <c r="A105" i="27"/>
  <c r="B105" i="27"/>
  <c r="C105" i="27"/>
  <c r="D105" i="27"/>
  <c r="E105" i="27"/>
  <c r="S105" i="27"/>
  <c r="T105" i="27"/>
  <c r="U105" i="27"/>
  <c r="V105" i="27"/>
  <c r="W105" i="27"/>
  <c r="X105" i="27"/>
  <c r="Z105" i="27"/>
  <c r="AA105" i="27"/>
  <c r="AC105" i="27"/>
  <c r="AE105" i="27"/>
  <c r="AF105" i="27"/>
  <c r="AG105" i="27"/>
  <c r="AH105" i="27"/>
  <c r="AI105" i="27"/>
  <c r="AJ105" i="27"/>
  <c r="AN105" i="27"/>
  <c r="AX105" i="27"/>
  <c r="AY105" i="27"/>
  <c r="A106" i="27"/>
  <c r="B106" i="27"/>
  <c r="C106" i="27"/>
  <c r="D106" i="27"/>
  <c r="E106" i="27"/>
  <c r="S106" i="27"/>
  <c r="T106" i="27"/>
  <c r="U106" i="27"/>
  <c r="V106" i="27"/>
  <c r="W106" i="27"/>
  <c r="X106" i="27"/>
  <c r="Z106" i="27"/>
  <c r="AA106" i="27"/>
  <c r="AC106" i="27"/>
  <c r="AE106" i="27"/>
  <c r="AF106" i="27"/>
  <c r="AG106" i="27"/>
  <c r="AH106" i="27"/>
  <c r="AI106" i="27"/>
  <c r="AJ106" i="27"/>
  <c r="AN106" i="27"/>
  <c r="AX106" i="27"/>
  <c r="AY106" i="27"/>
  <c r="A107" i="27"/>
  <c r="B107" i="27"/>
  <c r="C107" i="27"/>
  <c r="D107" i="27"/>
  <c r="E107" i="27"/>
  <c r="S107" i="27"/>
  <c r="T107" i="27"/>
  <c r="U107" i="27"/>
  <c r="V107" i="27"/>
  <c r="W107" i="27"/>
  <c r="X107" i="27"/>
  <c r="Z107" i="27"/>
  <c r="AA107" i="27"/>
  <c r="AC107" i="27"/>
  <c r="AE107" i="27"/>
  <c r="AF107" i="27"/>
  <c r="AG107" i="27"/>
  <c r="AH107" i="27"/>
  <c r="AI107" i="27"/>
  <c r="AJ107" i="27"/>
  <c r="AN107" i="27"/>
  <c r="AX107" i="27"/>
  <c r="AY107" i="27"/>
  <c r="A108" i="27"/>
  <c r="B108" i="27"/>
  <c r="C108" i="27"/>
  <c r="D108" i="27"/>
  <c r="E108" i="27"/>
  <c r="S108" i="27"/>
  <c r="T108" i="27"/>
  <c r="U108" i="27"/>
  <c r="V108" i="27"/>
  <c r="W108" i="27"/>
  <c r="X108" i="27"/>
  <c r="Z108" i="27"/>
  <c r="AA108" i="27"/>
  <c r="AC108" i="27"/>
  <c r="AE108" i="27"/>
  <c r="AF108" i="27"/>
  <c r="AG108" i="27"/>
  <c r="AH108" i="27"/>
  <c r="AI108" i="27"/>
  <c r="AJ108" i="27"/>
  <c r="AN108" i="27"/>
  <c r="AX108" i="27"/>
  <c r="AY108" i="27"/>
  <c r="A109" i="27"/>
  <c r="B109" i="27"/>
  <c r="C109" i="27"/>
  <c r="D109" i="27"/>
  <c r="E109" i="27"/>
  <c r="S109" i="27"/>
  <c r="T109" i="27"/>
  <c r="U109" i="27"/>
  <c r="V109" i="27"/>
  <c r="W109" i="27"/>
  <c r="X109" i="27"/>
  <c r="Z109" i="27"/>
  <c r="AA109" i="27"/>
  <c r="AC109" i="27"/>
  <c r="AE109" i="27"/>
  <c r="AF109" i="27"/>
  <c r="AG109" i="27"/>
  <c r="AH109" i="27"/>
  <c r="AI109" i="27"/>
  <c r="AJ109" i="27"/>
  <c r="AN109" i="27"/>
  <c r="AX109" i="27"/>
  <c r="AY109" i="27"/>
  <c r="A110" i="27"/>
  <c r="B110" i="27"/>
  <c r="C110" i="27"/>
  <c r="D110" i="27"/>
  <c r="E110" i="27"/>
  <c r="S110" i="27"/>
  <c r="T110" i="27"/>
  <c r="U110" i="27"/>
  <c r="V110" i="27"/>
  <c r="W110" i="27"/>
  <c r="X110" i="27"/>
  <c r="Z110" i="27"/>
  <c r="AA110" i="27"/>
  <c r="AC110" i="27"/>
  <c r="AE110" i="27"/>
  <c r="AF110" i="27"/>
  <c r="AG110" i="27"/>
  <c r="AH110" i="27"/>
  <c r="AI110" i="27"/>
  <c r="AJ110" i="27"/>
  <c r="AN110" i="27"/>
  <c r="AX110" i="27"/>
  <c r="AY110" i="27"/>
  <c r="A111" i="27"/>
  <c r="B111" i="27"/>
  <c r="C111" i="27"/>
  <c r="D111" i="27"/>
  <c r="E111" i="27"/>
  <c r="S111" i="27"/>
  <c r="T111" i="27"/>
  <c r="U111" i="27"/>
  <c r="V111" i="27"/>
  <c r="W111" i="27"/>
  <c r="X111" i="27"/>
  <c r="Z111" i="27"/>
  <c r="AA111" i="27"/>
  <c r="AC111" i="27"/>
  <c r="AE111" i="27"/>
  <c r="AF111" i="27"/>
  <c r="AG111" i="27"/>
  <c r="AH111" i="27"/>
  <c r="AI111" i="27"/>
  <c r="AJ111" i="27"/>
  <c r="AN111" i="27"/>
  <c r="AX111" i="27"/>
  <c r="AY111" i="27"/>
  <c r="A112" i="27"/>
  <c r="B112" i="27"/>
  <c r="C112" i="27"/>
  <c r="D112" i="27"/>
  <c r="E112" i="27"/>
  <c r="S112" i="27"/>
  <c r="T112" i="27"/>
  <c r="U112" i="27"/>
  <c r="V112" i="27"/>
  <c r="W112" i="27"/>
  <c r="X112" i="27"/>
  <c r="Z112" i="27"/>
  <c r="AA112" i="27"/>
  <c r="AC112" i="27"/>
  <c r="AE112" i="27"/>
  <c r="AF112" i="27"/>
  <c r="AG112" i="27"/>
  <c r="AH112" i="27"/>
  <c r="AI112" i="27"/>
  <c r="AJ112" i="27"/>
  <c r="AN112" i="27"/>
  <c r="AX112" i="27"/>
  <c r="AY112" i="27"/>
  <c r="A113" i="27"/>
  <c r="B113" i="27"/>
  <c r="C113" i="27"/>
  <c r="D113" i="27"/>
  <c r="E113" i="27"/>
  <c r="S113" i="27"/>
  <c r="T113" i="27"/>
  <c r="U113" i="27"/>
  <c r="V113" i="27"/>
  <c r="W113" i="27"/>
  <c r="X113" i="27"/>
  <c r="Z113" i="27"/>
  <c r="AA113" i="27"/>
  <c r="AC113" i="27"/>
  <c r="AE113" i="27"/>
  <c r="AF113" i="27"/>
  <c r="AG113" i="27"/>
  <c r="AH113" i="27"/>
  <c r="AI113" i="27"/>
  <c r="AJ113" i="27"/>
  <c r="AN113" i="27"/>
  <c r="AX113" i="27"/>
  <c r="AY113" i="27"/>
  <c r="A114" i="27"/>
  <c r="B114" i="27"/>
  <c r="C114" i="27"/>
  <c r="D114" i="27"/>
  <c r="E114" i="27"/>
  <c r="S114" i="27"/>
  <c r="T114" i="27"/>
  <c r="U114" i="27"/>
  <c r="V114" i="27"/>
  <c r="W114" i="27"/>
  <c r="X114" i="27"/>
  <c r="Z114" i="27"/>
  <c r="AA114" i="27"/>
  <c r="AC114" i="27"/>
  <c r="AE114" i="27"/>
  <c r="AF114" i="27"/>
  <c r="AG114" i="27"/>
  <c r="AH114" i="27"/>
  <c r="AI114" i="27"/>
  <c r="AJ114" i="27"/>
  <c r="AN114" i="27"/>
  <c r="AX114" i="27"/>
  <c r="AY114" i="27"/>
  <c r="A115" i="27"/>
  <c r="B115" i="27"/>
  <c r="C115" i="27"/>
  <c r="D115" i="27"/>
  <c r="E115" i="27"/>
  <c r="S115" i="27"/>
  <c r="T115" i="27"/>
  <c r="U115" i="27"/>
  <c r="V115" i="27"/>
  <c r="W115" i="27"/>
  <c r="X115" i="27"/>
  <c r="Z115" i="27"/>
  <c r="AA115" i="27"/>
  <c r="AC115" i="27"/>
  <c r="AE115" i="27"/>
  <c r="AF115" i="27"/>
  <c r="AG115" i="27"/>
  <c r="AH115" i="27"/>
  <c r="AI115" i="27"/>
  <c r="AJ115" i="27"/>
  <c r="AN115" i="27"/>
  <c r="AX115" i="27"/>
  <c r="AY115" i="27"/>
  <c r="A116" i="27"/>
  <c r="B116" i="27"/>
  <c r="C116" i="27"/>
  <c r="D116" i="27"/>
  <c r="E116" i="27"/>
  <c r="S116" i="27"/>
  <c r="T116" i="27"/>
  <c r="U116" i="27"/>
  <c r="V116" i="27"/>
  <c r="W116" i="27"/>
  <c r="X116" i="27"/>
  <c r="Z116" i="27"/>
  <c r="AA116" i="27"/>
  <c r="AC116" i="27"/>
  <c r="AE116" i="27"/>
  <c r="AF116" i="27"/>
  <c r="AG116" i="27"/>
  <c r="AH116" i="27"/>
  <c r="AI116" i="27"/>
  <c r="AJ116" i="27"/>
  <c r="AN116" i="27"/>
  <c r="AX116" i="27"/>
  <c r="AY116" i="27"/>
  <c r="A117" i="27"/>
  <c r="B117" i="27"/>
  <c r="C117" i="27"/>
  <c r="D117" i="27"/>
  <c r="E117" i="27"/>
  <c r="S117" i="27"/>
  <c r="T117" i="27"/>
  <c r="U117" i="27"/>
  <c r="V117" i="27"/>
  <c r="W117" i="27"/>
  <c r="X117" i="27"/>
  <c r="Z117" i="27"/>
  <c r="AA117" i="27"/>
  <c r="AC117" i="27"/>
  <c r="AE117" i="27"/>
  <c r="AF117" i="27"/>
  <c r="AG117" i="27"/>
  <c r="AH117" i="27"/>
  <c r="AI117" i="27"/>
  <c r="AJ117" i="27"/>
  <c r="AN117" i="27"/>
  <c r="AX117" i="27"/>
  <c r="AY117" i="27"/>
  <c r="A118" i="27"/>
  <c r="B118" i="27"/>
  <c r="C118" i="27"/>
  <c r="D118" i="27"/>
  <c r="E118" i="27"/>
  <c r="S118" i="27"/>
  <c r="T118" i="27"/>
  <c r="U118" i="27"/>
  <c r="V118" i="27"/>
  <c r="W118" i="27"/>
  <c r="X118" i="27"/>
  <c r="Z118" i="27"/>
  <c r="AA118" i="27"/>
  <c r="AC118" i="27"/>
  <c r="AE118" i="27"/>
  <c r="AF118" i="27"/>
  <c r="AG118" i="27"/>
  <c r="AH118" i="27"/>
  <c r="AI118" i="27"/>
  <c r="AJ118" i="27"/>
  <c r="AN118" i="27"/>
  <c r="AX118" i="27"/>
  <c r="AY118" i="27"/>
  <c r="A119" i="27"/>
  <c r="B119" i="27"/>
  <c r="C119" i="27"/>
  <c r="D119" i="27"/>
  <c r="E119" i="27"/>
  <c r="S119" i="27"/>
  <c r="T119" i="27"/>
  <c r="U119" i="27"/>
  <c r="V119" i="27"/>
  <c r="W119" i="27"/>
  <c r="X119" i="27"/>
  <c r="Z119" i="27"/>
  <c r="AA119" i="27"/>
  <c r="AC119" i="27"/>
  <c r="AE119" i="27"/>
  <c r="AF119" i="27"/>
  <c r="AG119" i="27"/>
  <c r="AH119" i="27"/>
  <c r="AI119" i="27"/>
  <c r="AJ119" i="27"/>
  <c r="AN119" i="27"/>
  <c r="AX119" i="27"/>
  <c r="AY119" i="27"/>
  <c r="A120" i="27"/>
  <c r="B120" i="27"/>
  <c r="C120" i="27"/>
  <c r="D120" i="27"/>
  <c r="E120" i="27"/>
  <c r="S120" i="27"/>
  <c r="T120" i="27"/>
  <c r="U120" i="27"/>
  <c r="V120" i="27"/>
  <c r="W120" i="27"/>
  <c r="X120" i="27"/>
  <c r="Z120" i="27"/>
  <c r="AA120" i="27"/>
  <c r="AC120" i="27"/>
  <c r="AE120" i="27"/>
  <c r="AF120" i="27"/>
  <c r="AG120" i="27"/>
  <c r="AH120" i="27"/>
  <c r="AI120" i="27"/>
  <c r="AJ120" i="27"/>
  <c r="AN120" i="27"/>
  <c r="AX120" i="27"/>
  <c r="AY120" i="27"/>
  <c r="A121" i="27"/>
  <c r="B121" i="27"/>
  <c r="C121" i="27"/>
  <c r="D121" i="27"/>
  <c r="E121" i="27"/>
  <c r="S121" i="27"/>
  <c r="T121" i="27"/>
  <c r="U121" i="27"/>
  <c r="V121" i="27"/>
  <c r="W121" i="27"/>
  <c r="X121" i="27"/>
  <c r="Z121" i="27"/>
  <c r="AA121" i="27"/>
  <c r="AC121" i="27"/>
  <c r="AE121" i="27"/>
  <c r="AF121" i="27"/>
  <c r="AG121" i="27"/>
  <c r="AH121" i="27"/>
  <c r="AI121" i="27"/>
  <c r="AJ121" i="27"/>
  <c r="AN121" i="27"/>
  <c r="AX121" i="27"/>
  <c r="AY121" i="27"/>
  <c r="A122" i="27"/>
  <c r="B122" i="27"/>
  <c r="C122" i="27"/>
  <c r="D122" i="27"/>
  <c r="E122" i="27"/>
  <c r="S122" i="27"/>
  <c r="T122" i="27"/>
  <c r="U122" i="27"/>
  <c r="V122" i="27"/>
  <c r="W122" i="27"/>
  <c r="X122" i="27"/>
  <c r="Z122" i="27"/>
  <c r="AA122" i="27"/>
  <c r="AC122" i="27"/>
  <c r="AE122" i="27"/>
  <c r="AF122" i="27"/>
  <c r="AG122" i="27"/>
  <c r="AH122" i="27"/>
  <c r="AI122" i="27"/>
  <c r="AJ122" i="27"/>
  <c r="AN122" i="27"/>
  <c r="AX122" i="27"/>
  <c r="AY122" i="27"/>
  <c r="A123" i="27"/>
  <c r="B123" i="27"/>
  <c r="C123" i="27"/>
  <c r="D123" i="27"/>
  <c r="E123" i="27"/>
  <c r="S123" i="27"/>
  <c r="T123" i="27"/>
  <c r="U123" i="27"/>
  <c r="V123" i="27"/>
  <c r="W123" i="27"/>
  <c r="X123" i="27"/>
  <c r="Z123" i="27"/>
  <c r="AA123" i="27"/>
  <c r="AC123" i="27"/>
  <c r="AE123" i="27"/>
  <c r="AF123" i="27"/>
  <c r="AG123" i="27"/>
  <c r="AH123" i="27"/>
  <c r="AI123" i="27"/>
  <c r="AJ123" i="27"/>
  <c r="AN123" i="27"/>
  <c r="AX123" i="27"/>
  <c r="AY123" i="27"/>
  <c r="A124" i="27"/>
  <c r="B124" i="27"/>
  <c r="C124" i="27"/>
  <c r="D124" i="27"/>
  <c r="E124" i="27"/>
  <c r="S124" i="27"/>
  <c r="T124" i="27"/>
  <c r="U124" i="27"/>
  <c r="V124" i="27"/>
  <c r="W124" i="27"/>
  <c r="X124" i="27"/>
  <c r="Z124" i="27"/>
  <c r="AA124" i="27"/>
  <c r="AC124" i="27"/>
  <c r="AE124" i="27"/>
  <c r="AF124" i="27"/>
  <c r="AG124" i="27"/>
  <c r="AH124" i="27"/>
  <c r="AI124" i="27"/>
  <c r="AJ124" i="27"/>
  <c r="AN124" i="27"/>
  <c r="AX124" i="27"/>
  <c r="AY124" i="27"/>
  <c r="A125" i="27"/>
  <c r="B125" i="27"/>
  <c r="C125" i="27"/>
  <c r="D125" i="27"/>
  <c r="E125" i="27"/>
  <c r="S125" i="27"/>
  <c r="T125" i="27"/>
  <c r="U125" i="27"/>
  <c r="V125" i="27"/>
  <c r="W125" i="27"/>
  <c r="X125" i="27"/>
  <c r="Z125" i="27"/>
  <c r="AA125" i="27"/>
  <c r="AC125" i="27"/>
  <c r="AE125" i="27"/>
  <c r="AF125" i="27"/>
  <c r="AG125" i="27"/>
  <c r="AH125" i="27"/>
  <c r="AI125" i="27"/>
  <c r="AJ125" i="27"/>
  <c r="AN125" i="27"/>
  <c r="AX125" i="27"/>
  <c r="AY125" i="27"/>
  <c r="A126" i="27"/>
  <c r="B126" i="27"/>
  <c r="C126" i="27"/>
  <c r="D126" i="27"/>
  <c r="E126" i="27"/>
  <c r="S126" i="27"/>
  <c r="T126" i="27"/>
  <c r="U126" i="27"/>
  <c r="V126" i="27"/>
  <c r="W126" i="27"/>
  <c r="X126" i="27"/>
  <c r="Z126" i="27"/>
  <c r="AA126" i="27"/>
  <c r="AC126" i="27"/>
  <c r="AE126" i="27"/>
  <c r="AF126" i="27"/>
  <c r="AG126" i="27"/>
  <c r="AH126" i="27"/>
  <c r="AI126" i="27"/>
  <c r="AJ126" i="27"/>
  <c r="AN126" i="27"/>
  <c r="AX126" i="27"/>
  <c r="AY126" i="27"/>
  <c r="A127" i="27"/>
  <c r="B127" i="27"/>
  <c r="C127" i="27"/>
  <c r="D127" i="27"/>
  <c r="E127" i="27"/>
  <c r="S127" i="27"/>
  <c r="T127" i="27"/>
  <c r="U127" i="27"/>
  <c r="V127" i="27"/>
  <c r="W127" i="27"/>
  <c r="X127" i="27"/>
  <c r="Z127" i="27"/>
  <c r="AA127" i="27"/>
  <c r="AC127" i="27"/>
  <c r="AE127" i="27"/>
  <c r="AF127" i="27"/>
  <c r="AG127" i="27"/>
  <c r="AH127" i="27"/>
  <c r="AI127" i="27"/>
  <c r="AJ127" i="27"/>
  <c r="AN127" i="27"/>
  <c r="AX127" i="27"/>
  <c r="AY127" i="27"/>
  <c r="A128" i="27"/>
  <c r="B128" i="27"/>
  <c r="C128" i="27"/>
  <c r="D128" i="27"/>
  <c r="E128" i="27"/>
  <c r="S128" i="27"/>
  <c r="T128" i="27"/>
  <c r="U128" i="27"/>
  <c r="V128" i="27"/>
  <c r="W128" i="27"/>
  <c r="X128" i="27"/>
  <c r="Z128" i="27"/>
  <c r="AA128" i="27"/>
  <c r="AC128" i="27"/>
  <c r="AE128" i="27"/>
  <c r="AF128" i="27"/>
  <c r="AG128" i="27"/>
  <c r="AH128" i="27"/>
  <c r="AI128" i="27"/>
  <c r="AJ128" i="27"/>
  <c r="AN128" i="27"/>
  <c r="AX128" i="27"/>
  <c r="AY128" i="27"/>
  <c r="A129" i="27"/>
  <c r="B129" i="27"/>
  <c r="C129" i="27"/>
  <c r="D129" i="27"/>
  <c r="E129" i="27"/>
  <c r="S129" i="27"/>
  <c r="T129" i="27"/>
  <c r="U129" i="27"/>
  <c r="V129" i="27"/>
  <c r="W129" i="27"/>
  <c r="X129" i="27"/>
  <c r="Z129" i="27"/>
  <c r="AA129" i="27"/>
  <c r="AC129" i="27"/>
  <c r="AE129" i="27"/>
  <c r="AF129" i="27"/>
  <c r="AG129" i="27"/>
  <c r="AH129" i="27"/>
  <c r="AI129" i="27"/>
  <c r="AJ129" i="27"/>
  <c r="AN129" i="27"/>
  <c r="AX129" i="27"/>
  <c r="AY129" i="27"/>
  <c r="A130" i="27"/>
  <c r="B130" i="27"/>
  <c r="C130" i="27"/>
  <c r="D130" i="27"/>
  <c r="E130" i="27"/>
  <c r="S130" i="27"/>
  <c r="T130" i="27"/>
  <c r="U130" i="27"/>
  <c r="V130" i="27"/>
  <c r="W130" i="27"/>
  <c r="X130" i="27"/>
  <c r="Z130" i="27"/>
  <c r="AA130" i="27"/>
  <c r="AC130" i="27"/>
  <c r="AE130" i="27"/>
  <c r="AF130" i="27"/>
  <c r="AG130" i="27"/>
  <c r="AH130" i="27"/>
  <c r="AI130" i="27"/>
  <c r="AJ130" i="27"/>
  <c r="AN130" i="27"/>
  <c r="AX130" i="27"/>
  <c r="AY130" i="27"/>
  <c r="A131" i="27"/>
  <c r="B131" i="27"/>
  <c r="C131" i="27"/>
  <c r="D131" i="27"/>
  <c r="E131" i="27"/>
  <c r="S131" i="27"/>
  <c r="T131" i="27"/>
  <c r="U131" i="27"/>
  <c r="V131" i="27"/>
  <c r="W131" i="27"/>
  <c r="X131" i="27"/>
  <c r="Z131" i="27"/>
  <c r="AA131" i="27"/>
  <c r="AC131" i="27"/>
  <c r="AE131" i="27"/>
  <c r="AF131" i="27"/>
  <c r="AG131" i="27"/>
  <c r="AH131" i="27"/>
  <c r="AI131" i="27"/>
  <c r="AJ131" i="27"/>
  <c r="AN131" i="27"/>
  <c r="AX131" i="27"/>
  <c r="AY131" i="27"/>
  <c r="A132" i="27"/>
  <c r="B132" i="27"/>
  <c r="C132" i="27"/>
  <c r="D132" i="27"/>
  <c r="E132" i="27"/>
  <c r="S132" i="27"/>
  <c r="T132" i="27"/>
  <c r="U132" i="27"/>
  <c r="V132" i="27"/>
  <c r="W132" i="27"/>
  <c r="X132" i="27"/>
  <c r="Z132" i="27"/>
  <c r="AA132" i="27"/>
  <c r="AC132" i="27"/>
  <c r="AE132" i="27"/>
  <c r="AF132" i="27"/>
  <c r="AG132" i="27"/>
  <c r="AH132" i="27"/>
  <c r="AI132" i="27"/>
  <c r="AJ132" i="27"/>
  <c r="AN132" i="27"/>
  <c r="AX132" i="27"/>
  <c r="AY132" i="27"/>
  <c r="A133" i="27"/>
  <c r="B133" i="27"/>
  <c r="C133" i="27"/>
  <c r="D133" i="27"/>
  <c r="E133" i="27"/>
  <c r="S133" i="27"/>
  <c r="T133" i="27"/>
  <c r="U133" i="27"/>
  <c r="V133" i="27"/>
  <c r="W133" i="27"/>
  <c r="X133" i="27"/>
  <c r="Z133" i="27"/>
  <c r="AA133" i="27"/>
  <c r="AC133" i="27"/>
  <c r="AE133" i="27"/>
  <c r="AF133" i="27"/>
  <c r="AG133" i="27"/>
  <c r="AH133" i="27"/>
  <c r="AI133" i="27"/>
  <c r="AJ133" i="27"/>
  <c r="AN133" i="27"/>
  <c r="AX133" i="27"/>
  <c r="AY133" i="27"/>
  <c r="A134" i="27"/>
  <c r="B134" i="27"/>
  <c r="C134" i="27"/>
  <c r="D134" i="27"/>
  <c r="E134" i="27"/>
  <c r="S134" i="27"/>
  <c r="T134" i="27"/>
  <c r="U134" i="27"/>
  <c r="V134" i="27"/>
  <c r="W134" i="27"/>
  <c r="X134" i="27"/>
  <c r="Z134" i="27"/>
  <c r="AA134" i="27"/>
  <c r="AC134" i="27"/>
  <c r="AE134" i="27"/>
  <c r="AF134" i="27"/>
  <c r="AG134" i="27"/>
  <c r="AH134" i="27"/>
  <c r="AI134" i="27"/>
  <c r="AJ134" i="27"/>
  <c r="AN134" i="27"/>
  <c r="AX134" i="27"/>
  <c r="AY134" i="27"/>
  <c r="A135" i="27"/>
  <c r="B135" i="27"/>
  <c r="C135" i="27"/>
  <c r="D135" i="27"/>
  <c r="E135" i="27"/>
  <c r="S135" i="27"/>
  <c r="T135" i="27"/>
  <c r="U135" i="27"/>
  <c r="V135" i="27"/>
  <c r="W135" i="27"/>
  <c r="X135" i="27"/>
  <c r="Z135" i="27"/>
  <c r="AA135" i="27"/>
  <c r="AC135" i="27"/>
  <c r="AE135" i="27"/>
  <c r="AF135" i="27"/>
  <c r="AG135" i="27"/>
  <c r="AH135" i="27"/>
  <c r="AI135" i="27"/>
  <c r="AJ135" i="27"/>
  <c r="AN135" i="27"/>
  <c r="AX135" i="27"/>
  <c r="AY135" i="27"/>
  <c r="A136" i="27"/>
  <c r="B136" i="27"/>
  <c r="C136" i="27"/>
  <c r="D136" i="27"/>
  <c r="E136" i="27"/>
  <c r="S136" i="27"/>
  <c r="T136" i="27"/>
  <c r="U136" i="27"/>
  <c r="V136" i="27"/>
  <c r="W136" i="27"/>
  <c r="X136" i="27"/>
  <c r="Z136" i="27"/>
  <c r="AA136" i="27"/>
  <c r="AC136" i="27"/>
  <c r="AE136" i="27"/>
  <c r="AF136" i="27"/>
  <c r="AG136" i="27"/>
  <c r="AH136" i="27"/>
  <c r="AI136" i="27"/>
  <c r="AJ136" i="27"/>
  <c r="AN136" i="27"/>
  <c r="AX136" i="27"/>
  <c r="AY136" i="27"/>
  <c r="A137" i="27"/>
  <c r="B137" i="27"/>
  <c r="C137" i="27"/>
  <c r="D137" i="27"/>
  <c r="E137" i="27"/>
  <c r="S137" i="27"/>
  <c r="T137" i="27"/>
  <c r="U137" i="27"/>
  <c r="V137" i="27"/>
  <c r="W137" i="27"/>
  <c r="X137" i="27"/>
  <c r="Z137" i="27"/>
  <c r="AA137" i="27"/>
  <c r="AC137" i="27"/>
  <c r="AE137" i="27"/>
  <c r="AF137" i="27"/>
  <c r="AG137" i="27"/>
  <c r="AH137" i="27"/>
  <c r="AI137" i="27"/>
  <c r="AJ137" i="27"/>
  <c r="AN137" i="27"/>
  <c r="AX137" i="27"/>
  <c r="AY137" i="27"/>
  <c r="A138" i="27"/>
  <c r="B138" i="27"/>
  <c r="C138" i="27"/>
  <c r="D138" i="27"/>
  <c r="E138" i="27"/>
  <c r="S138" i="27"/>
  <c r="T138" i="27"/>
  <c r="U138" i="27"/>
  <c r="V138" i="27"/>
  <c r="W138" i="27"/>
  <c r="X138" i="27"/>
  <c r="Z138" i="27"/>
  <c r="AA138" i="27"/>
  <c r="AC138" i="27"/>
  <c r="AE138" i="27"/>
  <c r="AF138" i="27"/>
  <c r="AG138" i="27"/>
  <c r="AH138" i="27"/>
  <c r="AI138" i="27"/>
  <c r="AJ138" i="27"/>
  <c r="AN138" i="27"/>
  <c r="AX138" i="27"/>
  <c r="AY138" i="27"/>
  <c r="A139" i="27"/>
  <c r="B139" i="27"/>
  <c r="C139" i="27"/>
  <c r="D139" i="27"/>
  <c r="E139" i="27"/>
  <c r="S139" i="27"/>
  <c r="T139" i="27"/>
  <c r="U139" i="27"/>
  <c r="V139" i="27"/>
  <c r="W139" i="27"/>
  <c r="X139" i="27"/>
  <c r="Z139" i="27"/>
  <c r="AA139" i="27"/>
  <c r="AC139" i="27"/>
  <c r="AE139" i="27"/>
  <c r="AF139" i="27"/>
  <c r="AG139" i="27"/>
  <c r="AH139" i="27"/>
  <c r="AI139" i="27"/>
  <c r="AJ139" i="27"/>
  <c r="AN139" i="27"/>
  <c r="AX139" i="27"/>
  <c r="AY139" i="27"/>
  <c r="A140" i="27"/>
  <c r="B140" i="27"/>
  <c r="C140" i="27"/>
  <c r="D140" i="27"/>
  <c r="E140" i="27"/>
  <c r="S140" i="27"/>
  <c r="T140" i="27"/>
  <c r="U140" i="27"/>
  <c r="V140" i="27"/>
  <c r="W140" i="27"/>
  <c r="X140" i="27"/>
  <c r="Z140" i="27"/>
  <c r="AA140" i="27"/>
  <c r="AC140" i="27"/>
  <c r="AE140" i="27"/>
  <c r="AF140" i="27"/>
  <c r="AG140" i="27"/>
  <c r="AH140" i="27"/>
  <c r="AI140" i="27"/>
  <c r="AJ140" i="27"/>
  <c r="AN140" i="27"/>
  <c r="AX140" i="27"/>
  <c r="AY140" i="27"/>
  <c r="A141" i="27"/>
  <c r="B141" i="27"/>
  <c r="C141" i="27"/>
  <c r="D141" i="27"/>
  <c r="E141" i="27"/>
  <c r="S141" i="27"/>
  <c r="T141" i="27"/>
  <c r="U141" i="27"/>
  <c r="V141" i="27"/>
  <c r="W141" i="27"/>
  <c r="X141" i="27"/>
  <c r="Z141" i="27"/>
  <c r="AA141" i="27"/>
  <c r="AC141" i="27"/>
  <c r="AE141" i="27"/>
  <c r="AF141" i="27"/>
  <c r="AG141" i="27"/>
  <c r="AH141" i="27"/>
  <c r="AI141" i="27"/>
  <c r="AJ141" i="27"/>
  <c r="AN141" i="27"/>
  <c r="AX141" i="27"/>
  <c r="AY141" i="27"/>
  <c r="A142" i="27"/>
  <c r="B142" i="27"/>
  <c r="C142" i="27"/>
  <c r="D142" i="27"/>
  <c r="E142" i="27"/>
  <c r="S142" i="27"/>
  <c r="T142" i="27"/>
  <c r="U142" i="27"/>
  <c r="V142" i="27"/>
  <c r="W142" i="27"/>
  <c r="X142" i="27"/>
  <c r="Z142" i="27"/>
  <c r="AA142" i="27"/>
  <c r="AC142" i="27"/>
  <c r="AE142" i="27"/>
  <c r="AF142" i="27"/>
  <c r="AG142" i="27"/>
  <c r="AH142" i="27"/>
  <c r="AI142" i="27"/>
  <c r="AJ142" i="27"/>
  <c r="AN142" i="27"/>
  <c r="AX142" i="27"/>
  <c r="AY142" i="27"/>
  <c r="A143" i="27"/>
  <c r="B143" i="27"/>
  <c r="C143" i="27"/>
  <c r="D143" i="27"/>
  <c r="E143" i="27"/>
  <c r="S143" i="27"/>
  <c r="T143" i="27"/>
  <c r="U143" i="27"/>
  <c r="V143" i="27"/>
  <c r="W143" i="27"/>
  <c r="X143" i="27"/>
  <c r="Z143" i="27"/>
  <c r="AA143" i="27"/>
  <c r="AC143" i="27"/>
  <c r="AE143" i="27"/>
  <c r="AF143" i="27"/>
  <c r="AG143" i="27"/>
  <c r="AH143" i="27"/>
  <c r="AI143" i="27"/>
  <c r="AJ143" i="27"/>
  <c r="AN143" i="27"/>
  <c r="AX143" i="27"/>
  <c r="AY143" i="27"/>
  <c r="B144" i="27"/>
  <c r="X144" i="27"/>
  <c r="AN144" i="27"/>
  <c r="A148" i="27"/>
  <c r="B148" i="27"/>
  <c r="C148" i="27"/>
  <c r="D148" i="27"/>
  <c r="E148" i="27"/>
  <c r="S148" i="27"/>
  <c r="T148" i="27"/>
  <c r="U148" i="27"/>
  <c r="V148" i="27"/>
  <c r="W148" i="27"/>
  <c r="X148" i="27"/>
  <c r="Z148" i="27"/>
  <c r="AA148" i="27"/>
  <c r="AC148" i="27"/>
  <c r="AG148" i="27"/>
  <c r="AH148" i="27"/>
  <c r="AJ148" i="27"/>
  <c r="AM148" i="27"/>
  <c r="AN148" i="27"/>
  <c r="AO148" i="27"/>
  <c r="AX148" i="27"/>
  <c r="AY148" i="27"/>
  <c r="A149" i="27"/>
  <c r="B149" i="27"/>
  <c r="C149" i="27"/>
  <c r="D149" i="27"/>
  <c r="E149" i="27"/>
  <c r="F149" i="27"/>
  <c r="S149" i="27"/>
  <c r="T149" i="27"/>
  <c r="U149" i="27"/>
  <c r="V149" i="27"/>
  <c r="W149" i="27"/>
  <c r="X149" i="27"/>
  <c r="Z149" i="27"/>
  <c r="AA149" i="27"/>
  <c r="AC149" i="27"/>
  <c r="AG149" i="27"/>
  <c r="AH149" i="27"/>
  <c r="AJ149" i="27"/>
  <c r="AM149" i="27"/>
  <c r="AN149" i="27"/>
  <c r="AO149" i="27"/>
  <c r="AX149" i="27"/>
  <c r="AY149" i="27"/>
  <c r="A150" i="27"/>
  <c r="B150" i="27"/>
  <c r="C150" i="27"/>
  <c r="D150" i="27"/>
  <c r="E150" i="27"/>
  <c r="F150" i="27"/>
  <c r="S150" i="27"/>
  <c r="T150" i="27"/>
  <c r="U150" i="27"/>
  <c r="V150" i="27"/>
  <c r="W150" i="27"/>
  <c r="X150" i="27"/>
  <c r="Z150" i="27"/>
  <c r="AA150" i="27"/>
  <c r="AC150" i="27"/>
  <c r="AG150" i="27"/>
  <c r="AH150" i="27"/>
  <c r="AJ150" i="27"/>
  <c r="AM150" i="27"/>
  <c r="AN150" i="27"/>
  <c r="AO150" i="27"/>
  <c r="AX150" i="27"/>
  <c r="AY150" i="27"/>
  <c r="A151" i="27"/>
  <c r="B151" i="27"/>
  <c r="C151" i="27"/>
  <c r="D151" i="27"/>
  <c r="E151" i="27"/>
  <c r="F151" i="27"/>
  <c r="S151" i="27"/>
  <c r="T151" i="27"/>
  <c r="U151" i="27"/>
  <c r="V151" i="27"/>
  <c r="W151" i="27"/>
  <c r="X151" i="27"/>
  <c r="Z151" i="27"/>
  <c r="AA151" i="27"/>
  <c r="AC151" i="27"/>
  <c r="AG151" i="27"/>
  <c r="AH151" i="27"/>
  <c r="AJ151" i="27"/>
  <c r="AM151" i="27"/>
  <c r="AN151" i="27"/>
  <c r="AO151" i="27"/>
  <c r="AX151" i="27"/>
  <c r="AY151" i="27"/>
  <c r="A152" i="27"/>
  <c r="B152" i="27"/>
  <c r="C152" i="27"/>
  <c r="D152" i="27"/>
  <c r="E152" i="27"/>
  <c r="F152" i="27"/>
  <c r="S152" i="27"/>
  <c r="T152" i="27"/>
  <c r="U152" i="27"/>
  <c r="V152" i="27"/>
  <c r="W152" i="27"/>
  <c r="X152" i="27"/>
  <c r="Z152" i="27"/>
  <c r="AA152" i="27"/>
  <c r="AC152" i="27"/>
  <c r="AG152" i="27"/>
  <c r="AH152" i="27"/>
  <c r="AJ152" i="27"/>
  <c r="AM152" i="27"/>
  <c r="AN152" i="27"/>
  <c r="AO152" i="27"/>
  <c r="AX152" i="27"/>
  <c r="AY152" i="27"/>
  <c r="A153" i="27"/>
  <c r="B153" i="27"/>
  <c r="C153" i="27"/>
  <c r="D153" i="27"/>
  <c r="E153" i="27"/>
  <c r="F153" i="27"/>
  <c r="S153" i="27"/>
  <c r="T153" i="27"/>
  <c r="U153" i="27"/>
  <c r="V153" i="27"/>
  <c r="W153" i="27"/>
  <c r="X153" i="27"/>
  <c r="Z153" i="27"/>
  <c r="AA153" i="27"/>
  <c r="AC153" i="27"/>
  <c r="AG153" i="27"/>
  <c r="AH153" i="27"/>
  <c r="AJ153" i="27"/>
  <c r="AM153" i="27"/>
  <c r="AN153" i="27"/>
  <c r="AO153" i="27"/>
  <c r="AX153" i="27"/>
  <c r="AY153" i="27"/>
  <c r="A154" i="27"/>
  <c r="B154" i="27"/>
  <c r="C154" i="27"/>
  <c r="D154" i="27"/>
  <c r="E154" i="27"/>
  <c r="F154" i="27"/>
  <c r="S154" i="27"/>
  <c r="T154" i="27"/>
  <c r="U154" i="27"/>
  <c r="V154" i="27"/>
  <c r="W154" i="27"/>
  <c r="X154" i="27"/>
  <c r="Z154" i="27"/>
  <c r="AA154" i="27"/>
  <c r="AC154" i="27"/>
  <c r="AG154" i="27"/>
  <c r="AH154" i="27"/>
  <c r="AJ154" i="27"/>
  <c r="AM154" i="27"/>
  <c r="AN154" i="27"/>
  <c r="AO154" i="27"/>
  <c r="AX154" i="27"/>
  <c r="AY154" i="27"/>
  <c r="A155" i="27"/>
  <c r="B155" i="27"/>
  <c r="C155" i="27"/>
  <c r="D155" i="27"/>
  <c r="E155" i="27"/>
  <c r="F155" i="27"/>
  <c r="S155" i="27"/>
  <c r="T155" i="27"/>
  <c r="U155" i="27"/>
  <c r="V155" i="27"/>
  <c r="W155" i="27"/>
  <c r="X155" i="27"/>
  <c r="Z155" i="27"/>
  <c r="AA155" i="27"/>
  <c r="AC155" i="27"/>
  <c r="AG155" i="27"/>
  <c r="AH155" i="27"/>
  <c r="AJ155" i="27"/>
  <c r="AM155" i="27"/>
  <c r="AN155" i="27"/>
  <c r="AO155" i="27"/>
  <c r="AX155" i="27"/>
  <c r="AY155" i="27"/>
  <c r="A156" i="27"/>
  <c r="B156" i="27"/>
  <c r="C156" i="27"/>
  <c r="D156" i="27"/>
  <c r="E156" i="27"/>
  <c r="F156" i="27"/>
  <c r="S156" i="27"/>
  <c r="T156" i="27"/>
  <c r="U156" i="27"/>
  <c r="V156" i="27"/>
  <c r="W156" i="27"/>
  <c r="X156" i="27"/>
  <c r="Z156" i="27"/>
  <c r="AA156" i="27"/>
  <c r="AC156" i="27"/>
  <c r="AG156" i="27"/>
  <c r="AH156" i="27"/>
  <c r="AJ156" i="27"/>
  <c r="AM156" i="27"/>
  <c r="AN156" i="27"/>
  <c r="AO156" i="27"/>
  <c r="AX156" i="27"/>
  <c r="AY156" i="27"/>
  <c r="A157" i="27"/>
  <c r="B157" i="27"/>
  <c r="C157" i="27"/>
  <c r="D157" i="27"/>
  <c r="E157" i="27"/>
  <c r="F157" i="27"/>
  <c r="S157" i="27"/>
  <c r="T157" i="27"/>
  <c r="U157" i="27"/>
  <c r="V157" i="27"/>
  <c r="W157" i="27"/>
  <c r="X157" i="27"/>
  <c r="Z157" i="27"/>
  <c r="AA157" i="27"/>
  <c r="AC157" i="27"/>
  <c r="AG157" i="27"/>
  <c r="AH157" i="27"/>
  <c r="AJ157" i="27"/>
  <c r="AM157" i="27"/>
  <c r="AN157" i="27"/>
  <c r="AO157" i="27"/>
  <c r="AX157" i="27"/>
  <c r="AY157" i="27"/>
  <c r="A158" i="27"/>
  <c r="B158" i="27"/>
  <c r="C158" i="27"/>
  <c r="D158" i="27"/>
  <c r="E158" i="27"/>
  <c r="F158" i="27"/>
  <c r="S158" i="27"/>
  <c r="T158" i="27"/>
  <c r="U158" i="27"/>
  <c r="V158" i="27"/>
  <c r="W158" i="27"/>
  <c r="X158" i="27"/>
  <c r="Z158" i="27"/>
  <c r="AA158" i="27"/>
  <c r="AC158" i="27"/>
  <c r="AG158" i="27"/>
  <c r="AH158" i="27"/>
  <c r="AJ158" i="27"/>
  <c r="AM158" i="27"/>
  <c r="AN158" i="27"/>
  <c r="AO158" i="27"/>
  <c r="AX158" i="27"/>
  <c r="AY158" i="27"/>
  <c r="A159" i="27"/>
  <c r="B159" i="27"/>
  <c r="C159" i="27"/>
  <c r="D159" i="27"/>
  <c r="E159" i="27"/>
  <c r="F159" i="27"/>
  <c r="S159" i="27"/>
  <c r="T159" i="27"/>
  <c r="U159" i="27"/>
  <c r="V159" i="27"/>
  <c r="W159" i="27"/>
  <c r="X159" i="27"/>
  <c r="Z159" i="27"/>
  <c r="AA159" i="27"/>
  <c r="AC159" i="27"/>
  <c r="AG159" i="27"/>
  <c r="AH159" i="27"/>
  <c r="AJ159" i="27"/>
  <c r="AM159" i="27"/>
  <c r="AN159" i="27"/>
  <c r="AO159" i="27"/>
  <c r="AX159" i="27"/>
  <c r="AY159" i="27"/>
  <c r="A160" i="27"/>
  <c r="B160" i="27"/>
  <c r="C160" i="27"/>
  <c r="D160" i="27"/>
  <c r="E160" i="27"/>
  <c r="F160" i="27"/>
  <c r="S160" i="27"/>
  <c r="T160" i="27"/>
  <c r="U160" i="27"/>
  <c r="V160" i="27"/>
  <c r="W160" i="27"/>
  <c r="X160" i="27"/>
  <c r="Z160" i="27"/>
  <c r="AA160" i="27"/>
  <c r="AC160" i="27"/>
  <c r="AG160" i="27"/>
  <c r="AH160" i="27"/>
  <c r="AJ160" i="27"/>
  <c r="AM160" i="27"/>
  <c r="AN160" i="27"/>
  <c r="AO160" i="27"/>
  <c r="AX160" i="27"/>
  <c r="AY160" i="27"/>
  <c r="A161" i="27"/>
  <c r="B161" i="27"/>
  <c r="C161" i="27"/>
  <c r="D161" i="27"/>
  <c r="E161" i="27"/>
  <c r="F161" i="27"/>
  <c r="S161" i="27"/>
  <c r="T161" i="27"/>
  <c r="U161" i="27"/>
  <c r="V161" i="27"/>
  <c r="W161" i="27"/>
  <c r="X161" i="27"/>
  <c r="Z161" i="27"/>
  <c r="AA161" i="27"/>
  <c r="AC161" i="27"/>
  <c r="AG161" i="27"/>
  <c r="AH161" i="27"/>
  <c r="AJ161" i="27"/>
  <c r="AM161" i="27"/>
  <c r="AN161" i="27"/>
  <c r="AO161" i="27"/>
  <c r="AX161" i="27"/>
  <c r="AY161" i="27"/>
  <c r="A162" i="27"/>
  <c r="B162" i="27"/>
  <c r="C162" i="27"/>
  <c r="D162" i="27"/>
  <c r="E162" i="27"/>
  <c r="F162" i="27"/>
  <c r="S162" i="27"/>
  <c r="T162" i="27"/>
  <c r="U162" i="27"/>
  <c r="V162" i="27"/>
  <c r="W162" i="27"/>
  <c r="X162" i="27"/>
  <c r="Z162" i="27"/>
  <c r="AA162" i="27"/>
  <c r="AC162" i="27"/>
  <c r="AG162" i="27"/>
  <c r="AH162" i="27"/>
  <c r="AJ162" i="27"/>
  <c r="AM162" i="27"/>
  <c r="AN162" i="27"/>
  <c r="AO162" i="27"/>
  <c r="AX162" i="27"/>
  <c r="AY162" i="27"/>
  <c r="A163" i="27"/>
  <c r="B163" i="27"/>
  <c r="C163" i="27"/>
  <c r="D163" i="27"/>
  <c r="E163" i="27"/>
  <c r="F163" i="27"/>
  <c r="S163" i="27"/>
  <c r="T163" i="27"/>
  <c r="U163" i="27"/>
  <c r="V163" i="27"/>
  <c r="W163" i="27"/>
  <c r="X163" i="27"/>
  <c r="Z163" i="27"/>
  <c r="AA163" i="27"/>
  <c r="AC163" i="27"/>
  <c r="AG163" i="27"/>
  <c r="AH163" i="27"/>
  <c r="AJ163" i="27"/>
  <c r="AM163" i="27"/>
  <c r="AN163" i="27"/>
  <c r="AO163" i="27"/>
  <c r="AX163" i="27"/>
  <c r="AY163" i="27"/>
  <c r="A164" i="27"/>
  <c r="B164" i="27"/>
  <c r="C164" i="27"/>
  <c r="D164" i="27"/>
  <c r="E164" i="27"/>
  <c r="F164" i="27"/>
  <c r="S164" i="27"/>
  <c r="T164" i="27"/>
  <c r="U164" i="27"/>
  <c r="V164" i="27"/>
  <c r="W164" i="27"/>
  <c r="X164" i="27"/>
  <c r="Z164" i="27"/>
  <c r="AA164" i="27"/>
  <c r="AC164" i="27"/>
  <c r="AG164" i="27"/>
  <c r="AH164" i="27"/>
  <c r="AJ164" i="27"/>
  <c r="AM164" i="27"/>
  <c r="AN164" i="27"/>
  <c r="AO164" i="27"/>
  <c r="AX164" i="27"/>
  <c r="AY164" i="27"/>
  <c r="A165" i="27"/>
  <c r="B165" i="27"/>
  <c r="C165" i="27"/>
  <c r="D165" i="27"/>
  <c r="E165" i="27"/>
  <c r="F165" i="27"/>
  <c r="S165" i="27"/>
  <c r="T165" i="27"/>
  <c r="U165" i="27"/>
  <c r="V165" i="27"/>
  <c r="W165" i="27"/>
  <c r="X165" i="27"/>
  <c r="Z165" i="27"/>
  <c r="AA165" i="27"/>
  <c r="AC165" i="27"/>
  <c r="AG165" i="27"/>
  <c r="AH165" i="27"/>
  <c r="AJ165" i="27"/>
  <c r="AM165" i="27"/>
  <c r="AN165" i="27"/>
  <c r="AO165" i="27"/>
  <c r="AX165" i="27"/>
  <c r="AY165" i="27"/>
  <c r="A166" i="27"/>
  <c r="B166" i="27"/>
  <c r="C166" i="27"/>
  <c r="D166" i="27"/>
  <c r="E166" i="27"/>
  <c r="F166" i="27"/>
  <c r="S166" i="27"/>
  <c r="T166" i="27"/>
  <c r="U166" i="27"/>
  <c r="V166" i="27"/>
  <c r="W166" i="27"/>
  <c r="X166" i="27"/>
  <c r="Z166" i="27"/>
  <c r="AA166" i="27"/>
  <c r="AC166" i="27"/>
  <c r="AG166" i="27"/>
  <c r="AH166" i="27"/>
  <c r="AJ166" i="27"/>
  <c r="AM166" i="27"/>
  <c r="AN166" i="27"/>
  <c r="AO166" i="27"/>
  <c r="AX166" i="27"/>
  <c r="AY166" i="27"/>
  <c r="A167" i="27"/>
  <c r="B167" i="27"/>
  <c r="C167" i="27"/>
  <c r="D167" i="27"/>
  <c r="E167" i="27"/>
  <c r="F167" i="27"/>
  <c r="S167" i="27"/>
  <c r="T167" i="27"/>
  <c r="U167" i="27"/>
  <c r="V167" i="27"/>
  <c r="W167" i="27"/>
  <c r="X167" i="27"/>
  <c r="Z167" i="27"/>
  <c r="AA167" i="27"/>
  <c r="AC167" i="27"/>
  <c r="AG167" i="27"/>
  <c r="AH167" i="27"/>
  <c r="AJ167" i="27"/>
  <c r="AM167" i="27"/>
  <c r="AN167" i="27"/>
  <c r="AO167" i="27"/>
  <c r="AX167" i="27"/>
  <c r="AY167" i="27"/>
  <c r="A168" i="27"/>
  <c r="B168" i="27"/>
  <c r="C168" i="27"/>
  <c r="D168" i="27"/>
  <c r="E168" i="27"/>
  <c r="F168" i="27"/>
  <c r="S168" i="27"/>
  <c r="T168" i="27"/>
  <c r="U168" i="27"/>
  <c r="V168" i="27"/>
  <c r="W168" i="27"/>
  <c r="X168" i="27"/>
  <c r="Z168" i="27"/>
  <c r="AA168" i="27"/>
  <c r="AC168" i="27"/>
  <c r="AG168" i="27"/>
  <c r="AH168" i="27"/>
  <c r="AJ168" i="27"/>
  <c r="AM168" i="27"/>
  <c r="AN168" i="27"/>
  <c r="AO168" i="27"/>
  <c r="AX168" i="27"/>
  <c r="AY168" i="27"/>
  <c r="A169" i="27"/>
  <c r="B169" i="27"/>
  <c r="C169" i="27"/>
  <c r="D169" i="27"/>
  <c r="E169" i="27"/>
  <c r="F169" i="27"/>
  <c r="S169" i="27"/>
  <c r="T169" i="27"/>
  <c r="U169" i="27"/>
  <c r="V169" i="27"/>
  <c r="W169" i="27"/>
  <c r="X169" i="27"/>
  <c r="Z169" i="27"/>
  <c r="AA169" i="27"/>
  <c r="AC169" i="27"/>
  <c r="AG169" i="27"/>
  <c r="AH169" i="27"/>
  <c r="AJ169" i="27"/>
  <c r="AM169" i="27"/>
  <c r="AN169" i="27"/>
  <c r="AO169" i="27"/>
  <c r="AX169" i="27"/>
  <c r="AY169" i="27"/>
  <c r="A170" i="27"/>
  <c r="B170" i="27"/>
  <c r="C170" i="27"/>
  <c r="D170" i="27"/>
  <c r="E170" i="27"/>
  <c r="F170" i="27"/>
  <c r="S170" i="27"/>
  <c r="T170" i="27"/>
  <c r="U170" i="27"/>
  <c r="V170" i="27"/>
  <c r="W170" i="27"/>
  <c r="X170" i="27"/>
  <c r="Z170" i="27"/>
  <c r="AA170" i="27"/>
  <c r="AC170" i="27"/>
  <c r="AG170" i="27"/>
  <c r="AH170" i="27"/>
  <c r="AJ170" i="27"/>
  <c r="AM170" i="27"/>
  <c r="AN170" i="27"/>
  <c r="AO170" i="27"/>
  <c r="AX170" i="27"/>
  <c r="AY170" i="27"/>
  <c r="A171" i="27"/>
  <c r="B171" i="27"/>
  <c r="C171" i="27"/>
  <c r="D171" i="27"/>
  <c r="E171" i="27"/>
  <c r="F171" i="27"/>
  <c r="S171" i="27"/>
  <c r="T171" i="27"/>
  <c r="U171" i="27"/>
  <c r="V171" i="27"/>
  <c r="W171" i="27"/>
  <c r="X171" i="27"/>
  <c r="Z171" i="27"/>
  <c r="AA171" i="27"/>
  <c r="AC171" i="27"/>
  <c r="AG171" i="27"/>
  <c r="AH171" i="27"/>
  <c r="AJ171" i="27"/>
  <c r="AM171" i="27"/>
  <c r="AN171" i="27"/>
  <c r="AO171" i="27"/>
  <c r="AX171" i="27"/>
  <c r="AY171" i="27"/>
  <c r="A172" i="27"/>
  <c r="B172" i="27"/>
  <c r="C172" i="27"/>
  <c r="D172" i="27"/>
  <c r="E172" i="27"/>
  <c r="F172" i="27"/>
  <c r="S172" i="27"/>
  <c r="T172" i="27"/>
  <c r="U172" i="27"/>
  <c r="V172" i="27"/>
  <c r="W172" i="27"/>
  <c r="X172" i="27"/>
  <c r="Z172" i="27"/>
  <c r="AA172" i="27"/>
  <c r="AC172" i="27"/>
  <c r="AG172" i="27"/>
  <c r="AH172" i="27"/>
  <c r="AJ172" i="27"/>
  <c r="AM172" i="27"/>
  <c r="AN172" i="27"/>
  <c r="AO172" i="27"/>
  <c r="AX172" i="27"/>
  <c r="AY172" i="27"/>
  <c r="A173" i="27"/>
  <c r="B173" i="27"/>
  <c r="C173" i="27"/>
  <c r="D173" i="27"/>
  <c r="E173" i="27"/>
  <c r="F173" i="27"/>
  <c r="S173" i="27"/>
  <c r="T173" i="27"/>
  <c r="U173" i="27"/>
  <c r="V173" i="27"/>
  <c r="W173" i="27"/>
  <c r="X173" i="27"/>
  <c r="Z173" i="27"/>
  <c r="AA173" i="27"/>
  <c r="AC173" i="27"/>
  <c r="AG173" i="27"/>
  <c r="AH173" i="27"/>
  <c r="AJ173" i="27"/>
  <c r="AM173" i="27"/>
  <c r="AN173" i="27"/>
  <c r="AO173" i="27"/>
  <c r="AX173" i="27"/>
  <c r="AY173" i="27"/>
  <c r="A174" i="27"/>
  <c r="B174" i="27"/>
  <c r="C174" i="27"/>
  <c r="D174" i="27"/>
  <c r="E174" i="27"/>
  <c r="F174" i="27"/>
  <c r="S174" i="27"/>
  <c r="T174" i="27"/>
  <c r="U174" i="27"/>
  <c r="V174" i="27"/>
  <c r="W174" i="27"/>
  <c r="X174" i="27"/>
  <c r="Z174" i="27"/>
  <c r="AA174" i="27"/>
  <c r="AC174" i="27"/>
  <c r="AG174" i="27"/>
  <c r="AH174" i="27"/>
  <c r="AJ174" i="27"/>
  <c r="AM174" i="27"/>
  <c r="AN174" i="27"/>
  <c r="AO174" i="27"/>
  <c r="AX174" i="27"/>
  <c r="AY174" i="27"/>
  <c r="A175" i="27"/>
  <c r="B175" i="27"/>
  <c r="C175" i="27"/>
  <c r="D175" i="27"/>
  <c r="E175" i="27"/>
  <c r="F175" i="27"/>
  <c r="S175" i="27"/>
  <c r="T175" i="27"/>
  <c r="U175" i="27"/>
  <c r="V175" i="27"/>
  <c r="W175" i="27"/>
  <c r="X175" i="27"/>
  <c r="Z175" i="27"/>
  <c r="AA175" i="27"/>
  <c r="AC175" i="27"/>
  <c r="AG175" i="27"/>
  <c r="AH175" i="27"/>
  <c r="AJ175" i="27"/>
  <c r="AM175" i="27"/>
  <c r="AN175" i="27"/>
  <c r="AO175" i="27"/>
  <c r="AX175" i="27"/>
  <c r="AY175" i="27"/>
  <c r="A176" i="27"/>
  <c r="B176" i="27"/>
  <c r="C176" i="27"/>
  <c r="D176" i="27"/>
  <c r="E176" i="27"/>
  <c r="F176" i="27"/>
  <c r="S176" i="27"/>
  <c r="T176" i="27"/>
  <c r="U176" i="27"/>
  <c r="V176" i="27"/>
  <c r="W176" i="27"/>
  <c r="X176" i="27"/>
  <c r="Z176" i="27"/>
  <c r="AA176" i="27"/>
  <c r="AC176" i="27"/>
  <c r="AG176" i="27"/>
  <c r="AH176" i="27"/>
  <c r="AJ176" i="27"/>
  <c r="AM176" i="27"/>
  <c r="AN176" i="27"/>
  <c r="AO176" i="27"/>
  <c r="AX176" i="27"/>
  <c r="AY176" i="27"/>
  <c r="A177" i="27"/>
  <c r="B177" i="27"/>
  <c r="C177" i="27"/>
  <c r="D177" i="27"/>
  <c r="E177" i="27"/>
  <c r="F177" i="27"/>
  <c r="S177" i="27"/>
  <c r="T177" i="27"/>
  <c r="U177" i="27"/>
  <c r="V177" i="27"/>
  <c r="W177" i="27"/>
  <c r="X177" i="27"/>
  <c r="Z177" i="27"/>
  <c r="AA177" i="27"/>
  <c r="AC177" i="27"/>
  <c r="AG177" i="27"/>
  <c r="AH177" i="27"/>
  <c r="AJ177" i="27"/>
  <c r="AM177" i="27"/>
  <c r="AN177" i="27"/>
  <c r="AO177" i="27"/>
  <c r="AX177" i="27"/>
  <c r="AY177" i="27"/>
  <c r="A178" i="27"/>
  <c r="B178" i="27"/>
  <c r="C178" i="27"/>
  <c r="D178" i="27"/>
  <c r="E178" i="27"/>
  <c r="F178" i="27"/>
  <c r="S178" i="27"/>
  <c r="T178" i="27"/>
  <c r="U178" i="27"/>
  <c r="V178" i="27"/>
  <c r="W178" i="27"/>
  <c r="X178" i="27"/>
  <c r="Z178" i="27"/>
  <c r="AA178" i="27"/>
  <c r="AC178" i="27"/>
  <c r="AG178" i="27"/>
  <c r="AH178" i="27"/>
  <c r="AJ178" i="27"/>
  <c r="AM178" i="27"/>
  <c r="AN178" i="27"/>
  <c r="AO178" i="27"/>
  <c r="AX178" i="27"/>
  <c r="AY178" i="27"/>
  <c r="A179" i="27"/>
  <c r="B179" i="27"/>
  <c r="C179" i="27"/>
  <c r="D179" i="27"/>
  <c r="E179" i="27"/>
  <c r="F179" i="27"/>
  <c r="S179" i="27"/>
  <c r="T179" i="27"/>
  <c r="U179" i="27"/>
  <c r="V179" i="27"/>
  <c r="W179" i="27"/>
  <c r="X179" i="27"/>
  <c r="Z179" i="27"/>
  <c r="AA179" i="27"/>
  <c r="AC179" i="27"/>
  <c r="AG179" i="27"/>
  <c r="AH179" i="27"/>
  <c r="AJ179" i="27"/>
  <c r="AM179" i="27"/>
  <c r="AN179" i="27"/>
  <c r="AO179" i="27"/>
  <c r="AX179" i="27"/>
  <c r="AY179" i="27"/>
  <c r="A180" i="27"/>
  <c r="B180" i="27"/>
  <c r="C180" i="27"/>
  <c r="D180" i="27"/>
  <c r="E180" i="27"/>
  <c r="F180" i="27"/>
  <c r="S180" i="27"/>
  <c r="T180" i="27"/>
  <c r="U180" i="27"/>
  <c r="V180" i="27"/>
  <c r="W180" i="27"/>
  <c r="X180" i="27"/>
  <c r="Z180" i="27"/>
  <c r="AA180" i="27"/>
  <c r="AC180" i="27"/>
  <c r="AG180" i="27"/>
  <c r="AH180" i="27"/>
  <c r="AJ180" i="27"/>
  <c r="AM180" i="27"/>
  <c r="AN180" i="27"/>
  <c r="AO180" i="27"/>
  <c r="AX180" i="27"/>
  <c r="AY180" i="27"/>
  <c r="A181" i="27"/>
  <c r="B181" i="27"/>
  <c r="C181" i="27"/>
  <c r="D181" i="27"/>
  <c r="E181" i="27"/>
  <c r="F181" i="27"/>
  <c r="S181" i="27"/>
  <c r="T181" i="27"/>
  <c r="U181" i="27"/>
  <c r="V181" i="27"/>
  <c r="W181" i="27"/>
  <c r="X181" i="27"/>
  <c r="Z181" i="27"/>
  <c r="AA181" i="27"/>
  <c r="AC181" i="27"/>
  <c r="AG181" i="27"/>
  <c r="AH181" i="27"/>
  <c r="AJ181" i="27"/>
  <c r="AM181" i="27"/>
  <c r="AN181" i="27"/>
  <c r="AO181" i="27"/>
  <c r="AX181" i="27"/>
  <c r="AY181" i="27"/>
  <c r="A182" i="27"/>
  <c r="B182" i="27"/>
  <c r="C182" i="27"/>
  <c r="D182" i="27"/>
  <c r="E182" i="27"/>
  <c r="F182" i="27"/>
  <c r="S182" i="27"/>
  <c r="T182" i="27"/>
  <c r="U182" i="27"/>
  <c r="V182" i="27"/>
  <c r="W182" i="27"/>
  <c r="X182" i="27"/>
  <c r="Z182" i="27"/>
  <c r="AA182" i="27"/>
  <c r="AC182" i="27"/>
  <c r="AG182" i="27"/>
  <c r="AH182" i="27"/>
  <c r="AJ182" i="27"/>
  <c r="AM182" i="27"/>
  <c r="AN182" i="27"/>
  <c r="AO182" i="27"/>
  <c r="AX182" i="27"/>
  <c r="AY182" i="27"/>
  <c r="A183" i="27"/>
  <c r="B183" i="27"/>
  <c r="C183" i="27"/>
  <c r="D183" i="27"/>
  <c r="E183" i="27"/>
  <c r="F183" i="27"/>
  <c r="S183" i="27"/>
  <c r="T183" i="27"/>
  <c r="U183" i="27"/>
  <c r="V183" i="27"/>
  <c r="W183" i="27"/>
  <c r="X183" i="27"/>
  <c r="Z183" i="27"/>
  <c r="AA183" i="27"/>
  <c r="AC183" i="27"/>
  <c r="AG183" i="27"/>
  <c r="AH183" i="27"/>
  <c r="AJ183" i="27"/>
  <c r="AM183" i="27"/>
  <c r="AN183" i="27"/>
  <c r="AO183" i="27"/>
  <c r="AX183" i="27"/>
  <c r="AY183" i="27"/>
  <c r="A184" i="27"/>
  <c r="B184" i="27"/>
  <c r="C184" i="27"/>
  <c r="D184" i="27"/>
  <c r="E184" i="27"/>
  <c r="F184" i="27"/>
  <c r="S184" i="27"/>
  <c r="T184" i="27"/>
  <c r="U184" i="27"/>
  <c r="V184" i="27"/>
  <c r="W184" i="27"/>
  <c r="X184" i="27"/>
  <c r="Z184" i="27"/>
  <c r="AA184" i="27"/>
  <c r="AC184" i="27"/>
  <c r="AG184" i="27"/>
  <c r="AH184" i="27"/>
  <c r="AJ184" i="27"/>
  <c r="AM184" i="27"/>
  <c r="AN184" i="27"/>
  <c r="AO184" i="27"/>
  <c r="AX184" i="27"/>
  <c r="AY184" i="27"/>
  <c r="A185" i="27"/>
  <c r="B185" i="27"/>
  <c r="C185" i="27"/>
  <c r="D185" i="27"/>
  <c r="E185" i="27"/>
  <c r="F185" i="27"/>
  <c r="S185" i="27"/>
  <c r="T185" i="27"/>
  <c r="U185" i="27"/>
  <c r="V185" i="27"/>
  <c r="W185" i="27"/>
  <c r="X185" i="27"/>
  <c r="Z185" i="27"/>
  <c r="AA185" i="27"/>
  <c r="AC185" i="27"/>
  <c r="AG185" i="27"/>
  <c r="AH185" i="27"/>
  <c r="AJ185" i="27"/>
  <c r="AM185" i="27"/>
  <c r="AN185" i="27"/>
  <c r="AO185" i="27"/>
  <c r="AX185" i="27"/>
  <c r="AY185" i="27"/>
  <c r="A186" i="27"/>
  <c r="B186" i="27"/>
  <c r="C186" i="27"/>
  <c r="D186" i="27"/>
  <c r="E186" i="27"/>
  <c r="F186" i="27"/>
  <c r="S186" i="27"/>
  <c r="T186" i="27"/>
  <c r="U186" i="27"/>
  <c r="V186" i="27"/>
  <c r="W186" i="27"/>
  <c r="X186" i="27"/>
  <c r="Z186" i="27"/>
  <c r="AA186" i="27"/>
  <c r="AC186" i="27"/>
  <c r="AG186" i="27"/>
  <c r="AH186" i="27"/>
  <c r="AJ186" i="27"/>
  <c r="AM186" i="27"/>
  <c r="AN186" i="27"/>
  <c r="AO186" i="27"/>
  <c r="AX186" i="27"/>
  <c r="AY186" i="27"/>
  <c r="A187" i="27"/>
  <c r="B187" i="27"/>
  <c r="C187" i="27"/>
  <c r="D187" i="27"/>
  <c r="E187" i="27"/>
  <c r="F187" i="27"/>
  <c r="S187" i="27"/>
  <c r="T187" i="27"/>
  <c r="U187" i="27"/>
  <c r="V187" i="27"/>
  <c r="W187" i="27"/>
  <c r="X187" i="27"/>
  <c r="Z187" i="27"/>
  <c r="AA187" i="27"/>
  <c r="AC187" i="27"/>
  <c r="AG187" i="27"/>
  <c r="AH187" i="27"/>
  <c r="AJ187" i="27"/>
  <c r="AM187" i="27"/>
  <c r="AN187" i="27"/>
  <c r="AO187" i="27"/>
  <c r="AX187" i="27"/>
  <c r="AY187" i="27"/>
  <c r="A188" i="27"/>
  <c r="B188" i="27"/>
  <c r="C188" i="27"/>
  <c r="D188" i="27"/>
  <c r="E188" i="27"/>
  <c r="F188" i="27"/>
  <c r="S188" i="27"/>
  <c r="T188" i="27"/>
  <c r="U188" i="27"/>
  <c r="V188" i="27"/>
  <c r="W188" i="27"/>
  <c r="X188" i="27"/>
  <c r="Z188" i="27"/>
  <c r="AA188" i="27"/>
  <c r="AC188" i="27"/>
  <c r="AG188" i="27"/>
  <c r="AH188" i="27"/>
  <c r="AJ188" i="27"/>
  <c r="AM188" i="27"/>
  <c r="AN188" i="27"/>
  <c r="AO188" i="27"/>
  <c r="AX188" i="27"/>
  <c r="AY188" i="27"/>
  <c r="A189" i="27"/>
  <c r="B189" i="27"/>
  <c r="C189" i="27"/>
  <c r="D189" i="27"/>
  <c r="E189" i="27"/>
  <c r="F189" i="27"/>
  <c r="S189" i="27"/>
  <c r="T189" i="27"/>
  <c r="U189" i="27"/>
  <c r="V189" i="27"/>
  <c r="W189" i="27"/>
  <c r="X189" i="27"/>
  <c r="Z189" i="27"/>
  <c r="AA189" i="27"/>
  <c r="AC189" i="27"/>
  <c r="AG189" i="27"/>
  <c r="AH189" i="27"/>
  <c r="AJ189" i="27"/>
  <c r="AM189" i="27"/>
  <c r="AN189" i="27"/>
  <c r="AO189" i="27"/>
  <c r="AX189" i="27"/>
  <c r="AY189" i="27"/>
  <c r="A190" i="27"/>
  <c r="B190" i="27"/>
  <c r="C190" i="27"/>
  <c r="D190" i="27"/>
  <c r="E190" i="27"/>
  <c r="F190" i="27"/>
  <c r="S190" i="27"/>
  <c r="T190" i="27"/>
  <c r="U190" i="27"/>
  <c r="V190" i="27"/>
  <c r="W190" i="27"/>
  <c r="X190" i="27"/>
  <c r="Z190" i="27"/>
  <c r="AA190" i="27"/>
  <c r="AC190" i="27"/>
  <c r="AG190" i="27"/>
  <c r="AH190" i="27"/>
  <c r="AJ190" i="27"/>
  <c r="AM190" i="27"/>
  <c r="AN190" i="27"/>
  <c r="AO190" i="27"/>
  <c r="AX190" i="27"/>
  <c r="AY190" i="27"/>
  <c r="A191" i="27"/>
  <c r="B191" i="27"/>
  <c r="C191" i="27"/>
  <c r="D191" i="27"/>
  <c r="E191" i="27"/>
  <c r="F191" i="27"/>
  <c r="S191" i="27"/>
  <c r="T191" i="27"/>
  <c r="U191" i="27"/>
  <c r="V191" i="27"/>
  <c r="W191" i="27"/>
  <c r="X191" i="27"/>
  <c r="Z191" i="27"/>
  <c r="AA191" i="27"/>
  <c r="AC191" i="27"/>
  <c r="AG191" i="27"/>
  <c r="AH191" i="27"/>
  <c r="AJ191" i="27"/>
  <c r="AM191" i="27"/>
  <c r="AN191" i="27"/>
  <c r="AO191" i="27"/>
  <c r="AX191" i="27"/>
  <c r="AY191" i="27"/>
  <c r="A192" i="27"/>
  <c r="B192" i="27"/>
  <c r="C192" i="27"/>
  <c r="D192" i="27"/>
  <c r="E192" i="27"/>
  <c r="F192" i="27"/>
  <c r="S192" i="27"/>
  <c r="T192" i="27"/>
  <c r="U192" i="27"/>
  <c r="V192" i="27"/>
  <c r="W192" i="27"/>
  <c r="X192" i="27"/>
  <c r="Z192" i="27"/>
  <c r="AA192" i="27"/>
  <c r="AC192" i="27"/>
  <c r="AG192" i="27"/>
  <c r="AH192" i="27"/>
  <c r="AJ192" i="27"/>
  <c r="AM192" i="27"/>
  <c r="AN192" i="27"/>
  <c r="AO192" i="27"/>
  <c r="AX192" i="27"/>
  <c r="AY192" i="27"/>
  <c r="A193" i="27"/>
  <c r="B193" i="27"/>
  <c r="C193" i="27"/>
  <c r="D193" i="27"/>
  <c r="E193" i="27"/>
  <c r="F193" i="27"/>
  <c r="S193" i="27"/>
  <c r="T193" i="27"/>
  <c r="U193" i="27"/>
  <c r="V193" i="27"/>
  <c r="W193" i="27"/>
  <c r="X193" i="27"/>
  <c r="Z193" i="27"/>
  <c r="AA193" i="27"/>
  <c r="AC193" i="27"/>
  <c r="AG193" i="27"/>
  <c r="AH193" i="27"/>
  <c r="AJ193" i="27"/>
  <c r="AM193" i="27"/>
  <c r="AN193" i="27"/>
  <c r="AO193" i="27"/>
  <c r="AX193" i="27"/>
  <c r="AY193" i="27"/>
  <c r="B194" i="27"/>
  <c r="X194" i="27"/>
  <c r="AN194" i="27"/>
  <c r="A195" i="27"/>
  <c r="B195" i="27"/>
  <c r="C195" i="27"/>
  <c r="D195" i="27"/>
  <c r="E195" i="27"/>
  <c r="F195" i="27"/>
  <c r="S195" i="27"/>
  <c r="T195" i="27"/>
  <c r="U195" i="27"/>
  <c r="V195" i="27"/>
  <c r="W195" i="27"/>
  <c r="X195" i="27"/>
  <c r="Z195" i="27"/>
  <c r="AA195" i="27"/>
  <c r="AC195" i="27"/>
  <c r="AG195" i="27"/>
  <c r="AH195" i="27"/>
  <c r="AJ195" i="27"/>
  <c r="AO195" i="27"/>
  <c r="AX195" i="27"/>
  <c r="AY195" i="27"/>
  <c r="C197" i="27"/>
  <c r="G197" i="27"/>
  <c r="C200" i="27"/>
  <c r="C201" i="27"/>
  <c r="G202" i="27"/>
  <c r="A207" i="27"/>
  <c r="D207" i="27"/>
  <c r="S207" i="27"/>
  <c r="T207" i="27"/>
  <c r="U207" i="27"/>
  <c r="V207" i="27"/>
  <c r="W207" i="27"/>
  <c r="X207" i="27"/>
  <c r="Z207" i="27"/>
  <c r="AA207" i="27"/>
  <c r="AC207" i="27"/>
  <c r="AJ207" i="27"/>
  <c r="AM207" i="27"/>
  <c r="AN207" i="27"/>
  <c r="AO207" i="27"/>
  <c r="AX207" i="27"/>
  <c r="AY207" i="27"/>
  <c r="A208" i="27"/>
  <c r="B208" i="27"/>
  <c r="C208" i="27"/>
  <c r="D208" i="27"/>
  <c r="E208" i="27"/>
  <c r="F208" i="27"/>
  <c r="S208" i="27"/>
  <c r="T208" i="27"/>
  <c r="U208" i="27"/>
  <c r="V208" i="27"/>
  <c r="W208" i="27"/>
  <c r="X208" i="27"/>
  <c r="Z208" i="27"/>
  <c r="AA208" i="27"/>
  <c r="AC208" i="27"/>
  <c r="AJ208" i="27"/>
  <c r="AM208" i="27"/>
  <c r="AN208" i="27"/>
  <c r="AO208" i="27"/>
  <c r="AX208" i="27"/>
  <c r="AY208" i="27"/>
  <c r="A209" i="27"/>
  <c r="B209" i="27"/>
  <c r="C209" i="27"/>
  <c r="D209" i="27"/>
  <c r="E209" i="27"/>
  <c r="F209" i="27"/>
  <c r="S209" i="27"/>
  <c r="T209" i="27"/>
  <c r="U209" i="27"/>
  <c r="V209" i="27"/>
  <c r="W209" i="27"/>
  <c r="X209" i="27"/>
  <c r="Z209" i="27"/>
  <c r="AA209" i="27"/>
  <c r="AC209" i="27"/>
  <c r="AJ209" i="27"/>
  <c r="AM209" i="27"/>
  <c r="AN209" i="27"/>
  <c r="AO209" i="27"/>
  <c r="AX209" i="27"/>
  <c r="AY209" i="27"/>
  <c r="A210" i="27"/>
  <c r="B210" i="27"/>
  <c r="C210" i="27"/>
  <c r="D210" i="27"/>
  <c r="E210" i="27"/>
  <c r="F210" i="27"/>
  <c r="S210" i="27"/>
  <c r="T210" i="27"/>
  <c r="U210" i="27"/>
  <c r="V210" i="27"/>
  <c r="W210" i="27"/>
  <c r="X210" i="27"/>
  <c r="Z210" i="27"/>
  <c r="AA210" i="27"/>
  <c r="AC210" i="27"/>
  <c r="AJ210" i="27"/>
  <c r="AM210" i="27"/>
  <c r="AN210" i="27"/>
  <c r="AO210" i="27"/>
  <c r="AX210" i="27"/>
  <c r="AY210" i="27"/>
  <c r="A211" i="27"/>
  <c r="B211" i="27"/>
  <c r="C211" i="27"/>
  <c r="D211" i="27"/>
  <c r="E211" i="27"/>
  <c r="F211" i="27"/>
  <c r="S211" i="27"/>
  <c r="T211" i="27"/>
  <c r="U211" i="27"/>
  <c r="V211" i="27"/>
  <c r="W211" i="27"/>
  <c r="X211" i="27"/>
  <c r="Z211" i="27"/>
  <c r="AA211" i="27"/>
  <c r="AC211" i="27"/>
  <c r="AJ211" i="27"/>
  <c r="AM211" i="27"/>
  <c r="AN211" i="27"/>
  <c r="AO211" i="27"/>
  <c r="AX211" i="27"/>
  <c r="AY211" i="27"/>
  <c r="A212" i="27"/>
  <c r="B212" i="27"/>
  <c r="C212" i="27"/>
  <c r="D212" i="27"/>
  <c r="E212" i="27"/>
  <c r="F212" i="27"/>
  <c r="S212" i="27"/>
  <c r="T212" i="27"/>
  <c r="U212" i="27"/>
  <c r="V212" i="27"/>
  <c r="W212" i="27"/>
  <c r="X212" i="27"/>
  <c r="Z212" i="27"/>
  <c r="AA212" i="27"/>
  <c r="AC212" i="27"/>
  <c r="AJ212" i="27"/>
  <c r="AM212" i="27"/>
  <c r="AN212" i="27"/>
  <c r="AO212" i="27"/>
  <c r="AX212" i="27"/>
  <c r="AY212" i="27"/>
  <c r="A213" i="27"/>
  <c r="B213" i="27"/>
  <c r="C213" i="27"/>
  <c r="D213" i="27"/>
  <c r="E213" i="27"/>
  <c r="F213" i="27"/>
  <c r="S213" i="27"/>
  <c r="T213" i="27"/>
  <c r="U213" i="27"/>
  <c r="V213" i="27"/>
  <c r="W213" i="27"/>
  <c r="X213" i="27"/>
  <c r="Z213" i="27"/>
  <c r="AA213" i="27"/>
  <c r="AC213" i="27"/>
  <c r="AJ213" i="27"/>
  <c r="AM213" i="27"/>
  <c r="AN213" i="27"/>
  <c r="AO213" i="27"/>
  <c r="AX213" i="27"/>
  <c r="AY213" i="27"/>
  <c r="A214" i="27"/>
  <c r="B214" i="27"/>
  <c r="C214" i="27"/>
  <c r="D214" i="27"/>
  <c r="E214" i="27"/>
  <c r="F214" i="27"/>
  <c r="S214" i="27"/>
  <c r="T214" i="27"/>
  <c r="U214" i="27"/>
  <c r="V214" i="27"/>
  <c r="W214" i="27"/>
  <c r="X214" i="27"/>
  <c r="Z214" i="27"/>
  <c r="AA214" i="27"/>
  <c r="AC214" i="27"/>
  <c r="AJ214" i="27"/>
  <c r="AM214" i="27"/>
  <c r="AN214" i="27"/>
  <c r="AO214" i="27"/>
  <c r="AX214" i="27"/>
  <c r="AY214" i="27"/>
  <c r="A215" i="27"/>
  <c r="B215" i="27"/>
  <c r="C215" i="27"/>
  <c r="D215" i="27"/>
  <c r="E215" i="27"/>
  <c r="F215" i="27"/>
  <c r="S215" i="27"/>
  <c r="T215" i="27"/>
  <c r="U215" i="27"/>
  <c r="V215" i="27"/>
  <c r="W215" i="27"/>
  <c r="X215" i="27"/>
  <c r="Z215" i="27"/>
  <c r="AA215" i="27"/>
  <c r="AC215" i="27"/>
  <c r="AJ215" i="27"/>
  <c r="AM215" i="27"/>
  <c r="AN215" i="27"/>
  <c r="AO215" i="27"/>
  <c r="AX215" i="27"/>
  <c r="AY215" i="27"/>
  <c r="A216" i="27"/>
  <c r="B216" i="27"/>
  <c r="C216" i="27"/>
  <c r="D216" i="27"/>
  <c r="E216" i="27"/>
  <c r="F216" i="27"/>
  <c r="S216" i="27"/>
  <c r="T216" i="27"/>
  <c r="U216" i="27"/>
  <c r="V216" i="27"/>
  <c r="W216" i="27"/>
  <c r="X216" i="27"/>
  <c r="Z216" i="27"/>
  <c r="AA216" i="27"/>
  <c r="AC216" i="27"/>
  <c r="AJ216" i="27"/>
  <c r="AM216" i="27"/>
  <c r="AN216" i="27"/>
  <c r="AO216" i="27"/>
  <c r="AX216" i="27"/>
  <c r="AY216" i="27"/>
  <c r="A217" i="27"/>
  <c r="B217" i="27"/>
  <c r="C217" i="27"/>
  <c r="D217" i="27"/>
  <c r="E217" i="27"/>
  <c r="F217" i="27"/>
  <c r="S217" i="27"/>
  <c r="T217" i="27"/>
  <c r="U217" i="27"/>
  <c r="V217" i="27"/>
  <c r="W217" i="27"/>
  <c r="X217" i="27"/>
  <c r="Z217" i="27"/>
  <c r="AA217" i="27"/>
  <c r="AC217" i="27"/>
  <c r="AJ217" i="27"/>
  <c r="AM217" i="27"/>
  <c r="AN217" i="27"/>
  <c r="AO217" i="27"/>
  <c r="AX217" i="27"/>
  <c r="AY217" i="27"/>
  <c r="A218" i="27"/>
  <c r="B218" i="27"/>
  <c r="C218" i="27"/>
  <c r="D218" i="27"/>
  <c r="E218" i="27"/>
  <c r="F218" i="27"/>
  <c r="S218" i="27"/>
  <c r="T218" i="27"/>
  <c r="U218" i="27"/>
  <c r="V218" i="27"/>
  <c r="W218" i="27"/>
  <c r="X218" i="27"/>
  <c r="Z218" i="27"/>
  <c r="AA218" i="27"/>
  <c r="AC218" i="27"/>
  <c r="AJ218" i="27"/>
  <c r="AM218" i="27"/>
  <c r="AN218" i="27"/>
  <c r="AO218" i="27"/>
  <c r="AX218" i="27"/>
  <c r="AY218" i="27"/>
  <c r="A219" i="27"/>
  <c r="B219" i="27"/>
  <c r="C219" i="27"/>
  <c r="D219" i="27"/>
  <c r="E219" i="27"/>
  <c r="F219" i="27"/>
  <c r="S219" i="27"/>
  <c r="T219" i="27"/>
  <c r="U219" i="27"/>
  <c r="V219" i="27"/>
  <c r="W219" i="27"/>
  <c r="X219" i="27"/>
  <c r="Z219" i="27"/>
  <c r="AA219" i="27"/>
  <c r="AC219" i="27"/>
  <c r="AJ219" i="27"/>
  <c r="AM219" i="27"/>
  <c r="AN219" i="27"/>
  <c r="AO219" i="27"/>
  <c r="AX219" i="27"/>
  <c r="AY219" i="27"/>
  <c r="A220" i="27"/>
  <c r="B220" i="27"/>
  <c r="C220" i="27"/>
  <c r="D220" i="27"/>
  <c r="E220" i="27"/>
  <c r="F220" i="27"/>
  <c r="S220" i="27"/>
  <c r="T220" i="27"/>
  <c r="U220" i="27"/>
  <c r="V220" i="27"/>
  <c r="W220" i="27"/>
  <c r="X220" i="27"/>
  <c r="Z220" i="27"/>
  <c r="AA220" i="27"/>
  <c r="AC220" i="27"/>
  <c r="AJ220" i="27"/>
  <c r="AM220" i="27"/>
  <c r="AN220" i="27"/>
  <c r="AO220" i="27"/>
  <c r="AX220" i="27"/>
  <c r="AY220" i="27"/>
  <c r="A221" i="27"/>
  <c r="B221" i="27"/>
  <c r="C221" i="27"/>
  <c r="D221" i="27"/>
  <c r="E221" i="27"/>
  <c r="F221" i="27"/>
  <c r="S221" i="27"/>
  <c r="T221" i="27"/>
  <c r="U221" i="27"/>
  <c r="V221" i="27"/>
  <c r="W221" i="27"/>
  <c r="X221" i="27"/>
  <c r="Z221" i="27"/>
  <c r="AA221" i="27"/>
  <c r="AC221" i="27"/>
  <c r="AJ221" i="27"/>
  <c r="AM221" i="27"/>
  <c r="AN221" i="27"/>
  <c r="AO221" i="27"/>
  <c r="AX221" i="27"/>
  <c r="AY221" i="27"/>
  <c r="A222" i="27"/>
  <c r="B222" i="27"/>
  <c r="C222" i="27"/>
  <c r="D222" i="27"/>
  <c r="E222" i="27"/>
  <c r="F222" i="27"/>
  <c r="S222" i="27"/>
  <c r="T222" i="27"/>
  <c r="U222" i="27"/>
  <c r="V222" i="27"/>
  <c r="W222" i="27"/>
  <c r="X222" i="27"/>
  <c r="Z222" i="27"/>
  <c r="AA222" i="27"/>
  <c r="AC222" i="27"/>
  <c r="AJ222" i="27"/>
  <c r="AM222" i="27"/>
  <c r="AN222" i="27"/>
  <c r="AO222" i="27"/>
  <c r="AX222" i="27"/>
  <c r="AY222" i="27"/>
  <c r="A223" i="27"/>
  <c r="B223" i="27"/>
  <c r="C223" i="27"/>
  <c r="D223" i="27"/>
  <c r="E223" i="27"/>
  <c r="F223" i="27"/>
  <c r="S223" i="27"/>
  <c r="T223" i="27"/>
  <c r="U223" i="27"/>
  <c r="V223" i="27"/>
  <c r="W223" i="27"/>
  <c r="X223" i="27"/>
  <c r="Z223" i="27"/>
  <c r="AA223" i="27"/>
  <c r="AC223" i="27"/>
  <c r="AJ223" i="27"/>
  <c r="AM223" i="27"/>
  <c r="AN223" i="27"/>
  <c r="AO223" i="27"/>
  <c r="AX223" i="27"/>
  <c r="AY223" i="27"/>
  <c r="A224" i="27"/>
  <c r="B224" i="27"/>
  <c r="C224" i="27"/>
  <c r="D224" i="27"/>
  <c r="E224" i="27"/>
  <c r="F224" i="27"/>
  <c r="S224" i="27"/>
  <c r="T224" i="27"/>
  <c r="U224" i="27"/>
  <c r="V224" i="27"/>
  <c r="W224" i="27"/>
  <c r="X224" i="27"/>
  <c r="Z224" i="27"/>
  <c r="AA224" i="27"/>
  <c r="AC224" i="27"/>
  <c r="AJ224" i="27"/>
  <c r="AM224" i="27"/>
  <c r="AN224" i="27"/>
  <c r="AO224" i="27"/>
  <c r="AX224" i="27"/>
  <c r="AY224" i="27"/>
  <c r="A225" i="27"/>
  <c r="B225" i="27"/>
  <c r="C225" i="27"/>
  <c r="D225" i="27"/>
  <c r="E225" i="27"/>
  <c r="F225" i="27"/>
  <c r="S225" i="27"/>
  <c r="T225" i="27"/>
  <c r="U225" i="27"/>
  <c r="V225" i="27"/>
  <c r="W225" i="27"/>
  <c r="X225" i="27"/>
  <c r="Z225" i="27"/>
  <c r="AA225" i="27"/>
  <c r="AC225" i="27"/>
  <c r="AJ225" i="27"/>
  <c r="AM225" i="27"/>
  <c r="AN225" i="27"/>
  <c r="AO225" i="27"/>
  <c r="AX225" i="27"/>
  <c r="AY225" i="27"/>
  <c r="A226" i="27"/>
  <c r="B226" i="27"/>
  <c r="C226" i="27"/>
  <c r="D226" i="27"/>
  <c r="E226" i="27"/>
  <c r="F226" i="27"/>
  <c r="S226" i="27"/>
  <c r="T226" i="27"/>
  <c r="U226" i="27"/>
  <c r="V226" i="27"/>
  <c r="W226" i="27"/>
  <c r="X226" i="27"/>
  <c r="Z226" i="27"/>
  <c r="AA226" i="27"/>
  <c r="AC226" i="27"/>
  <c r="AJ226" i="27"/>
  <c r="AM226" i="27"/>
  <c r="AN226" i="27"/>
  <c r="AO226" i="27"/>
  <c r="AX226" i="27"/>
  <c r="AY226" i="27"/>
  <c r="A227" i="27"/>
  <c r="B227" i="27"/>
  <c r="C227" i="27"/>
  <c r="D227" i="27"/>
  <c r="E227" i="27"/>
  <c r="F227" i="27"/>
  <c r="S227" i="27"/>
  <c r="T227" i="27"/>
  <c r="U227" i="27"/>
  <c r="V227" i="27"/>
  <c r="W227" i="27"/>
  <c r="X227" i="27"/>
  <c r="Z227" i="27"/>
  <c r="AA227" i="27"/>
  <c r="AC227" i="27"/>
  <c r="AJ227" i="27"/>
  <c r="AM227" i="27"/>
  <c r="AN227" i="27"/>
  <c r="AO227" i="27"/>
  <c r="AX227" i="27"/>
  <c r="AY227" i="27"/>
  <c r="A232" i="27"/>
  <c r="B232" i="27"/>
  <c r="C232" i="27"/>
  <c r="D232" i="27"/>
  <c r="E232" i="27"/>
  <c r="S232" i="27"/>
  <c r="T232" i="27"/>
  <c r="U232" i="27"/>
  <c r="V232" i="27"/>
  <c r="W232" i="27"/>
  <c r="X232" i="27"/>
  <c r="Z232" i="27"/>
  <c r="AA232" i="27"/>
  <c r="AC232" i="27"/>
  <c r="AE232" i="27"/>
  <c r="AF232" i="27"/>
  <c r="AI232" i="27"/>
  <c r="AJ232" i="27"/>
  <c r="AN232" i="27"/>
  <c r="AO232" i="27"/>
  <c r="AX232" i="27"/>
  <c r="AY232" i="27"/>
  <c r="A233" i="27"/>
  <c r="B233" i="27"/>
  <c r="C233" i="27"/>
  <c r="D233" i="27"/>
  <c r="E233" i="27"/>
  <c r="F233" i="27"/>
  <c r="S233" i="27"/>
  <c r="T233" i="27"/>
  <c r="U233" i="27"/>
  <c r="V233" i="27"/>
  <c r="W233" i="27"/>
  <c r="X233" i="27"/>
  <c r="Z233" i="27"/>
  <c r="AA233" i="27"/>
  <c r="AC233" i="27"/>
  <c r="AE233" i="27"/>
  <c r="AF233" i="27"/>
  <c r="AI233" i="27"/>
  <c r="AJ233" i="27"/>
  <c r="AN233" i="27"/>
  <c r="AO233" i="27"/>
  <c r="AX233" i="27"/>
  <c r="AY233" i="27"/>
  <c r="A234" i="27"/>
  <c r="B234" i="27"/>
  <c r="C234" i="27"/>
  <c r="D234" i="27"/>
  <c r="E234" i="27"/>
  <c r="F234" i="27"/>
  <c r="S234" i="27"/>
  <c r="T234" i="27"/>
  <c r="U234" i="27"/>
  <c r="V234" i="27"/>
  <c r="W234" i="27"/>
  <c r="X234" i="27"/>
  <c r="Z234" i="27"/>
  <c r="AA234" i="27"/>
  <c r="AC234" i="27"/>
  <c r="AE234" i="27"/>
  <c r="AF234" i="27"/>
  <c r="AI234" i="27"/>
  <c r="AJ234" i="27"/>
  <c r="AN234" i="27"/>
  <c r="AO234" i="27"/>
  <c r="AX234" i="27"/>
  <c r="AY234" i="27"/>
  <c r="A235" i="27"/>
  <c r="B235" i="27"/>
  <c r="C235" i="27"/>
  <c r="D235" i="27"/>
  <c r="E235" i="27"/>
  <c r="F235" i="27"/>
  <c r="S235" i="27"/>
  <c r="T235" i="27"/>
  <c r="U235" i="27"/>
  <c r="V235" i="27"/>
  <c r="W235" i="27"/>
  <c r="X235" i="27"/>
  <c r="Z235" i="27"/>
  <c r="AA235" i="27"/>
  <c r="AC235" i="27"/>
  <c r="AE235" i="27"/>
  <c r="AF235" i="27"/>
  <c r="AI235" i="27"/>
  <c r="AJ235" i="27"/>
  <c r="AN235" i="27"/>
  <c r="AO235" i="27"/>
  <c r="AX235" i="27"/>
  <c r="AY235" i="27"/>
  <c r="A236" i="27"/>
  <c r="B236" i="27"/>
  <c r="C236" i="27"/>
  <c r="D236" i="27"/>
  <c r="E236" i="27"/>
  <c r="F236" i="27"/>
  <c r="S236" i="27"/>
  <c r="T236" i="27"/>
  <c r="U236" i="27"/>
  <c r="V236" i="27"/>
  <c r="W236" i="27"/>
  <c r="X236" i="27"/>
  <c r="Z236" i="27"/>
  <c r="AA236" i="27"/>
  <c r="AC236" i="27"/>
  <c r="AE236" i="27"/>
  <c r="AF236" i="27"/>
  <c r="AI236" i="27"/>
  <c r="AJ236" i="27"/>
  <c r="AN236" i="27"/>
  <c r="AO236" i="27"/>
  <c r="AX236" i="27"/>
  <c r="AY236" i="27"/>
  <c r="A237" i="27"/>
  <c r="B237" i="27"/>
  <c r="C237" i="27"/>
  <c r="D237" i="27"/>
  <c r="E237" i="27"/>
  <c r="F237" i="27"/>
  <c r="S237" i="27"/>
  <c r="T237" i="27"/>
  <c r="U237" i="27"/>
  <c r="V237" i="27"/>
  <c r="W237" i="27"/>
  <c r="X237" i="27"/>
  <c r="Z237" i="27"/>
  <c r="AA237" i="27"/>
  <c r="AC237" i="27"/>
  <c r="AE237" i="27"/>
  <c r="AF237" i="27"/>
  <c r="AI237" i="27"/>
  <c r="AJ237" i="27"/>
  <c r="AN237" i="27"/>
  <c r="AO237" i="27"/>
  <c r="AX237" i="27"/>
  <c r="AY237" i="27"/>
  <c r="A238" i="27"/>
  <c r="B238" i="27"/>
  <c r="C238" i="27"/>
  <c r="D238" i="27"/>
  <c r="E238" i="27"/>
  <c r="F238" i="27"/>
  <c r="S238" i="27"/>
  <c r="T238" i="27"/>
  <c r="U238" i="27"/>
  <c r="V238" i="27"/>
  <c r="W238" i="27"/>
  <c r="X238" i="27"/>
  <c r="Z238" i="27"/>
  <c r="AA238" i="27"/>
  <c r="AC238" i="27"/>
  <c r="AE238" i="27"/>
  <c r="AF238" i="27"/>
  <c r="AI238" i="27"/>
  <c r="AJ238" i="27"/>
  <c r="AN238" i="27"/>
  <c r="AO238" i="27"/>
  <c r="AX238" i="27"/>
  <c r="AY238" i="27"/>
  <c r="A239" i="27"/>
  <c r="B239" i="27"/>
  <c r="C239" i="27"/>
  <c r="D239" i="27"/>
  <c r="E239" i="27"/>
  <c r="F239" i="27"/>
  <c r="S239" i="27"/>
  <c r="T239" i="27"/>
  <c r="U239" i="27"/>
  <c r="V239" i="27"/>
  <c r="W239" i="27"/>
  <c r="X239" i="27"/>
  <c r="Z239" i="27"/>
  <c r="AA239" i="27"/>
  <c r="AC239" i="27"/>
  <c r="AE239" i="27"/>
  <c r="AF239" i="27"/>
  <c r="AI239" i="27"/>
  <c r="AJ239" i="27"/>
  <c r="AN239" i="27"/>
  <c r="AO239" i="27"/>
  <c r="AX239" i="27"/>
  <c r="AY239" i="27"/>
  <c r="A240" i="27"/>
  <c r="B240" i="27"/>
  <c r="C240" i="27"/>
  <c r="D240" i="27"/>
  <c r="E240" i="27"/>
  <c r="F240" i="27"/>
  <c r="S240" i="27"/>
  <c r="T240" i="27"/>
  <c r="U240" i="27"/>
  <c r="V240" i="27"/>
  <c r="W240" i="27"/>
  <c r="X240" i="27"/>
  <c r="Z240" i="27"/>
  <c r="AA240" i="27"/>
  <c r="AC240" i="27"/>
  <c r="AE240" i="27"/>
  <c r="AF240" i="27"/>
  <c r="AI240" i="27"/>
  <c r="AJ240" i="27"/>
  <c r="AN240" i="27"/>
  <c r="AO240" i="27"/>
  <c r="AX240" i="27"/>
  <c r="AY240" i="27"/>
  <c r="A241" i="27"/>
  <c r="B241" i="27"/>
  <c r="C241" i="27"/>
  <c r="D241" i="27"/>
  <c r="E241" i="27"/>
  <c r="F241" i="27"/>
  <c r="S241" i="27"/>
  <c r="T241" i="27"/>
  <c r="U241" i="27"/>
  <c r="V241" i="27"/>
  <c r="W241" i="27"/>
  <c r="X241" i="27"/>
  <c r="Z241" i="27"/>
  <c r="AA241" i="27"/>
  <c r="AC241" i="27"/>
  <c r="AE241" i="27"/>
  <c r="AF241" i="27"/>
  <c r="AI241" i="27"/>
  <c r="AJ241" i="27"/>
  <c r="AN241" i="27"/>
  <c r="AO241" i="27"/>
  <c r="AX241" i="27"/>
  <c r="AY241" i="27"/>
  <c r="A242" i="27"/>
  <c r="B242" i="27"/>
  <c r="C242" i="27"/>
  <c r="D242" i="27"/>
  <c r="E242" i="27"/>
  <c r="F242" i="27"/>
  <c r="S242" i="27"/>
  <c r="T242" i="27"/>
  <c r="U242" i="27"/>
  <c r="V242" i="27"/>
  <c r="W242" i="27"/>
  <c r="X242" i="27"/>
  <c r="Z242" i="27"/>
  <c r="AA242" i="27"/>
  <c r="AC242" i="27"/>
  <c r="AE242" i="27"/>
  <c r="AF242" i="27"/>
  <c r="AI242" i="27"/>
  <c r="AJ242" i="27"/>
  <c r="AN242" i="27"/>
  <c r="AO242" i="27"/>
  <c r="AX242" i="27"/>
  <c r="AY242" i="27"/>
  <c r="A243" i="27"/>
  <c r="B243" i="27"/>
  <c r="C243" i="27"/>
  <c r="D243" i="27"/>
  <c r="E243" i="27"/>
  <c r="F243" i="27"/>
  <c r="S243" i="27"/>
  <c r="T243" i="27"/>
  <c r="U243" i="27"/>
  <c r="V243" i="27"/>
  <c r="W243" i="27"/>
  <c r="X243" i="27"/>
  <c r="Z243" i="27"/>
  <c r="AA243" i="27"/>
  <c r="AC243" i="27"/>
  <c r="AE243" i="27"/>
  <c r="AF243" i="27"/>
  <c r="AI243" i="27"/>
  <c r="AJ243" i="27"/>
  <c r="AN243" i="27"/>
  <c r="AO243" i="27"/>
  <c r="AX243" i="27"/>
  <c r="AY243" i="27"/>
  <c r="A244" i="27"/>
  <c r="B244" i="27"/>
  <c r="C244" i="27"/>
  <c r="D244" i="27"/>
  <c r="E244" i="27"/>
  <c r="F244" i="27"/>
  <c r="S244" i="27"/>
  <c r="T244" i="27"/>
  <c r="U244" i="27"/>
  <c r="V244" i="27"/>
  <c r="W244" i="27"/>
  <c r="X244" i="27"/>
  <c r="Z244" i="27"/>
  <c r="AA244" i="27"/>
  <c r="AC244" i="27"/>
  <c r="AE244" i="27"/>
  <c r="AF244" i="27"/>
  <c r="AI244" i="27"/>
  <c r="AJ244" i="27"/>
  <c r="AN244" i="27"/>
  <c r="AO244" i="27"/>
  <c r="AX244" i="27"/>
  <c r="AY244" i="27"/>
  <c r="A245" i="27"/>
  <c r="B245" i="27"/>
  <c r="C245" i="27"/>
  <c r="D245" i="27"/>
  <c r="E245" i="27"/>
  <c r="F245" i="27"/>
  <c r="S245" i="27"/>
  <c r="T245" i="27"/>
  <c r="U245" i="27"/>
  <c r="V245" i="27"/>
  <c r="W245" i="27"/>
  <c r="X245" i="27"/>
  <c r="Z245" i="27"/>
  <c r="AA245" i="27"/>
  <c r="AC245" i="27"/>
  <c r="AE245" i="27"/>
  <c r="AF245" i="27"/>
  <c r="AI245" i="27"/>
  <c r="AJ245" i="27"/>
  <c r="AN245" i="27"/>
  <c r="AO245" i="27"/>
  <c r="AX245" i="27"/>
  <c r="AY245" i="27"/>
  <c r="A246" i="27"/>
  <c r="B246" i="27"/>
  <c r="C246" i="27"/>
  <c r="D246" i="27"/>
  <c r="E246" i="27"/>
  <c r="F246" i="27"/>
  <c r="S246" i="27"/>
  <c r="T246" i="27"/>
  <c r="U246" i="27"/>
  <c r="V246" i="27"/>
  <c r="W246" i="27"/>
  <c r="X246" i="27"/>
  <c r="Z246" i="27"/>
  <c r="AA246" i="27"/>
  <c r="AC246" i="27"/>
  <c r="AE246" i="27"/>
  <c r="AF246" i="27"/>
  <c r="AI246" i="27"/>
  <c r="AJ246" i="27"/>
  <c r="AN246" i="27"/>
  <c r="AO246" i="27"/>
  <c r="AX246" i="27"/>
  <c r="AY246" i="27"/>
  <c r="A247" i="27"/>
  <c r="B247" i="27"/>
  <c r="C247" i="27"/>
  <c r="D247" i="27"/>
  <c r="E247" i="27"/>
  <c r="F247" i="27"/>
  <c r="S247" i="27"/>
  <c r="T247" i="27"/>
  <c r="U247" i="27"/>
  <c r="V247" i="27"/>
  <c r="W247" i="27"/>
  <c r="X247" i="27"/>
  <c r="Z247" i="27"/>
  <c r="AA247" i="27"/>
  <c r="AC247" i="27"/>
  <c r="AE247" i="27"/>
  <c r="AF247" i="27"/>
  <c r="AI247" i="27"/>
  <c r="AJ247" i="27"/>
  <c r="AN247" i="27"/>
  <c r="AO247" i="27"/>
  <c r="AX247" i="27"/>
  <c r="AY247" i="27"/>
  <c r="A248" i="27"/>
  <c r="B248" i="27"/>
  <c r="C248" i="27"/>
  <c r="D248" i="27"/>
  <c r="E248" i="27"/>
  <c r="F248" i="27"/>
  <c r="S248" i="27"/>
  <c r="T248" i="27"/>
  <c r="U248" i="27"/>
  <c r="V248" i="27"/>
  <c r="W248" i="27"/>
  <c r="X248" i="27"/>
  <c r="Z248" i="27"/>
  <c r="AA248" i="27"/>
  <c r="AC248" i="27"/>
  <c r="AE248" i="27"/>
  <c r="AF248" i="27"/>
  <c r="AI248" i="27"/>
  <c r="AJ248" i="27"/>
  <c r="AN248" i="27"/>
  <c r="AO248" i="27"/>
  <c r="AX248" i="27"/>
  <c r="AY248" i="27"/>
  <c r="A249" i="27"/>
  <c r="B249" i="27"/>
  <c r="C249" i="27"/>
  <c r="D249" i="27"/>
  <c r="E249" i="27"/>
  <c r="F249" i="27"/>
  <c r="S249" i="27"/>
  <c r="T249" i="27"/>
  <c r="U249" i="27"/>
  <c r="V249" i="27"/>
  <c r="W249" i="27"/>
  <c r="X249" i="27"/>
  <c r="Z249" i="27"/>
  <c r="AA249" i="27"/>
  <c r="AC249" i="27"/>
  <c r="AE249" i="27"/>
  <c r="AF249" i="27"/>
  <c r="AI249" i="27"/>
  <c r="AJ249" i="27"/>
  <c r="AN249" i="27"/>
  <c r="AO249" i="27"/>
  <c r="AX249" i="27"/>
  <c r="AY249" i="27"/>
  <c r="A250" i="27"/>
  <c r="B250" i="27"/>
  <c r="C250" i="27"/>
  <c r="D250" i="27"/>
  <c r="E250" i="27"/>
  <c r="F250" i="27"/>
  <c r="S250" i="27"/>
  <c r="T250" i="27"/>
  <c r="U250" i="27"/>
  <c r="V250" i="27"/>
  <c r="W250" i="27"/>
  <c r="X250" i="27"/>
  <c r="Z250" i="27"/>
  <c r="AA250" i="27"/>
  <c r="AC250" i="27"/>
  <c r="AE250" i="27"/>
  <c r="AF250" i="27"/>
  <c r="AI250" i="27"/>
  <c r="AJ250" i="27"/>
  <c r="AN250" i="27"/>
  <c r="AO250" i="27"/>
  <c r="AX250" i="27"/>
  <c r="AY250" i="27"/>
  <c r="A251" i="27"/>
  <c r="B251" i="27"/>
  <c r="C251" i="27"/>
  <c r="D251" i="27"/>
  <c r="E251" i="27"/>
  <c r="F251" i="27"/>
  <c r="S251" i="27"/>
  <c r="T251" i="27"/>
  <c r="U251" i="27"/>
  <c r="V251" i="27"/>
  <c r="W251" i="27"/>
  <c r="X251" i="27"/>
  <c r="Z251" i="27"/>
  <c r="AA251" i="27"/>
  <c r="AC251" i="27"/>
  <c r="AE251" i="27"/>
  <c r="AF251" i="27"/>
  <c r="AI251" i="27"/>
  <c r="AJ251" i="27"/>
  <c r="AN251" i="27"/>
  <c r="AO251" i="27"/>
  <c r="AX251" i="27"/>
  <c r="AY251" i="27"/>
  <c r="A252" i="27"/>
  <c r="B252" i="27"/>
  <c r="C252" i="27"/>
  <c r="D252" i="27"/>
  <c r="E252" i="27"/>
  <c r="F252" i="27"/>
  <c r="S252" i="27"/>
  <c r="T252" i="27"/>
  <c r="U252" i="27"/>
  <c r="V252" i="27"/>
  <c r="W252" i="27"/>
  <c r="X252" i="27"/>
  <c r="Z252" i="27"/>
  <c r="AA252" i="27"/>
  <c r="AC252" i="27"/>
  <c r="AE252" i="27"/>
  <c r="AF252" i="27"/>
  <c r="AI252" i="27"/>
  <c r="AJ252" i="27"/>
  <c r="AN252" i="27"/>
  <c r="AO252" i="27"/>
  <c r="AX252" i="27"/>
  <c r="AY252" i="27"/>
  <c r="G257" i="27"/>
  <c r="H257" i="27"/>
  <c r="K257" i="27"/>
  <c r="G258" i="27"/>
  <c r="H258" i="27"/>
  <c r="I258" i="27"/>
  <c r="J258" i="27"/>
  <c r="G259" i="27"/>
  <c r="H259" i="27"/>
  <c r="I259" i="27"/>
  <c r="J259" i="27"/>
  <c r="G260" i="27"/>
  <c r="H260" i="27"/>
  <c r="I260" i="27"/>
  <c r="J260" i="27"/>
  <c r="K260" i="27"/>
  <c r="G261" i="27"/>
  <c r="H261" i="27"/>
  <c r="I261" i="27"/>
  <c r="J261" i="27"/>
  <c r="G262" i="27"/>
  <c r="H262" i="27"/>
  <c r="I262" i="27"/>
  <c r="J262" i="27"/>
  <c r="B263" i="27"/>
  <c r="G263" i="27"/>
  <c r="H263" i="27"/>
  <c r="I263" i="27"/>
  <c r="J263" i="27"/>
  <c r="K263" i="27"/>
  <c r="G264" i="27"/>
  <c r="H264" i="27"/>
  <c r="I264" i="27"/>
  <c r="J264" i="27"/>
  <c r="G265" i="27"/>
  <c r="H265" i="27"/>
  <c r="I265" i="27"/>
  <c r="J265" i="27"/>
  <c r="B266" i="27"/>
  <c r="G266" i="27"/>
  <c r="H266" i="27"/>
  <c r="I266" i="27"/>
  <c r="J266" i="27"/>
  <c r="B267" i="27"/>
  <c r="G267" i="27"/>
  <c r="H267" i="27"/>
  <c r="I267" i="27"/>
  <c r="J267" i="27"/>
  <c r="G268" i="27"/>
  <c r="H268" i="27"/>
  <c r="I268" i="27"/>
  <c r="J268" i="27"/>
  <c r="G269" i="27"/>
  <c r="H269" i="27"/>
  <c r="I269" i="27"/>
  <c r="J269" i="27"/>
  <c r="G270" i="27"/>
  <c r="H270" i="27"/>
  <c r="I270" i="27"/>
  <c r="J270" i="27"/>
  <c r="G271" i="27"/>
  <c r="H271" i="27"/>
  <c r="I271" i="27"/>
  <c r="J271" i="27"/>
  <c r="G272" i="27"/>
  <c r="H272" i="27"/>
  <c r="I272" i="27"/>
  <c r="J272" i="27"/>
  <c r="G273" i="27"/>
  <c r="H273" i="27"/>
  <c r="I273" i="27"/>
  <c r="J273" i="27"/>
  <c r="G274" i="27"/>
  <c r="H274" i="27"/>
  <c r="I274" i="27"/>
  <c r="J274" i="27"/>
  <c r="G275" i="27"/>
  <c r="H275" i="27"/>
  <c r="I275" i="27"/>
  <c r="J275" i="27"/>
  <c r="G276" i="27"/>
  <c r="H276" i="27"/>
  <c r="I276" i="27"/>
  <c r="J276" i="27"/>
  <c r="G277" i="27"/>
  <c r="H277" i="27"/>
  <c r="I277" i="27"/>
  <c r="J277" i="27"/>
  <c r="G278" i="27"/>
  <c r="H278" i="27"/>
  <c r="I278" i="27"/>
  <c r="J278" i="27"/>
  <c r="G279" i="27"/>
  <c r="H279" i="27"/>
  <c r="I279" i="27"/>
  <c r="J279" i="27"/>
  <c r="G280" i="27"/>
  <c r="H280" i="27"/>
  <c r="I280" i="27"/>
  <c r="J280" i="27"/>
  <c r="G281" i="27"/>
  <c r="H281" i="27"/>
  <c r="I281" i="27"/>
  <c r="J281" i="27"/>
  <c r="G282" i="27"/>
  <c r="H282" i="27"/>
  <c r="I282" i="27"/>
  <c r="J282" i="27"/>
  <c r="G283" i="27"/>
  <c r="H283" i="27"/>
  <c r="I283" i="27"/>
  <c r="J283" i="27"/>
  <c r="I285" i="27"/>
  <c r="L285" i="27"/>
  <c r="I286" i="27"/>
  <c r="I287" i="27"/>
  <c r="L287" i="27"/>
  <c r="I288" i="27"/>
  <c r="L288" i="27"/>
  <c r="I289" i="27"/>
  <c r="L289" i="27"/>
  <c r="A292" i="27"/>
  <c r="D292" i="27"/>
  <c r="S292" i="27"/>
  <c r="T292" i="27"/>
  <c r="U292" i="27"/>
  <c r="V292" i="27"/>
  <c r="W292" i="27"/>
  <c r="X292" i="27"/>
  <c r="Z292" i="27"/>
  <c r="AA292" i="27"/>
  <c r="AC292" i="27"/>
  <c r="AG292" i="27"/>
  <c r="AH292" i="27"/>
  <c r="AJ292" i="27"/>
  <c r="AK292" i="27"/>
  <c r="AM292" i="27"/>
  <c r="AN292" i="27"/>
  <c r="AO292" i="27"/>
  <c r="AX292" i="27"/>
  <c r="AY292" i="27"/>
  <c r="B296" i="27"/>
  <c r="M296" i="27"/>
  <c r="B297" i="27"/>
  <c r="E297" i="27"/>
  <c r="G297" i="27"/>
  <c r="H297" i="27"/>
  <c r="I297" i="27"/>
  <c r="B298" i="27"/>
  <c r="G298" i="27"/>
  <c r="H298" i="27"/>
  <c r="I298" i="27"/>
  <c r="J298" i="27"/>
  <c r="B299" i="27"/>
  <c r="G299" i="27"/>
  <c r="H299" i="27"/>
  <c r="I299" i="27"/>
  <c r="J299" i="27"/>
  <c r="B300" i="27"/>
  <c r="G300" i="27"/>
  <c r="H300" i="27"/>
  <c r="I300" i="27"/>
  <c r="J300" i="27"/>
  <c r="B301" i="27"/>
  <c r="G301" i="27"/>
  <c r="H301" i="27"/>
  <c r="I301" i="27"/>
  <c r="J301" i="27"/>
  <c r="B302" i="27"/>
  <c r="G302" i="27"/>
  <c r="H302" i="27"/>
  <c r="I302" i="27"/>
  <c r="J302" i="27"/>
  <c r="B303" i="27"/>
  <c r="G303" i="27"/>
  <c r="H303" i="27"/>
  <c r="I303" i="27"/>
  <c r="J303" i="27"/>
  <c r="G304" i="27"/>
  <c r="H304" i="27"/>
  <c r="I304" i="27"/>
  <c r="J304" i="27"/>
  <c r="B305" i="27"/>
  <c r="G305" i="27"/>
  <c r="H305" i="27"/>
  <c r="I305" i="27"/>
  <c r="J305" i="27"/>
  <c r="G306" i="27"/>
  <c r="H306" i="27"/>
  <c r="I306" i="27"/>
  <c r="J306" i="27"/>
  <c r="G307" i="27"/>
  <c r="H307" i="27"/>
  <c r="I307" i="27"/>
  <c r="J307" i="27"/>
  <c r="G308" i="27"/>
  <c r="H308" i="27"/>
  <c r="I308" i="27"/>
  <c r="J308" i="27"/>
  <c r="G309" i="27"/>
  <c r="H309" i="27"/>
  <c r="I309" i="27"/>
  <c r="J309" i="27"/>
  <c r="G310" i="27"/>
  <c r="H310" i="27"/>
  <c r="I310" i="27"/>
  <c r="J310" i="27"/>
  <c r="G311" i="27"/>
  <c r="H311" i="27"/>
  <c r="I311" i="27"/>
  <c r="J311" i="27"/>
  <c r="G312" i="27"/>
  <c r="H312" i="27"/>
  <c r="I312" i="27"/>
  <c r="J312" i="27"/>
  <c r="G313" i="27"/>
  <c r="H313" i="27"/>
  <c r="I313" i="27"/>
  <c r="J313" i="27"/>
  <c r="B314" i="27"/>
  <c r="G314" i="27"/>
  <c r="H314" i="27"/>
  <c r="I314" i="27"/>
  <c r="J314" i="27"/>
  <c r="G315" i="27"/>
  <c r="H315" i="27"/>
  <c r="I315" i="27"/>
  <c r="J315" i="27"/>
  <c r="G316" i="27"/>
  <c r="H316" i="27"/>
  <c r="I316" i="27"/>
  <c r="J316" i="27"/>
  <c r="G317" i="27"/>
  <c r="H317" i="27"/>
  <c r="I317" i="27"/>
  <c r="J317" i="27"/>
  <c r="I319" i="27"/>
  <c r="L319" i="27"/>
  <c r="I320" i="27"/>
  <c r="I321" i="27"/>
  <c r="L321" i="27"/>
  <c r="I322" i="27"/>
  <c r="L322" i="27"/>
  <c r="I323" i="27"/>
  <c r="L323" i="27"/>
  <c r="S327" i="27"/>
  <c r="T327" i="27"/>
  <c r="U327" i="27"/>
  <c r="V327" i="27"/>
  <c r="W327" i="27"/>
  <c r="X327" i="27"/>
  <c r="Z327" i="27"/>
  <c r="AA327" i="27"/>
  <c r="AC327" i="27"/>
  <c r="AE327" i="27"/>
  <c r="AF327" i="27"/>
  <c r="AI327" i="27"/>
  <c r="AJ327" i="27"/>
  <c r="AN327" i="27"/>
  <c r="AO327" i="27"/>
  <c r="AX327" i="27"/>
  <c r="AY327" i="27"/>
  <c r="E1" i="40"/>
  <c r="H1" i="40"/>
  <c r="K1" i="40"/>
  <c r="E3" i="40"/>
  <c r="E4" i="40"/>
  <c r="N7" i="40"/>
  <c r="K8" i="40"/>
  <c r="K9" i="40"/>
  <c r="B10" i="40"/>
  <c r="B12" i="40"/>
  <c r="H12" i="40"/>
  <c r="E13" i="40"/>
  <c r="H13" i="40"/>
  <c r="K13" i="40"/>
  <c r="E14" i="40"/>
  <c r="K14" i="40"/>
  <c r="H15" i="40"/>
  <c r="H16" i="40"/>
  <c r="H17" i="40"/>
  <c r="H18" i="40"/>
  <c r="A23" i="40"/>
  <c r="D23" i="40"/>
  <c r="S23" i="40"/>
  <c r="T23" i="40"/>
  <c r="U23" i="40"/>
  <c r="V23" i="40"/>
  <c r="W23" i="40"/>
  <c r="X23" i="40"/>
  <c r="Z23" i="40"/>
  <c r="AA23" i="40"/>
  <c r="AC23" i="40"/>
  <c r="AG23" i="40"/>
  <c r="AH23" i="40"/>
  <c r="AJ23" i="40"/>
  <c r="AK23" i="40"/>
  <c r="AM23" i="40"/>
  <c r="AN23" i="40"/>
  <c r="AO23" i="40"/>
  <c r="AX23" i="40"/>
  <c r="AY23" i="40"/>
  <c r="A24" i="40"/>
  <c r="B24" i="40"/>
  <c r="C24" i="40"/>
  <c r="D24" i="40"/>
  <c r="E24" i="40"/>
  <c r="F24" i="40"/>
  <c r="S24" i="40"/>
  <c r="T24" i="40"/>
  <c r="U24" i="40"/>
  <c r="V24" i="40"/>
  <c r="W24" i="40"/>
  <c r="X24" i="40"/>
  <c r="Z24" i="40"/>
  <c r="AA24" i="40"/>
  <c r="AC24" i="40"/>
  <c r="AG24" i="40"/>
  <c r="AH24" i="40"/>
  <c r="AJ24" i="40"/>
  <c r="AK24" i="40"/>
  <c r="AM24" i="40"/>
  <c r="AN24" i="40"/>
  <c r="AO24" i="40"/>
  <c r="AX24" i="40"/>
  <c r="AY24" i="40"/>
  <c r="A25" i="40"/>
  <c r="B25" i="40"/>
  <c r="C25" i="40"/>
  <c r="D25" i="40"/>
  <c r="E25" i="40"/>
  <c r="F25" i="40"/>
  <c r="S25" i="40"/>
  <c r="T25" i="40"/>
  <c r="U25" i="40"/>
  <c r="V25" i="40"/>
  <c r="W25" i="40"/>
  <c r="X25" i="40"/>
  <c r="Z25" i="40"/>
  <c r="AA25" i="40"/>
  <c r="AC25" i="40"/>
  <c r="AG25" i="40"/>
  <c r="AH25" i="40"/>
  <c r="AJ25" i="40"/>
  <c r="AK25" i="40"/>
  <c r="AM25" i="40"/>
  <c r="AN25" i="40"/>
  <c r="AO25" i="40"/>
  <c r="AX25" i="40"/>
  <c r="AY25" i="40"/>
  <c r="A26" i="40"/>
  <c r="B26" i="40"/>
  <c r="C26" i="40"/>
  <c r="D26" i="40"/>
  <c r="E26" i="40"/>
  <c r="F26" i="40"/>
  <c r="S26" i="40"/>
  <c r="T26" i="40"/>
  <c r="U26" i="40"/>
  <c r="V26" i="40"/>
  <c r="W26" i="40"/>
  <c r="X26" i="40"/>
  <c r="Z26" i="40"/>
  <c r="AA26" i="40"/>
  <c r="AC26" i="40"/>
  <c r="AG26" i="40"/>
  <c r="AH26" i="40"/>
  <c r="AJ26" i="40"/>
  <c r="AK26" i="40"/>
  <c r="AM26" i="40"/>
  <c r="AN26" i="40"/>
  <c r="AO26" i="40"/>
  <c r="AX26" i="40"/>
  <c r="AY26" i="40"/>
  <c r="A27" i="40"/>
  <c r="B27" i="40"/>
  <c r="C27" i="40"/>
  <c r="D27" i="40"/>
  <c r="E27" i="40"/>
  <c r="F27" i="40"/>
  <c r="S27" i="40"/>
  <c r="T27" i="40"/>
  <c r="U27" i="40"/>
  <c r="V27" i="40"/>
  <c r="W27" i="40"/>
  <c r="X27" i="40"/>
  <c r="Z27" i="40"/>
  <c r="AA27" i="40"/>
  <c r="AC27" i="40"/>
  <c r="AG27" i="40"/>
  <c r="AH27" i="40"/>
  <c r="AJ27" i="40"/>
  <c r="AK27" i="40"/>
  <c r="AM27" i="40"/>
  <c r="AN27" i="40"/>
  <c r="AO27" i="40"/>
  <c r="AX27" i="40"/>
  <c r="AY27" i="40"/>
  <c r="A28" i="40"/>
  <c r="B28" i="40"/>
  <c r="C28" i="40"/>
  <c r="D28" i="40"/>
  <c r="E28" i="40"/>
  <c r="F28" i="40"/>
  <c r="S28" i="40"/>
  <c r="T28" i="40"/>
  <c r="U28" i="40"/>
  <c r="V28" i="40"/>
  <c r="W28" i="40"/>
  <c r="X28" i="40"/>
  <c r="Z28" i="40"/>
  <c r="AA28" i="40"/>
  <c r="AC28" i="40"/>
  <c r="AG28" i="40"/>
  <c r="AH28" i="40"/>
  <c r="AJ28" i="40"/>
  <c r="AK28" i="40"/>
  <c r="AM28" i="40"/>
  <c r="AN28" i="40"/>
  <c r="AO28" i="40"/>
  <c r="AX28" i="40"/>
  <c r="AY28" i="40"/>
  <c r="A29" i="40"/>
  <c r="B29" i="40"/>
  <c r="C29" i="40"/>
  <c r="D29" i="40"/>
  <c r="E29" i="40"/>
  <c r="F29" i="40"/>
  <c r="S29" i="40"/>
  <c r="T29" i="40"/>
  <c r="U29" i="40"/>
  <c r="V29" i="40"/>
  <c r="W29" i="40"/>
  <c r="X29" i="40"/>
  <c r="Z29" i="40"/>
  <c r="AA29" i="40"/>
  <c r="AC29" i="40"/>
  <c r="AG29" i="40"/>
  <c r="AH29" i="40"/>
  <c r="AJ29" i="40"/>
  <c r="AK29" i="40"/>
  <c r="AM29" i="40"/>
  <c r="AN29" i="40"/>
  <c r="AO29" i="40"/>
  <c r="AX29" i="40"/>
  <c r="AY29" i="40"/>
  <c r="A30" i="40"/>
  <c r="B30" i="40"/>
  <c r="C30" i="40"/>
  <c r="D30" i="40"/>
  <c r="E30" i="40"/>
  <c r="F30" i="40"/>
  <c r="S30" i="40"/>
  <c r="T30" i="40"/>
  <c r="U30" i="40"/>
  <c r="V30" i="40"/>
  <c r="W30" i="40"/>
  <c r="X30" i="40"/>
  <c r="Z30" i="40"/>
  <c r="AA30" i="40"/>
  <c r="AC30" i="40"/>
  <c r="AG30" i="40"/>
  <c r="AH30" i="40"/>
  <c r="AJ30" i="40"/>
  <c r="AK30" i="40"/>
  <c r="AM30" i="40"/>
  <c r="AN30" i="40"/>
  <c r="AO30" i="40"/>
  <c r="AX30" i="40"/>
  <c r="AY30" i="40"/>
  <c r="A31" i="40"/>
  <c r="B31" i="40"/>
  <c r="C31" i="40"/>
  <c r="D31" i="40"/>
  <c r="E31" i="40"/>
  <c r="F31" i="40"/>
  <c r="S31" i="40"/>
  <c r="T31" i="40"/>
  <c r="U31" i="40"/>
  <c r="V31" i="40"/>
  <c r="W31" i="40"/>
  <c r="X31" i="40"/>
  <c r="Z31" i="40"/>
  <c r="AA31" i="40"/>
  <c r="AC31" i="40"/>
  <c r="AG31" i="40"/>
  <c r="AH31" i="40"/>
  <c r="AJ31" i="40"/>
  <c r="AK31" i="40"/>
  <c r="AM31" i="40"/>
  <c r="AN31" i="40"/>
  <c r="AO31" i="40"/>
  <c r="AX31" i="40"/>
  <c r="AY31" i="40"/>
  <c r="A32" i="40"/>
  <c r="B32" i="40"/>
  <c r="C32" i="40"/>
  <c r="D32" i="40"/>
  <c r="E32" i="40"/>
  <c r="F32" i="40"/>
  <c r="S32" i="40"/>
  <c r="T32" i="40"/>
  <c r="U32" i="40"/>
  <c r="V32" i="40"/>
  <c r="W32" i="40"/>
  <c r="X32" i="40"/>
  <c r="Z32" i="40"/>
  <c r="AA32" i="40"/>
  <c r="AC32" i="40"/>
  <c r="AG32" i="40"/>
  <c r="AH32" i="40"/>
  <c r="AJ32" i="40"/>
  <c r="AK32" i="40"/>
  <c r="AM32" i="40"/>
  <c r="AN32" i="40"/>
  <c r="AO32" i="40"/>
  <c r="AX32" i="40"/>
  <c r="AY32" i="40"/>
  <c r="A33" i="40"/>
  <c r="B33" i="40"/>
  <c r="C33" i="40"/>
  <c r="D33" i="40"/>
  <c r="E33" i="40"/>
  <c r="F33" i="40"/>
  <c r="S33" i="40"/>
  <c r="T33" i="40"/>
  <c r="U33" i="40"/>
  <c r="V33" i="40"/>
  <c r="W33" i="40"/>
  <c r="X33" i="40"/>
  <c r="Z33" i="40"/>
  <c r="AA33" i="40"/>
  <c r="AC33" i="40"/>
  <c r="AG33" i="40"/>
  <c r="AH33" i="40"/>
  <c r="AJ33" i="40"/>
  <c r="AK33" i="40"/>
  <c r="AM33" i="40"/>
  <c r="AN33" i="40"/>
  <c r="AO33" i="40"/>
  <c r="AX33" i="40"/>
  <c r="AY33" i="40"/>
  <c r="A34" i="40"/>
  <c r="B34" i="40"/>
  <c r="C34" i="40"/>
  <c r="D34" i="40"/>
  <c r="E34" i="40"/>
  <c r="F34" i="40"/>
  <c r="S34" i="40"/>
  <c r="T34" i="40"/>
  <c r="U34" i="40"/>
  <c r="V34" i="40"/>
  <c r="W34" i="40"/>
  <c r="X34" i="40"/>
  <c r="Z34" i="40"/>
  <c r="AA34" i="40"/>
  <c r="AC34" i="40"/>
  <c r="AG34" i="40"/>
  <c r="AH34" i="40"/>
  <c r="AJ34" i="40"/>
  <c r="AK34" i="40"/>
  <c r="AM34" i="40"/>
  <c r="AN34" i="40"/>
  <c r="AO34" i="40"/>
  <c r="AX34" i="40"/>
  <c r="AY34" i="40"/>
  <c r="A35" i="40"/>
  <c r="B35" i="40"/>
  <c r="C35" i="40"/>
  <c r="D35" i="40"/>
  <c r="E35" i="40"/>
  <c r="F35" i="40"/>
  <c r="S35" i="40"/>
  <c r="T35" i="40"/>
  <c r="U35" i="40"/>
  <c r="V35" i="40"/>
  <c r="W35" i="40"/>
  <c r="X35" i="40"/>
  <c r="Z35" i="40"/>
  <c r="AA35" i="40"/>
  <c r="AC35" i="40"/>
  <c r="AG35" i="40"/>
  <c r="AH35" i="40"/>
  <c r="AJ35" i="40"/>
  <c r="AK35" i="40"/>
  <c r="AM35" i="40"/>
  <c r="AN35" i="40"/>
  <c r="AO35" i="40"/>
  <c r="AX35" i="40"/>
  <c r="AY35" i="40"/>
  <c r="A36" i="40"/>
  <c r="B36" i="40"/>
  <c r="C36" i="40"/>
  <c r="D36" i="40"/>
  <c r="E36" i="40"/>
  <c r="F36" i="40"/>
  <c r="S36" i="40"/>
  <c r="T36" i="40"/>
  <c r="U36" i="40"/>
  <c r="V36" i="40"/>
  <c r="W36" i="40"/>
  <c r="X36" i="40"/>
  <c r="Z36" i="40"/>
  <c r="AA36" i="40"/>
  <c r="AC36" i="40"/>
  <c r="AG36" i="40"/>
  <c r="AH36" i="40"/>
  <c r="AJ36" i="40"/>
  <c r="AK36" i="40"/>
  <c r="AM36" i="40"/>
  <c r="AN36" i="40"/>
  <c r="AO36" i="40"/>
  <c r="AX36" i="40"/>
  <c r="AY36" i="40"/>
  <c r="A37" i="40"/>
  <c r="B37" i="40"/>
  <c r="C37" i="40"/>
  <c r="D37" i="40"/>
  <c r="E37" i="40"/>
  <c r="F37" i="40"/>
  <c r="S37" i="40"/>
  <c r="T37" i="40"/>
  <c r="U37" i="40"/>
  <c r="V37" i="40"/>
  <c r="W37" i="40"/>
  <c r="X37" i="40"/>
  <c r="Z37" i="40"/>
  <c r="AA37" i="40"/>
  <c r="AC37" i="40"/>
  <c r="AG37" i="40"/>
  <c r="AH37" i="40"/>
  <c r="AJ37" i="40"/>
  <c r="AK37" i="40"/>
  <c r="AM37" i="40"/>
  <c r="AN37" i="40"/>
  <c r="AO37" i="40"/>
  <c r="AX37" i="40"/>
  <c r="AY37" i="40"/>
  <c r="A38" i="40"/>
  <c r="B38" i="40"/>
  <c r="C38" i="40"/>
  <c r="D38" i="40"/>
  <c r="E38" i="40"/>
  <c r="F38" i="40"/>
  <c r="S38" i="40"/>
  <c r="T38" i="40"/>
  <c r="U38" i="40"/>
  <c r="V38" i="40"/>
  <c r="W38" i="40"/>
  <c r="X38" i="40"/>
  <c r="Z38" i="40"/>
  <c r="AA38" i="40"/>
  <c r="AC38" i="40"/>
  <c r="AG38" i="40"/>
  <c r="AH38" i="40"/>
  <c r="AJ38" i="40"/>
  <c r="AK38" i="40"/>
  <c r="AM38" i="40"/>
  <c r="AN38" i="40"/>
  <c r="AO38" i="40"/>
  <c r="AX38" i="40"/>
  <c r="AY38" i="40"/>
  <c r="A39" i="40"/>
  <c r="B39" i="40"/>
  <c r="C39" i="40"/>
  <c r="D39" i="40"/>
  <c r="E39" i="40"/>
  <c r="F39" i="40"/>
  <c r="S39" i="40"/>
  <c r="T39" i="40"/>
  <c r="U39" i="40"/>
  <c r="V39" i="40"/>
  <c r="W39" i="40"/>
  <c r="X39" i="40"/>
  <c r="Z39" i="40"/>
  <c r="AA39" i="40"/>
  <c r="AC39" i="40"/>
  <c r="AG39" i="40"/>
  <c r="AH39" i="40"/>
  <c r="AJ39" i="40"/>
  <c r="AK39" i="40"/>
  <c r="AM39" i="40"/>
  <c r="AN39" i="40"/>
  <c r="AO39" i="40"/>
  <c r="AX39" i="40"/>
  <c r="AY39" i="40"/>
  <c r="A40" i="40"/>
  <c r="B40" i="40"/>
  <c r="C40" i="40"/>
  <c r="D40" i="40"/>
  <c r="E40" i="40"/>
  <c r="F40" i="40"/>
  <c r="S40" i="40"/>
  <c r="T40" i="40"/>
  <c r="U40" i="40"/>
  <c r="V40" i="40"/>
  <c r="W40" i="40"/>
  <c r="X40" i="40"/>
  <c r="Z40" i="40"/>
  <c r="AA40" i="40"/>
  <c r="AC40" i="40"/>
  <c r="AG40" i="40"/>
  <c r="AH40" i="40"/>
  <c r="AJ40" i="40"/>
  <c r="AK40" i="40"/>
  <c r="AM40" i="40"/>
  <c r="AN40" i="40"/>
  <c r="AO40" i="40"/>
  <c r="AX40" i="40"/>
  <c r="AY40" i="40"/>
  <c r="A41" i="40"/>
  <c r="B41" i="40"/>
  <c r="C41" i="40"/>
  <c r="D41" i="40"/>
  <c r="E41" i="40"/>
  <c r="F41" i="40"/>
  <c r="S41" i="40"/>
  <c r="T41" i="40"/>
  <c r="U41" i="40"/>
  <c r="V41" i="40"/>
  <c r="W41" i="40"/>
  <c r="X41" i="40"/>
  <c r="Z41" i="40"/>
  <c r="AA41" i="40"/>
  <c r="AC41" i="40"/>
  <c r="AG41" i="40"/>
  <c r="AH41" i="40"/>
  <c r="AJ41" i="40"/>
  <c r="AK41" i="40"/>
  <c r="AM41" i="40"/>
  <c r="AN41" i="40"/>
  <c r="AO41" i="40"/>
  <c r="AX41" i="40"/>
  <c r="AY41" i="40"/>
  <c r="A42" i="40"/>
  <c r="B42" i="40"/>
  <c r="C42" i="40"/>
  <c r="D42" i="40"/>
  <c r="E42" i="40"/>
  <c r="F42" i="40"/>
  <c r="S42" i="40"/>
  <c r="T42" i="40"/>
  <c r="U42" i="40"/>
  <c r="V42" i="40"/>
  <c r="W42" i="40"/>
  <c r="X42" i="40"/>
  <c r="Z42" i="40"/>
  <c r="AA42" i="40"/>
  <c r="AC42" i="40"/>
  <c r="AG42" i="40"/>
  <c r="AH42" i="40"/>
  <c r="AJ42" i="40"/>
  <c r="AK42" i="40"/>
  <c r="AM42" i="40"/>
  <c r="AN42" i="40"/>
  <c r="AO42" i="40"/>
  <c r="AX42" i="40"/>
  <c r="AY42" i="40"/>
  <c r="A43" i="40"/>
  <c r="B43" i="40"/>
  <c r="C43" i="40"/>
  <c r="D43" i="40"/>
  <c r="E43" i="40"/>
  <c r="F43" i="40"/>
  <c r="S43" i="40"/>
  <c r="T43" i="40"/>
  <c r="U43" i="40"/>
  <c r="V43" i="40"/>
  <c r="W43" i="40"/>
  <c r="X43" i="40"/>
  <c r="Z43" i="40"/>
  <c r="AA43" i="40"/>
  <c r="AC43" i="40"/>
  <c r="AG43" i="40"/>
  <c r="AH43" i="40"/>
  <c r="AJ43" i="40"/>
  <c r="AK43" i="40"/>
  <c r="AM43" i="40"/>
  <c r="AN43" i="40"/>
  <c r="AO43" i="40"/>
  <c r="AX43" i="40"/>
  <c r="AY43" i="40"/>
  <c r="A44" i="40"/>
  <c r="B44" i="40"/>
  <c r="C44" i="40"/>
  <c r="D44" i="40"/>
  <c r="E44" i="40"/>
  <c r="F44" i="40"/>
  <c r="S44" i="40"/>
  <c r="T44" i="40"/>
  <c r="U44" i="40"/>
  <c r="V44" i="40"/>
  <c r="W44" i="40"/>
  <c r="X44" i="40"/>
  <c r="Z44" i="40"/>
  <c r="AA44" i="40"/>
  <c r="AC44" i="40"/>
  <c r="AG44" i="40"/>
  <c r="AH44" i="40"/>
  <c r="AJ44" i="40"/>
  <c r="AK44" i="40"/>
  <c r="AM44" i="40"/>
  <c r="AN44" i="40"/>
  <c r="AO44" i="40"/>
  <c r="AX44" i="40"/>
  <c r="AY44" i="40"/>
  <c r="A45" i="40"/>
  <c r="B45" i="40"/>
  <c r="C45" i="40"/>
  <c r="D45" i="40"/>
  <c r="E45" i="40"/>
  <c r="F45" i="40"/>
  <c r="S45" i="40"/>
  <c r="T45" i="40"/>
  <c r="U45" i="40"/>
  <c r="V45" i="40"/>
  <c r="W45" i="40"/>
  <c r="X45" i="40"/>
  <c r="Z45" i="40"/>
  <c r="AA45" i="40"/>
  <c r="AC45" i="40"/>
  <c r="AG45" i="40"/>
  <c r="AH45" i="40"/>
  <c r="AJ45" i="40"/>
  <c r="AK45" i="40"/>
  <c r="AM45" i="40"/>
  <c r="AN45" i="40"/>
  <c r="AO45" i="40"/>
  <c r="AX45" i="40"/>
  <c r="AY45" i="40"/>
  <c r="A46" i="40"/>
  <c r="B46" i="40"/>
  <c r="C46" i="40"/>
  <c r="D46" i="40"/>
  <c r="E46" i="40"/>
  <c r="F46" i="40"/>
  <c r="S46" i="40"/>
  <c r="T46" i="40"/>
  <c r="U46" i="40"/>
  <c r="V46" i="40"/>
  <c r="W46" i="40"/>
  <c r="X46" i="40"/>
  <c r="Z46" i="40"/>
  <c r="AA46" i="40"/>
  <c r="AC46" i="40"/>
  <c r="AG46" i="40"/>
  <c r="AH46" i="40"/>
  <c r="AJ46" i="40"/>
  <c r="AK46" i="40"/>
  <c r="AM46" i="40"/>
  <c r="AN46" i="40"/>
  <c r="AO46" i="40"/>
  <c r="AX46" i="40"/>
  <c r="AY46" i="40"/>
  <c r="A47" i="40"/>
  <c r="B47" i="40"/>
  <c r="C47" i="40"/>
  <c r="D47" i="40"/>
  <c r="E47" i="40"/>
  <c r="F47" i="40"/>
  <c r="S47" i="40"/>
  <c r="T47" i="40"/>
  <c r="U47" i="40"/>
  <c r="V47" i="40"/>
  <c r="W47" i="40"/>
  <c r="X47" i="40"/>
  <c r="Z47" i="40"/>
  <c r="AA47" i="40"/>
  <c r="AC47" i="40"/>
  <c r="AG47" i="40"/>
  <c r="AH47" i="40"/>
  <c r="AJ47" i="40"/>
  <c r="AK47" i="40"/>
  <c r="AM47" i="40"/>
  <c r="AN47" i="40"/>
  <c r="AO47" i="40"/>
  <c r="AX47" i="40"/>
  <c r="AY47" i="40"/>
  <c r="A48" i="40"/>
  <c r="B48" i="40"/>
  <c r="C48" i="40"/>
  <c r="D48" i="40"/>
  <c r="E48" i="40"/>
  <c r="F48" i="40"/>
  <c r="S48" i="40"/>
  <c r="T48" i="40"/>
  <c r="U48" i="40"/>
  <c r="V48" i="40"/>
  <c r="W48" i="40"/>
  <c r="X48" i="40"/>
  <c r="Z48" i="40"/>
  <c r="AA48" i="40"/>
  <c r="AC48" i="40"/>
  <c r="AG48" i="40"/>
  <c r="AH48" i="40"/>
  <c r="AJ48" i="40"/>
  <c r="AK48" i="40"/>
  <c r="AM48" i="40"/>
  <c r="AN48" i="40"/>
  <c r="AO48" i="40"/>
  <c r="AX48" i="40"/>
  <c r="AY48" i="40"/>
  <c r="A49" i="40"/>
  <c r="B49" i="40"/>
  <c r="C49" i="40"/>
  <c r="D49" i="40"/>
  <c r="E49" i="40"/>
  <c r="F49" i="40"/>
  <c r="S49" i="40"/>
  <c r="T49" i="40"/>
  <c r="U49" i="40"/>
  <c r="V49" i="40"/>
  <c r="W49" i="40"/>
  <c r="X49" i="40"/>
  <c r="Z49" i="40"/>
  <c r="AA49" i="40"/>
  <c r="AC49" i="40"/>
  <c r="AG49" i="40"/>
  <c r="AH49" i="40"/>
  <c r="AJ49" i="40"/>
  <c r="AK49" i="40"/>
  <c r="AM49" i="40"/>
  <c r="AN49" i="40"/>
  <c r="AO49" i="40"/>
  <c r="AX49" i="40"/>
  <c r="AY49" i="40"/>
  <c r="A50" i="40"/>
  <c r="B50" i="40"/>
  <c r="C50" i="40"/>
  <c r="D50" i="40"/>
  <c r="E50" i="40"/>
  <c r="F50" i="40"/>
  <c r="S50" i="40"/>
  <c r="T50" i="40"/>
  <c r="U50" i="40"/>
  <c r="V50" i="40"/>
  <c r="W50" i="40"/>
  <c r="X50" i="40"/>
  <c r="Z50" i="40"/>
  <c r="AA50" i="40"/>
  <c r="AC50" i="40"/>
  <c r="AG50" i="40"/>
  <c r="AH50" i="40"/>
  <c r="AJ50" i="40"/>
  <c r="AK50" i="40"/>
  <c r="AM50" i="40"/>
  <c r="AN50" i="40"/>
  <c r="AO50" i="40"/>
  <c r="AX50" i="40"/>
  <c r="AY50" i="40"/>
  <c r="A51" i="40"/>
  <c r="B51" i="40"/>
  <c r="C51" i="40"/>
  <c r="D51" i="40"/>
  <c r="E51" i="40"/>
  <c r="F51" i="40"/>
  <c r="S51" i="40"/>
  <c r="T51" i="40"/>
  <c r="U51" i="40"/>
  <c r="V51" i="40"/>
  <c r="W51" i="40"/>
  <c r="X51" i="40"/>
  <c r="Z51" i="40"/>
  <c r="AA51" i="40"/>
  <c r="AC51" i="40"/>
  <c r="AG51" i="40"/>
  <c r="AH51" i="40"/>
  <c r="AJ51" i="40"/>
  <c r="AK51" i="40"/>
  <c r="AM51" i="40"/>
  <c r="AN51" i="40"/>
  <c r="AO51" i="40"/>
  <c r="AX51" i="40"/>
  <c r="AY51" i="40"/>
  <c r="A52" i="40"/>
  <c r="B52" i="40"/>
  <c r="C52" i="40"/>
  <c r="D52" i="40"/>
  <c r="E52" i="40"/>
  <c r="F52" i="40"/>
  <c r="S52" i="40"/>
  <c r="T52" i="40"/>
  <c r="U52" i="40"/>
  <c r="V52" i="40"/>
  <c r="W52" i="40"/>
  <c r="X52" i="40"/>
  <c r="Z52" i="40"/>
  <c r="AA52" i="40"/>
  <c r="AC52" i="40"/>
  <c r="AG52" i="40"/>
  <c r="AH52" i="40"/>
  <c r="AJ52" i="40"/>
  <c r="AK52" i="40"/>
  <c r="AM52" i="40"/>
  <c r="AN52" i="40"/>
  <c r="AO52" i="40"/>
  <c r="AX52" i="40"/>
  <c r="AY52" i="40"/>
  <c r="A53" i="40"/>
  <c r="B53" i="40"/>
  <c r="C53" i="40"/>
  <c r="D53" i="40"/>
  <c r="E53" i="40"/>
  <c r="F53" i="40"/>
  <c r="S53" i="40"/>
  <c r="T53" i="40"/>
  <c r="U53" i="40"/>
  <c r="V53" i="40"/>
  <c r="W53" i="40"/>
  <c r="X53" i="40"/>
  <c r="Z53" i="40"/>
  <c r="AA53" i="40"/>
  <c r="AC53" i="40"/>
  <c r="AG53" i="40"/>
  <c r="AH53" i="40"/>
  <c r="AJ53" i="40"/>
  <c r="AK53" i="40"/>
  <c r="AM53" i="40"/>
  <c r="AN53" i="40"/>
  <c r="AO53" i="40"/>
  <c r="AX53" i="40"/>
  <c r="AY53" i="40"/>
  <c r="A54" i="40"/>
  <c r="B54" i="40"/>
  <c r="C54" i="40"/>
  <c r="D54" i="40"/>
  <c r="E54" i="40"/>
  <c r="F54" i="40"/>
  <c r="S54" i="40"/>
  <c r="T54" i="40"/>
  <c r="U54" i="40"/>
  <c r="V54" i="40"/>
  <c r="W54" i="40"/>
  <c r="X54" i="40"/>
  <c r="Z54" i="40"/>
  <c r="AA54" i="40"/>
  <c r="AC54" i="40"/>
  <c r="AG54" i="40"/>
  <c r="AH54" i="40"/>
  <c r="AJ54" i="40"/>
  <c r="AK54" i="40"/>
  <c r="AM54" i="40"/>
  <c r="AN54" i="40"/>
  <c r="AO54" i="40"/>
  <c r="AX54" i="40"/>
  <c r="AY54" i="40"/>
  <c r="A55" i="40"/>
  <c r="B55" i="40"/>
  <c r="C55" i="40"/>
  <c r="D55" i="40"/>
  <c r="E55" i="40"/>
  <c r="F55" i="40"/>
  <c r="S55" i="40"/>
  <c r="T55" i="40"/>
  <c r="U55" i="40"/>
  <c r="V55" i="40"/>
  <c r="W55" i="40"/>
  <c r="X55" i="40"/>
  <c r="Z55" i="40"/>
  <c r="AA55" i="40"/>
  <c r="AC55" i="40"/>
  <c r="AG55" i="40"/>
  <c r="AH55" i="40"/>
  <c r="AJ55" i="40"/>
  <c r="AK55" i="40"/>
  <c r="AM55" i="40"/>
  <c r="AN55" i="40"/>
  <c r="AO55" i="40"/>
  <c r="AX55" i="40"/>
  <c r="AY55" i="40"/>
  <c r="A56" i="40"/>
  <c r="B56" i="40"/>
  <c r="C56" i="40"/>
  <c r="D56" i="40"/>
  <c r="E56" i="40"/>
  <c r="F56" i="40"/>
  <c r="S56" i="40"/>
  <c r="T56" i="40"/>
  <c r="U56" i="40"/>
  <c r="V56" i="40"/>
  <c r="W56" i="40"/>
  <c r="X56" i="40"/>
  <c r="Z56" i="40"/>
  <c r="AA56" i="40"/>
  <c r="AC56" i="40"/>
  <c r="AG56" i="40"/>
  <c r="AH56" i="40"/>
  <c r="AJ56" i="40"/>
  <c r="AK56" i="40"/>
  <c r="AM56" i="40"/>
  <c r="AN56" i="40"/>
  <c r="AO56" i="40"/>
  <c r="AX56" i="40"/>
  <c r="AY56" i="40"/>
  <c r="A57" i="40"/>
  <c r="B57" i="40"/>
  <c r="C57" i="40"/>
  <c r="D57" i="40"/>
  <c r="E57" i="40"/>
  <c r="F57" i="40"/>
  <c r="S57" i="40"/>
  <c r="T57" i="40"/>
  <c r="U57" i="40"/>
  <c r="V57" i="40"/>
  <c r="W57" i="40"/>
  <c r="X57" i="40"/>
  <c r="Z57" i="40"/>
  <c r="AA57" i="40"/>
  <c r="AC57" i="40"/>
  <c r="AG57" i="40"/>
  <c r="AH57" i="40"/>
  <c r="AJ57" i="40"/>
  <c r="AK57" i="40"/>
  <c r="AM57" i="40"/>
  <c r="AN57" i="40"/>
  <c r="AO57" i="40"/>
  <c r="AX57" i="40"/>
  <c r="AY57" i="40"/>
  <c r="A58" i="40"/>
  <c r="B58" i="40"/>
  <c r="C58" i="40"/>
  <c r="D58" i="40"/>
  <c r="E58" i="40"/>
  <c r="F58" i="40"/>
  <c r="S58" i="40"/>
  <c r="T58" i="40"/>
  <c r="U58" i="40"/>
  <c r="V58" i="40"/>
  <c r="W58" i="40"/>
  <c r="X58" i="40"/>
  <c r="Z58" i="40"/>
  <c r="AA58" i="40"/>
  <c r="AC58" i="40"/>
  <c r="AG58" i="40"/>
  <c r="AH58" i="40"/>
  <c r="AJ58" i="40"/>
  <c r="AK58" i="40"/>
  <c r="AM58" i="40"/>
  <c r="AN58" i="40"/>
  <c r="AO58" i="40"/>
  <c r="AX58" i="40"/>
  <c r="AY58" i="40"/>
  <c r="A59" i="40"/>
  <c r="B59" i="40"/>
  <c r="C59" i="40"/>
  <c r="D59" i="40"/>
  <c r="E59" i="40"/>
  <c r="F59" i="40"/>
  <c r="S59" i="40"/>
  <c r="T59" i="40"/>
  <c r="U59" i="40"/>
  <c r="V59" i="40"/>
  <c r="W59" i="40"/>
  <c r="X59" i="40"/>
  <c r="Z59" i="40"/>
  <c r="AA59" i="40"/>
  <c r="AC59" i="40"/>
  <c r="AG59" i="40"/>
  <c r="AH59" i="40"/>
  <c r="AJ59" i="40"/>
  <c r="AK59" i="40"/>
  <c r="AM59" i="40"/>
  <c r="AN59" i="40"/>
  <c r="AO59" i="40"/>
  <c r="AX59" i="40"/>
  <c r="AY59" i="40"/>
  <c r="A60" i="40"/>
  <c r="B60" i="40"/>
  <c r="C60" i="40"/>
  <c r="D60" i="40"/>
  <c r="E60" i="40"/>
  <c r="F60" i="40"/>
  <c r="S60" i="40"/>
  <c r="T60" i="40"/>
  <c r="U60" i="40"/>
  <c r="V60" i="40"/>
  <c r="W60" i="40"/>
  <c r="X60" i="40"/>
  <c r="Z60" i="40"/>
  <c r="AA60" i="40"/>
  <c r="AC60" i="40"/>
  <c r="AG60" i="40"/>
  <c r="AH60" i="40"/>
  <c r="AJ60" i="40"/>
  <c r="AK60" i="40"/>
  <c r="AM60" i="40"/>
  <c r="AN60" i="40"/>
  <c r="AO60" i="40"/>
  <c r="AX60" i="40"/>
  <c r="AY60" i="40"/>
  <c r="A61" i="40"/>
  <c r="B61" i="40"/>
  <c r="C61" i="40"/>
  <c r="D61" i="40"/>
  <c r="E61" i="40"/>
  <c r="F61" i="40"/>
  <c r="S61" i="40"/>
  <c r="T61" i="40"/>
  <c r="U61" i="40"/>
  <c r="V61" i="40"/>
  <c r="W61" i="40"/>
  <c r="X61" i="40"/>
  <c r="Z61" i="40"/>
  <c r="AA61" i="40"/>
  <c r="AC61" i="40"/>
  <c r="AG61" i="40"/>
  <c r="AH61" i="40"/>
  <c r="AJ61" i="40"/>
  <c r="AK61" i="40"/>
  <c r="AM61" i="40"/>
  <c r="AN61" i="40"/>
  <c r="AO61" i="40"/>
  <c r="AX61" i="40"/>
  <c r="AY61" i="40"/>
  <c r="A62" i="40"/>
  <c r="B62" i="40"/>
  <c r="C62" i="40"/>
  <c r="D62" i="40"/>
  <c r="E62" i="40"/>
  <c r="F62" i="40"/>
  <c r="S62" i="40"/>
  <c r="T62" i="40"/>
  <c r="U62" i="40"/>
  <c r="V62" i="40"/>
  <c r="W62" i="40"/>
  <c r="X62" i="40"/>
  <c r="Z62" i="40"/>
  <c r="AA62" i="40"/>
  <c r="AC62" i="40"/>
  <c r="AG62" i="40"/>
  <c r="AH62" i="40"/>
  <c r="AJ62" i="40"/>
  <c r="AK62" i="40"/>
  <c r="AM62" i="40"/>
  <c r="AN62" i="40"/>
  <c r="AO62" i="40"/>
  <c r="AX62" i="40"/>
  <c r="AY62" i="40"/>
  <c r="A63" i="40"/>
  <c r="B63" i="40"/>
  <c r="C63" i="40"/>
  <c r="D63" i="40"/>
  <c r="E63" i="40"/>
  <c r="F63" i="40"/>
  <c r="S63" i="40"/>
  <c r="T63" i="40"/>
  <c r="U63" i="40"/>
  <c r="V63" i="40"/>
  <c r="W63" i="40"/>
  <c r="X63" i="40"/>
  <c r="Z63" i="40"/>
  <c r="AA63" i="40"/>
  <c r="AC63" i="40"/>
  <c r="AG63" i="40"/>
  <c r="AH63" i="40"/>
  <c r="AJ63" i="40"/>
  <c r="AK63" i="40"/>
  <c r="AM63" i="40"/>
  <c r="AN63" i="40"/>
  <c r="AO63" i="40"/>
  <c r="AX63" i="40"/>
  <c r="AY63" i="40"/>
  <c r="A64" i="40"/>
  <c r="B64" i="40"/>
  <c r="C64" i="40"/>
  <c r="D64" i="40"/>
  <c r="E64" i="40"/>
  <c r="F64" i="40"/>
  <c r="S64" i="40"/>
  <c r="T64" i="40"/>
  <c r="U64" i="40"/>
  <c r="V64" i="40"/>
  <c r="W64" i="40"/>
  <c r="X64" i="40"/>
  <c r="Z64" i="40"/>
  <c r="AA64" i="40"/>
  <c r="AC64" i="40"/>
  <c r="AG64" i="40"/>
  <c r="AH64" i="40"/>
  <c r="AJ64" i="40"/>
  <c r="AK64" i="40"/>
  <c r="AM64" i="40"/>
  <c r="AN64" i="40"/>
  <c r="AO64" i="40"/>
  <c r="AX64" i="40"/>
  <c r="AY64" i="40"/>
  <c r="A65" i="40"/>
  <c r="B65" i="40"/>
  <c r="C65" i="40"/>
  <c r="D65" i="40"/>
  <c r="E65" i="40"/>
  <c r="F65" i="40"/>
  <c r="S65" i="40"/>
  <c r="T65" i="40"/>
  <c r="U65" i="40"/>
  <c r="V65" i="40"/>
  <c r="W65" i="40"/>
  <c r="X65" i="40"/>
  <c r="Z65" i="40"/>
  <c r="AA65" i="40"/>
  <c r="AC65" i="40"/>
  <c r="AG65" i="40"/>
  <c r="AH65" i="40"/>
  <c r="AJ65" i="40"/>
  <c r="AK65" i="40"/>
  <c r="AM65" i="40"/>
  <c r="AN65" i="40"/>
  <c r="AO65" i="40"/>
  <c r="AX65" i="40"/>
  <c r="AY65" i="40"/>
  <c r="A66" i="40"/>
  <c r="B66" i="40"/>
  <c r="C66" i="40"/>
  <c r="D66" i="40"/>
  <c r="E66" i="40"/>
  <c r="F66" i="40"/>
  <c r="S66" i="40"/>
  <c r="T66" i="40"/>
  <c r="U66" i="40"/>
  <c r="V66" i="40"/>
  <c r="W66" i="40"/>
  <c r="X66" i="40"/>
  <c r="Z66" i="40"/>
  <c r="AA66" i="40"/>
  <c r="AC66" i="40"/>
  <c r="AG66" i="40"/>
  <c r="AH66" i="40"/>
  <c r="AJ66" i="40"/>
  <c r="AK66" i="40"/>
  <c r="AM66" i="40"/>
  <c r="AN66" i="40"/>
  <c r="AO66" i="40"/>
  <c r="AX66" i="40"/>
  <c r="AY66" i="40"/>
  <c r="A67" i="40"/>
  <c r="B67" i="40"/>
  <c r="C67" i="40"/>
  <c r="D67" i="40"/>
  <c r="E67" i="40"/>
  <c r="F67" i="40"/>
  <c r="S67" i="40"/>
  <c r="T67" i="40"/>
  <c r="U67" i="40"/>
  <c r="V67" i="40"/>
  <c r="W67" i="40"/>
  <c r="X67" i="40"/>
  <c r="Z67" i="40"/>
  <c r="AA67" i="40"/>
  <c r="AC67" i="40"/>
  <c r="AG67" i="40"/>
  <c r="AH67" i="40"/>
  <c r="AJ67" i="40"/>
  <c r="AK67" i="40"/>
  <c r="AM67" i="40"/>
  <c r="AN67" i="40"/>
  <c r="AO67" i="40"/>
  <c r="AX67" i="40"/>
  <c r="AY67" i="40"/>
  <c r="A68" i="40"/>
  <c r="B68" i="40"/>
  <c r="C68" i="40"/>
  <c r="D68" i="40"/>
  <c r="E68" i="40"/>
  <c r="F68" i="40"/>
  <c r="S68" i="40"/>
  <c r="T68" i="40"/>
  <c r="U68" i="40"/>
  <c r="V68" i="40"/>
  <c r="W68" i="40"/>
  <c r="X68" i="40"/>
  <c r="Z68" i="40"/>
  <c r="AA68" i="40"/>
  <c r="AC68" i="40"/>
  <c r="AG68" i="40"/>
  <c r="AH68" i="40"/>
  <c r="AJ68" i="40"/>
  <c r="AK68" i="40"/>
  <c r="AM68" i="40"/>
  <c r="AN68" i="40"/>
  <c r="AO68" i="40"/>
  <c r="AX68" i="40"/>
  <c r="AY68" i="40"/>
  <c r="B69" i="40"/>
  <c r="X69" i="40"/>
  <c r="AN69" i="40"/>
  <c r="A73" i="40"/>
  <c r="B73" i="40"/>
  <c r="C73" i="40"/>
  <c r="D73" i="40"/>
  <c r="E73" i="40"/>
  <c r="S73" i="40"/>
  <c r="T73" i="40"/>
  <c r="U73" i="40"/>
  <c r="V73" i="40"/>
  <c r="W73" i="40"/>
  <c r="X73" i="40"/>
  <c r="Z73" i="40"/>
  <c r="AA73" i="40"/>
  <c r="AC73" i="40"/>
  <c r="AE73" i="40"/>
  <c r="AF73" i="40"/>
  <c r="AG73" i="40"/>
  <c r="AH73" i="40"/>
  <c r="AI73" i="40"/>
  <c r="AJ73" i="40"/>
  <c r="AN73" i="40"/>
  <c r="AX73" i="40"/>
  <c r="AY73" i="40"/>
  <c r="A74" i="40"/>
  <c r="B74" i="40"/>
  <c r="C74" i="40"/>
  <c r="D74" i="40"/>
  <c r="E74" i="40"/>
  <c r="S74" i="40"/>
  <c r="T74" i="40"/>
  <c r="U74" i="40"/>
  <c r="V74" i="40"/>
  <c r="W74" i="40"/>
  <c r="X74" i="40"/>
  <c r="Z74" i="40"/>
  <c r="AA74" i="40"/>
  <c r="AC74" i="40"/>
  <c r="AE74" i="40"/>
  <c r="AF74" i="40"/>
  <c r="AG74" i="40"/>
  <c r="AH74" i="40"/>
  <c r="AI74" i="40"/>
  <c r="AJ74" i="40"/>
  <c r="AN74" i="40"/>
  <c r="AX74" i="40"/>
  <c r="AY74" i="40"/>
  <c r="A75" i="40"/>
  <c r="B75" i="40"/>
  <c r="C75" i="40"/>
  <c r="D75" i="40"/>
  <c r="E75" i="40"/>
  <c r="S75" i="40"/>
  <c r="T75" i="40"/>
  <c r="U75" i="40"/>
  <c r="V75" i="40"/>
  <c r="W75" i="40"/>
  <c r="X75" i="40"/>
  <c r="Z75" i="40"/>
  <c r="AA75" i="40"/>
  <c r="AC75" i="40"/>
  <c r="AE75" i="40"/>
  <c r="AF75" i="40"/>
  <c r="AG75" i="40"/>
  <c r="AH75" i="40"/>
  <c r="AI75" i="40"/>
  <c r="AJ75" i="40"/>
  <c r="AN75" i="40"/>
  <c r="AX75" i="40"/>
  <c r="AY75" i="40"/>
  <c r="A76" i="40"/>
  <c r="B76" i="40"/>
  <c r="C76" i="40"/>
  <c r="D76" i="40"/>
  <c r="E76" i="40"/>
  <c r="S76" i="40"/>
  <c r="T76" i="40"/>
  <c r="U76" i="40"/>
  <c r="V76" i="40"/>
  <c r="W76" i="40"/>
  <c r="X76" i="40"/>
  <c r="Z76" i="40"/>
  <c r="AA76" i="40"/>
  <c r="AC76" i="40"/>
  <c r="AE76" i="40"/>
  <c r="AF76" i="40"/>
  <c r="AG76" i="40"/>
  <c r="AH76" i="40"/>
  <c r="AI76" i="40"/>
  <c r="AJ76" i="40"/>
  <c r="AN76" i="40"/>
  <c r="AX76" i="40"/>
  <c r="AY76" i="40"/>
  <c r="A77" i="40"/>
  <c r="B77" i="40"/>
  <c r="C77" i="40"/>
  <c r="D77" i="40"/>
  <c r="E77" i="40"/>
  <c r="S77" i="40"/>
  <c r="T77" i="40"/>
  <c r="U77" i="40"/>
  <c r="V77" i="40"/>
  <c r="W77" i="40"/>
  <c r="X77" i="40"/>
  <c r="Z77" i="40"/>
  <c r="AA77" i="40"/>
  <c r="AC77" i="40"/>
  <c r="AE77" i="40"/>
  <c r="AF77" i="40"/>
  <c r="AG77" i="40"/>
  <c r="AH77" i="40"/>
  <c r="AI77" i="40"/>
  <c r="AJ77" i="40"/>
  <c r="AN77" i="40"/>
  <c r="AX77" i="40"/>
  <c r="AY77" i="40"/>
  <c r="A78" i="40"/>
  <c r="B78" i="40"/>
  <c r="C78" i="40"/>
  <c r="D78" i="40"/>
  <c r="E78" i="40"/>
  <c r="S78" i="40"/>
  <c r="T78" i="40"/>
  <c r="U78" i="40"/>
  <c r="V78" i="40"/>
  <c r="W78" i="40"/>
  <c r="X78" i="40"/>
  <c r="Z78" i="40"/>
  <c r="AA78" i="40"/>
  <c r="AC78" i="40"/>
  <c r="AE78" i="40"/>
  <c r="AF78" i="40"/>
  <c r="AG78" i="40"/>
  <c r="AH78" i="40"/>
  <c r="AI78" i="40"/>
  <c r="AJ78" i="40"/>
  <c r="AN78" i="40"/>
  <c r="AX78" i="40"/>
  <c r="AY78" i="40"/>
  <c r="A79" i="40"/>
  <c r="B79" i="40"/>
  <c r="C79" i="40"/>
  <c r="D79" i="40"/>
  <c r="E79" i="40"/>
  <c r="S79" i="40"/>
  <c r="T79" i="40"/>
  <c r="U79" i="40"/>
  <c r="V79" i="40"/>
  <c r="W79" i="40"/>
  <c r="X79" i="40"/>
  <c r="Z79" i="40"/>
  <c r="AA79" i="40"/>
  <c r="AC79" i="40"/>
  <c r="AE79" i="40"/>
  <c r="AF79" i="40"/>
  <c r="AG79" i="40"/>
  <c r="AH79" i="40"/>
  <c r="AI79" i="40"/>
  <c r="AJ79" i="40"/>
  <c r="AN79" i="40"/>
  <c r="AX79" i="40"/>
  <c r="AY79" i="40"/>
  <c r="A80" i="40"/>
  <c r="B80" i="40"/>
  <c r="C80" i="40"/>
  <c r="D80" i="40"/>
  <c r="E80" i="40"/>
  <c r="S80" i="40"/>
  <c r="T80" i="40"/>
  <c r="U80" i="40"/>
  <c r="V80" i="40"/>
  <c r="W80" i="40"/>
  <c r="X80" i="40"/>
  <c r="Z80" i="40"/>
  <c r="AA80" i="40"/>
  <c r="AC80" i="40"/>
  <c r="AE80" i="40"/>
  <c r="AF80" i="40"/>
  <c r="AG80" i="40"/>
  <c r="AH80" i="40"/>
  <c r="AI80" i="40"/>
  <c r="AJ80" i="40"/>
  <c r="AN80" i="40"/>
  <c r="AX80" i="40"/>
  <c r="AY80" i="40"/>
  <c r="A81" i="40"/>
  <c r="B81" i="40"/>
  <c r="C81" i="40"/>
  <c r="D81" i="40"/>
  <c r="E81" i="40"/>
  <c r="S81" i="40"/>
  <c r="T81" i="40"/>
  <c r="U81" i="40"/>
  <c r="V81" i="40"/>
  <c r="W81" i="40"/>
  <c r="X81" i="40"/>
  <c r="Z81" i="40"/>
  <c r="AA81" i="40"/>
  <c r="AC81" i="40"/>
  <c r="AE81" i="40"/>
  <c r="AF81" i="40"/>
  <c r="AG81" i="40"/>
  <c r="AH81" i="40"/>
  <c r="AI81" i="40"/>
  <c r="AJ81" i="40"/>
  <c r="AN81" i="40"/>
  <c r="AX81" i="40"/>
  <c r="AY81" i="40"/>
  <c r="A82" i="40"/>
  <c r="B82" i="40"/>
  <c r="C82" i="40"/>
  <c r="D82" i="40"/>
  <c r="E82" i="40"/>
  <c r="S82" i="40"/>
  <c r="T82" i="40"/>
  <c r="U82" i="40"/>
  <c r="V82" i="40"/>
  <c r="W82" i="40"/>
  <c r="X82" i="40"/>
  <c r="Z82" i="40"/>
  <c r="AA82" i="40"/>
  <c r="AC82" i="40"/>
  <c r="AE82" i="40"/>
  <c r="AF82" i="40"/>
  <c r="AG82" i="40"/>
  <c r="AH82" i="40"/>
  <c r="AI82" i="40"/>
  <c r="AJ82" i="40"/>
  <c r="AN82" i="40"/>
  <c r="AX82" i="40"/>
  <c r="AY82" i="40"/>
  <c r="A83" i="40"/>
  <c r="B83" i="40"/>
  <c r="C83" i="40"/>
  <c r="D83" i="40"/>
  <c r="E83" i="40"/>
  <c r="S83" i="40"/>
  <c r="T83" i="40"/>
  <c r="U83" i="40"/>
  <c r="V83" i="40"/>
  <c r="W83" i="40"/>
  <c r="X83" i="40"/>
  <c r="Z83" i="40"/>
  <c r="AA83" i="40"/>
  <c r="AC83" i="40"/>
  <c r="AE83" i="40"/>
  <c r="AF83" i="40"/>
  <c r="AG83" i="40"/>
  <c r="AH83" i="40"/>
  <c r="AI83" i="40"/>
  <c r="AJ83" i="40"/>
  <c r="AN83" i="40"/>
  <c r="AX83" i="40"/>
  <c r="AY83" i="40"/>
  <c r="A84" i="40"/>
  <c r="B84" i="40"/>
  <c r="C84" i="40"/>
  <c r="D84" i="40"/>
  <c r="E84" i="40"/>
  <c r="S84" i="40"/>
  <c r="T84" i="40"/>
  <c r="U84" i="40"/>
  <c r="V84" i="40"/>
  <c r="W84" i="40"/>
  <c r="X84" i="40"/>
  <c r="Z84" i="40"/>
  <c r="AA84" i="40"/>
  <c r="AC84" i="40"/>
  <c r="AE84" i="40"/>
  <c r="AF84" i="40"/>
  <c r="AG84" i="40"/>
  <c r="AH84" i="40"/>
  <c r="AI84" i="40"/>
  <c r="AJ84" i="40"/>
  <c r="AN84" i="40"/>
  <c r="AX84" i="40"/>
  <c r="AY84" i="40"/>
  <c r="A85" i="40"/>
  <c r="B85" i="40"/>
  <c r="C85" i="40"/>
  <c r="D85" i="40"/>
  <c r="E85" i="40"/>
  <c r="S85" i="40"/>
  <c r="T85" i="40"/>
  <c r="U85" i="40"/>
  <c r="V85" i="40"/>
  <c r="W85" i="40"/>
  <c r="X85" i="40"/>
  <c r="Z85" i="40"/>
  <c r="AA85" i="40"/>
  <c r="AC85" i="40"/>
  <c r="AE85" i="40"/>
  <c r="AF85" i="40"/>
  <c r="AG85" i="40"/>
  <c r="AH85" i="40"/>
  <c r="AI85" i="40"/>
  <c r="AJ85" i="40"/>
  <c r="AN85" i="40"/>
  <c r="AX85" i="40"/>
  <c r="AY85" i="40"/>
  <c r="A86" i="40"/>
  <c r="B86" i="40"/>
  <c r="C86" i="40"/>
  <c r="D86" i="40"/>
  <c r="E86" i="40"/>
  <c r="S86" i="40"/>
  <c r="T86" i="40"/>
  <c r="U86" i="40"/>
  <c r="V86" i="40"/>
  <c r="W86" i="40"/>
  <c r="X86" i="40"/>
  <c r="Z86" i="40"/>
  <c r="AA86" i="40"/>
  <c r="AC86" i="40"/>
  <c r="AE86" i="40"/>
  <c r="AF86" i="40"/>
  <c r="AG86" i="40"/>
  <c r="AH86" i="40"/>
  <c r="AI86" i="40"/>
  <c r="AJ86" i="40"/>
  <c r="AN86" i="40"/>
  <c r="AX86" i="40"/>
  <c r="AY86" i="40"/>
  <c r="A87" i="40"/>
  <c r="B87" i="40"/>
  <c r="C87" i="40"/>
  <c r="D87" i="40"/>
  <c r="E87" i="40"/>
  <c r="S87" i="40"/>
  <c r="T87" i="40"/>
  <c r="U87" i="40"/>
  <c r="V87" i="40"/>
  <c r="W87" i="40"/>
  <c r="X87" i="40"/>
  <c r="Z87" i="40"/>
  <c r="AA87" i="40"/>
  <c r="AC87" i="40"/>
  <c r="AE87" i="40"/>
  <c r="AF87" i="40"/>
  <c r="AG87" i="40"/>
  <c r="AH87" i="40"/>
  <c r="AI87" i="40"/>
  <c r="AJ87" i="40"/>
  <c r="AN87" i="40"/>
  <c r="AX87" i="40"/>
  <c r="AY87" i="40"/>
  <c r="A88" i="40"/>
  <c r="B88" i="40"/>
  <c r="C88" i="40"/>
  <c r="D88" i="40"/>
  <c r="E88" i="40"/>
  <c r="S88" i="40"/>
  <c r="T88" i="40"/>
  <c r="U88" i="40"/>
  <c r="V88" i="40"/>
  <c r="W88" i="40"/>
  <c r="X88" i="40"/>
  <c r="Z88" i="40"/>
  <c r="AA88" i="40"/>
  <c r="AC88" i="40"/>
  <c r="AE88" i="40"/>
  <c r="AF88" i="40"/>
  <c r="AG88" i="40"/>
  <c r="AH88" i="40"/>
  <c r="AI88" i="40"/>
  <c r="AJ88" i="40"/>
  <c r="AN88" i="40"/>
  <c r="AX88" i="40"/>
  <c r="AY88" i="40"/>
  <c r="A89" i="40"/>
  <c r="B89" i="40"/>
  <c r="C89" i="40"/>
  <c r="D89" i="40"/>
  <c r="E89" i="40"/>
  <c r="S89" i="40"/>
  <c r="T89" i="40"/>
  <c r="U89" i="40"/>
  <c r="V89" i="40"/>
  <c r="W89" i="40"/>
  <c r="X89" i="40"/>
  <c r="Z89" i="40"/>
  <c r="AA89" i="40"/>
  <c r="AC89" i="40"/>
  <c r="AE89" i="40"/>
  <c r="AF89" i="40"/>
  <c r="AG89" i="40"/>
  <c r="AH89" i="40"/>
  <c r="AI89" i="40"/>
  <c r="AJ89" i="40"/>
  <c r="AN89" i="40"/>
  <c r="AX89" i="40"/>
  <c r="AY89" i="40"/>
  <c r="A90" i="40"/>
  <c r="B90" i="40"/>
  <c r="C90" i="40"/>
  <c r="D90" i="40"/>
  <c r="E90" i="40"/>
  <c r="S90" i="40"/>
  <c r="T90" i="40"/>
  <c r="U90" i="40"/>
  <c r="V90" i="40"/>
  <c r="W90" i="40"/>
  <c r="X90" i="40"/>
  <c r="Z90" i="40"/>
  <c r="AA90" i="40"/>
  <c r="AC90" i="40"/>
  <c r="AE90" i="40"/>
  <c r="AF90" i="40"/>
  <c r="AG90" i="40"/>
  <c r="AH90" i="40"/>
  <c r="AI90" i="40"/>
  <c r="AJ90" i="40"/>
  <c r="AN90" i="40"/>
  <c r="AX90" i="40"/>
  <c r="AY90" i="40"/>
  <c r="A91" i="40"/>
  <c r="B91" i="40"/>
  <c r="C91" i="40"/>
  <c r="D91" i="40"/>
  <c r="E91" i="40"/>
  <c r="S91" i="40"/>
  <c r="T91" i="40"/>
  <c r="U91" i="40"/>
  <c r="V91" i="40"/>
  <c r="W91" i="40"/>
  <c r="X91" i="40"/>
  <c r="Z91" i="40"/>
  <c r="AA91" i="40"/>
  <c r="AC91" i="40"/>
  <c r="AE91" i="40"/>
  <c r="AF91" i="40"/>
  <c r="AG91" i="40"/>
  <c r="AH91" i="40"/>
  <c r="AI91" i="40"/>
  <c r="AJ91" i="40"/>
  <c r="AN91" i="40"/>
  <c r="AX91" i="40"/>
  <c r="AY91" i="40"/>
  <c r="A92" i="40"/>
  <c r="B92" i="40"/>
  <c r="C92" i="40"/>
  <c r="D92" i="40"/>
  <c r="E92" i="40"/>
  <c r="S92" i="40"/>
  <c r="T92" i="40"/>
  <c r="U92" i="40"/>
  <c r="V92" i="40"/>
  <c r="W92" i="40"/>
  <c r="X92" i="40"/>
  <c r="Z92" i="40"/>
  <c r="AA92" i="40"/>
  <c r="AC92" i="40"/>
  <c r="AE92" i="40"/>
  <c r="AF92" i="40"/>
  <c r="AG92" i="40"/>
  <c r="AH92" i="40"/>
  <c r="AI92" i="40"/>
  <c r="AJ92" i="40"/>
  <c r="AN92" i="40"/>
  <c r="AX92" i="40"/>
  <c r="AY92" i="40"/>
  <c r="A93" i="40"/>
  <c r="B93" i="40"/>
  <c r="C93" i="40"/>
  <c r="D93" i="40"/>
  <c r="E93" i="40"/>
  <c r="S93" i="40"/>
  <c r="T93" i="40"/>
  <c r="U93" i="40"/>
  <c r="V93" i="40"/>
  <c r="W93" i="40"/>
  <c r="X93" i="40"/>
  <c r="Z93" i="40"/>
  <c r="AA93" i="40"/>
  <c r="AC93" i="40"/>
  <c r="AE93" i="40"/>
  <c r="AF93" i="40"/>
  <c r="AG93" i="40"/>
  <c r="AH93" i="40"/>
  <c r="AI93" i="40"/>
  <c r="AJ93" i="40"/>
  <c r="AN93" i="40"/>
  <c r="AX93" i="40"/>
  <c r="AY93" i="40"/>
  <c r="A94" i="40"/>
  <c r="B94" i="40"/>
  <c r="C94" i="40"/>
  <c r="D94" i="40"/>
  <c r="E94" i="40"/>
  <c r="S94" i="40"/>
  <c r="T94" i="40"/>
  <c r="U94" i="40"/>
  <c r="V94" i="40"/>
  <c r="W94" i="40"/>
  <c r="X94" i="40"/>
  <c r="Z94" i="40"/>
  <c r="AA94" i="40"/>
  <c r="AC94" i="40"/>
  <c r="AE94" i="40"/>
  <c r="AF94" i="40"/>
  <c r="AG94" i="40"/>
  <c r="AH94" i="40"/>
  <c r="AI94" i="40"/>
  <c r="AJ94" i="40"/>
  <c r="AN94" i="40"/>
  <c r="AX94" i="40"/>
  <c r="AY94" i="40"/>
  <c r="A95" i="40"/>
  <c r="B95" i="40"/>
  <c r="C95" i="40"/>
  <c r="D95" i="40"/>
  <c r="E95" i="40"/>
  <c r="S95" i="40"/>
  <c r="T95" i="40"/>
  <c r="U95" i="40"/>
  <c r="V95" i="40"/>
  <c r="W95" i="40"/>
  <c r="X95" i="40"/>
  <c r="Z95" i="40"/>
  <c r="AA95" i="40"/>
  <c r="AC95" i="40"/>
  <c r="AE95" i="40"/>
  <c r="AF95" i="40"/>
  <c r="AG95" i="40"/>
  <c r="AH95" i="40"/>
  <c r="AI95" i="40"/>
  <c r="AJ95" i="40"/>
  <c r="AN95" i="40"/>
  <c r="AX95" i="40"/>
  <c r="AY95" i="40"/>
  <c r="A96" i="40"/>
  <c r="B96" i="40"/>
  <c r="C96" i="40"/>
  <c r="D96" i="40"/>
  <c r="E96" i="40"/>
  <c r="S96" i="40"/>
  <c r="T96" i="40"/>
  <c r="U96" i="40"/>
  <c r="V96" i="40"/>
  <c r="W96" i="40"/>
  <c r="X96" i="40"/>
  <c r="Z96" i="40"/>
  <c r="AA96" i="40"/>
  <c r="AC96" i="40"/>
  <c r="AE96" i="40"/>
  <c r="AF96" i="40"/>
  <c r="AG96" i="40"/>
  <c r="AH96" i="40"/>
  <c r="AI96" i="40"/>
  <c r="AJ96" i="40"/>
  <c r="AN96" i="40"/>
  <c r="AX96" i="40"/>
  <c r="AY96" i="40"/>
  <c r="A97" i="40"/>
  <c r="B97" i="40"/>
  <c r="C97" i="40"/>
  <c r="D97" i="40"/>
  <c r="E97" i="40"/>
  <c r="S97" i="40"/>
  <c r="T97" i="40"/>
  <c r="U97" i="40"/>
  <c r="V97" i="40"/>
  <c r="W97" i="40"/>
  <c r="X97" i="40"/>
  <c r="Z97" i="40"/>
  <c r="AA97" i="40"/>
  <c r="AC97" i="40"/>
  <c r="AE97" i="40"/>
  <c r="AF97" i="40"/>
  <c r="AG97" i="40"/>
  <c r="AH97" i="40"/>
  <c r="AI97" i="40"/>
  <c r="AJ97" i="40"/>
  <c r="AN97" i="40"/>
  <c r="AX97" i="40"/>
  <c r="AY97" i="40"/>
  <c r="A98" i="40"/>
  <c r="B98" i="40"/>
  <c r="C98" i="40"/>
  <c r="D98" i="40"/>
  <c r="E98" i="40"/>
  <c r="S98" i="40"/>
  <c r="T98" i="40"/>
  <c r="U98" i="40"/>
  <c r="V98" i="40"/>
  <c r="W98" i="40"/>
  <c r="X98" i="40"/>
  <c r="Z98" i="40"/>
  <c r="AA98" i="40"/>
  <c r="AC98" i="40"/>
  <c r="AE98" i="40"/>
  <c r="AF98" i="40"/>
  <c r="AG98" i="40"/>
  <c r="AH98" i="40"/>
  <c r="AI98" i="40"/>
  <c r="AJ98" i="40"/>
  <c r="AN98" i="40"/>
  <c r="AX98" i="40"/>
  <c r="AY98" i="40"/>
  <c r="A99" i="40"/>
  <c r="B99" i="40"/>
  <c r="C99" i="40"/>
  <c r="D99" i="40"/>
  <c r="E99" i="40"/>
  <c r="S99" i="40"/>
  <c r="T99" i="40"/>
  <c r="U99" i="40"/>
  <c r="V99" i="40"/>
  <c r="W99" i="40"/>
  <c r="X99" i="40"/>
  <c r="Z99" i="40"/>
  <c r="AA99" i="40"/>
  <c r="AC99" i="40"/>
  <c r="AE99" i="40"/>
  <c r="AF99" i="40"/>
  <c r="AG99" i="40"/>
  <c r="AH99" i="40"/>
  <c r="AI99" i="40"/>
  <c r="AJ99" i="40"/>
  <c r="AN99" i="40"/>
  <c r="AX99" i="40"/>
  <c r="AY99" i="40"/>
  <c r="A100" i="40"/>
  <c r="B100" i="40"/>
  <c r="C100" i="40"/>
  <c r="D100" i="40"/>
  <c r="E100" i="40"/>
  <c r="S100" i="40"/>
  <c r="T100" i="40"/>
  <c r="U100" i="40"/>
  <c r="V100" i="40"/>
  <c r="W100" i="40"/>
  <c r="X100" i="40"/>
  <c r="Z100" i="40"/>
  <c r="AA100" i="40"/>
  <c r="AC100" i="40"/>
  <c r="AE100" i="40"/>
  <c r="AF100" i="40"/>
  <c r="AG100" i="40"/>
  <c r="AH100" i="40"/>
  <c r="AI100" i="40"/>
  <c r="AJ100" i="40"/>
  <c r="AN100" i="40"/>
  <c r="AX100" i="40"/>
  <c r="AY100" i="40"/>
  <c r="A101" i="40"/>
  <c r="B101" i="40"/>
  <c r="C101" i="40"/>
  <c r="D101" i="40"/>
  <c r="E101" i="40"/>
  <c r="S101" i="40"/>
  <c r="T101" i="40"/>
  <c r="U101" i="40"/>
  <c r="V101" i="40"/>
  <c r="W101" i="40"/>
  <c r="X101" i="40"/>
  <c r="Z101" i="40"/>
  <c r="AA101" i="40"/>
  <c r="AC101" i="40"/>
  <c r="AE101" i="40"/>
  <c r="AF101" i="40"/>
  <c r="AG101" i="40"/>
  <c r="AH101" i="40"/>
  <c r="AI101" i="40"/>
  <c r="AJ101" i="40"/>
  <c r="AN101" i="40"/>
  <c r="AX101" i="40"/>
  <c r="AY101" i="40"/>
  <c r="A102" i="40"/>
  <c r="B102" i="40"/>
  <c r="C102" i="40"/>
  <c r="D102" i="40"/>
  <c r="E102" i="40"/>
  <c r="S102" i="40"/>
  <c r="T102" i="40"/>
  <c r="U102" i="40"/>
  <c r="V102" i="40"/>
  <c r="W102" i="40"/>
  <c r="X102" i="40"/>
  <c r="Z102" i="40"/>
  <c r="AA102" i="40"/>
  <c r="AC102" i="40"/>
  <c r="AE102" i="40"/>
  <c r="AF102" i="40"/>
  <c r="AG102" i="40"/>
  <c r="AH102" i="40"/>
  <c r="AI102" i="40"/>
  <c r="AJ102" i="40"/>
  <c r="AN102" i="40"/>
  <c r="AX102" i="40"/>
  <c r="AY102" i="40"/>
  <c r="A103" i="40"/>
  <c r="B103" i="40"/>
  <c r="C103" i="40"/>
  <c r="D103" i="40"/>
  <c r="E103" i="40"/>
  <c r="S103" i="40"/>
  <c r="T103" i="40"/>
  <c r="U103" i="40"/>
  <c r="V103" i="40"/>
  <c r="W103" i="40"/>
  <c r="X103" i="40"/>
  <c r="Z103" i="40"/>
  <c r="AA103" i="40"/>
  <c r="AC103" i="40"/>
  <c r="AE103" i="40"/>
  <c r="AF103" i="40"/>
  <c r="AG103" i="40"/>
  <c r="AH103" i="40"/>
  <c r="AI103" i="40"/>
  <c r="AJ103" i="40"/>
  <c r="AN103" i="40"/>
  <c r="AX103" i="40"/>
  <c r="AY103" i="40"/>
  <c r="A104" i="40"/>
  <c r="B104" i="40"/>
  <c r="C104" i="40"/>
  <c r="D104" i="40"/>
  <c r="E104" i="40"/>
  <c r="S104" i="40"/>
  <c r="T104" i="40"/>
  <c r="U104" i="40"/>
  <c r="V104" i="40"/>
  <c r="W104" i="40"/>
  <c r="X104" i="40"/>
  <c r="Z104" i="40"/>
  <c r="AA104" i="40"/>
  <c r="AC104" i="40"/>
  <c r="AE104" i="40"/>
  <c r="AF104" i="40"/>
  <c r="AG104" i="40"/>
  <c r="AH104" i="40"/>
  <c r="AI104" i="40"/>
  <c r="AJ104" i="40"/>
  <c r="AN104" i="40"/>
  <c r="AX104" i="40"/>
  <c r="AY104" i="40"/>
  <c r="A105" i="40"/>
  <c r="B105" i="40"/>
  <c r="C105" i="40"/>
  <c r="D105" i="40"/>
  <c r="E105" i="40"/>
  <c r="S105" i="40"/>
  <c r="T105" i="40"/>
  <c r="U105" i="40"/>
  <c r="V105" i="40"/>
  <c r="W105" i="40"/>
  <c r="X105" i="40"/>
  <c r="Z105" i="40"/>
  <c r="AA105" i="40"/>
  <c r="AC105" i="40"/>
  <c r="AE105" i="40"/>
  <c r="AF105" i="40"/>
  <c r="AG105" i="40"/>
  <c r="AH105" i="40"/>
  <c r="AI105" i="40"/>
  <c r="AJ105" i="40"/>
  <c r="AN105" i="40"/>
  <c r="AX105" i="40"/>
  <c r="AY105" i="40"/>
  <c r="A106" i="40"/>
  <c r="B106" i="40"/>
  <c r="C106" i="40"/>
  <c r="D106" i="40"/>
  <c r="E106" i="40"/>
  <c r="S106" i="40"/>
  <c r="T106" i="40"/>
  <c r="U106" i="40"/>
  <c r="V106" i="40"/>
  <c r="W106" i="40"/>
  <c r="X106" i="40"/>
  <c r="Z106" i="40"/>
  <c r="AA106" i="40"/>
  <c r="AC106" i="40"/>
  <c r="AE106" i="40"/>
  <c r="AF106" i="40"/>
  <c r="AG106" i="40"/>
  <c r="AH106" i="40"/>
  <c r="AI106" i="40"/>
  <c r="AJ106" i="40"/>
  <c r="AN106" i="40"/>
  <c r="AX106" i="40"/>
  <c r="AY106" i="40"/>
  <c r="A107" i="40"/>
  <c r="B107" i="40"/>
  <c r="C107" i="40"/>
  <c r="D107" i="40"/>
  <c r="E107" i="40"/>
  <c r="S107" i="40"/>
  <c r="T107" i="40"/>
  <c r="U107" i="40"/>
  <c r="V107" i="40"/>
  <c r="W107" i="40"/>
  <c r="X107" i="40"/>
  <c r="Z107" i="40"/>
  <c r="AA107" i="40"/>
  <c r="AC107" i="40"/>
  <c r="AE107" i="40"/>
  <c r="AF107" i="40"/>
  <c r="AG107" i="40"/>
  <c r="AH107" i="40"/>
  <c r="AI107" i="40"/>
  <c r="AJ107" i="40"/>
  <c r="AN107" i="40"/>
  <c r="AX107" i="40"/>
  <c r="AY107" i="40"/>
  <c r="A108" i="40"/>
  <c r="B108" i="40"/>
  <c r="C108" i="40"/>
  <c r="D108" i="40"/>
  <c r="E108" i="40"/>
  <c r="S108" i="40"/>
  <c r="T108" i="40"/>
  <c r="U108" i="40"/>
  <c r="V108" i="40"/>
  <c r="W108" i="40"/>
  <c r="X108" i="40"/>
  <c r="Z108" i="40"/>
  <c r="AA108" i="40"/>
  <c r="AC108" i="40"/>
  <c r="AE108" i="40"/>
  <c r="AF108" i="40"/>
  <c r="AG108" i="40"/>
  <c r="AH108" i="40"/>
  <c r="AI108" i="40"/>
  <c r="AJ108" i="40"/>
  <c r="AN108" i="40"/>
  <c r="AX108" i="40"/>
  <c r="AY108" i="40"/>
  <c r="A109" i="40"/>
  <c r="B109" i="40"/>
  <c r="C109" i="40"/>
  <c r="D109" i="40"/>
  <c r="E109" i="40"/>
  <c r="S109" i="40"/>
  <c r="T109" i="40"/>
  <c r="U109" i="40"/>
  <c r="V109" i="40"/>
  <c r="W109" i="40"/>
  <c r="X109" i="40"/>
  <c r="Z109" i="40"/>
  <c r="AA109" i="40"/>
  <c r="AC109" i="40"/>
  <c r="AE109" i="40"/>
  <c r="AF109" i="40"/>
  <c r="AG109" i="40"/>
  <c r="AH109" i="40"/>
  <c r="AI109" i="40"/>
  <c r="AJ109" i="40"/>
  <c r="AN109" i="40"/>
  <c r="AX109" i="40"/>
  <c r="AY109" i="40"/>
  <c r="A110" i="40"/>
  <c r="B110" i="40"/>
  <c r="C110" i="40"/>
  <c r="D110" i="40"/>
  <c r="E110" i="40"/>
  <c r="S110" i="40"/>
  <c r="T110" i="40"/>
  <c r="U110" i="40"/>
  <c r="V110" i="40"/>
  <c r="W110" i="40"/>
  <c r="X110" i="40"/>
  <c r="Z110" i="40"/>
  <c r="AA110" i="40"/>
  <c r="AC110" i="40"/>
  <c r="AE110" i="40"/>
  <c r="AF110" i="40"/>
  <c r="AG110" i="40"/>
  <c r="AH110" i="40"/>
  <c r="AI110" i="40"/>
  <c r="AJ110" i="40"/>
  <c r="AN110" i="40"/>
  <c r="AX110" i="40"/>
  <c r="AY110" i="40"/>
  <c r="A111" i="40"/>
  <c r="B111" i="40"/>
  <c r="C111" i="40"/>
  <c r="D111" i="40"/>
  <c r="E111" i="40"/>
  <c r="S111" i="40"/>
  <c r="T111" i="40"/>
  <c r="U111" i="40"/>
  <c r="V111" i="40"/>
  <c r="W111" i="40"/>
  <c r="X111" i="40"/>
  <c r="Z111" i="40"/>
  <c r="AA111" i="40"/>
  <c r="AC111" i="40"/>
  <c r="AE111" i="40"/>
  <c r="AF111" i="40"/>
  <c r="AG111" i="40"/>
  <c r="AH111" i="40"/>
  <c r="AI111" i="40"/>
  <c r="AJ111" i="40"/>
  <c r="AN111" i="40"/>
  <c r="AX111" i="40"/>
  <c r="AY111" i="40"/>
  <c r="A112" i="40"/>
  <c r="B112" i="40"/>
  <c r="C112" i="40"/>
  <c r="D112" i="40"/>
  <c r="E112" i="40"/>
  <c r="S112" i="40"/>
  <c r="T112" i="40"/>
  <c r="U112" i="40"/>
  <c r="V112" i="40"/>
  <c r="W112" i="40"/>
  <c r="X112" i="40"/>
  <c r="Z112" i="40"/>
  <c r="AA112" i="40"/>
  <c r="AC112" i="40"/>
  <c r="AE112" i="40"/>
  <c r="AF112" i="40"/>
  <c r="AG112" i="40"/>
  <c r="AH112" i="40"/>
  <c r="AI112" i="40"/>
  <c r="AJ112" i="40"/>
  <c r="AN112" i="40"/>
  <c r="AX112" i="40"/>
  <c r="AY112" i="40"/>
  <c r="A113" i="40"/>
  <c r="B113" i="40"/>
  <c r="C113" i="40"/>
  <c r="D113" i="40"/>
  <c r="E113" i="40"/>
  <c r="S113" i="40"/>
  <c r="T113" i="40"/>
  <c r="U113" i="40"/>
  <c r="V113" i="40"/>
  <c r="W113" i="40"/>
  <c r="X113" i="40"/>
  <c r="Z113" i="40"/>
  <c r="AA113" i="40"/>
  <c r="AC113" i="40"/>
  <c r="AE113" i="40"/>
  <c r="AF113" i="40"/>
  <c r="AG113" i="40"/>
  <c r="AH113" i="40"/>
  <c r="AI113" i="40"/>
  <c r="AJ113" i="40"/>
  <c r="AN113" i="40"/>
  <c r="AX113" i="40"/>
  <c r="AY113" i="40"/>
  <c r="A114" i="40"/>
  <c r="B114" i="40"/>
  <c r="C114" i="40"/>
  <c r="D114" i="40"/>
  <c r="E114" i="40"/>
  <c r="S114" i="40"/>
  <c r="T114" i="40"/>
  <c r="U114" i="40"/>
  <c r="V114" i="40"/>
  <c r="W114" i="40"/>
  <c r="X114" i="40"/>
  <c r="Z114" i="40"/>
  <c r="AA114" i="40"/>
  <c r="AC114" i="40"/>
  <c r="AE114" i="40"/>
  <c r="AF114" i="40"/>
  <c r="AG114" i="40"/>
  <c r="AH114" i="40"/>
  <c r="AI114" i="40"/>
  <c r="AJ114" i="40"/>
  <c r="AN114" i="40"/>
  <c r="AX114" i="40"/>
  <c r="AY114" i="40"/>
  <c r="A115" i="40"/>
  <c r="B115" i="40"/>
  <c r="C115" i="40"/>
  <c r="D115" i="40"/>
  <c r="E115" i="40"/>
  <c r="S115" i="40"/>
  <c r="T115" i="40"/>
  <c r="U115" i="40"/>
  <c r="V115" i="40"/>
  <c r="W115" i="40"/>
  <c r="X115" i="40"/>
  <c r="Z115" i="40"/>
  <c r="AA115" i="40"/>
  <c r="AC115" i="40"/>
  <c r="AE115" i="40"/>
  <c r="AF115" i="40"/>
  <c r="AG115" i="40"/>
  <c r="AH115" i="40"/>
  <c r="AI115" i="40"/>
  <c r="AJ115" i="40"/>
  <c r="AN115" i="40"/>
  <c r="AX115" i="40"/>
  <c r="AY115" i="40"/>
  <c r="A116" i="40"/>
  <c r="B116" i="40"/>
  <c r="C116" i="40"/>
  <c r="D116" i="40"/>
  <c r="E116" i="40"/>
  <c r="S116" i="40"/>
  <c r="T116" i="40"/>
  <c r="U116" i="40"/>
  <c r="V116" i="40"/>
  <c r="W116" i="40"/>
  <c r="X116" i="40"/>
  <c r="Z116" i="40"/>
  <c r="AA116" i="40"/>
  <c r="AC116" i="40"/>
  <c r="AE116" i="40"/>
  <c r="AF116" i="40"/>
  <c r="AG116" i="40"/>
  <c r="AH116" i="40"/>
  <c r="AI116" i="40"/>
  <c r="AJ116" i="40"/>
  <c r="AN116" i="40"/>
  <c r="AX116" i="40"/>
  <c r="AY116" i="40"/>
  <c r="A117" i="40"/>
  <c r="B117" i="40"/>
  <c r="C117" i="40"/>
  <c r="D117" i="40"/>
  <c r="E117" i="40"/>
  <c r="S117" i="40"/>
  <c r="T117" i="40"/>
  <c r="U117" i="40"/>
  <c r="V117" i="40"/>
  <c r="W117" i="40"/>
  <c r="X117" i="40"/>
  <c r="Z117" i="40"/>
  <c r="AA117" i="40"/>
  <c r="AC117" i="40"/>
  <c r="AE117" i="40"/>
  <c r="AF117" i="40"/>
  <c r="AG117" i="40"/>
  <c r="AH117" i="40"/>
  <c r="AI117" i="40"/>
  <c r="AJ117" i="40"/>
  <c r="AN117" i="40"/>
  <c r="AX117" i="40"/>
  <c r="AY117" i="40"/>
  <c r="A118" i="40"/>
  <c r="B118" i="40"/>
  <c r="C118" i="40"/>
  <c r="D118" i="40"/>
  <c r="E118" i="40"/>
  <c r="S118" i="40"/>
  <c r="T118" i="40"/>
  <c r="U118" i="40"/>
  <c r="V118" i="40"/>
  <c r="W118" i="40"/>
  <c r="X118" i="40"/>
  <c r="Z118" i="40"/>
  <c r="AA118" i="40"/>
  <c r="AC118" i="40"/>
  <c r="AE118" i="40"/>
  <c r="AF118" i="40"/>
  <c r="AG118" i="40"/>
  <c r="AH118" i="40"/>
  <c r="AI118" i="40"/>
  <c r="AJ118" i="40"/>
  <c r="AN118" i="40"/>
  <c r="AX118" i="40"/>
  <c r="AY118" i="40"/>
  <c r="A119" i="40"/>
  <c r="B119" i="40"/>
  <c r="C119" i="40"/>
  <c r="D119" i="40"/>
  <c r="E119" i="40"/>
  <c r="S119" i="40"/>
  <c r="T119" i="40"/>
  <c r="U119" i="40"/>
  <c r="V119" i="40"/>
  <c r="W119" i="40"/>
  <c r="X119" i="40"/>
  <c r="Z119" i="40"/>
  <c r="AA119" i="40"/>
  <c r="AC119" i="40"/>
  <c r="AE119" i="40"/>
  <c r="AF119" i="40"/>
  <c r="AG119" i="40"/>
  <c r="AH119" i="40"/>
  <c r="AI119" i="40"/>
  <c r="AJ119" i="40"/>
  <c r="AN119" i="40"/>
  <c r="AX119" i="40"/>
  <c r="AY119" i="40"/>
  <c r="A120" i="40"/>
  <c r="B120" i="40"/>
  <c r="C120" i="40"/>
  <c r="D120" i="40"/>
  <c r="E120" i="40"/>
  <c r="S120" i="40"/>
  <c r="T120" i="40"/>
  <c r="U120" i="40"/>
  <c r="V120" i="40"/>
  <c r="W120" i="40"/>
  <c r="X120" i="40"/>
  <c r="Z120" i="40"/>
  <c r="AA120" i="40"/>
  <c r="AC120" i="40"/>
  <c r="AE120" i="40"/>
  <c r="AF120" i="40"/>
  <c r="AG120" i="40"/>
  <c r="AH120" i="40"/>
  <c r="AI120" i="40"/>
  <c r="AJ120" i="40"/>
  <c r="AN120" i="40"/>
  <c r="AX120" i="40"/>
  <c r="AY120" i="40"/>
  <c r="A121" i="40"/>
  <c r="B121" i="40"/>
  <c r="C121" i="40"/>
  <c r="D121" i="40"/>
  <c r="E121" i="40"/>
  <c r="S121" i="40"/>
  <c r="T121" i="40"/>
  <c r="U121" i="40"/>
  <c r="V121" i="40"/>
  <c r="W121" i="40"/>
  <c r="X121" i="40"/>
  <c r="Z121" i="40"/>
  <c r="AA121" i="40"/>
  <c r="AC121" i="40"/>
  <c r="AE121" i="40"/>
  <c r="AF121" i="40"/>
  <c r="AG121" i="40"/>
  <c r="AH121" i="40"/>
  <c r="AI121" i="40"/>
  <c r="AJ121" i="40"/>
  <c r="AN121" i="40"/>
  <c r="AX121" i="40"/>
  <c r="AY121" i="40"/>
  <c r="A122" i="40"/>
  <c r="B122" i="40"/>
  <c r="C122" i="40"/>
  <c r="D122" i="40"/>
  <c r="E122" i="40"/>
  <c r="S122" i="40"/>
  <c r="T122" i="40"/>
  <c r="U122" i="40"/>
  <c r="V122" i="40"/>
  <c r="W122" i="40"/>
  <c r="X122" i="40"/>
  <c r="Z122" i="40"/>
  <c r="AA122" i="40"/>
  <c r="AC122" i="40"/>
  <c r="AE122" i="40"/>
  <c r="AF122" i="40"/>
  <c r="AG122" i="40"/>
  <c r="AH122" i="40"/>
  <c r="AI122" i="40"/>
  <c r="AJ122" i="40"/>
  <c r="AN122" i="40"/>
  <c r="AX122" i="40"/>
  <c r="AY122" i="40"/>
  <c r="A123" i="40"/>
  <c r="B123" i="40"/>
  <c r="C123" i="40"/>
  <c r="D123" i="40"/>
  <c r="E123" i="40"/>
  <c r="S123" i="40"/>
  <c r="T123" i="40"/>
  <c r="U123" i="40"/>
  <c r="V123" i="40"/>
  <c r="W123" i="40"/>
  <c r="X123" i="40"/>
  <c r="Z123" i="40"/>
  <c r="AA123" i="40"/>
  <c r="AC123" i="40"/>
  <c r="AE123" i="40"/>
  <c r="AF123" i="40"/>
  <c r="AG123" i="40"/>
  <c r="AH123" i="40"/>
  <c r="AI123" i="40"/>
  <c r="AJ123" i="40"/>
  <c r="AN123" i="40"/>
  <c r="AX123" i="40"/>
  <c r="AY123" i="40"/>
  <c r="A124" i="40"/>
  <c r="B124" i="40"/>
  <c r="C124" i="40"/>
  <c r="D124" i="40"/>
  <c r="E124" i="40"/>
  <c r="S124" i="40"/>
  <c r="T124" i="40"/>
  <c r="U124" i="40"/>
  <c r="V124" i="40"/>
  <c r="W124" i="40"/>
  <c r="X124" i="40"/>
  <c r="Z124" i="40"/>
  <c r="AA124" i="40"/>
  <c r="AC124" i="40"/>
  <c r="AE124" i="40"/>
  <c r="AF124" i="40"/>
  <c r="AG124" i="40"/>
  <c r="AH124" i="40"/>
  <c r="AI124" i="40"/>
  <c r="AJ124" i="40"/>
  <c r="AN124" i="40"/>
  <c r="AX124" i="40"/>
  <c r="AY124" i="40"/>
  <c r="A125" i="40"/>
  <c r="B125" i="40"/>
  <c r="C125" i="40"/>
  <c r="D125" i="40"/>
  <c r="E125" i="40"/>
  <c r="S125" i="40"/>
  <c r="T125" i="40"/>
  <c r="U125" i="40"/>
  <c r="V125" i="40"/>
  <c r="W125" i="40"/>
  <c r="X125" i="40"/>
  <c r="Z125" i="40"/>
  <c r="AA125" i="40"/>
  <c r="AC125" i="40"/>
  <c r="AE125" i="40"/>
  <c r="AF125" i="40"/>
  <c r="AG125" i="40"/>
  <c r="AH125" i="40"/>
  <c r="AI125" i="40"/>
  <c r="AJ125" i="40"/>
  <c r="AN125" i="40"/>
  <c r="AX125" i="40"/>
  <c r="AY125" i="40"/>
  <c r="A126" i="40"/>
  <c r="B126" i="40"/>
  <c r="C126" i="40"/>
  <c r="D126" i="40"/>
  <c r="E126" i="40"/>
  <c r="S126" i="40"/>
  <c r="T126" i="40"/>
  <c r="U126" i="40"/>
  <c r="V126" i="40"/>
  <c r="W126" i="40"/>
  <c r="X126" i="40"/>
  <c r="Z126" i="40"/>
  <c r="AA126" i="40"/>
  <c r="AC126" i="40"/>
  <c r="AE126" i="40"/>
  <c r="AF126" i="40"/>
  <c r="AG126" i="40"/>
  <c r="AH126" i="40"/>
  <c r="AI126" i="40"/>
  <c r="AJ126" i="40"/>
  <c r="AN126" i="40"/>
  <c r="AX126" i="40"/>
  <c r="AY126" i="40"/>
  <c r="A127" i="40"/>
  <c r="B127" i="40"/>
  <c r="C127" i="40"/>
  <c r="D127" i="40"/>
  <c r="E127" i="40"/>
  <c r="S127" i="40"/>
  <c r="T127" i="40"/>
  <c r="U127" i="40"/>
  <c r="V127" i="40"/>
  <c r="W127" i="40"/>
  <c r="X127" i="40"/>
  <c r="Z127" i="40"/>
  <c r="AA127" i="40"/>
  <c r="AC127" i="40"/>
  <c r="AE127" i="40"/>
  <c r="AF127" i="40"/>
  <c r="AG127" i="40"/>
  <c r="AH127" i="40"/>
  <c r="AI127" i="40"/>
  <c r="AJ127" i="40"/>
  <c r="AN127" i="40"/>
  <c r="AX127" i="40"/>
  <c r="AY127" i="40"/>
  <c r="A128" i="40"/>
  <c r="B128" i="40"/>
  <c r="C128" i="40"/>
  <c r="D128" i="40"/>
  <c r="E128" i="40"/>
  <c r="S128" i="40"/>
  <c r="T128" i="40"/>
  <c r="U128" i="40"/>
  <c r="V128" i="40"/>
  <c r="W128" i="40"/>
  <c r="X128" i="40"/>
  <c r="Z128" i="40"/>
  <c r="AA128" i="40"/>
  <c r="AC128" i="40"/>
  <c r="AE128" i="40"/>
  <c r="AF128" i="40"/>
  <c r="AG128" i="40"/>
  <c r="AH128" i="40"/>
  <c r="AI128" i="40"/>
  <c r="AJ128" i="40"/>
  <c r="AN128" i="40"/>
  <c r="AX128" i="40"/>
  <c r="AY128" i="40"/>
  <c r="A129" i="40"/>
  <c r="B129" i="40"/>
  <c r="C129" i="40"/>
  <c r="D129" i="40"/>
  <c r="E129" i="40"/>
  <c r="S129" i="40"/>
  <c r="T129" i="40"/>
  <c r="U129" i="40"/>
  <c r="V129" i="40"/>
  <c r="W129" i="40"/>
  <c r="X129" i="40"/>
  <c r="Z129" i="40"/>
  <c r="AA129" i="40"/>
  <c r="AC129" i="40"/>
  <c r="AE129" i="40"/>
  <c r="AF129" i="40"/>
  <c r="AG129" i="40"/>
  <c r="AH129" i="40"/>
  <c r="AI129" i="40"/>
  <c r="AJ129" i="40"/>
  <c r="AN129" i="40"/>
  <c r="AX129" i="40"/>
  <c r="AY129" i="40"/>
  <c r="A130" i="40"/>
  <c r="B130" i="40"/>
  <c r="C130" i="40"/>
  <c r="D130" i="40"/>
  <c r="E130" i="40"/>
  <c r="S130" i="40"/>
  <c r="T130" i="40"/>
  <c r="U130" i="40"/>
  <c r="V130" i="40"/>
  <c r="W130" i="40"/>
  <c r="X130" i="40"/>
  <c r="Z130" i="40"/>
  <c r="AA130" i="40"/>
  <c r="AC130" i="40"/>
  <c r="AE130" i="40"/>
  <c r="AF130" i="40"/>
  <c r="AG130" i="40"/>
  <c r="AH130" i="40"/>
  <c r="AI130" i="40"/>
  <c r="AJ130" i="40"/>
  <c r="AN130" i="40"/>
  <c r="AX130" i="40"/>
  <c r="AY130" i="40"/>
  <c r="A131" i="40"/>
  <c r="B131" i="40"/>
  <c r="C131" i="40"/>
  <c r="D131" i="40"/>
  <c r="E131" i="40"/>
  <c r="S131" i="40"/>
  <c r="T131" i="40"/>
  <c r="U131" i="40"/>
  <c r="V131" i="40"/>
  <c r="W131" i="40"/>
  <c r="X131" i="40"/>
  <c r="Z131" i="40"/>
  <c r="AA131" i="40"/>
  <c r="AC131" i="40"/>
  <c r="AE131" i="40"/>
  <c r="AF131" i="40"/>
  <c r="AG131" i="40"/>
  <c r="AH131" i="40"/>
  <c r="AI131" i="40"/>
  <c r="AJ131" i="40"/>
  <c r="AN131" i="40"/>
  <c r="AX131" i="40"/>
  <c r="AY131" i="40"/>
  <c r="A132" i="40"/>
  <c r="B132" i="40"/>
  <c r="C132" i="40"/>
  <c r="D132" i="40"/>
  <c r="E132" i="40"/>
  <c r="S132" i="40"/>
  <c r="T132" i="40"/>
  <c r="U132" i="40"/>
  <c r="V132" i="40"/>
  <c r="W132" i="40"/>
  <c r="X132" i="40"/>
  <c r="Z132" i="40"/>
  <c r="AA132" i="40"/>
  <c r="AC132" i="40"/>
  <c r="AE132" i="40"/>
  <c r="AF132" i="40"/>
  <c r="AG132" i="40"/>
  <c r="AH132" i="40"/>
  <c r="AI132" i="40"/>
  <c r="AJ132" i="40"/>
  <c r="AN132" i="40"/>
  <c r="AX132" i="40"/>
  <c r="AY132" i="40"/>
  <c r="A133" i="40"/>
  <c r="B133" i="40"/>
  <c r="C133" i="40"/>
  <c r="D133" i="40"/>
  <c r="E133" i="40"/>
  <c r="S133" i="40"/>
  <c r="T133" i="40"/>
  <c r="U133" i="40"/>
  <c r="V133" i="40"/>
  <c r="W133" i="40"/>
  <c r="X133" i="40"/>
  <c r="Z133" i="40"/>
  <c r="AA133" i="40"/>
  <c r="AC133" i="40"/>
  <c r="AE133" i="40"/>
  <c r="AF133" i="40"/>
  <c r="AG133" i="40"/>
  <c r="AH133" i="40"/>
  <c r="AI133" i="40"/>
  <c r="AJ133" i="40"/>
  <c r="AN133" i="40"/>
  <c r="AX133" i="40"/>
  <c r="AY133" i="40"/>
  <c r="A134" i="40"/>
  <c r="B134" i="40"/>
  <c r="C134" i="40"/>
  <c r="D134" i="40"/>
  <c r="E134" i="40"/>
  <c r="S134" i="40"/>
  <c r="T134" i="40"/>
  <c r="U134" i="40"/>
  <c r="V134" i="40"/>
  <c r="W134" i="40"/>
  <c r="X134" i="40"/>
  <c r="Z134" i="40"/>
  <c r="AA134" i="40"/>
  <c r="AC134" i="40"/>
  <c r="AE134" i="40"/>
  <c r="AF134" i="40"/>
  <c r="AG134" i="40"/>
  <c r="AH134" i="40"/>
  <c r="AI134" i="40"/>
  <c r="AJ134" i="40"/>
  <c r="AN134" i="40"/>
  <c r="AX134" i="40"/>
  <c r="AY134" i="40"/>
  <c r="A135" i="40"/>
  <c r="B135" i="40"/>
  <c r="C135" i="40"/>
  <c r="D135" i="40"/>
  <c r="E135" i="40"/>
  <c r="S135" i="40"/>
  <c r="T135" i="40"/>
  <c r="U135" i="40"/>
  <c r="V135" i="40"/>
  <c r="W135" i="40"/>
  <c r="X135" i="40"/>
  <c r="Z135" i="40"/>
  <c r="AA135" i="40"/>
  <c r="AC135" i="40"/>
  <c r="AE135" i="40"/>
  <c r="AF135" i="40"/>
  <c r="AG135" i="40"/>
  <c r="AH135" i="40"/>
  <c r="AI135" i="40"/>
  <c r="AJ135" i="40"/>
  <c r="AN135" i="40"/>
  <c r="AX135" i="40"/>
  <c r="AY135" i="40"/>
  <c r="A136" i="40"/>
  <c r="B136" i="40"/>
  <c r="C136" i="40"/>
  <c r="D136" i="40"/>
  <c r="E136" i="40"/>
  <c r="S136" i="40"/>
  <c r="T136" i="40"/>
  <c r="U136" i="40"/>
  <c r="V136" i="40"/>
  <c r="W136" i="40"/>
  <c r="X136" i="40"/>
  <c r="Z136" i="40"/>
  <c r="AA136" i="40"/>
  <c r="AC136" i="40"/>
  <c r="AE136" i="40"/>
  <c r="AF136" i="40"/>
  <c r="AG136" i="40"/>
  <c r="AH136" i="40"/>
  <c r="AI136" i="40"/>
  <c r="AJ136" i="40"/>
  <c r="AN136" i="40"/>
  <c r="AX136" i="40"/>
  <c r="AY136" i="40"/>
  <c r="A137" i="40"/>
  <c r="B137" i="40"/>
  <c r="C137" i="40"/>
  <c r="D137" i="40"/>
  <c r="E137" i="40"/>
  <c r="S137" i="40"/>
  <c r="T137" i="40"/>
  <c r="U137" i="40"/>
  <c r="V137" i="40"/>
  <c r="W137" i="40"/>
  <c r="X137" i="40"/>
  <c r="Z137" i="40"/>
  <c r="AA137" i="40"/>
  <c r="AC137" i="40"/>
  <c r="AE137" i="40"/>
  <c r="AF137" i="40"/>
  <c r="AG137" i="40"/>
  <c r="AH137" i="40"/>
  <c r="AI137" i="40"/>
  <c r="AJ137" i="40"/>
  <c r="AN137" i="40"/>
  <c r="AX137" i="40"/>
  <c r="AY137" i="40"/>
  <c r="A138" i="40"/>
  <c r="B138" i="40"/>
  <c r="C138" i="40"/>
  <c r="D138" i="40"/>
  <c r="E138" i="40"/>
  <c r="S138" i="40"/>
  <c r="T138" i="40"/>
  <c r="U138" i="40"/>
  <c r="V138" i="40"/>
  <c r="W138" i="40"/>
  <c r="X138" i="40"/>
  <c r="Z138" i="40"/>
  <c r="AA138" i="40"/>
  <c r="AC138" i="40"/>
  <c r="AE138" i="40"/>
  <c r="AF138" i="40"/>
  <c r="AG138" i="40"/>
  <c r="AH138" i="40"/>
  <c r="AI138" i="40"/>
  <c r="AJ138" i="40"/>
  <c r="AN138" i="40"/>
  <c r="AX138" i="40"/>
  <c r="AY138" i="40"/>
  <c r="A139" i="40"/>
  <c r="B139" i="40"/>
  <c r="C139" i="40"/>
  <c r="D139" i="40"/>
  <c r="E139" i="40"/>
  <c r="S139" i="40"/>
  <c r="T139" i="40"/>
  <c r="U139" i="40"/>
  <c r="V139" i="40"/>
  <c r="W139" i="40"/>
  <c r="X139" i="40"/>
  <c r="Z139" i="40"/>
  <c r="AA139" i="40"/>
  <c r="AC139" i="40"/>
  <c r="AE139" i="40"/>
  <c r="AF139" i="40"/>
  <c r="AG139" i="40"/>
  <c r="AH139" i="40"/>
  <c r="AI139" i="40"/>
  <c r="AJ139" i="40"/>
  <c r="AN139" i="40"/>
  <c r="AX139" i="40"/>
  <c r="AY139" i="40"/>
  <c r="A140" i="40"/>
  <c r="B140" i="40"/>
  <c r="C140" i="40"/>
  <c r="D140" i="40"/>
  <c r="E140" i="40"/>
  <c r="S140" i="40"/>
  <c r="T140" i="40"/>
  <c r="U140" i="40"/>
  <c r="V140" i="40"/>
  <c r="W140" i="40"/>
  <c r="X140" i="40"/>
  <c r="Z140" i="40"/>
  <c r="AA140" i="40"/>
  <c r="AC140" i="40"/>
  <c r="AE140" i="40"/>
  <c r="AF140" i="40"/>
  <c r="AG140" i="40"/>
  <c r="AH140" i="40"/>
  <c r="AI140" i="40"/>
  <c r="AJ140" i="40"/>
  <c r="AN140" i="40"/>
  <c r="AX140" i="40"/>
  <c r="AY140" i="40"/>
  <c r="A141" i="40"/>
  <c r="B141" i="40"/>
  <c r="C141" i="40"/>
  <c r="D141" i="40"/>
  <c r="E141" i="40"/>
  <c r="S141" i="40"/>
  <c r="T141" i="40"/>
  <c r="U141" i="40"/>
  <c r="V141" i="40"/>
  <c r="W141" i="40"/>
  <c r="X141" i="40"/>
  <c r="Z141" i="40"/>
  <c r="AA141" i="40"/>
  <c r="AC141" i="40"/>
  <c r="AE141" i="40"/>
  <c r="AF141" i="40"/>
  <c r="AG141" i="40"/>
  <c r="AH141" i="40"/>
  <c r="AI141" i="40"/>
  <c r="AJ141" i="40"/>
  <c r="AN141" i="40"/>
  <c r="AX141" i="40"/>
  <c r="AY141" i="40"/>
  <c r="A142" i="40"/>
  <c r="B142" i="40"/>
  <c r="C142" i="40"/>
  <c r="D142" i="40"/>
  <c r="E142" i="40"/>
  <c r="S142" i="40"/>
  <c r="T142" i="40"/>
  <c r="U142" i="40"/>
  <c r="V142" i="40"/>
  <c r="W142" i="40"/>
  <c r="X142" i="40"/>
  <c r="Z142" i="40"/>
  <c r="AA142" i="40"/>
  <c r="AC142" i="40"/>
  <c r="AE142" i="40"/>
  <c r="AF142" i="40"/>
  <c r="AG142" i="40"/>
  <c r="AH142" i="40"/>
  <c r="AI142" i="40"/>
  <c r="AJ142" i="40"/>
  <c r="AN142" i="40"/>
  <c r="AX142" i="40"/>
  <c r="AY142" i="40"/>
  <c r="A143" i="40"/>
  <c r="B143" i="40"/>
  <c r="C143" i="40"/>
  <c r="D143" i="40"/>
  <c r="E143" i="40"/>
  <c r="S143" i="40"/>
  <c r="T143" i="40"/>
  <c r="U143" i="40"/>
  <c r="V143" i="40"/>
  <c r="W143" i="40"/>
  <c r="X143" i="40"/>
  <c r="Z143" i="40"/>
  <c r="AA143" i="40"/>
  <c r="AC143" i="40"/>
  <c r="AE143" i="40"/>
  <c r="AF143" i="40"/>
  <c r="AG143" i="40"/>
  <c r="AH143" i="40"/>
  <c r="AI143" i="40"/>
  <c r="AJ143" i="40"/>
  <c r="AN143" i="40"/>
  <c r="AX143" i="40"/>
  <c r="AY143" i="40"/>
  <c r="B144" i="40"/>
  <c r="X144" i="40"/>
  <c r="AN144" i="40"/>
  <c r="A148" i="40"/>
  <c r="B148" i="40"/>
  <c r="C148" i="40"/>
  <c r="D148" i="40"/>
  <c r="E148" i="40"/>
  <c r="S148" i="40"/>
  <c r="T148" i="40"/>
  <c r="U148" i="40"/>
  <c r="V148" i="40"/>
  <c r="W148" i="40"/>
  <c r="X148" i="40"/>
  <c r="Z148" i="40"/>
  <c r="AA148" i="40"/>
  <c r="AC148" i="40"/>
  <c r="AG148" i="40"/>
  <c r="AH148" i="40"/>
  <c r="AJ148" i="40"/>
  <c r="AM148" i="40"/>
  <c r="AN148" i="40"/>
  <c r="AO148" i="40"/>
  <c r="AX148" i="40"/>
  <c r="AY148" i="40"/>
  <c r="A149" i="40"/>
  <c r="B149" i="40"/>
  <c r="C149" i="40"/>
  <c r="D149" i="40"/>
  <c r="E149" i="40"/>
  <c r="F149" i="40"/>
  <c r="S149" i="40"/>
  <c r="T149" i="40"/>
  <c r="U149" i="40"/>
  <c r="V149" i="40"/>
  <c r="W149" i="40"/>
  <c r="X149" i="40"/>
  <c r="Z149" i="40"/>
  <c r="AA149" i="40"/>
  <c r="AC149" i="40"/>
  <c r="AG149" i="40"/>
  <c r="AH149" i="40"/>
  <c r="AJ149" i="40"/>
  <c r="AM149" i="40"/>
  <c r="AN149" i="40"/>
  <c r="AO149" i="40"/>
  <c r="AX149" i="40"/>
  <c r="AY149" i="40"/>
  <c r="A150" i="40"/>
  <c r="B150" i="40"/>
  <c r="C150" i="40"/>
  <c r="D150" i="40"/>
  <c r="E150" i="40"/>
  <c r="F150" i="40"/>
  <c r="S150" i="40"/>
  <c r="T150" i="40"/>
  <c r="U150" i="40"/>
  <c r="V150" i="40"/>
  <c r="W150" i="40"/>
  <c r="X150" i="40"/>
  <c r="Z150" i="40"/>
  <c r="AA150" i="40"/>
  <c r="AC150" i="40"/>
  <c r="AG150" i="40"/>
  <c r="AH150" i="40"/>
  <c r="AJ150" i="40"/>
  <c r="AM150" i="40"/>
  <c r="AN150" i="40"/>
  <c r="AO150" i="40"/>
  <c r="AX150" i="40"/>
  <c r="AY150" i="40"/>
  <c r="A151" i="40"/>
  <c r="B151" i="40"/>
  <c r="C151" i="40"/>
  <c r="D151" i="40"/>
  <c r="E151" i="40"/>
  <c r="F151" i="40"/>
  <c r="S151" i="40"/>
  <c r="T151" i="40"/>
  <c r="U151" i="40"/>
  <c r="V151" i="40"/>
  <c r="W151" i="40"/>
  <c r="X151" i="40"/>
  <c r="Z151" i="40"/>
  <c r="AA151" i="40"/>
  <c r="AC151" i="40"/>
  <c r="AG151" i="40"/>
  <c r="AH151" i="40"/>
  <c r="AJ151" i="40"/>
  <c r="AM151" i="40"/>
  <c r="AN151" i="40"/>
  <c r="AO151" i="40"/>
  <c r="AX151" i="40"/>
  <c r="AY151" i="40"/>
  <c r="A152" i="40"/>
  <c r="B152" i="40"/>
  <c r="C152" i="40"/>
  <c r="D152" i="40"/>
  <c r="E152" i="40"/>
  <c r="F152" i="40"/>
  <c r="S152" i="40"/>
  <c r="T152" i="40"/>
  <c r="U152" i="40"/>
  <c r="V152" i="40"/>
  <c r="W152" i="40"/>
  <c r="X152" i="40"/>
  <c r="Z152" i="40"/>
  <c r="AA152" i="40"/>
  <c r="AC152" i="40"/>
  <c r="AG152" i="40"/>
  <c r="AH152" i="40"/>
  <c r="AJ152" i="40"/>
  <c r="AM152" i="40"/>
  <c r="AN152" i="40"/>
  <c r="AO152" i="40"/>
  <c r="AX152" i="40"/>
  <c r="AY152" i="40"/>
  <c r="A153" i="40"/>
  <c r="B153" i="40"/>
  <c r="C153" i="40"/>
  <c r="D153" i="40"/>
  <c r="E153" i="40"/>
  <c r="F153" i="40"/>
  <c r="S153" i="40"/>
  <c r="T153" i="40"/>
  <c r="U153" i="40"/>
  <c r="V153" i="40"/>
  <c r="W153" i="40"/>
  <c r="X153" i="40"/>
  <c r="Z153" i="40"/>
  <c r="AA153" i="40"/>
  <c r="AC153" i="40"/>
  <c r="AG153" i="40"/>
  <c r="AH153" i="40"/>
  <c r="AJ153" i="40"/>
  <c r="AM153" i="40"/>
  <c r="AN153" i="40"/>
  <c r="AO153" i="40"/>
  <c r="AX153" i="40"/>
  <c r="AY153" i="40"/>
  <c r="A154" i="40"/>
  <c r="B154" i="40"/>
  <c r="C154" i="40"/>
  <c r="D154" i="40"/>
  <c r="E154" i="40"/>
  <c r="F154" i="40"/>
  <c r="S154" i="40"/>
  <c r="T154" i="40"/>
  <c r="U154" i="40"/>
  <c r="V154" i="40"/>
  <c r="W154" i="40"/>
  <c r="X154" i="40"/>
  <c r="Z154" i="40"/>
  <c r="AA154" i="40"/>
  <c r="AC154" i="40"/>
  <c r="AG154" i="40"/>
  <c r="AH154" i="40"/>
  <c r="AJ154" i="40"/>
  <c r="AM154" i="40"/>
  <c r="AN154" i="40"/>
  <c r="AO154" i="40"/>
  <c r="AX154" i="40"/>
  <c r="AY154" i="40"/>
  <c r="A155" i="40"/>
  <c r="B155" i="40"/>
  <c r="C155" i="40"/>
  <c r="D155" i="40"/>
  <c r="E155" i="40"/>
  <c r="F155" i="40"/>
  <c r="S155" i="40"/>
  <c r="T155" i="40"/>
  <c r="U155" i="40"/>
  <c r="V155" i="40"/>
  <c r="W155" i="40"/>
  <c r="X155" i="40"/>
  <c r="Z155" i="40"/>
  <c r="AA155" i="40"/>
  <c r="AC155" i="40"/>
  <c r="AG155" i="40"/>
  <c r="AH155" i="40"/>
  <c r="AJ155" i="40"/>
  <c r="AM155" i="40"/>
  <c r="AN155" i="40"/>
  <c r="AO155" i="40"/>
  <c r="AX155" i="40"/>
  <c r="AY155" i="40"/>
  <c r="A156" i="40"/>
  <c r="B156" i="40"/>
  <c r="C156" i="40"/>
  <c r="D156" i="40"/>
  <c r="E156" i="40"/>
  <c r="F156" i="40"/>
  <c r="S156" i="40"/>
  <c r="T156" i="40"/>
  <c r="U156" i="40"/>
  <c r="V156" i="40"/>
  <c r="W156" i="40"/>
  <c r="X156" i="40"/>
  <c r="Z156" i="40"/>
  <c r="AA156" i="40"/>
  <c r="AC156" i="40"/>
  <c r="AG156" i="40"/>
  <c r="AH156" i="40"/>
  <c r="AJ156" i="40"/>
  <c r="AM156" i="40"/>
  <c r="AN156" i="40"/>
  <c r="AO156" i="40"/>
  <c r="AX156" i="40"/>
  <c r="AY156" i="40"/>
  <c r="A157" i="40"/>
  <c r="B157" i="40"/>
  <c r="C157" i="40"/>
  <c r="D157" i="40"/>
  <c r="E157" i="40"/>
  <c r="F157" i="40"/>
  <c r="S157" i="40"/>
  <c r="T157" i="40"/>
  <c r="U157" i="40"/>
  <c r="V157" i="40"/>
  <c r="W157" i="40"/>
  <c r="X157" i="40"/>
  <c r="Z157" i="40"/>
  <c r="AA157" i="40"/>
  <c r="AC157" i="40"/>
  <c r="AG157" i="40"/>
  <c r="AH157" i="40"/>
  <c r="AJ157" i="40"/>
  <c r="AM157" i="40"/>
  <c r="AN157" i="40"/>
  <c r="AO157" i="40"/>
  <c r="AX157" i="40"/>
  <c r="AY157" i="40"/>
  <c r="A158" i="40"/>
  <c r="B158" i="40"/>
  <c r="C158" i="40"/>
  <c r="D158" i="40"/>
  <c r="E158" i="40"/>
  <c r="F158" i="40"/>
  <c r="S158" i="40"/>
  <c r="T158" i="40"/>
  <c r="U158" i="40"/>
  <c r="V158" i="40"/>
  <c r="W158" i="40"/>
  <c r="X158" i="40"/>
  <c r="Z158" i="40"/>
  <c r="AA158" i="40"/>
  <c r="AC158" i="40"/>
  <c r="AG158" i="40"/>
  <c r="AH158" i="40"/>
  <c r="AJ158" i="40"/>
  <c r="AM158" i="40"/>
  <c r="AN158" i="40"/>
  <c r="AO158" i="40"/>
  <c r="AX158" i="40"/>
  <c r="AY158" i="40"/>
  <c r="A159" i="40"/>
  <c r="B159" i="40"/>
  <c r="C159" i="40"/>
  <c r="D159" i="40"/>
  <c r="E159" i="40"/>
  <c r="F159" i="40"/>
  <c r="S159" i="40"/>
  <c r="T159" i="40"/>
  <c r="U159" i="40"/>
  <c r="V159" i="40"/>
  <c r="W159" i="40"/>
  <c r="X159" i="40"/>
  <c r="Z159" i="40"/>
  <c r="AA159" i="40"/>
  <c r="AC159" i="40"/>
  <c r="AG159" i="40"/>
  <c r="AH159" i="40"/>
  <c r="AJ159" i="40"/>
  <c r="AM159" i="40"/>
  <c r="AN159" i="40"/>
  <c r="AO159" i="40"/>
  <c r="AX159" i="40"/>
  <c r="AY159" i="40"/>
  <c r="A160" i="40"/>
  <c r="B160" i="40"/>
  <c r="C160" i="40"/>
  <c r="D160" i="40"/>
  <c r="E160" i="40"/>
  <c r="F160" i="40"/>
  <c r="S160" i="40"/>
  <c r="T160" i="40"/>
  <c r="U160" i="40"/>
  <c r="V160" i="40"/>
  <c r="W160" i="40"/>
  <c r="X160" i="40"/>
  <c r="Z160" i="40"/>
  <c r="AA160" i="40"/>
  <c r="AC160" i="40"/>
  <c r="AG160" i="40"/>
  <c r="AH160" i="40"/>
  <c r="AJ160" i="40"/>
  <c r="AM160" i="40"/>
  <c r="AN160" i="40"/>
  <c r="AO160" i="40"/>
  <c r="AX160" i="40"/>
  <c r="AY160" i="40"/>
  <c r="A161" i="40"/>
  <c r="B161" i="40"/>
  <c r="C161" i="40"/>
  <c r="D161" i="40"/>
  <c r="E161" i="40"/>
  <c r="F161" i="40"/>
  <c r="S161" i="40"/>
  <c r="T161" i="40"/>
  <c r="U161" i="40"/>
  <c r="V161" i="40"/>
  <c r="W161" i="40"/>
  <c r="X161" i="40"/>
  <c r="Z161" i="40"/>
  <c r="AA161" i="40"/>
  <c r="AC161" i="40"/>
  <c r="AG161" i="40"/>
  <c r="AH161" i="40"/>
  <c r="AJ161" i="40"/>
  <c r="AM161" i="40"/>
  <c r="AN161" i="40"/>
  <c r="AO161" i="40"/>
  <c r="AX161" i="40"/>
  <c r="AY161" i="40"/>
  <c r="A162" i="40"/>
  <c r="B162" i="40"/>
  <c r="C162" i="40"/>
  <c r="D162" i="40"/>
  <c r="E162" i="40"/>
  <c r="F162" i="40"/>
  <c r="S162" i="40"/>
  <c r="T162" i="40"/>
  <c r="U162" i="40"/>
  <c r="V162" i="40"/>
  <c r="W162" i="40"/>
  <c r="X162" i="40"/>
  <c r="Z162" i="40"/>
  <c r="AA162" i="40"/>
  <c r="AC162" i="40"/>
  <c r="AG162" i="40"/>
  <c r="AH162" i="40"/>
  <c r="AJ162" i="40"/>
  <c r="AM162" i="40"/>
  <c r="AN162" i="40"/>
  <c r="AO162" i="40"/>
  <c r="AX162" i="40"/>
  <c r="AY162" i="40"/>
  <c r="A163" i="40"/>
  <c r="B163" i="40"/>
  <c r="C163" i="40"/>
  <c r="D163" i="40"/>
  <c r="E163" i="40"/>
  <c r="F163" i="40"/>
  <c r="S163" i="40"/>
  <c r="T163" i="40"/>
  <c r="U163" i="40"/>
  <c r="V163" i="40"/>
  <c r="W163" i="40"/>
  <c r="X163" i="40"/>
  <c r="Z163" i="40"/>
  <c r="AA163" i="40"/>
  <c r="AC163" i="40"/>
  <c r="AG163" i="40"/>
  <c r="AH163" i="40"/>
  <c r="AJ163" i="40"/>
  <c r="AM163" i="40"/>
  <c r="AN163" i="40"/>
  <c r="AO163" i="40"/>
  <c r="AX163" i="40"/>
  <c r="AY163" i="40"/>
  <c r="A164" i="40"/>
  <c r="B164" i="40"/>
  <c r="C164" i="40"/>
  <c r="D164" i="40"/>
  <c r="E164" i="40"/>
  <c r="F164" i="40"/>
  <c r="S164" i="40"/>
  <c r="T164" i="40"/>
  <c r="U164" i="40"/>
  <c r="V164" i="40"/>
  <c r="W164" i="40"/>
  <c r="X164" i="40"/>
  <c r="Z164" i="40"/>
  <c r="AA164" i="40"/>
  <c r="AC164" i="40"/>
  <c r="AG164" i="40"/>
  <c r="AH164" i="40"/>
  <c r="AJ164" i="40"/>
  <c r="AM164" i="40"/>
  <c r="AN164" i="40"/>
  <c r="AO164" i="40"/>
  <c r="AX164" i="40"/>
  <c r="AY164" i="40"/>
  <c r="A165" i="40"/>
  <c r="B165" i="40"/>
  <c r="C165" i="40"/>
  <c r="D165" i="40"/>
  <c r="E165" i="40"/>
  <c r="F165" i="40"/>
  <c r="S165" i="40"/>
  <c r="T165" i="40"/>
  <c r="U165" i="40"/>
  <c r="V165" i="40"/>
  <c r="W165" i="40"/>
  <c r="X165" i="40"/>
  <c r="Z165" i="40"/>
  <c r="AA165" i="40"/>
  <c r="AC165" i="40"/>
  <c r="AG165" i="40"/>
  <c r="AH165" i="40"/>
  <c r="AJ165" i="40"/>
  <c r="AM165" i="40"/>
  <c r="AN165" i="40"/>
  <c r="AO165" i="40"/>
  <c r="AX165" i="40"/>
  <c r="AY165" i="40"/>
  <c r="A166" i="40"/>
  <c r="B166" i="40"/>
  <c r="C166" i="40"/>
  <c r="D166" i="40"/>
  <c r="E166" i="40"/>
  <c r="F166" i="40"/>
  <c r="S166" i="40"/>
  <c r="T166" i="40"/>
  <c r="U166" i="40"/>
  <c r="V166" i="40"/>
  <c r="W166" i="40"/>
  <c r="X166" i="40"/>
  <c r="Z166" i="40"/>
  <c r="AA166" i="40"/>
  <c r="AC166" i="40"/>
  <c r="AG166" i="40"/>
  <c r="AH166" i="40"/>
  <c r="AJ166" i="40"/>
  <c r="AM166" i="40"/>
  <c r="AN166" i="40"/>
  <c r="AO166" i="40"/>
  <c r="AX166" i="40"/>
  <c r="AY166" i="40"/>
  <c r="A167" i="40"/>
  <c r="B167" i="40"/>
  <c r="C167" i="40"/>
  <c r="D167" i="40"/>
  <c r="E167" i="40"/>
  <c r="F167" i="40"/>
  <c r="S167" i="40"/>
  <c r="T167" i="40"/>
  <c r="U167" i="40"/>
  <c r="V167" i="40"/>
  <c r="W167" i="40"/>
  <c r="X167" i="40"/>
  <c r="Z167" i="40"/>
  <c r="AA167" i="40"/>
  <c r="AC167" i="40"/>
  <c r="AG167" i="40"/>
  <c r="AH167" i="40"/>
  <c r="AJ167" i="40"/>
  <c r="AM167" i="40"/>
  <c r="AN167" i="40"/>
  <c r="AO167" i="40"/>
  <c r="AX167" i="40"/>
  <c r="AY167" i="40"/>
  <c r="A168" i="40"/>
  <c r="B168" i="40"/>
  <c r="C168" i="40"/>
  <c r="D168" i="40"/>
  <c r="E168" i="40"/>
  <c r="F168" i="40"/>
  <c r="S168" i="40"/>
  <c r="T168" i="40"/>
  <c r="U168" i="40"/>
  <c r="V168" i="40"/>
  <c r="W168" i="40"/>
  <c r="X168" i="40"/>
  <c r="Z168" i="40"/>
  <c r="AA168" i="40"/>
  <c r="AC168" i="40"/>
  <c r="AG168" i="40"/>
  <c r="AH168" i="40"/>
  <c r="AJ168" i="40"/>
  <c r="AM168" i="40"/>
  <c r="AN168" i="40"/>
  <c r="AO168" i="40"/>
  <c r="AX168" i="40"/>
  <c r="AY168" i="40"/>
  <c r="A169" i="40"/>
  <c r="B169" i="40"/>
  <c r="C169" i="40"/>
  <c r="D169" i="40"/>
  <c r="E169" i="40"/>
  <c r="F169" i="40"/>
  <c r="S169" i="40"/>
  <c r="T169" i="40"/>
  <c r="U169" i="40"/>
  <c r="V169" i="40"/>
  <c r="W169" i="40"/>
  <c r="X169" i="40"/>
  <c r="Z169" i="40"/>
  <c r="AA169" i="40"/>
  <c r="AC169" i="40"/>
  <c r="AG169" i="40"/>
  <c r="AH169" i="40"/>
  <c r="AJ169" i="40"/>
  <c r="AM169" i="40"/>
  <c r="AN169" i="40"/>
  <c r="AO169" i="40"/>
  <c r="AX169" i="40"/>
  <c r="AY169" i="40"/>
  <c r="A170" i="40"/>
  <c r="B170" i="40"/>
  <c r="C170" i="40"/>
  <c r="D170" i="40"/>
  <c r="E170" i="40"/>
  <c r="F170" i="40"/>
  <c r="S170" i="40"/>
  <c r="T170" i="40"/>
  <c r="U170" i="40"/>
  <c r="V170" i="40"/>
  <c r="W170" i="40"/>
  <c r="X170" i="40"/>
  <c r="Z170" i="40"/>
  <c r="AA170" i="40"/>
  <c r="AC170" i="40"/>
  <c r="AG170" i="40"/>
  <c r="AH170" i="40"/>
  <c r="AJ170" i="40"/>
  <c r="AM170" i="40"/>
  <c r="AN170" i="40"/>
  <c r="AO170" i="40"/>
  <c r="AX170" i="40"/>
  <c r="AY170" i="40"/>
  <c r="A171" i="40"/>
  <c r="B171" i="40"/>
  <c r="C171" i="40"/>
  <c r="D171" i="40"/>
  <c r="E171" i="40"/>
  <c r="F171" i="40"/>
  <c r="S171" i="40"/>
  <c r="T171" i="40"/>
  <c r="U171" i="40"/>
  <c r="V171" i="40"/>
  <c r="W171" i="40"/>
  <c r="X171" i="40"/>
  <c r="Z171" i="40"/>
  <c r="AA171" i="40"/>
  <c r="AC171" i="40"/>
  <c r="AG171" i="40"/>
  <c r="AH171" i="40"/>
  <c r="AJ171" i="40"/>
  <c r="AM171" i="40"/>
  <c r="AN171" i="40"/>
  <c r="AO171" i="40"/>
  <c r="AX171" i="40"/>
  <c r="AY171" i="40"/>
  <c r="A172" i="40"/>
  <c r="B172" i="40"/>
  <c r="C172" i="40"/>
  <c r="D172" i="40"/>
  <c r="E172" i="40"/>
  <c r="F172" i="40"/>
  <c r="S172" i="40"/>
  <c r="T172" i="40"/>
  <c r="U172" i="40"/>
  <c r="V172" i="40"/>
  <c r="W172" i="40"/>
  <c r="X172" i="40"/>
  <c r="Z172" i="40"/>
  <c r="AA172" i="40"/>
  <c r="AC172" i="40"/>
  <c r="AG172" i="40"/>
  <c r="AH172" i="40"/>
  <c r="AJ172" i="40"/>
  <c r="AM172" i="40"/>
  <c r="AN172" i="40"/>
  <c r="AO172" i="40"/>
  <c r="AX172" i="40"/>
  <c r="AY172" i="40"/>
  <c r="A173" i="40"/>
  <c r="B173" i="40"/>
  <c r="C173" i="40"/>
  <c r="D173" i="40"/>
  <c r="E173" i="40"/>
  <c r="F173" i="40"/>
  <c r="S173" i="40"/>
  <c r="T173" i="40"/>
  <c r="U173" i="40"/>
  <c r="V173" i="40"/>
  <c r="W173" i="40"/>
  <c r="X173" i="40"/>
  <c r="Z173" i="40"/>
  <c r="AA173" i="40"/>
  <c r="AC173" i="40"/>
  <c r="AG173" i="40"/>
  <c r="AH173" i="40"/>
  <c r="AJ173" i="40"/>
  <c r="AM173" i="40"/>
  <c r="AN173" i="40"/>
  <c r="AO173" i="40"/>
  <c r="AX173" i="40"/>
  <c r="AY173" i="40"/>
  <c r="A174" i="40"/>
  <c r="B174" i="40"/>
  <c r="C174" i="40"/>
  <c r="D174" i="40"/>
  <c r="E174" i="40"/>
  <c r="F174" i="40"/>
  <c r="S174" i="40"/>
  <c r="T174" i="40"/>
  <c r="U174" i="40"/>
  <c r="V174" i="40"/>
  <c r="W174" i="40"/>
  <c r="X174" i="40"/>
  <c r="Z174" i="40"/>
  <c r="AA174" i="40"/>
  <c r="AC174" i="40"/>
  <c r="AG174" i="40"/>
  <c r="AH174" i="40"/>
  <c r="AJ174" i="40"/>
  <c r="AM174" i="40"/>
  <c r="AN174" i="40"/>
  <c r="AO174" i="40"/>
  <c r="AX174" i="40"/>
  <c r="AY174" i="40"/>
  <c r="A175" i="40"/>
  <c r="B175" i="40"/>
  <c r="C175" i="40"/>
  <c r="D175" i="40"/>
  <c r="E175" i="40"/>
  <c r="F175" i="40"/>
  <c r="S175" i="40"/>
  <c r="T175" i="40"/>
  <c r="U175" i="40"/>
  <c r="V175" i="40"/>
  <c r="W175" i="40"/>
  <c r="X175" i="40"/>
  <c r="Z175" i="40"/>
  <c r="AA175" i="40"/>
  <c r="AC175" i="40"/>
  <c r="AG175" i="40"/>
  <c r="AH175" i="40"/>
  <c r="AJ175" i="40"/>
  <c r="AM175" i="40"/>
  <c r="AN175" i="40"/>
  <c r="AO175" i="40"/>
  <c r="AX175" i="40"/>
  <c r="AY175" i="40"/>
  <c r="A176" i="40"/>
  <c r="B176" i="40"/>
  <c r="C176" i="40"/>
  <c r="D176" i="40"/>
  <c r="E176" i="40"/>
  <c r="F176" i="40"/>
  <c r="S176" i="40"/>
  <c r="T176" i="40"/>
  <c r="U176" i="40"/>
  <c r="V176" i="40"/>
  <c r="W176" i="40"/>
  <c r="X176" i="40"/>
  <c r="Z176" i="40"/>
  <c r="AA176" i="40"/>
  <c r="AC176" i="40"/>
  <c r="AG176" i="40"/>
  <c r="AH176" i="40"/>
  <c r="AJ176" i="40"/>
  <c r="AM176" i="40"/>
  <c r="AN176" i="40"/>
  <c r="AO176" i="40"/>
  <c r="AX176" i="40"/>
  <c r="AY176" i="40"/>
  <c r="A177" i="40"/>
  <c r="B177" i="40"/>
  <c r="C177" i="40"/>
  <c r="D177" i="40"/>
  <c r="E177" i="40"/>
  <c r="F177" i="40"/>
  <c r="S177" i="40"/>
  <c r="T177" i="40"/>
  <c r="U177" i="40"/>
  <c r="V177" i="40"/>
  <c r="W177" i="40"/>
  <c r="X177" i="40"/>
  <c r="Z177" i="40"/>
  <c r="AA177" i="40"/>
  <c r="AC177" i="40"/>
  <c r="AG177" i="40"/>
  <c r="AH177" i="40"/>
  <c r="AJ177" i="40"/>
  <c r="AM177" i="40"/>
  <c r="AN177" i="40"/>
  <c r="AO177" i="40"/>
  <c r="AX177" i="40"/>
  <c r="AY177" i="40"/>
  <c r="A178" i="40"/>
  <c r="B178" i="40"/>
  <c r="C178" i="40"/>
  <c r="D178" i="40"/>
  <c r="E178" i="40"/>
  <c r="F178" i="40"/>
  <c r="S178" i="40"/>
  <c r="T178" i="40"/>
  <c r="U178" i="40"/>
  <c r="V178" i="40"/>
  <c r="W178" i="40"/>
  <c r="X178" i="40"/>
  <c r="Z178" i="40"/>
  <c r="AA178" i="40"/>
  <c r="AC178" i="40"/>
  <c r="AG178" i="40"/>
  <c r="AH178" i="40"/>
  <c r="AJ178" i="40"/>
  <c r="AM178" i="40"/>
  <c r="AN178" i="40"/>
  <c r="AO178" i="40"/>
  <c r="AX178" i="40"/>
  <c r="AY178" i="40"/>
  <c r="A179" i="40"/>
  <c r="B179" i="40"/>
  <c r="C179" i="40"/>
  <c r="D179" i="40"/>
  <c r="E179" i="40"/>
  <c r="F179" i="40"/>
  <c r="S179" i="40"/>
  <c r="T179" i="40"/>
  <c r="U179" i="40"/>
  <c r="V179" i="40"/>
  <c r="W179" i="40"/>
  <c r="X179" i="40"/>
  <c r="Z179" i="40"/>
  <c r="AA179" i="40"/>
  <c r="AC179" i="40"/>
  <c r="AG179" i="40"/>
  <c r="AH179" i="40"/>
  <c r="AJ179" i="40"/>
  <c r="AM179" i="40"/>
  <c r="AN179" i="40"/>
  <c r="AO179" i="40"/>
  <c r="AX179" i="40"/>
  <c r="AY179" i="40"/>
  <c r="A180" i="40"/>
  <c r="B180" i="40"/>
  <c r="C180" i="40"/>
  <c r="D180" i="40"/>
  <c r="E180" i="40"/>
  <c r="F180" i="40"/>
  <c r="S180" i="40"/>
  <c r="T180" i="40"/>
  <c r="U180" i="40"/>
  <c r="V180" i="40"/>
  <c r="W180" i="40"/>
  <c r="X180" i="40"/>
  <c r="Z180" i="40"/>
  <c r="AA180" i="40"/>
  <c r="AC180" i="40"/>
  <c r="AG180" i="40"/>
  <c r="AH180" i="40"/>
  <c r="AJ180" i="40"/>
  <c r="AM180" i="40"/>
  <c r="AN180" i="40"/>
  <c r="AO180" i="40"/>
  <c r="AX180" i="40"/>
  <c r="AY180" i="40"/>
  <c r="A181" i="40"/>
  <c r="B181" i="40"/>
  <c r="C181" i="40"/>
  <c r="D181" i="40"/>
  <c r="E181" i="40"/>
  <c r="F181" i="40"/>
  <c r="S181" i="40"/>
  <c r="T181" i="40"/>
  <c r="U181" i="40"/>
  <c r="V181" i="40"/>
  <c r="W181" i="40"/>
  <c r="X181" i="40"/>
  <c r="Z181" i="40"/>
  <c r="AA181" i="40"/>
  <c r="AC181" i="40"/>
  <c r="AG181" i="40"/>
  <c r="AH181" i="40"/>
  <c r="AJ181" i="40"/>
  <c r="AM181" i="40"/>
  <c r="AN181" i="40"/>
  <c r="AO181" i="40"/>
  <c r="AX181" i="40"/>
  <c r="AY181" i="40"/>
  <c r="A182" i="40"/>
  <c r="B182" i="40"/>
  <c r="C182" i="40"/>
  <c r="D182" i="40"/>
  <c r="E182" i="40"/>
  <c r="F182" i="40"/>
  <c r="S182" i="40"/>
  <c r="T182" i="40"/>
  <c r="U182" i="40"/>
  <c r="V182" i="40"/>
  <c r="W182" i="40"/>
  <c r="X182" i="40"/>
  <c r="Z182" i="40"/>
  <c r="AA182" i="40"/>
  <c r="AC182" i="40"/>
  <c r="AG182" i="40"/>
  <c r="AH182" i="40"/>
  <c r="AJ182" i="40"/>
  <c r="AM182" i="40"/>
  <c r="AN182" i="40"/>
  <c r="AO182" i="40"/>
  <c r="AX182" i="40"/>
  <c r="AY182" i="40"/>
  <c r="A183" i="40"/>
  <c r="B183" i="40"/>
  <c r="C183" i="40"/>
  <c r="D183" i="40"/>
  <c r="E183" i="40"/>
  <c r="F183" i="40"/>
  <c r="S183" i="40"/>
  <c r="T183" i="40"/>
  <c r="U183" i="40"/>
  <c r="V183" i="40"/>
  <c r="W183" i="40"/>
  <c r="X183" i="40"/>
  <c r="Z183" i="40"/>
  <c r="AA183" i="40"/>
  <c r="AC183" i="40"/>
  <c r="AG183" i="40"/>
  <c r="AH183" i="40"/>
  <c r="AJ183" i="40"/>
  <c r="AM183" i="40"/>
  <c r="AN183" i="40"/>
  <c r="AO183" i="40"/>
  <c r="AX183" i="40"/>
  <c r="AY183" i="40"/>
  <c r="A184" i="40"/>
  <c r="B184" i="40"/>
  <c r="C184" i="40"/>
  <c r="D184" i="40"/>
  <c r="E184" i="40"/>
  <c r="F184" i="40"/>
  <c r="S184" i="40"/>
  <c r="T184" i="40"/>
  <c r="U184" i="40"/>
  <c r="V184" i="40"/>
  <c r="W184" i="40"/>
  <c r="X184" i="40"/>
  <c r="Z184" i="40"/>
  <c r="AA184" i="40"/>
  <c r="AC184" i="40"/>
  <c r="AG184" i="40"/>
  <c r="AH184" i="40"/>
  <c r="AJ184" i="40"/>
  <c r="AM184" i="40"/>
  <c r="AN184" i="40"/>
  <c r="AO184" i="40"/>
  <c r="AX184" i="40"/>
  <c r="AY184" i="40"/>
  <c r="A185" i="40"/>
  <c r="B185" i="40"/>
  <c r="C185" i="40"/>
  <c r="D185" i="40"/>
  <c r="E185" i="40"/>
  <c r="F185" i="40"/>
  <c r="S185" i="40"/>
  <c r="T185" i="40"/>
  <c r="U185" i="40"/>
  <c r="V185" i="40"/>
  <c r="W185" i="40"/>
  <c r="X185" i="40"/>
  <c r="Z185" i="40"/>
  <c r="AA185" i="40"/>
  <c r="AC185" i="40"/>
  <c r="AG185" i="40"/>
  <c r="AH185" i="40"/>
  <c r="AJ185" i="40"/>
  <c r="AM185" i="40"/>
  <c r="AN185" i="40"/>
  <c r="AO185" i="40"/>
  <c r="AX185" i="40"/>
  <c r="AY185" i="40"/>
  <c r="A186" i="40"/>
  <c r="B186" i="40"/>
  <c r="C186" i="40"/>
  <c r="D186" i="40"/>
  <c r="E186" i="40"/>
  <c r="F186" i="40"/>
  <c r="S186" i="40"/>
  <c r="T186" i="40"/>
  <c r="U186" i="40"/>
  <c r="V186" i="40"/>
  <c r="W186" i="40"/>
  <c r="X186" i="40"/>
  <c r="Z186" i="40"/>
  <c r="AA186" i="40"/>
  <c r="AC186" i="40"/>
  <c r="AG186" i="40"/>
  <c r="AH186" i="40"/>
  <c r="AJ186" i="40"/>
  <c r="AM186" i="40"/>
  <c r="AN186" i="40"/>
  <c r="AO186" i="40"/>
  <c r="AX186" i="40"/>
  <c r="AY186" i="40"/>
  <c r="A187" i="40"/>
  <c r="B187" i="40"/>
  <c r="C187" i="40"/>
  <c r="D187" i="40"/>
  <c r="E187" i="40"/>
  <c r="F187" i="40"/>
  <c r="S187" i="40"/>
  <c r="T187" i="40"/>
  <c r="U187" i="40"/>
  <c r="V187" i="40"/>
  <c r="W187" i="40"/>
  <c r="X187" i="40"/>
  <c r="Z187" i="40"/>
  <c r="AA187" i="40"/>
  <c r="AC187" i="40"/>
  <c r="AG187" i="40"/>
  <c r="AH187" i="40"/>
  <c r="AJ187" i="40"/>
  <c r="AM187" i="40"/>
  <c r="AN187" i="40"/>
  <c r="AO187" i="40"/>
  <c r="AX187" i="40"/>
  <c r="AY187" i="40"/>
  <c r="A188" i="40"/>
  <c r="B188" i="40"/>
  <c r="C188" i="40"/>
  <c r="D188" i="40"/>
  <c r="E188" i="40"/>
  <c r="F188" i="40"/>
  <c r="S188" i="40"/>
  <c r="T188" i="40"/>
  <c r="U188" i="40"/>
  <c r="V188" i="40"/>
  <c r="W188" i="40"/>
  <c r="X188" i="40"/>
  <c r="Z188" i="40"/>
  <c r="AA188" i="40"/>
  <c r="AC188" i="40"/>
  <c r="AG188" i="40"/>
  <c r="AH188" i="40"/>
  <c r="AJ188" i="40"/>
  <c r="AM188" i="40"/>
  <c r="AN188" i="40"/>
  <c r="AO188" i="40"/>
  <c r="AX188" i="40"/>
  <c r="AY188" i="40"/>
  <c r="A189" i="40"/>
  <c r="B189" i="40"/>
  <c r="C189" i="40"/>
  <c r="D189" i="40"/>
  <c r="E189" i="40"/>
  <c r="F189" i="40"/>
  <c r="S189" i="40"/>
  <c r="T189" i="40"/>
  <c r="U189" i="40"/>
  <c r="V189" i="40"/>
  <c r="W189" i="40"/>
  <c r="X189" i="40"/>
  <c r="Z189" i="40"/>
  <c r="AA189" i="40"/>
  <c r="AC189" i="40"/>
  <c r="AG189" i="40"/>
  <c r="AH189" i="40"/>
  <c r="AJ189" i="40"/>
  <c r="AM189" i="40"/>
  <c r="AN189" i="40"/>
  <c r="AO189" i="40"/>
  <c r="AX189" i="40"/>
  <c r="AY189" i="40"/>
  <c r="A190" i="40"/>
  <c r="B190" i="40"/>
  <c r="C190" i="40"/>
  <c r="D190" i="40"/>
  <c r="E190" i="40"/>
  <c r="F190" i="40"/>
  <c r="S190" i="40"/>
  <c r="T190" i="40"/>
  <c r="U190" i="40"/>
  <c r="V190" i="40"/>
  <c r="W190" i="40"/>
  <c r="X190" i="40"/>
  <c r="Z190" i="40"/>
  <c r="AA190" i="40"/>
  <c r="AC190" i="40"/>
  <c r="AG190" i="40"/>
  <c r="AH190" i="40"/>
  <c r="AJ190" i="40"/>
  <c r="AM190" i="40"/>
  <c r="AN190" i="40"/>
  <c r="AO190" i="40"/>
  <c r="AX190" i="40"/>
  <c r="AY190" i="40"/>
  <c r="A191" i="40"/>
  <c r="B191" i="40"/>
  <c r="C191" i="40"/>
  <c r="D191" i="40"/>
  <c r="E191" i="40"/>
  <c r="F191" i="40"/>
  <c r="S191" i="40"/>
  <c r="T191" i="40"/>
  <c r="U191" i="40"/>
  <c r="V191" i="40"/>
  <c r="W191" i="40"/>
  <c r="X191" i="40"/>
  <c r="Z191" i="40"/>
  <c r="AA191" i="40"/>
  <c r="AC191" i="40"/>
  <c r="AG191" i="40"/>
  <c r="AH191" i="40"/>
  <c r="AJ191" i="40"/>
  <c r="AM191" i="40"/>
  <c r="AN191" i="40"/>
  <c r="AO191" i="40"/>
  <c r="AX191" i="40"/>
  <c r="AY191" i="40"/>
  <c r="A192" i="40"/>
  <c r="B192" i="40"/>
  <c r="C192" i="40"/>
  <c r="D192" i="40"/>
  <c r="E192" i="40"/>
  <c r="F192" i="40"/>
  <c r="S192" i="40"/>
  <c r="T192" i="40"/>
  <c r="U192" i="40"/>
  <c r="V192" i="40"/>
  <c r="W192" i="40"/>
  <c r="X192" i="40"/>
  <c r="Z192" i="40"/>
  <c r="AA192" i="40"/>
  <c r="AC192" i="40"/>
  <c r="AG192" i="40"/>
  <c r="AH192" i="40"/>
  <c r="AJ192" i="40"/>
  <c r="AM192" i="40"/>
  <c r="AN192" i="40"/>
  <c r="AO192" i="40"/>
  <c r="AX192" i="40"/>
  <c r="AY192" i="40"/>
  <c r="A193" i="40"/>
  <c r="B193" i="40"/>
  <c r="C193" i="40"/>
  <c r="D193" i="40"/>
  <c r="E193" i="40"/>
  <c r="F193" i="40"/>
  <c r="S193" i="40"/>
  <c r="T193" i="40"/>
  <c r="U193" i="40"/>
  <c r="V193" i="40"/>
  <c r="W193" i="40"/>
  <c r="X193" i="40"/>
  <c r="Z193" i="40"/>
  <c r="AA193" i="40"/>
  <c r="AC193" i="40"/>
  <c r="AG193" i="40"/>
  <c r="AH193" i="40"/>
  <c r="AJ193" i="40"/>
  <c r="AM193" i="40"/>
  <c r="AN193" i="40"/>
  <c r="AO193" i="40"/>
  <c r="AX193" i="40"/>
  <c r="AY193" i="40"/>
  <c r="B194" i="40"/>
  <c r="X194" i="40"/>
  <c r="AN194" i="40"/>
  <c r="A195" i="40"/>
  <c r="B195" i="40"/>
  <c r="C195" i="40"/>
  <c r="D195" i="40"/>
  <c r="E195" i="40"/>
  <c r="F195" i="40"/>
  <c r="S195" i="40"/>
  <c r="T195" i="40"/>
  <c r="U195" i="40"/>
  <c r="V195" i="40"/>
  <c r="W195" i="40"/>
  <c r="X195" i="40"/>
  <c r="Z195" i="40"/>
  <c r="AA195" i="40"/>
  <c r="AC195" i="40"/>
  <c r="AG195" i="40"/>
  <c r="AH195" i="40"/>
  <c r="AJ195" i="40"/>
  <c r="AO195" i="40"/>
  <c r="AX195" i="40"/>
  <c r="AY195" i="40"/>
  <c r="C197" i="40"/>
  <c r="G197" i="40"/>
  <c r="C200" i="40"/>
  <c r="C201" i="40"/>
  <c r="G202" i="40"/>
  <c r="A207" i="40"/>
  <c r="D207" i="40"/>
  <c r="S207" i="40"/>
  <c r="T207" i="40"/>
  <c r="U207" i="40"/>
  <c r="V207" i="40"/>
  <c r="W207" i="40"/>
  <c r="X207" i="40"/>
  <c r="Z207" i="40"/>
  <c r="AA207" i="40"/>
  <c r="AC207" i="40"/>
  <c r="AJ207" i="40"/>
  <c r="AM207" i="40"/>
  <c r="AN207" i="40"/>
  <c r="AO207" i="40"/>
  <c r="AX207" i="40"/>
  <c r="AY207" i="40"/>
  <c r="A208" i="40"/>
  <c r="B208" i="40"/>
  <c r="C208" i="40"/>
  <c r="D208" i="40"/>
  <c r="E208" i="40"/>
  <c r="F208" i="40"/>
  <c r="S208" i="40"/>
  <c r="T208" i="40"/>
  <c r="U208" i="40"/>
  <c r="V208" i="40"/>
  <c r="W208" i="40"/>
  <c r="X208" i="40"/>
  <c r="Z208" i="40"/>
  <c r="AA208" i="40"/>
  <c r="AC208" i="40"/>
  <c r="AJ208" i="40"/>
  <c r="AM208" i="40"/>
  <c r="AN208" i="40"/>
  <c r="AO208" i="40"/>
  <c r="AX208" i="40"/>
  <c r="AY208" i="40"/>
  <c r="A209" i="40"/>
  <c r="B209" i="40"/>
  <c r="C209" i="40"/>
  <c r="D209" i="40"/>
  <c r="E209" i="40"/>
  <c r="F209" i="40"/>
  <c r="S209" i="40"/>
  <c r="T209" i="40"/>
  <c r="U209" i="40"/>
  <c r="V209" i="40"/>
  <c r="W209" i="40"/>
  <c r="X209" i="40"/>
  <c r="Z209" i="40"/>
  <c r="AA209" i="40"/>
  <c r="AC209" i="40"/>
  <c r="AJ209" i="40"/>
  <c r="AM209" i="40"/>
  <c r="AN209" i="40"/>
  <c r="AO209" i="40"/>
  <c r="AX209" i="40"/>
  <c r="AY209" i="40"/>
  <c r="A210" i="40"/>
  <c r="B210" i="40"/>
  <c r="C210" i="40"/>
  <c r="D210" i="40"/>
  <c r="E210" i="40"/>
  <c r="F210" i="40"/>
  <c r="S210" i="40"/>
  <c r="T210" i="40"/>
  <c r="U210" i="40"/>
  <c r="V210" i="40"/>
  <c r="W210" i="40"/>
  <c r="X210" i="40"/>
  <c r="Z210" i="40"/>
  <c r="AA210" i="40"/>
  <c r="AC210" i="40"/>
  <c r="AJ210" i="40"/>
  <c r="AM210" i="40"/>
  <c r="AN210" i="40"/>
  <c r="AO210" i="40"/>
  <c r="AX210" i="40"/>
  <c r="AY210" i="40"/>
  <c r="A211" i="40"/>
  <c r="B211" i="40"/>
  <c r="C211" i="40"/>
  <c r="D211" i="40"/>
  <c r="E211" i="40"/>
  <c r="F211" i="40"/>
  <c r="S211" i="40"/>
  <c r="T211" i="40"/>
  <c r="U211" i="40"/>
  <c r="V211" i="40"/>
  <c r="W211" i="40"/>
  <c r="X211" i="40"/>
  <c r="Z211" i="40"/>
  <c r="AA211" i="40"/>
  <c r="AC211" i="40"/>
  <c r="AJ211" i="40"/>
  <c r="AM211" i="40"/>
  <c r="AN211" i="40"/>
  <c r="AO211" i="40"/>
  <c r="AX211" i="40"/>
  <c r="AY211" i="40"/>
  <c r="A212" i="40"/>
  <c r="B212" i="40"/>
  <c r="C212" i="40"/>
  <c r="D212" i="40"/>
  <c r="E212" i="40"/>
  <c r="F212" i="40"/>
  <c r="S212" i="40"/>
  <c r="T212" i="40"/>
  <c r="U212" i="40"/>
  <c r="V212" i="40"/>
  <c r="W212" i="40"/>
  <c r="X212" i="40"/>
  <c r="Z212" i="40"/>
  <c r="AA212" i="40"/>
  <c r="AC212" i="40"/>
  <c r="AJ212" i="40"/>
  <c r="AM212" i="40"/>
  <c r="AN212" i="40"/>
  <c r="AO212" i="40"/>
  <c r="AX212" i="40"/>
  <c r="AY212" i="40"/>
  <c r="A213" i="40"/>
  <c r="B213" i="40"/>
  <c r="C213" i="40"/>
  <c r="D213" i="40"/>
  <c r="E213" i="40"/>
  <c r="F213" i="40"/>
  <c r="S213" i="40"/>
  <c r="T213" i="40"/>
  <c r="U213" i="40"/>
  <c r="V213" i="40"/>
  <c r="W213" i="40"/>
  <c r="X213" i="40"/>
  <c r="Z213" i="40"/>
  <c r="AA213" i="40"/>
  <c r="AC213" i="40"/>
  <c r="AJ213" i="40"/>
  <c r="AM213" i="40"/>
  <c r="AN213" i="40"/>
  <c r="AO213" i="40"/>
  <c r="AX213" i="40"/>
  <c r="AY213" i="40"/>
  <c r="A214" i="40"/>
  <c r="B214" i="40"/>
  <c r="C214" i="40"/>
  <c r="D214" i="40"/>
  <c r="E214" i="40"/>
  <c r="F214" i="40"/>
  <c r="S214" i="40"/>
  <c r="T214" i="40"/>
  <c r="U214" i="40"/>
  <c r="V214" i="40"/>
  <c r="W214" i="40"/>
  <c r="X214" i="40"/>
  <c r="Z214" i="40"/>
  <c r="AA214" i="40"/>
  <c r="AC214" i="40"/>
  <c r="AJ214" i="40"/>
  <c r="AM214" i="40"/>
  <c r="AN214" i="40"/>
  <c r="AO214" i="40"/>
  <c r="AX214" i="40"/>
  <c r="AY214" i="40"/>
  <c r="A215" i="40"/>
  <c r="B215" i="40"/>
  <c r="C215" i="40"/>
  <c r="D215" i="40"/>
  <c r="E215" i="40"/>
  <c r="F215" i="40"/>
  <c r="S215" i="40"/>
  <c r="T215" i="40"/>
  <c r="U215" i="40"/>
  <c r="V215" i="40"/>
  <c r="W215" i="40"/>
  <c r="X215" i="40"/>
  <c r="Z215" i="40"/>
  <c r="AA215" i="40"/>
  <c r="AC215" i="40"/>
  <c r="AJ215" i="40"/>
  <c r="AM215" i="40"/>
  <c r="AN215" i="40"/>
  <c r="AO215" i="40"/>
  <c r="AX215" i="40"/>
  <c r="AY215" i="40"/>
  <c r="A216" i="40"/>
  <c r="B216" i="40"/>
  <c r="C216" i="40"/>
  <c r="D216" i="40"/>
  <c r="E216" i="40"/>
  <c r="F216" i="40"/>
  <c r="S216" i="40"/>
  <c r="T216" i="40"/>
  <c r="U216" i="40"/>
  <c r="V216" i="40"/>
  <c r="W216" i="40"/>
  <c r="X216" i="40"/>
  <c r="Z216" i="40"/>
  <c r="AA216" i="40"/>
  <c r="AC216" i="40"/>
  <c r="AJ216" i="40"/>
  <c r="AM216" i="40"/>
  <c r="AN216" i="40"/>
  <c r="AO216" i="40"/>
  <c r="AX216" i="40"/>
  <c r="AY216" i="40"/>
  <c r="A217" i="40"/>
  <c r="B217" i="40"/>
  <c r="C217" i="40"/>
  <c r="D217" i="40"/>
  <c r="E217" i="40"/>
  <c r="F217" i="40"/>
  <c r="S217" i="40"/>
  <c r="T217" i="40"/>
  <c r="U217" i="40"/>
  <c r="V217" i="40"/>
  <c r="W217" i="40"/>
  <c r="X217" i="40"/>
  <c r="Z217" i="40"/>
  <c r="AA217" i="40"/>
  <c r="AC217" i="40"/>
  <c r="AJ217" i="40"/>
  <c r="AM217" i="40"/>
  <c r="AN217" i="40"/>
  <c r="AO217" i="40"/>
  <c r="AX217" i="40"/>
  <c r="AY217" i="40"/>
  <c r="A218" i="40"/>
  <c r="B218" i="40"/>
  <c r="C218" i="40"/>
  <c r="D218" i="40"/>
  <c r="E218" i="40"/>
  <c r="F218" i="40"/>
  <c r="S218" i="40"/>
  <c r="T218" i="40"/>
  <c r="U218" i="40"/>
  <c r="V218" i="40"/>
  <c r="W218" i="40"/>
  <c r="X218" i="40"/>
  <c r="Z218" i="40"/>
  <c r="AA218" i="40"/>
  <c r="AC218" i="40"/>
  <c r="AJ218" i="40"/>
  <c r="AM218" i="40"/>
  <c r="AN218" i="40"/>
  <c r="AO218" i="40"/>
  <c r="AX218" i="40"/>
  <c r="AY218" i="40"/>
  <c r="A219" i="40"/>
  <c r="B219" i="40"/>
  <c r="C219" i="40"/>
  <c r="D219" i="40"/>
  <c r="E219" i="40"/>
  <c r="F219" i="40"/>
  <c r="S219" i="40"/>
  <c r="T219" i="40"/>
  <c r="U219" i="40"/>
  <c r="V219" i="40"/>
  <c r="W219" i="40"/>
  <c r="X219" i="40"/>
  <c r="Z219" i="40"/>
  <c r="AA219" i="40"/>
  <c r="AC219" i="40"/>
  <c r="AJ219" i="40"/>
  <c r="AM219" i="40"/>
  <c r="AN219" i="40"/>
  <c r="AO219" i="40"/>
  <c r="AX219" i="40"/>
  <c r="AY219" i="40"/>
  <c r="A220" i="40"/>
  <c r="B220" i="40"/>
  <c r="C220" i="40"/>
  <c r="D220" i="40"/>
  <c r="E220" i="40"/>
  <c r="F220" i="40"/>
  <c r="S220" i="40"/>
  <c r="T220" i="40"/>
  <c r="U220" i="40"/>
  <c r="V220" i="40"/>
  <c r="W220" i="40"/>
  <c r="X220" i="40"/>
  <c r="Z220" i="40"/>
  <c r="AA220" i="40"/>
  <c r="AC220" i="40"/>
  <c r="AJ220" i="40"/>
  <c r="AM220" i="40"/>
  <c r="AN220" i="40"/>
  <c r="AO220" i="40"/>
  <c r="AX220" i="40"/>
  <c r="AY220" i="40"/>
  <c r="A221" i="40"/>
  <c r="B221" i="40"/>
  <c r="C221" i="40"/>
  <c r="D221" i="40"/>
  <c r="E221" i="40"/>
  <c r="F221" i="40"/>
  <c r="S221" i="40"/>
  <c r="T221" i="40"/>
  <c r="U221" i="40"/>
  <c r="V221" i="40"/>
  <c r="W221" i="40"/>
  <c r="X221" i="40"/>
  <c r="Z221" i="40"/>
  <c r="AA221" i="40"/>
  <c r="AC221" i="40"/>
  <c r="AJ221" i="40"/>
  <c r="AM221" i="40"/>
  <c r="AN221" i="40"/>
  <c r="AO221" i="40"/>
  <c r="AX221" i="40"/>
  <c r="AY221" i="40"/>
  <c r="A222" i="40"/>
  <c r="B222" i="40"/>
  <c r="C222" i="40"/>
  <c r="D222" i="40"/>
  <c r="E222" i="40"/>
  <c r="F222" i="40"/>
  <c r="S222" i="40"/>
  <c r="T222" i="40"/>
  <c r="U222" i="40"/>
  <c r="V222" i="40"/>
  <c r="W222" i="40"/>
  <c r="X222" i="40"/>
  <c r="Z222" i="40"/>
  <c r="AA222" i="40"/>
  <c r="AC222" i="40"/>
  <c r="AJ222" i="40"/>
  <c r="AM222" i="40"/>
  <c r="AN222" i="40"/>
  <c r="AO222" i="40"/>
  <c r="AX222" i="40"/>
  <c r="AY222" i="40"/>
  <c r="A223" i="40"/>
  <c r="B223" i="40"/>
  <c r="C223" i="40"/>
  <c r="D223" i="40"/>
  <c r="E223" i="40"/>
  <c r="F223" i="40"/>
  <c r="S223" i="40"/>
  <c r="T223" i="40"/>
  <c r="U223" i="40"/>
  <c r="V223" i="40"/>
  <c r="W223" i="40"/>
  <c r="X223" i="40"/>
  <c r="Z223" i="40"/>
  <c r="AA223" i="40"/>
  <c r="AC223" i="40"/>
  <c r="AJ223" i="40"/>
  <c r="AM223" i="40"/>
  <c r="AN223" i="40"/>
  <c r="AO223" i="40"/>
  <c r="AX223" i="40"/>
  <c r="AY223" i="40"/>
  <c r="A224" i="40"/>
  <c r="B224" i="40"/>
  <c r="C224" i="40"/>
  <c r="D224" i="40"/>
  <c r="E224" i="40"/>
  <c r="F224" i="40"/>
  <c r="S224" i="40"/>
  <c r="T224" i="40"/>
  <c r="U224" i="40"/>
  <c r="V224" i="40"/>
  <c r="W224" i="40"/>
  <c r="X224" i="40"/>
  <c r="Z224" i="40"/>
  <c r="AA224" i="40"/>
  <c r="AC224" i="40"/>
  <c r="AJ224" i="40"/>
  <c r="AM224" i="40"/>
  <c r="AN224" i="40"/>
  <c r="AO224" i="40"/>
  <c r="AX224" i="40"/>
  <c r="AY224" i="40"/>
  <c r="A225" i="40"/>
  <c r="B225" i="40"/>
  <c r="C225" i="40"/>
  <c r="D225" i="40"/>
  <c r="E225" i="40"/>
  <c r="F225" i="40"/>
  <c r="S225" i="40"/>
  <c r="T225" i="40"/>
  <c r="U225" i="40"/>
  <c r="V225" i="40"/>
  <c r="W225" i="40"/>
  <c r="X225" i="40"/>
  <c r="Z225" i="40"/>
  <c r="AA225" i="40"/>
  <c r="AC225" i="40"/>
  <c r="AJ225" i="40"/>
  <c r="AM225" i="40"/>
  <c r="AN225" i="40"/>
  <c r="AO225" i="40"/>
  <c r="AX225" i="40"/>
  <c r="AY225" i="40"/>
  <c r="A226" i="40"/>
  <c r="B226" i="40"/>
  <c r="C226" i="40"/>
  <c r="D226" i="40"/>
  <c r="E226" i="40"/>
  <c r="F226" i="40"/>
  <c r="S226" i="40"/>
  <c r="T226" i="40"/>
  <c r="U226" i="40"/>
  <c r="V226" i="40"/>
  <c r="W226" i="40"/>
  <c r="X226" i="40"/>
  <c r="Z226" i="40"/>
  <c r="AA226" i="40"/>
  <c r="AC226" i="40"/>
  <c r="AJ226" i="40"/>
  <c r="AM226" i="40"/>
  <c r="AN226" i="40"/>
  <c r="AO226" i="40"/>
  <c r="AX226" i="40"/>
  <c r="AY226" i="40"/>
  <c r="A227" i="40"/>
  <c r="B227" i="40"/>
  <c r="C227" i="40"/>
  <c r="D227" i="40"/>
  <c r="E227" i="40"/>
  <c r="F227" i="40"/>
  <c r="S227" i="40"/>
  <c r="T227" i="40"/>
  <c r="U227" i="40"/>
  <c r="V227" i="40"/>
  <c r="W227" i="40"/>
  <c r="X227" i="40"/>
  <c r="Z227" i="40"/>
  <c r="AA227" i="40"/>
  <c r="AC227" i="40"/>
  <c r="AJ227" i="40"/>
  <c r="AM227" i="40"/>
  <c r="AN227" i="40"/>
  <c r="AO227" i="40"/>
  <c r="AX227" i="40"/>
  <c r="AY227" i="40"/>
  <c r="A232" i="40"/>
  <c r="B232" i="40"/>
  <c r="C232" i="40"/>
  <c r="D232" i="40"/>
  <c r="E232" i="40"/>
  <c r="S232" i="40"/>
  <c r="T232" i="40"/>
  <c r="U232" i="40"/>
  <c r="V232" i="40"/>
  <c r="W232" i="40"/>
  <c r="X232" i="40"/>
  <c r="Z232" i="40"/>
  <c r="AA232" i="40"/>
  <c r="AC232" i="40"/>
  <c r="AE232" i="40"/>
  <c r="AF232" i="40"/>
  <c r="AI232" i="40"/>
  <c r="AJ232" i="40"/>
  <c r="AN232" i="40"/>
  <c r="AO232" i="40"/>
  <c r="AX232" i="40"/>
  <c r="AY232" i="40"/>
  <c r="A233" i="40"/>
  <c r="B233" i="40"/>
  <c r="C233" i="40"/>
  <c r="D233" i="40"/>
  <c r="E233" i="40"/>
  <c r="F233" i="40"/>
  <c r="S233" i="40"/>
  <c r="T233" i="40"/>
  <c r="U233" i="40"/>
  <c r="V233" i="40"/>
  <c r="W233" i="40"/>
  <c r="X233" i="40"/>
  <c r="Z233" i="40"/>
  <c r="AA233" i="40"/>
  <c r="AC233" i="40"/>
  <c r="AE233" i="40"/>
  <c r="AF233" i="40"/>
  <c r="AI233" i="40"/>
  <c r="AJ233" i="40"/>
  <c r="AN233" i="40"/>
  <c r="AO233" i="40"/>
  <c r="AX233" i="40"/>
  <c r="AY233" i="40"/>
  <c r="A234" i="40"/>
  <c r="B234" i="40"/>
  <c r="C234" i="40"/>
  <c r="D234" i="40"/>
  <c r="E234" i="40"/>
  <c r="F234" i="40"/>
  <c r="S234" i="40"/>
  <c r="T234" i="40"/>
  <c r="U234" i="40"/>
  <c r="V234" i="40"/>
  <c r="W234" i="40"/>
  <c r="X234" i="40"/>
  <c r="Z234" i="40"/>
  <c r="AA234" i="40"/>
  <c r="AC234" i="40"/>
  <c r="AE234" i="40"/>
  <c r="AF234" i="40"/>
  <c r="AI234" i="40"/>
  <c r="AJ234" i="40"/>
  <c r="AN234" i="40"/>
  <c r="AO234" i="40"/>
  <c r="AX234" i="40"/>
  <c r="AY234" i="40"/>
  <c r="A235" i="40"/>
  <c r="B235" i="40"/>
  <c r="C235" i="40"/>
  <c r="D235" i="40"/>
  <c r="E235" i="40"/>
  <c r="F235" i="40"/>
  <c r="S235" i="40"/>
  <c r="T235" i="40"/>
  <c r="U235" i="40"/>
  <c r="V235" i="40"/>
  <c r="W235" i="40"/>
  <c r="X235" i="40"/>
  <c r="Z235" i="40"/>
  <c r="AA235" i="40"/>
  <c r="AC235" i="40"/>
  <c r="AE235" i="40"/>
  <c r="AF235" i="40"/>
  <c r="AI235" i="40"/>
  <c r="AJ235" i="40"/>
  <c r="AN235" i="40"/>
  <c r="AO235" i="40"/>
  <c r="AX235" i="40"/>
  <c r="AY235" i="40"/>
  <c r="A236" i="40"/>
  <c r="B236" i="40"/>
  <c r="C236" i="40"/>
  <c r="D236" i="40"/>
  <c r="E236" i="40"/>
  <c r="F236" i="40"/>
  <c r="S236" i="40"/>
  <c r="T236" i="40"/>
  <c r="U236" i="40"/>
  <c r="V236" i="40"/>
  <c r="W236" i="40"/>
  <c r="X236" i="40"/>
  <c r="Z236" i="40"/>
  <c r="AA236" i="40"/>
  <c r="AC236" i="40"/>
  <c r="AE236" i="40"/>
  <c r="AF236" i="40"/>
  <c r="AI236" i="40"/>
  <c r="AJ236" i="40"/>
  <c r="AN236" i="40"/>
  <c r="AO236" i="40"/>
  <c r="AX236" i="40"/>
  <c r="AY236" i="40"/>
  <c r="A237" i="40"/>
  <c r="B237" i="40"/>
  <c r="C237" i="40"/>
  <c r="D237" i="40"/>
  <c r="E237" i="40"/>
  <c r="F237" i="40"/>
  <c r="S237" i="40"/>
  <c r="T237" i="40"/>
  <c r="U237" i="40"/>
  <c r="V237" i="40"/>
  <c r="W237" i="40"/>
  <c r="X237" i="40"/>
  <c r="Z237" i="40"/>
  <c r="AA237" i="40"/>
  <c r="AC237" i="40"/>
  <c r="AE237" i="40"/>
  <c r="AF237" i="40"/>
  <c r="AI237" i="40"/>
  <c r="AJ237" i="40"/>
  <c r="AN237" i="40"/>
  <c r="AO237" i="40"/>
  <c r="AX237" i="40"/>
  <c r="AY237" i="40"/>
  <c r="A238" i="40"/>
  <c r="B238" i="40"/>
  <c r="C238" i="40"/>
  <c r="D238" i="40"/>
  <c r="E238" i="40"/>
  <c r="F238" i="40"/>
  <c r="S238" i="40"/>
  <c r="T238" i="40"/>
  <c r="U238" i="40"/>
  <c r="V238" i="40"/>
  <c r="W238" i="40"/>
  <c r="X238" i="40"/>
  <c r="Z238" i="40"/>
  <c r="AA238" i="40"/>
  <c r="AC238" i="40"/>
  <c r="AE238" i="40"/>
  <c r="AF238" i="40"/>
  <c r="AI238" i="40"/>
  <c r="AJ238" i="40"/>
  <c r="AN238" i="40"/>
  <c r="AO238" i="40"/>
  <c r="AX238" i="40"/>
  <c r="AY238" i="40"/>
  <c r="A239" i="40"/>
  <c r="B239" i="40"/>
  <c r="C239" i="40"/>
  <c r="D239" i="40"/>
  <c r="E239" i="40"/>
  <c r="F239" i="40"/>
  <c r="S239" i="40"/>
  <c r="T239" i="40"/>
  <c r="U239" i="40"/>
  <c r="V239" i="40"/>
  <c r="W239" i="40"/>
  <c r="X239" i="40"/>
  <c r="Z239" i="40"/>
  <c r="AA239" i="40"/>
  <c r="AC239" i="40"/>
  <c r="AE239" i="40"/>
  <c r="AF239" i="40"/>
  <c r="AI239" i="40"/>
  <c r="AJ239" i="40"/>
  <c r="AN239" i="40"/>
  <c r="AO239" i="40"/>
  <c r="AX239" i="40"/>
  <c r="AY239" i="40"/>
  <c r="A240" i="40"/>
  <c r="B240" i="40"/>
  <c r="C240" i="40"/>
  <c r="D240" i="40"/>
  <c r="E240" i="40"/>
  <c r="F240" i="40"/>
  <c r="S240" i="40"/>
  <c r="T240" i="40"/>
  <c r="U240" i="40"/>
  <c r="V240" i="40"/>
  <c r="W240" i="40"/>
  <c r="X240" i="40"/>
  <c r="Z240" i="40"/>
  <c r="AA240" i="40"/>
  <c r="AC240" i="40"/>
  <c r="AE240" i="40"/>
  <c r="AF240" i="40"/>
  <c r="AI240" i="40"/>
  <c r="AJ240" i="40"/>
  <c r="AN240" i="40"/>
  <c r="AO240" i="40"/>
  <c r="AX240" i="40"/>
  <c r="AY240" i="40"/>
  <c r="A241" i="40"/>
  <c r="B241" i="40"/>
  <c r="C241" i="40"/>
  <c r="D241" i="40"/>
  <c r="E241" i="40"/>
  <c r="F241" i="40"/>
  <c r="S241" i="40"/>
  <c r="T241" i="40"/>
  <c r="U241" i="40"/>
  <c r="V241" i="40"/>
  <c r="W241" i="40"/>
  <c r="X241" i="40"/>
  <c r="Z241" i="40"/>
  <c r="AA241" i="40"/>
  <c r="AC241" i="40"/>
  <c r="AE241" i="40"/>
  <c r="AF241" i="40"/>
  <c r="AI241" i="40"/>
  <c r="AJ241" i="40"/>
  <c r="AN241" i="40"/>
  <c r="AO241" i="40"/>
  <c r="AX241" i="40"/>
  <c r="AY241" i="40"/>
  <c r="A242" i="40"/>
  <c r="B242" i="40"/>
  <c r="C242" i="40"/>
  <c r="D242" i="40"/>
  <c r="E242" i="40"/>
  <c r="F242" i="40"/>
  <c r="S242" i="40"/>
  <c r="T242" i="40"/>
  <c r="U242" i="40"/>
  <c r="V242" i="40"/>
  <c r="W242" i="40"/>
  <c r="X242" i="40"/>
  <c r="Z242" i="40"/>
  <c r="AA242" i="40"/>
  <c r="AC242" i="40"/>
  <c r="AE242" i="40"/>
  <c r="AF242" i="40"/>
  <c r="AI242" i="40"/>
  <c r="AJ242" i="40"/>
  <c r="AN242" i="40"/>
  <c r="AO242" i="40"/>
  <c r="AX242" i="40"/>
  <c r="AY242" i="40"/>
  <c r="A243" i="40"/>
  <c r="B243" i="40"/>
  <c r="C243" i="40"/>
  <c r="D243" i="40"/>
  <c r="E243" i="40"/>
  <c r="F243" i="40"/>
  <c r="S243" i="40"/>
  <c r="T243" i="40"/>
  <c r="U243" i="40"/>
  <c r="V243" i="40"/>
  <c r="W243" i="40"/>
  <c r="X243" i="40"/>
  <c r="Z243" i="40"/>
  <c r="AA243" i="40"/>
  <c r="AC243" i="40"/>
  <c r="AE243" i="40"/>
  <c r="AF243" i="40"/>
  <c r="AI243" i="40"/>
  <c r="AJ243" i="40"/>
  <c r="AN243" i="40"/>
  <c r="AO243" i="40"/>
  <c r="AX243" i="40"/>
  <c r="AY243" i="40"/>
  <c r="A244" i="40"/>
  <c r="B244" i="40"/>
  <c r="C244" i="40"/>
  <c r="D244" i="40"/>
  <c r="E244" i="40"/>
  <c r="F244" i="40"/>
  <c r="S244" i="40"/>
  <c r="T244" i="40"/>
  <c r="U244" i="40"/>
  <c r="V244" i="40"/>
  <c r="W244" i="40"/>
  <c r="X244" i="40"/>
  <c r="Z244" i="40"/>
  <c r="AA244" i="40"/>
  <c r="AC244" i="40"/>
  <c r="AE244" i="40"/>
  <c r="AF244" i="40"/>
  <c r="AI244" i="40"/>
  <c r="AJ244" i="40"/>
  <c r="AN244" i="40"/>
  <c r="AO244" i="40"/>
  <c r="AX244" i="40"/>
  <c r="AY244" i="40"/>
  <c r="A245" i="40"/>
  <c r="B245" i="40"/>
  <c r="C245" i="40"/>
  <c r="D245" i="40"/>
  <c r="E245" i="40"/>
  <c r="F245" i="40"/>
  <c r="S245" i="40"/>
  <c r="T245" i="40"/>
  <c r="U245" i="40"/>
  <c r="V245" i="40"/>
  <c r="W245" i="40"/>
  <c r="X245" i="40"/>
  <c r="Z245" i="40"/>
  <c r="AA245" i="40"/>
  <c r="AC245" i="40"/>
  <c r="AE245" i="40"/>
  <c r="AF245" i="40"/>
  <c r="AI245" i="40"/>
  <c r="AJ245" i="40"/>
  <c r="AN245" i="40"/>
  <c r="AO245" i="40"/>
  <c r="AX245" i="40"/>
  <c r="AY245" i="40"/>
  <c r="A246" i="40"/>
  <c r="B246" i="40"/>
  <c r="C246" i="40"/>
  <c r="D246" i="40"/>
  <c r="E246" i="40"/>
  <c r="F246" i="40"/>
  <c r="S246" i="40"/>
  <c r="T246" i="40"/>
  <c r="U246" i="40"/>
  <c r="V246" i="40"/>
  <c r="W246" i="40"/>
  <c r="X246" i="40"/>
  <c r="Z246" i="40"/>
  <c r="AA246" i="40"/>
  <c r="AC246" i="40"/>
  <c r="AE246" i="40"/>
  <c r="AF246" i="40"/>
  <c r="AI246" i="40"/>
  <c r="AJ246" i="40"/>
  <c r="AN246" i="40"/>
  <c r="AO246" i="40"/>
  <c r="AX246" i="40"/>
  <c r="AY246" i="40"/>
  <c r="A247" i="40"/>
  <c r="B247" i="40"/>
  <c r="C247" i="40"/>
  <c r="D247" i="40"/>
  <c r="E247" i="40"/>
  <c r="F247" i="40"/>
  <c r="S247" i="40"/>
  <c r="T247" i="40"/>
  <c r="U247" i="40"/>
  <c r="V247" i="40"/>
  <c r="W247" i="40"/>
  <c r="X247" i="40"/>
  <c r="Z247" i="40"/>
  <c r="AA247" i="40"/>
  <c r="AC247" i="40"/>
  <c r="AE247" i="40"/>
  <c r="AF247" i="40"/>
  <c r="AI247" i="40"/>
  <c r="AJ247" i="40"/>
  <c r="AN247" i="40"/>
  <c r="AO247" i="40"/>
  <c r="AX247" i="40"/>
  <c r="AY247" i="40"/>
  <c r="A248" i="40"/>
  <c r="B248" i="40"/>
  <c r="C248" i="40"/>
  <c r="D248" i="40"/>
  <c r="E248" i="40"/>
  <c r="F248" i="40"/>
  <c r="S248" i="40"/>
  <c r="T248" i="40"/>
  <c r="U248" i="40"/>
  <c r="V248" i="40"/>
  <c r="W248" i="40"/>
  <c r="X248" i="40"/>
  <c r="Z248" i="40"/>
  <c r="AA248" i="40"/>
  <c r="AC248" i="40"/>
  <c r="AE248" i="40"/>
  <c r="AF248" i="40"/>
  <c r="AI248" i="40"/>
  <c r="AJ248" i="40"/>
  <c r="AN248" i="40"/>
  <c r="AO248" i="40"/>
  <c r="AX248" i="40"/>
  <c r="AY248" i="40"/>
  <c r="A249" i="40"/>
  <c r="B249" i="40"/>
  <c r="C249" i="40"/>
  <c r="D249" i="40"/>
  <c r="E249" i="40"/>
  <c r="F249" i="40"/>
  <c r="S249" i="40"/>
  <c r="T249" i="40"/>
  <c r="U249" i="40"/>
  <c r="V249" i="40"/>
  <c r="W249" i="40"/>
  <c r="X249" i="40"/>
  <c r="Z249" i="40"/>
  <c r="AA249" i="40"/>
  <c r="AC249" i="40"/>
  <c r="AE249" i="40"/>
  <c r="AF249" i="40"/>
  <c r="AI249" i="40"/>
  <c r="AJ249" i="40"/>
  <c r="AN249" i="40"/>
  <c r="AO249" i="40"/>
  <c r="AX249" i="40"/>
  <c r="AY249" i="40"/>
  <c r="A250" i="40"/>
  <c r="B250" i="40"/>
  <c r="C250" i="40"/>
  <c r="D250" i="40"/>
  <c r="E250" i="40"/>
  <c r="F250" i="40"/>
  <c r="S250" i="40"/>
  <c r="T250" i="40"/>
  <c r="U250" i="40"/>
  <c r="V250" i="40"/>
  <c r="W250" i="40"/>
  <c r="X250" i="40"/>
  <c r="Z250" i="40"/>
  <c r="AA250" i="40"/>
  <c r="AC250" i="40"/>
  <c r="AE250" i="40"/>
  <c r="AF250" i="40"/>
  <c r="AI250" i="40"/>
  <c r="AJ250" i="40"/>
  <c r="AN250" i="40"/>
  <c r="AO250" i="40"/>
  <c r="AX250" i="40"/>
  <c r="AY250" i="40"/>
  <c r="A251" i="40"/>
  <c r="B251" i="40"/>
  <c r="C251" i="40"/>
  <c r="D251" i="40"/>
  <c r="E251" i="40"/>
  <c r="F251" i="40"/>
  <c r="S251" i="40"/>
  <c r="T251" i="40"/>
  <c r="U251" i="40"/>
  <c r="V251" i="40"/>
  <c r="W251" i="40"/>
  <c r="X251" i="40"/>
  <c r="Z251" i="40"/>
  <c r="AA251" i="40"/>
  <c r="AC251" i="40"/>
  <c r="AE251" i="40"/>
  <c r="AF251" i="40"/>
  <c r="AI251" i="40"/>
  <c r="AJ251" i="40"/>
  <c r="AN251" i="40"/>
  <c r="AO251" i="40"/>
  <c r="AX251" i="40"/>
  <c r="AY251" i="40"/>
  <c r="A252" i="40"/>
  <c r="B252" i="40"/>
  <c r="C252" i="40"/>
  <c r="D252" i="40"/>
  <c r="E252" i="40"/>
  <c r="F252" i="40"/>
  <c r="S252" i="40"/>
  <c r="T252" i="40"/>
  <c r="U252" i="40"/>
  <c r="V252" i="40"/>
  <c r="W252" i="40"/>
  <c r="X252" i="40"/>
  <c r="Z252" i="40"/>
  <c r="AA252" i="40"/>
  <c r="AC252" i="40"/>
  <c r="AE252" i="40"/>
  <c r="AF252" i="40"/>
  <c r="AI252" i="40"/>
  <c r="AJ252" i="40"/>
  <c r="AN252" i="40"/>
  <c r="AO252" i="40"/>
  <c r="AX252" i="40"/>
  <c r="AY252" i="40"/>
  <c r="G257" i="40"/>
  <c r="H257" i="40"/>
  <c r="K257" i="40"/>
  <c r="G258" i="40"/>
  <c r="H258" i="40"/>
  <c r="I258" i="40"/>
  <c r="J258" i="40"/>
  <c r="G259" i="40"/>
  <c r="H259" i="40"/>
  <c r="I259" i="40"/>
  <c r="J259" i="40"/>
  <c r="G260" i="40"/>
  <c r="H260" i="40"/>
  <c r="I260" i="40"/>
  <c r="J260" i="40"/>
  <c r="K260" i="40"/>
  <c r="G261" i="40"/>
  <c r="H261" i="40"/>
  <c r="I261" i="40"/>
  <c r="J261" i="40"/>
  <c r="G262" i="40"/>
  <c r="H262" i="40"/>
  <c r="I262" i="40"/>
  <c r="J262" i="40"/>
  <c r="B263" i="40"/>
  <c r="G263" i="40"/>
  <c r="H263" i="40"/>
  <c r="I263" i="40"/>
  <c r="J263" i="40"/>
  <c r="K263" i="40"/>
  <c r="G264" i="40"/>
  <c r="H264" i="40"/>
  <c r="I264" i="40"/>
  <c r="J264" i="40"/>
  <c r="G265" i="40"/>
  <c r="H265" i="40"/>
  <c r="I265" i="40"/>
  <c r="J265" i="40"/>
  <c r="B266" i="40"/>
  <c r="G266" i="40"/>
  <c r="H266" i="40"/>
  <c r="I266" i="40"/>
  <c r="J266" i="40"/>
  <c r="B267" i="40"/>
  <c r="G267" i="40"/>
  <c r="H267" i="40"/>
  <c r="I267" i="40"/>
  <c r="J267" i="40"/>
  <c r="G268" i="40"/>
  <c r="H268" i="40"/>
  <c r="I268" i="40"/>
  <c r="J268" i="40"/>
  <c r="G269" i="40"/>
  <c r="H269" i="40"/>
  <c r="I269" i="40"/>
  <c r="J269" i="40"/>
  <c r="G270" i="40"/>
  <c r="H270" i="40"/>
  <c r="I270" i="40"/>
  <c r="J270" i="40"/>
  <c r="G271" i="40"/>
  <c r="H271" i="40"/>
  <c r="I271" i="40"/>
  <c r="J271" i="40"/>
  <c r="G272" i="40"/>
  <c r="H272" i="40"/>
  <c r="I272" i="40"/>
  <c r="J272" i="40"/>
  <c r="G273" i="40"/>
  <c r="H273" i="40"/>
  <c r="I273" i="40"/>
  <c r="J273" i="40"/>
  <c r="G274" i="40"/>
  <c r="H274" i="40"/>
  <c r="I274" i="40"/>
  <c r="J274" i="40"/>
  <c r="G275" i="40"/>
  <c r="H275" i="40"/>
  <c r="I275" i="40"/>
  <c r="J275" i="40"/>
  <c r="G276" i="40"/>
  <c r="H276" i="40"/>
  <c r="I276" i="40"/>
  <c r="J276" i="40"/>
  <c r="G277" i="40"/>
  <c r="H277" i="40"/>
  <c r="I277" i="40"/>
  <c r="J277" i="40"/>
  <c r="G278" i="40"/>
  <c r="H278" i="40"/>
  <c r="I278" i="40"/>
  <c r="J278" i="40"/>
  <c r="G279" i="40"/>
  <c r="H279" i="40"/>
  <c r="I279" i="40"/>
  <c r="J279" i="40"/>
  <c r="G280" i="40"/>
  <c r="H280" i="40"/>
  <c r="I280" i="40"/>
  <c r="J280" i="40"/>
  <c r="G281" i="40"/>
  <c r="H281" i="40"/>
  <c r="I281" i="40"/>
  <c r="J281" i="40"/>
  <c r="G282" i="40"/>
  <c r="H282" i="40"/>
  <c r="I282" i="40"/>
  <c r="J282" i="40"/>
  <c r="G283" i="40"/>
  <c r="H283" i="40"/>
  <c r="I283" i="40"/>
  <c r="J283" i="40"/>
  <c r="I285" i="40"/>
  <c r="L285" i="40"/>
  <c r="I286" i="40"/>
  <c r="I287" i="40"/>
  <c r="L287" i="40"/>
  <c r="I288" i="40"/>
  <c r="L288" i="40"/>
  <c r="I289" i="40"/>
  <c r="L289" i="40"/>
  <c r="A292" i="40"/>
  <c r="D292" i="40"/>
  <c r="S292" i="40"/>
  <c r="T292" i="40"/>
  <c r="U292" i="40"/>
  <c r="V292" i="40"/>
  <c r="W292" i="40"/>
  <c r="X292" i="40"/>
  <c r="Z292" i="40"/>
  <c r="AA292" i="40"/>
  <c r="AC292" i="40"/>
  <c r="AG292" i="40"/>
  <c r="AH292" i="40"/>
  <c r="AJ292" i="40"/>
  <c r="AK292" i="40"/>
  <c r="AM292" i="40"/>
  <c r="AN292" i="40"/>
  <c r="AO292" i="40"/>
  <c r="AX292" i="40"/>
  <c r="AY292" i="40"/>
  <c r="B296" i="40"/>
  <c r="M296" i="40"/>
  <c r="B297" i="40"/>
  <c r="E297" i="40"/>
  <c r="G297" i="40"/>
  <c r="H297" i="40"/>
  <c r="I297" i="40"/>
  <c r="B298" i="40"/>
  <c r="G298" i="40"/>
  <c r="H298" i="40"/>
  <c r="I298" i="40"/>
  <c r="J298" i="40"/>
  <c r="B299" i="40"/>
  <c r="G299" i="40"/>
  <c r="H299" i="40"/>
  <c r="I299" i="40"/>
  <c r="J299" i="40"/>
  <c r="B300" i="40"/>
  <c r="G300" i="40"/>
  <c r="H300" i="40"/>
  <c r="I300" i="40"/>
  <c r="J300" i="40"/>
  <c r="B301" i="40"/>
  <c r="G301" i="40"/>
  <c r="H301" i="40"/>
  <c r="I301" i="40"/>
  <c r="J301" i="40"/>
  <c r="B302" i="40"/>
  <c r="G302" i="40"/>
  <c r="H302" i="40"/>
  <c r="I302" i="40"/>
  <c r="J302" i="40"/>
  <c r="B303" i="40"/>
  <c r="G303" i="40"/>
  <c r="H303" i="40"/>
  <c r="I303" i="40"/>
  <c r="J303" i="40"/>
  <c r="G304" i="40"/>
  <c r="H304" i="40"/>
  <c r="I304" i="40"/>
  <c r="J304" i="40"/>
  <c r="B305" i="40"/>
  <c r="G305" i="40"/>
  <c r="H305" i="40"/>
  <c r="I305" i="40"/>
  <c r="J305" i="40"/>
  <c r="G306" i="40"/>
  <c r="H306" i="40"/>
  <c r="I306" i="40"/>
  <c r="J306" i="40"/>
  <c r="G307" i="40"/>
  <c r="H307" i="40"/>
  <c r="I307" i="40"/>
  <c r="J307" i="40"/>
  <c r="G308" i="40"/>
  <c r="H308" i="40"/>
  <c r="I308" i="40"/>
  <c r="J308" i="40"/>
  <c r="G309" i="40"/>
  <c r="H309" i="40"/>
  <c r="I309" i="40"/>
  <c r="J309" i="40"/>
  <c r="G310" i="40"/>
  <c r="H310" i="40"/>
  <c r="I310" i="40"/>
  <c r="J310" i="40"/>
  <c r="G311" i="40"/>
  <c r="H311" i="40"/>
  <c r="I311" i="40"/>
  <c r="J311" i="40"/>
  <c r="G312" i="40"/>
  <c r="H312" i="40"/>
  <c r="I312" i="40"/>
  <c r="J312" i="40"/>
  <c r="G313" i="40"/>
  <c r="H313" i="40"/>
  <c r="I313" i="40"/>
  <c r="J313" i="40"/>
  <c r="B314" i="40"/>
  <c r="G314" i="40"/>
  <c r="H314" i="40"/>
  <c r="I314" i="40"/>
  <c r="J314" i="40"/>
  <c r="G315" i="40"/>
  <c r="H315" i="40"/>
  <c r="I315" i="40"/>
  <c r="J315" i="40"/>
  <c r="G316" i="40"/>
  <c r="H316" i="40"/>
  <c r="I316" i="40"/>
  <c r="J316" i="40"/>
  <c r="G317" i="40"/>
  <c r="H317" i="40"/>
  <c r="I317" i="40"/>
  <c r="J317" i="40"/>
  <c r="I319" i="40"/>
  <c r="L319" i="40"/>
  <c r="I320" i="40"/>
  <c r="I321" i="40"/>
  <c r="L321" i="40"/>
  <c r="I322" i="40"/>
  <c r="L322" i="40"/>
  <c r="I323" i="40"/>
  <c r="L323" i="40"/>
  <c r="D327" i="40"/>
  <c r="S327" i="40"/>
  <c r="T327" i="40"/>
  <c r="U327" i="40"/>
  <c r="V327" i="40"/>
  <c r="W327" i="40"/>
  <c r="X327" i="40"/>
  <c r="Z327" i="40"/>
  <c r="AA327" i="40"/>
  <c r="AC327" i="40"/>
  <c r="AE327" i="40"/>
  <c r="AF327" i="40"/>
  <c r="AI327" i="40"/>
  <c r="AJ327" i="40"/>
  <c r="AN327" i="40"/>
  <c r="AO327" i="40"/>
  <c r="AX327" i="40"/>
  <c r="AY327" i="40"/>
  <c r="B10" i="11"/>
  <c r="B12" i="11"/>
  <c r="D23" i="11"/>
  <c r="S23" i="11"/>
  <c r="T23" i="11"/>
  <c r="U23" i="11"/>
  <c r="V23" i="11"/>
  <c r="W23" i="11"/>
  <c r="Y23" i="11"/>
  <c r="Z23" i="11"/>
  <c r="AB23" i="11"/>
  <c r="AF23" i="11"/>
  <c r="AG23" i="11"/>
  <c r="AI23" i="11"/>
  <c r="AJ23" i="11"/>
  <c r="AK23" i="11"/>
  <c r="AM23" i="11"/>
  <c r="AN23" i="11"/>
  <c r="AO23" i="11"/>
  <c r="AX23" i="11"/>
  <c r="AY23" i="11"/>
  <c r="A24" i="11"/>
  <c r="B24" i="11"/>
  <c r="C24" i="11"/>
  <c r="D24" i="11"/>
  <c r="E24" i="11"/>
  <c r="F24" i="11"/>
  <c r="S24" i="11"/>
  <c r="T24" i="11"/>
  <c r="U24" i="11"/>
  <c r="V24" i="11"/>
  <c r="W24" i="11"/>
  <c r="Y24" i="11"/>
  <c r="Z24" i="11"/>
  <c r="AB24" i="11"/>
  <c r="AF24" i="11"/>
  <c r="AG24" i="11"/>
  <c r="AI24" i="11"/>
  <c r="AJ24" i="11"/>
  <c r="AK24" i="11"/>
  <c r="AM24" i="11"/>
  <c r="AN24" i="11"/>
  <c r="AO24" i="11"/>
  <c r="AX24" i="11"/>
  <c r="AY24" i="11"/>
  <c r="A25" i="11"/>
  <c r="B25" i="11"/>
  <c r="C25" i="11"/>
  <c r="D25" i="11"/>
  <c r="E25" i="11"/>
  <c r="F25" i="11"/>
  <c r="S25" i="11"/>
  <c r="T25" i="11"/>
  <c r="U25" i="11"/>
  <c r="V25" i="11"/>
  <c r="W25" i="11"/>
  <c r="Y25" i="11"/>
  <c r="Z25" i="11"/>
  <c r="AB25" i="11"/>
  <c r="AF25" i="11"/>
  <c r="AG25" i="11"/>
  <c r="AI25" i="11"/>
  <c r="AJ25" i="11"/>
  <c r="AK25" i="11"/>
  <c r="AM25" i="11"/>
  <c r="AN25" i="11"/>
  <c r="AO25" i="11"/>
  <c r="AX25" i="11"/>
  <c r="AY25" i="11"/>
  <c r="A26" i="11"/>
  <c r="B26" i="11"/>
  <c r="C26" i="11"/>
  <c r="D26" i="11"/>
  <c r="E26" i="11"/>
  <c r="F26" i="11"/>
  <c r="S26" i="11"/>
  <c r="T26" i="11"/>
  <c r="U26" i="11"/>
  <c r="V26" i="11"/>
  <c r="W26" i="11"/>
  <c r="Y26" i="11"/>
  <c r="Z26" i="11"/>
  <c r="AB26" i="11"/>
  <c r="AF26" i="11"/>
  <c r="AG26" i="11"/>
  <c r="AI26" i="11"/>
  <c r="AJ26" i="11"/>
  <c r="AK26" i="11"/>
  <c r="AM26" i="11"/>
  <c r="AN26" i="11"/>
  <c r="AO26" i="11"/>
  <c r="AX26" i="11"/>
  <c r="AY26" i="11"/>
  <c r="A27" i="11"/>
  <c r="B27" i="11"/>
  <c r="C27" i="11"/>
  <c r="D27" i="11"/>
  <c r="E27" i="11"/>
  <c r="F27" i="11"/>
  <c r="S27" i="11"/>
  <c r="T27" i="11"/>
  <c r="U27" i="11"/>
  <c r="V27" i="11"/>
  <c r="W27" i="11"/>
  <c r="Y27" i="11"/>
  <c r="Z27" i="11"/>
  <c r="AB27" i="11"/>
  <c r="AF27" i="11"/>
  <c r="AG27" i="11"/>
  <c r="AI27" i="11"/>
  <c r="AJ27" i="11"/>
  <c r="AK27" i="11"/>
  <c r="AM27" i="11"/>
  <c r="AN27" i="11"/>
  <c r="AO27" i="11"/>
  <c r="AX27" i="11"/>
  <c r="AY27" i="11"/>
  <c r="A28" i="11"/>
  <c r="B28" i="11"/>
  <c r="C28" i="11"/>
  <c r="D28" i="11"/>
  <c r="E28" i="11"/>
  <c r="F28" i="11"/>
  <c r="S28" i="11"/>
  <c r="T28" i="11"/>
  <c r="U28" i="11"/>
  <c r="V28" i="11"/>
  <c r="W28" i="11"/>
  <c r="Y28" i="11"/>
  <c r="Z28" i="11"/>
  <c r="AB28" i="11"/>
  <c r="AF28" i="11"/>
  <c r="AG28" i="11"/>
  <c r="AI28" i="11"/>
  <c r="AJ28" i="11"/>
  <c r="AK28" i="11"/>
  <c r="AM28" i="11"/>
  <c r="AN28" i="11"/>
  <c r="AO28" i="11"/>
  <c r="AX28" i="11"/>
  <c r="AY28" i="11"/>
  <c r="A29" i="11"/>
  <c r="B29" i="11"/>
  <c r="C29" i="11"/>
  <c r="D29" i="11"/>
  <c r="E29" i="11"/>
  <c r="F29" i="11"/>
  <c r="S29" i="11"/>
  <c r="T29" i="11"/>
  <c r="U29" i="11"/>
  <c r="V29" i="11"/>
  <c r="W29" i="11"/>
  <c r="Y29" i="11"/>
  <c r="Z29" i="11"/>
  <c r="AB29" i="11"/>
  <c r="AF29" i="11"/>
  <c r="AG29" i="11"/>
  <c r="AI29" i="11"/>
  <c r="AJ29" i="11"/>
  <c r="AK29" i="11"/>
  <c r="AM29" i="11"/>
  <c r="AN29" i="11"/>
  <c r="AO29" i="11"/>
  <c r="AX29" i="11"/>
  <c r="AY29" i="11"/>
  <c r="A30" i="11"/>
  <c r="B30" i="11"/>
  <c r="C30" i="11"/>
  <c r="D30" i="11"/>
  <c r="E30" i="11"/>
  <c r="F30" i="11"/>
  <c r="S30" i="11"/>
  <c r="T30" i="11"/>
  <c r="U30" i="11"/>
  <c r="V30" i="11"/>
  <c r="W30" i="11"/>
  <c r="Y30" i="11"/>
  <c r="Z30" i="11"/>
  <c r="AB30" i="11"/>
  <c r="AF30" i="11"/>
  <c r="AG30" i="11"/>
  <c r="AI30" i="11"/>
  <c r="AJ30" i="11"/>
  <c r="AK30" i="11"/>
  <c r="AM30" i="11"/>
  <c r="AN30" i="11"/>
  <c r="AO30" i="11"/>
  <c r="AX30" i="11"/>
  <c r="AY30" i="11"/>
  <c r="A31" i="11"/>
  <c r="B31" i="11"/>
  <c r="C31" i="11"/>
  <c r="D31" i="11"/>
  <c r="E31" i="11"/>
  <c r="F31" i="11"/>
  <c r="S31" i="11"/>
  <c r="T31" i="11"/>
  <c r="U31" i="11"/>
  <c r="V31" i="11"/>
  <c r="W31" i="11"/>
  <c r="Y31" i="11"/>
  <c r="Z31" i="11"/>
  <c r="AB31" i="11"/>
  <c r="AF31" i="11"/>
  <c r="AG31" i="11"/>
  <c r="AI31" i="11"/>
  <c r="AJ31" i="11"/>
  <c r="AK31" i="11"/>
  <c r="AM31" i="11"/>
  <c r="AN31" i="11"/>
  <c r="AO31" i="11"/>
  <c r="AX31" i="11"/>
  <c r="AY31" i="11"/>
  <c r="A32" i="11"/>
  <c r="B32" i="11"/>
  <c r="C32" i="11"/>
  <c r="D32" i="11"/>
  <c r="E32" i="11"/>
  <c r="F32" i="11"/>
  <c r="S32" i="11"/>
  <c r="T32" i="11"/>
  <c r="U32" i="11"/>
  <c r="V32" i="11"/>
  <c r="W32" i="11"/>
  <c r="Y32" i="11"/>
  <c r="Z32" i="11"/>
  <c r="AB32" i="11"/>
  <c r="AF32" i="11"/>
  <c r="AG32" i="11"/>
  <c r="AI32" i="11"/>
  <c r="AJ32" i="11"/>
  <c r="AK32" i="11"/>
  <c r="AM32" i="11"/>
  <c r="AN32" i="11"/>
  <c r="AO32" i="11"/>
  <c r="AX32" i="11"/>
  <c r="AY32" i="11"/>
  <c r="A33" i="11"/>
  <c r="B33" i="11"/>
  <c r="C33" i="11"/>
  <c r="D33" i="11"/>
  <c r="E33" i="11"/>
  <c r="F33" i="11"/>
  <c r="S33" i="11"/>
  <c r="T33" i="11"/>
  <c r="U33" i="11"/>
  <c r="V33" i="11"/>
  <c r="W33" i="11"/>
  <c r="Y33" i="11"/>
  <c r="Z33" i="11"/>
  <c r="AB33" i="11"/>
  <c r="AF33" i="11"/>
  <c r="AG33" i="11"/>
  <c r="AI33" i="11"/>
  <c r="AJ33" i="11"/>
  <c r="AK33" i="11"/>
  <c r="AM33" i="11"/>
  <c r="AN33" i="11"/>
  <c r="AO33" i="11"/>
  <c r="AX33" i="11"/>
  <c r="AY33" i="11"/>
  <c r="A34" i="11"/>
  <c r="B34" i="11"/>
  <c r="C34" i="11"/>
  <c r="D34" i="11"/>
  <c r="E34" i="11"/>
  <c r="F34" i="11"/>
  <c r="S34" i="11"/>
  <c r="T34" i="11"/>
  <c r="U34" i="11"/>
  <c r="V34" i="11"/>
  <c r="W34" i="11"/>
  <c r="Y34" i="11"/>
  <c r="Z34" i="11"/>
  <c r="AB34" i="11"/>
  <c r="AF34" i="11"/>
  <c r="AG34" i="11"/>
  <c r="AI34" i="11"/>
  <c r="AJ34" i="11"/>
  <c r="AK34" i="11"/>
  <c r="AM34" i="11"/>
  <c r="AN34" i="11"/>
  <c r="AO34" i="11"/>
  <c r="AX34" i="11"/>
  <c r="AY34" i="11"/>
  <c r="A35" i="11"/>
  <c r="B35" i="11"/>
  <c r="C35" i="11"/>
  <c r="D35" i="11"/>
  <c r="E35" i="11"/>
  <c r="F35" i="11"/>
  <c r="S35" i="11"/>
  <c r="T35" i="11"/>
  <c r="U35" i="11"/>
  <c r="V35" i="11"/>
  <c r="W35" i="11"/>
  <c r="Y35" i="11"/>
  <c r="Z35" i="11"/>
  <c r="AB35" i="11"/>
  <c r="AF35" i="11"/>
  <c r="AG35" i="11"/>
  <c r="AI35" i="11"/>
  <c r="AJ35" i="11"/>
  <c r="AK35" i="11"/>
  <c r="AM35" i="11"/>
  <c r="AN35" i="11"/>
  <c r="AO35" i="11"/>
  <c r="AX35" i="11"/>
  <c r="AY35" i="11"/>
  <c r="A36" i="11"/>
  <c r="B36" i="11"/>
  <c r="C36" i="11"/>
  <c r="D36" i="11"/>
  <c r="E36" i="11"/>
  <c r="F36" i="11"/>
  <c r="S36" i="11"/>
  <c r="T36" i="11"/>
  <c r="U36" i="11"/>
  <c r="V36" i="11"/>
  <c r="W36" i="11"/>
  <c r="Y36" i="11"/>
  <c r="Z36" i="11"/>
  <c r="AB36" i="11"/>
  <c r="AF36" i="11"/>
  <c r="AG36" i="11"/>
  <c r="AI36" i="11"/>
  <c r="AJ36" i="11"/>
  <c r="AK36" i="11"/>
  <c r="AM36" i="11"/>
  <c r="AN36" i="11"/>
  <c r="AO36" i="11"/>
  <c r="AX36" i="11"/>
  <c r="AY36" i="11"/>
  <c r="A37" i="11"/>
  <c r="B37" i="11"/>
  <c r="C37" i="11"/>
  <c r="D37" i="11"/>
  <c r="E37" i="11"/>
  <c r="F37" i="11"/>
  <c r="S37" i="11"/>
  <c r="T37" i="11"/>
  <c r="U37" i="11"/>
  <c r="V37" i="11"/>
  <c r="W37" i="11"/>
  <c r="Y37" i="11"/>
  <c r="Z37" i="11"/>
  <c r="AB37" i="11"/>
  <c r="AF37" i="11"/>
  <c r="AG37" i="11"/>
  <c r="AI37" i="11"/>
  <c r="AJ37" i="11"/>
  <c r="AK37" i="11"/>
  <c r="AM37" i="11"/>
  <c r="AN37" i="11"/>
  <c r="AO37" i="11"/>
  <c r="AX37" i="11"/>
  <c r="AY37" i="11"/>
  <c r="A38" i="11"/>
  <c r="B38" i="11"/>
  <c r="C38" i="11"/>
  <c r="D38" i="11"/>
  <c r="E38" i="11"/>
  <c r="F38" i="11"/>
  <c r="S38" i="11"/>
  <c r="T38" i="11"/>
  <c r="U38" i="11"/>
  <c r="V38" i="11"/>
  <c r="W38" i="11"/>
  <c r="Y38" i="11"/>
  <c r="Z38" i="11"/>
  <c r="AB38" i="11"/>
  <c r="AF38" i="11"/>
  <c r="AG38" i="11"/>
  <c r="AI38" i="11"/>
  <c r="AJ38" i="11"/>
  <c r="AK38" i="11"/>
  <c r="AM38" i="11"/>
  <c r="AN38" i="11"/>
  <c r="AO38" i="11"/>
  <c r="AX38" i="11"/>
  <c r="AY38" i="11"/>
  <c r="A39" i="11"/>
  <c r="B39" i="11"/>
  <c r="C39" i="11"/>
  <c r="D39" i="11"/>
  <c r="E39" i="11"/>
  <c r="F39" i="11"/>
  <c r="S39" i="11"/>
  <c r="T39" i="11"/>
  <c r="U39" i="11"/>
  <c r="V39" i="11"/>
  <c r="W39" i="11"/>
  <c r="Y39" i="11"/>
  <c r="Z39" i="11"/>
  <c r="AB39" i="11"/>
  <c r="AF39" i="11"/>
  <c r="AG39" i="11"/>
  <c r="AI39" i="11"/>
  <c r="AJ39" i="11"/>
  <c r="AK39" i="11"/>
  <c r="AM39" i="11"/>
  <c r="AN39" i="11"/>
  <c r="AO39" i="11"/>
  <c r="AX39" i="11"/>
  <c r="AY39" i="11"/>
  <c r="A40" i="11"/>
  <c r="B40" i="11"/>
  <c r="C40" i="11"/>
  <c r="D40" i="11"/>
  <c r="E40" i="11"/>
  <c r="F40" i="11"/>
  <c r="S40" i="11"/>
  <c r="T40" i="11"/>
  <c r="U40" i="11"/>
  <c r="V40" i="11"/>
  <c r="W40" i="11"/>
  <c r="Y40" i="11"/>
  <c r="Z40" i="11"/>
  <c r="AB40" i="11"/>
  <c r="AF40" i="11"/>
  <c r="AG40" i="11"/>
  <c r="AI40" i="11"/>
  <c r="AJ40" i="11"/>
  <c r="AK40" i="11"/>
  <c r="AM40" i="11"/>
  <c r="AN40" i="11"/>
  <c r="AO40" i="11"/>
  <c r="AX40" i="11"/>
  <c r="AY40" i="11"/>
  <c r="A41" i="11"/>
  <c r="B41" i="11"/>
  <c r="C41" i="11"/>
  <c r="D41" i="11"/>
  <c r="E41" i="11"/>
  <c r="F41" i="11"/>
  <c r="S41" i="11"/>
  <c r="T41" i="11"/>
  <c r="U41" i="11"/>
  <c r="V41" i="11"/>
  <c r="W41" i="11"/>
  <c r="Y41" i="11"/>
  <c r="Z41" i="11"/>
  <c r="AB41" i="11"/>
  <c r="AF41" i="11"/>
  <c r="AG41" i="11"/>
  <c r="AI41" i="11"/>
  <c r="AJ41" i="11"/>
  <c r="AK41" i="11"/>
  <c r="AM41" i="11"/>
  <c r="AN41" i="11"/>
  <c r="AO41" i="11"/>
  <c r="AX41" i="11"/>
  <c r="AY41" i="11"/>
  <c r="A42" i="11"/>
  <c r="B42" i="11"/>
  <c r="C42" i="11"/>
  <c r="D42" i="11"/>
  <c r="E42" i="11"/>
  <c r="F42" i="11"/>
  <c r="S42" i="11"/>
  <c r="T42" i="11"/>
  <c r="U42" i="11"/>
  <c r="V42" i="11"/>
  <c r="W42" i="11"/>
  <c r="Y42" i="11"/>
  <c r="Z42" i="11"/>
  <c r="AB42" i="11"/>
  <c r="AF42" i="11"/>
  <c r="AG42" i="11"/>
  <c r="AI42" i="11"/>
  <c r="AJ42" i="11"/>
  <c r="AK42" i="11"/>
  <c r="AM42" i="11"/>
  <c r="AN42" i="11"/>
  <c r="AO42" i="11"/>
  <c r="AX42" i="11"/>
  <c r="AY42" i="11"/>
  <c r="A43" i="11"/>
  <c r="B43" i="11"/>
  <c r="C43" i="11"/>
  <c r="D43" i="11"/>
  <c r="E43" i="11"/>
  <c r="F43" i="11"/>
  <c r="S43" i="11"/>
  <c r="T43" i="11"/>
  <c r="U43" i="11"/>
  <c r="V43" i="11"/>
  <c r="W43" i="11"/>
  <c r="Y43" i="11"/>
  <c r="Z43" i="11"/>
  <c r="AB43" i="11"/>
  <c r="AF43" i="11"/>
  <c r="AG43" i="11"/>
  <c r="AI43" i="11"/>
  <c r="AJ43" i="11"/>
  <c r="AK43" i="11"/>
  <c r="AM43" i="11"/>
  <c r="AN43" i="11"/>
  <c r="AO43" i="11"/>
  <c r="AX43" i="11"/>
  <c r="AY43" i="11"/>
  <c r="A44" i="11"/>
  <c r="B44" i="11"/>
  <c r="C44" i="11"/>
  <c r="D44" i="11"/>
  <c r="E44" i="11"/>
  <c r="F44" i="11"/>
  <c r="S44" i="11"/>
  <c r="T44" i="11"/>
  <c r="U44" i="11"/>
  <c r="V44" i="11"/>
  <c r="W44" i="11"/>
  <c r="Y44" i="11"/>
  <c r="Z44" i="11"/>
  <c r="AB44" i="11"/>
  <c r="AF44" i="11"/>
  <c r="AG44" i="11"/>
  <c r="AI44" i="11"/>
  <c r="AJ44" i="11"/>
  <c r="AK44" i="11"/>
  <c r="AM44" i="11"/>
  <c r="AN44" i="11"/>
  <c r="AO44" i="11"/>
  <c r="AX44" i="11"/>
  <c r="AY44" i="11"/>
  <c r="A45" i="11"/>
  <c r="B45" i="11"/>
  <c r="C45" i="11"/>
  <c r="D45" i="11"/>
  <c r="E45" i="11"/>
  <c r="F45" i="11"/>
  <c r="S45" i="11"/>
  <c r="T45" i="11"/>
  <c r="U45" i="11"/>
  <c r="V45" i="11"/>
  <c r="W45" i="11"/>
  <c r="Y45" i="11"/>
  <c r="Z45" i="11"/>
  <c r="AB45" i="11"/>
  <c r="AF45" i="11"/>
  <c r="AG45" i="11"/>
  <c r="AI45" i="11"/>
  <c r="AJ45" i="11"/>
  <c r="AK45" i="11"/>
  <c r="AM45" i="11"/>
  <c r="AN45" i="11"/>
  <c r="AO45" i="11"/>
  <c r="AX45" i="11"/>
  <c r="AY45" i="11"/>
  <c r="A46" i="11"/>
  <c r="B46" i="11"/>
  <c r="C46" i="11"/>
  <c r="D46" i="11"/>
  <c r="E46" i="11"/>
  <c r="F46" i="11"/>
  <c r="S46" i="11"/>
  <c r="T46" i="11"/>
  <c r="U46" i="11"/>
  <c r="V46" i="11"/>
  <c r="W46" i="11"/>
  <c r="Y46" i="11"/>
  <c r="Z46" i="11"/>
  <c r="AB46" i="11"/>
  <c r="AF46" i="11"/>
  <c r="AG46" i="11"/>
  <c r="AI46" i="11"/>
  <c r="AJ46" i="11"/>
  <c r="AK46" i="11"/>
  <c r="AM46" i="11"/>
  <c r="AN46" i="11"/>
  <c r="AO46" i="11"/>
  <c r="AX46" i="11"/>
  <c r="AY46" i="11"/>
  <c r="A47" i="11"/>
  <c r="B47" i="11"/>
  <c r="C47" i="11"/>
  <c r="D47" i="11"/>
  <c r="E47" i="11"/>
  <c r="F47" i="11"/>
  <c r="S47" i="11"/>
  <c r="T47" i="11"/>
  <c r="U47" i="11"/>
  <c r="V47" i="11"/>
  <c r="W47" i="11"/>
  <c r="Y47" i="11"/>
  <c r="Z47" i="11"/>
  <c r="AB47" i="11"/>
  <c r="AF47" i="11"/>
  <c r="AG47" i="11"/>
  <c r="AI47" i="11"/>
  <c r="AJ47" i="11"/>
  <c r="AK47" i="11"/>
  <c r="AM47" i="11"/>
  <c r="AN47" i="11"/>
  <c r="AO47" i="11"/>
  <c r="AX47" i="11"/>
  <c r="AY47" i="11"/>
  <c r="A48" i="11"/>
  <c r="B48" i="11"/>
  <c r="C48" i="11"/>
  <c r="D48" i="11"/>
  <c r="E48" i="11"/>
  <c r="F48" i="11"/>
  <c r="S48" i="11"/>
  <c r="T48" i="11"/>
  <c r="U48" i="11"/>
  <c r="V48" i="11"/>
  <c r="W48" i="11"/>
  <c r="Y48" i="11"/>
  <c r="Z48" i="11"/>
  <c r="AB48" i="11"/>
  <c r="AF48" i="11"/>
  <c r="AG48" i="11"/>
  <c r="AI48" i="11"/>
  <c r="AJ48" i="11"/>
  <c r="AK48" i="11"/>
  <c r="AM48" i="11"/>
  <c r="AN48" i="11"/>
  <c r="AO48" i="11"/>
  <c r="AX48" i="11"/>
  <c r="AY48" i="11"/>
  <c r="A49" i="11"/>
  <c r="B49" i="11"/>
  <c r="C49" i="11"/>
  <c r="D49" i="11"/>
  <c r="E49" i="11"/>
  <c r="F49" i="11"/>
  <c r="S49" i="11"/>
  <c r="T49" i="11"/>
  <c r="U49" i="11"/>
  <c r="V49" i="11"/>
  <c r="W49" i="11"/>
  <c r="Y49" i="11"/>
  <c r="Z49" i="11"/>
  <c r="AB49" i="11"/>
  <c r="AF49" i="11"/>
  <c r="AG49" i="11"/>
  <c r="AI49" i="11"/>
  <c r="AJ49" i="11"/>
  <c r="AK49" i="11"/>
  <c r="AM49" i="11"/>
  <c r="AN49" i="11"/>
  <c r="AO49" i="11"/>
  <c r="AX49" i="11"/>
  <c r="AY49" i="11"/>
  <c r="A50" i="11"/>
  <c r="B50" i="11"/>
  <c r="C50" i="11"/>
  <c r="D50" i="11"/>
  <c r="E50" i="11"/>
  <c r="F50" i="11"/>
  <c r="S50" i="11"/>
  <c r="T50" i="11"/>
  <c r="U50" i="11"/>
  <c r="V50" i="11"/>
  <c r="W50" i="11"/>
  <c r="Y50" i="11"/>
  <c r="Z50" i="11"/>
  <c r="AB50" i="11"/>
  <c r="AF50" i="11"/>
  <c r="AG50" i="11"/>
  <c r="AI50" i="11"/>
  <c r="AJ50" i="11"/>
  <c r="AK50" i="11"/>
  <c r="AM50" i="11"/>
  <c r="AN50" i="11"/>
  <c r="AO50" i="11"/>
  <c r="AX50" i="11"/>
  <c r="AY50" i="11"/>
  <c r="A51" i="11"/>
  <c r="B51" i="11"/>
  <c r="C51" i="11"/>
  <c r="D51" i="11"/>
  <c r="E51" i="11"/>
  <c r="F51" i="11"/>
  <c r="S51" i="11"/>
  <c r="T51" i="11"/>
  <c r="U51" i="11"/>
  <c r="V51" i="11"/>
  <c r="W51" i="11"/>
  <c r="Y51" i="11"/>
  <c r="Z51" i="11"/>
  <c r="AB51" i="11"/>
  <c r="AF51" i="11"/>
  <c r="AG51" i="11"/>
  <c r="AI51" i="11"/>
  <c r="AJ51" i="11"/>
  <c r="AK51" i="11"/>
  <c r="AM51" i="11"/>
  <c r="AN51" i="11"/>
  <c r="AO51" i="11"/>
  <c r="AX51" i="11"/>
  <c r="AY51" i="11"/>
  <c r="A52" i="11"/>
  <c r="B52" i="11"/>
  <c r="C52" i="11"/>
  <c r="D52" i="11"/>
  <c r="E52" i="11"/>
  <c r="F52" i="11"/>
  <c r="S52" i="11"/>
  <c r="T52" i="11"/>
  <c r="U52" i="11"/>
  <c r="V52" i="11"/>
  <c r="W52" i="11"/>
  <c r="Y52" i="11"/>
  <c r="Z52" i="11"/>
  <c r="AB52" i="11"/>
  <c r="AF52" i="11"/>
  <c r="AG52" i="11"/>
  <c r="AI52" i="11"/>
  <c r="AJ52" i="11"/>
  <c r="AK52" i="11"/>
  <c r="AM52" i="11"/>
  <c r="AN52" i="11"/>
  <c r="AO52" i="11"/>
  <c r="AX52" i="11"/>
  <c r="AY52" i="11"/>
  <c r="A53" i="11"/>
  <c r="B53" i="11"/>
  <c r="C53" i="11"/>
  <c r="D53" i="11"/>
  <c r="E53" i="11"/>
  <c r="F53" i="11"/>
  <c r="S53" i="11"/>
  <c r="T53" i="11"/>
  <c r="U53" i="11"/>
  <c r="V53" i="11"/>
  <c r="W53" i="11"/>
  <c r="Y53" i="11"/>
  <c r="Z53" i="11"/>
  <c r="AB53" i="11"/>
  <c r="AF53" i="11"/>
  <c r="AG53" i="11"/>
  <c r="AI53" i="11"/>
  <c r="AJ53" i="11"/>
  <c r="AK53" i="11"/>
  <c r="AM53" i="11"/>
  <c r="AN53" i="11"/>
  <c r="AO53" i="11"/>
  <c r="AX53" i="11"/>
  <c r="AY53" i="11"/>
  <c r="A54" i="11"/>
  <c r="B54" i="11"/>
  <c r="C54" i="11"/>
  <c r="D54" i="11"/>
  <c r="E54" i="11"/>
  <c r="F54" i="11"/>
  <c r="S54" i="11"/>
  <c r="T54" i="11"/>
  <c r="U54" i="11"/>
  <c r="V54" i="11"/>
  <c r="W54" i="11"/>
  <c r="Y54" i="11"/>
  <c r="Z54" i="11"/>
  <c r="AB54" i="11"/>
  <c r="AF54" i="11"/>
  <c r="AG54" i="11"/>
  <c r="AI54" i="11"/>
  <c r="AJ54" i="11"/>
  <c r="AK54" i="11"/>
  <c r="AM54" i="11"/>
  <c r="AN54" i="11"/>
  <c r="AO54" i="11"/>
  <c r="AX54" i="11"/>
  <c r="AY54" i="11"/>
  <c r="A55" i="11"/>
  <c r="B55" i="11"/>
  <c r="C55" i="11"/>
  <c r="D55" i="11"/>
  <c r="E55" i="11"/>
  <c r="F55" i="11"/>
  <c r="S55" i="11"/>
  <c r="T55" i="11"/>
  <c r="U55" i="11"/>
  <c r="V55" i="11"/>
  <c r="W55" i="11"/>
  <c r="Y55" i="11"/>
  <c r="Z55" i="11"/>
  <c r="AB55" i="11"/>
  <c r="AF55" i="11"/>
  <c r="AG55" i="11"/>
  <c r="AI55" i="11"/>
  <c r="AJ55" i="11"/>
  <c r="AK55" i="11"/>
  <c r="AM55" i="11"/>
  <c r="AN55" i="11"/>
  <c r="AO55" i="11"/>
  <c r="AX55" i="11"/>
  <c r="AY55" i="11"/>
  <c r="A56" i="11"/>
  <c r="B56" i="11"/>
  <c r="C56" i="11"/>
  <c r="D56" i="11"/>
  <c r="E56" i="11"/>
  <c r="F56" i="11"/>
  <c r="S56" i="11"/>
  <c r="T56" i="11"/>
  <c r="U56" i="11"/>
  <c r="V56" i="11"/>
  <c r="W56" i="11"/>
  <c r="Y56" i="11"/>
  <c r="Z56" i="11"/>
  <c r="AB56" i="11"/>
  <c r="AF56" i="11"/>
  <c r="AG56" i="11"/>
  <c r="AI56" i="11"/>
  <c r="AJ56" i="11"/>
  <c r="AK56" i="11"/>
  <c r="AM56" i="11"/>
  <c r="AN56" i="11"/>
  <c r="AO56" i="11"/>
  <c r="AX56" i="11"/>
  <c r="AY56" i="11"/>
  <c r="A57" i="11"/>
  <c r="B57" i="11"/>
  <c r="C57" i="11"/>
  <c r="D57" i="11"/>
  <c r="E57" i="11"/>
  <c r="F57" i="11"/>
  <c r="S57" i="11"/>
  <c r="T57" i="11"/>
  <c r="U57" i="11"/>
  <c r="V57" i="11"/>
  <c r="W57" i="11"/>
  <c r="Y57" i="11"/>
  <c r="Z57" i="11"/>
  <c r="AB57" i="11"/>
  <c r="AF57" i="11"/>
  <c r="AG57" i="11"/>
  <c r="AI57" i="11"/>
  <c r="AJ57" i="11"/>
  <c r="AK57" i="11"/>
  <c r="AM57" i="11"/>
  <c r="AN57" i="11"/>
  <c r="AO57" i="11"/>
  <c r="AX57" i="11"/>
  <c r="AY57" i="11"/>
  <c r="A58" i="11"/>
  <c r="B58" i="11"/>
  <c r="C58" i="11"/>
  <c r="D58" i="11"/>
  <c r="E58" i="11"/>
  <c r="F58" i="11"/>
  <c r="S58" i="11"/>
  <c r="T58" i="11"/>
  <c r="U58" i="11"/>
  <c r="V58" i="11"/>
  <c r="W58" i="11"/>
  <c r="Y58" i="11"/>
  <c r="Z58" i="11"/>
  <c r="AB58" i="11"/>
  <c r="AF58" i="11"/>
  <c r="AG58" i="11"/>
  <c r="AI58" i="11"/>
  <c r="AJ58" i="11"/>
  <c r="AK58" i="11"/>
  <c r="AM58" i="11"/>
  <c r="AN58" i="11"/>
  <c r="AO58" i="11"/>
  <c r="AX58" i="11"/>
  <c r="AY58" i="11"/>
  <c r="A59" i="11"/>
  <c r="B59" i="11"/>
  <c r="C59" i="11"/>
  <c r="D59" i="11"/>
  <c r="E59" i="11"/>
  <c r="F59" i="11"/>
  <c r="S59" i="11"/>
  <c r="T59" i="11"/>
  <c r="U59" i="11"/>
  <c r="V59" i="11"/>
  <c r="W59" i="11"/>
  <c r="Y59" i="11"/>
  <c r="Z59" i="11"/>
  <c r="AB59" i="11"/>
  <c r="AF59" i="11"/>
  <c r="AG59" i="11"/>
  <c r="AI59" i="11"/>
  <c r="AJ59" i="11"/>
  <c r="AK59" i="11"/>
  <c r="AM59" i="11"/>
  <c r="AN59" i="11"/>
  <c r="AO59" i="11"/>
  <c r="AX59" i="11"/>
  <c r="AY59" i="11"/>
  <c r="A60" i="11"/>
  <c r="B60" i="11"/>
  <c r="C60" i="11"/>
  <c r="D60" i="11"/>
  <c r="E60" i="11"/>
  <c r="F60" i="11"/>
  <c r="S60" i="11"/>
  <c r="T60" i="11"/>
  <c r="U60" i="11"/>
  <c r="V60" i="11"/>
  <c r="W60" i="11"/>
  <c r="Y60" i="11"/>
  <c r="Z60" i="11"/>
  <c r="AB60" i="11"/>
  <c r="AF60" i="11"/>
  <c r="AG60" i="11"/>
  <c r="AI60" i="11"/>
  <c r="AJ60" i="11"/>
  <c r="AK60" i="11"/>
  <c r="AM60" i="11"/>
  <c r="AN60" i="11"/>
  <c r="AO60" i="11"/>
  <c r="AX60" i="11"/>
  <c r="AY60" i="11"/>
  <c r="A61" i="11"/>
  <c r="B61" i="11"/>
  <c r="C61" i="11"/>
  <c r="D61" i="11"/>
  <c r="E61" i="11"/>
  <c r="F61" i="11"/>
  <c r="S61" i="11"/>
  <c r="T61" i="11"/>
  <c r="U61" i="11"/>
  <c r="V61" i="11"/>
  <c r="W61" i="11"/>
  <c r="Y61" i="11"/>
  <c r="Z61" i="11"/>
  <c r="AB61" i="11"/>
  <c r="AF61" i="11"/>
  <c r="AG61" i="11"/>
  <c r="AI61" i="11"/>
  <c r="AJ61" i="11"/>
  <c r="AK61" i="11"/>
  <c r="AM61" i="11"/>
  <c r="AN61" i="11"/>
  <c r="AO61" i="11"/>
  <c r="AX61" i="11"/>
  <c r="AY61" i="11"/>
  <c r="A62" i="11"/>
  <c r="B62" i="11"/>
  <c r="C62" i="11"/>
  <c r="D62" i="11"/>
  <c r="E62" i="11"/>
  <c r="F62" i="11"/>
  <c r="S62" i="11"/>
  <c r="T62" i="11"/>
  <c r="U62" i="11"/>
  <c r="V62" i="11"/>
  <c r="W62" i="11"/>
  <c r="Y62" i="11"/>
  <c r="Z62" i="11"/>
  <c r="AB62" i="11"/>
  <c r="AF62" i="11"/>
  <c r="AG62" i="11"/>
  <c r="AI62" i="11"/>
  <c r="AJ62" i="11"/>
  <c r="AK62" i="11"/>
  <c r="AM62" i="11"/>
  <c r="AN62" i="11"/>
  <c r="AO62" i="11"/>
  <c r="AX62" i="11"/>
  <c r="AY62" i="11"/>
  <c r="A63" i="11"/>
  <c r="B63" i="11"/>
  <c r="C63" i="11"/>
  <c r="D63" i="11"/>
  <c r="E63" i="11"/>
  <c r="F63" i="11"/>
  <c r="S63" i="11"/>
  <c r="T63" i="11"/>
  <c r="U63" i="11"/>
  <c r="V63" i="11"/>
  <c r="W63" i="11"/>
  <c r="Y63" i="11"/>
  <c r="Z63" i="11"/>
  <c r="AB63" i="11"/>
  <c r="AF63" i="11"/>
  <c r="AG63" i="11"/>
  <c r="AI63" i="11"/>
  <c r="AJ63" i="11"/>
  <c r="AK63" i="11"/>
  <c r="AM63" i="11"/>
  <c r="AN63" i="11"/>
  <c r="AO63" i="11"/>
  <c r="AX63" i="11"/>
  <c r="AY63" i="11"/>
  <c r="A64" i="11"/>
  <c r="B64" i="11"/>
  <c r="C64" i="11"/>
  <c r="D64" i="11"/>
  <c r="E64" i="11"/>
  <c r="F64" i="11"/>
  <c r="S64" i="11"/>
  <c r="T64" i="11"/>
  <c r="U64" i="11"/>
  <c r="V64" i="11"/>
  <c r="W64" i="11"/>
  <c r="Y64" i="11"/>
  <c r="Z64" i="11"/>
  <c r="AB64" i="11"/>
  <c r="AF64" i="11"/>
  <c r="AG64" i="11"/>
  <c r="AI64" i="11"/>
  <c r="AJ64" i="11"/>
  <c r="AK64" i="11"/>
  <c r="AM64" i="11"/>
  <c r="AN64" i="11"/>
  <c r="AO64" i="11"/>
  <c r="AX64" i="11"/>
  <c r="AY64" i="11"/>
  <c r="A65" i="11"/>
  <c r="B65" i="11"/>
  <c r="C65" i="11"/>
  <c r="D65" i="11"/>
  <c r="E65" i="11"/>
  <c r="F65" i="11"/>
  <c r="S65" i="11"/>
  <c r="T65" i="11"/>
  <c r="U65" i="11"/>
  <c r="V65" i="11"/>
  <c r="W65" i="11"/>
  <c r="Y65" i="11"/>
  <c r="Z65" i="11"/>
  <c r="AB65" i="11"/>
  <c r="AF65" i="11"/>
  <c r="AG65" i="11"/>
  <c r="AI65" i="11"/>
  <c r="AJ65" i="11"/>
  <c r="AK65" i="11"/>
  <c r="AM65" i="11"/>
  <c r="AN65" i="11"/>
  <c r="AO65" i="11"/>
  <c r="AX65" i="11"/>
  <c r="AY65" i="11"/>
  <c r="A66" i="11"/>
  <c r="B66" i="11"/>
  <c r="C66" i="11"/>
  <c r="D66" i="11"/>
  <c r="E66" i="11"/>
  <c r="F66" i="11"/>
  <c r="S66" i="11"/>
  <c r="T66" i="11"/>
  <c r="U66" i="11"/>
  <c r="V66" i="11"/>
  <c r="W66" i="11"/>
  <c r="Y66" i="11"/>
  <c r="Z66" i="11"/>
  <c r="AB66" i="11"/>
  <c r="AF66" i="11"/>
  <c r="AG66" i="11"/>
  <c r="AI66" i="11"/>
  <c r="AJ66" i="11"/>
  <c r="AK66" i="11"/>
  <c r="AM66" i="11"/>
  <c r="AN66" i="11"/>
  <c r="AO66" i="11"/>
  <c r="AX66" i="11"/>
  <c r="AY66" i="11"/>
  <c r="A67" i="11"/>
  <c r="B67" i="11"/>
  <c r="C67" i="11"/>
  <c r="D67" i="11"/>
  <c r="E67" i="11"/>
  <c r="F67" i="11"/>
  <c r="S67" i="11"/>
  <c r="T67" i="11"/>
  <c r="U67" i="11"/>
  <c r="V67" i="11"/>
  <c r="W67" i="11"/>
  <c r="Y67" i="11"/>
  <c r="Z67" i="11"/>
  <c r="AB67" i="11"/>
  <c r="AF67" i="11"/>
  <c r="AG67" i="11"/>
  <c r="AI67" i="11"/>
  <c r="AJ67" i="11"/>
  <c r="AK67" i="11"/>
  <c r="AM67" i="11"/>
  <c r="AN67" i="11"/>
  <c r="AO67" i="11"/>
  <c r="AX67" i="11"/>
  <c r="AY67" i="11"/>
  <c r="A68" i="11"/>
  <c r="B68" i="11"/>
  <c r="C68" i="11"/>
  <c r="D68" i="11"/>
  <c r="E68" i="11"/>
  <c r="F68" i="11"/>
  <c r="S68" i="11"/>
  <c r="T68" i="11"/>
  <c r="U68" i="11"/>
  <c r="V68" i="11"/>
  <c r="W68" i="11"/>
  <c r="Y68" i="11"/>
  <c r="Z68" i="11"/>
  <c r="AB68" i="11"/>
  <c r="AF68" i="11"/>
  <c r="AG68" i="11"/>
  <c r="AI68" i="11"/>
  <c r="AJ68" i="11"/>
  <c r="AK68" i="11"/>
  <c r="AM68" i="11"/>
  <c r="AN68" i="11"/>
  <c r="AO68" i="11"/>
  <c r="AX68" i="11"/>
  <c r="AY68" i="11"/>
  <c r="A69" i="11"/>
  <c r="B69" i="11"/>
  <c r="C69" i="11"/>
  <c r="D69" i="11"/>
  <c r="E69" i="11"/>
  <c r="F69" i="11"/>
  <c r="S69" i="11"/>
  <c r="T69" i="11"/>
  <c r="U69" i="11"/>
  <c r="V69" i="11"/>
  <c r="W69" i="11"/>
  <c r="Y69" i="11"/>
  <c r="Z69" i="11"/>
  <c r="AB69" i="11"/>
  <c r="AF69" i="11"/>
  <c r="AG69" i="11"/>
  <c r="AI69" i="11"/>
  <c r="AJ69" i="11"/>
  <c r="AK69" i="11"/>
  <c r="AM69" i="11"/>
  <c r="AN69" i="11"/>
  <c r="AO69" i="11"/>
  <c r="AX69" i="11"/>
  <c r="AY69" i="11"/>
  <c r="A70" i="11"/>
  <c r="B70" i="11"/>
  <c r="C70" i="11"/>
  <c r="D70" i="11"/>
  <c r="E70" i="11"/>
  <c r="F70" i="11"/>
  <c r="S70" i="11"/>
  <c r="T70" i="11"/>
  <c r="U70" i="11"/>
  <c r="V70" i="11"/>
  <c r="W70" i="11"/>
  <c r="Y70" i="11"/>
  <c r="Z70" i="11"/>
  <c r="AB70" i="11"/>
  <c r="AF70" i="11"/>
  <c r="AG70" i="11"/>
  <c r="AI70" i="11"/>
  <c r="AJ70" i="11"/>
  <c r="AK70" i="11"/>
  <c r="AM70" i="11"/>
  <c r="AN70" i="11"/>
  <c r="AO70" i="11"/>
  <c r="AX70" i="11"/>
  <c r="AY70" i="11"/>
  <c r="A71" i="11"/>
  <c r="B71" i="11"/>
  <c r="C71" i="11"/>
  <c r="D71" i="11"/>
  <c r="E71" i="11"/>
  <c r="F71" i="11"/>
  <c r="S71" i="11"/>
  <c r="T71" i="11"/>
  <c r="U71" i="11"/>
  <c r="V71" i="11"/>
  <c r="W71" i="11"/>
  <c r="Y71" i="11"/>
  <c r="Z71" i="11"/>
  <c r="AB71" i="11"/>
  <c r="AF71" i="11"/>
  <c r="AG71" i="11"/>
  <c r="AI71" i="11"/>
  <c r="AJ71" i="11"/>
  <c r="AK71" i="11"/>
  <c r="AM71" i="11"/>
  <c r="AN71" i="11"/>
  <c r="AO71" i="11"/>
  <c r="AX71" i="11"/>
  <c r="AY71" i="11"/>
  <c r="A72" i="11"/>
  <c r="B72" i="11"/>
  <c r="C72" i="11"/>
  <c r="D72" i="11"/>
  <c r="E72" i="11"/>
  <c r="F72" i="11"/>
  <c r="S72" i="11"/>
  <c r="T72" i="11"/>
  <c r="U72" i="11"/>
  <c r="V72" i="11"/>
  <c r="W72" i="11"/>
  <c r="Y72" i="11"/>
  <c r="Z72" i="11"/>
  <c r="AB72" i="11"/>
  <c r="AF72" i="11"/>
  <c r="AG72" i="11"/>
  <c r="AI72" i="11"/>
  <c r="AJ72" i="11"/>
  <c r="AK72" i="11"/>
  <c r="AM72" i="11"/>
  <c r="AN72" i="11"/>
  <c r="AO72" i="11"/>
  <c r="AX72" i="11"/>
  <c r="AY72" i="11"/>
  <c r="A73" i="11"/>
  <c r="B73" i="11"/>
  <c r="C73" i="11"/>
  <c r="D73" i="11"/>
  <c r="E73" i="11"/>
  <c r="F73" i="11"/>
  <c r="S73" i="11"/>
  <c r="T73" i="11"/>
  <c r="U73" i="11"/>
  <c r="V73" i="11"/>
  <c r="W73" i="11"/>
  <c r="Y73" i="11"/>
  <c r="Z73" i="11"/>
  <c r="AB73" i="11"/>
  <c r="AF73" i="11"/>
  <c r="AG73" i="11"/>
  <c r="AI73" i="11"/>
  <c r="AJ73" i="11"/>
  <c r="AK73" i="11"/>
  <c r="AM73" i="11"/>
  <c r="AN73" i="11"/>
  <c r="AO73" i="11"/>
  <c r="AX73" i="11"/>
  <c r="AY73" i="11"/>
  <c r="A74" i="11"/>
  <c r="B74" i="11"/>
  <c r="C74" i="11"/>
  <c r="D74" i="11"/>
  <c r="E74" i="11"/>
  <c r="F74" i="11"/>
  <c r="S74" i="11"/>
  <c r="T74" i="11"/>
  <c r="U74" i="11"/>
  <c r="V74" i="11"/>
  <c r="W74" i="11"/>
  <c r="Y74" i="11"/>
  <c r="Z74" i="11"/>
  <c r="AB74" i="11"/>
  <c r="AF74" i="11"/>
  <c r="AG74" i="11"/>
  <c r="AI74" i="11"/>
  <c r="AJ74" i="11"/>
  <c r="AK74" i="11"/>
  <c r="AM74" i="11"/>
  <c r="AN74" i="11"/>
  <c r="AO74" i="11"/>
  <c r="AX74" i="11"/>
  <c r="AY74" i="11"/>
  <c r="A75" i="11"/>
  <c r="B75" i="11"/>
  <c r="C75" i="11"/>
  <c r="D75" i="11"/>
  <c r="E75" i="11"/>
  <c r="F75" i="11"/>
  <c r="S75" i="11"/>
  <c r="T75" i="11"/>
  <c r="U75" i="11"/>
  <c r="V75" i="11"/>
  <c r="W75" i="11"/>
  <c r="Y75" i="11"/>
  <c r="Z75" i="11"/>
  <c r="AB75" i="11"/>
  <c r="AF75" i="11"/>
  <c r="AG75" i="11"/>
  <c r="AI75" i="11"/>
  <c r="AJ75" i="11"/>
  <c r="AK75" i="11"/>
  <c r="AM75" i="11"/>
  <c r="AN75" i="11"/>
  <c r="AO75" i="11"/>
  <c r="AX75" i="11"/>
  <c r="AY75" i="11"/>
  <c r="A76" i="11"/>
  <c r="B76" i="11"/>
  <c r="C76" i="11"/>
  <c r="D76" i="11"/>
  <c r="E76" i="11"/>
  <c r="F76" i="11"/>
  <c r="S76" i="11"/>
  <c r="T76" i="11"/>
  <c r="U76" i="11"/>
  <c r="V76" i="11"/>
  <c r="W76" i="11"/>
  <c r="Y76" i="11"/>
  <c r="Z76" i="11"/>
  <c r="AB76" i="11"/>
  <c r="AF76" i="11"/>
  <c r="AG76" i="11"/>
  <c r="AI76" i="11"/>
  <c r="AJ76" i="11"/>
  <c r="AK76" i="11"/>
  <c r="AM76" i="11"/>
  <c r="AN76" i="11"/>
  <c r="AO76" i="11"/>
  <c r="AX76" i="11"/>
  <c r="AY76" i="11"/>
  <c r="A77" i="11"/>
  <c r="B77" i="11"/>
  <c r="C77" i="11"/>
  <c r="D77" i="11"/>
  <c r="E77" i="11"/>
  <c r="F77" i="11"/>
  <c r="S77" i="11"/>
  <c r="T77" i="11"/>
  <c r="U77" i="11"/>
  <c r="V77" i="11"/>
  <c r="W77" i="11"/>
  <c r="Y77" i="11"/>
  <c r="Z77" i="11"/>
  <c r="AB77" i="11"/>
  <c r="AF77" i="11"/>
  <c r="AG77" i="11"/>
  <c r="AI77" i="11"/>
  <c r="AJ77" i="11"/>
  <c r="AK77" i="11"/>
  <c r="AM77" i="11"/>
  <c r="AN77" i="11"/>
  <c r="AO77" i="11"/>
  <c r="AX77" i="11"/>
  <c r="AY77" i="11"/>
  <c r="A78" i="11"/>
  <c r="B78" i="11"/>
  <c r="C78" i="11"/>
  <c r="D78" i="11"/>
  <c r="E78" i="11"/>
  <c r="F78" i="11"/>
  <c r="S78" i="11"/>
  <c r="T78" i="11"/>
  <c r="U78" i="11"/>
  <c r="V78" i="11"/>
  <c r="W78" i="11"/>
  <c r="Y78" i="11"/>
  <c r="Z78" i="11"/>
  <c r="AB78" i="11"/>
  <c r="AF78" i="11"/>
  <c r="AG78" i="11"/>
  <c r="AI78" i="11"/>
  <c r="AJ78" i="11"/>
  <c r="AK78" i="11"/>
  <c r="AM78" i="11"/>
  <c r="AN78" i="11"/>
  <c r="AO78" i="11"/>
  <c r="AX78" i="11"/>
  <c r="AY78" i="11"/>
  <c r="A79" i="11"/>
  <c r="B79" i="11"/>
  <c r="C79" i="11"/>
  <c r="D79" i="11"/>
  <c r="E79" i="11"/>
  <c r="F79" i="11"/>
  <c r="S79" i="11"/>
  <c r="T79" i="11"/>
  <c r="U79" i="11"/>
  <c r="V79" i="11"/>
  <c r="W79" i="11"/>
  <c r="Y79" i="11"/>
  <c r="Z79" i="11"/>
  <c r="AB79" i="11"/>
  <c r="AF79" i="11"/>
  <c r="AG79" i="11"/>
  <c r="AI79" i="11"/>
  <c r="AJ79" i="11"/>
  <c r="AK79" i="11"/>
  <c r="AM79" i="11"/>
  <c r="AN79" i="11"/>
  <c r="AO79" i="11"/>
  <c r="AX79" i="11"/>
  <c r="AY79" i="11"/>
  <c r="A80" i="11"/>
  <c r="B80" i="11"/>
  <c r="C80" i="11"/>
  <c r="D80" i="11"/>
  <c r="E80" i="11"/>
  <c r="F80" i="11"/>
  <c r="S80" i="11"/>
  <c r="T80" i="11"/>
  <c r="U80" i="11"/>
  <c r="V80" i="11"/>
  <c r="W80" i="11"/>
  <c r="Y80" i="11"/>
  <c r="Z80" i="11"/>
  <c r="AB80" i="11"/>
  <c r="AF80" i="11"/>
  <c r="AG80" i="11"/>
  <c r="AI80" i="11"/>
  <c r="AJ80" i="11"/>
  <c r="AK80" i="11"/>
  <c r="AM80" i="11"/>
  <c r="AN80" i="11"/>
  <c r="AO80" i="11"/>
  <c r="AX80" i="11"/>
  <c r="AY80" i="11"/>
  <c r="A81" i="11"/>
  <c r="B81" i="11"/>
  <c r="C81" i="11"/>
  <c r="D81" i="11"/>
  <c r="E81" i="11"/>
  <c r="F81" i="11"/>
  <c r="S81" i="11"/>
  <c r="T81" i="11"/>
  <c r="U81" i="11"/>
  <c r="V81" i="11"/>
  <c r="W81" i="11"/>
  <c r="Y81" i="11"/>
  <c r="Z81" i="11"/>
  <c r="AB81" i="11"/>
  <c r="AF81" i="11"/>
  <c r="AG81" i="11"/>
  <c r="AI81" i="11"/>
  <c r="AJ81" i="11"/>
  <c r="AK81" i="11"/>
  <c r="AM81" i="11"/>
  <c r="AN81" i="11"/>
  <c r="AO81" i="11"/>
  <c r="AX81" i="11"/>
  <c r="AY81" i="11"/>
  <c r="A82" i="11"/>
  <c r="B82" i="11"/>
  <c r="C82" i="11"/>
  <c r="D82" i="11"/>
  <c r="E82" i="11"/>
  <c r="F82" i="11"/>
  <c r="S82" i="11"/>
  <c r="T82" i="11"/>
  <c r="U82" i="11"/>
  <c r="V82" i="11"/>
  <c r="W82" i="11"/>
  <c r="Y82" i="11"/>
  <c r="Z82" i="11"/>
  <c r="AB82" i="11"/>
  <c r="AF82" i="11"/>
  <c r="AG82" i="11"/>
  <c r="AI82" i="11"/>
  <c r="AJ82" i="11"/>
  <c r="AK82" i="11"/>
  <c r="AM82" i="11"/>
  <c r="AN82" i="11"/>
  <c r="AO82" i="11"/>
  <c r="AX82" i="11"/>
  <c r="AY82" i="11"/>
  <c r="A83" i="11"/>
  <c r="B83" i="11"/>
  <c r="C83" i="11"/>
  <c r="D83" i="11"/>
  <c r="E83" i="11"/>
  <c r="F83" i="11"/>
  <c r="S83" i="11"/>
  <c r="T83" i="11"/>
  <c r="U83" i="11"/>
  <c r="V83" i="11"/>
  <c r="W83" i="11"/>
  <c r="Y83" i="11"/>
  <c r="Z83" i="11"/>
  <c r="AB83" i="11"/>
  <c r="AF83" i="11"/>
  <c r="AG83" i="11"/>
  <c r="AI83" i="11"/>
  <c r="AJ83" i="11"/>
  <c r="AK83" i="11"/>
  <c r="AM83" i="11"/>
  <c r="AN83" i="11"/>
  <c r="AO83" i="11"/>
  <c r="AX83" i="11"/>
  <c r="AY83" i="11"/>
  <c r="A84" i="11"/>
  <c r="B84" i="11"/>
  <c r="C84" i="11"/>
  <c r="D84" i="11"/>
  <c r="E84" i="11"/>
  <c r="F84" i="11"/>
  <c r="S84" i="11"/>
  <c r="T84" i="11"/>
  <c r="U84" i="11"/>
  <c r="V84" i="11"/>
  <c r="W84" i="11"/>
  <c r="Y84" i="11"/>
  <c r="Z84" i="11"/>
  <c r="AB84" i="11"/>
  <c r="AF84" i="11"/>
  <c r="AG84" i="11"/>
  <c r="AI84" i="11"/>
  <c r="AJ84" i="11"/>
  <c r="AK84" i="11"/>
  <c r="AM84" i="11"/>
  <c r="AN84" i="11"/>
  <c r="AO84" i="11"/>
  <c r="AX84" i="11"/>
  <c r="AY84" i="11"/>
  <c r="A85" i="11"/>
  <c r="B85" i="11"/>
  <c r="C85" i="11"/>
  <c r="D85" i="11"/>
  <c r="E85" i="11"/>
  <c r="F85" i="11"/>
  <c r="S85" i="11"/>
  <c r="T85" i="11"/>
  <c r="U85" i="11"/>
  <c r="V85" i="11"/>
  <c r="W85" i="11"/>
  <c r="Y85" i="11"/>
  <c r="Z85" i="11"/>
  <c r="AB85" i="11"/>
  <c r="AF85" i="11"/>
  <c r="AG85" i="11"/>
  <c r="AI85" i="11"/>
  <c r="AJ85" i="11"/>
  <c r="AK85" i="11"/>
  <c r="AM85" i="11"/>
  <c r="AN85" i="11"/>
  <c r="AO85" i="11"/>
  <c r="AX85" i="11"/>
  <c r="AY85" i="11"/>
  <c r="A86" i="11"/>
  <c r="B86" i="11"/>
  <c r="C86" i="11"/>
  <c r="D86" i="11"/>
  <c r="E86" i="11"/>
  <c r="F86" i="11"/>
  <c r="S86" i="11"/>
  <c r="T86" i="11"/>
  <c r="U86" i="11"/>
  <c r="V86" i="11"/>
  <c r="W86" i="11"/>
  <c r="Y86" i="11"/>
  <c r="Z86" i="11"/>
  <c r="AB86" i="11"/>
  <c r="AF86" i="11"/>
  <c r="AG86" i="11"/>
  <c r="AI86" i="11"/>
  <c r="AJ86" i="11"/>
  <c r="AK86" i="11"/>
  <c r="AM86" i="11"/>
  <c r="AN86" i="11"/>
  <c r="AO86" i="11"/>
  <c r="AX86" i="11"/>
  <c r="AY86" i="11"/>
  <c r="A87" i="11"/>
  <c r="B87" i="11"/>
  <c r="C87" i="11"/>
  <c r="D87" i="11"/>
  <c r="E87" i="11"/>
  <c r="F87" i="11"/>
  <c r="S87" i="11"/>
  <c r="T87" i="11"/>
  <c r="U87" i="11"/>
  <c r="V87" i="11"/>
  <c r="W87" i="11"/>
  <c r="Y87" i="11"/>
  <c r="Z87" i="11"/>
  <c r="AB87" i="11"/>
  <c r="AF87" i="11"/>
  <c r="AG87" i="11"/>
  <c r="AI87" i="11"/>
  <c r="AJ87" i="11"/>
  <c r="AK87" i="11"/>
  <c r="AM87" i="11"/>
  <c r="AN87" i="11"/>
  <c r="AO87" i="11"/>
  <c r="AX87" i="11"/>
  <c r="AY87" i="11"/>
  <c r="A88" i="11"/>
  <c r="B88" i="11"/>
  <c r="C88" i="11"/>
  <c r="D88" i="11"/>
  <c r="E88" i="11"/>
  <c r="F88" i="11"/>
  <c r="S88" i="11"/>
  <c r="T88" i="11"/>
  <c r="U88" i="11"/>
  <c r="V88" i="11"/>
  <c r="W88" i="11"/>
  <c r="Y88" i="11"/>
  <c r="Z88" i="11"/>
  <c r="AB88" i="11"/>
  <c r="AF88" i="11"/>
  <c r="AG88" i="11"/>
  <c r="AI88" i="11"/>
  <c r="AJ88" i="11"/>
  <c r="AK88" i="11"/>
  <c r="AM88" i="11"/>
  <c r="AN88" i="11"/>
  <c r="AO88" i="11"/>
  <c r="AX88" i="11"/>
  <c r="AY88" i="11"/>
  <c r="A89" i="11"/>
  <c r="B89" i="11"/>
  <c r="C89" i="11"/>
  <c r="D89" i="11"/>
  <c r="E89" i="11"/>
  <c r="F89" i="11"/>
  <c r="S89" i="11"/>
  <c r="T89" i="11"/>
  <c r="U89" i="11"/>
  <c r="V89" i="11"/>
  <c r="W89" i="11"/>
  <c r="Y89" i="11"/>
  <c r="Z89" i="11"/>
  <c r="AB89" i="11"/>
  <c r="AF89" i="11"/>
  <c r="AG89" i="11"/>
  <c r="AI89" i="11"/>
  <c r="AJ89" i="11"/>
  <c r="AK89" i="11"/>
  <c r="AM89" i="11"/>
  <c r="AN89" i="11"/>
  <c r="AO89" i="11"/>
  <c r="AX89" i="11"/>
  <c r="AY89" i="11"/>
  <c r="A90" i="11"/>
  <c r="B90" i="11"/>
  <c r="C90" i="11"/>
  <c r="D90" i="11"/>
  <c r="E90" i="11"/>
  <c r="F90" i="11"/>
  <c r="S90" i="11"/>
  <c r="T90" i="11"/>
  <c r="U90" i="11"/>
  <c r="V90" i="11"/>
  <c r="W90" i="11"/>
  <c r="Y90" i="11"/>
  <c r="Z90" i="11"/>
  <c r="AB90" i="11"/>
  <c r="AF90" i="11"/>
  <c r="AG90" i="11"/>
  <c r="AI90" i="11"/>
  <c r="AJ90" i="11"/>
  <c r="AK90" i="11"/>
  <c r="AM90" i="11"/>
  <c r="AN90" i="11"/>
  <c r="AO90" i="11"/>
  <c r="AX90" i="11"/>
  <c r="AY90" i="11"/>
  <c r="A91" i="11"/>
  <c r="B91" i="11"/>
  <c r="C91" i="11"/>
  <c r="D91" i="11"/>
  <c r="E91" i="11"/>
  <c r="F91" i="11"/>
  <c r="S91" i="11"/>
  <c r="T91" i="11"/>
  <c r="U91" i="11"/>
  <c r="V91" i="11"/>
  <c r="W91" i="11"/>
  <c r="Y91" i="11"/>
  <c r="Z91" i="11"/>
  <c r="AB91" i="11"/>
  <c r="AF91" i="11"/>
  <c r="AG91" i="11"/>
  <c r="AI91" i="11"/>
  <c r="AJ91" i="11"/>
  <c r="AK91" i="11"/>
  <c r="AM91" i="11"/>
  <c r="AN91" i="11"/>
  <c r="AO91" i="11"/>
  <c r="AX91" i="11"/>
  <c r="AY91" i="11"/>
  <c r="A92" i="11"/>
  <c r="B92" i="11"/>
  <c r="C92" i="11"/>
  <c r="D92" i="11"/>
  <c r="E92" i="11"/>
  <c r="F92" i="11"/>
  <c r="S92" i="11"/>
  <c r="T92" i="11"/>
  <c r="U92" i="11"/>
  <c r="V92" i="11"/>
  <c r="W92" i="11"/>
  <c r="Y92" i="11"/>
  <c r="Z92" i="11"/>
  <c r="AB92" i="11"/>
  <c r="AF92" i="11"/>
  <c r="AG92" i="11"/>
  <c r="AI92" i="11"/>
  <c r="AJ92" i="11"/>
  <c r="AK92" i="11"/>
  <c r="AM92" i="11"/>
  <c r="AN92" i="11"/>
  <c r="AO92" i="11"/>
  <c r="AX92" i="11"/>
  <c r="AY92" i="11"/>
  <c r="A93" i="11"/>
  <c r="B93" i="11"/>
  <c r="C93" i="11"/>
  <c r="D93" i="11"/>
  <c r="E93" i="11"/>
  <c r="F93" i="11"/>
  <c r="S93" i="11"/>
  <c r="T93" i="11"/>
  <c r="U93" i="11"/>
  <c r="V93" i="11"/>
  <c r="W93" i="11"/>
  <c r="Y93" i="11"/>
  <c r="Z93" i="11"/>
  <c r="AB93" i="11"/>
  <c r="AF93" i="11"/>
  <c r="AG93" i="11"/>
  <c r="AI93" i="11"/>
  <c r="AJ93" i="11"/>
  <c r="AK93" i="11"/>
  <c r="AM93" i="11"/>
  <c r="AN93" i="11"/>
  <c r="AO93" i="11"/>
  <c r="AX93" i="11"/>
  <c r="AY93" i="11"/>
  <c r="A94" i="11"/>
  <c r="B94" i="11"/>
  <c r="C94" i="11"/>
  <c r="D94" i="11"/>
  <c r="E94" i="11"/>
  <c r="F94" i="11"/>
  <c r="S94" i="11"/>
  <c r="T94" i="11"/>
  <c r="U94" i="11"/>
  <c r="V94" i="11"/>
  <c r="W94" i="11"/>
  <c r="Y94" i="11"/>
  <c r="Z94" i="11"/>
  <c r="AB94" i="11"/>
  <c r="AF94" i="11"/>
  <c r="AG94" i="11"/>
  <c r="AI94" i="11"/>
  <c r="AJ94" i="11"/>
  <c r="AK94" i="11"/>
  <c r="AM94" i="11"/>
  <c r="AN94" i="11"/>
  <c r="AO94" i="11"/>
  <c r="AX94" i="11"/>
  <c r="AY94" i="11"/>
  <c r="A95" i="11"/>
  <c r="B95" i="11"/>
  <c r="C95" i="11"/>
  <c r="D95" i="11"/>
  <c r="E95" i="11"/>
  <c r="F95" i="11"/>
  <c r="S95" i="11"/>
  <c r="T95" i="11"/>
  <c r="U95" i="11"/>
  <c r="V95" i="11"/>
  <c r="W95" i="11"/>
  <c r="Y95" i="11"/>
  <c r="Z95" i="11"/>
  <c r="AB95" i="11"/>
  <c r="AF95" i="11"/>
  <c r="AG95" i="11"/>
  <c r="AI95" i="11"/>
  <c r="AJ95" i="11"/>
  <c r="AK95" i="11"/>
  <c r="AM95" i="11"/>
  <c r="AN95" i="11"/>
  <c r="AO95" i="11"/>
  <c r="AX95" i="11"/>
  <c r="AY95" i="11"/>
  <c r="A96" i="11"/>
  <c r="B96" i="11"/>
  <c r="C96" i="11"/>
  <c r="D96" i="11"/>
  <c r="E96" i="11"/>
  <c r="F96" i="11"/>
  <c r="S96" i="11"/>
  <c r="T96" i="11"/>
  <c r="U96" i="11"/>
  <c r="V96" i="11"/>
  <c r="W96" i="11"/>
  <c r="Y96" i="11"/>
  <c r="Z96" i="11"/>
  <c r="AB96" i="11"/>
  <c r="AF96" i="11"/>
  <c r="AG96" i="11"/>
  <c r="AI96" i="11"/>
  <c r="AJ96" i="11"/>
  <c r="AK96" i="11"/>
  <c r="AM96" i="11"/>
  <c r="AN96" i="11"/>
  <c r="AO96" i="11"/>
  <c r="AX96" i="11"/>
  <c r="AY96" i="11"/>
  <c r="A97" i="11"/>
  <c r="B97" i="11"/>
  <c r="C97" i="11"/>
  <c r="D97" i="11"/>
  <c r="E97" i="11"/>
  <c r="F97" i="11"/>
  <c r="S97" i="11"/>
  <c r="T97" i="11"/>
  <c r="U97" i="11"/>
  <c r="V97" i="11"/>
  <c r="W97" i="11"/>
  <c r="Y97" i="11"/>
  <c r="Z97" i="11"/>
  <c r="AB97" i="11"/>
  <c r="AF97" i="11"/>
  <c r="AG97" i="11"/>
  <c r="AI97" i="11"/>
  <c r="AJ97" i="11"/>
  <c r="AK97" i="11"/>
  <c r="AM97" i="11"/>
  <c r="AN97" i="11"/>
  <c r="AO97" i="11"/>
  <c r="AX97" i="11"/>
  <c r="AY97" i="11"/>
  <c r="A98" i="11"/>
  <c r="B98" i="11"/>
  <c r="C98" i="11"/>
  <c r="D98" i="11"/>
  <c r="E98" i="11"/>
  <c r="F98" i="11"/>
  <c r="S98" i="11"/>
  <c r="T98" i="11"/>
  <c r="U98" i="11"/>
  <c r="V98" i="11"/>
  <c r="W98" i="11"/>
  <c r="Y98" i="11"/>
  <c r="Z98" i="11"/>
  <c r="AB98" i="11"/>
  <c r="AF98" i="11"/>
  <c r="AG98" i="11"/>
  <c r="AI98" i="11"/>
  <c r="AJ98" i="11"/>
  <c r="AK98" i="11"/>
  <c r="AM98" i="11"/>
  <c r="AN98" i="11"/>
  <c r="AO98" i="11"/>
  <c r="AX98" i="11"/>
  <c r="AY98" i="11"/>
  <c r="A99" i="11"/>
  <c r="B99" i="11"/>
  <c r="C99" i="11"/>
  <c r="D99" i="11"/>
  <c r="E99" i="11"/>
  <c r="F99" i="11"/>
  <c r="S99" i="11"/>
  <c r="T99" i="11"/>
  <c r="U99" i="11"/>
  <c r="V99" i="11"/>
  <c r="W99" i="11"/>
  <c r="Y99" i="11"/>
  <c r="Z99" i="11"/>
  <c r="AB99" i="11"/>
  <c r="AF99" i="11"/>
  <c r="AG99" i="11"/>
  <c r="AI99" i="11"/>
  <c r="AJ99" i="11"/>
  <c r="AK99" i="11"/>
  <c r="AM99" i="11"/>
  <c r="AN99" i="11"/>
  <c r="AO99" i="11"/>
  <c r="AX99" i="11"/>
  <c r="AY99" i="11"/>
  <c r="A100" i="11"/>
  <c r="B100" i="11"/>
  <c r="C100" i="11"/>
  <c r="D100" i="11"/>
  <c r="E100" i="11"/>
  <c r="F100" i="11"/>
  <c r="S100" i="11"/>
  <c r="T100" i="11"/>
  <c r="U100" i="11"/>
  <c r="V100" i="11"/>
  <c r="W100" i="11"/>
  <c r="Y100" i="11"/>
  <c r="Z100" i="11"/>
  <c r="AB100" i="11"/>
  <c r="AF100" i="11"/>
  <c r="AG100" i="11"/>
  <c r="AI100" i="11"/>
  <c r="AJ100" i="11"/>
  <c r="AK100" i="11"/>
  <c r="AM100" i="11"/>
  <c r="AN100" i="11"/>
  <c r="AO100" i="11"/>
  <c r="AX100" i="11"/>
  <c r="AY100" i="11"/>
  <c r="A101" i="11"/>
  <c r="B101" i="11"/>
  <c r="C101" i="11"/>
  <c r="D101" i="11"/>
  <c r="E101" i="11"/>
  <c r="F101" i="11"/>
  <c r="S101" i="11"/>
  <c r="T101" i="11"/>
  <c r="U101" i="11"/>
  <c r="V101" i="11"/>
  <c r="W101" i="11"/>
  <c r="Y101" i="11"/>
  <c r="Z101" i="11"/>
  <c r="AB101" i="11"/>
  <c r="AF101" i="11"/>
  <c r="AG101" i="11"/>
  <c r="AI101" i="11"/>
  <c r="AJ101" i="11"/>
  <c r="AK101" i="11"/>
  <c r="AM101" i="11"/>
  <c r="AN101" i="11"/>
  <c r="AO101" i="11"/>
  <c r="AX101" i="11"/>
  <c r="AY101" i="11"/>
  <c r="A102" i="11"/>
  <c r="B102" i="11"/>
  <c r="C102" i="11"/>
  <c r="D102" i="11"/>
  <c r="E102" i="11"/>
  <c r="F102" i="11"/>
  <c r="S102" i="11"/>
  <c r="T102" i="11"/>
  <c r="U102" i="11"/>
  <c r="V102" i="11"/>
  <c r="W102" i="11"/>
  <c r="Y102" i="11"/>
  <c r="Z102" i="11"/>
  <c r="AB102" i="11"/>
  <c r="AF102" i="11"/>
  <c r="AG102" i="11"/>
  <c r="AI102" i="11"/>
  <c r="AJ102" i="11"/>
  <c r="AK102" i="11"/>
  <c r="AM102" i="11"/>
  <c r="AN102" i="11"/>
  <c r="AO102" i="11"/>
  <c r="AX102" i="11"/>
  <c r="AY102" i="11"/>
  <c r="A103" i="11"/>
  <c r="B103" i="11"/>
  <c r="C103" i="11"/>
  <c r="D103" i="11"/>
  <c r="E103" i="11"/>
  <c r="F103" i="11"/>
  <c r="S103" i="11"/>
  <c r="T103" i="11"/>
  <c r="U103" i="11"/>
  <c r="V103" i="11"/>
  <c r="W103" i="11"/>
  <c r="Y103" i="11"/>
  <c r="Z103" i="11"/>
  <c r="AB103" i="11"/>
  <c r="AF103" i="11"/>
  <c r="AG103" i="11"/>
  <c r="AI103" i="11"/>
  <c r="AJ103" i="11"/>
  <c r="AK103" i="11"/>
  <c r="AM103" i="11"/>
  <c r="AN103" i="11"/>
  <c r="AO103" i="11"/>
  <c r="AX103" i="11"/>
  <c r="AY103" i="11"/>
  <c r="A104" i="11"/>
  <c r="B104" i="11"/>
  <c r="C104" i="11"/>
  <c r="D104" i="11"/>
  <c r="E104" i="11"/>
  <c r="F104" i="11"/>
  <c r="S104" i="11"/>
  <c r="T104" i="11"/>
  <c r="U104" i="11"/>
  <c r="V104" i="11"/>
  <c r="W104" i="11"/>
  <c r="Y104" i="11"/>
  <c r="Z104" i="11"/>
  <c r="AB104" i="11"/>
  <c r="AF104" i="11"/>
  <c r="AG104" i="11"/>
  <c r="AI104" i="11"/>
  <c r="AJ104" i="11"/>
  <c r="AK104" i="11"/>
  <c r="AM104" i="11"/>
  <c r="AN104" i="11"/>
  <c r="AO104" i="11"/>
  <c r="AX104" i="11"/>
  <c r="AY104" i="11"/>
  <c r="A105" i="11"/>
  <c r="B105" i="11"/>
  <c r="C105" i="11"/>
  <c r="D105" i="11"/>
  <c r="E105" i="11"/>
  <c r="F105" i="11"/>
  <c r="S105" i="11"/>
  <c r="T105" i="11"/>
  <c r="U105" i="11"/>
  <c r="V105" i="11"/>
  <c r="W105" i="11"/>
  <c r="Y105" i="11"/>
  <c r="Z105" i="11"/>
  <c r="AB105" i="11"/>
  <c r="AF105" i="11"/>
  <c r="AG105" i="11"/>
  <c r="AI105" i="11"/>
  <c r="AJ105" i="11"/>
  <c r="AK105" i="11"/>
  <c r="AM105" i="11"/>
  <c r="AN105" i="11"/>
  <c r="AO105" i="11"/>
  <c r="AX105" i="11"/>
  <c r="AY105" i="11"/>
  <c r="A106" i="11"/>
  <c r="B106" i="11"/>
  <c r="C106" i="11"/>
  <c r="D106" i="11"/>
  <c r="E106" i="11"/>
  <c r="F106" i="11"/>
  <c r="S106" i="11"/>
  <c r="T106" i="11"/>
  <c r="U106" i="11"/>
  <c r="V106" i="11"/>
  <c r="W106" i="11"/>
  <c r="Y106" i="11"/>
  <c r="Z106" i="11"/>
  <c r="AB106" i="11"/>
  <c r="AF106" i="11"/>
  <c r="AG106" i="11"/>
  <c r="AI106" i="11"/>
  <c r="AJ106" i="11"/>
  <c r="AK106" i="11"/>
  <c r="AM106" i="11"/>
  <c r="AN106" i="11"/>
  <c r="AO106" i="11"/>
  <c r="AX106" i="11"/>
  <c r="AY106" i="11"/>
  <c r="A107" i="11"/>
  <c r="B107" i="11"/>
  <c r="C107" i="11"/>
  <c r="D107" i="11"/>
  <c r="E107" i="11"/>
  <c r="F107" i="11"/>
  <c r="S107" i="11"/>
  <c r="T107" i="11"/>
  <c r="U107" i="11"/>
  <c r="V107" i="11"/>
  <c r="W107" i="11"/>
  <c r="Y107" i="11"/>
  <c r="Z107" i="11"/>
  <c r="AB107" i="11"/>
  <c r="AF107" i="11"/>
  <c r="AG107" i="11"/>
  <c r="AI107" i="11"/>
  <c r="AJ107" i="11"/>
  <c r="AK107" i="11"/>
  <c r="AM107" i="11"/>
  <c r="AN107" i="11"/>
  <c r="AO107" i="11"/>
  <c r="AX107" i="11"/>
  <c r="AY107" i="11"/>
  <c r="H3" i="30"/>
  <c r="I6" i="30"/>
  <c r="B7" i="30"/>
  <c r="C7" i="30"/>
  <c r="D7" i="30"/>
  <c r="E7" i="30"/>
  <c r="B8" i="30"/>
  <c r="C8" i="30"/>
  <c r="E8" i="30"/>
  <c r="E9" i="30"/>
  <c r="E12" i="30"/>
  <c r="B13" i="30"/>
  <c r="C13" i="30"/>
  <c r="B14" i="30"/>
  <c r="C14" i="30"/>
  <c r="B15" i="30"/>
  <c r="C18" i="30"/>
  <c r="D18" i="30"/>
  <c r="C19" i="30"/>
  <c r="D19" i="30"/>
  <c r="C20" i="30"/>
  <c r="D20" i="30"/>
  <c r="C21" i="30"/>
  <c r="D21" i="30"/>
  <c r="C22" i="30"/>
  <c r="C23" i="30"/>
  <c r="H3" i="41"/>
  <c r="I6" i="41"/>
  <c r="B7" i="41"/>
  <c r="C7" i="41"/>
  <c r="D7" i="41"/>
  <c r="E7" i="41"/>
  <c r="B8" i="41"/>
  <c r="C8" i="41"/>
  <c r="E8" i="41"/>
  <c r="E9" i="41"/>
  <c r="E12" i="41"/>
  <c r="B13" i="41"/>
  <c r="C13" i="41"/>
  <c r="B14" i="41"/>
  <c r="C14" i="41"/>
  <c r="B15" i="41"/>
  <c r="C18" i="41"/>
  <c r="D18" i="41"/>
  <c r="C19" i="41"/>
  <c r="D19" i="41"/>
  <c r="C20" i="41"/>
  <c r="D20" i="41"/>
  <c r="C21" i="41"/>
  <c r="D21" i="41"/>
  <c r="C22" i="41"/>
  <c r="C23" i="41"/>
  <c r="H13" i="35"/>
  <c r="H23" i="35"/>
  <c r="T23" i="35"/>
  <c r="U23" i="35"/>
  <c r="V23" i="35"/>
  <c r="W23" i="35"/>
  <c r="X23" i="35"/>
  <c r="Y23" i="35"/>
  <c r="AA23" i="35"/>
  <c r="AB23" i="35"/>
  <c r="AD23" i="35"/>
  <c r="AF23" i="35"/>
  <c r="AG23" i="35"/>
  <c r="AH23" i="35"/>
  <c r="AI23" i="35"/>
  <c r="AJ23" i="35"/>
  <c r="AK23" i="35"/>
  <c r="AO23" i="35"/>
  <c r="AP23" i="35"/>
  <c r="AY23" i="35"/>
  <c r="AZ23" i="35"/>
  <c r="E24" i="35"/>
  <c r="G24" i="35"/>
  <c r="H24" i="35"/>
  <c r="T24" i="35"/>
  <c r="U24" i="35"/>
  <c r="V24" i="35"/>
  <c r="W24" i="35"/>
  <c r="X24" i="35"/>
  <c r="Y24" i="35"/>
  <c r="AA24" i="35"/>
  <c r="AB24" i="35"/>
  <c r="AD24" i="35"/>
  <c r="AF24" i="35"/>
  <c r="AG24" i="35"/>
  <c r="AH24" i="35"/>
  <c r="AI24" i="35"/>
  <c r="AJ24" i="35"/>
  <c r="AK24" i="35"/>
  <c r="AO24" i="35"/>
  <c r="AP24" i="35"/>
  <c r="AY24" i="35"/>
  <c r="AZ24" i="35"/>
  <c r="E25" i="35"/>
  <c r="G25" i="35"/>
  <c r="H25" i="35"/>
  <c r="T25" i="35"/>
  <c r="U25" i="35"/>
  <c r="V25" i="35"/>
  <c r="W25" i="35"/>
  <c r="X25" i="35"/>
  <c r="Y25" i="35"/>
  <c r="AA25" i="35"/>
  <c r="AB25" i="35"/>
  <c r="AD25" i="35"/>
  <c r="AF25" i="35"/>
  <c r="AG25" i="35"/>
  <c r="AH25" i="35"/>
  <c r="AI25" i="35"/>
  <c r="AJ25" i="35"/>
  <c r="AK25" i="35"/>
  <c r="AO25" i="35"/>
  <c r="AP25" i="35"/>
  <c r="AY25" i="35"/>
  <c r="AZ25" i="35"/>
  <c r="E26" i="35"/>
  <c r="G26" i="35"/>
  <c r="H26" i="35"/>
  <c r="T26" i="35"/>
  <c r="U26" i="35"/>
  <c r="V26" i="35"/>
  <c r="W26" i="35"/>
  <c r="X26" i="35"/>
  <c r="Y26" i="35"/>
  <c r="AA26" i="35"/>
  <c r="AB26" i="35"/>
  <c r="AD26" i="35"/>
  <c r="AF26" i="35"/>
  <c r="AG26" i="35"/>
  <c r="AH26" i="35"/>
  <c r="AI26" i="35"/>
  <c r="AJ26" i="35"/>
  <c r="AK26" i="35"/>
  <c r="AO26" i="35"/>
  <c r="AP26" i="35"/>
  <c r="AY26" i="35"/>
  <c r="AZ26" i="35"/>
  <c r="E27" i="35"/>
  <c r="G27" i="35"/>
  <c r="H27" i="35"/>
  <c r="T27" i="35"/>
  <c r="U27" i="35"/>
  <c r="V27" i="35"/>
  <c r="W27" i="35"/>
  <c r="X27" i="35"/>
  <c r="Y27" i="35"/>
  <c r="AA27" i="35"/>
  <c r="AB27" i="35"/>
  <c r="AD27" i="35"/>
  <c r="AF27" i="35"/>
  <c r="AG27" i="35"/>
  <c r="AH27" i="35"/>
  <c r="AI27" i="35"/>
  <c r="AJ27" i="35"/>
  <c r="AK27" i="35"/>
  <c r="AO27" i="35"/>
  <c r="AP27" i="35"/>
  <c r="AY27" i="35"/>
  <c r="AZ27" i="35"/>
  <c r="E28" i="35"/>
  <c r="G28" i="35"/>
  <c r="H28" i="35"/>
  <c r="T28" i="35"/>
  <c r="U28" i="35"/>
  <c r="V28" i="35"/>
  <c r="W28" i="35"/>
  <c r="X28" i="35"/>
  <c r="Y28" i="35"/>
  <c r="AA28" i="35"/>
  <c r="AB28" i="35"/>
  <c r="AD28" i="35"/>
  <c r="AF28" i="35"/>
  <c r="AG28" i="35"/>
  <c r="AH28" i="35"/>
  <c r="AI28" i="35"/>
  <c r="AJ28" i="35"/>
  <c r="AK28" i="35"/>
  <c r="AO28" i="35"/>
  <c r="AP28" i="35"/>
  <c r="AY28" i="35"/>
  <c r="AZ28" i="35"/>
  <c r="E29" i="35"/>
  <c r="G29" i="35"/>
  <c r="H29" i="35"/>
  <c r="T29" i="35"/>
  <c r="U29" i="35"/>
  <c r="V29" i="35"/>
  <c r="W29" i="35"/>
  <c r="X29" i="35"/>
  <c r="Y29" i="35"/>
  <c r="AA29" i="35"/>
  <c r="AB29" i="35"/>
  <c r="AD29" i="35"/>
  <c r="AF29" i="35"/>
  <c r="AG29" i="35"/>
  <c r="AH29" i="35"/>
  <c r="AI29" i="35"/>
  <c r="AJ29" i="35"/>
  <c r="AK29" i="35"/>
  <c r="AO29" i="35"/>
  <c r="AP29" i="35"/>
  <c r="AY29" i="35"/>
  <c r="AZ29" i="35"/>
  <c r="E30" i="35"/>
  <c r="G30" i="35"/>
  <c r="H30" i="35"/>
  <c r="T30" i="35"/>
  <c r="U30" i="35"/>
  <c r="V30" i="35"/>
  <c r="W30" i="35"/>
  <c r="X30" i="35"/>
  <c r="Y30" i="35"/>
  <c r="AA30" i="35"/>
  <c r="AB30" i="35"/>
  <c r="AD30" i="35"/>
  <c r="AF30" i="35"/>
  <c r="AG30" i="35"/>
  <c r="AH30" i="35"/>
  <c r="AI30" i="35"/>
  <c r="AJ30" i="35"/>
  <c r="AK30" i="35"/>
  <c r="AO30" i="35"/>
  <c r="AP30" i="35"/>
  <c r="AY30" i="35"/>
  <c r="AZ30" i="35"/>
  <c r="E31" i="35"/>
  <c r="G31" i="35"/>
  <c r="H31" i="35"/>
  <c r="T31" i="35"/>
  <c r="U31" i="35"/>
  <c r="V31" i="35"/>
  <c r="W31" i="35"/>
  <c r="X31" i="35"/>
  <c r="Y31" i="35"/>
  <c r="AA31" i="35"/>
  <c r="AB31" i="35"/>
  <c r="AD31" i="35"/>
  <c r="AF31" i="35"/>
  <c r="AG31" i="35"/>
  <c r="AH31" i="35"/>
  <c r="AI31" i="35"/>
  <c r="AJ31" i="35"/>
  <c r="AK31" i="35"/>
  <c r="AO31" i="35"/>
  <c r="AP31" i="35"/>
  <c r="AY31" i="35"/>
  <c r="AZ31" i="35"/>
  <c r="E32" i="35"/>
  <c r="G32" i="35"/>
  <c r="E33" i="35"/>
  <c r="G33" i="35"/>
  <c r="E34" i="35"/>
  <c r="G34" i="35"/>
  <c r="E35" i="35"/>
  <c r="G35" i="35"/>
  <c r="E36" i="35"/>
  <c r="G36" i="35"/>
  <c r="E37" i="35"/>
  <c r="G37" i="35"/>
  <c r="E38" i="35"/>
  <c r="G38" i="35"/>
  <c r="E39" i="35"/>
  <c r="G39" i="35"/>
  <c r="E40" i="35"/>
  <c r="G40" i="35"/>
  <c r="E41" i="35"/>
  <c r="G41" i="35"/>
  <c r="E42" i="35"/>
  <c r="G42" i="35"/>
  <c r="E43" i="35"/>
  <c r="G43" i="35"/>
  <c r="X44" i="35"/>
  <c r="AN44" i="35"/>
  <c r="H57" i="35"/>
  <c r="H58" i="35"/>
  <c r="H59" i="35"/>
  <c r="H60" i="35"/>
  <c r="H61" i="35"/>
  <c r="H62" i="35"/>
  <c r="H63" i="35"/>
  <c r="H64" i="35"/>
  <c r="H65" i="35"/>
  <c r="E5" i="17"/>
  <c r="B10" i="17"/>
  <c r="B12" i="17"/>
  <c r="A25" i="17"/>
  <c r="J28" i="17"/>
  <c r="L28" i="17"/>
  <c r="M28" i="17"/>
  <c r="P28" i="17"/>
  <c r="Q28" i="17"/>
  <c r="R28" i="17" a="1"/>
  <c r="R28" i="17"/>
  <c r="B29" i="17"/>
  <c r="I29" i="17"/>
  <c r="J29" i="17"/>
  <c r="L29" i="17"/>
  <c r="M29" i="17"/>
  <c r="I30" i="17"/>
  <c r="J30" i="17"/>
  <c r="L30" i="17"/>
  <c r="M30" i="17"/>
  <c r="I31" i="17"/>
  <c r="J31" i="17"/>
  <c r="L31" i="17"/>
  <c r="M31" i="17"/>
  <c r="I32" i="17"/>
  <c r="J32" i="17"/>
  <c r="L32" i="17"/>
  <c r="M32" i="17"/>
  <c r="I33" i="17"/>
  <c r="J33" i="17"/>
  <c r="L33" i="17"/>
  <c r="M33" i="17"/>
  <c r="I34" i="17"/>
  <c r="J34" i="17"/>
  <c r="L34" i="17"/>
  <c r="M34" i="17"/>
  <c r="I35" i="17"/>
  <c r="J35" i="17"/>
  <c r="L35" i="17"/>
  <c r="M35" i="17"/>
  <c r="I36" i="17"/>
  <c r="J36" i="17"/>
  <c r="L36" i="17"/>
  <c r="M36" i="17"/>
  <c r="I37" i="17"/>
  <c r="J37" i="17"/>
  <c r="L37" i="17"/>
  <c r="M37" i="17"/>
  <c r="I38" i="17"/>
  <c r="J38" i="17"/>
  <c r="L38" i="17"/>
  <c r="M38" i="17"/>
  <c r="I39" i="17"/>
  <c r="J39" i="17"/>
  <c r="L39" i="17"/>
  <c r="M39" i="17"/>
  <c r="I40" i="17"/>
  <c r="J40" i="17"/>
  <c r="L40" i="17"/>
  <c r="M40" i="17"/>
  <c r="I41" i="17"/>
  <c r="J41" i="17"/>
  <c r="L41" i="17"/>
  <c r="M41" i="17"/>
  <c r="I42" i="17"/>
  <c r="J42" i="17"/>
  <c r="L42" i="17"/>
  <c r="M42" i="17"/>
  <c r="I43" i="17"/>
  <c r="J43" i="17"/>
  <c r="L43" i="17"/>
  <c r="M43" i="17"/>
  <c r="I44" i="17"/>
  <c r="J44" i="17"/>
  <c r="L44" i="17"/>
  <c r="M44" i="17"/>
  <c r="I45" i="17"/>
  <c r="J45" i="17"/>
  <c r="L45" i="17"/>
  <c r="M45" i="17"/>
  <c r="I46" i="17"/>
  <c r="J46" i="17"/>
  <c r="L46" i="17"/>
  <c r="M46" i="17"/>
  <c r="I47" i="17"/>
  <c r="J47" i="17"/>
  <c r="L47" i="17"/>
  <c r="M47" i="17"/>
  <c r="I48" i="17"/>
  <c r="J48" i="17"/>
  <c r="L48" i="17"/>
  <c r="M48" i="17"/>
  <c r="I49" i="17"/>
  <c r="J49" i="17"/>
  <c r="L49" i="17"/>
  <c r="M49" i="17"/>
  <c r="I50" i="17"/>
  <c r="J50" i="17"/>
  <c r="L50" i="17"/>
  <c r="M50" i="17"/>
  <c r="I51" i="17"/>
  <c r="J51" i="17"/>
  <c r="L51" i="17"/>
  <c r="M51" i="17"/>
  <c r="I52" i="17"/>
  <c r="J52" i="17"/>
  <c r="L52" i="17"/>
  <c r="M52" i="17"/>
  <c r="I53" i="17"/>
  <c r="J53" i="17"/>
  <c r="L53" i="17"/>
  <c r="M53" i="17"/>
  <c r="I54" i="17"/>
  <c r="J54" i="17"/>
  <c r="L54" i="17"/>
  <c r="M54" i="17"/>
  <c r="I55" i="17"/>
  <c r="J55" i="17"/>
  <c r="L55" i="17"/>
  <c r="M55" i="17"/>
  <c r="I56" i="17"/>
  <c r="J56" i="17"/>
  <c r="L56" i="17"/>
  <c r="M56" i="17"/>
  <c r="I57" i="17"/>
  <c r="J57" i="17"/>
  <c r="L57" i="17"/>
  <c r="M57" i="17"/>
  <c r="I58" i="17"/>
  <c r="J58" i="17"/>
  <c r="L58" i="17"/>
  <c r="M58" i="17"/>
  <c r="I59" i="17"/>
  <c r="J59" i="17"/>
  <c r="L59" i="17"/>
  <c r="M59" i="17"/>
  <c r="I60" i="17"/>
  <c r="J60" i="17"/>
  <c r="L60" i="17"/>
  <c r="M60" i="17"/>
  <c r="I61" i="17"/>
  <c r="J61" i="17"/>
  <c r="L61" i="17"/>
  <c r="M61" i="17"/>
  <c r="I62" i="17"/>
  <c r="J62" i="17"/>
  <c r="L62" i="17"/>
  <c r="M62" i="17"/>
  <c r="I63" i="17"/>
  <c r="J63" i="17"/>
  <c r="L63" i="17"/>
  <c r="M63" i="17"/>
  <c r="I64" i="17"/>
  <c r="J64" i="17"/>
  <c r="L64" i="17"/>
  <c r="M64" i="17"/>
  <c r="I65" i="17"/>
  <c r="J65" i="17"/>
  <c r="L65" i="17"/>
  <c r="M65" i="17"/>
  <c r="I66" i="17"/>
  <c r="J66" i="17"/>
  <c r="L66" i="17"/>
  <c r="M66" i="17"/>
  <c r="I67" i="17"/>
  <c r="J67" i="17"/>
  <c r="L67" i="17"/>
  <c r="M67" i="17"/>
  <c r="I68" i="17"/>
  <c r="J68" i="17"/>
  <c r="L68" i="17"/>
  <c r="M68" i="17"/>
  <c r="I69" i="17"/>
  <c r="J69" i="17"/>
  <c r="L69" i="17"/>
  <c r="M69" i="17"/>
  <c r="I70" i="17"/>
  <c r="J70" i="17"/>
  <c r="L70" i="17"/>
  <c r="M70" i="17"/>
  <c r="I71" i="17"/>
  <c r="J71" i="17"/>
  <c r="L71" i="17"/>
  <c r="M71" i="17"/>
  <c r="I72" i="17"/>
  <c r="J72" i="17"/>
  <c r="L72" i="17"/>
  <c r="M72" i="17"/>
  <c r="I73" i="17"/>
  <c r="J73" i="17"/>
  <c r="L73" i="17"/>
  <c r="M73" i="17"/>
  <c r="I74" i="17"/>
  <c r="J74" i="17"/>
  <c r="L74" i="17"/>
  <c r="M74" i="17"/>
  <c r="I75" i="17"/>
  <c r="J75" i="17"/>
  <c r="L75" i="17"/>
  <c r="M75" i="17"/>
  <c r="I76" i="17"/>
  <c r="J76" i="17"/>
  <c r="L76" i="17"/>
  <c r="M76" i="17"/>
  <c r="I77" i="17"/>
  <c r="J77" i="17"/>
  <c r="L77" i="17"/>
  <c r="M77" i="17"/>
  <c r="I78" i="17"/>
  <c r="J78" i="17"/>
  <c r="L78" i="17"/>
  <c r="M78" i="17"/>
  <c r="I79" i="17"/>
  <c r="J79" i="17"/>
  <c r="L79" i="17"/>
  <c r="M79" i="17"/>
  <c r="I80" i="17"/>
  <c r="J80" i="17"/>
  <c r="L80" i="17"/>
  <c r="M80" i="17"/>
  <c r="I81" i="17"/>
  <c r="J81" i="17"/>
  <c r="L81" i="17"/>
  <c r="M81" i="17"/>
  <c r="I82" i="17"/>
  <c r="J82" i="17"/>
  <c r="L82" i="17"/>
  <c r="M82" i="17"/>
  <c r="I83" i="17"/>
  <c r="J83" i="17"/>
  <c r="L83" i="17"/>
  <c r="M83" i="17"/>
  <c r="I84" i="17"/>
  <c r="J84" i="17"/>
  <c r="L84" i="17"/>
  <c r="M84" i="17"/>
  <c r="I85" i="17"/>
  <c r="J85" i="17"/>
  <c r="L85" i="17"/>
  <c r="M85" i="17"/>
  <c r="I86" i="17"/>
  <c r="J86" i="17"/>
  <c r="L86" i="17"/>
  <c r="M86" i="17"/>
  <c r="I87" i="17"/>
  <c r="J87" i="17"/>
  <c r="L87" i="17"/>
  <c r="M87" i="17"/>
  <c r="I88" i="17"/>
  <c r="J88" i="17"/>
  <c r="L88" i="17"/>
  <c r="M88" i="17"/>
  <c r="I89" i="17"/>
  <c r="J89" i="17"/>
  <c r="L89" i="17"/>
  <c r="M89" i="17"/>
  <c r="I90" i="17"/>
  <c r="J90" i="17"/>
  <c r="L90" i="17"/>
  <c r="M90" i="17"/>
  <c r="I91" i="17"/>
  <c r="J91" i="17"/>
  <c r="L91" i="17"/>
  <c r="M91" i="17"/>
  <c r="I92" i="17"/>
  <c r="J92" i="17"/>
  <c r="L92" i="17"/>
  <c r="M92" i="17"/>
  <c r="I93" i="17"/>
  <c r="J93" i="17"/>
  <c r="L93" i="17"/>
  <c r="M93" i="17"/>
  <c r="I94" i="17"/>
  <c r="J94" i="17"/>
  <c r="L94" i="17"/>
  <c r="M94" i="17"/>
  <c r="I95" i="17"/>
  <c r="J95" i="17"/>
  <c r="L95" i="17"/>
  <c r="M95" i="17"/>
  <c r="I96" i="17"/>
  <c r="J96" i="17"/>
  <c r="L96" i="17"/>
  <c r="M96" i="17"/>
  <c r="I97" i="17"/>
  <c r="J97" i="17"/>
  <c r="L97" i="17"/>
  <c r="M97" i="17"/>
  <c r="I98" i="17"/>
  <c r="J98" i="17"/>
  <c r="L98" i="17"/>
  <c r="M98" i="17"/>
  <c r="I99" i="17"/>
  <c r="J99" i="17"/>
  <c r="L99" i="17"/>
  <c r="M99" i="17"/>
  <c r="I100" i="17"/>
  <c r="J100" i="17"/>
  <c r="L100" i="17"/>
  <c r="M100" i="17"/>
  <c r="I101" i="17"/>
  <c r="J101" i="17"/>
  <c r="L101" i="17"/>
  <c r="M101" i="17"/>
  <c r="I102" i="17"/>
  <c r="J102" i="17"/>
  <c r="L102" i="17"/>
  <c r="M102" i="17"/>
  <c r="I103" i="17"/>
  <c r="J103" i="17"/>
  <c r="L103" i="17"/>
  <c r="M103" i="17"/>
  <c r="I104" i="17"/>
  <c r="J104" i="17"/>
  <c r="L104" i="17"/>
  <c r="M104" i="17"/>
  <c r="I105" i="17"/>
  <c r="J105" i="17"/>
  <c r="L105" i="17"/>
  <c r="M105" i="17"/>
  <c r="I106" i="17"/>
  <c r="J106" i="17"/>
  <c r="L106" i="17"/>
  <c r="M106" i="17"/>
  <c r="I107" i="17"/>
  <c r="J107" i="17"/>
  <c r="L107" i="17"/>
  <c r="M107" i="17"/>
  <c r="I108" i="17"/>
  <c r="J108" i="17"/>
  <c r="L108" i="17"/>
  <c r="M108" i="17"/>
  <c r="I109" i="17"/>
  <c r="J109" i="17"/>
  <c r="L109" i="17"/>
  <c r="M109" i="17"/>
  <c r="I110" i="17"/>
  <c r="J110" i="17"/>
  <c r="L110" i="17"/>
  <c r="M110" i="17"/>
  <c r="I111" i="17"/>
  <c r="J111" i="17"/>
  <c r="L111" i="17"/>
  <c r="M111" i="17"/>
  <c r="I112" i="17"/>
  <c r="J112" i="17"/>
  <c r="L112" i="17"/>
  <c r="M112" i="17"/>
  <c r="I113" i="17"/>
  <c r="J113" i="17"/>
  <c r="L113" i="17"/>
  <c r="M113" i="17"/>
  <c r="I114" i="17"/>
  <c r="J114" i="17"/>
  <c r="L114" i="17"/>
  <c r="M114" i="17"/>
  <c r="I115" i="17"/>
  <c r="J115" i="17"/>
  <c r="L115" i="17"/>
  <c r="M115" i="17"/>
  <c r="I116" i="17"/>
  <c r="J116" i="17"/>
  <c r="L116" i="17"/>
  <c r="M116" i="17"/>
  <c r="I117" i="17"/>
  <c r="J117" i="17"/>
  <c r="L117" i="17"/>
  <c r="M117" i="17"/>
  <c r="I118" i="17"/>
  <c r="J118" i="17"/>
  <c r="L118" i="17"/>
  <c r="M118" i="17"/>
  <c r="I119" i="17"/>
  <c r="J119" i="17"/>
  <c r="L119" i="17"/>
  <c r="M119" i="17"/>
  <c r="I120" i="17"/>
  <c r="J120" i="17"/>
  <c r="L120" i="17"/>
  <c r="M120" i="17"/>
  <c r="I121" i="17"/>
  <c r="J121" i="17"/>
  <c r="L121" i="17"/>
  <c r="M121" i="17"/>
  <c r="I122" i="17"/>
  <c r="J122" i="17"/>
  <c r="L122" i="17"/>
  <c r="M122" i="17"/>
  <c r="I123" i="17"/>
  <c r="J123" i="17"/>
  <c r="L123" i="17"/>
  <c r="M123" i="17"/>
  <c r="I124" i="17"/>
  <c r="J124" i="17"/>
  <c r="L124" i="17"/>
  <c r="M124" i="17"/>
  <c r="I125" i="17"/>
  <c r="J125" i="17"/>
  <c r="L125" i="17"/>
  <c r="M125" i="17"/>
  <c r="I126" i="17"/>
  <c r="J126" i="17"/>
  <c r="L126" i="17"/>
  <c r="M126" i="17"/>
  <c r="I127" i="17"/>
  <c r="J127" i="17"/>
  <c r="L127" i="17"/>
  <c r="M127" i="17"/>
  <c r="I128" i="17"/>
  <c r="J128" i="17"/>
  <c r="L128" i="17"/>
  <c r="M128" i="17"/>
  <c r="G290" i="17"/>
  <c r="H290" i="17"/>
  <c r="G291" i="17"/>
  <c r="H291" i="17"/>
  <c r="I291" i="17"/>
  <c r="J291" i="17"/>
  <c r="G292" i="17"/>
  <c r="H292" i="17"/>
  <c r="I292" i="17"/>
  <c r="J292" i="17"/>
  <c r="G293" i="17"/>
  <c r="H293" i="17"/>
  <c r="I293" i="17"/>
  <c r="J293" i="17"/>
  <c r="G294" i="17"/>
  <c r="H294" i="17"/>
  <c r="I294" i="17"/>
  <c r="J294" i="17"/>
  <c r="G295" i="17"/>
  <c r="H295" i="17"/>
  <c r="I295" i="17"/>
  <c r="J295" i="17"/>
  <c r="G296" i="17"/>
  <c r="H296" i="17"/>
  <c r="I296" i="17"/>
  <c r="J296" i="17"/>
  <c r="G297" i="17"/>
  <c r="H297" i="17"/>
  <c r="I297" i="17"/>
  <c r="J297" i="17"/>
  <c r="G298" i="17"/>
  <c r="H298" i="17"/>
  <c r="I298" i="17"/>
  <c r="J298" i="17"/>
  <c r="G299" i="17"/>
  <c r="H299" i="17"/>
  <c r="I299" i="17"/>
  <c r="J299" i="17"/>
  <c r="G300" i="17"/>
  <c r="H300" i="17"/>
  <c r="I300" i="17"/>
  <c r="J300" i="17"/>
  <c r="G301" i="17"/>
  <c r="H301" i="17"/>
  <c r="I301" i="17"/>
  <c r="J301" i="17"/>
  <c r="G302" i="17"/>
  <c r="H302" i="17"/>
  <c r="I302" i="17"/>
  <c r="J302" i="17"/>
  <c r="G303" i="17"/>
  <c r="H303" i="17"/>
  <c r="I303" i="17"/>
  <c r="J303" i="17"/>
  <c r="G304" i="17"/>
  <c r="H304" i="17"/>
  <c r="I304" i="17"/>
  <c r="J304" i="17"/>
  <c r="G305" i="17"/>
  <c r="H305" i="17"/>
  <c r="I305" i="17"/>
  <c r="J305" i="17"/>
  <c r="G306" i="17"/>
  <c r="H306" i="17"/>
  <c r="I306" i="17"/>
  <c r="J306" i="17"/>
  <c r="G307" i="17"/>
  <c r="H307" i="17"/>
  <c r="I307" i="17"/>
  <c r="J307" i="17"/>
  <c r="G308" i="17"/>
  <c r="H308" i="17"/>
  <c r="I308" i="17"/>
  <c r="J308" i="17"/>
  <c r="G309" i="17"/>
  <c r="H309" i="17"/>
  <c r="I309" i="17"/>
  <c r="J309" i="17"/>
  <c r="G310" i="17"/>
  <c r="H310" i="17"/>
  <c r="I310" i="17"/>
  <c r="J310" i="17"/>
  <c r="G311" i="17"/>
  <c r="H311" i="17"/>
  <c r="I311" i="17"/>
  <c r="J311" i="17"/>
  <c r="G312" i="17"/>
  <c r="H312" i="17"/>
  <c r="I312" i="17"/>
  <c r="J312" i="17"/>
  <c r="G313" i="17"/>
  <c r="H313" i="17"/>
  <c r="I313" i="17"/>
  <c r="J313" i="17"/>
  <c r="G314" i="17"/>
  <c r="H314" i="17"/>
  <c r="I314" i="17"/>
  <c r="J314" i="17"/>
  <c r="G315" i="17"/>
  <c r="H315" i="17"/>
  <c r="I315" i="17"/>
  <c r="J315" i="17"/>
  <c r="G316" i="17"/>
  <c r="H316" i="17"/>
  <c r="I316" i="17"/>
  <c r="J316" i="17"/>
  <c r="I318" i="17"/>
  <c r="L318" i="17"/>
  <c r="I322" i="17"/>
  <c r="L322" i="17"/>
  <c r="B10" i="48"/>
  <c r="B12" i="48"/>
  <c r="D23" i="48"/>
  <c r="S23" i="48"/>
  <c r="T23" i="48"/>
  <c r="U23" i="48"/>
  <c r="V23" i="48"/>
  <c r="W23" i="48"/>
  <c r="Y23" i="48"/>
  <c r="Z23" i="48"/>
  <c r="AB23" i="48"/>
  <c r="AF23" i="48"/>
  <c r="AG23" i="48"/>
  <c r="AI23" i="48"/>
  <c r="AJ23" i="48"/>
  <c r="AK23" i="48"/>
  <c r="AM23" i="48"/>
  <c r="AN23" i="48"/>
  <c r="AO23" i="48"/>
  <c r="AX23" i="48"/>
  <c r="AY23" i="48"/>
  <c r="A24" i="48"/>
  <c r="B24" i="48"/>
  <c r="C24" i="48"/>
  <c r="D24" i="48"/>
  <c r="E24" i="48"/>
  <c r="F24" i="48"/>
  <c r="S24" i="48"/>
  <c r="T24" i="48"/>
  <c r="U24" i="48"/>
  <c r="V24" i="48"/>
  <c r="W24" i="48"/>
  <c r="Y24" i="48"/>
  <c r="Z24" i="48"/>
  <c r="AB24" i="48"/>
  <c r="AF24" i="48"/>
  <c r="AG24" i="48"/>
  <c r="AI24" i="48"/>
  <c r="AJ24" i="48"/>
  <c r="AK24" i="48"/>
  <c r="AM24" i="48"/>
  <c r="AN24" i="48"/>
  <c r="AO24" i="48"/>
  <c r="AX24" i="48"/>
  <c r="AY24" i="48"/>
  <c r="A25" i="48"/>
  <c r="B25" i="48"/>
  <c r="C25" i="48"/>
  <c r="D25" i="48"/>
  <c r="E25" i="48"/>
  <c r="F25" i="48"/>
  <c r="S25" i="48"/>
  <c r="T25" i="48"/>
  <c r="U25" i="48"/>
  <c r="V25" i="48"/>
  <c r="W25" i="48"/>
  <c r="Y25" i="48"/>
  <c r="Z25" i="48"/>
  <c r="AB25" i="48"/>
  <c r="AF25" i="48"/>
  <c r="AG25" i="48"/>
  <c r="AI25" i="48"/>
  <c r="AJ25" i="48"/>
  <c r="AK25" i="48"/>
  <c r="AM25" i="48"/>
  <c r="AN25" i="48"/>
  <c r="AO25" i="48"/>
  <c r="AX25" i="48"/>
  <c r="AY25" i="48"/>
  <c r="A26" i="48"/>
  <c r="B26" i="48"/>
  <c r="C26" i="48"/>
  <c r="D26" i="48"/>
  <c r="E26" i="48"/>
  <c r="F26" i="48"/>
  <c r="S26" i="48"/>
  <c r="T26" i="48"/>
  <c r="U26" i="48"/>
  <c r="V26" i="48"/>
  <c r="W26" i="48"/>
  <c r="Y26" i="48"/>
  <c r="Z26" i="48"/>
  <c r="AB26" i="48"/>
  <c r="AF26" i="48"/>
  <c r="AG26" i="48"/>
  <c r="AI26" i="48"/>
  <c r="AJ26" i="48"/>
  <c r="AK26" i="48"/>
  <c r="AM26" i="48"/>
  <c r="AN26" i="48"/>
  <c r="AO26" i="48"/>
  <c r="AX26" i="48"/>
  <c r="AY26" i="48"/>
  <c r="A27" i="48"/>
  <c r="B27" i="48"/>
  <c r="C27" i="48"/>
  <c r="D27" i="48"/>
  <c r="E27" i="48"/>
  <c r="F27" i="48"/>
  <c r="S27" i="48"/>
  <c r="T27" i="48"/>
  <c r="U27" i="48"/>
  <c r="V27" i="48"/>
  <c r="W27" i="48"/>
  <c r="Y27" i="48"/>
  <c r="Z27" i="48"/>
  <c r="AB27" i="48"/>
  <c r="AF27" i="48"/>
  <c r="AG27" i="48"/>
  <c r="AI27" i="48"/>
  <c r="AJ27" i="48"/>
  <c r="AK27" i="48"/>
  <c r="AM27" i="48"/>
  <c r="AN27" i="48"/>
  <c r="AO27" i="48"/>
  <c r="AX27" i="48"/>
  <c r="AY27" i="48"/>
  <c r="A28" i="48"/>
  <c r="B28" i="48"/>
  <c r="C28" i="48"/>
  <c r="D28" i="48"/>
  <c r="E28" i="48"/>
  <c r="F28" i="48"/>
  <c r="S28" i="48"/>
  <c r="T28" i="48"/>
  <c r="U28" i="48"/>
  <c r="V28" i="48"/>
  <c r="W28" i="48"/>
  <c r="Y28" i="48"/>
  <c r="Z28" i="48"/>
  <c r="AB28" i="48"/>
  <c r="AF28" i="48"/>
  <c r="AG28" i="48"/>
  <c r="AI28" i="48"/>
  <c r="AJ28" i="48"/>
  <c r="AK28" i="48"/>
  <c r="AM28" i="48"/>
  <c r="AN28" i="48"/>
  <c r="AO28" i="48"/>
  <c r="AX28" i="48"/>
  <c r="AY28" i="48"/>
  <c r="A29" i="48"/>
  <c r="B29" i="48"/>
  <c r="C29" i="48"/>
  <c r="D29" i="48"/>
  <c r="E29" i="48"/>
  <c r="F29" i="48"/>
  <c r="S29" i="48"/>
  <c r="T29" i="48"/>
  <c r="U29" i="48"/>
  <c r="V29" i="48"/>
  <c r="W29" i="48"/>
  <c r="Y29" i="48"/>
  <c r="Z29" i="48"/>
  <c r="AB29" i="48"/>
  <c r="AF29" i="48"/>
  <c r="AG29" i="48"/>
  <c r="AI29" i="48"/>
  <c r="AJ29" i="48"/>
  <c r="AK29" i="48"/>
  <c r="AM29" i="48"/>
  <c r="AN29" i="48"/>
  <c r="AO29" i="48"/>
  <c r="AX29" i="48"/>
  <c r="AY29" i="48"/>
  <c r="A30" i="48"/>
  <c r="B30" i="48"/>
  <c r="C30" i="48"/>
  <c r="D30" i="48"/>
  <c r="E30" i="48"/>
  <c r="F30" i="48"/>
  <c r="S30" i="48"/>
  <c r="T30" i="48"/>
  <c r="U30" i="48"/>
  <c r="V30" i="48"/>
  <c r="W30" i="48"/>
  <c r="Y30" i="48"/>
  <c r="Z30" i="48"/>
  <c r="AB30" i="48"/>
  <c r="AF30" i="48"/>
  <c r="AG30" i="48"/>
  <c r="AI30" i="48"/>
  <c r="AJ30" i="48"/>
  <c r="AK30" i="48"/>
  <c r="AM30" i="48"/>
  <c r="AN30" i="48"/>
  <c r="AO30" i="48"/>
  <c r="AX30" i="48"/>
  <c r="AY30" i="48"/>
  <c r="A31" i="48"/>
  <c r="B31" i="48"/>
  <c r="C31" i="48"/>
  <c r="D31" i="48"/>
  <c r="E31" i="48"/>
  <c r="F31" i="48"/>
  <c r="S31" i="48"/>
  <c r="T31" i="48"/>
  <c r="U31" i="48"/>
  <c r="V31" i="48"/>
  <c r="W31" i="48"/>
  <c r="Y31" i="48"/>
  <c r="Z31" i="48"/>
  <c r="AB31" i="48"/>
  <c r="AF31" i="48"/>
  <c r="AG31" i="48"/>
  <c r="AI31" i="48"/>
  <c r="AJ31" i="48"/>
  <c r="AK31" i="48"/>
  <c r="AM31" i="48"/>
  <c r="AN31" i="48"/>
  <c r="AO31" i="48"/>
  <c r="AX31" i="48"/>
  <c r="AY31" i="48"/>
  <c r="A32" i="48"/>
  <c r="B32" i="48"/>
  <c r="C32" i="48"/>
  <c r="D32" i="48"/>
  <c r="E32" i="48"/>
  <c r="F32" i="48"/>
  <c r="S32" i="48"/>
  <c r="T32" i="48"/>
  <c r="U32" i="48"/>
  <c r="V32" i="48"/>
  <c r="W32" i="48"/>
  <c r="Y32" i="48"/>
  <c r="Z32" i="48"/>
  <c r="AB32" i="48"/>
  <c r="AF32" i="48"/>
  <c r="AG32" i="48"/>
  <c r="AI32" i="48"/>
  <c r="AJ32" i="48"/>
  <c r="AK32" i="48"/>
  <c r="AM32" i="48"/>
  <c r="AN32" i="48"/>
  <c r="AO32" i="48"/>
  <c r="AX32" i="48"/>
  <c r="AY32" i="48"/>
  <c r="A33" i="48"/>
  <c r="B33" i="48"/>
  <c r="C33" i="48"/>
  <c r="D33" i="48"/>
  <c r="E33" i="48"/>
  <c r="F33" i="48"/>
  <c r="S33" i="48"/>
  <c r="T33" i="48"/>
  <c r="U33" i="48"/>
  <c r="V33" i="48"/>
  <c r="W33" i="48"/>
  <c r="Y33" i="48"/>
  <c r="Z33" i="48"/>
  <c r="AB33" i="48"/>
  <c r="AF33" i="48"/>
  <c r="AG33" i="48"/>
  <c r="AI33" i="48"/>
  <c r="AJ33" i="48"/>
  <c r="AK33" i="48"/>
  <c r="AM33" i="48"/>
  <c r="AN33" i="48"/>
  <c r="AO33" i="48"/>
  <c r="AX33" i="48"/>
  <c r="AY33" i="48"/>
  <c r="A34" i="48"/>
  <c r="B34" i="48"/>
  <c r="C34" i="48"/>
  <c r="D34" i="48"/>
  <c r="E34" i="48"/>
  <c r="F34" i="48"/>
  <c r="S34" i="48"/>
  <c r="T34" i="48"/>
  <c r="U34" i="48"/>
  <c r="V34" i="48"/>
  <c r="W34" i="48"/>
  <c r="Y34" i="48"/>
  <c r="Z34" i="48"/>
  <c r="AB34" i="48"/>
  <c r="AF34" i="48"/>
  <c r="AG34" i="48"/>
  <c r="AI34" i="48"/>
  <c r="AJ34" i="48"/>
  <c r="AK34" i="48"/>
  <c r="AM34" i="48"/>
  <c r="AN34" i="48"/>
  <c r="AO34" i="48"/>
  <c r="AX34" i="48"/>
  <c r="AY34" i="48"/>
  <c r="A35" i="48"/>
  <c r="B35" i="48"/>
  <c r="C35" i="48"/>
  <c r="D35" i="48"/>
  <c r="E35" i="48"/>
  <c r="F35" i="48"/>
  <c r="S35" i="48"/>
  <c r="T35" i="48"/>
  <c r="U35" i="48"/>
  <c r="V35" i="48"/>
  <c r="W35" i="48"/>
  <c r="Y35" i="48"/>
  <c r="Z35" i="48"/>
  <c r="AB35" i="48"/>
  <c r="AF35" i="48"/>
  <c r="AG35" i="48"/>
  <c r="AI35" i="48"/>
  <c r="AJ35" i="48"/>
  <c r="AK35" i="48"/>
  <c r="AM35" i="48"/>
  <c r="AN35" i="48"/>
  <c r="AO35" i="48"/>
  <c r="AX35" i="48"/>
  <c r="AY35" i="48"/>
  <c r="A36" i="48"/>
  <c r="B36" i="48"/>
  <c r="C36" i="48"/>
  <c r="D36" i="48"/>
  <c r="E36" i="48"/>
  <c r="F36" i="48"/>
  <c r="S36" i="48"/>
  <c r="T36" i="48"/>
  <c r="U36" i="48"/>
  <c r="V36" i="48"/>
  <c r="W36" i="48"/>
  <c r="Y36" i="48"/>
  <c r="Z36" i="48"/>
  <c r="AB36" i="48"/>
  <c r="AF36" i="48"/>
  <c r="AG36" i="48"/>
  <c r="AI36" i="48"/>
  <c r="AJ36" i="48"/>
  <c r="AK36" i="48"/>
  <c r="AM36" i="48"/>
  <c r="AN36" i="48"/>
  <c r="AO36" i="48"/>
  <c r="AX36" i="48"/>
  <c r="AY36" i="48"/>
  <c r="A37" i="48"/>
  <c r="B37" i="48"/>
  <c r="C37" i="48"/>
  <c r="D37" i="48"/>
  <c r="E37" i="48"/>
  <c r="F37" i="48"/>
  <c r="S37" i="48"/>
  <c r="T37" i="48"/>
  <c r="U37" i="48"/>
  <c r="V37" i="48"/>
  <c r="W37" i="48"/>
  <c r="Y37" i="48"/>
  <c r="Z37" i="48"/>
  <c r="AB37" i="48"/>
  <c r="AF37" i="48"/>
  <c r="AG37" i="48"/>
  <c r="AI37" i="48"/>
  <c r="AJ37" i="48"/>
  <c r="AK37" i="48"/>
  <c r="AM37" i="48"/>
  <c r="AN37" i="48"/>
  <c r="AO37" i="48"/>
  <c r="AX37" i="48"/>
  <c r="AY37" i="48"/>
  <c r="A38" i="48"/>
  <c r="B38" i="48"/>
  <c r="C38" i="48"/>
  <c r="D38" i="48"/>
  <c r="E38" i="48"/>
  <c r="F38" i="48"/>
  <c r="S38" i="48"/>
  <c r="T38" i="48"/>
  <c r="U38" i="48"/>
  <c r="V38" i="48"/>
  <c r="W38" i="48"/>
  <c r="Y38" i="48"/>
  <c r="Z38" i="48"/>
  <c r="AB38" i="48"/>
  <c r="AF38" i="48"/>
  <c r="AG38" i="48"/>
  <c r="AI38" i="48"/>
  <c r="AJ38" i="48"/>
  <c r="AK38" i="48"/>
  <c r="AM38" i="48"/>
  <c r="AN38" i="48"/>
  <c r="AO38" i="48"/>
  <c r="AX38" i="48"/>
  <c r="AY38" i="48"/>
  <c r="A39" i="48"/>
  <c r="B39" i="48"/>
  <c r="C39" i="48"/>
  <c r="D39" i="48"/>
  <c r="E39" i="48"/>
  <c r="F39" i="48"/>
  <c r="S39" i="48"/>
  <c r="T39" i="48"/>
  <c r="U39" i="48"/>
  <c r="V39" i="48"/>
  <c r="W39" i="48"/>
  <c r="Y39" i="48"/>
  <c r="Z39" i="48"/>
  <c r="AB39" i="48"/>
  <c r="AF39" i="48"/>
  <c r="AG39" i="48"/>
  <c r="AI39" i="48"/>
  <c r="AJ39" i="48"/>
  <c r="AK39" i="48"/>
  <c r="AM39" i="48"/>
  <c r="AN39" i="48"/>
  <c r="AO39" i="48"/>
  <c r="AX39" i="48"/>
  <c r="AY39" i="48"/>
  <c r="A40" i="48"/>
  <c r="B40" i="48"/>
  <c r="C40" i="48"/>
  <c r="D40" i="48"/>
  <c r="E40" i="48"/>
  <c r="F40" i="48"/>
  <c r="S40" i="48"/>
  <c r="T40" i="48"/>
  <c r="U40" i="48"/>
  <c r="V40" i="48"/>
  <c r="W40" i="48"/>
  <c r="Y40" i="48"/>
  <c r="Z40" i="48"/>
  <c r="AB40" i="48"/>
  <c r="AF40" i="48"/>
  <c r="AG40" i="48"/>
  <c r="AI40" i="48"/>
  <c r="AJ40" i="48"/>
  <c r="AK40" i="48"/>
  <c r="AM40" i="48"/>
  <c r="AN40" i="48"/>
  <c r="AO40" i="48"/>
  <c r="AX40" i="48"/>
  <c r="AY40" i="48"/>
  <c r="A41" i="48"/>
  <c r="B41" i="48"/>
  <c r="C41" i="48"/>
  <c r="D41" i="48"/>
  <c r="E41" i="48"/>
  <c r="F41" i="48"/>
  <c r="S41" i="48"/>
  <c r="T41" i="48"/>
  <c r="U41" i="48"/>
  <c r="V41" i="48"/>
  <c r="W41" i="48"/>
  <c r="Y41" i="48"/>
  <c r="Z41" i="48"/>
  <c r="AB41" i="48"/>
  <c r="AF41" i="48"/>
  <c r="AG41" i="48"/>
  <c r="AI41" i="48"/>
  <c r="AJ41" i="48"/>
  <c r="AK41" i="48"/>
  <c r="AM41" i="48"/>
  <c r="AN41" i="48"/>
  <c r="AO41" i="48"/>
  <c r="AX41" i="48"/>
  <c r="AY41" i="48"/>
  <c r="A42" i="48"/>
  <c r="B42" i="48"/>
  <c r="C42" i="48"/>
  <c r="D42" i="48"/>
  <c r="E42" i="48"/>
  <c r="F42" i="48"/>
  <c r="S42" i="48"/>
  <c r="T42" i="48"/>
  <c r="U42" i="48"/>
  <c r="V42" i="48"/>
  <c r="W42" i="48"/>
  <c r="Y42" i="48"/>
  <c r="Z42" i="48"/>
  <c r="AB42" i="48"/>
  <c r="AF42" i="48"/>
  <c r="AG42" i="48"/>
  <c r="AI42" i="48"/>
  <c r="AJ42" i="48"/>
  <c r="AK42" i="48"/>
  <c r="AM42" i="48"/>
  <c r="AN42" i="48"/>
  <c r="AO42" i="48"/>
  <c r="AX42" i="48"/>
  <c r="AY42" i="48"/>
  <c r="A43" i="48"/>
  <c r="B43" i="48"/>
  <c r="C43" i="48"/>
  <c r="D43" i="48"/>
  <c r="E43" i="48"/>
  <c r="F43" i="48"/>
  <c r="S43" i="48"/>
  <c r="T43" i="48"/>
  <c r="U43" i="48"/>
  <c r="V43" i="48"/>
  <c r="W43" i="48"/>
  <c r="Y43" i="48"/>
  <c r="Z43" i="48"/>
  <c r="AB43" i="48"/>
  <c r="AF43" i="48"/>
  <c r="AG43" i="48"/>
  <c r="AI43" i="48"/>
  <c r="AJ43" i="48"/>
  <c r="AK43" i="48"/>
  <c r="AM43" i="48"/>
  <c r="AN43" i="48"/>
  <c r="AO43" i="48"/>
  <c r="AX43" i="48"/>
  <c r="AY43" i="48"/>
  <c r="A44" i="48"/>
  <c r="B44" i="48"/>
  <c r="C44" i="48"/>
  <c r="D44" i="48"/>
  <c r="E44" i="48"/>
  <c r="F44" i="48"/>
  <c r="S44" i="48"/>
  <c r="T44" i="48"/>
  <c r="U44" i="48"/>
  <c r="V44" i="48"/>
  <c r="W44" i="48"/>
  <c r="Y44" i="48"/>
  <c r="Z44" i="48"/>
  <c r="AB44" i="48"/>
  <c r="AF44" i="48"/>
  <c r="AG44" i="48"/>
  <c r="AI44" i="48"/>
  <c r="AJ44" i="48"/>
  <c r="AK44" i="48"/>
  <c r="AM44" i="48"/>
  <c r="AN44" i="48"/>
  <c r="AO44" i="48"/>
  <c r="AX44" i="48"/>
  <c r="AY44" i="48"/>
  <c r="A45" i="48"/>
  <c r="B45" i="48"/>
  <c r="C45" i="48"/>
  <c r="D45" i="48"/>
  <c r="E45" i="48"/>
  <c r="F45" i="48"/>
  <c r="S45" i="48"/>
  <c r="T45" i="48"/>
  <c r="U45" i="48"/>
  <c r="V45" i="48"/>
  <c r="W45" i="48"/>
  <c r="Y45" i="48"/>
  <c r="Z45" i="48"/>
  <c r="AB45" i="48"/>
  <c r="AF45" i="48"/>
  <c r="AG45" i="48"/>
  <c r="AI45" i="48"/>
  <c r="AJ45" i="48"/>
  <c r="AK45" i="48"/>
  <c r="AM45" i="48"/>
  <c r="AN45" i="48"/>
  <c r="AO45" i="48"/>
  <c r="AX45" i="48"/>
  <c r="AY45" i="48"/>
  <c r="A46" i="48"/>
  <c r="B46" i="48"/>
  <c r="C46" i="48"/>
  <c r="D46" i="48"/>
  <c r="E46" i="48"/>
  <c r="F46" i="48"/>
  <c r="S46" i="48"/>
  <c r="T46" i="48"/>
  <c r="U46" i="48"/>
  <c r="V46" i="48"/>
  <c r="W46" i="48"/>
  <c r="Y46" i="48"/>
  <c r="Z46" i="48"/>
  <c r="AB46" i="48"/>
  <c r="AF46" i="48"/>
  <c r="AG46" i="48"/>
  <c r="AI46" i="48"/>
  <c r="AJ46" i="48"/>
  <c r="AK46" i="48"/>
  <c r="AM46" i="48"/>
  <c r="AN46" i="48"/>
  <c r="AO46" i="48"/>
  <c r="AX46" i="48"/>
  <c r="AY46" i="48"/>
  <c r="A47" i="48"/>
  <c r="B47" i="48"/>
  <c r="C47" i="48"/>
  <c r="D47" i="48"/>
  <c r="E47" i="48"/>
  <c r="F47" i="48"/>
  <c r="S47" i="48"/>
  <c r="T47" i="48"/>
  <c r="U47" i="48"/>
  <c r="V47" i="48"/>
  <c r="W47" i="48"/>
  <c r="Y47" i="48"/>
  <c r="Z47" i="48"/>
  <c r="AB47" i="48"/>
  <c r="AF47" i="48"/>
  <c r="AG47" i="48"/>
  <c r="AI47" i="48"/>
  <c r="AJ47" i="48"/>
  <c r="AK47" i="48"/>
  <c r="AM47" i="48"/>
  <c r="AN47" i="48"/>
  <c r="AO47" i="48"/>
  <c r="AX47" i="48"/>
  <c r="AY47" i="48"/>
  <c r="A48" i="48"/>
  <c r="B48" i="48"/>
  <c r="C48" i="48"/>
  <c r="D48" i="48"/>
  <c r="E48" i="48"/>
  <c r="F48" i="48"/>
  <c r="S48" i="48"/>
  <c r="T48" i="48"/>
  <c r="U48" i="48"/>
  <c r="V48" i="48"/>
  <c r="W48" i="48"/>
  <c r="Y48" i="48"/>
  <c r="Z48" i="48"/>
  <c r="AB48" i="48"/>
  <c r="AF48" i="48"/>
  <c r="AG48" i="48"/>
  <c r="AI48" i="48"/>
  <c r="AJ48" i="48"/>
  <c r="AK48" i="48"/>
  <c r="AM48" i="48"/>
  <c r="AN48" i="48"/>
  <c r="AO48" i="48"/>
  <c r="AX48" i="48"/>
  <c r="AY48" i="48"/>
  <c r="A49" i="48"/>
  <c r="B49" i="48"/>
  <c r="C49" i="48"/>
  <c r="D49" i="48"/>
  <c r="E49" i="48"/>
  <c r="F49" i="48"/>
  <c r="S49" i="48"/>
  <c r="T49" i="48"/>
  <c r="U49" i="48"/>
  <c r="V49" i="48"/>
  <c r="W49" i="48"/>
  <c r="Y49" i="48"/>
  <c r="Z49" i="48"/>
  <c r="AB49" i="48"/>
  <c r="AF49" i="48"/>
  <c r="AG49" i="48"/>
  <c r="AI49" i="48"/>
  <c r="AJ49" i="48"/>
  <c r="AK49" i="48"/>
  <c r="AM49" i="48"/>
  <c r="AN49" i="48"/>
  <c r="AO49" i="48"/>
  <c r="AX49" i="48"/>
  <c r="AY49" i="48"/>
  <c r="A50" i="48"/>
  <c r="B50" i="48"/>
  <c r="C50" i="48"/>
  <c r="D50" i="48"/>
  <c r="E50" i="48"/>
  <c r="F50" i="48"/>
  <c r="S50" i="48"/>
  <c r="T50" i="48"/>
  <c r="U50" i="48"/>
  <c r="V50" i="48"/>
  <c r="W50" i="48"/>
  <c r="Y50" i="48"/>
  <c r="Z50" i="48"/>
  <c r="AB50" i="48"/>
  <c r="AF50" i="48"/>
  <c r="AG50" i="48"/>
  <c r="AI50" i="48"/>
  <c r="AJ50" i="48"/>
  <c r="AK50" i="48"/>
  <c r="AM50" i="48"/>
  <c r="AN50" i="48"/>
  <c r="AO50" i="48"/>
  <c r="AX50" i="48"/>
  <c r="AY50" i="48"/>
  <c r="A51" i="48"/>
  <c r="B51" i="48"/>
  <c r="C51" i="48"/>
  <c r="D51" i="48"/>
  <c r="E51" i="48"/>
  <c r="F51" i="48"/>
  <c r="S51" i="48"/>
  <c r="T51" i="48"/>
  <c r="U51" i="48"/>
  <c r="V51" i="48"/>
  <c r="W51" i="48"/>
  <c r="Y51" i="48"/>
  <c r="Z51" i="48"/>
  <c r="AB51" i="48"/>
  <c r="AF51" i="48"/>
  <c r="AG51" i="48"/>
  <c r="AI51" i="48"/>
  <c r="AJ51" i="48"/>
  <c r="AK51" i="48"/>
  <c r="AM51" i="48"/>
  <c r="AN51" i="48"/>
  <c r="AO51" i="48"/>
  <c r="AX51" i="48"/>
  <c r="AY51" i="48"/>
  <c r="A52" i="48"/>
  <c r="B52" i="48"/>
  <c r="C52" i="48"/>
  <c r="D52" i="48"/>
  <c r="E52" i="48"/>
  <c r="F52" i="48"/>
  <c r="S52" i="48"/>
  <c r="T52" i="48"/>
  <c r="U52" i="48"/>
  <c r="V52" i="48"/>
  <c r="W52" i="48"/>
  <c r="Y52" i="48"/>
  <c r="Z52" i="48"/>
  <c r="AB52" i="48"/>
  <c r="AF52" i="48"/>
  <c r="AG52" i="48"/>
  <c r="AI52" i="48"/>
  <c r="AJ52" i="48"/>
  <c r="AK52" i="48"/>
  <c r="AM52" i="48"/>
  <c r="AN52" i="48"/>
  <c r="AO52" i="48"/>
  <c r="AX52" i="48"/>
  <c r="AY52" i="48"/>
  <c r="A53" i="48"/>
  <c r="B53" i="48"/>
  <c r="C53" i="48"/>
  <c r="D53" i="48"/>
  <c r="E53" i="48"/>
  <c r="F53" i="48"/>
  <c r="S53" i="48"/>
  <c r="T53" i="48"/>
  <c r="U53" i="48"/>
  <c r="V53" i="48"/>
  <c r="W53" i="48"/>
  <c r="Y53" i="48"/>
  <c r="Z53" i="48"/>
  <c r="AB53" i="48"/>
  <c r="AF53" i="48"/>
  <c r="AG53" i="48"/>
  <c r="AI53" i="48"/>
  <c r="AJ53" i="48"/>
  <c r="AK53" i="48"/>
  <c r="AM53" i="48"/>
  <c r="AN53" i="48"/>
  <c r="AO53" i="48"/>
  <c r="AX53" i="48"/>
  <c r="AY53" i="48"/>
  <c r="A54" i="48"/>
  <c r="B54" i="48"/>
  <c r="C54" i="48"/>
  <c r="D54" i="48"/>
  <c r="E54" i="48"/>
  <c r="F54" i="48"/>
  <c r="S54" i="48"/>
  <c r="T54" i="48"/>
  <c r="U54" i="48"/>
  <c r="V54" i="48"/>
  <c r="W54" i="48"/>
  <c r="Y54" i="48"/>
  <c r="Z54" i="48"/>
  <c r="AB54" i="48"/>
  <c r="AF54" i="48"/>
  <c r="AG54" i="48"/>
  <c r="AI54" i="48"/>
  <c r="AJ54" i="48"/>
  <c r="AK54" i="48"/>
  <c r="AM54" i="48"/>
  <c r="AN54" i="48"/>
  <c r="AO54" i="48"/>
  <c r="AX54" i="48"/>
  <c r="AY54" i="48"/>
  <c r="A55" i="48"/>
  <c r="B55" i="48"/>
  <c r="C55" i="48"/>
  <c r="D55" i="48"/>
  <c r="E55" i="48"/>
  <c r="F55" i="48"/>
  <c r="S55" i="48"/>
  <c r="T55" i="48"/>
  <c r="U55" i="48"/>
  <c r="V55" i="48"/>
  <c r="W55" i="48"/>
  <c r="Y55" i="48"/>
  <c r="Z55" i="48"/>
  <c r="AB55" i="48"/>
  <c r="AF55" i="48"/>
  <c r="AG55" i="48"/>
  <c r="AI55" i="48"/>
  <c r="AJ55" i="48"/>
  <c r="AK55" i="48"/>
  <c r="AM55" i="48"/>
  <c r="AN55" i="48"/>
  <c r="AO55" i="48"/>
  <c r="AX55" i="48"/>
  <c r="AY55" i="48"/>
  <c r="A56" i="48"/>
  <c r="B56" i="48"/>
  <c r="C56" i="48"/>
  <c r="D56" i="48"/>
  <c r="E56" i="48"/>
  <c r="F56" i="48"/>
  <c r="S56" i="48"/>
  <c r="T56" i="48"/>
  <c r="U56" i="48"/>
  <c r="V56" i="48"/>
  <c r="W56" i="48"/>
  <c r="Y56" i="48"/>
  <c r="Z56" i="48"/>
  <c r="AB56" i="48"/>
  <c r="AF56" i="48"/>
  <c r="AG56" i="48"/>
  <c r="AI56" i="48"/>
  <c r="AJ56" i="48"/>
  <c r="AK56" i="48"/>
  <c r="AM56" i="48"/>
  <c r="AN56" i="48"/>
  <c r="AO56" i="48"/>
  <c r="AX56" i="48"/>
  <c r="AY56" i="48"/>
  <c r="A57" i="48"/>
  <c r="B57" i="48"/>
  <c r="C57" i="48"/>
  <c r="D57" i="48"/>
  <c r="E57" i="48"/>
  <c r="F57" i="48"/>
  <c r="S57" i="48"/>
  <c r="T57" i="48"/>
  <c r="U57" i="48"/>
  <c r="V57" i="48"/>
  <c r="W57" i="48"/>
  <c r="Y57" i="48"/>
  <c r="Z57" i="48"/>
  <c r="AB57" i="48"/>
  <c r="AF57" i="48"/>
  <c r="AG57" i="48"/>
  <c r="AI57" i="48"/>
  <c r="AJ57" i="48"/>
  <c r="AK57" i="48"/>
  <c r="AM57" i="48"/>
  <c r="AN57" i="48"/>
  <c r="AO57" i="48"/>
  <c r="AX57" i="48"/>
  <c r="AY57" i="48"/>
  <c r="A58" i="48"/>
  <c r="B58" i="48"/>
  <c r="C58" i="48"/>
  <c r="D58" i="48"/>
  <c r="E58" i="48"/>
  <c r="F58" i="48"/>
  <c r="S58" i="48"/>
  <c r="T58" i="48"/>
  <c r="U58" i="48"/>
  <c r="V58" i="48"/>
  <c r="W58" i="48"/>
  <c r="Y58" i="48"/>
  <c r="Z58" i="48"/>
  <c r="AB58" i="48"/>
  <c r="AF58" i="48"/>
  <c r="AG58" i="48"/>
  <c r="AI58" i="48"/>
  <c r="AJ58" i="48"/>
  <c r="AK58" i="48"/>
  <c r="AM58" i="48"/>
  <c r="AN58" i="48"/>
  <c r="AO58" i="48"/>
  <c r="AX58" i="48"/>
  <c r="AY58" i="48"/>
  <c r="A59" i="48"/>
  <c r="B59" i="48"/>
  <c r="C59" i="48"/>
  <c r="D59" i="48"/>
  <c r="E59" i="48"/>
  <c r="F59" i="48"/>
  <c r="S59" i="48"/>
  <c r="T59" i="48"/>
  <c r="U59" i="48"/>
  <c r="V59" i="48"/>
  <c r="W59" i="48"/>
  <c r="Y59" i="48"/>
  <c r="Z59" i="48"/>
  <c r="AB59" i="48"/>
  <c r="AF59" i="48"/>
  <c r="AG59" i="48"/>
  <c r="AI59" i="48"/>
  <c r="AJ59" i="48"/>
  <c r="AK59" i="48"/>
  <c r="AM59" i="48"/>
  <c r="AN59" i="48"/>
  <c r="AO59" i="48"/>
  <c r="AX59" i="48"/>
  <c r="AY59" i="48"/>
  <c r="A60" i="48"/>
  <c r="B60" i="48"/>
  <c r="C60" i="48"/>
  <c r="D60" i="48"/>
  <c r="E60" i="48"/>
  <c r="F60" i="48"/>
  <c r="S60" i="48"/>
  <c r="T60" i="48"/>
  <c r="U60" i="48"/>
  <c r="V60" i="48"/>
  <c r="W60" i="48"/>
  <c r="Y60" i="48"/>
  <c r="Z60" i="48"/>
  <c r="AB60" i="48"/>
  <c r="AF60" i="48"/>
  <c r="AG60" i="48"/>
  <c r="AI60" i="48"/>
  <c r="AJ60" i="48"/>
  <c r="AK60" i="48"/>
  <c r="AM60" i="48"/>
  <c r="AN60" i="48"/>
  <c r="AO60" i="48"/>
  <c r="AX60" i="48"/>
  <c r="AY60" i="48"/>
  <c r="A61" i="48"/>
  <c r="B61" i="48"/>
  <c r="C61" i="48"/>
  <c r="D61" i="48"/>
  <c r="E61" i="48"/>
  <c r="F61" i="48"/>
  <c r="S61" i="48"/>
  <c r="T61" i="48"/>
  <c r="U61" i="48"/>
  <c r="V61" i="48"/>
  <c r="W61" i="48"/>
  <c r="Y61" i="48"/>
  <c r="Z61" i="48"/>
  <c r="AB61" i="48"/>
  <c r="AF61" i="48"/>
  <c r="AG61" i="48"/>
  <c r="AI61" i="48"/>
  <c r="AJ61" i="48"/>
  <c r="AK61" i="48"/>
  <c r="AM61" i="48"/>
  <c r="AN61" i="48"/>
  <c r="AO61" i="48"/>
  <c r="AX61" i="48"/>
  <c r="AY61" i="48"/>
  <c r="A62" i="48"/>
  <c r="B62" i="48"/>
  <c r="C62" i="48"/>
  <c r="D62" i="48"/>
  <c r="E62" i="48"/>
  <c r="F62" i="48"/>
  <c r="S62" i="48"/>
  <c r="T62" i="48"/>
  <c r="U62" i="48"/>
  <c r="V62" i="48"/>
  <c r="W62" i="48"/>
  <c r="Y62" i="48"/>
  <c r="Z62" i="48"/>
  <c r="AB62" i="48"/>
  <c r="AF62" i="48"/>
  <c r="AG62" i="48"/>
  <c r="AI62" i="48"/>
  <c r="AJ62" i="48"/>
  <c r="AK62" i="48"/>
  <c r="AM62" i="48"/>
  <c r="AN62" i="48"/>
  <c r="AO62" i="48"/>
  <c r="AX62" i="48"/>
  <c r="AY62" i="48"/>
  <c r="A63" i="48"/>
  <c r="B63" i="48"/>
  <c r="C63" i="48"/>
  <c r="D63" i="48"/>
  <c r="E63" i="48"/>
  <c r="F63" i="48"/>
  <c r="S63" i="48"/>
  <c r="T63" i="48"/>
  <c r="U63" i="48"/>
  <c r="V63" i="48"/>
  <c r="W63" i="48"/>
  <c r="Y63" i="48"/>
  <c r="Z63" i="48"/>
  <c r="AB63" i="48"/>
  <c r="AF63" i="48"/>
  <c r="AG63" i="48"/>
  <c r="AI63" i="48"/>
  <c r="AJ63" i="48"/>
  <c r="AK63" i="48"/>
  <c r="AM63" i="48"/>
  <c r="AN63" i="48"/>
  <c r="AO63" i="48"/>
  <c r="AX63" i="48"/>
  <c r="AY63" i="48"/>
  <c r="A64" i="48"/>
  <c r="B64" i="48"/>
  <c r="C64" i="48"/>
  <c r="D64" i="48"/>
  <c r="E64" i="48"/>
  <c r="F64" i="48"/>
  <c r="S64" i="48"/>
  <c r="T64" i="48"/>
  <c r="U64" i="48"/>
  <c r="V64" i="48"/>
  <c r="W64" i="48"/>
  <c r="Y64" i="48"/>
  <c r="Z64" i="48"/>
  <c r="AB64" i="48"/>
  <c r="AF64" i="48"/>
  <c r="AG64" i="48"/>
  <c r="AI64" i="48"/>
  <c r="AJ64" i="48"/>
  <c r="AK64" i="48"/>
  <c r="AM64" i="48"/>
  <c r="AN64" i="48"/>
  <c r="AO64" i="48"/>
  <c r="AX64" i="48"/>
  <c r="AY64" i="48"/>
  <c r="A65" i="48"/>
  <c r="B65" i="48"/>
  <c r="C65" i="48"/>
  <c r="D65" i="48"/>
  <c r="E65" i="48"/>
  <c r="F65" i="48"/>
  <c r="S65" i="48"/>
  <c r="T65" i="48"/>
  <c r="U65" i="48"/>
  <c r="V65" i="48"/>
  <c r="W65" i="48"/>
  <c r="Y65" i="48"/>
  <c r="Z65" i="48"/>
  <c r="AB65" i="48"/>
  <c r="AF65" i="48"/>
  <c r="AG65" i="48"/>
  <c r="AI65" i="48"/>
  <c r="AJ65" i="48"/>
  <c r="AK65" i="48"/>
  <c r="AM65" i="48"/>
  <c r="AN65" i="48"/>
  <c r="AO65" i="48"/>
  <c r="AX65" i="48"/>
  <c r="AY65" i="48"/>
  <c r="A66" i="48"/>
  <c r="B66" i="48"/>
  <c r="C66" i="48"/>
  <c r="D66" i="48"/>
  <c r="E66" i="48"/>
  <c r="F66" i="48"/>
  <c r="S66" i="48"/>
  <c r="T66" i="48"/>
  <c r="U66" i="48"/>
  <c r="V66" i="48"/>
  <c r="W66" i="48"/>
  <c r="Y66" i="48"/>
  <c r="Z66" i="48"/>
  <c r="AB66" i="48"/>
  <c r="AF66" i="48"/>
  <c r="AG66" i="48"/>
  <c r="AI66" i="48"/>
  <c r="AJ66" i="48"/>
  <c r="AK66" i="48"/>
  <c r="AM66" i="48"/>
  <c r="AN66" i="48"/>
  <c r="AO66" i="48"/>
  <c r="AX66" i="48"/>
  <c r="AY66" i="48"/>
  <c r="A67" i="48"/>
  <c r="B67" i="48"/>
  <c r="C67" i="48"/>
  <c r="D67" i="48"/>
  <c r="E67" i="48"/>
  <c r="F67" i="48"/>
  <c r="S67" i="48"/>
  <c r="T67" i="48"/>
  <c r="U67" i="48"/>
  <c r="V67" i="48"/>
  <c r="W67" i="48"/>
  <c r="Y67" i="48"/>
  <c r="Z67" i="48"/>
  <c r="AB67" i="48"/>
  <c r="AF67" i="48"/>
  <c r="AG67" i="48"/>
  <c r="AI67" i="48"/>
  <c r="AJ67" i="48"/>
  <c r="AK67" i="48"/>
  <c r="AM67" i="48"/>
  <c r="AN67" i="48"/>
  <c r="AO67" i="48"/>
  <c r="AX67" i="48"/>
  <c r="AY67" i="48"/>
  <c r="A68" i="48"/>
  <c r="B68" i="48"/>
  <c r="C68" i="48"/>
  <c r="D68" i="48"/>
  <c r="E68" i="48"/>
  <c r="F68" i="48"/>
  <c r="S68" i="48"/>
  <c r="T68" i="48"/>
  <c r="U68" i="48"/>
  <c r="V68" i="48"/>
  <c r="W68" i="48"/>
  <c r="Y68" i="48"/>
  <c r="Z68" i="48"/>
  <c r="AB68" i="48"/>
  <c r="AF68" i="48"/>
  <c r="AG68" i="48"/>
  <c r="AI68" i="48"/>
  <c r="AJ68" i="48"/>
  <c r="AK68" i="48"/>
  <c r="AM68" i="48"/>
  <c r="AN68" i="48"/>
  <c r="AO68" i="48"/>
  <c r="AX68" i="48"/>
  <c r="AY68" i="48"/>
  <c r="A69" i="48"/>
  <c r="B69" i="48"/>
  <c r="C69" i="48"/>
  <c r="D69" i="48"/>
  <c r="E69" i="48"/>
  <c r="F69" i="48"/>
  <c r="S69" i="48"/>
  <c r="T69" i="48"/>
  <c r="U69" i="48"/>
  <c r="V69" i="48"/>
  <c r="W69" i="48"/>
  <c r="Y69" i="48"/>
  <c r="Z69" i="48"/>
  <c r="AB69" i="48"/>
  <c r="AF69" i="48"/>
  <c r="AG69" i="48"/>
  <c r="AI69" i="48"/>
  <c r="AJ69" i="48"/>
  <c r="AK69" i="48"/>
  <c r="AM69" i="48"/>
  <c r="AN69" i="48"/>
  <c r="AO69" i="48"/>
  <c r="AX69" i="48"/>
  <c r="AY69" i="48"/>
  <c r="A70" i="48"/>
  <c r="B70" i="48"/>
  <c r="C70" i="48"/>
  <c r="D70" i="48"/>
  <c r="E70" i="48"/>
  <c r="F70" i="48"/>
  <c r="S70" i="48"/>
  <c r="T70" i="48"/>
  <c r="U70" i="48"/>
  <c r="V70" i="48"/>
  <c r="W70" i="48"/>
  <c r="Y70" i="48"/>
  <c r="Z70" i="48"/>
  <c r="AB70" i="48"/>
  <c r="AF70" i="48"/>
  <c r="AG70" i="48"/>
  <c r="AI70" i="48"/>
  <c r="AJ70" i="48"/>
  <c r="AK70" i="48"/>
  <c r="AM70" i="48"/>
  <c r="AN70" i="48"/>
  <c r="AO70" i="48"/>
  <c r="AX70" i="48"/>
  <c r="AY70" i="48"/>
  <c r="A71" i="48"/>
  <c r="B71" i="48"/>
  <c r="C71" i="48"/>
  <c r="D71" i="48"/>
  <c r="E71" i="48"/>
  <c r="F71" i="48"/>
  <c r="S71" i="48"/>
  <c r="T71" i="48"/>
  <c r="U71" i="48"/>
  <c r="V71" i="48"/>
  <c r="W71" i="48"/>
  <c r="Y71" i="48"/>
  <c r="Z71" i="48"/>
  <c r="AB71" i="48"/>
  <c r="AF71" i="48"/>
  <c r="AG71" i="48"/>
  <c r="AI71" i="48"/>
  <c r="AJ71" i="48"/>
  <c r="AK71" i="48"/>
  <c r="AM71" i="48"/>
  <c r="AN71" i="48"/>
  <c r="AO71" i="48"/>
  <c r="AX71" i="48"/>
  <c r="AY71" i="48"/>
  <c r="A72" i="48"/>
  <c r="B72" i="48"/>
  <c r="C72" i="48"/>
  <c r="D72" i="48"/>
  <c r="E72" i="48"/>
  <c r="F72" i="48"/>
  <c r="S72" i="48"/>
  <c r="T72" i="48"/>
  <c r="U72" i="48"/>
  <c r="V72" i="48"/>
  <c r="W72" i="48"/>
  <c r="Y72" i="48"/>
  <c r="Z72" i="48"/>
  <c r="AB72" i="48"/>
  <c r="AF72" i="48"/>
  <c r="AG72" i="48"/>
  <c r="AI72" i="48"/>
  <c r="AJ72" i="48"/>
  <c r="AK72" i="48"/>
  <c r="AM72" i="48"/>
  <c r="AN72" i="48"/>
  <c r="AO72" i="48"/>
  <c r="AX72" i="48"/>
  <c r="AY72" i="48"/>
  <c r="A73" i="48"/>
  <c r="B73" i="48"/>
  <c r="C73" i="48"/>
  <c r="D73" i="48"/>
  <c r="E73" i="48"/>
  <c r="F73" i="48"/>
  <c r="S73" i="48"/>
  <c r="T73" i="48"/>
  <c r="U73" i="48"/>
  <c r="V73" i="48"/>
  <c r="W73" i="48"/>
  <c r="Y73" i="48"/>
  <c r="Z73" i="48"/>
  <c r="AB73" i="48"/>
  <c r="AF73" i="48"/>
  <c r="AG73" i="48"/>
  <c r="AI73" i="48"/>
  <c r="AJ73" i="48"/>
  <c r="AK73" i="48"/>
  <c r="AM73" i="48"/>
  <c r="AN73" i="48"/>
  <c r="AO73" i="48"/>
  <c r="AX73" i="48"/>
  <c r="AY73" i="48"/>
  <c r="A74" i="48"/>
  <c r="B74" i="48"/>
  <c r="C74" i="48"/>
  <c r="D74" i="48"/>
  <c r="E74" i="48"/>
  <c r="F74" i="48"/>
  <c r="S74" i="48"/>
  <c r="T74" i="48"/>
  <c r="U74" i="48"/>
  <c r="V74" i="48"/>
  <c r="W74" i="48"/>
  <c r="Y74" i="48"/>
  <c r="Z74" i="48"/>
  <c r="AB74" i="48"/>
  <c r="AF74" i="48"/>
  <c r="AG74" i="48"/>
  <c r="AI74" i="48"/>
  <c r="AJ74" i="48"/>
  <c r="AK74" i="48"/>
  <c r="AM74" i="48"/>
  <c r="AN74" i="48"/>
  <c r="AO74" i="48"/>
  <c r="AX74" i="48"/>
  <c r="AY74" i="48"/>
  <c r="A75" i="48"/>
  <c r="B75" i="48"/>
  <c r="C75" i="48"/>
  <c r="D75" i="48"/>
  <c r="E75" i="48"/>
  <c r="F75" i="48"/>
  <c r="S75" i="48"/>
  <c r="T75" i="48"/>
  <c r="U75" i="48"/>
  <c r="V75" i="48"/>
  <c r="W75" i="48"/>
  <c r="Y75" i="48"/>
  <c r="Z75" i="48"/>
  <c r="AB75" i="48"/>
  <c r="AF75" i="48"/>
  <c r="AG75" i="48"/>
  <c r="AI75" i="48"/>
  <c r="AJ75" i="48"/>
  <c r="AK75" i="48"/>
  <c r="AM75" i="48"/>
  <c r="AN75" i="48"/>
  <c r="AO75" i="48"/>
  <c r="AX75" i="48"/>
  <c r="AY75" i="48"/>
  <c r="A76" i="48"/>
  <c r="B76" i="48"/>
  <c r="C76" i="48"/>
  <c r="D76" i="48"/>
  <c r="E76" i="48"/>
  <c r="F76" i="48"/>
  <c r="S76" i="48"/>
  <c r="T76" i="48"/>
  <c r="U76" i="48"/>
  <c r="V76" i="48"/>
  <c r="W76" i="48"/>
  <c r="Y76" i="48"/>
  <c r="Z76" i="48"/>
  <c r="AB76" i="48"/>
  <c r="AF76" i="48"/>
  <c r="AG76" i="48"/>
  <c r="AI76" i="48"/>
  <c r="AJ76" i="48"/>
  <c r="AK76" i="48"/>
  <c r="AM76" i="48"/>
  <c r="AN76" i="48"/>
  <c r="AO76" i="48"/>
  <c r="AX76" i="48"/>
  <c r="AY76" i="48"/>
  <c r="A77" i="48"/>
  <c r="B77" i="48"/>
  <c r="C77" i="48"/>
  <c r="D77" i="48"/>
  <c r="E77" i="48"/>
  <c r="F77" i="48"/>
  <c r="S77" i="48"/>
  <c r="T77" i="48"/>
  <c r="U77" i="48"/>
  <c r="V77" i="48"/>
  <c r="W77" i="48"/>
  <c r="Y77" i="48"/>
  <c r="Z77" i="48"/>
  <c r="AB77" i="48"/>
  <c r="AF77" i="48"/>
  <c r="AG77" i="48"/>
  <c r="AI77" i="48"/>
  <c r="AJ77" i="48"/>
  <c r="AK77" i="48"/>
  <c r="AM77" i="48"/>
  <c r="AN77" i="48"/>
  <c r="AO77" i="48"/>
  <c r="AX77" i="48"/>
  <c r="AY77" i="48"/>
  <c r="A78" i="48"/>
  <c r="B78" i="48"/>
  <c r="C78" i="48"/>
  <c r="D78" i="48"/>
  <c r="E78" i="48"/>
  <c r="F78" i="48"/>
  <c r="S78" i="48"/>
  <c r="T78" i="48"/>
  <c r="U78" i="48"/>
  <c r="V78" i="48"/>
  <c r="W78" i="48"/>
  <c r="Y78" i="48"/>
  <c r="Z78" i="48"/>
  <c r="AB78" i="48"/>
  <c r="AF78" i="48"/>
  <c r="AG78" i="48"/>
  <c r="AI78" i="48"/>
  <c r="AJ78" i="48"/>
  <c r="AK78" i="48"/>
  <c r="AM78" i="48"/>
  <c r="AN78" i="48"/>
  <c r="AO78" i="48"/>
  <c r="AX78" i="48"/>
  <c r="AY78" i="48"/>
  <c r="A79" i="48"/>
  <c r="B79" i="48"/>
  <c r="C79" i="48"/>
  <c r="D79" i="48"/>
  <c r="E79" i="48"/>
  <c r="F79" i="48"/>
  <c r="S79" i="48"/>
  <c r="T79" i="48"/>
  <c r="U79" i="48"/>
  <c r="V79" i="48"/>
  <c r="W79" i="48"/>
  <c r="Y79" i="48"/>
  <c r="Z79" i="48"/>
  <c r="AB79" i="48"/>
  <c r="AF79" i="48"/>
  <c r="AG79" i="48"/>
  <c r="AI79" i="48"/>
  <c r="AJ79" i="48"/>
  <c r="AK79" i="48"/>
  <c r="AM79" i="48"/>
  <c r="AN79" i="48"/>
  <c r="AO79" i="48"/>
  <c r="AX79" i="48"/>
  <c r="AY79" i="48"/>
  <c r="A80" i="48"/>
  <c r="B80" i="48"/>
  <c r="C80" i="48"/>
  <c r="D80" i="48"/>
  <c r="E80" i="48"/>
  <c r="F80" i="48"/>
  <c r="S80" i="48"/>
  <c r="T80" i="48"/>
  <c r="U80" i="48"/>
  <c r="V80" i="48"/>
  <c r="W80" i="48"/>
  <c r="Y80" i="48"/>
  <c r="Z80" i="48"/>
  <c r="AB80" i="48"/>
  <c r="AF80" i="48"/>
  <c r="AG80" i="48"/>
  <c r="AI80" i="48"/>
  <c r="AJ80" i="48"/>
  <c r="AK80" i="48"/>
  <c r="AM80" i="48"/>
  <c r="AN80" i="48"/>
  <c r="AO80" i="48"/>
  <c r="AX80" i="48"/>
  <c r="AY80" i="48"/>
  <c r="A81" i="48"/>
  <c r="B81" i="48"/>
  <c r="C81" i="48"/>
  <c r="D81" i="48"/>
  <c r="E81" i="48"/>
  <c r="F81" i="48"/>
  <c r="S81" i="48"/>
  <c r="T81" i="48"/>
  <c r="U81" i="48"/>
  <c r="V81" i="48"/>
  <c r="W81" i="48"/>
  <c r="Y81" i="48"/>
  <c r="Z81" i="48"/>
  <c r="AB81" i="48"/>
  <c r="AF81" i="48"/>
  <c r="AG81" i="48"/>
  <c r="AI81" i="48"/>
  <c r="AJ81" i="48"/>
  <c r="AK81" i="48"/>
  <c r="AM81" i="48"/>
  <c r="AN81" i="48"/>
  <c r="AO81" i="48"/>
  <c r="AX81" i="48"/>
  <c r="AY81" i="48"/>
  <c r="A82" i="48"/>
  <c r="B82" i="48"/>
  <c r="C82" i="48"/>
  <c r="D82" i="48"/>
  <c r="E82" i="48"/>
  <c r="F82" i="48"/>
  <c r="S82" i="48"/>
  <c r="T82" i="48"/>
  <c r="U82" i="48"/>
  <c r="V82" i="48"/>
  <c r="W82" i="48"/>
  <c r="Y82" i="48"/>
  <c r="Z82" i="48"/>
  <c r="AB82" i="48"/>
  <c r="AF82" i="48"/>
  <c r="AG82" i="48"/>
  <c r="AI82" i="48"/>
  <c r="AJ82" i="48"/>
  <c r="AK82" i="48"/>
  <c r="AM82" i="48"/>
  <c r="AN82" i="48"/>
  <c r="AO82" i="48"/>
  <c r="AX82" i="48"/>
  <c r="AY82" i="48"/>
  <c r="A83" i="48"/>
  <c r="B83" i="48"/>
  <c r="C83" i="48"/>
  <c r="D83" i="48"/>
  <c r="E83" i="48"/>
  <c r="F83" i="48"/>
  <c r="S83" i="48"/>
  <c r="T83" i="48"/>
  <c r="U83" i="48"/>
  <c r="V83" i="48"/>
  <c r="W83" i="48"/>
  <c r="Y83" i="48"/>
  <c r="Z83" i="48"/>
  <c r="AB83" i="48"/>
  <c r="AF83" i="48"/>
  <c r="AG83" i="48"/>
  <c r="AI83" i="48"/>
  <c r="AJ83" i="48"/>
  <c r="AK83" i="48"/>
  <c r="AM83" i="48"/>
  <c r="AN83" i="48"/>
  <c r="AO83" i="48"/>
  <c r="AX83" i="48"/>
  <c r="AY83" i="48"/>
  <c r="A84" i="48"/>
  <c r="B84" i="48"/>
  <c r="C84" i="48"/>
  <c r="D84" i="48"/>
  <c r="E84" i="48"/>
  <c r="F84" i="48"/>
  <c r="S84" i="48"/>
  <c r="T84" i="48"/>
  <c r="U84" i="48"/>
  <c r="V84" i="48"/>
  <c r="W84" i="48"/>
  <c r="Y84" i="48"/>
  <c r="Z84" i="48"/>
  <c r="AB84" i="48"/>
  <c r="AF84" i="48"/>
  <c r="AG84" i="48"/>
  <c r="AI84" i="48"/>
  <c r="AJ84" i="48"/>
  <c r="AK84" i="48"/>
  <c r="AM84" i="48"/>
  <c r="AN84" i="48"/>
  <c r="AO84" i="48"/>
  <c r="AX84" i="48"/>
  <c r="AY84" i="48"/>
  <c r="A85" i="48"/>
  <c r="B85" i="48"/>
  <c r="C85" i="48"/>
  <c r="D85" i="48"/>
  <c r="E85" i="48"/>
  <c r="F85" i="48"/>
  <c r="S85" i="48"/>
  <c r="T85" i="48"/>
  <c r="U85" i="48"/>
  <c r="V85" i="48"/>
  <c r="W85" i="48"/>
  <c r="Y85" i="48"/>
  <c r="Z85" i="48"/>
  <c r="AB85" i="48"/>
  <c r="AF85" i="48"/>
  <c r="AG85" i="48"/>
  <c r="AI85" i="48"/>
  <c r="AJ85" i="48"/>
  <c r="AK85" i="48"/>
  <c r="AM85" i="48"/>
  <c r="AN85" i="48"/>
  <c r="AO85" i="48"/>
  <c r="AX85" i="48"/>
  <c r="AY85" i="48"/>
  <c r="A86" i="48"/>
  <c r="B86" i="48"/>
  <c r="C86" i="48"/>
  <c r="D86" i="48"/>
  <c r="E86" i="48"/>
  <c r="F86" i="48"/>
  <c r="S86" i="48"/>
  <c r="T86" i="48"/>
  <c r="U86" i="48"/>
  <c r="V86" i="48"/>
  <c r="W86" i="48"/>
  <c r="Y86" i="48"/>
  <c r="Z86" i="48"/>
  <c r="AB86" i="48"/>
  <c r="AF86" i="48"/>
  <c r="AG86" i="48"/>
  <c r="AI86" i="48"/>
  <c r="AJ86" i="48"/>
  <c r="AK86" i="48"/>
  <c r="AM86" i="48"/>
  <c r="AN86" i="48"/>
  <c r="AO86" i="48"/>
  <c r="AX86" i="48"/>
  <c r="AY86" i="48"/>
  <c r="A87" i="48"/>
  <c r="B87" i="48"/>
  <c r="C87" i="48"/>
  <c r="D87" i="48"/>
  <c r="E87" i="48"/>
  <c r="F87" i="48"/>
  <c r="S87" i="48"/>
  <c r="T87" i="48"/>
  <c r="U87" i="48"/>
  <c r="V87" i="48"/>
  <c r="W87" i="48"/>
  <c r="Y87" i="48"/>
  <c r="Z87" i="48"/>
  <c r="AB87" i="48"/>
  <c r="AF87" i="48"/>
  <c r="AG87" i="48"/>
  <c r="AI87" i="48"/>
  <c r="AJ87" i="48"/>
  <c r="AK87" i="48"/>
  <c r="AM87" i="48"/>
  <c r="AN87" i="48"/>
  <c r="AO87" i="48"/>
  <c r="AX87" i="48"/>
  <c r="AY87" i="48"/>
  <c r="A88" i="48"/>
  <c r="B88" i="48"/>
  <c r="C88" i="48"/>
  <c r="D88" i="48"/>
  <c r="E88" i="48"/>
  <c r="F88" i="48"/>
  <c r="S88" i="48"/>
  <c r="T88" i="48"/>
  <c r="U88" i="48"/>
  <c r="V88" i="48"/>
  <c r="W88" i="48"/>
  <c r="Y88" i="48"/>
  <c r="Z88" i="48"/>
  <c r="AB88" i="48"/>
  <c r="AF88" i="48"/>
  <c r="AG88" i="48"/>
  <c r="AI88" i="48"/>
  <c r="AJ88" i="48"/>
  <c r="AK88" i="48"/>
  <c r="AM88" i="48"/>
  <c r="AN88" i="48"/>
  <c r="AO88" i="48"/>
  <c r="AX88" i="48"/>
  <c r="AY88" i="48"/>
  <c r="A89" i="48"/>
  <c r="B89" i="48"/>
  <c r="C89" i="48"/>
  <c r="D89" i="48"/>
  <c r="E89" i="48"/>
  <c r="F89" i="48"/>
  <c r="S89" i="48"/>
  <c r="T89" i="48"/>
  <c r="U89" i="48"/>
  <c r="V89" i="48"/>
  <c r="W89" i="48"/>
  <c r="Y89" i="48"/>
  <c r="Z89" i="48"/>
  <c r="AB89" i="48"/>
  <c r="AF89" i="48"/>
  <c r="AG89" i="48"/>
  <c r="AI89" i="48"/>
  <c r="AJ89" i="48"/>
  <c r="AK89" i="48"/>
  <c r="AM89" i="48"/>
  <c r="AN89" i="48"/>
  <c r="AO89" i="48"/>
  <c r="AX89" i="48"/>
  <c r="AY89" i="48"/>
  <c r="A90" i="48"/>
  <c r="B90" i="48"/>
  <c r="C90" i="48"/>
  <c r="D90" i="48"/>
  <c r="E90" i="48"/>
  <c r="F90" i="48"/>
  <c r="S90" i="48"/>
  <c r="T90" i="48"/>
  <c r="U90" i="48"/>
  <c r="V90" i="48"/>
  <c r="W90" i="48"/>
  <c r="Y90" i="48"/>
  <c r="Z90" i="48"/>
  <c r="AB90" i="48"/>
  <c r="AF90" i="48"/>
  <c r="AG90" i="48"/>
  <c r="AI90" i="48"/>
  <c r="AJ90" i="48"/>
  <c r="AK90" i="48"/>
  <c r="AM90" i="48"/>
  <c r="AN90" i="48"/>
  <c r="AO90" i="48"/>
  <c r="AX90" i="48"/>
  <c r="AY90" i="48"/>
  <c r="A91" i="48"/>
  <c r="B91" i="48"/>
  <c r="C91" i="48"/>
  <c r="D91" i="48"/>
  <c r="E91" i="48"/>
  <c r="F91" i="48"/>
  <c r="S91" i="48"/>
  <c r="T91" i="48"/>
  <c r="U91" i="48"/>
  <c r="V91" i="48"/>
  <c r="W91" i="48"/>
  <c r="Y91" i="48"/>
  <c r="Z91" i="48"/>
  <c r="AB91" i="48"/>
  <c r="AF91" i="48"/>
  <c r="AG91" i="48"/>
  <c r="AI91" i="48"/>
  <c r="AJ91" i="48"/>
  <c r="AK91" i="48"/>
  <c r="AM91" i="48"/>
  <c r="AN91" i="48"/>
  <c r="AO91" i="48"/>
  <c r="AX91" i="48"/>
  <c r="AY91" i="48"/>
  <c r="A92" i="48"/>
  <c r="B92" i="48"/>
  <c r="C92" i="48"/>
  <c r="D92" i="48"/>
  <c r="E92" i="48"/>
  <c r="F92" i="48"/>
  <c r="S92" i="48"/>
  <c r="T92" i="48"/>
  <c r="U92" i="48"/>
  <c r="V92" i="48"/>
  <c r="W92" i="48"/>
  <c r="Y92" i="48"/>
  <c r="Z92" i="48"/>
  <c r="AB92" i="48"/>
  <c r="AF92" i="48"/>
  <c r="AG92" i="48"/>
  <c r="AI92" i="48"/>
  <c r="AJ92" i="48"/>
  <c r="AK92" i="48"/>
  <c r="AM92" i="48"/>
  <c r="AN92" i="48"/>
  <c r="AO92" i="48"/>
  <c r="AX92" i="48"/>
  <c r="AY92" i="48"/>
  <c r="A93" i="48"/>
  <c r="B93" i="48"/>
  <c r="C93" i="48"/>
  <c r="D93" i="48"/>
  <c r="E93" i="48"/>
  <c r="F93" i="48"/>
  <c r="S93" i="48"/>
  <c r="T93" i="48"/>
  <c r="U93" i="48"/>
  <c r="V93" i="48"/>
  <c r="W93" i="48"/>
  <c r="Y93" i="48"/>
  <c r="Z93" i="48"/>
  <c r="AB93" i="48"/>
  <c r="AF93" i="48"/>
  <c r="AG93" i="48"/>
  <c r="AI93" i="48"/>
  <c r="AJ93" i="48"/>
  <c r="AK93" i="48"/>
  <c r="AM93" i="48"/>
  <c r="AN93" i="48"/>
  <c r="AO93" i="48"/>
  <c r="AX93" i="48"/>
  <c r="AY93" i="48"/>
  <c r="A94" i="48"/>
  <c r="B94" i="48"/>
  <c r="C94" i="48"/>
  <c r="D94" i="48"/>
  <c r="E94" i="48"/>
  <c r="F94" i="48"/>
  <c r="S94" i="48"/>
  <c r="T94" i="48"/>
  <c r="U94" i="48"/>
  <c r="V94" i="48"/>
  <c r="W94" i="48"/>
  <c r="Y94" i="48"/>
  <c r="Z94" i="48"/>
  <c r="AB94" i="48"/>
  <c r="AF94" i="48"/>
  <c r="AG94" i="48"/>
  <c r="AI94" i="48"/>
  <c r="AJ94" i="48"/>
  <c r="AK94" i="48"/>
  <c r="AM94" i="48"/>
  <c r="AN94" i="48"/>
  <c r="AO94" i="48"/>
  <c r="AX94" i="48"/>
  <c r="AY94" i="48"/>
  <c r="A95" i="48"/>
  <c r="B95" i="48"/>
  <c r="C95" i="48"/>
  <c r="D95" i="48"/>
  <c r="E95" i="48"/>
  <c r="F95" i="48"/>
  <c r="S95" i="48"/>
  <c r="T95" i="48"/>
  <c r="U95" i="48"/>
  <c r="V95" i="48"/>
  <c r="W95" i="48"/>
  <c r="Y95" i="48"/>
  <c r="Z95" i="48"/>
  <c r="AB95" i="48"/>
  <c r="AF95" i="48"/>
  <c r="AG95" i="48"/>
  <c r="AI95" i="48"/>
  <c r="AJ95" i="48"/>
  <c r="AK95" i="48"/>
  <c r="AM95" i="48"/>
  <c r="AN95" i="48"/>
  <c r="AO95" i="48"/>
  <c r="AX95" i="48"/>
  <c r="AY95" i="48"/>
  <c r="A96" i="48"/>
  <c r="B96" i="48"/>
  <c r="C96" i="48"/>
  <c r="D96" i="48"/>
  <c r="E96" i="48"/>
  <c r="F96" i="48"/>
  <c r="S96" i="48"/>
  <c r="T96" i="48"/>
  <c r="U96" i="48"/>
  <c r="V96" i="48"/>
  <c r="W96" i="48"/>
  <c r="Y96" i="48"/>
  <c r="Z96" i="48"/>
  <c r="AB96" i="48"/>
  <c r="AF96" i="48"/>
  <c r="AG96" i="48"/>
  <c r="AI96" i="48"/>
  <c r="AJ96" i="48"/>
  <c r="AK96" i="48"/>
  <c r="AM96" i="48"/>
  <c r="AN96" i="48"/>
  <c r="AO96" i="48"/>
  <c r="AX96" i="48"/>
  <c r="AY96" i="48"/>
  <c r="A97" i="48"/>
  <c r="B97" i="48"/>
  <c r="C97" i="48"/>
  <c r="D97" i="48"/>
  <c r="E97" i="48"/>
  <c r="F97" i="48"/>
  <c r="S97" i="48"/>
  <c r="T97" i="48"/>
  <c r="U97" i="48"/>
  <c r="V97" i="48"/>
  <c r="W97" i="48"/>
  <c r="Y97" i="48"/>
  <c r="Z97" i="48"/>
  <c r="AB97" i="48"/>
  <c r="AF97" i="48"/>
  <c r="AG97" i="48"/>
  <c r="AI97" i="48"/>
  <c r="AJ97" i="48"/>
  <c r="AK97" i="48"/>
  <c r="AM97" i="48"/>
  <c r="AN97" i="48"/>
  <c r="AO97" i="48"/>
  <c r="AX97" i="48"/>
  <c r="AY97" i="48"/>
  <c r="A98" i="48"/>
  <c r="B98" i="48"/>
  <c r="C98" i="48"/>
  <c r="D98" i="48"/>
  <c r="E98" i="48"/>
  <c r="F98" i="48"/>
  <c r="S98" i="48"/>
  <c r="T98" i="48"/>
  <c r="U98" i="48"/>
  <c r="V98" i="48"/>
  <c r="W98" i="48"/>
  <c r="Y98" i="48"/>
  <c r="Z98" i="48"/>
  <c r="AB98" i="48"/>
  <c r="AF98" i="48"/>
  <c r="AG98" i="48"/>
  <c r="AI98" i="48"/>
  <c r="AJ98" i="48"/>
  <c r="AK98" i="48"/>
  <c r="AM98" i="48"/>
  <c r="AN98" i="48"/>
  <c r="AO98" i="48"/>
  <c r="AX98" i="48"/>
  <c r="AY98" i="48"/>
  <c r="A99" i="48"/>
  <c r="B99" i="48"/>
  <c r="C99" i="48"/>
  <c r="D99" i="48"/>
  <c r="E99" i="48"/>
  <c r="F99" i="48"/>
  <c r="S99" i="48"/>
  <c r="T99" i="48"/>
  <c r="U99" i="48"/>
  <c r="V99" i="48"/>
  <c r="W99" i="48"/>
  <c r="Y99" i="48"/>
  <c r="Z99" i="48"/>
  <c r="AB99" i="48"/>
  <c r="AF99" i="48"/>
  <c r="AG99" i="48"/>
  <c r="AI99" i="48"/>
  <c r="AJ99" i="48"/>
  <c r="AK99" i="48"/>
  <c r="AM99" i="48"/>
  <c r="AN99" i="48"/>
  <c r="AO99" i="48"/>
  <c r="AX99" i="48"/>
  <c r="AY99" i="48"/>
  <c r="A100" i="48"/>
  <c r="B100" i="48"/>
  <c r="C100" i="48"/>
  <c r="D100" i="48"/>
  <c r="E100" i="48"/>
  <c r="F100" i="48"/>
  <c r="S100" i="48"/>
  <c r="T100" i="48"/>
  <c r="U100" i="48"/>
  <c r="V100" i="48"/>
  <c r="W100" i="48"/>
  <c r="Y100" i="48"/>
  <c r="Z100" i="48"/>
  <c r="AB100" i="48"/>
  <c r="AF100" i="48"/>
  <c r="AG100" i="48"/>
  <c r="AI100" i="48"/>
  <c r="AJ100" i="48"/>
  <c r="AK100" i="48"/>
  <c r="AM100" i="48"/>
  <c r="AN100" i="48"/>
  <c r="AO100" i="48"/>
  <c r="AX100" i="48"/>
  <c r="AY100" i="48"/>
  <c r="A101" i="48"/>
  <c r="B101" i="48"/>
  <c r="C101" i="48"/>
  <c r="D101" i="48"/>
  <c r="E101" i="48"/>
  <c r="F101" i="48"/>
  <c r="S101" i="48"/>
  <c r="T101" i="48"/>
  <c r="U101" i="48"/>
  <c r="V101" i="48"/>
  <c r="W101" i="48"/>
  <c r="Y101" i="48"/>
  <c r="Z101" i="48"/>
  <c r="AB101" i="48"/>
  <c r="AF101" i="48"/>
  <c r="AG101" i="48"/>
  <c r="AI101" i="48"/>
  <c r="AJ101" i="48"/>
  <c r="AK101" i="48"/>
  <c r="AM101" i="48"/>
  <c r="AN101" i="48"/>
  <c r="AO101" i="48"/>
  <c r="AX101" i="48"/>
  <c r="AY101" i="48"/>
  <c r="A102" i="48"/>
  <c r="B102" i="48"/>
  <c r="C102" i="48"/>
  <c r="D102" i="48"/>
  <c r="E102" i="48"/>
  <c r="F102" i="48"/>
  <c r="S102" i="48"/>
  <c r="T102" i="48"/>
  <c r="U102" i="48"/>
  <c r="V102" i="48"/>
  <c r="W102" i="48"/>
  <c r="Y102" i="48"/>
  <c r="Z102" i="48"/>
  <c r="AB102" i="48"/>
  <c r="AF102" i="48"/>
  <c r="AG102" i="48"/>
  <c r="AI102" i="48"/>
  <c r="AJ102" i="48"/>
  <c r="AK102" i="48"/>
  <c r="AM102" i="48"/>
  <c r="AN102" i="48"/>
  <c r="AO102" i="48"/>
  <c r="AX102" i="48"/>
  <c r="AY102" i="48"/>
  <c r="A103" i="48"/>
  <c r="B103" i="48"/>
  <c r="C103" i="48"/>
  <c r="D103" i="48"/>
  <c r="E103" i="48"/>
  <c r="F103" i="48"/>
  <c r="S103" i="48"/>
  <c r="T103" i="48"/>
  <c r="U103" i="48"/>
  <c r="V103" i="48"/>
  <c r="W103" i="48"/>
  <c r="Y103" i="48"/>
  <c r="Z103" i="48"/>
  <c r="AB103" i="48"/>
  <c r="AF103" i="48"/>
  <c r="AG103" i="48"/>
  <c r="AI103" i="48"/>
  <c r="AJ103" i="48"/>
  <c r="AK103" i="48"/>
  <c r="AM103" i="48"/>
  <c r="AN103" i="48"/>
  <c r="AO103" i="48"/>
  <c r="AX103" i="48"/>
  <c r="AY103" i="48"/>
  <c r="A104" i="48"/>
  <c r="B104" i="48"/>
  <c r="C104" i="48"/>
  <c r="D104" i="48"/>
  <c r="E104" i="48"/>
  <c r="F104" i="48"/>
  <c r="S104" i="48"/>
  <c r="T104" i="48"/>
  <c r="U104" i="48"/>
  <c r="V104" i="48"/>
  <c r="W104" i="48"/>
  <c r="Y104" i="48"/>
  <c r="Z104" i="48"/>
  <c r="AB104" i="48"/>
  <c r="AF104" i="48"/>
  <c r="AG104" i="48"/>
  <c r="AI104" i="48"/>
  <c r="AJ104" i="48"/>
  <c r="AK104" i="48"/>
  <c r="AM104" i="48"/>
  <c r="AN104" i="48"/>
  <c r="AO104" i="48"/>
  <c r="AX104" i="48"/>
  <c r="AY104" i="48"/>
  <c r="A105" i="48"/>
  <c r="B105" i="48"/>
  <c r="C105" i="48"/>
  <c r="D105" i="48"/>
  <c r="E105" i="48"/>
  <c r="F105" i="48"/>
  <c r="S105" i="48"/>
  <c r="T105" i="48"/>
  <c r="U105" i="48"/>
  <c r="V105" i="48"/>
  <c r="W105" i="48"/>
  <c r="Y105" i="48"/>
  <c r="Z105" i="48"/>
  <c r="AB105" i="48"/>
  <c r="AF105" i="48"/>
  <c r="AG105" i="48"/>
  <c r="AI105" i="48"/>
  <c r="AJ105" i="48"/>
  <c r="AK105" i="48"/>
  <c r="AM105" i="48"/>
  <c r="AN105" i="48"/>
  <c r="AO105" i="48"/>
  <c r="AX105" i="48"/>
  <c r="AY105" i="48"/>
  <c r="A106" i="48"/>
  <c r="B106" i="48"/>
  <c r="C106" i="48"/>
  <c r="D106" i="48"/>
  <c r="E106" i="48"/>
  <c r="F106" i="48"/>
  <c r="S106" i="48"/>
  <c r="T106" i="48"/>
  <c r="U106" i="48"/>
  <c r="V106" i="48"/>
  <c r="W106" i="48"/>
  <c r="Y106" i="48"/>
  <c r="Z106" i="48"/>
  <c r="AB106" i="48"/>
  <c r="AF106" i="48"/>
  <c r="AG106" i="48"/>
  <c r="AI106" i="48"/>
  <c r="AJ106" i="48"/>
  <c r="AK106" i="48"/>
  <c r="AM106" i="48"/>
  <c r="AN106" i="48"/>
  <c r="AO106" i="48"/>
  <c r="AX106" i="48"/>
  <c r="AY106" i="48"/>
  <c r="A107" i="48"/>
  <c r="B107" i="48"/>
  <c r="C107" i="48"/>
  <c r="D107" i="48"/>
  <c r="E107" i="48"/>
  <c r="F107" i="48"/>
  <c r="S107" i="48"/>
  <c r="T107" i="48"/>
  <c r="U107" i="48"/>
  <c r="V107" i="48"/>
  <c r="W107" i="48"/>
  <c r="Y107" i="48"/>
  <c r="Z107" i="48"/>
  <c r="AB107" i="48"/>
  <c r="AF107" i="48"/>
  <c r="AG107" i="48"/>
  <c r="AI107" i="48"/>
  <c r="AJ107" i="48"/>
  <c r="AK107" i="48"/>
  <c r="AM107" i="48"/>
  <c r="AN107" i="48"/>
  <c r="AO107" i="48"/>
  <c r="AX107" i="48"/>
  <c r="AY107" i="48"/>
  <c r="A108" i="48"/>
  <c r="B108" i="48"/>
  <c r="C108" i="48"/>
  <c r="D108" i="48"/>
  <c r="E108" i="48"/>
  <c r="F108" i="48"/>
  <c r="S108" i="48"/>
  <c r="T108" i="48"/>
  <c r="U108" i="48"/>
  <c r="V108" i="48"/>
  <c r="W108" i="48"/>
  <c r="Y108" i="48"/>
  <c r="Z108" i="48"/>
  <c r="AB108" i="48"/>
  <c r="AF108" i="48"/>
  <c r="AG108" i="48"/>
  <c r="AI108" i="48"/>
  <c r="AJ108" i="48"/>
  <c r="AK108" i="48"/>
  <c r="AM108" i="48"/>
  <c r="AN108" i="48"/>
  <c r="AO108" i="48"/>
  <c r="AX108" i="48"/>
  <c r="AY108" i="48"/>
  <c r="A109" i="48"/>
  <c r="B109" i="48"/>
  <c r="C109" i="48"/>
  <c r="D109" i="48"/>
  <c r="E109" i="48"/>
  <c r="F109" i="48"/>
  <c r="S109" i="48"/>
  <c r="T109" i="48"/>
  <c r="U109" i="48"/>
  <c r="V109" i="48"/>
  <c r="W109" i="48"/>
  <c r="Y109" i="48"/>
  <c r="Z109" i="48"/>
  <c r="AB109" i="48"/>
  <c r="AF109" i="48"/>
  <c r="AG109" i="48"/>
  <c r="AI109" i="48"/>
  <c r="AJ109" i="48"/>
  <c r="AK109" i="48"/>
  <c r="AM109" i="48"/>
  <c r="AN109" i="48"/>
  <c r="AO109" i="48"/>
  <c r="AX109" i="48"/>
  <c r="AY109" i="48"/>
  <c r="A110" i="48"/>
  <c r="B110" i="48"/>
  <c r="C110" i="48"/>
  <c r="D110" i="48"/>
  <c r="E110" i="48"/>
  <c r="F110" i="48"/>
  <c r="S110" i="48"/>
  <c r="T110" i="48"/>
  <c r="U110" i="48"/>
  <c r="V110" i="48"/>
  <c r="W110" i="48"/>
  <c r="Y110" i="48"/>
  <c r="Z110" i="48"/>
  <c r="AB110" i="48"/>
  <c r="AF110" i="48"/>
  <c r="AG110" i="48"/>
  <c r="AI110" i="48"/>
  <c r="AJ110" i="48"/>
  <c r="AK110" i="48"/>
  <c r="AM110" i="48"/>
  <c r="AN110" i="48"/>
  <c r="AO110" i="48"/>
  <c r="AX110" i="48"/>
  <c r="AY110" i="48"/>
  <c r="A111" i="48"/>
  <c r="B111" i="48"/>
  <c r="C111" i="48"/>
  <c r="D111" i="48"/>
  <c r="E111" i="48"/>
  <c r="F111" i="48"/>
  <c r="S111" i="48"/>
  <c r="T111" i="48"/>
  <c r="U111" i="48"/>
  <c r="V111" i="48"/>
  <c r="W111" i="48"/>
  <c r="Y111" i="48"/>
  <c r="Z111" i="48"/>
  <c r="AB111" i="48"/>
  <c r="AF111" i="48"/>
  <c r="AG111" i="48"/>
  <c r="AI111" i="48"/>
  <c r="AJ111" i="48"/>
  <c r="AK111" i="48"/>
  <c r="AM111" i="48"/>
  <c r="AN111" i="48"/>
  <c r="AO111" i="48"/>
  <c r="AX111" i="48"/>
  <c r="AY111" i="48"/>
  <c r="A112" i="48"/>
  <c r="B112" i="48"/>
  <c r="C112" i="48"/>
  <c r="D112" i="48"/>
  <c r="E112" i="48"/>
  <c r="F112" i="48"/>
  <c r="S112" i="48"/>
  <c r="T112" i="48"/>
  <c r="U112" i="48"/>
  <c r="V112" i="48"/>
  <c r="W112" i="48"/>
  <c r="Y112" i="48"/>
  <c r="Z112" i="48"/>
  <c r="AB112" i="48"/>
  <c r="AF112" i="48"/>
  <c r="AG112" i="48"/>
  <c r="AI112" i="48"/>
  <c r="AJ112" i="48"/>
  <c r="AK112" i="48"/>
  <c r="AM112" i="48"/>
  <c r="AN112" i="48"/>
  <c r="AO112" i="48"/>
  <c r="AX112" i="48"/>
  <c r="AY112" i="48"/>
  <c r="A113" i="48"/>
  <c r="B113" i="48"/>
  <c r="C113" i="48"/>
  <c r="D113" i="48"/>
  <c r="E113" i="48"/>
  <c r="F113" i="48"/>
  <c r="S113" i="48"/>
  <c r="T113" i="48"/>
  <c r="U113" i="48"/>
  <c r="V113" i="48"/>
  <c r="W113" i="48"/>
  <c r="Y113" i="48"/>
  <c r="Z113" i="48"/>
  <c r="AB113" i="48"/>
  <c r="AF113" i="48"/>
  <c r="AG113" i="48"/>
  <c r="AI113" i="48"/>
  <c r="AJ113" i="48"/>
  <c r="AK113" i="48"/>
  <c r="AM113" i="48"/>
  <c r="AN113" i="48"/>
  <c r="AO113" i="48"/>
  <c r="AX113" i="48"/>
  <c r="AY113" i="48"/>
  <c r="A114" i="48"/>
  <c r="B114" i="48"/>
  <c r="C114" i="48"/>
  <c r="D114" i="48"/>
  <c r="E114" i="48"/>
  <c r="F114" i="48"/>
  <c r="S114" i="48"/>
  <c r="T114" i="48"/>
  <c r="U114" i="48"/>
  <c r="V114" i="48"/>
  <c r="W114" i="48"/>
  <c r="Y114" i="48"/>
  <c r="Z114" i="48"/>
  <c r="AB114" i="48"/>
  <c r="AF114" i="48"/>
  <c r="AG114" i="48"/>
  <c r="AI114" i="48"/>
  <c r="AJ114" i="48"/>
  <c r="AK114" i="48"/>
  <c r="AM114" i="48"/>
  <c r="AN114" i="48"/>
  <c r="AO114" i="48"/>
  <c r="AX114" i="48"/>
  <c r="AY114" i="48"/>
  <c r="A115" i="48"/>
  <c r="B115" i="48"/>
  <c r="C115" i="48"/>
  <c r="D115" i="48"/>
  <c r="E115" i="48"/>
  <c r="F115" i="48"/>
  <c r="S115" i="48"/>
  <c r="T115" i="48"/>
  <c r="U115" i="48"/>
  <c r="V115" i="48"/>
  <c r="W115" i="48"/>
  <c r="Y115" i="48"/>
  <c r="Z115" i="48"/>
  <c r="AB115" i="48"/>
  <c r="AF115" i="48"/>
  <c r="AG115" i="48"/>
  <c r="AI115" i="48"/>
  <c r="AJ115" i="48"/>
  <c r="AK115" i="48"/>
  <c r="AM115" i="48"/>
  <c r="AN115" i="48"/>
  <c r="AO115" i="48"/>
  <c r="AX115" i="48"/>
  <c r="AY115" i="48"/>
  <c r="A116" i="48"/>
  <c r="B116" i="48"/>
  <c r="C116" i="48"/>
  <c r="D116" i="48"/>
  <c r="E116" i="48"/>
  <c r="F116" i="48"/>
  <c r="S116" i="48"/>
  <c r="T116" i="48"/>
  <c r="U116" i="48"/>
  <c r="V116" i="48"/>
  <c r="W116" i="48"/>
  <c r="Y116" i="48"/>
  <c r="Z116" i="48"/>
  <c r="AB116" i="48"/>
  <c r="AF116" i="48"/>
  <c r="AG116" i="48"/>
  <c r="AI116" i="48"/>
  <c r="AJ116" i="48"/>
  <c r="AK116" i="48"/>
  <c r="AM116" i="48"/>
  <c r="AN116" i="48"/>
  <c r="AO116" i="48"/>
  <c r="AX116" i="48"/>
  <c r="AY116" i="48"/>
  <c r="A117" i="48"/>
  <c r="B117" i="48"/>
  <c r="C117" i="48"/>
  <c r="D117" i="48"/>
  <c r="E117" i="48"/>
  <c r="F117" i="48"/>
  <c r="S117" i="48"/>
  <c r="T117" i="48"/>
  <c r="U117" i="48"/>
  <c r="V117" i="48"/>
  <c r="W117" i="48"/>
  <c r="Y117" i="48"/>
  <c r="Z117" i="48"/>
  <c r="AB117" i="48"/>
  <c r="AF117" i="48"/>
  <c r="AG117" i="48"/>
  <c r="AI117" i="48"/>
  <c r="AJ117" i="48"/>
  <c r="AK117" i="48"/>
  <c r="AM117" i="48"/>
  <c r="AN117" i="48"/>
  <c r="AO117" i="48"/>
  <c r="AX117" i="48"/>
  <c r="AY117" i="48"/>
  <c r="A118" i="48"/>
  <c r="B118" i="48"/>
  <c r="C118" i="48"/>
  <c r="D118" i="48"/>
  <c r="E118" i="48"/>
  <c r="F118" i="48"/>
  <c r="S118" i="48"/>
  <c r="T118" i="48"/>
  <c r="U118" i="48"/>
  <c r="V118" i="48"/>
  <c r="W118" i="48"/>
  <c r="Y118" i="48"/>
  <c r="Z118" i="48"/>
  <c r="AB118" i="48"/>
  <c r="AF118" i="48"/>
  <c r="AG118" i="48"/>
  <c r="AI118" i="48"/>
  <c r="AJ118" i="48"/>
  <c r="AK118" i="48"/>
  <c r="AM118" i="48"/>
  <c r="AN118" i="48"/>
  <c r="AO118" i="48"/>
  <c r="AX118" i="48"/>
  <c r="AY118" i="48"/>
  <c r="A119" i="48"/>
  <c r="B119" i="48"/>
  <c r="C119" i="48"/>
  <c r="D119" i="48"/>
  <c r="E119" i="48"/>
  <c r="F119" i="48"/>
  <c r="S119" i="48"/>
  <c r="T119" i="48"/>
  <c r="U119" i="48"/>
  <c r="V119" i="48"/>
  <c r="W119" i="48"/>
  <c r="Y119" i="48"/>
  <c r="Z119" i="48"/>
  <c r="AB119" i="48"/>
  <c r="AF119" i="48"/>
  <c r="AG119" i="48"/>
  <c r="AI119" i="48"/>
  <c r="AJ119" i="48"/>
  <c r="AK119" i="48"/>
  <c r="AM119" i="48"/>
  <c r="AN119" i="48"/>
  <c r="AO119" i="48"/>
  <c r="AX119" i="48"/>
  <c r="AY119" i="48"/>
  <c r="A120" i="48"/>
  <c r="B120" i="48"/>
  <c r="C120" i="48"/>
  <c r="D120" i="48"/>
  <c r="E120" i="48"/>
  <c r="F120" i="48"/>
  <c r="S120" i="48"/>
  <c r="T120" i="48"/>
  <c r="U120" i="48"/>
  <c r="V120" i="48"/>
  <c r="W120" i="48"/>
  <c r="Y120" i="48"/>
  <c r="Z120" i="48"/>
  <c r="AB120" i="48"/>
  <c r="AF120" i="48"/>
  <c r="AG120" i="48"/>
  <c r="AI120" i="48"/>
  <c r="AJ120" i="48"/>
  <c r="AK120" i="48"/>
  <c r="AM120" i="48"/>
  <c r="AN120" i="48"/>
  <c r="AO120" i="48"/>
  <c r="AX120" i="48"/>
  <c r="AY120" i="48"/>
  <c r="A121" i="48"/>
  <c r="B121" i="48"/>
  <c r="C121" i="48"/>
  <c r="D121" i="48"/>
  <c r="E121" i="48"/>
  <c r="F121" i="48"/>
  <c r="S121" i="48"/>
  <c r="T121" i="48"/>
  <c r="U121" i="48"/>
  <c r="V121" i="48"/>
  <c r="W121" i="48"/>
  <c r="Y121" i="48"/>
  <c r="Z121" i="48"/>
  <c r="AB121" i="48"/>
  <c r="AF121" i="48"/>
  <c r="AG121" i="48"/>
  <c r="AI121" i="48"/>
  <c r="AJ121" i="48"/>
  <c r="AK121" i="48"/>
  <c r="AM121" i="48"/>
  <c r="AN121" i="48"/>
  <c r="AO121" i="48"/>
  <c r="AX121" i="48"/>
  <c r="AY121" i="48"/>
  <c r="A122" i="48"/>
  <c r="B122" i="48"/>
  <c r="C122" i="48"/>
  <c r="D122" i="48"/>
  <c r="E122" i="48"/>
  <c r="F122" i="48"/>
  <c r="S122" i="48"/>
  <c r="T122" i="48"/>
  <c r="U122" i="48"/>
  <c r="V122" i="48"/>
  <c r="W122" i="48"/>
  <c r="Y122" i="48"/>
  <c r="Z122" i="48"/>
  <c r="AB122" i="48"/>
  <c r="AF122" i="48"/>
  <c r="AG122" i="48"/>
  <c r="AI122" i="48"/>
  <c r="AJ122" i="48"/>
  <c r="AK122" i="48"/>
  <c r="AM122" i="48"/>
  <c r="AN122" i="48"/>
  <c r="AO122" i="48"/>
  <c r="AX122" i="48"/>
  <c r="AY122" i="48"/>
  <c r="A123" i="48"/>
  <c r="B123" i="48"/>
  <c r="C123" i="48"/>
  <c r="D123" i="48"/>
  <c r="E123" i="48"/>
  <c r="F123" i="48"/>
  <c r="S123" i="48"/>
  <c r="T123" i="48"/>
  <c r="U123" i="48"/>
  <c r="V123" i="48"/>
  <c r="W123" i="48"/>
  <c r="Y123" i="48"/>
  <c r="Z123" i="48"/>
  <c r="AB123" i="48"/>
  <c r="AF123" i="48"/>
  <c r="AG123" i="48"/>
  <c r="AI123" i="48"/>
  <c r="AJ123" i="48"/>
  <c r="AK123" i="48"/>
  <c r="AM123" i="48"/>
  <c r="AN123" i="48"/>
  <c r="AO123" i="48"/>
  <c r="AX123" i="48"/>
  <c r="AY123" i="48"/>
  <c r="A124" i="48"/>
  <c r="B124" i="48"/>
  <c r="C124" i="48"/>
  <c r="D124" i="48"/>
  <c r="E124" i="48"/>
  <c r="F124" i="48"/>
  <c r="S124" i="48"/>
  <c r="T124" i="48"/>
  <c r="U124" i="48"/>
  <c r="V124" i="48"/>
  <c r="W124" i="48"/>
  <c r="Y124" i="48"/>
  <c r="Z124" i="48"/>
  <c r="AB124" i="48"/>
  <c r="AF124" i="48"/>
  <c r="AG124" i="48"/>
  <c r="AI124" i="48"/>
  <c r="AJ124" i="48"/>
  <c r="AK124" i="48"/>
  <c r="AM124" i="48"/>
  <c r="AN124" i="48"/>
  <c r="AO124" i="48"/>
  <c r="AX124" i="48"/>
  <c r="AY124" i="48"/>
  <c r="A125" i="48"/>
  <c r="B125" i="48"/>
  <c r="C125" i="48"/>
  <c r="D125" i="48"/>
  <c r="E125" i="48"/>
  <c r="F125" i="48"/>
  <c r="S125" i="48"/>
  <c r="T125" i="48"/>
  <c r="U125" i="48"/>
  <c r="V125" i="48"/>
  <c r="W125" i="48"/>
  <c r="Y125" i="48"/>
  <c r="Z125" i="48"/>
  <c r="AB125" i="48"/>
  <c r="AF125" i="48"/>
  <c r="AG125" i="48"/>
  <c r="AI125" i="48"/>
  <c r="AJ125" i="48"/>
  <c r="AK125" i="48"/>
  <c r="AM125" i="48"/>
  <c r="AN125" i="48"/>
  <c r="AO125" i="48"/>
  <c r="AX125" i="48"/>
  <c r="AY125" i="48"/>
  <c r="A126" i="48"/>
  <c r="B126" i="48"/>
  <c r="C126" i="48"/>
  <c r="D126" i="48"/>
  <c r="E126" i="48"/>
  <c r="F126" i="48"/>
  <c r="S126" i="48"/>
  <c r="T126" i="48"/>
  <c r="U126" i="48"/>
  <c r="V126" i="48"/>
  <c r="W126" i="48"/>
  <c r="Y126" i="48"/>
  <c r="Z126" i="48"/>
  <c r="AB126" i="48"/>
  <c r="AF126" i="48"/>
  <c r="AG126" i="48"/>
  <c r="AI126" i="48"/>
  <c r="AJ126" i="48"/>
  <c r="AK126" i="48"/>
  <c r="AM126" i="48"/>
  <c r="AN126" i="48"/>
  <c r="AO126" i="48"/>
  <c r="AX126" i="48"/>
  <c r="AY126" i="48"/>
  <c r="A127" i="48"/>
  <c r="B127" i="48"/>
  <c r="C127" i="48"/>
  <c r="D127" i="48"/>
  <c r="E127" i="48"/>
  <c r="F127" i="48"/>
  <c r="S127" i="48"/>
  <c r="T127" i="48"/>
  <c r="U127" i="48"/>
  <c r="V127" i="48"/>
  <c r="W127" i="48"/>
  <c r="Y127" i="48"/>
  <c r="Z127" i="48"/>
  <c r="AB127" i="48"/>
  <c r="AF127" i="48"/>
  <c r="AG127" i="48"/>
  <c r="AI127" i="48"/>
  <c r="AJ127" i="48"/>
  <c r="AK127" i="48"/>
  <c r="AM127" i="48"/>
  <c r="AN127" i="48"/>
  <c r="AO127" i="48"/>
  <c r="AX127" i="48"/>
  <c r="AY127" i="48"/>
  <c r="A128" i="48"/>
  <c r="B128" i="48"/>
  <c r="C128" i="48"/>
  <c r="D128" i="48"/>
  <c r="E128" i="48"/>
  <c r="F128" i="48"/>
  <c r="S128" i="48"/>
  <c r="T128" i="48"/>
  <c r="U128" i="48"/>
  <c r="V128" i="48"/>
  <c r="W128" i="48"/>
  <c r="Y128" i="48"/>
  <c r="Z128" i="48"/>
  <c r="AB128" i="48"/>
  <c r="AF128" i="48"/>
  <c r="AG128" i="48"/>
  <c r="AI128" i="48"/>
  <c r="AJ128" i="48"/>
  <c r="AK128" i="48"/>
  <c r="AM128" i="48"/>
  <c r="AN128" i="48"/>
  <c r="AO128" i="48"/>
  <c r="AX128" i="48"/>
  <c r="AY128" i="48"/>
  <c r="A129" i="48"/>
  <c r="B129" i="48"/>
  <c r="C129" i="48"/>
  <c r="D129" i="48"/>
  <c r="E129" i="48"/>
  <c r="F129" i="48"/>
  <c r="S129" i="48"/>
  <c r="T129" i="48"/>
  <c r="U129" i="48"/>
  <c r="V129" i="48"/>
  <c r="W129" i="48"/>
  <c r="Y129" i="48"/>
  <c r="Z129" i="48"/>
  <c r="AB129" i="48"/>
  <c r="AF129" i="48"/>
  <c r="AG129" i="48"/>
  <c r="AI129" i="48"/>
  <c r="AJ129" i="48"/>
  <c r="AK129" i="48"/>
  <c r="AM129" i="48"/>
  <c r="AN129" i="48"/>
  <c r="AO129" i="48"/>
  <c r="AX129" i="48"/>
  <c r="AY129" i="48"/>
  <c r="A130" i="48"/>
  <c r="B130" i="48"/>
  <c r="C130" i="48"/>
  <c r="D130" i="48"/>
  <c r="E130" i="48"/>
  <c r="F130" i="48"/>
  <c r="S130" i="48"/>
  <c r="T130" i="48"/>
  <c r="U130" i="48"/>
  <c r="V130" i="48"/>
  <c r="W130" i="48"/>
  <c r="Y130" i="48"/>
  <c r="Z130" i="48"/>
  <c r="AB130" i="48"/>
  <c r="AF130" i="48"/>
  <c r="AG130" i="48"/>
  <c r="AI130" i="48"/>
  <c r="AJ130" i="48"/>
  <c r="AK130" i="48"/>
  <c r="AM130" i="48"/>
  <c r="AN130" i="48"/>
  <c r="AO130" i="48"/>
  <c r="AX130" i="48"/>
  <c r="AY130" i="48"/>
  <c r="A131" i="48"/>
  <c r="B131" i="48"/>
  <c r="C131" i="48"/>
  <c r="D131" i="48"/>
  <c r="E131" i="48"/>
  <c r="F131" i="48"/>
  <c r="S131" i="48"/>
  <c r="T131" i="48"/>
  <c r="U131" i="48"/>
  <c r="V131" i="48"/>
  <c r="W131" i="48"/>
  <c r="Y131" i="48"/>
  <c r="Z131" i="48"/>
  <c r="AB131" i="48"/>
  <c r="AF131" i="48"/>
  <c r="AG131" i="48"/>
  <c r="AI131" i="48"/>
  <c r="AJ131" i="48"/>
  <c r="AK131" i="48"/>
  <c r="AM131" i="48"/>
  <c r="AN131" i="48"/>
  <c r="AO131" i="48"/>
  <c r="AX131" i="48"/>
  <c r="AY131" i="48"/>
  <c r="A132" i="48"/>
  <c r="B132" i="48"/>
  <c r="C132" i="48"/>
  <c r="D132" i="48"/>
  <c r="E132" i="48"/>
  <c r="F132" i="48"/>
  <c r="S132" i="48"/>
  <c r="T132" i="48"/>
  <c r="U132" i="48"/>
  <c r="V132" i="48"/>
  <c r="W132" i="48"/>
  <c r="Y132" i="48"/>
  <c r="Z132" i="48"/>
  <c r="AB132" i="48"/>
  <c r="AF132" i="48"/>
  <c r="AG132" i="48"/>
  <c r="AI132" i="48"/>
  <c r="AJ132" i="48"/>
  <c r="AK132" i="48"/>
  <c r="AM132" i="48"/>
  <c r="AN132" i="48"/>
  <c r="AO132" i="48"/>
  <c r="AX132" i="48"/>
  <c r="AY132" i="48"/>
  <c r="A133" i="48"/>
  <c r="B133" i="48"/>
  <c r="C133" i="48"/>
  <c r="D133" i="48"/>
  <c r="E133" i="48"/>
  <c r="F133" i="48"/>
  <c r="S133" i="48"/>
  <c r="T133" i="48"/>
  <c r="U133" i="48"/>
  <c r="V133" i="48"/>
  <c r="W133" i="48"/>
  <c r="Y133" i="48"/>
  <c r="Z133" i="48"/>
  <c r="AB133" i="48"/>
  <c r="AF133" i="48"/>
  <c r="AG133" i="48"/>
  <c r="AI133" i="48"/>
  <c r="AJ133" i="48"/>
  <c r="AK133" i="48"/>
  <c r="AM133" i="48"/>
  <c r="AN133" i="48"/>
  <c r="AO133" i="48"/>
  <c r="AX133" i="48"/>
  <c r="AY133" i="48"/>
  <c r="A134" i="48"/>
  <c r="B134" i="48"/>
  <c r="C134" i="48"/>
  <c r="D134" i="48"/>
  <c r="E134" i="48"/>
  <c r="F134" i="48"/>
  <c r="S134" i="48"/>
  <c r="T134" i="48"/>
  <c r="U134" i="48"/>
  <c r="V134" i="48"/>
  <c r="W134" i="48"/>
  <c r="Y134" i="48"/>
  <c r="Z134" i="48"/>
  <c r="AB134" i="48"/>
  <c r="AF134" i="48"/>
  <c r="AG134" i="48"/>
  <c r="AI134" i="48"/>
  <c r="AJ134" i="48"/>
  <c r="AK134" i="48"/>
  <c r="AM134" i="48"/>
  <c r="AN134" i="48"/>
  <c r="AO134" i="48"/>
  <c r="AX134" i="48"/>
  <c r="AY134" i="48"/>
  <c r="A135" i="48"/>
  <c r="B135" i="48"/>
  <c r="C135" i="48"/>
  <c r="D135" i="48"/>
  <c r="E135" i="48"/>
  <c r="F135" i="48"/>
  <c r="S135" i="48"/>
  <c r="T135" i="48"/>
  <c r="U135" i="48"/>
  <c r="V135" i="48"/>
  <c r="W135" i="48"/>
  <c r="Y135" i="48"/>
  <c r="Z135" i="48"/>
  <c r="AB135" i="48"/>
  <c r="AF135" i="48"/>
  <c r="AG135" i="48"/>
  <c r="AI135" i="48"/>
  <c r="AJ135" i="48"/>
  <c r="AK135" i="48"/>
  <c r="AM135" i="48"/>
  <c r="AN135" i="48"/>
  <c r="AO135" i="48"/>
  <c r="AX135" i="48"/>
  <c r="AY135" i="48"/>
  <c r="A136" i="48"/>
  <c r="B136" i="48"/>
  <c r="C136" i="48"/>
  <c r="D136" i="48"/>
  <c r="E136" i="48"/>
  <c r="F136" i="48"/>
  <c r="S136" i="48"/>
  <c r="T136" i="48"/>
  <c r="U136" i="48"/>
  <c r="V136" i="48"/>
  <c r="W136" i="48"/>
  <c r="Y136" i="48"/>
  <c r="Z136" i="48"/>
  <c r="AB136" i="48"/>
  <c r="AF136" i="48"/>
  <c r="AG136" i="48"/>
  <c r="AI136" i="48"/>
  <c r="AJ136" i="48"/>
  <c r="AK136" i="48"/>
  <c r="AM136" i="48"/>
  <c r="AN136" i="48"/>
  <c r="AO136" i="48"/>
  <c r="AX136" i="48"/>
  <c r="AY136" i="48"/>
  <c r="A137" i="48"/>
  <c r="B137" i="48"/>
  <c r="C137" i="48"/>
  <c r="D137" i="48"/>
  <c r="E137" i="48"/>
  <c r="F137" i="48"/>
  <c r="S137" i="48"/>
  <c r="T137" i="48"/>
  <c r="U137" i="48"/>
  <c r="V137" i="48"/>
  <c r="W137" i="48"/>
  <c r="Y137" i="48"/>
  <c r="Z137" i="48"/>
  <c r="AB137" i="48"/>
  <c r="AF137" i="48"/>
  <c r="AG137" i="48"/>
  <c r="AI137" i="48"/>
  <c r="AJ137" i="48"/>
  <c r="AK137" i="48"/>
  <c r="AM137" i="48"/>
  <c r="AN137" i="48"/>
  <c r="AO137" i="48"/>
  <c r="AX137" i="48"/>
  <c r="AY137" i="48"/>
  <c r="A138" i="48"/>
  <c r="B138" i="48"/>
  <c r="C138" i="48"/>
  <c r="D138" i="48"/>
  <c r="E138" i="48"/>
  <c r="F138" i="48"/>
  <c r="S138" i="48"/>
  <c r="T138" i="48"/>
  <c r="U138" i="48"/>
  <c r="V138" i="48"/>
  <c r="W138" i="48"/>
  <c r="Y138" i="48"/>
  <c r="Z138" i="48"/>
  <c r="AB138" i="48"/>
  <c r="AF138" i="48"/>
  <c r="AG138" i="48"/>
  <c r="AI138" i="48"/>
  <c r="AJ138" i="48"/>
  <c r="AK138" i="48"/>
  <c r="AM138" i="48"/>
  <c r="AN138" i="48"/>
  <c r="AO138" i="48"/>
  <c r="AX138" i="48"/>
  <c r="AY138" i="48"/>
  <c r="A139" i="48"/>
  <c r="B139" i="48"/>
  <c r="C139" i="48"/>
  <c r="D139" i="48"/>
  <c r="E139" i="48"/>
  <c r="F139" i="48"/>
  <c r="S139" i="48"/>
  <c r="T139" i="48"/>
  <c r="U139" i="48"/>
  <c r="V139" i="48"/>
  <c r="W139" i="48"/>
  <c r="Y139" i="48"/>
  <c r="Z139" i="48"/>
  <c r="AB139" i="48"/>
  <c r="AF139" i="48"/>
  <c r="AG139" i="48"/>
  <c r="AI139" i="48"/>
  <c r="AJ139" i="48"/>
  <c r="AK139" i="48"/>
  <c r="AM139" i="48"/>
  <c r="AN139" i="48"/>
  <c r="AO139" i="48"/>
  <c r="AX139" i="48"/>
  <c r="AY139" i="48"/>
  <c r="A140" i="48"/>
  <c r="B140" i="48"/>
  <c r="C140" i="48"/>
  <c r="D140" i="48"/>
  <c r="E140" i="48"/>
  <c r="F140" i="48"/>
  <c r="S140" i="48"/>
  <c r="T140" i="48"/>
  <c r="U140" i="48"/>
  <c r="V140" i="48"/>
  <c r="W140" i="48"/>
  <c r="Y140" i="48"/>
  <c r="Z140" i="48"/>
  <c r="AB140" i="48"/>
  <c r="AF140" i="48"/>
  <c r="AG140" i="48"/>
  <c r="AI140" i="48"/>
  <c r="AJ140" i="48"/>
  <c r="AK140" i="48"/>
  <c r="AM140" i="48"/>
  <c r="AN140" i="48"/>
  <c r="AO140" i="48"/>
  <c r="AX140" i="48"/>
  <c r="AY140" i="48"/>
  <c r="A141" i="48"/>
  <c r="B141" i="48"/>
  <c r="C141" i="48"/>
  <c r="D141" i="48"/>
  <c r="E141" i="48"/>
  <c r="F141" i="48"/>
  <c r="S141" i="48"/>
  <c r="T141" i="48"/>
  <c r="U141" i="48"/>
  <c r="V141" i="48"/>
  <c r="W141" i="48"/>
  <c r="Y141" i="48"/>
  <c r="Z141" i="48"/>
  <c r="AB141" i="48"/>
  <c r="AF141" i="48"/>
  <c r="AG141" i="48"/>
  <c r="AI141" i="48"/>
  <c r="AJ141" i="48"/>
  <c r="AK141" i="48"/>
  <c r="AM141" i="48"/>
  <c r="AN141" i="48"/>
  <c r="AO141" i="48"/>
  <c r="AX141" i="48"/>
  <c r="AY141" i="48"/>
  <c r="A142" i="48"/>
  <c r="B142" i="48"/>
  <c r="C142" i="48"/>
  <c r="D142" i="48"/>
  <c r="E142" i="48"/>
  <c r="F142" i="48"/>
  <c r="S142" i="48"/>
  <c r="T142" i="48"/>
  <c r="U142" i="48"/>
  <c r="V142" i="48"/>
  <c r="W142" i="48"/>
  <c r="Y142" i="48"/>
  <c r="Z142" i="48"/>
  <c r="AB142" i="48"/>
  <c r="AF142" i="48"/>
  <c r="AG142" i="48"/>
  <c r="AI142" i="48"/>
  <c r="AJ142" i="48"/>
  <c r="AK142" i="48"/>
  <c r="AM142" i="48"/>
  <c r="AN142" i="48"/>
  <c r="AO142" i="48"/>
  <c r="AX142" i="48"/>
  <c r="AY142" i="48"/>
  <c r="A143" i="48"/>
  <c r="B143" i="48"/>
  <c r="C143" i="48"/>
  <c r="D143" i="48"/>
  <c r="E143" i="48"/>
  <c r="F143" i="48"/>
  <c r="S143" i="48"/>
  <c r="T143" i="48"/>
  <c r="U143" i="48"/>
  <c r="V143" i="48"/>
  <c r="W143" i="48"/>
  <c r="Y143" i="48"/>
  <c r="Z143" i="48"/>
  <c r="AB143" i="48"/>
  <c r="AF143" i="48"/>
  <c r="AG143" i="48"/>
  <c r="AI143" i="48"/>
  <c r="AJ143" i="48"/>
  <c r="AK143" i="48"/>
  <c r="AM143" i="48"/>
  <c r="AN143" i="48"/>
  <c r="AO143" i="48"/>
  <c r="AX143" i="48"/>
  <c r="AY143" i="48"/>
  <c r="A144" i="48"/>
  <c r="B144" i="48"/>
  <c r="C144" i="48"/>
  <c r="D144" i="48"/>
  <c r="E144" i="48"/>
  <c r="F144" i="48"/>
  <c r="S144" i="48"/>
  <c r="T144" i="48"/>
  <c r="U144" i="48"/>
  <c r="V144" i="48"/>
  <c r="W144" i="48"/>
  <c r="Y144" i="48"/>
  <c r="Z144" i="48"/>
  <c r="AB144" i="48"/>
  <c r="AF144" i="48"/>
  <c r="AG144" i="48"/>
  <c r="AI144" i="48"/>
  <c r="AJ144" i="48"/>
  <c r="AK144" i="48"/>
  <c r="AM144" i="48"/>
  <c r="AN144" i="48"/>
  <c r="AO144" i="48"/>
  <c r="AX144" i="48"/>
  <c r="AY144" i="48"/>
  <c r="A145" i="48"/>
  <c r="B145" i="48"/>
  <c r="C145" i="48"/>
  <c r="D145" i="48"/>
  <c r="E145" i="48"/>
  <c r="F145" i="48"/>
  <c r="S145" i="48"/>
  <c r="T145" i="48"/>
  <c r="U145" i="48"/>
  <c r="V145" i="48"/>
  <c r="W145" i="48"/>
  <c r="Y145" i="48"/>
  <c r="Z145" i="48"/>
  <c r="AB145" i="48"/>
  <c r="AF145" i="48"/>
  <c r="AG145" i="48"/>
  <c r="AI145" i="48"/>
  <c r="AJ145" i="48"/>
  <c r="AK145" i="48"/>
  <c r="AM145" i="48"/>
  <c r="AN145" i="48"/>
  <c r="AO145" i="48"/>
  <c r="AX145" i="48"/>
  <c r="AY145" i="48"/>
  <c r="A146" i="48"/>
  <c r="B146" i="48"/>
  <c r="C146" i="48"/>
  <c r="D146" i="48"/>
  <c r="E146" i="48"/>
  <c r="F146" i="48"/>
  <c r="S146" i="48"/>
  <c r="T146" i="48"/>
  <c r="U146" i="48"/>
  <c r="V146" i="48"/>
  <c r="W146" i="48"/>
  <c r="Y146" i="48"/>
  <c r="Z146" i="48"/>
  <c r="AB146" i="48"/>
  <c r="AF146" i="48"/>
  <c r="AG146" i="48"/>
  <c r="AI146" i="48"/>
  <c r="AJ146" i="48"/>
  <c r="AK146" i="48"/>
  <c r="AM146" i="48"/>
  <c r="AN146" i="48"/>
  <c r="AO146" i="48"/>
  <c r="AX146" i="48"/>
  <c r="AY146" i="48"/>
  <c r="E1" i="50"/>
  <c r="H1" i="50"/>
  <c r="K1" i="50"/>
  <c r="E3" i="50"/>
  <c r="E4" i="50"/>
  <c r="Q6" i="50"/>
  <c r="N7" i="50"/>
  <c r="K8" i="50"/>
  <c r="K9" i="50"/>
  <c r="Q9" i="50"/>
  <c r="Q10" i="50"/>
  <c r="H12" i="50"/>
  <c r="E13" i="50"/>
  <c r="H13" i="50"/>
  <c r="K13" i="50"/>
  <c r="E14" i="50"/>
  <c r="K14" i="50"/>
  <c r="H15" i="50"/>
  <c r="H16" i="50"/>
  <c r="H17" i="50"/>
  <c r="H18" i="50"/>
  <c r="A23" i="50"/>
  <c r="S23" i="50"/>
  <c r="T23" i="50"/>
  <c r="U23" i="50"/>
  <c r="V23" i="50"/>
  <c r="W23" i="50"/>
  <c r="X23" i="50"/>
  <c r="Z23" i="50"/>
  <c r="AA23" i="50"/>
  <c r="AC23" i="50"/>
  <c r="AG23" i="50"/>
  <c r="AH23" i="50"/>
  <c r="AJ23" i="50"/>
  <c r="AK23" i="50"/>
  <c r="AM23" i="50"/>
  <c r="AN23" i="50"/>
  <c r="AO23" i="50"/>
  <c r="AX23" i="50"/>
  <c r="AY23" i="50"/>
  <c r="A24" i="50"/>
  <c r="B24" i="50"/>
  <c r="C24" i="50"/>
  <c r="D24" i="50"/>
  <c r="E24" i="50"/>
  <c r="F24" i="50"/>
  <c r="S24" i="50"/>
  <c r="T24" i="50"/>
  <c r="U24" i="50"/>
  <c r="V24" i="50"/>
  <c r="W24" i="50"/>
  <c r="X24" i="50"/>
  <c r="Z24" i="50"/>
  <c r="AA24" i="50"/>
  <c r="AC24" i="50"/>
  <c r="AG24" i="50"/>
  <c r="AH24" i="50"/>
  <c r="AJ24" i="50"/>
  <c r="AK24" i="50"/>
  <c r="AM24" i="50"/>
  <c r="AN24" i="50"/>
  <c r="AO24" i="50"/>
  <c r="AX24" i="50"/>
  <c r="AY24" i="50"/>
  <c r="A25" i="50"/>
  <c r="B25" i="50"/>
  <c r="C25" i="50"/>
  <c r="D25" i="50"/>
  <c r="E25" i="50"/>
  <c r="F25" i="50"/>
  <c r="S25" i="50"/>
  <c r="T25" i="50"/>
  <c r="U25" i="50"/>
  <c r="V25" i="50"/>
  <c r="W25" i="50"/>
  <c r="X25" i="50"/>
  <c r="Z25" i="50"/>
  <c r="AA25" i="50"/>
  <c r="AC25" i="50"/>
  <c r="AG25" i="50"/>
  <c r="AH25" i="50"/>
  <c r="AJ25" i="50"/>
  <c r="AK25" i="50"/>
  <c r="AM25" i="50"/>
  <c r="AN25" i="50"/>
  <c r="AO25" i="50"/>
  <c r="AX25" i="50"/>
  <c r="AY25" i="50"/>
  <c r="A26" i="50"/>
  <c r="B26" i="50"/>
  <c r="C26" i="50"/>
  <c r="D26" i="50"/>
  <c r="E26" i="50"/>
  <c r="F26" i="50"/>
  <c r="S26" i="50"/>
  <c r="T26" i="50"/>
  <c r="U26" i="50"/>
  <c r="V26" i="50"/>
  <c r="W26" i="50"/>
  <c r="X26" i="50"/>
  <c r="Z26" i="50"/>
  <c r="AA26" i="50"/>
  <c r="AC26" i="50"/>
  <c r="AG26" i="50"/>
  <c r="AH26" i="50"/>
  <c r="AJ26" i="50"/>
  <c r="AK26" i="50"/>
  <c r="AM26" i="50"/>
  <c r="AN26" i="50"/>
  <c r="AO26" i="50"/>
  <c r="AX26" i="50"/>
  <c r="AY26" i="50"/>
  <c r="A27" i="50"/>
  <c r="B27" i="50"/>
  <c r="C27" i="50"/>
  <c r="D27" i="50"/>
  <c r="E27" i="50"/>
  <c r="F27" i="50"/>
  <c r="S27" i="50"/>
  <c r="T27" i="50"/>
  <c r="U27" i="50"/>
  <c r="V27" i="50"/>
  <c r="W27" i="50"/>
  <c r="X27" i="50"/>
  <c r="Z27" i="50"/>
  <c r="AA27" i="50"/>
  <c r="AC27" i="50"/>
  <c r="AG27" i="50"/>
  <c r="AH27" i="50"/>
  <c r="AJ27" i="50"/>
  <c r="AK27" i="50"/>
  <c r="AM27" i="50"/>
  <c r="AN27" i="50"/>
  <c r="AO27" i="50"/>
  <c r="AX27" i="50"/>
  <c r="AY27" i="50"/>
  <c r="A28" i="50"/>
  <c r="B28" i="50"/>
  <c r="C28" i="50"/>
  <c r="D28" i="50"/>
  <c r="E28" i="50"/>
  <c r="F28" i="50"/>
  <c r="S28" i="50"/>
  <c r="T28" i="50"/>
  <c r="U28" i="50"/>
  <c r="V28" i="50"/>
  <c r="W28" i="50"/>
  <c r="X28" i="50"/>
  <c r="Z28" i="50"/>
  <c r="AA28" i="50"/>
  <c r="AC28" i="50"/>
  <c r="AG28" i="50"/>
  <c r="AH28" i="50"/>
  <c r="AJ28" i="50"/>
  <c r="AK28" i="50"/>
  <c r="AM28" i="50"/>
  <c r="AN28" i="50"/>
  <c r="AO28" i="50"/>
  <c r="AX28" i="50"/>
  <c r="AY28" i="50"/>
  <c r="A29" i="50"/>
  <c r="B29" i="50"/>
  <c r="C29" i="50"/>
  <c r="D29" i="50"/>
  <c r="E29" i="50"/>
  <c r="F29" i="50"/>
  <c r="S29" i="50"/>
  <c r="T29" i="50"/>
  <c r="U29" i="50"/>
  <c r="V29" i="50"/>
  <c r="W29" i="50"/>
  <c r="X29" i="50"/>
  <c r="Z29" i="50"/>
  <c r="AA29" i="50"/>
  <c r="AC29" i="50"/>
  <c r="AG29" i="50"/>
  <c r="AH29" i="50"/>
  <c r="AJ29" i="50"/>
  <c r="AK29" i="50"/>
  <c r="AM29" i="50"/>
  <c r="AN29" i="50"/>
  <c r="AO29" i="50"/>
  <c r="AX29" i="50"/>
  <c r="AY29" i="50"/>
  <c r="A30" i="50"/>
  <c r="B30" i="50"/>
  <c r="C30" i="50"/>
  <c r="D30" i="50"/>
  <c r="E30" i="50"/>
  <c r="F30" i="50"/>
  <c r="S30" i="50"/>
  <c r="T30" i="50"/>
  <c r="U30" i="50"/>
  <c r="V30" i="50"/>
  <c r="W30" i="50"/>
  <c r="X30" i="50"/>
  <c r="Z30" i="50"/>
  <c r="AA30" i="50"/>
  <c r="AC30" i="50"/>
  <c r="AG30" i="50"/>
  <c r="AH30" i="50"/>
  <c r="AJ30" i="50"/>
  <c r="AK30" i="50"/>
  <c r="AM30" i="50"/>
  <c r="AN30" i="50"/>
  <c r="AO30" i="50"/>
  <c r="AX30" i="50"/>
  <c r="AY30" i="50"/>
  <c r="A31" i="50"/>
  <c r="B31" i="50"/>
  <c r="C31" i="50"/>
  <c r="D31" i="50"/>
  <c r="E31" i="50"/>
  <c r="F31" i="50"/>
  <c r="S31" i="50"/>
  <c r="T31" i="50"/>
  <c r="U31" i="50"/>
  <c r="V31" i="50"/>
  <c r="W31" i="50"/>
  <c r="X31" i="50"/>
  <c r="Z31" i="50"/>
  <c r="AA31" i="50"/>
  <c r="AC31" i="50"/>
  <c r="AG31" i="50"/>
  <c r="AH31" i="50"/>
  <c r="AJ31" i="50"/>
  <c r="AK31" i="50"/>
  <c r="AM31" i="50"/>
  <c r="AN31" i="50"/>
  <c r="AO31" i="50"/>
  <c r="AX31" i="50"/>
  <c r="AY31" i="50"/>
  <c r="A32" i="50"/>
  <c r="B32" i="50"/>
  <c r="C32" i="50"/>
  <c r="D32" i="50"/>
  <c r="E32" i="50"/>
  <c r="F32" i="50"/>
  <c r="S32" i="50"/>
  <c r="T32" i="50"/>
  <c r="U32" i="50"/>
  <c r="V32" i="50"/>
  <c r="W32" i="50"/>
  <c r="X32" i="50"/>
  <c r="Z32" i="50"/>
  <c r="AA32" i="50"/>
  <c r="AC32" i="50"/>
  <c r="AG32" i="50"/>
  <c r="AH32" i="50"/>
  <c r="AJ32" i="50"/>
  <c r="AK32" i="50"/>
  <c r="AM32" i="50"/>
  <c r="AN32" i="50"/>
  <c r="AO32" i="50"/>
  <c r="AX32" i="50"/>
  <c r="AY32" i="50"/>
  <c r="A33" i="50"/>
  <c r="B33" i="50"/>
  <c r="C33" i="50"/>
  <c r="D33" i="50"/>
  <c r="E33" i="50"/>
  <c r="F33" i="50"/>
  <c r="S33" i="50"/>
  <c r="T33" i="50"/>
  <c r="U33" i="50"/>
  <c r="V33" i="50"/>
  <c r="W33" i="50"/>
  <c r="X33" i="50"/>
  <c r="Z33" i="50"/>
  <c r="AA33" i="50"/>
  <c r="AC33" i="50"/>
  <c r="AG33" i="50"/>
  <c r="AH33" i="50"/>
  <c r="AJ33" i="50"/>
  <c r="AK33" i="50"/>
  <c r="AM33" i="50"/>
  <c r="AN33" i="50"/>
  <c r="AO33" i="50"/>
  <c r="AX33" i="50"/>
  <c r="AY33" i="50"/>
  <c r="A34" i="50"/>
  <c r="B34" i="50"/>
  <c r="C34" i="50"/>
  <c r="D34" i="50"/>
  <c r="E34" i="50"/>
  <c r="F34" i="50"/>
  <c r="S34" i="50"/>
  <c r="T34" i="50"/>
  <c r="U34" i="50"/>
  <c r="V34" i="50"/>
  <c r="W34" i="50"/>
  <c r="X34" i="50"/>
  <c r="Z34" i="50"/>
  <c r="AA34" i="50"/>
  <c r="AC34" i="50"/>
  <c r="AG34" i="50"/>
  <c r="AH34" i="50"/>
  <c r="AJ34" i="50"/>
  <c r="AK34" i="50"/>
  <c r="AM34" i="50"/>
  <c r="AN34" i="50"/>
  <c r="AO34" i="50"/>
  <c r="AX34" i="50"/>
  <c r="AY34" i="50"/>
  <c r="A35" i="50"/>
  <c r="B35" i="50"/>
  <c r="C35" i="50"/>
  <c r="D35" i="50"/>
  <c r="E35" i="50"/>
  <c r="F35" i="50"/>
  <c r="S35" i="50"/>
  <c r="T35" i="50"/>
  <c r="U35" i="50"/>
  <c r="V35" i="50"/>
  <c r="W35" i="50"/>
  <c r="X35" i="50"/>
  <c r="Z35" i="50"/>
  <c r="AA35" i="50"/>
  <c r="AC35" i="50"/>
  <c r="AG35" i="50"/>
  <c r="AH35" i="50"/>
  <c r="AJ35" i="50"/>
  <c r="AK35" i="50"/>
  <c r="AM35" i="50"/>
  <c r="AN35" i="50"/>
  <c r="AO35" i="50"/>
  <c r="AX35" i="50"/>
  <c r="AY35" i="50"/>
  <c r="A36" i="50"/>
  <c r="B36" i="50"/>
  <c r="C36" i="50"/>
  <c r="D36" i="50"/>
  <c r="E36" i="50"/>
  <c r="F36" i="50"/>
  <c r="S36" i="50"/>
  <c r="T36" i="50"/>
  <c r="U36" i="50"/>
  <c r="V36" i="50"/>
  <c r="W36" i="50"/>
  <c r="X36" i="50"/>
  <c r="Z36" i="50"/>
  <c r="AA36" i="50"/>
  <c r="AC36" i="50"/>
  <c r="AG36" i="50"/>
  <c r="AH36" i="50"/>
  <c r="AJ36" i="50"/>
  <c r="AK36" i="50"/>
  <c r="AM36" i="50"/>
  <c r="AN36" i="50"/>
  <c r="AO36" i="50"/>
  <c r="AX36" i="50"/>
  <c r="AY36" i="50"/>
  <c r="A37" i="50"/>
  <c r="B37" i="50"/>
  <c r="C37" i="50"/>
  <c r="D37" i="50"/>
  <c r="E37" i="50"/>
  <c r="F37" i="50"/>
  <c r="S37" i="50"/>
  <c r="T37" i="50"/>
  <c r="U37" i="50"/>
  <c r="V37" i="50"/>
  <c r="W37" i="50"/>
  <c r="X37" i="50"/>
  <c r="Z37" i="50"/>
  <c r="AA37" i="50"/>
  <c r="AC37" i="50"/>
  <c r="AG37" i="50"/>
  <c r="AH37" i="50"/>
  <c r="AJ37" i="50"/>
  <c r="AK37" i="50"/>
  <c r="AM37" i="50"/>
  <c r="AN37" i="50"/>
  <c r="AO37" i="50"/>
  <c r="AX37" i="50"/>
  <c r="AY37" i="50"/>
  <c r="A38" i="50"/>
  <c r="B38" i="50"/>
  <c r="C38" i="50"/>
  <c r="D38" i="50"/>
  <c r="E38" i="50"/>
  <c r="F38" i="50"/>
  <c r="S38" i="50"/>
  <c r="T38" i="50"/>
  <c r="U38" i="50"/>
  <c r="V38" i="50"/>
  <c r="W38" i="50"/>
  <c r="X38" i="50"/>
  <c r="Z38" i="50"/>
  <c r="AA38" i="50"/>
  <c r="AC38" i="50"/>
  <c r="AG38" i="50"/>
  <c r="AH38" i="50"/>
  <c r="AJ38" i="50"/>
  <c r="AK38" i="50"/>
  <c r="AM38" i="50"/>
  <c r="AN38" i="50"/>
  <c r="AO38" i="50"/>
  <c r="AX38" i="50"/>
  <c r="AY38" i="50"/>
  <c r="A39" i="50"/>
  <c r="B39" i="50"/>
  <c r="C39" i="50"/>
  <c r="D39" i="50"/>
  <c r="E39" i="50"/>
  <c r="F39" i="50"/>
  <c r="S39" i="50"/>
  <c r="T39" i="50"/>
  <c r="U39" i="50"/>
  <c r="V39" i="50"/>
  <c r="W39" i="50"/>
  <c r="X39" i="50"/>
  <c r="Z39" i="50"/>
  <c r="AA39" i="50"/>
  <c r="AC39" i="50"/>
  <c r="AG39" i="50"/>
  <c r="AH39" i="50"/>
  <c r="AJ39" i="50"/>
  <c r="AK39" i="50"/>
  <c r="AM39" i="50"/>
  <c r="AN39" i="50"/>
  <c r="AO39" i="50"/>
  <c r="AX39" i="50"/>
  <c r="AY39" i="50"/>
  <c r="A40" i="50"/>
  <c r="B40" i="50"/>
  <c r="C40" i="50"/>
  <c r="D40" i="50"/>
  <c r="E40" i="50"/>
  <c r="F40" i="50"/>
  <c r="S40" i="50"/>
  <c r="T40" i="50"/>
  <c r="U40" i="50"/>
  <c r="V40" i="50"/>
  <c r="W40" i="50"/>
  <c r="X40" i="50"/>
  <c r="Z40" i="50"/>
  <c r="AA40" i="50"/>
  <c r="AC40" i="50"/>
  <c r="AG40" i="50"/>
  <c r="AH40" i="50"/>
  <c r="AJ40" i="50"/>
  <c r="AK40" i="50"/>
  <c r="AM40" i="50"/>
  <c r="AN40" i="50"/>
  <c r="AO40" i="50"/>
  <c r="AX40" i="50"/>
  <c r="AY40" i="50"/>
  <c r="A41" i="50"/>
  <c r="B41" i="50"/>
  <c r="C41" i="50"/>
  <c r="D41" i="50"/>
  <c r="E41" i="50"/>
  <c r="F41" i="50"/>
  <c r="S41" i="50"/>
  <c r="T41" i="50"/>
  <c r="U41" i="50"/>
  <c r="V41" i="50"/>
  <c r="W41" i="50"/>
  <c r="X41" i="50"/>
  <c r="Z41" i="50"/>
  <c r="AA41" i="50"/>
  <c r="AC41" i="50"/>
  <c r="AG41" i="50"/>
  <c r="AH41" i="50"/>
  <c r="AJ41" i="50"/>
  <c r="AK41" i="50"/>
  <c r="AM41" i="50"/>
  <c r="AN41" i="50"/>
  <c r="AO41" i="50"/>
  <c r="AX41" i="50"/>
  <c r="AY41" i="50"/>
  <c r="A42" i="50"/>
  <c r="B42" i="50"/>
  <c r="C42" i="50"/>
  <c r="D42" i="50"/>
  <c r="E42" i="50"/>
  <c r="F42" i="50"/>
  <c r="S42" i="50"/>
  <c r="T42" i="50"/>
  <c r="U42" i="50"/>
  <c r="V42" i="50"/>
  <c r="W42" i="50"/>
  <c r="X42" i="50"/>
  <c r="Z42" i="50"/>
  <c r="AA42" i="50"/>
  <c r="AC42" i="50"/>
  <c r="AG42" i="50"/>
  <c r="AH42" i="50"/>
  <c r="AJ42" i="50"/>
  <c r="AK42" i="50"/>
  <c r="AM42" i="50"/>
  <c r="AN42" i="50"/>
  <c r="AO42" i="50"/>
  <c r="AX42" i="50"/>
  <c r="AY42" i="50"/>
  <c r="A43" i="50"/>
  <c r="B43" i="50"/>
  <c r="C43" i="50"/>
  <c r="D43" i="50"/>
  <c r="E43" i="50"/>
  <c r="F43" i="50"/>
  <c r="S43" i="50"/>
  <c r="T43" i="50"/>
  <c r="U43" i="50"/>
  <c r="V43" i="50"/>
  <c r="W43" i="50"/>
  <c r="X43" i="50"/>
  <c r="Z43" i="50"/>
  <c r="AA43" i="50"/>
  <c r="AC43" i="50"/>
  <c r="AG43" i="50"/>
  <c r="AH43" i="50"/>
  <c r="AJ43" i="50"/>
  <c r="AK43" i="50"/>
  <c r="AM43" i="50"/>
  <c r="AN43" i="50"/>
  <c r="AO43" i="50"/>
  <c r="AX43" i="50"/>
  <c r="AY43" i="50"/>
  <c r="B44" i="50"/>
  <c r="X44" i="50"/>
  <c r="AN44" i="50"/>
  <c r="E48" i="50"/>
  <c r="S48" i="50"/>
  <c r="T48" i="50"/>
  <c r="U48" i="50"/>
  <c r="V48" i="50"/>
  <c r="W48" i="50"/>
  <c r="X48" i="50"/>
  <c r="Z48" i="50"/>
  <c r="AA48" i="50"/>
  <c r="AC48" i="50"/>
  <c r="AE48" i="50"/>
  <c r="AF48" i="50"/>
  <c r="AG48" i="50"/>
  <c r="AH48" i="50"/>
  <c r="AI48" i="50"/>
  <c r="AJ48" i="50"/>
  <c r="AN48" i="50"/>
  <c r="AX48" i="50"/>
  <c r="AY48" i="50"/>
  <c r="BA48" i="50"/>
  <c r="BB48" i="50"/>
  <c r="BC48" i="50"/>
  <c r="E49" i="50"/>
  <c r="S49" i="50"/>
  <c r="T49" i="50"/>
  <c r="U49" i="50"/>
  <c r="V49" i="50"/>
  <c r="W49" i="50"/>
  <c r="X49" i="50"/>
  <c r="Z49" i="50"/>
  <c r="AA49" i="50"/>
  <c r="AC49" i="50"/>
  <c r="AE49" i="50"/>
  <c r="AF49" i="50"/>
  <c r="AG49" i="50"/>
  <c r="AH49" i="50"/>
  <c r="AI49" i="50"/>
  <c r="AJ49" i="50"/>
  <c r="AN49" i="50"/>
  <c r="AX49" i="50"/>
  <c r="AY49" i="50"/>
  <c r="BA49" i="50"/>
  <c r="BB49" i="50"/>
  <c r="BC49" i="50"/>
  <c r="E50" i="50"/>
  <c r="S50" i="50"/>
  <c r="T50" i="50"/>
  <c r="U50" i="50"/>
  <c r="V50" i="50"/>
  <c r="W50" i="50"/>
  <c r="X50" i="50"/>
  <c r="Z50" i="50"/>
  <c r="AA50" i="50"/>
  <c r="AC50" i="50"/>
  <c r="AE50" i="50"/>
  <c r="AF50" i="50"/>
  <c r="AG50" i="50"/>
  <c r="AH50" i="50"/>
  <c r="AI50" i="50"/>
  <c r="AJ50" i="50"/>
  <c r="AN50" i="50"/>
  <c r="AX50" i="50"/>
  <c r="AY50" i="50"/>
  <c r="BA50" i="50"/>
  <c r="BB50" i="50"/>
  <c r="BC50" i="50"/>
  <c r="E51" i="50"/>
  <c r="S51" i="50"/>
  <c r="T51" i="50"/>
  <c r="U51" i="50"/>
  <c r="V51" i="50"/>
  <c r="W51" i="50"/>
  <c r="X51" i="50"/>
  <c r="Z51" i="50"/>
  <c r="AA51" i="50"/>
  <c r="AC51" i="50"/>
  <c r="AE51" i="50"/>
  <c r="AF51" i="50"/>
  <c r="AG51" i="50"/>
  <c r="AH51" i="50"/>
  <c r="AI51" i="50"/>
  <c r="AJ51" i="50"/>
  <c r="AN51" i="50"/>
  <c r="AX51" i="50"/>
  <c r="AY51" i="50"/>
  <c r="BA51" i="50"/>
  <c r="BB51" i="50"/>
  <c r="BC51" i="50"/>
  <c r="E52" i="50"/>
  <c r="S52" i="50"/>
  <c r="T52" i="50"/>
  <c r="U52" i="50"/>
  <c r="V52" i="50"/>
  <c r="W52" i="50"/>
  <c r="X52" i="50"/>
  <c r="Z52" i="50"/>
  <c r="AA52" i="50"/>
  <c r="AC52" i="50"/>
  <c r="AE52" i="50"/>
  <c r="AF52" i="50"/>
  <c r="AG52" i="50"/>
  <c r="AH52" i="50"/>
  <c r="AI52" i="50"/>
  <c r="AJ52" i="50"/>
  <c r="AN52" i="50"/>
  <c r="AX52" i="50"/>
  <c r="AY52" i="50"/>
  <c r="BA52" i="50"/>
  <c r="BB52" i="50"/>
  <c r="BC52" i="50"/>
  <c r="E53" i="50"/>
  <c r="S53" i="50"/>
  <c r="T53" i="50"/>
  <c r="U53" i="50"/>
  <c r="V53" i="50"/>
  <c r="W53" i="50"/>
  <c r="X53" i="50"/>
  <c r="Z53" i="50"/>
  <c r="AA53" i="50"/>
  <c r="AC53" i="50"/>
  <c r="AE53" i="50"/>
  <c r="AF53" i="50"/>
  <c r="AG53" i="50"/>
  <c r="AH53" i="50"/>
  <c r="AI53" i="50"/>
  <c r="AJ53" i="50"/>
  <c r="AN53" i="50"/>
  <c r="AX53" i="50"/>
  <c r="AY53" i="50"/>
  <c r="BA53" i="50"/>
  <c r="BB53" i="50"/>
  <c r="BC53" i="50"/>
  <c r="E54" i="50"/>
  <c r="S54" i="50"/>
  <c r="T54" i="50"/>
  <c r="U54" i="50"/>
  <c r="V54" i="50"/>
  <c r="W54" i="50"/>
  <c r="X54" i="50"/>
  <c r="Z54" i="50"/>
  <c r="AA54" i="50"/>
  <c r="AC54" i="50"/>
  <c r="AE54" i="50"/>
  <c r="AF54" i="50"/>
  <c r="AG54" i="50"/>
  <c r="AH54" i="50"/>
  <c r="AI54" i="50"/>
  <c r="AJ54" i="50"/>
  <c r="AN54" i="50"/>
  <c r="AX54" i="50"/>
  <c r="AY54" i="50"/>
  <c r="BA54" i="50"/>
  <c r="BB54" i="50"/>
  <c r="BC54" i="50"/>
  <c r="E55" i="50"/>
  <c r="S55" i="50"/>
  <c r="T55" i="50"/>
  <c r="U55" i="50"/>
  <c r="V55" i="50"/>
  <c r="W55" i="50"/>
  <c r="X55" i="50"/>
  <c r="Z55" i="50"/>
  <c r="AA55" i="50"/>
  <c r="AC55" i="50"/>
  <c r="AE55" i="50"/>
  <c r="AF55" i="50"/>
  <c r="AG55" i="50"/>
  <c r="AH55" i="50"/>
  <c r="AI55" i="50"/>
  <c r="AJ55" i="50"/>
  <c r="AN55" i="50"/>
  <c r="AX55" i="50"/>
  <c r="AY55" i="50"/>
  <c r="BA55" i="50"/>
  <c r="BB55" i="50"/>
  <c r="BC55" i="50"/>
  <c r="E56" i="50"/>
  <c r="S56" i="50"/>
  <c r="T56" i="50"/>
  <c r="U56" i="50"/>
  <c r="V56" i="50"/>
  <c r="W56" i="50"/>
  <c r="X56" i="50"/>
  <c r="Z56" i="50"/>
  <c r="AA56" i="50"/>
  <c r="AC56" i="50"/>
  <c r="AE56" i="50"/>
  <c r="AF56" i="50"/>
  <c r="AG56" i="50"/>
  <c r="AH56" i="50"/>
  <c r="AI56" i="50"/>
  <c r="AJ56" i="50"/>
  <c r="AN56" i="50"/>
  <c r="AX56" i="50"/>
  <c r="AY56" i="50"/>
  <c r="BA56" i="50"/>
  <c r="BB56" i="50"/>
  <c r="BC56" i="50"/>
  <c r="E57" i="50"/>
  <c r="S57" i="50"/>
  <c r="T57" i="50"/>
  <c r="U57" i="50"/>
  <c r="V57" i="50"/>
  <c r="W57" i="50"/>
  <c r="X57" i="50"/>
  <c r="Z57" i="50"/>
  <c r="AA57" i="50"/>
  <c r="AC57" i="50"/>
  <c r="AE57" i="50"/>
  <c r="AF57" i="50"/>
  <c r="AG57" i="50"/>
  <c r="AH57" i="50"/>
  <c r="AI57" i="50"/>
  <c r="AJ57" i="50"/>
  <c r="AN57" i="50"/>
  <c r="AX57" i="50"/>
  <c r="AY57" i="50"/>
  <c r="BA57" i="50"/>
  <c r="BB57" i="50"/>
  <c r="BC57" i="50"/>
  <c r="E58" i="50"/>
  <c r="S58" i="50"/>
  <c r="T58" i="50"/>
  <c r="U58" i="50"/>
  <c r="V58" i="50"/>
  <c r="W58" i="50"/>
  <c r="X58" i="50"/>
  <c r="Z58" i="50"/>
  <c r="AA58" i="50"/>
  <c r="AC58" i="50"/>
  <c r="AE58" i="50"/>
  <c r="AF58" i="50"/>
  <c r="AG58" i="50"/>
  <c r="AH58" i="50"/>
  <c r="AI58" i="50"/>
  <c r="AJ58" i="50"/>
  <c r="AN58" i="50"/>
  <c r="AX58" i="50"/>
  <c r="AY58" i="50"/>
  <c r="BA58" i="50"/>
  <c r="BB58" i="50"/>
  <c r="BC58" i="50"/>
  <c r="E59" i="50"/>
  <c r="S59" i="50"/>
  <c r="T59" i="50"/>
  <c r="U59" i="50"/>
  <c r="V59" i="50"/>
  <c r="W59" i="50"/>
  <c r="X59" i="50"/>
  <c r="Z59" i="50"/>
  <c r="AA59" i="50"/>
  <c r="AC59" i="50"/>
  <c r="AE59" i="50"/>
  <c r="AF59" i="50"/>
  <c r="AG59" i="50"/>
  <c r="AH59" i="50"/>
  <c r="AI59" i="50"/>
  <c r="AJ59" i="50"/>
  <c r="AN59" i="50"/>
  <c r="AX59" i="50"/>
  <c r="AY59" i="50"/>
  <c r="BA59" i="50"/>
  <c r="BB59" i="50"/>
  <c r="BC59" i="50"/>
  <c r="E60" i="50"/>
  <c r="S60" i="50"/>
  <c r="T60" i="50"/>
  <c r="U60" i="50"/>
  <c r="V60" i="50"/>
  <c r="W60" i="50"/>
  <c r="X60" i="50"/>
  <c r="Z60" i="50"/>
  <c r="AA60" i="50"/>
  <c r="AC60" i="50"/>
  <c r="AE60" i="50"/>
  <c r="AF60" i="50"/>
  <c r="AG60" i="50"/>
  <c r="AH60" i="50"/>
  <c r="AI60" i="50"/>
  <c r="AJ60" i="50"/>
  <c r="AN60" i="50"/>
  <c r="AX60" i="50"/>
  <c r="AY60" i="50"/>
  <c r="BA60" i="50"/>
  <c r="BB60" i="50"/>
  <c r="BC60" i="50"/>
  <c r="E61" i="50"/>
  <c r="S61" i="50"/>
  <c r="T61" i="50"/>
  <c r="U61" i="50"/>
  <c r="V61" i="50"/>
  <c r="W61" i="50"/>
  <c r="X61" i="50"/>
  <c r="Z61" i="50"/>
  <c r="AA61" i="50"/>
  <c r="AC61" i="50"/>
  <c r="AE61" i="50"/>
  <c r="AF61" i="50"/>
  <c r="AG61" i="50"/>
  <c r="AH61" i="50"/>
  <c r="AI61" i="50"/>
  <c r="AJ61" i="50"/>
  <c r="AN61" i="50"/>
  <c r="AX61" i="50"/>
  <c r="AY61" i="50"/>
  <c r="BA61" i="50"/>
  <c r="BB61" i="50"/>
  <c r="BC61" i="50"/>
  <c r="E62" i="50"/>
  <c r="S62" i="50"/>
  <c r="T62" i="50"/>
  <c r="U62" i="50"/>
  <c r="V62" i="50"/>
  <c r="W62" i="50"/>
  <c r="X62" i="50"/>
  <c r="Z62" i="50"/>
  <c r="AA62" i="50"/>
  <c r="AC62" i="50"/>
  <c r="AE62" i="50"/>
  <c r="AF62" i="50"/>
  <c r="AG62" i="50"/>
  <c r="AH62" i="50"/>
  <c r="AI62" i="50"/>
  <c r="AJ62" i="50"/>
  <c r="AN62" i="50"/>
  <c r="AX62" i="50"/>
  <c r="AY62" i="50"/>
  <c r="BA62" i="50"/>
  <c r="BB62" i="50"/>
  <c r="BC62" i="50"/>
  <c r="E63" i="50"/>
  <c r="S63" i="50"/>
  <c r="T63" i="50"/>
  <c r="U63" i="50"/>
  <c r="V63" i="50"/>
  <c r="W63" i="50"/>
  <c r="X63" i="50"/>
  <c r="Z63" i="50"/>
  <c r="AA63" i="50"/>
  <c r="AC63" i="50"/>
  <c r="AE63" i="50"/>
  <c r="AF63" i="50"/>
  <c r="AG63" i="50"/>
  <c r="AH63" i="50"/>
  <c r="AI63" i="50"/>
  <c r="AJ63" i="50"/>
  <c r="AN63" i="50"/>
  <c r="AX63" i="50"/>
  <c r="AY63" i="50"/>
  <c r="BA63" i="50"/>
  <c r="BB63" i="50"/>
  <c r="BC63" i="50"/>
  <c r="E64" i="50"/>
  <c r="S64" i="50"/>
  <c r="T64" i="50"/>
  <c r="U64" i="50"/>
  <c r="V64" i="50"/>
  <c r="W64" i="50"/>
  <c r="X64" i="50"/>
  <c r="Z64" i="50"/>
  <c r="AA64" i="50"/>
  <c r="AC64" i="50"/>
  <c r="AE64" i="50"/>
  <c r="AF64" i="50"/>
  <c r="AG64" i="50"/>
  <c r="AH64" i="50"/>
  <c r="AI64" i="50"/>
  <c r="AJ64" i="50"/>
  <c r="AN64" i="50"/>
  <c r="AX64" i="50"/>
  <c r="AY64" i="50"/>
  <c r="BA64" i="50"/>
  <c r="BB64" i="50"/>
  <c r="BC64" i="50"/>
  <c r="E65" i="50"/>
  <c r="S65" i="50"/>
  <c r="T65" i="50"/>
  <c r="U65" i="50"/>
  <c r="V65" i="50"/>
  <c r="W65" i="50"/>
  <c r="X65" i="50"/>
  <c r="Z65" i="50"/>
  <c r="AA65" i="50"/>
  <c r="AC65" i="50"/>
  <c r="AE65" i="50"/>
  <c r="AF65" i="50"/>
  <c r="AG65" i="50"/>
  <c r="AH65" i="50"/>
  <c r="AI65" i="50"/>
  <c r="AJ65" i="50"/>
  <c r="AN65" i="50"/>
  <c r="AX65" i="50"/>
  <c r="AY65" i="50"/>
  <c r="BA65" i="50"/>
  <c r="BB65" i="50"/>
  <c r="BC65" i="50"/>
  <c r="E66" i="50"/>
  <c r="S66" i="50"/>
  <c r="T66" i="50"/>
  <c r="U66" i="50"/>
  <c r="V66" i="50"/>
  <c r="W66" i="50"/>
  <c r="X66" i="50"/>
  <c r="Z66" i="50"/>
  <c r="AA66" i="50"/>
  <c r="AC66" i="50"/>
  <c r="AE66" i="50"/>
  <c r="AF66" i="50"/>
  <c r="AG66" i="50"/>
  <c r="AH66" i="50"/>
  <c r="AI66" i="50"/>
  <c r="AJ66" i="50"/>
  <c r="AN66" i="50"/>
  <c r="AX66" i="50"/>
  <c r="AY66" i="50"/>
  <c r="BA66" i="50"/>
  <c r="BB66" i="50"/>
  <c r="BC66" i="50"/>
  <c r="E67" i="50"/>
  <c r="S67" i="50"/>
  <c r="T67" i="50"/>
  <c r="U67" i="50"/>
  <c r="V67" i="50"/>
  <c r="W67" i="50"/>
  <c r="X67" i="50"/>
  <c r="Z67" i="50"/>
  <c r="AA67" i="50"/>
  <c r="AC67" i="50"/>
  <c r="AE67" i="50"/>
  <c r="AF67" i="50"/>
  <c r="AG67" i="50"/>
  <c r="AH67" i="50"/>
  <c r="AI67" i="50"/>
  <c r="AJ67" i="50"/>
  <c r="AN67" i="50"/>
  <c r="AX67" i="50"/>
  <c r="AY67" i="50"/>
  <c r="BA67" i="50"/>
  <c r="BB67" i="50"/>
  <c r="BC67" i="50"/>
  <c r="E68" i="50"/>
  <c r="S68" i="50"/>
  <c r="T68" i="50"/>
  <c r="U68" i="50"/>
  <c r="V68" i="50"/>
  <c r="W68" i="50"/>
  <c r="X68" i="50"/>
  <c r="Z68" i="50"/>
  <c r="AA68" i="50"/>
  <c r="AC68" i="50"/>
  <c r="AE68" i="50"/>
  <c r="AF68" i="50"/>
  <c r="AG68" i="50"/>
  <c r="AH68" i="50"/>
  <c r="AI68" i="50"/>
  <c r="AJ68" i="50"/>
  <c r="AN68" i="50"/>
  <c r="AX68" i="50"/>
  <c r="AY68" i="50"/>
  <c r="BA68" i="50"/>
  <c r="BB68" i="50"/>
  <c r="BC68" i="50"/>
  <c r="X69" i="50"/>
  <c r="AN69" i="50"/>
  <c r="E73" i="50"/>
  <c r="S73" i="50"/>
  <c r="T73" i="50"/>
  <c r="U73" i="50"/>
  <c r="V73" i="50"/>
  <c r="W73" i="50"/>
  <c r="X73" i="50"/>
  <c r="Z73" i="50"/>
  <c r="AA73" i="50"/>
  <c r="AC73" i="50"/>
  <c r="AG73" i="50"/>
  <c r="AH73" i="50"/>
  <c r="AJ73" i="50"/>
  <c r="AM73" i="50"/>
  <c r="AN73" i="50"/>
  <c r="AO73" i="50"/>
  <c r="AX73" i="50"/>
  <c r="AY73" i="50"/>
  <c r="A74" i="50"/>
  <c r="B74" i="50"/>
  <c r="C74" i="50"/>
  <c r="D74" i="50"/>
  <c r="E74" i="50"/>
  <c r="F74" i="50"/>
  <c r="S74" i="50"/>
  <c r="T74" i="50"/>
  <c r="U74" i="50"/>
  <c r="V74" i="50"/>
  <c r="W74" i="50"/>
  <c r="X74" i="50"/>
  <c r="Z74" i="50"/>
  <c r="AA74" i="50"/>
  <c r="AC74" i="50"/>
  <c r="AG74" i="50"/>
  <c r="AH74" i="50"/>
  <c r="AJ74" i="50"/>
  <c r="AM74" i="50"/>
  <c r="AN74" i="50"/>
  <c r="AO74" i="50"/>
  <c r="AX74" i="50"/>
  <c r="AY74" i="50"/>
  <c r="A75" i="50"/>
  <c r="B75" i="50"/>
  <c r="C75" i="50"/>
  <c r="D75" i="50"/>
  <c r="E75" i="50"/>
  <c r="F75" i="50"/>
  <c r="S75" i="50"/>
  <c r="T75" i="50"/>
  <c r="U75" i="50"/>
  <c r="V75" i="50"/>
  <c r="W75" i="50"/>
  <c r="X75" i="50"/>
  <c r="Z75" i="50"/>
  <c r="AA75" i="50"/>
  <c r="AC75" i="50"/>
  <c r="AG75" i="50"/>
  <c r="AH75" i="50"/>
  <c r="AJ75" i="50"/>
  <c r="AM75" i="50"/>
  <c r="AN75" i="50"/>
  <c r="AO75" i="50"/>
  <c r="AX75" i="50"/>
  <c r="AY75" i="50"/>
  <c r="A76" i="50"/>
  <c r="B76" i="50"/>
  <c r="C76" i="50"/>
  <c r="D76" i="50"/>
  <c r="E76" i="50"/>
  <c r="F76" i="50"/>
  <c r="S76" i="50"/>
  <c r="T76" i="50"/>
  <c r="U76" i="50"/>
  <c r="V76" i="50"/>
  <c r="W76" i="50"/>
  <c r="X76" i="50"/>
  <c r="Z76" i="50"/>
  <c r="AA76" i="50"/>
  <c r="AC76" i="50"/>
  <c r="AG76" i="50"/>
  <c r="AH76" i="50"/>
  <c r="AJ76" i="50"/>
  <c r="AM76" i="50"/>
  <c r="AN76" i="50"/>
  <c r="AO76" i="50"/>
  <c r="AX76" i="50"/>
  <c r="AY76" i="50"/>
  <c r="A77" i="50"/>
  <c r="B77" i="50"/>
  <c r="C77" i="50"/>
  <c r="D77" i="50"/>
  <c r="E77" i="50"/>
  <c r="F77" i="50"/>
  <c r="S77" i="50"/>
  <c r="T77" i="50"/>
  <c r="U77" i="50"/>
  <c r="V77" i="50"/>
  <c r="W77" i="50"/>
  <c r="X77" i="50"/>
  <c r="Z77" i="50"/>
  <c r="AA77" i="50"/>
  <c r="AC77" i="50"/>
  <c r="AG77" i="50"/>
  <c r="AH77" i="50"/>
  <c r="AJ77" i="50"/>
  <c r="AM77" i="50"/>
  <c r="AN77" i="50"/>
  <c r="AO77" i="50"/>
  <c r="AX77" i="50"/>
  <c r="AY77" i="50"/>
  <c r="A78" i="50"/>
  <c r="B78" i="50"/>
  <c r="C78" i="50"/>
  <c r="D78" i="50"/>
  <c r="E78" i="50"/>
  <c r="F78" i="50"/>
  <c r="S78" i="50"/>
  <c r="T78" i="50"/>
  <c r="U78" i="50"/>
  <c r="V78" i="50"/>
  <c r="W78" i="50"/>
  <c r="X78" i="50"/>
  <c r="Z78" i="50"/>
  <c r="AA78" i="50"/>
  <c r="AC78" i="50"/>
  <c r="AG78" i="50"/>
  <c r="AH78" i="50"/>
  <c r="AJ78" i="50"/>
  <c r="AM78" i="50"/>
  <c r="AN78" i="50"/>
  <c r="AO78" i="50"/>
  <c r="AX78" i="50"/>
  <c r="AY78" i="50"/>
  <c r="A79" i="50"/>
  <c r="B79" i="50"/>
  <c r="C79" i="50"/>
  <c r="D79" i="50"/>
  <c r="E79" i="50"/>
  <c r="F79" i="50"/>
  <c r="S79" i="50"/>
  <c r="T79" i="50"/>
  <c r="U79" i="50"/>
  <c r="V79" i="50"/>
  <c r="W79" i="50"/>
  <c r="X79" i="50"/>
  <c r="Z79" i="50"/>
  <c r="AA79" i="50"/>
  <c r="AC79" i="50"/>
  <c r="AG79" i="50"/>
  <c r="AH79" i="50"/>
  <c r="AJ79" i="50"/>
  <c r="AM79" i="50"/>
  <c r="AN79" i="50"/>
  <c r="AO79" i="50"/>
  <c r="AX79" i="50"/>
  <c r="AY79" i="50"/>
  <c r="A80" i="50"/>
  <c r="B80" i="50"/>
  <c r="C80" i="50"/>
  <c r="D80" i="50"/>
  <c r="E80" i="50"/>
  <c r="F80" i="50"/>
  <c r="S80" i="50"/>
  <c r="T80" i="50"/>
  <c r="U80" i="50"/>
  <c r="V80" i="50"/>
  <c r="W80" i="50"/>
  <c r="X80" i="50"/>
  <c r="Z80" i="50"/>
  <c r="AA80" i="50"/>
  <c r="AC80" i="50"/>
  <c r="AG80" i="50"/>
  <c r="AH80" i="50"/>
  <c r="AJ80" i="50"/>
  <c r="AM80" i="50"/>
  <c r="AN80" i="50"/>
  <c r="AO80" i="50"/>
  <c r="AX80" i="50"/>
  <c r="AY80" i="50"/>
  <c r="A81" i="50"/>
  <c r="B81" i="50"/>
  <c r="C81" i="50"/>
  <c r="D81" i="50"/>
  <c r="E81" i="50"/>
  <c r="F81" i="50"/>
  <c r="S81" i="50"/>
  <c r="T81" i="50"/>
  <c r="U81" i="50"/>
  <c r="V81" i="50"/>
  <c r="W81" i="50"/>
  <c r="X81" i="50"/>
  <c r="Z81" i="50"/>
  <c r="AA81" i="50"/>
  <c r="AC81" i="50"/>
  <c r="AG81" i="50"/>
  <c r="AH81" i="50"/>
  <c r="AJ81" i="50"/>
  <c r="AM81" i="50"/>
  <c r="AN81" i="50"/>
  <c r="AO81" i="50"/>
  <c r="AX81" i="50"/>
  <c r="AY81" i="50"/>
  <c r="A82" i="50"/>
  <c r="B82" i="50"/>
  <c r="C82" i="50"/>
  <c r="D82" i="50"/>
  <c r="E82" i="50"/>
  <c r="F82" i="50"/>
  <c r="S82" i="50"/>
  <c r="T82" i="50"/>
  <c r="U82" i="50"/>
  <c r="V82" i="50"/>
  <c r="W82" i="50"/>
  <c r="X82" i="50"/>
  <c r="Z82" i="50"/>
  <c r="AA82" i="50"/>
  <c r="AC82" i="50"/>
  <c r="AG82" i="50"/>
  <c r="AH82" i="50"/>
  <c r="AJ82" i="50"/>
  <c r="AM82" i="50"/>
  <c r="AN82" i="50"/>
  <c r="AO82" i="50"/>
  <c r="AX82" i="50"/>
  <c r="AY82" i="50"/>
  <c r="A83" i="50"/>
  <c r="B83" i="50"/>
  <c r="C83" i="50"/>
  <c r="D83" i="50"/>
  <c r="E83" i="50"/>
  <c r="F83" i="50"/>
  <c r="S83" i="50"/>
  <c r="T83" i="50"/>
  <c r="U83" i="50"/>
  <c r="V83" i="50"/>
  <c r="W83" i="50"/>
  <c r="X83" i="50"/>
  <c r="Z83" i="50"/>
  <c r="AA83" i="50"/>
  <c r="AC83" i="50"/>
  <c r="AG83" i="50"/>
  <c r="AH83" i="50"/>
  <c r="AJ83" i="50"/>
  <c r="AM83" i="50"/>
  <c r="AN83" i="50"/>
  <c r="AO83" i="50"/>
  <c r="AX83" i="50"/>
  <c r="AY83" i="50"/>
  <c r="A84" i="50"/>
  <c r="B84" i="50"/>
  <c r="C84" i="50"/>
  <c r="D84" i="50"/>
  <c r="E84" i="50"/>
  <c r="F84" i="50"/>
  <c r="S84" i="50"/>
  <c r="T84" i="50"/>
  <c r="U84" i="50"/>
  <c r="V84" i="50"/>
  <c r="W84" i="50"/>
  <c r="X84" i="50"/>
  <c r="Z84" i="50"/>
  <c r="AA84" i="50"/>
  <c r="AC84" i="50"/>
  <c r="AG84" i="50"/>
  <c r="AH84" i="50"/>
  <c r="AJ84" i="50"/>
  <c r="AM84" i="50"/>
  <c r="AN84" i="50"/>
  <c r="AO84" i="50"/>
  <c r="AX84" i="50"/>
  <c r="AY84" i="50"/>
  <c r="A85" i="50"/>
  <c r="B85" i="50"/>
  <c r="C85" i="50"/>
  <c r="D85" i="50"/>
  <c r="E85" i="50"/>
  <c r="F85" i="50"/>
  <c r="S85" i="50"/>
  <c r="T85" i="50"/>
  <c r="U85" i="50"/>
  <c r="V85" i="50"/>
  <c r="W85" i="50"/>
  <c r="X85" i="50"/>
  <c r="Z85" i="50"/>
  <c r="AA85" i="50"/>
  <c r="AC85" i="50"/>
  <c r="AG85" i="50"/>
  <c r="AH85" i="50"/>
  <c r="AJ85" i="50"/>
  <c r="AM85" i="50"/>
  <c r="AN85" i="50"/>
  <c r="AO85" i="50"/>
  <c r="AX85" i="50"/>
  <c r="AY85" i="50"/>
  <c r="A86" i="50"/>
  <c r="B86" i="50"/>
  <c r="C86" i="50"/>
  <c r="D86" i="50"/>
  <c r="E86" i="50"/>
  <c r="F86" i="50"/>
  <c r="S86" i="50"/>
  <c r="T86" i="50"/>
  <c r="U86" i="50"/>
  <c r="V86" i="50"/>
  <c r="W86" i="50"/>
  <c r="X86" i="50"/>
  <c r="Z86" i="50"/>
  <c r="AA86" i="50"/>
  <c r="AC86" i="50"/>
  <c r="AG86" i="50"/>
  <c r="AH86" i="50"/>
  <c r="AJ86" i="50"/>
  <c r="AM86" i="50"/>
  <c r="AN86" i="50"/>
  <c r="AO86" i="50"/>
  <c r="AX86" i="50"/>
  <c r="AY86" i="50"/>
  <c r="A87" i="50"/>
  <c r="B87" i="50"/>
  <c r="C87" i="50"/>
  <c r="D87" i="50"/>
  <c r="E87" i="50"/>
  <c r="F87" i="50"/>
  <c r="S87" i="50"/>
  <c r="T87" i="50"/>
  <c r="U87" i="50"/>
  <c r="V87" i="50"/>
  <c r="W87" i="50"/>
  <c r="X87" i="50"/>
  <c r="Z87" i="50"/>
  <c r="AA87" i="50"/>
  <c r="AC87" i="50"/>
  <c r="AG87" i="50"/>
  <c r="AH87" i="50"/>
  <c r="AJ87" i="50"/>
  <c r="AM87" i="50"/>
  <c r="AN87" i="50"/>
  <c r="AO87" i="50"/>
  <c r="AX87" i="50"/>
  <c r="AY87" i="50"/>
  <c r="A88" i="50"/>
  <c r="B88" i="50"/>
  <c r="C88" i="50"/>
  <c r="D88" i="50"/>
  <c r="E88" i="50"/>
  <c r="F88" i="50"/>
  <c r="S88" i="50"/>
  <c r="T88" i="50"/>
  <c r="U88" i="50"/>
  <c r="V88" i="50"/>
  <c r="W88" i="50"/>
  <c r="X88" i="50"/>
  <c r="Z88" i="50"/>
  <c r="AA88" i="50"/>
  <c r="AC88" i="50"/>
  <c r="AG88" i="50"/>
  <c r="AH88" i="50"/>
  <c r="AJ88" i="50"/>
  <c r="AM88" i="50"/>
  <c r="AN88" i="50"/>
  <c r="AO88" i="50"/>
  <c r="AX88" i="50"/>
  <c r="AY88" i="50"/>
  <c r="A89" i="50"/>
  <c r="B89" i="50"/>
  <c r="C89" i="50"/>
  <c r="D89" i="50"/>
  <c r="E89" i="50"/>
  <c r="F89" i="50"/>
  <c r="S89" i="50"/>
  <c r="T89" i="50"/>
  <c r="U89" i="50"/>
  <c r="V89" i="50"/>
  <c r="W89" i="50"/>
  <c r="X89" i="50"/>
  <c r="Z89" i="50"/>
  <c r="AA89" i="50"/>
  <c r="AC89" i="50"/>
  <c r="AG89" i="50"/>
  <c r="AH89" i="50"/>
  <c r="AJ89" i="50"/>
  <c r="AM89" i="50"/>
  <c r="AN89" i="50"/>
  <c r="AO89" i="50"/>
  <c r="AX89" i="50"/>
  <c r="AY89" i="50"/>
  <c r="A90" i="50"/>
  <c r="B90" i="50"/>
  <c r="C90" i="50"/>
  <c r="D90" i="50"/>
  <c r="E90" i="50"/>
  <c r="F90" i="50"/>
  <c r="S90" i="50"/>
  <c r="T90" i="50"/>
  <c r="U90" i="50"/>
  <c r="V90" i="50"/>
  <c r="W90" i="50"/>
  <c r="X90" i="50"/>
  <c r="Z90" i="50"/>
  <c r="AA90" i="50"/>
  <c r="AC90" i="50"/>
  <c r="AG90" i="50"/>
  <c r="AH90" i="50"/>
  <c r="AJ90" i="50"/>
  <c r="AM90" i="50"/>
  <c r="AN90" i="50"/>
  <c r="AO90" i="50"/>
  <c r="AX90" i="50"/>
  <c r="AY90" i="50"/>
  <c r="A91" i="50"/>
  <c r="B91" i="50"/>
  <c r="C91" i="50"/>
  <c r="D91" i="50"/>
  <c r="E91" i="50"/>
  <c r="F91" i="50"/>
  <c r="S91" i="50"/>
  <c r="T91" i="50"/>
  <c r="U91" i="50"/>
  <c r="V91" i="50"/>
  <c r="W91" i="50"/>
  <c r="X91" i="50"/>
  <c r="Z91" i="50"/>
  <c r="AA91" i="50"/>
  <c r="AC91" i="50"/>
  <c r="AG91" i="50"/>
  <c r="AH91" i="50"/>
  <c r="AJ91" i="50"/>
  <c r="AM91" i="50"/>
  <c r="AN91" i="50"/>
  <c r="AO91" i="50"/>
  <c r="AX91" i="50"/>
  <c r="AY91" i="50"/>
  <c r="A92" i="50"/>
  <c r="B92" i="50"/>
  <c r="C92" i="50"/>
  <c r="D92" i="50"/>
  <c r="E92" i="50"/>
  <c r="F92" i="50"/>
  <c r="S92" i="50"/>
  <c r="T92" i="50"/>
  <c r="U92" i="50"/>
  <c r="V92" i="50"/>
  <c r="W92" i="50"/>
  <c r="X92" i="50"/>
  <c r="Z92" i="50"/>
  <c r="AA92" i="50"/>
  <c r="AC92" i="50"/>
  <c r="AG92" i="50"/>
  <c r="AH92" i="50"/>
  <c r="AJ92" i="50"/>
  <c r="AM92" i="50"/>
  <c r="AN92" i="50"/>
  <c r="AO92" i="50"/>
  <c r="AX92" i="50"/>
  <c r="AY92" i="50"/>
  <c r="A93" i="50"/>
  <c r="B93" i="50"/>
  <c r="C93" i="50"/>
  <c r="D93" i="50"/>
  <c r="E93" i="50"/>
  <c r="F93" i="50"/>
  <c r="S93" i="50"/>
  <c r="T93" i="50"/>
  <c r="U93" i="50"/>
  <c r="V93" i="50"/>
  <c r="W93" i="50"/>
  <c r="X93" i="50"/>
  <c r="Z93" i="50"/>
  <c r="AA93" i="50"/>
  <c r="AC93" i="50"/>
  <c r="AG93" i="50"/>
  <c r="AH93" i="50"/>
  <c r="AJ93" i="50"/>
  <c r="AM93" i="50"/>
  <c r="AN93" i="50"/>
  <c r="AO93" i="50"/>
  <c r="AX93" i="50"/>
  <c r="AY93" i="50"/>
  <c r="B94" i="50"/>
  <c r="X94" i="50"/>
  <c r="AN94" i="50"/>
  <c r="A98" i="50"/>
  <c r="B98" i="50"/>
  <c r="C98" i="50"/>
  <c r="D98" i="50"/>
  <c r="E98" i="50"/>
  <c r="S98" i="50"/>
  <c r="T98" i="50"/>
  <c r="U98" i="50"/>
  <c r="V98" i="50"/>
  <c r="W98" i="50"/>
  <c r="X98" i="50"/>
  <c r="Z98" i="50"/>
  <c r="AA98" i="50"/>
  <c r="AC98" i="50"/>
  <c r="AE98" i="50"/>
  <c r="AF98" i="50"/>
  <c r="AG98" i="50"/>
  <c r="AH98" i="50"/>
  <c r="AI98" i="50"/>
  <c r="AJ98" i="50"/>
  <c r="AN98" i="50"/>
  <c r="AO98" i="50"/>
  <c r="AX98" i="50"/>
  <c r="AY98" i="50"/>
  <c r="BA98" i="50"/>
  <c r="A99" i="50"/>
  <c r="B99" i="50"/>
  <c r="C99" i="50"/>
  <c r="D99" i="50"/>
  <c r="E99" i="50"/>
  <c r="F99" i="50"/>
  <c r="S99" i="50"/>
  <c r="T99" i="50"/>
  <c r="U99" i="50"/>
  <c r="V99" i="50"/>
  <c r="W99" i="50"/>
  <c r="X99" i="50"/>
  <c r="Z99" i="50"/>
  <c r="AA99" i="50"/>
  <c r="AC99" i="50"/>
  <c r="AE99" i="50"/>
  <c r="AF99" i="50"/>
  <c r="AG99" i="50"/>
  <c r="AH99" i="50"/>
  <c r="AI99" i="50"/>
  <c r="AJ99" i="50"/>
  <c r="AN99" i="50"/>
  <c r="AO99" i="50"/>
  <c r="AX99" i="50"/>
  <c r="AY99" i="50"/>
  <c r="BA99" i="50"/>
  <c r="A100" i="50"/>
  <c r="B100" i="50"/>
  <c r="C100" i="50"/>
  <c r="D100" i="50"/>
  <c r="E100" i="50"/>
  <c r="F100" i="50"/>
  <c r="S100" i="50"/>
  <c r="T100" i="50"/>
  <c r="U100" i="50"/>
  <c r="V100" i="50"/>
  <c r="W100" i="50"/>
  <c r="X100" i="50"/>
  <c r="Z100" i="50"/>
  <c r="AA100" i="50"/>
  <c r="AC100" i="50"/>
  <c r="AE100" i="50"/>
  <c r="AF100" i="50"/>
  <c r="AG100" i="50"/>
  <c r="AH100" i="50"/>
  <c r="AI100" i="50"/>
  <c r="AJ100" i="50"/>
  <c r="AN100" i="50"/>
  <c r="AO100" i="50"/>
  <c r="AX100" i="50"/>
  <c r="AY100" i="50"/>
  <c r="BA100" i="50"/>
  <c r="A101" i="50"/>
  <c r="B101" i="50"/>
  <c r="C101" i="50"/>
  <c r="D101" i="50"/>
  <c r="E101" i="50"/>
  <c r="F101" i="50"/>
  <c r="S101" i="50"/>
  <c r="T101" i="50"/>
  <c r="U101" i="50"/>
  <c r="V101" i="50"/>
  <c r="W101" i="50"/>
  <c r="X101" i="50"/>
  <c r="Z101" i="50"/>
  <c r="AA101" i="50"/>
  <c r="AC101" i="50"/>
  <c r="AE101" i="50"/>
  <c r="AF101" i="50"/>
  <c r="AG101" i="50"/>
  <c r="AH101" i="50"/>
  <c r="AI101" i="50"/>
  <c r="AJ101" i="50"/>
  <c r="AN101" i="50"/>
  <c r="AO101" i="50"/>
  <c r="AX101" i="50"/>
  <c r="AY101" i="50"/>
  <c r="BA101" i="50"/>
  <c r="A102" i="50"/>
  <c r="B102" i="50"/>
  <c r="C102" i="50"/>
  <c r="D102" i="50"/>
  <c r="E102" i="50"/>
  <c r="F102" i="50"/>
  <c r="S102" i="50"/>
  <c r="T102" i="50"/>
  <c r="U102" i="50"/>
  <c r="V102" i="50"/>
  <c r="W102" i="50"/>
  <c r="X102" i="50"/>
  <c r="Z102" i="50"/>
  <c r="AA102" i="50"/>
  <c r="AC102" i="50"/>
  <c r="AE102" i="50"/>
  <c r="AF102" i="50"/>
  <c r="AG102" i="50"/>
  <c r="AH102" i="50"/>
  <c r="AI102" i="50"/>
  <c r="AJ102" i="50"/>
  <c r="AN102" i="50"/>
  <c r="AO102" i="50"/>
  <c r="AX102" i="50"/>
  <c r="AY102" i="50"/>
  <c r="BA102" i="50"/>
  <c r="A103" i="50"/>
  <c r="B103" i="50"/>
  <c r="C103" i="50"/>
  <c r="D103" i="50"/>
  <c r="E103" i="50"/>
  <c r="F103" i="50"/>
  <c r="S103" i="50"/>
  <c r="T103" i="50"/>
  <c r="U103" i="50"/>
  <c r="V103" i="50"/>
  <c r="W103" i="50"/>
  <c r="X103" i="50"/>
  <c r="Z103" i="50"/>
  <c r="AA103" i="50"/>
  <c r="AC103" i="50"/>
  <c r="AE103" i="50"/>
  <c r="AF103" i="50"/>
  <c r="AG103" i="50"/>
  <c r="AH103" i="50"/>
  <c r="AI103" i="50"/>
  <c r="AJ103" i="50"/>
  <c r="AN103" i="50"/>
  <c r="AO103" i="50"/>
  <c r="AX103" i="50"/>
  <c r="AY103" i="50"/>
  <c r="BA103" i="50"/>
  <c r="A104" i="50"/>
  <c r="B104" i="50"/>
  <c r="C104" i="50"/>
  <c r="D104" i="50"/>
  <c r="E104" i="50"/>
  <c r="F104" i="50"/>
  <c r="S104" i="50"/>
  <c r="T104" i="50"/>
  <c r="U104" i="50"/>
  <c r="V104" i="50"/>
  <c r="W104" i="50"/>
  <c r="X104" i="50"/>
  <c r="Z104" i="50"/>
  <c r="AA104" i="50"/>
  <c r="AC104" i="50"/>
  <c r="AE104" i="50"/>
  <c r="AF104" i="50"/>
  <c r="AG104" i="50"/>
  <c r="AH104" i="50"/>
  <c r="AI104" i="50"/>
  <c r="AJ104" i="50"/>
  <c r="AN104" i="50"/>
  <c r="AO104" i="50"/>
  <c r="AX104" i="50"/>
  <c r="AY104" i="50"/>
  <c r="BA104" i="50"/>
  <c r="A105" i="50"/>
  <c r="B105" i="50"/>
  <c r="C105" i="50"/>
  <c r="D105" i="50"/>
  <c r="E105" i="50"/>
  <c r="F105" i="50"/>
  <c r="S105" i="50"/>
  <c r="T105" i="50"/>
  <c r="U105" i="50"/>
  <c r="V105" i="50"/>
  <c r="W105" i="50"/>
  <c r="X105" i="50"/>
  <c r="Z105" i="50"/>
  <c r="AA105" i="50"/>
  <c r="AC105" i="50"/>
  <c r="AE105" i="50"/>
  <c r="AF105" i="50"/>
  <c r="AG105" i="50"/>
  <c r="AH105" i="50"/>
  <c r="AI105" i="50"/>
  <c r="AJ105" i="50"/>
  <c r="AN105" i="50"/>
  <c r="AO105" i="50"/>
  <c r="AX105" i="50"/>
  <c r="AY105" i="50"/>
  <c r="BA105" i="50"/>
  <c r="A106" i="50"/>
  <c r="B106" i="50"/>
  <c r="C106" i="50"/>
  <c r="D106" i="50"/>
  <c r="E106" i="50"/>
  <c r="F106" i="50"/>
  <c r="S106" i="50"/>
  <c r="T106" i="50"/>
  <c r="U106" i="50"/>
  <c r="V106" i="50"/>
  <c r="W106" i="50"/>
  <c r="X106" i="50"/>
  <c r="Z106" i="50"/>
  <c r="AA106" i="50"/>
  <c r="AC106" i="50"/>
  <c r="AE106" i="50"/>
  <c r="AF106" i="50"/>
  <c r="AG106" i="50"/>
  <c r="AH106" i="50"/>
  <c r="AI106" i="50"/>
  <c r="AJ106" i="50"/>
  <c r="AN106" i="50"/>
  <c r="AO106" i="50"/>
  <c r="AX106" i="50"/>
  <c r="AY106" i="50"/>
  <c r="BA106" i="50"/>
  <c r="A107" i="50"/>
  <c r="B107" i="50"/>
  <c r="C107" i="50"/>
  <c r="D107" i="50"/>
  <c r="E107" i="50"/>
  <c r="F107" i="50"/>
  <c r="S107" i="50"/>
  <c r="T107" i="50"/>
  <c r="U107" i="50"/>
  <c r="V107" i="50"/>
  <c r="W107" i="50"/>
  <c r="X107" i="50"/>
  <c r="Z107" i="50"/>
  <c r="AA107" i="50"/>
  <c r="AC107" i="50"/>
  <c r="AE107" i="50"/>
  <c r="AF107" i="50"/>
  <c r="AG107" i="50"/>
  <c r="AH107" i="50"/>
  <c r="AI107" i="50"/>
  <c r="AJ107" i="50"/>
  <c r="AN107" i="50"/>
  <c r="AO107" i="50"/>
  <c r="AX107" i="50"/>
  <c r="AY107" i="50"/>
  <c r="BA107" i="50"/>
  <c r="A108" i="50"/>
  <c r="B108" i="50"/>
  <c r="C108" i="50"/>
  <c r="D108" i="50"/>
  <c r="E108" i="50"/>
  <c r="F108" i="50"/>
  <c r="S108" i="50"/>
  <c r="T108" i="50"/>
  <c r="U108" i="50"/>
  <c r="V108" i="50"/>
  <c r="W108" i="50"/>
  <c r="X108" i="50"/>
  <c r="Z108" i="50"/>
  <c r="AA108" i="50"/>
  <c r="AC108" i="50"/>
  <c r="AE108" i="50"/>
  <c r="AF108" i="50"/>
  <c r="AG108" i="50"/>
  <c r="AH108" i="50"/>
  <c r="AI108" i="50"/>
  <c r="AJ108" i="50"/>
  <c r="AN108" i="50"/>
  <c r="AO108" i="50"/>
  <c r="AX108" i="50"/>
  <c r="AY108" i="50"/>
  <c r="BA108" i="50"/>
  <c r="A109" i="50"/>
  <c r="B109" i="50"/>
  <c r="C109" i="50"/>
  <c r="D109" i="50"/>
  <c r="E109" i="50"/>
  <c r="F109" i="50"/>
  <c r="S109" i="50"/>
  <c r="T109" i="50"/>
  <c r="U109" i="50"/>
  <c r="V109" i="50"/>
  <c r="W109" i="50"/>
  <c r="X109" i="50"/>
  <c r="Z109" i="50"/>
  <c r="AA109" i="50"/>
  <c r="AC109" i="50"/>
  <c r="AE109" i="50"/>
  <c r="AF109" i="50"/>
  <c r="AG109" i="50"/>
  <c r="AH109" i="50"/>
  <c r="AI109" i="50"/>
  <c r="AJ109" i="50"/>
  <c r="AN109" i="50"/>
  <c r="AO109" i="50"/>
  <c r="AX109" i="50"/>
  <c r="AY109" i="50"/>
  <c r="BA109" i="50"/>
  <c r="A110" i="50"/>
  <c r="B110" i="50"/>
  <c r="C110" i="50"/>
  <c r="D110" i="50"/>
  <c r="E110" i="50"/>
  <c r="F110" i="50"/>
  <c r="S110" i="50"/>
  <c r="T110" i="50"/>
  <c r="U110" i="50"/>
  <c r="V110" i="50"/>
  <c r="W110" i="50"/>
  <c r="X110" i="50"/>
  <c r="Z110" i="50"/>
  <c r="AA110" i="50"/>
  <c r="AC110" i="50"/>
  <c r="AE110" i="50"/>
  <c r="AF110" i="50"/>
  <c r="AG110" i="50"/>
  <c r="AH110" i="50"/>
  <c r="AI110" i="50"/>
  <c r="AJ110" i="50"/>
  <c r="AN110" i="50"/>
  <c r="AO110" i="50"/>
  <c r="AX110" i="50"/>
  <c r="AY110" i="50"/>
  <c r="BA110" i="50"/>
  <c r="A111" i="50"/>
  <c r="B111" i="50"/>
  <c r="C111" i="50"/>
  <c r="D111" i="50"/>
  <c r="E111" i="50"/>
  <c r="F111" i="50"/>
  <c r="S111" i="50"/>
  <c r="T111" i="50"/>
  <c r="U111" i="50"/>
  <c r="V111" i="50"/>
  <c r="W111" i="50"/>
  <c r="X111" i="50"/>
  <c r="Z111" i="50"/>
  <c r="AA111" i="50"/>
  <c r="AC111" i="50"/>
  <c r="AE111" i="50"/>
  <c r="AF111" i="50"/>
  <c r="AG111" i="50"/>
  <c r="AH111" i="50"/>
  <c r="AI111" i="50"/>
  <c r="AJ111" i="50"/>
  <c r="AN111" i="50"/>
  <c r="AO111" i="50"/>
  <c r="AX111" i="50"/>
  <c r="AY111" i="50"/>
  <c r="BA111" i="50"/>
  <c r="A112" i="50"/>
  <c r="B112" i="50"/>
  <c r="C112" i="50"/>
  <c r="D112" i="50"/>
  <c r="E112" i="50"/>
  <c r="F112" i="50"/>
  <c r="S112" i="50"/>
  <c r="T112" i="50"/>
  <c r="U112" i="50"/>
  <c r="V112" i="50"/>
  <c r="W112" i="50"/>
  <c r="X112" i="50"/>
  <c r="Z112" i="50"/>
  <c r="AA112" i="50"/>
  <c r="AC112" i="50"/>
  <c r="AE112" i="50"/>
  <c r="AF112" i="50"/>
  <c r="AG112" i="50"/>
  <c r="AH112" i="50"/>
  <c r="AI112" i="50"/>
  <c r="AJ112" i="50"/>
  <c r="AN112" i="50"/>
  <c r="AO112" i="50"/>
  <c r="AX112" i="50"/>
  <c r="AY112" i="50"/>
  <c r="BA112" i="50"/>
  <c r="A113" i="50"/>
  <c r="B113" i="50"/>
  <c r="C113" i="50"/>
  <c r="D113" i="50"/>
  <c r="E113" i="50"/>
  <c r="F113" i="50"/>
  <c r="S113" i="50"/>
  <c r="T113" i="50"/>
  <c r="U113" i="50"/>
  <c r="V113" i="50"/>
  <c r="W113" i="50"/>
  <c r="X113" i="50"/>
  <c r="Z113" i="50"/>
  <c r="AA113" i="50"/>
  <c r="AC113" i="50"/>
  <c r="AE113" i="50"/>
  <c r="AF113" i="50"/>
  <c r="AG113" i="50"/>
  <c r="AH113" i="50"/>
  <c r="AI113" i="50"/>
  <c r="AJ113" i="50"/>
  <c r="AN113" i="50"/>
  <c r="AO113" i="50"/>
  <c r="AX113" i="50"/>
  <c r="AY113" i="50"/>
  <c r="BA113" i="50"/>
  <c r="A114" i="50"/>
  <c r="B114" i="50"/>
  <c r="C114" i="50"/>
  <c r="D114" i="50"/>
  <c r="E114" i="50"/>
  <c r="F114" i="50"/>
  <c r="S114" i="50"/>
  <c r="T114" i="50"/>
  <c r="U114" i="50"/>
  <c r="V114" i="50"/>
  <c r="W114" i="50"/>
  <c r="X114" i="50"/>
  <c r="Z114" i="50"/>
  <c r="AA114" i="50"/>
  <c r="AC114" i="50"/>
  <c r="AE114" i="50"/>
  <c r="AF114" i="50"/>
  <c r="AG114" i="50"/>
  <c r="AH114" i="50"/>
  <c r="AI114" i="50"/>
  <c r="AJ114" i="50"/>
  <c r="AN114" i="50"/>
  <c r="AO114" i="50"/>
  <c r="AX114" i="50"/>
  <c r="AY114" i="50"/>
  <c r="BA114" i="50"/>
  <c r="A115" i="50"/>
  <c r="B115" i="50"/>
  <c r="C115" i="50"/>
  <c r="D115" i="50"/>
  <c r="E115" i="50"/>
  <c r="F115" i="50"/>
  <c r="S115" i="50"/>
  <c r="T115" i="50"/>
  <c r="U115" i="50"/>
  <c r="V115" i="50"/>
  <c r="W115" i="50"/>
  <c r="X115" i="50"/>
  <c r="Z115" i="50"/>
  <c r="AA115" i="50"/>
  <c r="AC115" i="50"/>
  <c r="AE115" i="50"/>
  <c r="AF115" i="50"/>
  <c r="AG115" i="50"/>
  <c r="AH115" i="50"/>
  <c r="AI115" i="50"/>
  <c r="AJ115" i="50"/>
  <c r="AN115" i="50"/>
  <c r="AO115" i="50"/>
  <c r="AX115" i="50"/>
  <c r="AY115" i="50"/>
  <c r="BA115" i="50"/>
  <c r="A116" i="50"/>
  <c r="B116" i="50"/>
  <c r="C116" i="50"/>
  <c r="D116" i="50"/>
  <c r="E116" i="50"/>
  <c r="F116" i="50"/>
  <c r="S116" i="50"/>
  <c r="T116" i="50"/>
  <c r="U116" i="50"/>
  <c r="V116" i="50"/>
  <c r="W116" i="50"/>
  <c r="X116" i="50"/>
  <c r="Z116" i="50"/>
  <c r="AA116" i="50"/>
  <c r="AC116" i="50"/>
  <c r="AE116" i="50"/>
  <c r="AF116" i="50"/>
  <c r="AG116" i="50"/>
  <c r="AH116" i="50"/>
  <c r="AI116" i="50"/>
  <c r="AJ116" i="50"/>
  <c r="AN116" i="50"/>
  <c r="AO116" i="50"/>
  <c r="AX116" i="50"/>
  <c r="AY116" i="50"/>
  <c r="BA116" i="50"/>
  <c r="A117" i="50"/>
  <c r="B117" i="50"/>
  <c r="C117" i="50"/>
  <c r="D117" i="50"/>
  <c r="E117" i="50"/>
  <c r="F117" i="50"/>
  <c r="S117" i="50"/>
  <c r="T117" i="50"/>
  <c r="U117" i="50"/>
  <c r="V117" i="50"/>
  <c r="W117" i="50"/>
  <c r="X117" i="50"/>
  <c r="Z117" i="50"/>
  <c r="AA117" i="50"/>
  <c r="AC117" i="50"/>
  <c r="AE117" i="50"/>
  <c r="AF117" i="50"/>
  <c r="AG117" i="50"/>
  <c r="AH117" i="50"/>
  <c r="AI117" i="50"/>
  <c r="AJ117" i="50"/>
  <c r="AN117" i="50"/>
  <c r="AO117" i="50"/>
  <c r="AX117" i="50"/>
  <c r="AY117" i="50"/>
  <c r="BA117" i="50"/>
  <c r="A118" i="50"/>
  <c r="B118" i="50"/>
  <c r="C118" i="50"/>
  <c r="D118" i="50"/>
  <c r="E118" i="50"/>
  <c r="F118" i="50"/>
  <c r="S118" i="50"/>
  <c r="T118" i="50"/>
  <c r="U118" i="50"/>
  <c r="V118" i="50"/>
  <c r="W118" i="50"/>
  <c r="X118" i="50"/>
  <c r="Z118" i="50"/>
  <c r="AA118" i="50"/>
  <c r="AC118" i="50"/>
  <c r="AE118" i="50"/>
  <c r="AF118" i="50"/>
  <c r="AG118" i="50"/>
  <c r="AH118" i="50"/>
  <c r="AI118" i="50"/>
  <c r="AJ118" i="50"/>
  <c r="AN118" i="50"/>
  <c r="AO118" i="50"/>
  <c r="AX118" i="50"/>
  <c r="AY118" i="50"/>
  <c r="BA118" i="50"/>
  <c r="B119" i="50"/>
  <c r="X119" i="50"/>
  <c r="AN119" i="50"/>
  <c r="A123" i="50"/>
  <c r="B123" i="50"/>
  <c r="C123" i="50"/>
  <c r="D123" i="50"/>
  <c r="E123" i="50"/>
  <c r="S123" i="50"/>
  <c r="T123" i="50"/>
  <c r="U123" i="50"/>
  <c r="V123" i="50"/>
  <c r="W123" i="50"/>
  <c r="X123" i="50"/>
  <c r="Z123" i="50"/>
  <c r="AA123" i="50"/>
  <c r="AC123" i="50"/>
  <c r="AG123" i="50"/>
  <c r="AH123" i="50"/>
  <c r="AJ123" i="50"/>
  <c r="AM123" i="50"/>
  <c r="AN123" i="50"/>
  <c r="AO123" i="50"/>
  <c r="AX123" i="50"/>
  <c r="AY123" i="50"/>
  <c r="A124" i="50"/>
  <c r="B124" i="50"/>
  <c r="C124" i="50"/>
  <c r="D124" i="50"/>
  <c r="E124" i="50"/>
  <c r="F124" i="50"/>
  <c r="S124" i="50"/>
  <c r="T124" i="50"/>
  <c r="U124" i="50"/>
  <c r="V124" i="50"/>
  <c r="W124" i="50"/>
  <c r="X124" i="50"/>
  <c r="Z124" i="50"/>
  <c r="AA124" i="50"/>
  <c r="AC124" i="50"/>
  <c r="AG124" i="50"/>
  <c r="AH124" i="50"/>
  <c r="AJ124" i="50"/>
  <c r="AM124" i="50"/>
  <c r="AN124" i="50"/>
  <c r="AO124" i="50"/>
  <c r="AX124" i="50"/>
  <c r="AY124" i="50"/>
  <c r="A125" i="50"/>
  <c r="B125" i="50"/>
  <c r="C125" i="50"/>
  <c r="D125" i="50"/>
  <c r="E125" i="50"/>
  <c r="F125" i="50"/>
  <c r="S125" i="50"/>
  <c r="T125" i="50"/>
  <c r="U125" i="50"/>
  <c r="V125" i="50"/>
  <c r="W125" i="50"/>
  <c r="X125" i="50"/>
  <c r="Z125" i="50"/>
  <c r="AA125" i="50"/>
  <c r="AC125" i="50"/>
  <c r="AG125" i="50"/>
  <c r="AH125" i="50"/>
  <c r="AJ125" i="50"/>
  <c r="AM125" i="50"/>
  <c r="AN125" i="50"/>
  <c r="AO125" i="50"/>
  <c r="AX125" i="50"/>
  <c r="AY125" i="50"/>
  <c r="A126" i="50"/>
  <c r="B126" i="50"/>
  <c r="C126" i="50"/>
  <c r="D126" i="50"/>
  <c r="E126" i="50"/>
  <c r="F126" i="50"/>
  <c r="S126" i="50"/>
  <c r="T126" i="50"/>
  <c r="U126" i="50"/>
  <c r="V126" i="50"/>
  <c r="W126" i="50"/>
  <c r="X126" i="50"/>
  <c r="Z126" i="50"/>
  <c r="AA126" i="50"/>
  <c r="AC126" i="50"/>
  <c r="AG126" i="50"/>
  <c r="AH126" i="50"/>
  <c r="AJ126" i="50"/>
  <c r="AM126" i="50"/>
  <c r="AN126" i="50"/>
  <c r="AO126" i="50"/>
  <c r="AX126" i="50"/>
  <c r="AY126" i="50"/>
  <c r="A127" i="50"/>
  <c r="B127" i="50"/>
  <c r="C127" i="50"/>
  <c r="D127" i="50"/>
  <c r="E127" i="50"/>
  <c r="F127" i="50"/>
  <c r="S127" i="50"/>
  <c r="T127" i="50"/>
  <c r="U127" i="50"/>
  <c r="V127" i="50"/>
  <c r="W127" i="50"/>
  <c r="X127" i="50"/>
  <c r="Z127" i="50"/>
  <c r="AA127" i="50"/>
  <c r="AC127" i="50"/>
  <c r="AG127" i="50"/>
  <c r="AH127" i="50"/>
  <c r="AJ127" i="50"/>
  <c r="AM127" i="50"/>
  <c r="AN127" i="50"/>
  <c r="AO127" i="50"/>
  <c r="AX127" i="50"/>
  <c r="AY127" i="50"/>
  <c r="A128" i="50"/>
  <c r="B128" i="50"/>
  <c r="C128" i="50"/>
  <c r="D128" i="50"/>
  <c r="E128" i="50"/>
  <c r="F128" i="50"/>
  <c r="S128" i="50"/>
  <c r="T128" i="50"/>
  <c r="U128" i="50"/>
  <c r="V128" i="50"/>
  <c r="W128" i="50"/>
  <c r="X128" i="50"/>
  <c r="Z128" i="50"/>
  <c r="AA128" i="50"/>
  <c r="AC128" i="50"/>
  <c r="AG128" i="50"/>
  <c r="AH128" i="50"/>
  <c r="AJ128" i="50"/>
  <c r="AM128" i="50"/>
  <c r="AN128" i="50"/>
  <c r="AO128" i="50"/>
  <c r="AX128" i="50"/>
  <c r="AY128" i="50"/>
  <c r="A129" i="50"/>
  <c r="B129" i="50"/>
  <c r="C129" i="50"/>
  <c r="D129" i="50"/>
  <c r="E129" i="50"/>
  <c r="F129" i="50"/>
  <c r="S129" i="50"/>
  <c r="T129" i="50"/>
  <c r="U129" i="50"/>
  <c r="V129" i="50"/>
  <c r="W129" i="50"/>
  <c r="X129" i="50"/>
  <c r="Z129" i="50"/>
  <c r="AA129" i="50"/>
  <c r="AC129" i="50"/>
  <c r="AG129" i="50"/>
  <c r="AH129" i="50"/>
  <c r="AJ129" i="50"/>
  <c r="AM129" i="50"/>
  <c r="AN129" i="50"/>
  <c r="AO129" i="50"/>
  <c r="AX129" i="50"/>
  <c r="AY129" i="50"/>
  <c r="A130" i="50"/>
  <c r="B130" i="50"/>
  <c r="C130" i="50"/>
  <c r="D130" i="50"/>
  <c r="E130" i="50"/>
  <c r="F130" i="50"/>
  <c r="S130" i="50"/>
  <c r="T130" i="50"/>
  <c r="U130" i="50"/>
  <c r="V130" i="50"/>
  <c r="W130" i="50"/>
  <c r="X130" i="50"/>
  <c r="Z130" i="50"/>
  <c r="AA130" i="50"/>
  <c r="AC130" i="50"/>
  <c r="AG130" i="50"/>
  <c r="AH130" i="50"/>
  <c r="AJ130" i="50"/>
  <c r="AM130" i="50"/>
  <c r="AN130" i="50"/>
  <c r="AO130" i="50"/>
  <c r="AX130" i="50"/>
  <c r="AY130" i="50"/>
  <c r="A131" i="50"/>
  <c r="B131" i="50"/>
  <c r="C131" i="50"/>
  <c r="D131" i="50"/>
  <c r="E131" i="50"/>
  <c r="F131" i="50"/>
  <c r="S131" i="50"/>
  <c r="T131" i="50"/>
  <c r="U131" i="50"/>
  <c r="V131" i="50"/>
  <c r="W131" i="50"/>
  <c r="X131" i="50"/>
  <c r="Z131" i="50"/>
  <c r="AA131" i="50"/>
  <c r="AC131" i="50"/>
  <c r="AG131" i="50"/>
  <c r="AH131" i="50"/>
  <c r="AJ131" i="50"/>
  <c r="AM131" i="50"/>
  <c r="AN131" i="50"/>
  <c r="AO131" i="50"/>
  <c r="AX131" i="50"/>
  <c r="AY131" i="50"/>
  <c r="A132" i="50"/>
  <c r="B132" i="50"/>
  <c r="C132" i="50"/>
  <c r="D132" i="50"/>
  <c r="E132" i="50"/>
  <c r="F132" i="50"/>
  <c r="S132" i="50"/>
  <c r="T132" i="50"/>
  <c r="U132" i="50"/>
  <c r="V132" i="50"/>
  <c r="W132" i="50"/>
  <c r="X132" i="50"/>
  <c r="Z132" i="50"/>
  <c r="AA132" i="50"/>
  <c r="AC132" i="50"/>
  <c r="AG132" i="50"/>
  <c r="AH132" i="50"/>
  <c r="AJ132" i="50"/>
  <c r="AM132" i="50"/>
  <c r="AN132" i="50"/>
  <c r="AO132" i="50"/>
  <c r="AX132" i="50"/>
  <c r="AY132" i="50"/>
  <c r="A133" i="50"/>
  <c r="B133" i="50"/>
  <c r="C133" i="50"/>
  <c r="D133" i="50"/>
  <c r="E133" i="50"/>
  <c r="F133" i="50"/>
  <c r="S133" i="50"/>
  <c r="T133" i="50"/>
  <c r="U133" i="50"/>
  <c r="V133" i="50"/>
  <c r="W133" i="50"/>
  <c r="X133" i="50"/>
  <c r="Z133" i="50"/>
  <c r="AA133" i="50"/>
  <c r="AC133" i="50"/>
  <c r="AG133" i="50"/>
  <c r="AH133" i="50"/>
  <c r="AJ133" i="50"/>
  <c r="AM133" i="50"/>
  <c r="AN133" i="50"/>
  <c r="AO133" i="50"/>
  <c r="AX133" i="50"/>
  <c r="AY133" i="50"/>
  <c r="A134" i="50"/>
  <c r="B134" i="50"/>
  <c r="C134" i="50"/>
  <c r="D134" i="50"/>
  <c r="E134" i="50"/>
  <c r="F134" i="50"/>
  <c r="S134" i="50"/>
  <c r="T134" i="50"/>
  <c r="U134" i="50"/>
  <c r="V134" i="50"/>
  <c r="W134" i="50"/>
  <c r="X134" i="50"/>
  <c r="Z134" i="50"/>
  <c r="AA134" i="50"/>
  <c r="AC134" i="50"/>
  <c r="AG134" i="50"/>
  <c r="AH134" i="50"/>
  <c r="AJ134" i="50"/>
  <c r="AM134" i="50"/>
  <c r="AN134" i="50"/>
  <c r="AO134" i="50"/>
  <c r="AX134" i="50"/>
  <c r="AY134" i="50"/>
  <c r="A135" i="50"/>
  <c r="B135" i="50"/>
  <c r="C135" i="50"/>
  <c r="D135" i="50"/>
  <c r="E135" i="50"/>
  <c r="F135" i="50"/>
  <c r="S135" i="50"/>
  <c r="T135" i="50"/>
  <c r="U135" i="50"/>
  <c r="V135" i="50"/>
  <c r="W135" i="50"/>
  <c r="X135" i="50"/>
  <c r="Z135" i="50"/>
  <c r="AA135" i="50"/>
  <c r="AC135" i="50"/>
  <c r="AG135" i="50"/>
  <c r="AH135" i="50"/>
  <c r="AJ135" i="50"/>
  <c r="AM135" i="50"/>
  <c r="AN135" i="50"/>
  <c r="AO135" i="50"/>
  <c r="AX135" i="50"/>
  <c r="AY135" i="50"/>
  <c r="A136" i="50"/>
  <c r="B136" i="50"/>
  <c r="C136" i="50"/>
  <c r="D136" i="50"/>
  <c r="E136" i="50"/>
  <c r="F136" i="50"/>
  <c r="S136" i="50"/>
  <c r="T136" i="50"/>
  <c r="U136" i="50"/>
  <c r="V136" i="50"/>
  <c r="W136" i="50"/>
  <c r="X136" i="50"/>
  <c r="Z136" i="50"/>
  <c r="AA136" i="50"/>
  <c r="AC136" i="50"/>
  <c r="AG136" i="50"/>
  <c r="AH136" i="50"/>
  <c r="AJ136" i="50"/>
  <c r="AM136" i="50"/>
  <c r="AN136" i="50"/>
  <c r="AO136" i="50"/>
  <c r="AX136" i="50"/>
  <c r="AY136" i="50"/>
  <c r="A137" i="50"/>
  <c r="B137" i="50"/>
  <c r="C137" i="50"/>
  <c r="D137" i="50"/>
  <c r="E137" i="50"/>
  <c r="F137" i="50"/>
  <c r="S137" i="50"/>
  <c r="T137" i="50"/>
  <c r="U137" i="50"/>
  <c r="V137" i="50"/>
  <c r="W137" i="50"/>
  <c r="X137" i="50"/>
  <c r="Z137" i="50"/>
  <c r="AA137" i="50"/>
  <c r="AC137" i="50"/>
  <c r="AG137" i="50"/>
  <c r="AH137" i="50"/>
  <c r="AJ137" i="50"/>
  <c r="AM137" i="50"/>
  <c r="AN137" i="50"/>
  <c r="AO137" i="50"/>
  <c r="AX137" i="50"/>
  <c r="AY137" i="50"/>
  <c r="A138" i="50"/>
  <c r="B138" i="50"/>
  <c r="C138" i="50"/>
  <c r="D138" i="50"/>
  <c r="E138" i="50"/>
  <c r="F138" i="50"/>
  <c r="S138" i="50"/>
  <c r="T138" i="50"/>
  <c r="U138" i="50"/>
  <c r="V138" i="50"/>
  <c r="W138" i="50"/>
  <c r="X138" i="50"/>
  <c r="Z138" i="50"/>
  <c r="AA138" i="50"/>
  <c r="AC138" i="50"/>
  <c r="AG138" i="50"/>
  <c r="AH138" i="50"/>
  <c r="AJ138" i="50"/>
  <c r="AM138" i="50"/>
  <c r="AN138" i="50"/>
  <c r="AO138" i="50"/>
  <c r="AX138" i="50"/>
  <c r="AY138" i="50"/>
  <c r="A139" i="50"/>
  <c r="B139" i="50"/>
  <c r="C139" i="50"/>
  <c r="D139" i="50"/>
  <c r="E139" i="50"/>
  <c r="F139" i="50"/>
  <c r="S139" i="50"/>
  <c r="T139" i="50"/>
  <c r="U139" i="50"/>
  <c r="V139" i="50"/>
  <c r="W139" i="50"/>
  <c r="X139" i="50"/>
  <c r="Z139" i="50"/>
  <c r="AA139" i="50"/>
  <c r="AC139" i="50"/>
  <c r="AG139" i="50"/>
  <c r="AH139" i="50"/>
  <c r="AJ139" i="50"/>
  <c r="AM139" i="50"/>
  <c r="AN139" i="50"/>
  <c r="AO139" i="50"/>
  <c r="AX139" i="50"/>
  <c r="AY139" i="50"/>
  <c r="A140" i="50"/>
  <c r="B140" i="50"/>
  <c r="C140" i="50"/>
  <c r="D140" i="50"/>
  <c r="E140" i="50"/>
  <c r="F140" i="50"/>
  <c r="S140" i="50"/>
  <c r="T140" i="50"/>
  <c r="U140" i="50"/>
  <c r="V140" i="50"/>
  <c r="W140" i="50"/>
  <c r="X140" i="50"/>
  <c r="Z140" i="50"/>
  <c r="AA140" i="50"/>
  <c r="AC140" i="50"/>
  <c r="AG140" i="50"/>
  <c r="AH140" i="50"/>
  <c r="AJ140" i="50"/>
  <c r="AM140" i="50"/>
  <c r="AN140" i="50"/>
  <c r="AO140" i="50"/>
  <c r="AX140" i="50"/>
  <c r="AY140" i="50"/>
  <c r="A141" i="50"/>
  <c r="B141" i="50"/>
  <c r="C141" i="50"/>
  <c r="D141" i="50"/>
  <c r="E141" i="50"/>
  <c r="F141" i="50"/>
  <c r="S141" i="50"/>
  <c r="T141" i="50"/>
  <c r="U141" i="50"/>
  <c r="V141" i="50"/>
  <c r="W141" i="50"/>
  <c r="X141" i="50"/>
  <c r="Z141" i="50"/>
  <c r="AA141" i="50"/>
  <c r="AC141" i="50"/>
  <c r="AG141" i="50"/>
  <c r="AH141" i="50"/>
  <c r="AJ141" i="50"/>
  <c r="AM141" i="50"/>
  <c r="AN141" i="50"/>
  <c r="AO141" i="50"/>
  <c r="AX141" i="50"/>
  <c r="AY141" i="50"/>
  <c r="A142" i="50"/>
  <c r="B142" i="50"/>
  <c r="C142" i="50"/>
  <c r="D142" i="50"/>
  <c r="E142" i="50"/>
  <c r="F142" i="50"/>
  <c r="S142" i="50"/>
  <c r="T142" i="50"/>
  <c r="U142" i="50"/>
  <c r="V142" i="50"/>
  <c r="W142" i="50"/>
  <c r="X142" i="50"/>
  <c r="Z142" i="50"/>
  <c r="AA142" i="50"/>
  <c r="AC142" i="50"/>
  <c r="AG142" i="50"/>
  <c r="AH142" i="50"/>
  <c r="AJ142" i="50"/>
  <c r="AM142" i="50"/>
  <c r="AN142" i="50"/>
  <c r="AO142" i="50"/>
  <c r="AX142" i="50"/>
  <c r="AY142" i="50"/>
  <c r="A143" i="50"/>
  <c r="B143" i="50"/>
  <c r="C143" i="50"/>
  <c r="D143" i="50"/>
  <c r="E143" i="50"/>
  <c r="F143" i="50"/>
  <c r="S143" i="50"/>
  <c r="T143" i="50"/>
  <c r="U143" i="50"/>
  <c r="V143" i="50"/>
  <c r="W143" i="50"/>
  <c r="X143" i="50"/>
  <c r="Z143" i="50"/>
  <c r="AA143" i="50"/>
  <c r="AC143" i="50"/>
  <c r="AG143" i="50"/>
  <c r="AH143" i="50"/>
  <c r="AJ143" i="50"/>
  <c r="AM143" i="50"/>
  <c r="AN143" i="50"/>
  <c r="AO143" i="50"/>
  <c r="AX143" i="50"/>
  <c r="AY143" i="50"/>
  <c r="B144" i="50"/>
  <c r="X144" i="50"/>
  <c r="AN144" i="50"/>
  <c r="A148" i="50"/>
  <c r="B148" i="50"/>
  <c r="C148" i="50"/>
  <c r="D148" i="50"/>
  <c r="E148" i="50"/>
  <c r="S148" i="50"/>
  <c r="T148" i="50"/>
  <c r="U148" i="50"/>
  <c r="V148" i="50"/>
  <c r="W148" i="50"/>
  <c r="X148" i="50"/>
  <c r="Z148" i="50"/>
  <c r="AA148" i="50"/>
  <c r="AC148" i="50"/>
  <c r="AE148" i="50"/>
  <c r="AF148" i="50"/>
  <c r="AG148" i="50"/>
  <c r="AH148" i="50"/>
  <c r="AI148" i="50"/>
  <c r="AJ148" i="50"/>
  <c r="AN148" i="50"/>
  <c r="AX148" i="50"/>
  <c r="AY148" i="50"/>
  <c r="BA148" i="50"/>
  <c r="A149" i="50"/>
  <c r="B149" i="50"/>
  <c r="C149" i="50"/>
  <c r="D149" i="50"/>
  <c r="E149" i="50"/>
  <c r="S149" i="50"/>
  <c r="T149" i="50"/>
  <c r="U149" i="50"/>
  <c r="V149" i="50"/>
  <c r="W149" i="50"/>
  <c r="X149" i="50"/>
  <c r="Z149" i="50"/>
  <c r="AA149" i="50"/>
  <c r="AC149" i="50"/>
  <c r="AE149" i="50"/>
  <c r="AF149" i="50"/>
  <c r="AG149" i="50"/>
  <c r="AH149" i="50"/>
  <c r="AI149" i="50"/>
  <c r="AJ149" i="50"/>
  <c r="AN149" i="50"/>
  <c r="AX149" i="50"/>
  <c r="AY149" i="50"/>
  <c r="BA149" i="50"/>
  <c r="A150" i="50"/>
  <c r="B150" i="50"/>
  <c r="C150" i="50"/>
  <c r="D150" i="50"/>
  <c r="E150" i="50"/>
  <c r="S150" i="50"/>
  <c r="T150" i="50"/>
  <c r="U150" i="50"/>
  <c r="V150" i="50"/>
  <c r="W150" i="50"/>
  <c r="X150" i="50"/>
  <c r="Z150" i="50"/>
  <c r="AA150" i="50"/>
  <c r="AC150" i="50"/>
  <c r="AE150" i="50"/>
  <c r="AF150" i="50"/>
  <c r="AG150" i="50"/>
  <c r="AH150" i="50"/>
  <c r="AI150" i="50"/>
  <c r="AJ150" i="50"/>
  <c r="AN150" i="50"/>
  <c r="AX150" i="50"/>
  <c r="AY150" i="50"/>
  <c r="BA150" i="50"/>
  <c r="A151" i="50"/>
  <c r="B151" i="50"/>
  <c r="C151" i="50"/>
  <c r="D151" i="50"/>
  <c r="E151" i="50"/>
  <c r="S151" i="50"/>
  <c r="T151" i="50"/>
  <c r="U151" i="50"/>
  <c r="V151" i="50"/>
  <c r="W151" i="50"/>
  <c r="X151" i="50"/>
  <c r="Z151" i="50"/>
  <c r="AA151" i="50"/>
  <c r="AC151" i="50"/>
  <c r="AE151" i="50"/>
  <c r="AF151" i="50"/>
  <c r="AG151" i="50"/>
  <c r="AH151" i="50"/>
  <c r="AI151" i="50"/>
  <c r="AJ151" i="50"/>
  <c r="AN151" i="50"/>
  <c r="AX151" i="50"/>
  <c r="AY151" i="50"/>
  <c r="BA151" i="50"/>
  <c r="A152" i="50"/>
  <c r="B152" i="50"/>
  <c r="C152" i="50"/>
  <c r="D152" i="50"/>
  <c r="E152" i="50"/>
  <c r="S152" i="50"/>
  <c r="T152" i="50"/>
  <c r="U152" i="50"/>
  <c r="V152" i="50"/>
  <c r="W152" i="50"/>
  <c r="X152" i="50"/>
  <c r="Z152" i="50"/>
  <c r="AA152" i="50"/>
  <c r="AC152" i="50"/>
  <c r="AE152" i="50"/>
  <c r="AF152" i="50"/>
  <c r="AG152" i="50"/>
  <c r="AH152" i="50"/>
  <c r="AI152" i="50"/>
  <c r="AJ152" i="50"/>
  <c r="AN152" i="50"/>
  <c r="AX152" i="50"/>
  <c r="AY152" i="50"/>
  <c r="BA152" i="50"/>
  <c r="A153" i="50"/>
  <c r="B153" i="50"/>
  <c r="C153" i="50"/>
  <c r="D153" i="50"/>
  <c r="E153" i="50"/>
  <c r="S153" i="50"/>
  <c r="T153" i="50"/>
  <c r="U153" i="50"/>
  <c r="V153" i="50"/>
  <c r="W153" i="50"/>
  <c r="X153" i="50"/>
  <c r="Z153" i="50"/>
  <c r="AA153" i="50"/>
  <c r="AC153" i="50"/>
  <c r="AE153" i="50"/>
  <c r="AF153" i="50"/>
  <c r="AG153" i="50"/>
  <c r="AH153" i="50"/>
  <c r="AI153" i="50"/>
  <c r="AJ153" i="50"/>
  <c r="AN153" i="50"/>
  <c r="AX153" i="50"/>
  <c r="AY153" i="50"/>
  <c r="BA153" i="50"/>
  <c r="A154" i="50"/>
  <c r="B154" i="50"/>
  <c r="C154" i="50"/>
  <c r="D154" i="50"/>
  <c r="E154" i="50"/>
  <c r="S154" i="50"/>
  <c r="T154" i="50"/>
  <c r="U154" i="50"/>
  <c r="V154" i="50"/>
  <c r="W154" i="50"/>
  <c r="X154" i="50"/>
  <c r="Z154" i="50"/>
  <c r="AA154" i="50"/>
  <c r="AC154" i="50"/>
  <c r="AE154" i="50"/>
  <c r="AF154" i="50"/>
  <c r="AG154" i="50"/>
  <c r="AH154" i="50"/>
  <c r="AI154" i="50"/>
  <c r="AJ154" i="50"/>
  <c r="AN154" i="50"/>
  <c r="AX154" i="50"/>
  <c r="AY154" i="50"/>
  <c r="BA154" i="50"/>
  <c r="A155" i="50"/>
  <c r="B155" i="50"/>
  <c r="C155" i="50"/>
  <c r="D155" i="50"/>
  <c r="E155" i="50"/>
  <c r="S155" i="50"/>
  <c r="T155" i="50"/>
  <c r="U155" i="50"/>
  <c r="V155" i="50"/>
  <c r="W155" i="50"/>
  <c r="X155" i="50"/>
  <c r="Z155" i="50"/>
  <c r="AA155" i="50"/>
  <c r="AC155" i="50"/>
  <c r="AE155" i="50"/>
  <c r="AF155" i="50"/>
  <c r="AG155" i="50"/>
  <c r="AH155" i="50"/>
  <c r="AI155" i="50"/>
  <c r="AJ155" i="50"/>
  <c r="AN155" i="50"/>
  <c r="AX155" i="50"/>
  <c r="AY155" i="50"/>
  <c r="BA155" i="50"/>
  <c r="A156" i="50"/>
  <c r="B156" i="50"/>
  <c r="C156" i="50"/>
  <c r="D156" i="50"/>
  <c r="E156" i="50"/>
  <c r="S156" i="50"/>
  <c r="T156" i="50"/>
  <c r="U156" i="50"/>
  <c r="V156" i="50"/>
  <c r="W156" i="50"/>
  <c r="X156" i="50"/>
  <c r="Z156" i="50"/>
  <c r="AA156" i="50"/>
  <c r="AC156" i="50"/>
  <c r="AE156" i="50"/>
  <c r="AF156" i="50"/>
  <c r="AG156" i="50"/>
  <c r="AH156" i="50"/>
  <c r="AI156" i="50"/>
  <c r="AJ156" i="50"/>
  <c r="AN156" i="50"/>
  <c r="AX156" i="50"/>
  <c r="AY156" i="50"/>
  <c r="BA156" i="50"/>
  <c r="A157" i="50"/>
  <c r="B157" i="50"/>
  <c r="C157" i="50"/>
  <c r="D157" i="50"/>
  <c r="E157" i="50"/>
  <c r="S157" i="50"/>
  <c r="T157" i="50"/>
  <c r="U157" i="50"/>
  <c r="V157" i="50"/>
  <c r="W157" i="50"/>
  <c r="X157" i="50"/>
  <c r="Z157" i="50"/>
  <c r="AA157" i="50"/>
  <c r="AC157" i="50"/>
  <c r="AE157" i="50"/>
  <c r="AF157" i="50"/>
  <c r="AG157" i="50"/>
  <c r="AH157" i="50"/>
  <c r="AI157" i="50"/>
  <c r="AJ157" i="50"/>
  <c r="AN157" i="50"/>
  <c r="AX157" i="50"/>
  <c r="AY157" i="50"/>
  <c r="BA157" i="50"/>
  <c r="A158" i="50"/>
  <c r="B158" i="50"/>
  <c r="C158" i="50"/>
  <c r="D158" i="50"/>
  <c r="E158" i="50"/>
  <c r="S158" i="50"/>
  <c r="T158" i="50"/>
  <c r="U158" i="50"/>
  <c r="V158" i="50"/>
  <c r="W158" i="50"/>
  <c r="X158" i="50"/>
  <c r="Z158" i="50"/>
  <c r="AA158" i="50"/>
  <c r="AC158" i="50"/>
  <c r="AE158" i="50"/>
  <c r="AF158" i="50"/>
  <c r="AG158" i="50"/>
  <c r="AH158" i="50"/>
  <c r="AI158" i="50"/>
  <c r="AJ158" i="50"/>
  <c r="AN158" i="50"/>
  <c r="AX158" i="50"/>
  <c r="AY158" i="50"/>
  <c r="BA158" i="50"/>
  <c r="A159" i="50"/>
  <c r="B159" i="50"/>
  <c r="C159" i="50"/>
  <c r="D159" i="50"/>
  <c r="E159" i="50"/>
  <c r="S159" i="50"/>
  <c r="T159" i="50"/>
  <c r="U159" i="50"/>
  <c r="V159" i="50"/>
  <c r="W159" i="50"/>
  <c r="X159" i="50"/>
  <c r="Z159" i="50"/>
  <c r="AA159" i="50"/>
  <c r="AC159" i="50"/>
  <c r="AE159" i="50"/>
  <c r="AF159" i="50"/>
  <c r="AG159" i="50"/>
  <c r="AH159" i="50"/>
  <c r="AI159" i="50"/>
  <c r="AJ159" i="50"/>
  <c r="AN159" i="50"/>
  <c r="AX159" i="50"/>
  <c r="AY159" i="50"/>
  <c r="BA159" i="50"/>
  <c r="A160" i="50"/>
  <c r="B160" i="50"/>
  <c r="C160" i="50"/>
  <c r="D160" i="50"/>
  <c r="E160" i="50"/>
  <c r="S160" i="50"/>
  <c r="T160" i="50"/>
  <c r="U160" i="50"/>
  <c r="V160" i="50"/>
  <c r="W160" i="50"/>
  <c r="X160" i="50"/>
  <c r="Z160" i="50"/>
  <c r="AA160" i="50"/>
  <c r="AC160" i="50"/>
  <c r="AE160" i="50"/>
  <c r="AF160" i="50"/>
  <c r="AG160" i="50"/>
  <c r="AH160" i="50"/>
  <c r="AI160" i="50"/>
  <c r="AJ160" i="50"/>
  <c r="AN160" i="50"/>
  <c r="AX160" i="50"/>
  <c r="AY160" i="50"/>
  <c r="BA160" i="50"/>
  <c r="A161" i="50"/>
  <c r="B161" i="50"/>
  <c r="C161" i="50"/>
  <c r="D161" i="50"/>
  <c r="E161" i="50"/>
  <c r="S161" i="50"/>
  <c r="T161" i="50"/>
  <c r="U161" i="50"/>
  <c r="V161" i="50"/>
  <c r="W161" i="50"/>
  <c r="X161" i="50"/>
  <c r="Z161" i="50"/>
  <c r="AA161" i="50"/>
  <c r="AC161" i="50"/>
  <c r="AE161" i="50"/>
  <c r="AF161" i="50"/>
  <c r="AG161" i="50"/>
  <c r="AH161" i="50"/>
  <c r="AI161" i="50"/>
  <c r="AJ161" i="50"/>
  <c r="AN161" i="50"/>
  <c r="AX161" i="50"/>
  <c r="AY161" i="50"/>
  <c r="BA161" i="50"/>
  <c r="A162" i="50"/>
  <c r="B162" i="50"/>
  <c r="C162" i="50"/>
  <c r="D162" i="50"/>
  <c r="E162" i="50"/>
  <c r="S162" i="50"/>
  <c r="T162" i="50"/>
  <c r="U162" i="50"/>
  <c r="V162" i="50"/>
  <c r="W162" i="50"/>
  <c r="X162" i="50"/>
  <c r="Z162" i="50"/>
  <c r="AA162" i="50"/>
  <c r="AC162" i="50"/>
  <c r="AE162" i="50"/>
  <c r="AF162" i="50"/>
  <c r="AG162" i="50"/>
  <c r="AH162" i="50"/>
  <c r="AI162" i="50"/>
  <c r="AJ162" i="50"/>
  <c r="AN162" i="50"/>
  <c r="AX162" i="50"/>
  <c r="AY162" i="50"/>
  <c r="BA162" i="50"/>
  <c r="A163" i="50"/>
  <c r="B163" i="50"/>
  <c r="C163" i="50"/>
  <c r="D163" i="50"/>
  <c r="E163" i="50"/>
  <c r="S163" i="50"/>
  <c r="T163" i="50"/>
  <c r="U163" i="50"/>
  <c r="V163" i="50"/>
  <c r="W163" i="50"/>
  <c r="X163" i="50"/>
  <c r="Z163" i="50"/>
  <c r="AA163" i="50"/>
  <c r="AC163" i="50"/>
  <c r="AE163" i="50"/>
  <c r="AF163" i="50"/>
  <c r="AG163" i="50"/>
  <c r="AH163" i="50"/>
  <c r="AI163" i="50"/>
  <c r="AJ163" i="50"/>
  <c r="AN163" i="50"/>
  <c r="AX163" i="50"/>
  <c r="AY163" i="50"/>
  <c r="BA163" i="50"/>
  <c r="A164" i="50"/>
  <c r="B164" i="50"/>
  <c r="C164" i="50"/>
  <c r="D164" i="50"/>
  <c r="E164" i="50"/>
  <c r="S164" i="50"/>
  <c r="T164" i="50"/>
  <c r="U164" i="50"/>
  <c r="V164" i="50"/>
  <c r="W164" i="50"/>
  <c r="X164" i="50"/>
  <c r="Z164" i="50"/>
  <c r="AA164" i="50"/>
  <c r="AC164" i="50"/>
  <c r="AE164" i="50"/>
  <c r="AF164" i="50"/>
  <c r="AG164" i="50"/>
  <c r="AH164" i="50"/>
  <c r="AI164" i="50"/>
  <c r="AJ164" i="50"/>
  <c r="AN164" i="50"/>
  <c r="AX164" i="50"/>
  <c r="AY164" i="50"/>
  <c r="BA164" i="50"/>
  <c r="A165" i="50"/>
  <c r="B165" i="50"/>
  <c r="C165" i="50"/>
  <c r="D165" i="50"/>
  <c r="E165" i="50"/>
  <c r="S165" i="50"/>
  <c r="T165" i="50"/>
  <c r="U165" i="50"/>
  <c r="V165" i="50"/>
  <c r="W165" i="50"/>
  <c r="X165" i="50"/>
  <c r="Z165" i="50"/>
  <c r="AA165" i="50"/>
  <c r="AC165" i="50"/>
  <c r="AE165" i="50"/>
  <c r="AF165" i="50"/>
  <c r="AG165" i="50"/>
  <c r="AH165" i="50"/>
  <c r="AI165" i="50"/>
  <c r="AJ165" i="50"/>
  <c r="AN165" i="50"/>
  <c r="AX165" i="50"/>
  <c r="AY165" i="50"/>
  <c r="BA165" i="50"/>
  <c r="A166" i="50"/>
  <c r="B166" i="50"/>
  <c r="C166" i="50"/>
  <c r="D166" i="50"/>
  <c r="E166" i="50"/>
  <c r="S166" i="50"/>
  <c r="T166" i="50"/>
  <c r="U166" i="50"/>
  <c r="V166" i="50"/>
  <c r="W166" i="50"/>
  <c r="X166" i="50"/>
  <c r="Z166" i="50"/>
  <c r="AA166" i="50"/>
  <c r="AC166" i="50"/>
  <c r="AE166" i="50"/>
  <c r="AF166" i="50"/>
  <c r="AG166" i="50"/>
  <c r="AH166" i="50"/>
  <c r="AI166" i="50"/>
  <c r="AJ166" i="50"/>
  <c r="AN166" i="50"/>
  <c r="AX166" i="50"/>
  <c r="AY166" i="50"/>
  <c r="BA166" i="50"/>
  <c r="A167" i="50"/>
  <c r="B167" i="50"/>
  <c r="C167" i="50"/>
  <c r="D167" i="50"/>
  <c r="E167" i="50"/>
  <c r="S167" i="50"/>
  <c r="T167" i="50"/>
  <c r="U167" i="50"/>
  <c r="V167" i="50"/>
  <c r="W167" i="50"/>
  <c r="X167" i="50"/>
  <c r="Z167" i="50"/>
  <c r="AA167" i="50"/>
  <c r="AC167" i="50"/>
  <c r="AE167" i="50"/>
  <c r="AF167" i="50"/>
  <c r="AG167" i="50"/>
  <c r="AH167" i="50"/>
  <c r="AI167" i="50"/>
  <c r="AJ167" i="50"/>
  <c r="AN167" i="50"/>
  <c r="AX167" i="50"/>
  <c r="AY167" i="50"/>
  <c r="BA167" i="50"/>
  <c r="A168" i="50"/>
  <c r="B168" i="50"/>
  <c r="C168" i="50"/>
  <c r="D168" i="50"/>
  <c r="E168" i="50"/>
  <c r="S168" i="50"/>
  <c r="T168" i="50"/>
  <c r="U168" i="50"/>
  <c r="V168" i="50"/>
  <c r="W168" i="50"/>
  <c r="X168" i="50"/>
  <c r="Z168" i="50"/>
  <c r="AA168" i="50"/>
  <c r="AC168" i="50"/>
  <c r="AE168" i="50"/>
  <c r="AF168" i="50"/>
  <c r="AG168" i="50"/>
  <c r="AH168" i="50"/>
  <c r="AI168" i="50"/>
  <c r="AJ168" i="50"/>
  <c r="AN168" i="50"/>
  <c r="AX168" i="50"/>
  <c r="AY168" i="50"/>
  <c r="BA168" i="50"/>
  <c r="B169" i="50"/>
  <c r="X169" i="50"/>
  <c r="AN169" i="50"/>
  <c r="A173" i="50"/>
  <c r="B173" i="50"/>
  <c r="C173" i="50"/>
  <c r="D173" i="50"/>
  <c r="E173" i="50"/>
  <c r="S173" i="50"/>
  <c r="T173" i="50"/>
  <c r="U173" i="50"/>
  <c r="V173" i="50"/>
  <c r="W173" i="50"/>
  <c r="X173" i="50"/>
  <c r="Z173" i="50"/>
  <c r="AA173" i="50"/>
  <c r="AC173" i="50"/>
  <c r="AG173" i="50"/>
  <c r="AH173" i="50"/>
  <c r="AJ173" i="50"/>
  <c r="AM173" i="50"/>
  <c r="AN173" i="50"/>
  <c r="AO173" i="50"/>
  <c r="AX173" i="50"/>
  <c r="AY173" i="50"/>
  <c r="A174" i="50"/>
  <c r="B174" i="50"/>
  <c r="C174" i="50"/>
  <c r="D174" i="50"/>
  <c r="E174" i="50"/>
  <c r="F174" i="50"/>
  <c r="S174" i="50"/>
  <c r="T174" i="50"/>
  <c r="U174" i="50"/>
  <c r="V174" i="50"/>
  <c r="W174" i="50"/>
  <c r="X174" i="50"/>
  <c r="Z174" i="50"/>
  <c r="AA174" i="50"/>
  <c r="AC174" i="50"/>
  <c r="AG174" i="50"/>
  <c r="AH174" i="50"/>
  <c r="AJ174" i="50"/>
  <c r="AM174" i="50"/>
  <c r="AN174" i="50"/>
  <c r="AO174" i="50"/>
  <c r="AX174" i="50"/>
  <c r="AY174" i="50"/>
  <c r="A175" i="50"/>
  <c r="B175" i="50"/>
  <c r="C175" i="50"/>
  <c r="D175" i="50"/>
  <c r="E175" i="50"/>
  <c r="F175" i="50"/>
  <c r="S175" i="50"/>
  <c r="T175" i="50"/>
  <c r="U175" i="50"/>
  <c r="V175" i="50"/>
  <c r="W175" i="50"/>
  <c r="X175" i="50"/>
  <c r="Z175" i="50"/>
  <c r="AA175" i="50"/>
  <c r="AC175" i="50"/>
  <c r="AG175" i="50"/>
  <c r="AH175" i="50"/>
  <c r="AJ175" i="50"/>
  <c r="AM175" i="50"/>
  <c r="AN175" i="50"/>
  <c r="AO175" i="50"/>
  <c r="AX175" i="50"/>
  <c r="AY175" i="50"/>
  <c r="A176" i="50"/>
  <c r="B176" i="50"/>
  <c r="C176" i="50"/>
  <c r="D176" i="50"/>
  <c r="E176" i="50"/>
  <c r="F176" i="50"/>
  <c r="S176" i="50"/>
  <c r="T176" i="50"/>
  <c r="U176" i="50"/>
  <c r="V176" i="50"/>
  <c r="W176" i="50"/>
  <c r="X176" i="50"/>
  <c r="Z176" i="50"/>
  <c r="AA176" i="50"/>
  <c r="AC176" i="50"/>
  <c r="AG176" i="50"/>
  <c r="AH176" i="50"/>
  <c r="AJ176" i="50"/>
  <c r="AM176" i="50"/>
  <c r="AN176" i="50"/>
  <c r="AO176" i="50"/>
  <c r="AX176" i="50"/>
  <c r="AY176" i="50"/>
  <c r="A177" i="50"/>
  <c r="B177" i="50"/>
  <c r="C177" i="50"/>
  <c r="D177" i="50"/>
  <c r="E177" i="50"/>
  <c r="F177" i="50"/>
  <c r="S177" i="50"/>
  <c r="T177" i="50"/>
  <c r="U177" i="50"/>
  <c r="V177" i="50"/>
  <c r="W177" i="50"/>
  <c r="X177" i="50"/>
  <c r="Z177" i="50"/>
  <c r="AA177" i="50"/>
  <c r="AC177" i="50"/>
  <c r="AG177" i="50"/>
  <c r="AH177" i="50"/>
  <c r="AJ177" i="50"/>
  <c r="AM177" i="50"/>
  <c r="AN177" i="50"/>
  <c r="AO177" i="50"/>
  <c r="AX177" i="50"/>
  <c r="AY177" i="50"/>
  <c r="A178" i="50"/>
  <c r="B178" i="50"/>
  <c r="C178" i="50"/>
  <c r="D178" i="50"/>
  <c r="E178" i="50"/>
  <c r="F178" i="50"/>
  <c r="S178" i="50"/>
  <c r="T178" i="50"/>
  <c r="U178" i="50"/>
  <c r="V178" i="50"/>
  <c r="W178" i="50"/>
  <c r="X178" i="50"/>
  <c r="Z178" i="50"/>
  <c r="AA178" i="50"/>
  <c r="AC178" i="50"/>
  <c r="AG178" i="50"/>
  <c r="AH178" i="50"/>
  <c r="AJ178" i="50"/>
  <c r="AM178" i="50"/>
  <c r="AN178" i="50"/>
  <c r="AO178" i="50"/>
  <c r="AX178" i="50"/>
  <c r="AY178" i="50"/>
  <c r="A179" i="50"/>
  <c r="B179" i="50"/>
  <c r="C179" i="50"/>
  <c r="D179" i="50"/>
  <c r="E179" i="50"/>
  <c r="F179" i="50"/>
  <c r="S179" i="50"/>
  <c r="T179" i="50"/>
  <c r="U179" i="50"/>
  <c r="V179" i="50"/>
  <c r="W179" i="50"/>
  <c r="X179" i="50"/>
  <c r="Z179" i="50"/>
  <c r="AA179" i="50"/>
  <c r="AC179" i="50"/>
  <c r="AG179" i="50"/>
  <c r="AH179" i="50"/>
  <c r="AJ179" i="50"/>
  <c r="AM179" i="50"/>
  <c r="AN179" i="50"/>
  <c r="AO179" i="50"/>
  <c r="AX179" i="50"/>
  <c r="AY179" i="50"/>
  <c r="A180" i="50"/>
  <c r="B180" i="50"/>
  <c r="C180" i="50"/>
  <c r="D180" i="50"/>
  <c r="E180" i="50"/>
  <c r="F180" i="50"/>
  <c r="S180" i="50"/>
  <c r="T180" i="50"/>
  <c r="U180" i="50"/>
  <c r="V180" i="50"/>
  <c r="W180" i="50"/>
  <c r="X180" i="50"/>
  <c r="Z180" i="50"/>
  <c r="AA180" i="50"/>
  <c r="AC180" i="50"/>
  <c r="AG180" i="50"/>
  <c r="AH180" i="50"/>
  <c r="AJ180" i="50"/>
  <c r="AM180" i="50"/>
  <c r="AN180" i="50"/>
  <c r="AO180" i="50"/>
  <c r="AX180" i="50"/>
  <c r="AY180" i="50"/>
  <c r="A181" i="50"/>
  <c r="B181" i="50"/>
  <c r="C181" i="50"/>
  <c r="D181" i="50"/>
  <c r="E181" i="50"/>
  <c r="F181" i="50"/>
  <c r="S181" i="50"/>
  <c r="T181" i="50"/>
  <c r="U181" i="50"/>
  <c r="V181" i="50"/>
  <c r="W181" i="50"/>
  <c r="X181" i="50"/>
  <c r="Z181" i="50"/>
  <c r="AA181" i="50"/>
  <c r="AC181" i="50"/>
  <c r="AG181" i="50"/>
  <c r="AH181" i="50"/>
  <c r="AJ181" i="50"/>
  <c r="AM181" i="50"/>
  <c r="AN181" i="50"/>
  <c r="AO181" i="50"/>
  <c r="AX181" i="50"/>
  <c r="AY181" i="50"/>
  <c r="A182" i="50"/>
  <c r="B182" i="50"/>
  <c r="C182" i="50"/>
  <c r="D182" i="50"/>
  <c r="E182" i="50"/>
  <c r="F182" i="50"/>
  <c r="S182" i="50"/>
  <c r="T182" i="50"/>
  <c r="U182" i="50"/>
  <c r="V182" i="50"/>
  <c r="W182" i="50"/>
  <c r="X182" i="50"/>
  <c r="Z182" i="50"/>
  <c r="AA182" i="50"/>
  <c r="AC182" i="50"/>
  <c r="AG182" i="50"/>
  <c r="AH182" i="50"/>
  <c r="AJ182" i="50"/>
  <c r="AM182" i="50"/>
  <c r="AN182" i="50"/>
  <c r="AO182" i="50"/>
  <c r="AX182" i="50"/>
  <c r="AY182" i="50"/>
  <c r="A183" i="50"/>
  <c r="B183" i="50"/>
  <c r="C183" i="50"/>
  <c r="D183" i="50"/>
  <c r="E183" i="50"/>
  <c r="F183" i="50"/>
  <c r="S183" i="50"/>
  <c r="T183" i="50"/>
  <c r="U183" i="50"/>
  <c r="V183" i="50"/>
  <c r="W183" i="50"/>
  <c r="X183" i="50"/>
  <c r="Z183" i="50"/>
  <c r="AA183" i="50"/>
  <c r="AC183" i="50"/>
  <c r="AG183" i="50"/>
  <c r="AH183" i="50"/>
  <c r="AJ183" i="50"/>
  <c r="AM183" i="50"/>
  <c r="AN183" i="50"/>
  <c r="AO183" i="50"/>
  <c r="AX183" i="50"/>
  <c r="AY183" i="50"/>
  <c r="A184" i="50"/>
  <c r="B184" i="50"/>
  <c r="C184" i="50"/>
  <c r="D184" i="50"/>
  <c r="E184" i="50"/>
  <c r="F184" i="50"/>
  <c r="S184" i="50"/>
  <c r="T184" i="50"/>
  <c r="U184" i="50"/>
  <c r="V184" i="50"/>
  <c r="W184" i="50"/>
  <c r="X184" i="50"/>
  <c r="Z184" i="50"/>
  <c r="AA184" i="50"/>
  <c r="AC184" i="50"/>
  <c r="AG184" i="50"/>
  <c r="AH184" i="50"/>
  <c r="AJ184" i="50"/>
  <c r="AM184" i="50"/>
  <c r="AN184" i="50"/>
  <c r="AO184" i="50"/>
  <c r="AX184" i="50"/>
  <c r="AY184" i="50"/>
  <c r="A185" i="50"/>
  <c r="B185" i="50"/>
  <c r="C185" i="50"/>
  <c r="D185" i="50"/>
  <c r="E185" i="50"/>
  <c r="F185" i="50"/>
  <c r="S185" i="50"/>
  <c r="T185" i="50"/>
  <c r="U185" i="50"/>
  <c r="V185" i="50"/>
  <c r="W185" i="50"/>
  <c r="X185" i="50"/>
  <c r="Z185" i="50"/>
  <c r="AA185" i="50"/>
  <c r="AC185" i="50"/>
  <c r="AG185" i="50"/>
  <c r="AH185" i="50"/>
  <c r="AJ185" i="50"/>
  <c r="AM185" i="50"/>
  <c r="AN185" i="50"/>
  <c r="AO185" i="50"/>
  <c r="AX185" i="50"/>
  <c r="AY185" i="50"/>
  <c r="A186" i="50"/>
  <c r="B186" i="50"/>
  <c r="C186" i="50"/>
  <c r="D186" i="50"/>
  <c r="E186" i="50"/>
  <c r="F186" i="50"/>
  <c r="S186" i="50"/>
  <c r="T186" i="50"/>
  <c r="U186" i="50"/>
  <c r="V186" i="50"/>
  <c r="W186" i="50"/>
  <c r="X186" i="50"/>
  <c r="Z186" i="50"/>
  <c r="AA186" i="50"/>
  <c r="AC186" i="50"/>
  <c r="AG186" i="50"/>
  <c r="AH186" i="50"/>
  <c r="AJ186" i="50"/>
  <c r="AM186" i="50"/>
  <c r="AN186" i="50"/>
  <c r="AO186" i="50"/>
  <c r="AX186" i="50"/>
  <c r="AY186" i="50"/>
  <c r="A187" i="50"/>
  <c r="B187" i="50"/>
  <c r="C187" i="50"/>
  <c r="D187" i="50"/>
  <c r="E187" i="50"/>
  <c r="F187" i="50"/>
  <c r="S187" i="50"/>
  <c r="T187" i="50"/>
  <c r="U187" i="50"/>
  <c r="V187" i="50"/>
  <c r="W187" i="50"/>
  <c r="X187" i="50"/>
  <c r="Z187" i="50"/>
  <c r="AA187" i="50"/>
  <c r="AC187" i="50"/>
  <c r="AG187" i="50"/>
  <c r="AH187" i="50"/>
  <c r="AJ187" i="50"/>
  <c r="AM187" i="50"/>
  <c r="AN187" i="50"/>
  <c r="AO187" i="50"/>
  <c r="AX187" i="50"/>
  <c r="AY187" i="50"/>
  <c r="A188" i="50"/>
  <c r="B188" i="50"/>
  <c r="C188" i="50"/>
  <c r="D188" i="50"/>
  <c r="E188" i="50"/>
  <c r="F188" i="50"/>
  <c r="S188" i="50"/>
  <c r="T188" i="50"/>
  <c r="U188" i="50"/>
  <c r="V188" i="50"/>
  <c r="W188" i="50"/>
  <c r="X188" i="50"/>
  <c r="Z188" i="50"/>
  <c r="AA188" i="50"/>
  <c r="AC188" i="50"/>
  <c r="AG188" i="50"/>
  <c r="AH188" i="50"/>
  <c r="AJ188" i="50"/>
  <c r="AM188" i="50"/>
  <c r="AN188" i="50"/>
  <c r="AO188" i="50"/>
  <c r="AX188" i="50"/>
  <c r="AY188" i="50"/>
  <c r="A189" i="50"/>
  <c r="B189" i="50"/>
  <c r="C189" i="50"/>
  <c r="D189" i="50"/>
  <c r="E189" i="50"/>
  <c r="F189" i="50"/>
  <c r="S189" i="50"/>
  <c r="T189" i="50"/>
  <c r="U189" i="50"/>
  <c r="V189" i="50"/>
  <c r="W189" i="50"/>
  <c r="X189" i="50"/>
  <c r="Z189" i="50"/>
  <c r="AA189" i="50"/>
  <c r="AC189" i="50"/>
  <c r="AG189" i="50"/>
  <c r="AH189" i="50"/>
  <c r="AJ189" i="50"/>
  <c r="AM189" i="50"/>
  <c r="AN189" i="50"/>
  <c r="AO189" i="50"/>
  <c r="AX189" i="50"/>
  <c r="AY189" i="50"/>
  <c r="A190" i="50"/>
  <c r="B190" i="50"/>
  <c r="C190" i="50"/>
  <c r="D190" i="50"/>
  <c r="E190" i="50"/>
  <c r="F190" i="50"/>
  <c r="S190" i="50"/>
  <c r="T190" i="50"/>
  <c r="U190" i="50"/>
  <c r="V190" i="50"/>
  <c r="W190" i="50"/>
  <c r="X190" i="50"/>
  <c r="Z190" i="50"/>
  <c r="AA190" i="50"/>
  <c r="AC190" i="50"/>
  <c r="AG190" i="50"/>
  <c r="AH190" i="50"/>
  <c r="AJ190" i="50"/>
  <c r="AM190" i="50"/>
  <c r="AN190" i="50"/>
  <c r="AO190" i="50"/>
  <c r="AX190" i="50"/>
  <c r="AY190" i="50"/>
  <c r="A191" i="50"/>
  <c r="B191" i="50"/>
  <c r="C191" i="50"/>
  <c r="D191" i="50"/>
  <c r="E191" i="50"/>
  <c r="F191" i="50"/>
  <c r="S191" i="50"/>
  <c r="T191" i="50"/>
  <c r="U191" i="50"/>
  <c r="V191" i="50"/>
  <c r="W191" i="50"/>
  <c r="X191" i="50"/>
  <c r="Z191" i="50"/>
  <c r="AA191" i="50"/>
  <c r="AC191" i="50"/>
  <c r="AG191" i="50"/>
  <c r="AH191" i="50"/>
  <c r="AJ191" i="50"/>
  <c r="AM191" i="50"/>
  <c r="AN191" i="50"/>
  <c r="AO191" i="50"/>
  <c r="AX191" i="50"/>
  <c r="AY191" i="50"/>
  <c r="A192" i="50"/>
  <c r="B192" i="50"/>
  <c r="C192" i="50"/>
  <c r="D192" i="50"/>
  <c r="E192" i="50"/>
  <c r="F192" i="50"/>
  <c r="S192" i="50"/>
  <c r="T192" i="50"/>
  <c r="U192" i="50"/>
  <c r="V192" i="50"/>
  <c r="W192" i="50"/>
  <c r="X192" i="50"/>
  <c r="Z192" i="50"/>
  <c r="AA192" i="50"/>
  <c r="AC192" i="50"/>
  <c r="AG192" i="50"/>
  <c r="AH192" i="50"/>
  <c r="AJ192" i="50"/>
  <c r="AM192" i="50"/>
  <c r="AN192" i="50"/>
  <c r="AO192" i="50"/>
  <c r="AX192" i="50"/>
  <c r="AY192" i="50"/>
  <c r="A193" i="50"/>
  <c r="B193" i="50"/>
  <c r="C193" i="50"/>
  <c r="D193" i="50"/>
  <c r="E193" i="50"/>
  <c r="F193" i="50"/>
  <c r="S193" i="50"/>
  <c r="T193" i="50"/>
  <c r="U193" i="50"/>
  <c r="V193" i="50"/>
  <c r="W193" i="50"/>
  <c r="X193" i="50"/>
  <c r="Z193" i="50"/>
  <c r="AA193" i="50"/>
  <c r="AC193" i="50"/>
  <c r="AG193" i="50"/>
  <c r="AH193" i="50"/>
  <c r="AJ193" i="50"/>
  <c r="AO193" i="50"/>
  <c r="AX193" i="50"/>
  <c r="AY193" i="50"/>
  <c r="B194" i="50"/>
  <c r="X194" i="50"/>
  <c r="AN194" i="50"/>
  <c r="A195" i="50"/>
  <c r="B195" i="50"/>
  <c r="C195" i="50"/>
  <c r="E195" i="50"/>
  <c r="F195" i="50"/>
  <c r="S195" i="50"/>
  <c r="T195" i="50"/>
  <c r="U195" i="50"/>
  <c r="V195" i="50"/>
  <c r="W195" i="50"/>
  <c r="X195" i="50"/>
  <c r="Z195" i="50"/>
  <c r="AA195" i="50"/>
  <c r="AC195" i="50"/>
  <c r="AG195" i="50"/>
  <c r="AH195" i="50"/>
  <c r="AJ195" i="50"/>
  <c r="AO195" i="50"/>
  <c r="AX195" i="50"/>
  <c r="AY195" i="50"/>
  <c r="C197" i="50"/>
  <c r="G197" i="50"/>
  <c r="C200" i="50"/>
  <c r="C201" i="50"/>
  <c r="G202" i="50"/>
  <c r="A207" i="50"/>
  <c r="D207" i="50"/>
  <c r="S207" i="50"/>
  <c r="T207" i="50"/>
  <c r="U207" i="50"/>
  <c r="V207" i="50"/>
  <c r="W207" i="50"/>
  <c r="X207" i="50"/>
  <c r="Z207" i="50"/>
  <c r="AA207" i="50"/>
  <c r="AC207" i="50"/>
  <c r="AJ207" i="50"/>
  <c r="AM207" i="50"/>
  <c r="AN207" i="50"/>
  <c r="AO207" i="50"/>
  <c r="AX207" i="50"/>
  <c r="AY207" i="50"/>
  <c r="A208" i="50"/>
  <c r="B208" i="50"/>
  <c r="C208" i="50"/>
  <c r="D208" i="50"/>
  <c r="E208" i="50"/>
  <c r="F208" i="50"/>
  <c r="S208" i="50"/>
  <c r="T208" i="50"/>
  <c r="U208" i="50"/>
  <c r="V208" i="50"/>
  <c r="W208" i="50"/>
  <c r="X208" i="50"/>
  <c r="Z208" i="50"/>
  <c r="AA208" i="50"/>
  <c r="AC208" i="50"/>
  <c r="AJ208" i="50"/>
  <c r="AM208" i="50"/>
  <c r="AN208" i="50"/>
  <c r="AO208" i="50"/>
  <c r="AX208" i="50"/>
  <c r="AY208" i="50"/>
  <c r="A209" i="50"/>
  <c r="B209" i="50"/>
  <c r="C209" i="50"/>
  <c r="D209" i="50"/>
  <c r="E209" i="50"/>
  <c r="F209" i="50"/>
  <c r="S209" i="50"/>
  <c r="T209" i="50"/>
  <c r="U209" i="50"/>
  <c r="V209" i="50"/>
  <c r="W209" i="50"/>
  <c r="X209" i="50"/>
  <c r="Z209" i="50"/>
  <c r="AA209" i="50"/>
  <c r="AC209" i="50"/>
  <c r="AJ209" i="50"/>
  <c r="AM209" i="50"/>
  <c r="AN209" i="50"/>
  <c r="AO209" i="50"/>
  <c r="AX209" i="50"/>
  <c r="AY209" i="50"/>
  <c r="A210" i="50"/>
  <c r="B210" i="50"/>
  <c r="C210" i="50"/>
  <c r="D210" i="50"/>
  <c r="E210" i="50"/>
  <c r="F210" i="50"/>
  <c r="S210" i="50"/>
  <c r="T210" i="50"/>
  <c r="U210" i="50"/>
  <c r="V210" i="50"/>
  <c r="W210" i="50"/>
  <c r="X210" i="50"/>
  <c r="Z210" i="50"/>
  <c r="AA210" i="50"/>
  <c r="AC210" i="50"/>
  <c r="AJ210" i="50"/>
  <c r="AM210" i="50"/>
  <c r="AN210" i="50"/>
  <c r="AO210" i="50"/>
  <c r="AX210" i="50"/>
  <c r="AY210" i="50"/>
  <c r="A211" i="50"/>
  <c r="B211" i="50"/>
  <c r="C211" i="50"/>
  <c r="D211" i="50"/>
  <c r="E211" i="50"/>
  <c r="F211" i="50"/>
  <c r="S211" i="50"/>
  <c r="T211" i="50"/>
  <c r="U211" i="50"/>
  <c r="V211" i="50"/>
  <c r="W211" i="50"/>
  <c r="X211" i="50"/>
  <c r="Z211" i="50"/>
  <c r="AA211" i="50"/>
  <c r="AC211" i="50"/>
  <c r="AJ211" i="50"/>
  <c r="AM211" i="50"/>
  <c r="AN211" i="50"/>
  <c r="AO211" i="50"/>
  <c r="AX211" i="50"/>
  <c r="AY211" i="50"/>
  <c r="A212" i="50"/>
  <c r="B212" i="50"/>
  <c r="C212" i="50"/>
  <c r="D212" i="50"/>
  <c r="E212" i="50"/>
  <c r="F212" i="50"/>
  <c r="S212" i="50"/>
  <c r="T212" i="50"/>
  <c r="U212" i="50"/>
  <c r="V212" i="50"/>
  <c r="W212" i="50"/>
  <c r="X212" i="50"/>
  <c r="Z212" i="50"/>
  <c r="AA212" i="50"/>
  <c r="AC212" i="50"/>
  <c r="AJ212" i="50"/>
  <c r="AM212" i="50"/>
  <c r="AN212" i="50"/>
  <c r="AO212" i="50"/>
  <c r="AX212" i="50"/>
  <c r="AY212" i="50"/>
  <c r="A213" i="50"/>
  <c r="B213" i="50"/>
  <c r="C213" i="50"/>
  <c r="D213" i="50"/>
  <c r="E213" i="50"/>
  <c r="F213" i="50"/>
  <c r="S213" i="50"/>
  <c r="T213" i="50"/>
  <c r="U213" i="50"/>
  <c r="V213" i="50"/>
  <c r="W213" i="50"/>
  <c r="X213" i="50"/>
  <c r="Z213" i="50"/>
  <c r="AA213" i="50"/>
  <c r="AC213" i="50"/>
  <c r="AJ213" i="50"/>
  <c r="AM213" i="50"/>
  <c r="AN213" i="50"/>
  <c r="AO213" i="50"/>
  <c r="AX213" i="50"/>
  <c r="AY213" i="50"/>
  <c r="A214" i="50"/>
  <c r="B214" i="50"/>
  <c r="C214" i="50"/>
  <c r="D214" i="50"/>
  <c r="E214" i="50"/>
  <c r="F214" i="50"/>
  <c r="S214" i="50"/>
  <c r="T214" i="50"/>
  <c r="U214" i="50"/>
  <c r="V214" i="50"/>
  <c r="W214" i="50"/>
  <c r="X214" i="50"/>
  <c r="Z214" i="50"/>
  <c r="AA214" i="50"/>
  <c r="AC214" i="50"/>
  <c r="AJ214" i="50"/>
  <c r="AM214" i="50"/>
  <c r="AN214" i="50"/>
  <c r="AO214" i="50"/>
  <c r="AX214" i="50"/>
  <c r="AY214" i="50"/>
  <c r="A215" i="50"/>
  <c r="B215" i="50"/>
  <c r="C215" i="50"/>
  <c r="D215" i="50"/>
  <c r="E215" i="50"/>
  <c r="F215" i="50"/>
  <c r="S215" i="50"/>
  <c r="T215" i="50"/>
  <c r="U215" i="50"/>
  <c r="V215" i="50"/>
  <c r="W215" i="50"/>
  <c r="X215" i="50"/>
  <c r="Z215" i="50"/>
  <c r="AA215" i="50"/>
  <c r="AC215" i="50"/>
  <c r="AJ215" i="50"/>
  <c r="AM215" i="50"/>
  <c r="AN215" i="50"/>
  <c r="AO215" i="50"/>
  <c r="AX215" i="50"/>
  <c r="AY215" i="50"/>
  <c r="A216" i="50"/>
  <c r="B216" i="50"/>
  <c r="C216" i="50"/>
  <c r="D216" i="50"/>
  <c r="E216" i="50"/>
  <c r="F216" i="50"/>
  <c r="S216" i="50"/>
  <c r="T216" i="50"/>
  <c r="U216" i="50"/>
  <c r="V216" i="50"/>
  <c r="W216" i="50"/>
  <c r="X216" i="50"/>
  <c r="Z216" i="50"/>
  <c r="AA216" i="50"/>
  <c r="AC216" i="50"/>
  <c r="AJ216" i="50"/>
  <c r="AM216" i="50"/>
  <c r="AN216" i="50"/>
  <c r="AO216" i="50"/>
  <c r="AX216" i="50"/>
  <c r="AY216" i="50"/>
  <c r="A217" i="50"/>
  <c r="B217" i="50"/>
  <c r="C217" i="50"/>
  <c r="D217" i="50"/>
  <c r="E217" i="50"/>
  <c r="F217" i="50"/>
  <c r="S217" i="50"/>
  <c r="T217" i="50"/>
  <c r="U217" i="50"/>
  <c r="V217" i="50"/>
  <c r="W217" i="50"/>
  <c r="X217" i="50"/>
  <c r="Z217" i="50"/>
  <c r="AA217" i="50"/>
  <c r="AC217" i="50"/>
  <c r="AJ217" i="50"/>
  <c r="AM217" i="50"/>
  <c r="AN217" i="50"/>
  <c r="AO217" i="50"/>
  <c r="AX217" i="50"/>
  <c r="AY217" i="50"/>
  <c r="A218" i="50"/>
  <c r="B218" i="50"/>
  <c r="C218" i="50"/>
  <c r="D218" i="50"/>
  <c r="E218" i="50"/>
  <c r="F218" i="50"/>
  <c r="S218" i="50"/>
  <c r="T218" i="50"/>
  <c r="U218" i="50"/>
  <c r="V218" i="50"/>
  <c r="W218" i="50"/>
  <c r="X218" i="50"/>
  <c r="Z218" i="50"/>
  <c r="AA218" i="50"/>
  <c r="AC218" i="50"/>
  <c r="AJ218" i="50"/>
  <c r="AM218" i="50"/>
  <c r="AN218" i="50"/>
  <c r="AO218" i="50"/>
  <c r="AX218" i="50"/>
  <c r="AY218" i="50"/>
  <c r="A219" i="50"/>
  <c r="B219" i="50"/>
  <c r="C219" i="50"/>
  <c r="D219" i="50"/>
  <c r="E219" i="50"/>
  <c r="F219" i="50"/>
  <c r="S219" i="50"/>
  <c r="T219" i="50"/>
  <c r="U219" i="50"/>
  <c r="V219" i="50"/>
  <c r="W219" i="50"/>
  <c r="X219" i="50"/>
  <c r="Z219" i="50"/>
  <c r="AA219" i="50"/>
  <c r="AC219" i="50"/>
  <c r="AJ219" i="50"/>
  <c r="AM219" i="50"/>
  <c r="AN219" i="50"/>
  <c r="AO219" i="50"/>
  <c r="AX219" i="50"/>
  <c r="AY219" i="50"/>
  <c r="A220" i="50"/>
  <c r="B220" i="50"/>
  <c r="C220" i="50"/>
  <c r="D220" i="50"/>
  <c r="E220" i="50"/>
  <c r="F220" i="50"/>
  <c r="S220" i="50"/>
  <c r="T220" i="50"/>
  <c r="U220" i="50"/>
  <c r="V220" i="50"/>
  <c r="W220" i="50"/>
  <c r="X220" i="50"/>
  <c r="Z220" i="50"/>
  <c r="AA220" i="50"/>
  <c r="AC220" i="50"/>
  <c r="AJ220" i="50"/>
  <c r="AM220" i="50"/>
  <c r="AN220" i="50"/>
  <c r="AO220" i="50"/>
  <c r="AX220" i="50"/>
  <c r="AY220" i="50"/>
  <c r="A221" i="50"/>
  <c r="B221" i="50"/>
  <c r="C221" i="50"/>
  <c r="D221" i="50"/>
  <c r="E221" i="50"/>
  <c r="F221" i="50"/>
  <c r="S221" i="50"/>
  <c r="T221" i="50"/>
  <c r="U221" i="50"/>
  <c r="V221" i="50"/>
  <c r="W221" i="50"/>
  <c r="X221" i="50"/>
  <c r="Z221" i="50"/>
  <c r="AA221" i="50"/>
  <c r="AC221" i="50"/>
  <c r="AJ221" i="50"/>
  <c r="AM221" i="50"/>
  <c r="AN221" i="50"/>
  <c r="AO221" i="50"/>
  <c r="AX221" i="50"/>
  <c r="AY221" i="50"/>
  <c r="A222" i="50"/>
  <c r="B222" i="50"/>
  <c r="C222" i="50"/>
  <c r="D222" i="50"/>
  <c r="E222" i="50"/>
  <c r="F222" i="50"/>
  <c r="S222" i="50"/>
  <c r="T222" i="50"/>
  <c r="U222" i="50"/>
  <c r="V222" i="50"/>
  <c r="W222" i="50"/>
  <c r="X222" i="50"/>
  <c r="Z222" i="50"/>
  <c r="AA222" i="50"/>
  <c r="AC222" i="50"/>
  <c r="AJ222" i="50"/>
  <c r="AM222" i="50"/>
  <c r="AN222" i="50"/>
  <c r="AO222" i="50"/>
  <c r="AX222" i="50"/>
  <c r="AY222" i="50"/>
  <c r="A223" i="50"/>
  <c r="B223" i="50"/>
  <c r="C223" i="50"/>
  <c r="D223" i="50"/>
  <c r="E223" i="50"/>
  <c r="F223" i="50"/>
  <c r="S223" i="50"/>
  <c r="T223" i="50"/>
  <c r="U223" i="50"/>
  <c r="V223" i="50"/>
  <c r="W223" i="50"/>
  <c r="X223" i="50"/>
  <c r="Z223" i="50"/>
  <c r="AA223" i="50"/>
  <c r="AC223" i="50"/>
  <c r="AJ223" i="50"/>
  <c r="AM223" i="50"/>
  <c r="AN223" i="50"/>
  <c r="AO223" i="50"/>
  <c r="AX223" i="50"/>
  <c r="AY223" i="50"/>
  <c r="A224" i="50"/>
  <c r="B224" i="50"/>
  <c r="C224" i="50"/>
  <c r="D224" i="50"/>
  <c r="E224" i="50"/>
  <c r="F224" i="50"/>
  <c r="S224" i="50"/>
  <c r="T224" i="50"/>
  <c r="U224" i="50"/>
  <c r="V224" i="50"/>
  <c r="W224" i="50"/>
  <c r="X224" i="50"/>
  <c r="Z224" i="50"/>
  <c r="AA224" i="50"/>
  <c r="AC224" i="50"/>
  <c r="AJ224" i="50"/>
  <c r="AM224" i="50"/>
  <c r="AN224" i="50"/>
  <c r="AO224" i="50"/>
  <c r="AX224" i="50"/>
  <c r="AY224" i="50"/>
  <c r="A225" i="50"/>
  <c r="B225" i="50"/>
  <c r="C225" i="50"/>
  <c r="D225" i="50"/>
  <c r="E225" i="50"/>
  <c r="F225" i="50"/>
  <c r="S225" i="50"/>
  <c r="T225" i="50"/>
  <c r="U225" i="50"/>
  <c r="V225" i="50"/>
  <c r="W225" i="50"/>
  <c r="X225" i="50"/>
  <c r="Z225" i="50"/>
  <c r="AA225" i="50"/>
  <c r="AC225" i="50"/>
  <c r="AJ225" i="50"/>
  <c r="AM225" i="50"/>
  <c r="AN225" i="50"/>
  <c r="AO225" i="50"/>
  <c r="AX225" i="50"/>
  <c r="AY225" i="50"/>
  <c r="A226" i="50"/>
  <c r="B226" i="50"/>
  <c r="C226" i="50"/>
  <c r="D226" i="50"/>
  <c r="E226" i="50"/>
  <c r="F226" i="50"/>
  <c r="S226" i="50"/>
  <c r="T226" i="50"/>
  <c r="U226" i="50"/>
  <c r="V226" i="50"/>
  <c r="W226" i="50"/>
  <c r="X226" i="50"/>
  <c r="Z226" i="50"/>
  <c r="AA226" i="50"/>
  <c r="AC226" i="50"/>
  <c r="AJ226" i="50"/>
  <c r="AM226" i="50"/>
  <c r="AN226" i="50"/>
  <c r="AO226" i="50"/>
  <c r="AX226" i="50"/>
  <c r="AY226" i="50"/>
  <c r="A227" i="50"/>
  <c r="B227" i="50"/>
  <c r="C227" i="50"/>
  <c r="D227" i="50"/>
  <c r="E227" i="50"/>
  <c r="F227" i="50"/>
  <c r="S227" i="50"/>
  <c r="T227" i="50"/>
  <c r="U227" i="50"/>
  <c r="V227" i="50"/>
  <c r="W227" i="50"/>
  <c r="X227" i="50"/>
  <c r="Z227" i="50"/>
  <c r="AA227" i="50"/>
  <c r="AC227" i="50"/>
  <c r="AJ227" i="50"/>
  <c r="AM227" i="50"/>
  <c r="AN227" i="50"/>
  <c r="AO227" i="50"/>
  <c r="AX227" i="50"/>
  <c r="AY227" i="50"/>
  <c r="A232" i="50"/>
  <c r="B232" i="50"/>
  <c r="C232" i="50"/>
  <c r="D232" i="50"/>
  <c r="E232" i="50"/>
  <c r="S232" i="50"/>
  <c r="T232" i="50"/>
  <c r="U232" i="50"/>
  <c r="V232" i="50"/>
  <c r="W232" i="50"/>
  <c r="X232" i="50"/>
  <c r="Z232" i="50"/>
  <c r="AA232" i="50"/>
  <c r="AC232" i="50"/>
  <c r="AE232" i="50"/>
  <c r="AF232" i="50"/>
  <c r="AI232" i="50"/>
  <c r="AJ232" i="50"/>
  <c r="AN232" i="50"/>
  <c r="AO232" i="50"/>
  <c r="AX232" i="50"/>
  <c r="AY232" i="50"/>
  <c r="A233" i="50"/>
  <c r="B233" i="50"/>
  <c r="C233" i="50"/>
  <c r="D233" i="50"/>
  <c r="E233" i="50"/>
  <c r="F233" i="50"/>
  <c r="S233" i="50"/>
  <c r="T233" i="50"/>
  <c r="U233" i="50"/>
  <c r="V233" i="50"/>
  <c r="W233" i="50"/>
  <c r="X233" i="50"/>
  <c r="Z233" i="50"/>
  <c r="AA233" i="50"/>
  <c r="AC233" i="50"/>
  <c r="AE233" i="50"/>
  <c r="AF233" i="50"/>
  <c r="AI233" i="50"/>
  <c r="AJ233" i="50"/>
  <c r="AN233" i="50"/>
  <c r="AO233" i="50"/>
  <c r="AX233" i="50"/>
  <c r="AY233" i="50"/>
  <c r="A234" i="50"/>
  <c r="B234" i="50"/>
  <c r="C234" i="50"/>
  <c r="D234" i="50"/>
  <c r="E234" i="50"/>
  <c r="F234" i="50"/>
  <c r="S234" i="50"/>
  <c r="T234" i="50"/>
  <c r="U234" i="50"/>
  <c r="V234" i="50"/>
  <c r="W234" i="50"/>
  <c r="X234" i="50"/>
  <c r="Z234" i="50"/>
  <c r="AA234" i="50"/>
  <c r="AC234" i="50"/>
  <c r="AE234" i="50"/>
  <c r="AF234" i="50"/>
  <c r="AI234" i="50"/>
  <c r="AJ234" i="50"/>
  <c r="AN234" i="50"/>
  <c r="AO234" i="50"/>
  <c r="AX234" i="50"/>
  <c r="AY234" i="50"/>
  <c r="A235" i="50"/>
  <c r="B235" i="50"/>
  <c r="C235" i="50"/>
  <c r="D235" i="50"/>
  <c r="E235" i="50"/>
  <c r="F235" i="50"/>
  <c r="S235" i="50"/>
  <c r="T235" i="50"/>
  <c r="U235" i="50"/>
  <c r="V235" i="50"/>
  <c r="W235" i="50"/>
  <c r="X235" i="50"/>
  <c r="Z235" i="50"/>
  <c r="AA235" i="50"/>
  <c r="AC235" i="50"/>
  <c r="AE235" i="50"/>
  <c r="AF235" i="50"/>
  <c r="AI235" i="50"/>
  <c r="AJ235" i="50"/>
  <c r="AN235" i="50"/>
  <c r="AO235" i="50"/>
  <c r="AX235" i="50"/>
  <c r="AY235" i="50"/>
  <c r="A236" i="50"/>
  <c r="B236" i="50"/>
  <c r="C236" i="50"/>
  <c r="D236" i="50"/>
  <c r="E236" i="50"/>
  <c r="F236" i="50"/>
  <c r="S236" i="50"/>
  <c r="T236" i="50"/>
  <c r="U236" i="50"/>
  <c r="V236" i="50"/>
  <c r="W236" i="50"/>
  <c r="X236" i="50"/>
  <c r="Z236" i="50"/>
  <c r="AA236" i="50"/>
  <c r="AC236" i="50"/>
  <c r="AE236" i="50"/>
  <c r="AF236" i="50"/>
  <c r="AI236" i="50"/>
  <c r="AJ236" i="50"/>
  <c r="AN236" i="50"/>
  <c r="AO236" i="50"/>
  <c r="AX236" i="50"/>
  <c r="AY236" i="50"/>
  <c r="A237" i="50"/>
  <c r="B237" i="50"/>
  <c r="C237" i="50"/>
  <c r="D237" i="50"/>
  <c r="E237" i="50"/>
  <c r="F237" i="50"/>
  <c r="S237" i="50"/>
  <c r="T237" i="50"/>
  <c r="U237" i="50"/>
  <c r="V237" i="50"/>
  <c r="W237" i="50"/>
  <c r="X237" i="50"/>
  <c r="Z237" i="50"/>
  <c r="AA237" i="50"/>
  <c r="AC237" i="50"/>
  <c r="AE237" i="50"/>
  <c r="AF237" i="50"/>
  <c r="AI237" i="50"/>
  <c r="AJ237" i="50"/>
  <c r="AN237" i="50"/>
  <c r="AO237" i="50"/>
  <c r="AX237" i="50"/>
  <c r="AY237" i="50"/>
  <c r="A238" i="50"/>
  <c r="B238" i="50"/>
  <c r="C238" i="50"/>
  <c r="D238" i="50"/>
  <c r="E238" i="50"/>
  <c r="F238" i="50"/>
  <c r="S238" i="50"/>
  <c r="T238" i="50"/>
  <c r="U238" i="50"/>
  <c r="V238" i="50"/>
  <c r="W238" i="50"/>
  <c r="X238" i="50"/>
  <c r="Z238" i="50"/>
  <c r="AA238" i="50"/>
  <c r="AC238" i="50"/>
  <c r="AE238" i="50"/>
  <c r="AF238" i="50"/>
  <c r="AI238" i="50"/>
  <c r="AJ238" i="50"/>
  <c r="AN238" i="50"/>
  <c r="AO238" i="50"/>
  <c r="AX238" i="50"/>
  <c r="AY238" i="50"/>
  <c r="A239" i="50"/>
  <c r="B239" i="50"/>
  <c r="C239" i="50"/>
  <c r="D239" i="50"/>
  <c r="E239" i="50"/>
  <c r="F239" i="50"/>
  <c r="S239" i="50"/>
  <c r="T239" i="50"/>
  <c r="U239" i="50"/>
  <c r="V239" i="50"/>
  <c r="W239" i="50"/>
  <c r="X239" i="50"/>
  <c r="Z239" i="50"/>
  <c r="AA239" i="50"/>
  <c r="AC239" i="50"/>
  <c r="AE239" i="50"/>
  <c r="AF239" i="50"/>
  <c r="AI239" i="50"/>
  <c r="AJ239" i="50"/>
  <c r="AN239" i="50"/>
  <c r="AO239" i="50"/>
  <c r="AX239" i="50"/>
  <c r="AY239" i="50"/>
  <c r="A240" i="50"/>
  <c r="B240" i="50"/>
  <c r="C240" i="50"/>
  <c r="D240" i="50"/>
  <c r="E240" i="50"/>
  <c r="F240" i="50"/>
  <c r="S240" i="50"/>
  <c r="T240" i="50"/>
  <c r="U240" i="50"/>
  <c r="V240" i="50"/>
  <c r="W240" i="50"/>
  <c r="X240" i="50"/>
  <c r="Z240" i="50"/>
  <c r="AA240" i="50"/>
  <c r="AC240" i="50"/>
  <c r="AE240" i="50"/>
  <c r="AF240" i="50"/>
  <c r="AI240" i="50"/>
  <c r="AJ240" i="50"/>
  <c r="AN240" i="50"/>
  <c r="AO240" i="50"/>
  <c r="AX240" i="50"/>
  <c r="AY240" i="50"/>
  <c r="A241" i="50"/>
  <c r="B241" i="50"/>
  <c r="C241" i="50"/>
  <c r="D241" i="50"/>
  <c r="E241" i="50"/>
  <c r="F241" i="50"/>
  <c r="S241" i="50"/>
  <c r="T241" i="50"/>
  <c r="U241" i="50"/>
  <c r="V241" i="50"/>
  <c r="W241" i="50"/>
  <c r="X241" i="50"/>
  <c r="Z241" i="50"/>
  <c r="AA241" i="50"/>
  <c r="AC241" i="50"/>
  <c r="AE241" i="50"/>
  <c r="AF241" i="50"/>
  <c r="AI241" i="50"/>
  <c r="AJ241" i="50"/>
  <c r="AN241" i="50"/>
  <c r="AO241" i="50"/>
  <c r="AX241" i="50"/>
  <c r="AY241" i="50"/>
  <c r="A242" i="50"/>
  <c r="B242" i="50"/>
  <c r="C242" i="50"/>
  <c r="D242" i="50"/>
  <c r="E242" i="50"/>
  <c r="F242" i="50"/>
  <c r="S242" i="50"/>
  <c r="T242" i="50"/>
  <c r="U242" i="50"/>
  <c r="V242" i="50"/>
  <c r="W242" i="50"/>
  <c r="X242" i="50"/>
  <c r="Z242" i="50"/>
  <c r="AA242" i="50"/>
  <c r="AC242" i="50"/>
  <c r="AE242" i="50"/>
  <c r="AF242" i="50"/>
  <c r="AI242" i="50"/>
  <c r="AJ242" i="50"/>
  <c r="AN242" i="50"/>
  <c r="AO242" i="50"/>
  <c r="AX242" i="50"/>
  <c r="AY242" i="50"/>
  <c r="A243" i="50"/>
  <c r="B243" i="50"/>
  <c r="C243" i="50"/>
  <c r="D243" i="50"/>
  <c r="E243" i="50"/>
  <c r="F243" i="50"/>
  <c r="S243" i="50"/>
  <c r="T243" i="50"/>
  <c r="U243" i="50"/>
  <c r="V243" i="50"/>
  <c r="W243" i="50"/>
  <c r="X243" i="50"/>
  <c r="Z243" i="50"/>
  <c r="AA243" i="50"/>
  <c r="AC243" i="50"/>
  <c r="AE243" i="50"/>
  <c r="AF243" i="50"/>
  <c r="AI243" i="50"/>
  <c r="AJ243" i="50"/>
  <c r="AN243" i="50"/>
  <c r="AO243" i="50"/>
  <c r="AX243" i="50"/>
  <c r="AY243" i="50"/>
  <c r="A244" i="50"/>
  <c r="B244" i="50"/>
  <c r="C244" i="50"/>
  <c r="D244" i="50"/>
  <c r="E244" i="50"/>
  <c r="F244" i="50"/>
  <c r="S244" i="50"/>
  <c r="T244" i="50"/>
  <c r="U244" i="50"/>
  <c r="V244" i="50"/>
  <c r="W244" i="50"/>
  <c r="X244" i="50"/>
  <c r="Z244" i="50"/>
  <c r="AA244" i="50"/>
  <c r="AC244" i="50"/>
  <c r="AE244" i="50"/>
  <c r="AF244" i="50"/>
  <c r="AI244" i="50"/>
  <c r="AJ244" i="50"/>
  <c r="AN244" i="50"/>
  <c r="AO244" i="50"/>
  <c r="AX244" i="50"/>
  <c r="AY244" i="50"/>
  <c r="A245" i="50"/>
  <c r="B245" i="50"/>
  <c r="C245" i="50"/>
  <c r="D245" i="50"/>
  <c r="E245" i="50"/>
  <c r="F245" i="50"/>
  <c r="S245" i="50"/>
  <c r="T245" i="50"/>
  <c r="U245" i="50"/>
  <c r="V245" i="50"/>
  <c r="W245" i="50"/>
  <c r="X245" i="50"/>
  <c r="Z245" i="50"/>
  <c r="AA245" i="50"/>
  <c r="AC245" i="50"/>
  <c r="AE245" i="50"/>
  <c r="AF245" i="50"/>
  <c r="AI245" i="50"/>
  <c r="AJ245" i="50"/>
  <c r="AN245" i="50"/>
  <c r="AO245" i="50"/>
  <c r="AX245" i="50"/>
  <c r="AY245" i="50"/>
  <c r="A246" i="50"/>
  <c r="B246" i="50"/>
  <c r="C246" i="50"/>
  <c r="D246" i="50"/>
  <c r="E246" i="50"/>
  <c r="F246" i="50"/>
  <c r="S246" i="50"/>
  <c r="T246" i="50"/>
  <c r="U246" i="50"/>
  <c r="V246" i="50"/>
  <c r="W246" i="50"/>
  <c r="X246" i="50"/>
  <c r="Z246" i="50"/>
  <c r="AA246" i="50"/>
  <c r="AC246" i="50"/>
  <c r="AE246" i="50"/>
  <c r="AF246" i="50"/>
  <c r="AI246" i="50"/>
  <c r="AJ246" i="50"/>
  <c r="AN246" i="50"/>
  <c r="AO246" i="50"/>
  <c r="AX246" i="50"/>
  <c r="AY246" i="50"/>
  <c r="A247" i="50"/>
  <c r="B247" i="50"/>
  <c r="C247" i="50"/>
  <c r="D247" i="50"/>
  <c r="E247" i="50"/>
  <c r="F247" i="50"/>
  <c r="S247" i="50"/>
  <c r="T247" i="50"/>
  <c r="U247" i="50"/>
  <c r="V247" i="50"/>
  <c r="W247" i="50"/>
  <c r="X247" i="50"/>
  <c r="Z247" i="50"/>
  <c r="AA247" i="50"/>
  <c r="AC247" i="50"/>
  <c r="AE247" i="50"/>
  <c r="AF247" i="50"/>
  <c r="AI247" i="50"/>
  <c r="AJ247" i="50"/>
  <c r="AN247" i="50"/>
  <c r="AO247" i="50"/>
  <c r="AX247" i="50"/>
  <c r="AY247" i="50"/>
  <c r="A248" i="50"/>
  <c r="B248" i="50"/>
  <c r="C248" i="50"/>
  <c r="D248" i="50"/>
  <c r="E248" i="50"/>
  <c r="F248" i="50"/>
  <c r="S248" i="50"/>
  <c r="T248" i="50"/>
  <c r="U248" i="50"/>
  <c r="V248" i="50"/>
  <c r="W248" i="50"/>
  <c r="X248" i="50"/>
  <c r="Z248" i="50"/>
  <c r="AA248" i="50"/>
  <c r="AC248" i="50"/>
  <c r="AE248" i="50"/>
  <c r="AF248" i="50"/>
  <c r="AI248" i="50"/>
  <c r="AJ248" i="50"/>
  <c r="AN248" i="50"/>
  <c r="AO248" i="50"/>
  <c r="AX248" i="50"/>
  <c r="AY248" i="50"/>
  <c r="A249" i="50"/>
  <c r="B249" i="50"/>
  <c r="C249" i="50"/>
  <c r="D249" i="50"/>
  <c r="E249" i="50"/>
  <c r="F249" i="50"/>
  <c r="S249" i="50"/>
  <c r="T249" i="50"/>
  <c r="U249" i="50"/>
  <c r="V249" i="50"/>
  <c r="W249" i="50"/>
  <c r="X249" i="50"/>
  <c r="Z249" i="50"/>
  <c r="AA249" i="50"/>
  <c r="AC249" i="50"/>
  <c r="AE249" i="50"/>
  <c r="AF249" i="50"/>
  <c r="AI249" i="50"/>
  <c r="AJ249" i="50"/>
  <c r="AN249" i="50"/>
  <c r="AO249" i="50"/>
  <c r="AX249" i="50"/>
  <c r="AY249" i="50"/>
  <c r="A250" i="50"/>
  <c r="B250" i="50"/>
  <c r="C250" i="50"/>
  <c r="D250" i="50"/>
  <c r="E250" i="50"/>
  <c r="F250" i="50"/>
  <c r="S250" i="50"/>
  <c r="T250" i="50"/>
  <c r="U250" i="50"/>
  <c r="V250" i="50"/>
  <c r="W250" i="50"/>
  <c r="X250" i="50"/>
  <c r="Z250" i="50"/>
  <c r="AA250" i="50"/>
  <c r="AC250" i="50"/>
  <c r="AE250" i="50"/>
  <c r="AF250" i="50"/>
  <c r="AI250" i="50"/>
  <c r="AJ250" i="50"/>
  <c r="AN250" i="50"/>
  <c r="AO250" i="50"/>
  <c r="AX250" i="50"/>
  <c r="AY250" i="50"/>
  <c r="A251" i="50"/>
  <c r="B251" i="50"/>
  <c r="C251" i="50"/>
  <c r="D251" i="50"/>
  <c r="E251" i="50"/>
  <c r="F251" i="50"/>
  <c r="S251" i="50"/>
  <c r="T251" i="50"/>
  <c r="U251" i="50"/>
  <c r="V251" i="50"/>
  <c r="W251" i="50"/>
  <c r="X251" i="50"/>
  <c r="Z251" i="50"/>
  <c r="AA251" i="50"/>
  <c r="AC251" i="50"/>
  <c r="AE251" i="50"/>
  <c r="AF251" i="50"/>
  <c r="AI251" i="50"/>
  <c r="AJ251" i="50"/>
  <c r="AN251" i="50"/>
  <c r="AO251" i="50"/>
  <c r="AX251" i="50"/>
  <c r="AY251" i="50"/>
  <c r="A252" i="50"/>
  <c r="B252" i="50"/>
  <c r="C252" i="50"/>
  <c r="D252" i="50"/>
  <c r="E252" i="50"/>
  <c r="F252" i="50"/>
  <c r="S252" i="50"/>
  <c r="T252" i="50"/>
  <c r="U252" i="50"/>
  <c r="V252" i="50"/>
  <c r="W252" i="50"/>
  <c r="X252" i="50"/>
  <c r="Z252" i="50"/>
  <c r="AA252" i="50"/>
  <c r="AC252" i="50"/>
  <c r="AE252" i="50"/>
  <c r="AF252" i="50"/>
  <c r="AI252" i="50"/>
  <c r="AJ252" i="50"/>
  <c r="AN252" i="50"/>
  <c r="AO252" i="50"/>
  <c r="AX252" i="50"/>
  <c r="AY252" i="50"/>
  <c r="K257" i="50"/>
  <c r="K260" i="50"/>
  <c r="B263" i="50"/>
  <c r="K263" i="50"/>
  <c r="B266" i="50"/>
  <c r="B267" i="50"/>
  <c r="C267" i="50"/>
  <c r="I286" i="50"/>
  <c r="I287" i="50"/>
  <c r="L287" i="50"/>
  <c r="I288" i="50"/>
  <c r="L288" i="50"/>
  <c r="C289" i="50"/>
  <c r="I289" i="50"/>
  <c r="L289" i="50"/>
  <c r="A292" i="50"/>
  <c r="S292" i="50"/>
  <c r="T292" i="50"/>
  <c r="U292" i="50"/>
  <c r="V292" i="50"/>
  <c r="W292" i="50"/>
  <c r="X292" i="50"/>
  <c r="Z292" i="50"/>
  <c r="AA292" i="50"/>
  <c r="AC292" i="50"/>
  <c r="AG292" i="50"/>
  <c r="AH292" i="50"/>
  <c r="AJ292" i="50"/>
  <c r="AK292" i="50"/>
  <c r="AM292" i="50"/>
  <c r="AN292" i="50"/>
  <c r="AO292" i="50"/>
  <c r="AX292" i="50"/>
  <c r="AY292" i="50"/>
  <c r="B297" i="50"/>
  <c r="B298" i="50"/>
  <c r="E298" i="50"/>
  <c r="I298" i="50"/>
  <c r="B299" i="50"/>
  <c r="B300" i="50"/>
  <c r="B301" i="50"/>
  <c r="B302" i="50"/>
  <c r="B303" i="50"/>
  <c r="B304" i="50"/>
  <c r="B306" i="50"/>
  <c r="B315" i="50"/>
  <c r="I320" i="50"/>
  <c r="I321" i="50"/>
  <c r="I322" i="50"/>
  <c r="L322" i="50"/>
  <c r="I323" i="50"/>
  <c r="L323" i="50"/>
  <c r="I324" i="50"/>
  <c r="L324" i="50"/>
  <c r="S328" i="50"/>
  <c r="T328" i="50"/>
  <c r="U328" i="50"/>
  <c r="V328" i="50"/>
  <c r="W328" i="50"/>
  <c r="X328" i="50"/>
  <c r="Z328" i="50"/>
  <c r="AA328" i="50"/>
  <c r="AC328" i="50"/>
  <c r="AG328" i="50"/>
  <c r="AH328" i="50"/>
  <c r="AJ328" i="50"/>
  <c r="AO328" i="50"/>
  <c r="AX328" i="50"/>
  <c r="AY328" i="5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<sst xmlns="http://schemas.openxmlformats.org/spreadsheetml/2006/main" count="5827" uniqueCount="325">
  <si>
    <t>Altitude</t>
  </si>
  <si>
    <t>Range</t>
  </si>
  <si>
    <t>Time</t>
  </si>
  <si>
    <t>Climb</t>
  </si>
  <si>
    <t>Cruise</t>
  </si>
  <si>
    <t>Loiter</t>
  </si>
  <si>
    <t>Descent</t>
  </si>
  <si>
    <t>Reserves</t>
  </si>
  <si>
    <t>lb</t>
  </si>
  <si>
    <t>ft</t>
  </si>
  <si>
    <t>AR</t>
  </si>
  <si>
    <t>e</t>
  </si>
  <si>
    <t>Swet/Sref</t>
  </si>
  <si>
    <t>cdo</t>
  </si>
  <si>
    <t>Taxi Fuel</t>
  </si>
  <si>
    <t>K</t>
  </si>
  <si>
    <t>TO Fuel</t>
  </si>
  <si>
    <t>TO Time</t>
  </si>
  <si>
    <t>s</t>
  </si>
  <si>
    <t>Taxi Throttle</t>
  </si>
  <si>
    <t>%</t>
  </si>
  <si>
    <t>min</t>
  </si>
  <si>
    <t>Target Altitude</t>
  </si>
  <si>
    <t>Weight</t>
  </si>
  <si>
    <t>Distance</t>
  </si>
  <si>
    <t>Seg Distance</t>
  </si>
  <si>
    <t>DISA</t>
  </si>
  <si>
    <t>Mach</t>
  </si>
  <si>
    <t>VTAS</t>
  </si>
  <si>
    <t>KCAS</t>
  </si>
  <si>
    <t>KTAS</t>
  </si>
  <si>
    <t>qinf</t>
  </si>
  <si>
    <t>Re/ft</t>
  </si>
  <si>
    <t>Re</t>
  </si>
  <si>
    <t>cf</t>
  </si>
  <si>
    <t>Gamma</t>
  </si>
  <si>
    <t>CL</t>
  </si>
  <si>
    <t>CD</t>
  </si>
  <si>
    <t>L/D</t>
  </si>
  <si>
    <t>D</t>
  </si>
  <si>
    <t>CL for Max L/D</t>
  </si>
  <si>
    <t>Throttle</t>
  </si>
  <si>
    <t>Fuel Burn Rate</t>
  </si>
  <si>
    <t>ROC</t>
  </si>
  <si>
    <t>dh</t>
  </si>
  <si>
    <t>dt</t>
  </si>
  <si>
    <t>dfuel</t>
  </si>
  <si>
    <t>Dx</t>
  </si>
  <si>
    <t>hr</t>
  </si>
  <si>
    <t>NM</t>
  </si>
  <si>
    <t>C</t>
  </si>
  <si>
    <t>fps</t>
  </si>
  <si>
    <t>kts</t>
  </si>
  <si>
    <t>psf</t>
  </si>
  <si>
    <t>1/ft</t>
  </si>
  <si>
    <t>deg</t>
  </si>
  <si>
    <t>lb/hr</t>
  </si>
  <si>
    <t>ft/s</t>
  </si>
  <si>
    <t>WE</t>
  </si>
  <si>
    <t>WP</t>
  </si>
  <si>
    <t>input</t>
  </si>
  <si>
    <t>2nd Gamma</t>
  </si>
  <si>
    <t>θ</t>
  </si>
  <si>
    <t>ẟ</t>
  </si>
  <si>
    <t>σ</t>
  </si>
  <si>
    <t>Temperature ISA [°R]</t>
  </si>
  <si>
    <t>Pressure [psf]</t>
  </si>
  <si>
    <t>Density[slugs/ft^3]</t>
  </si>
  <si>
    <t>Mu</t>
  </si>
  <si>
    <t>Wi</t>
  </si>
  <si>
    <t>Aircraft Design Constants</t>
  </si>
  <si>
    <t>VTO (V1)</t>
  </si>
  <si>
    <t>V_Transition</t>
  </si>
  <si>
    <t>V(2)</t>
  </si>
  <si>
    <t>Size Constants</t>
  </si>
  <si>
    <t>Breguet Range</t>
  </si>
  <si>
    <t>Sref (sqft)</t>
  </si>
  <si>
    <t>W</t>
  </si>
  <si>
    <t>lbs</t>
  </si>
  <si>
    <t>rho</t>
  </si>
  <si>
    <t>slugf/ft^3</t>
  </si>
  <si>
    <t>V</t>
  </si>
  <si>
    <t>S</t>
  </si>
  <si>
    <t>ft^2</t>
  </si>
  <si>
    <t>MAC (ft)</t>
  </si>
  <si>
    <t>TSFC</t>
  </si>
  <si>
    <t xml:space="preserve">Warmup/Taxi </t>
  </si>
  <si>
    <t>Taxi/Shutdown</t>
  </si>
  <si>
    <t>CD0</t>
  </si>
  <si>
    <t>Weight Constants</t>
  </si>
  <si>
    <t>Empty</t>
  </si>
  <si>
    <t>MRW (lbs)</t>
  </si>
  <si>
    <t xml:space="preserve">Taxi Time </t>
  </si>
  <si>
    <t>Payload</t>
  </si>
  <si>
    <t>Taxi/Warmup</t>
  </si>
  <si>
    <t>Fuel Weight</t>
  </si>
  <si>
    <t>MTOW (lbs)</t>
  </si>
  <si>
    <t>MRW</t>
  </si>
  <si>
    <t>Engine Constants</t>
  </si>
  <si>
    <t>Takeoff</t>
  </si>
  <si>
    <t>TSFC(FL00)</t>
  </si>
  <si>
    <t>TO Throttle</t>
  </si>
  <si>
    <t>T_Static_SL(lbf)</t>
  </si>
  <si>
    <t>Mission</t>
  </si>
  <si>
    <t>Drag Constants</t>
  </si>
  <si>
    <t>Ordanance Drag</t>
  </si>
  <si>
    <t>CLMAX</t>
  </si>
  <si>
    <t>Total Fuel Weight</t>
  </si>
  <si>
    <t>V_Stall (fps)</t>
  </si>
  <si>
    <t>Thrust Required</t>
  </si>
  <si>
    <t>Thrust Available</t>
  </si>
  <si>
    <t>Power Required</t>
  </si>
  <si>
    <t>Power Available</t>
  </si>
  <si>
    <t>Thrust Applied</t>
  </si>
  <si>
    <t>Excess Thrust</t>
  </si>
  <si>
    <t>Excess Power</t>
  </si>
  <si>
    <t>ROC Max fpm</t>
  </si>
  <si>
    <t>Specific Excess Power</t>
  </si>
  <si>
    <t>lbf</t>
  </si>
  <si>
    <t>lbf*ft/s</t>
  </si>
  <si>
    <t>Crusie Distance</t>
  </si>
  <si>
    <t>fpm</t>
  </si>
  <si>
    <t>Loiter Time</t>
  </si>
  <si>
    <t>V_Max</t>
  </si>
  <si>
    <t>Reserve Range</t>
  </si>
  <si>
    <t>Wres (Guess)</t>
  </si>
  <si>
    <t>Wres (Calc)</t>
  </si>
  <si>
    <t xml:space="preserve">Transition Analysis </t>
  </si>
  <si>
    <t>Surface/mu</t>
  </si>
  <si>
    <t>Rolling</t>
  </si>
  <si>
    <t>Brakes On</t>
  </si>
  <si>
    <t>V(kts)</t>
  </si>
  <si>
    <t>V(fps)</t>
  </si>
  <si>
    <t>Thrust_Scaled</t>
  </si>
  <si>
    <t>K_T</t>
  </si>
  <si>
    <t>K_A</t>
  </si>
  <si>
    <t>S_G</t>
  </si>
  <si>
    <t xml:space="preserve">Time traveled S_g </t>
  </si>
  <si>
    <t>S_TR</t>
  </si>
  <si>
    <t>h_TR</t>
  </si>
  <si>
    <t>Wf</t>
  </si>
  <si>
    <t>Firm Dirt</t>
  </si>
  <si>
    <t>ln</t>
  </si>
  <si>
    <t>dRange FL10</t>
  </si>
  <si>
    <t>dRange FL18</t>
  </si>
  <si>
    <t>Wet Grass</t>
  </si>
  <si>
    <t>Design</t>
  </si>
  <si>
    <t>Density at SL</t>
  </si>
  <si>
    <t>S_C</t>
  </si>
  <si>
    <t>Ferry</t>
  </si>
  <si>
    <t>CD0_SL (estimate)</t>
  </si>
  <si>
    <t>Breguet (FL10)</t>
  </si>
  <si>
    <t>g</t>
  </si>
  <si>
    <t xml:space="preserve"> </t>
  </si>
  <si>
    <t>S_R</t>
  </si>
  <si>
    <t>CL_Transition</t>
  </si>
  <si>
    <t>n</t>
  </si>
  <si>
    <t>R(Radius_Trans)</t>
  </si>
  <si>
    <t>gamma_climb</t>
  </si>
  <si>
    <t>K_eff (ground effect)</t>
  </si>
  <si>
    <t>S_G Total</t>
  </si>
  <si>
    <t>S_G_Time</t>
  </si>
  <si>
    <t>S_R Time</t>
  </si>
  <si>
    <t>S_TR Time</t>
  </si>
  <si>
    <t>S_C Time</t>
  </si>
  <si>
    <t>TOTAL S</t>
  </si>
  <si>
    <t xml:space="preserve">Total t </t>
  </si>
  <si>
    <t xml:space="preserve">Landing Analysis </t>
  </si>
  <si>
    <t>V_a (approach)</t>
  </si>
  <si>
    <t>gamma_a(approach)</t>
  </si>
  <si>
    <t>S_G ft</t>
  </si>
  <si>
    <t>V_TD(touchdown)</t>
  </si>
  <si>
    <t>V_f (flare)</t>
  </si>
  <si>
    <t>R</t>
  </si>
  <si>
    <t>h_flare</t>
  </si>
  <si>
    <t>S_flare</t>
  </si>
  <si>
    <t>free role delay t</t>
  </si>
  <si>
    <t>S_FR</t>
  </si>
  <si>
    <t>Cl_zero_alpha</t>
  </si>
  <si>
    <t>S_a (??)</t>
  </si>
  <si>
    <t>Total S_G</t>
  </si>
  <si>
    <t xml:space="preserve">Total Landing </t>
  </si>
  <si>
    <t xml:space="preserve">Total Breguet Range </t>
  </si>
  <si>
    <t xml:space="preserve">Range </t>
  </si>
  <si>
    <t xml:space="preserve">Velocity </t>
  </si>
  <si>
    <t xml:space="preserve">Mach </t>
  </si>
  <si>
    <t xml:space="preserve">Ground Roll Analysis </t>
  </si>
  <si>
    <t>S Excess Power</t>
  </si>
  <si>
    <t>CL^1/2/CD</t>
  </si>
  <si>
    <t>CL^3/2/CD</t>
  </si>
  <si>
    <t xml:space="preserve">Start of Cruise 1 Weight from </t>
  </si>
  <si>
    <t>FM</t>
  </si>
  <si>
    <t>Design Cruise</t>
  </si>
  <si>
    <t>Start of Loiter 1 Weight from FM</t>
  </si>
  <si>
    <t>Loiter FM</t>
  </si>
  <si>
    <t>MRW (calc)</t>
  </si>
  <si>
    <t>V_BROC</t>
  </si>
  <si>
    <t>Time Traveled (s)</t>
  </si>
  <si>
    <t xml:space="preserve">ft </t>
  </si>
  <si>
    <t>Inlet Area (sq in)</t>
  </si>
  <si>
    <t>Time First Seg (min)</t>
  </si>
  <si>
    <t>Area Engine(sq in)</t>
  </si>
  <si>
    <t>Landing</t>
  </si>
  <si>
    <t>LA Throttle</t>
  </si>
  <si>
    <t>LA Time</t>
  </si>
  <si>
    <t>CLmax</t>
  </si>
  <si>
    <t>LA Fuel</t>
  </si>
  <si>
    <t>(A/A*)throat</t>
  </si>
  <si>
    <t>(A/A*)engine</t>
  </si>
  <si>
    <t>Mach engine</t>
  </si>
  <si>
    <t>h (height of wing)</t>
  </si>
  <si>
    <t>b (span)</t>
  </si>
  <si>
    <t>Cutoff for takeoff</t>
  </si>
  <si>
    <t>S_flareTime</t>
  </si>
  <si>
    <t>S_FR Time</t>
  </si>
  <si>
    <t>S_a</t>
  </si>
  <si>
    <t>S_a Time</t>
  </si>
  <si>
    <t>Landing Weight</t>
  </si>
  <si>
    <t>Total Reserve Weight</t>
  </si>
  <si>
    <t>Density of fuel</t>
  </si>
  <si>
    <t>lb/ft^3</t>
  </si>
  <si>
    <t>Volume Needed</t>
  </si>
  <si>
    <t>VTO</t>
  </si>
  <si>
    <t>Margin Fuel included</t>
  </si>
  <si>
    <t>MAX</t>
  </si>
  <si>
    <t>MATCH</t>
  </si>
  <si>
    <t>CELL</t>
  </si>
  <si>
    <t>cl/cd</t>
  </si>
  <si>
    <t>Max Range</t>
  </si>
  <si>
    <t>V_approach</t>
  </si>
  <si>
    <t>Loiter Wt</t>
  </si>
  <si>
    <t>Cruise 2 Wt</t>
  </si>
  <si>
    <t>Cruise Wt</t>
  </si>
  <si>
    <t>Target Distance</t>
  </si>
  <si>
    <t>nm</t>
  </si>
  <si>
    <t>Target Time</t>
  </si>
  <si>
    <t>Cruise 2</t>
  </si>
  <si>
    <t>Cruise 1</t>
  </si>
  <si>
    <t>Climb 1</t>
  </si>
  <si>
    <t>Descent 1</t>
  </si>
  <si>
    <t>Climb 2</t>
  </si>
  <si>
    <t>Descent 2</t>
  </si>
  <si>
    <t>power 3/2</t>
  </si>
  <si>
    <t>power 1/2</t>
  </si>
  <si>
    <t>0.866 cl/cd</t>
  </si>
  <si>
    <t>CRUISE</t>
  </si>
  <si>
    <t>Max Range Cruise</t>
  </si>
  <si>
    <t>ft^3</t>
  </si>
  <si>
    <t>Empty Wt without pods</t>
  </si>
  <si>
    <t>V2</t>
  </si>
  <si>
    <t>Fuel Vol Avail</t>
  </si>
  <si>
    <t xml:space="preserve">g </t>
  </si>
  <si>
    <t>R_flare</t>
  </si>
  <si>
    <t>h_screen</t>
  </si>
  <si>
    <t>gamma_a</t>
  </si>
  <si>
    <t>V_FL</t>
  </si>
  <si>
    <t>t_LR</t>
  </si>
  <si>
    <t>S_LA</t>
  </si>
  <si>
    <t xml:space="preserve">Payload Range Diagram </t>
  </si>
  <si>
    <t>Pt.</t>
  </si>
  <si>
    <t>TOW</t>
  </si>
  <si>
    <t>FW</t>
  </si>
  <si>
    <t>SFC</t>
  </si>
  <si>
    <t>P_a</t>
  </si>
  <si>
    <t>A</t>
  </si>
  <si>
    <t>B</t>
  </si>
  <si>
    <t>Vol of usabe fuel</t>
  </si>
  <si>
    <t>Total Fuel Capacity</t>
  </si>
  <si>
    <t>Empty Weight</t>
  </si>
  <si>
    <t>Max Payload</t>
  </si>
  <si>
    <t>Reserve Fuel</t>
  </si>
  <si>
    <t xml:space="preserve">Maximum Fuel </t>
  </si>
  <si>
    <t>Mach seen by Engine</t>
  </si>
  <si>
    <t>(L/D)</t>
  </si>
  <si>
    <t>Drag</t>
  </si>
  <si>
    <t>(V/C)</t>
  </si>
  <si>
    <t>Empty Wt</t>
  </si>
  <si>
    <t>Payload Wt</t>
  </si>
  <si>
    <t>Reserve Wt</t>
  </si>
  <si>
    <t>Min</t>
  </si>
  <si>
    <t>Stall</t>
  </si>
  <si>
    <t>Max</t>
  </si>
  <si>
    <t>Min Ppower</t>
  </si>
  <si>
    <t>Wingspan</t>
  </si>
  <si>
    <t>Swets</t>
  </si>
  <si>
    <t>Fuse</t>
  </si>
  <si>
    <t>in^2</t>
  </si>
  <si>
    <t>2 Htail</t>
  </si>
  <si>
    <t>1 Vtail</t>
  </si>
  <si>
    <t>2 Wings</t>
  </si>
  <si>
    <t>2 Fuel Pods</t>
  </si>
  <si>
    <t>Total</t>
  </si>
  <si>
    <t>Endurance</t>
  </si>
  <si>
    <t>TSFC at SL</t>
  </si>
  <si>
    <t>TSFC at 15k ft</t>
  </si>
  <si>
    <t>TSFC at 30k ft</t>
  </si>
  <si>
    <t>TSFC at Altitude</t>
  </si>
  <si>
    <t>Altitude [ft]</t>
  </si>
  <si>
    <t>Thrust [pixels]</t>
  </si>
  <si>
    <t>Invert pixel count</t>
  </si>
  <si>
    <t>Altitude 0ft</t>
  </si>
  <si>
    <t>Altitude 10kft</t>
  </si>
  <si>
    <t>Altitude 20kft</t>
  </si>
  <si>
    <t>Altitude 30kft</t>
  </si>
  <si>
    <t>Altitude 36kft</t>
  </si>
  <si>
    <t>Altitude 6ft</t>
  </si>
  <si>
    <t>T at 6k</t>
  </si>
  <si>
    <t>T at 0k</t>
  </si>
  <si>
    <t>Engine Mach</t>
  </si>
  <si>
    <t>TSFC 0ft</t>
  </si>
  <si>
    <t>TSFC 3ft</t>
  </si>
  <si>
    <t>TSFC 5ft</t>
  </si>
  <si>
    <t>TSFC 10ft</t>
  </si>
  <si>
    <t>TSFC 18 ft</t>
  </si>
  <si>
    <t>TSFC 20ft</t>
  </si>
  <si>
    <t>TSFC 22 ft</t>
  </si>
  <si>
    <t>TSFC 25ft</t>
  </si>
  <si>
    <t>TSFC 30ft</t>
  </si>
  <si>
    <t>LOITER</t>
  </si>
  <si>
    <t>extra volume</t>
  </si>
  <si>
    <t>Min Adjusted</t>
  </si>
  <si>
    <t>Max Mach</t>
  </si>
  <si>
    <t>Match</t>
  </si>
  <si>
    <t>Takeoff CD</t>
  </si>
  <si>
    <t>Takeoff Drag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</si>
</sst>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323232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11A9CC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00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rgb="FFFF0000"/>
      <name val="Calibri"/>
      <family val="2"/>
    </font>
    <font>
      <b/>
      <sz val="11"/>
      <color rgb="FF0000FF"/>
      <name val="Calibri"/>
      <family val="2"/>
    </font>
    <font>
      <b/>
      <sz val="11"/>
      <color theme="1"/>
      <name val="Arial"/>
      <family val="2"/>
    </font>
    <font>
      <sz val="1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5"/>
      <color rgb="FF202124"/>
      <name val="Arial"/>
      <family val="2"/>
    </font>
    <font>
      <sz val="10"/>
      <color rgb="FF000000"/>
      <name val="Arial"/>
      <family val="2"/>
    </font>
    <font>
      <sz val="11"/>
      <color rgb="FF000000"/>
      <name val="Inconsolata"/>
    </font>
  </fonts>
  <fills count="5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F1C232"/>
        <bgColor rgb="FFF1C232"/>
      </patternFill>
    </fill>
    <fill>
      <patternFill patternType="solid">
        <fgColor rgb="FFCC4125"/>
        <bgColor rgb="FFCC4125"/>
      </patternFill>
    </fill>
    <fill>
      <patternFill patternType="solid">
        <fgColor rgb="FFFF9900"/>
        <bgColor rgb="FFFF9900"/>
      </patternFill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EA9999"/>
        <bgColor rgb="FFEA9999"/>
      </patternFill>
    </fill>
    <fill>
      <patternFill patternType="solid">
        <fgColor rgb="FF38761D"/>
        <bgColor rgb="FF38761D"/>
      </patternFill>
    </fill>
    <fill>
      <patternFill patternType="solid">
        <fgColor rgb="FF000000"/>
        <bgColor rgb="FF000000"/>
      </patternFill>
    </fill>
    <fill>
      <patternFill patternType="solid">
        <fgColor rgb="FFFF00FF"/>
        <bgColor rgb="FFFF00FF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rgb="FFFF0000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rgb="FF93C47D"/>
      </patternFill>
    </fill>
    <fill>
      <patternFill patternType="solid">
        <fgColor rgb="FFFF0000"/>
        <bgColor rgb="FFFFFF00"/>
      </patternFill>
    </fill>
    <fill>
      <patternFill patternType="solid">
        <fgColor rgb="FFFF0000"/>
        <bgColor rgb="FFF1C232"/>
      </patternFill>
    </fill>
    <fill>
      <patternFill patternType="solid">
        <fgColor rgb="FFFF0000"/>
        <bgColor rgb="FFFF9900"/>
      </patternFill>
    </fill>
    <fill>
      <patternFill patternType="solid">
        <fgColor rgb="FFFF0000"/>
        <bgColor rgb="FFCC4125"/>
      </patternFill>
    </fill>
    <fill>
      <patternFill patternType="solid">
        <fgColor rgb="FFFF0000"/>
        <bgColor rgb="FFB7B7B7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rgb="FF93C47D"/>
      </patternFill>
    </fill>
    <fill>
      <patternFill patternType="solid">
        <fgColor rgb="FF7030A0"/>
        <bgColor rgb="FFFFFF00"/>
      </patternFill>
    </fill>
    <fill>
      <patternFill patternType="solid">
        <fgColor rgb="FF7030A0"/>
        <bgColor rgb="FFF1C232"/>
      </patternFill>
    </fill>
    <fill>
      <patternFill patternType="solid">
        <fgColor rgb="FF7030A0"/>
        <bgColor rgb="FFFF9900"/>
      </patternFill>
    </fill>
    <fill>
      <patternFill patternType="solid">
        <fgColor rgb="FF7030A0"/>
        <bgColor rgb="FF00FF00"/>
      </patternFill>
    </fill>
    <fill>
      <patternFill patternType="solid">
        <fgColor rgb="FF7030A0"/>
        <bgColor rgb="FFCC4125"/>
      </patternFill>
    </fill>
    <fill>
      <patternFill patternType="solid">
        <fgColor rgb="FF7030A0"/>
        <bgColor rgb="FFB7B7B7"/>
      </patternFill>
    </fill>
    <fill>
      <patternFill patternType="solid">
        <fgColor rgb="FF7030A0"/>
        <bgColor rgb="FFFF0000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rgb="FF674EA7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rgb="FF93C47D"/>
      </patternFill>
    </fill>
    <fill>
      <patternFill patternType="solid">
        <fgColor theme="0"/>
        <bgColor rgb="FF38761D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1C232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rgb="FFCC4125"/>
      </patternFill>
    </fill>
    <fill>
      <patternFill patternType="solid">
        <fgColor theme="0"/>
        <bgColor rgb="FFFF9900"/>
      </patternFill>
    </fill>
    <fill>
      <patternFill patternType="solid">
        <fgColor theme="0"/>
        <bgColor rgb="FFB7B7B7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rgb="FFFFFF00"/>
      </patternFill>
    </fill>
    <fill>
      <patternFill patternType="solid">
        <fgColor rgb="FFFF0000"/>
        <bgColor rgb="FFC9DAF8"/>
      </patternFill>
    </fill>
    <fill>
      <patternFill patternType="solid">
        <fgColor rgb="FFFF0000"/>
        <bgColor rgb="FFEA9999"/>
      </patternFill>
    </fill>
    <fill>
      <patternFill patternType="solid">
        <fgColor rgb="FFFF0000"/>
        <bgColor rgb="FFA64D79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FFFFFF"/>
      </patternFill>
    </fill>
    <fill>
      <patternFill patternType="solid">
        <fgColor theme="1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18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4" borderId="0" xfId="0" applyFont="1" applyFill="1" applyAlignment="1"/>
    <xf numFmtId="0" fontId="1" fillId="3" borderId="0" xfId="0" applyFont="1" applyFill="1" applyAlignment="1"/>
    <xf numFmtId="0" fontId="1" fillId="5" borderId="0" xfId="0" applyFont="1" applyFill="1"/>
    <xf numFmtId="0" fontId="1" fillId="6" borderId="0" xfId="0" applyFont="1" applyFill="1" applyAlignment="1"/>
    <xf numFmtId="0" fontId="1" fillId="7" borderId="0" xfId="0" applyFont="1" applyFill="1"/>
    <xf numFmtId="0" fontId="1" fillId="8" borderId="0" xfId="0" applyFont="1" applyFill="1"/>
    <xf numFmtId="0" fontId="2" fillId="4" borderId="0" xfId="0" applyFont="1" applyFill="1"/>
    <xf numFmtId="0" fontId="2" fillId="3" borderId="0" xfId="0" applyFont="1" applyFill="1"/>
    <xf numFmtId="0" fontId="1" fillId="6" borderId="0" xfId="0" applyFont="1" applyFill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1" fillId="9" borderId="0" xfId="0" applyFont="1" applyFill="1"/>
    <xf numFmtId="0" fontId="1" fillId="0" borderId="0" xfId="0" applyFont="1" applyAlignment="1"/>
    <xf numFmtId="0" fontId="1" fillId="10" borderId="0" xfId="0" applyFont="1" applyFill="1"/>
    <xf numFmtId="0" fontId="1" fillId="11" borderId="0" xfId="0" applyFont="1" applyFill="1"/>
    <xf numFmtId="0" fontId="1" fillId="5" borderId="0" xfId="0" applyFont="1" applyFill="1"/>
    <xf numFmtId="0" fontId="5" fillId="3" borderId="0" xfId="0" applyFont="1" applyFill="1"/>
    <xf numFmtId="0" fontId="7" fillId="0" borderId="0" xfId="0" applyFont="1" applyAlignment="1"/>
    <xf numFmtId="0" fontId="1" fillId="5" borderId="0" xfId="0" applyFont="1" applyFill="1" applyAlignment="1"/>
    <xf numFmtId="0" fontId="1" fillId="12" borderId="0" xfId="0" applyFont="1" applyFill="1"/>
    <xf numFmtId="0" fontId="7" fillId="0" borderId="0" xfId="0" applyFont="1"/>
    <xf numFmtId="0" fontId="5" fillId="0" borderId="0" xfId="0" applyFont="1" applyAlignment="1">
      <alignment horizontal="right"/>
    </xf>
    <xf numFmtId="9" fontId="1" fillId="0" borderId="0" xfId="0" applyNumberFormat="1" applyFont="1" applyAlignment="1"/>
    <xf numFmtId="0" fontId="1" fillId="0" borderId="0" xfId="0" applyFont="1"/>
    <xf numFmtId="0" fontId="1" fillId="2" borderId="0" xfId="0" applyFont="1" applyFill="1" applyAlignment="1"/>
    <xf numFmtId="0" fontId="7" fillId="3" borderId="0" xfId="0" applyFont="1" applyFill="1" applyAlignment="1"/>
    <xf numFmtId="0" fontId="1" fillId="13" borderId="0" xfId="0" applyFont="1" applyFill="1" applyAlignment="1"/>
    <xf numFmtId="0" fontId="1" fillId="8" borderId="0" xfId="0" applyFont="1" applyFill="1" applyAlignment="1"/>
    <xf numFmtId="0" fontId="8" fillId="3" borderId="0" xfId="0" applyFont="1" applyFill="1" applyAlignment="1">
      <alignment horizontal="left"/>
    </xf>
    <xf numFmtId="0" fontId="5" fillId="0" borderId="0" xfId="0" applyFont="1"/>
    <xf numFmtId="0" fontId="1" fillId="14" borderId="0" xfId="0" applyFont="1" applyFill="1" applyAlignment="1"/>
    <xf numFmtId="0" fontId="8" fillId="0" borderId="0" xfId="0" applyFont="1" applyAlignment="1">
      <alignment horizontal="left"/>
    </xf>
    <xf numFmtId="0" fontId="1" fillId="3" borderId="0" xfId="0" applyFont="1" applyFill="1"/>
    <xf numFmtId="0" fontId="1" fillId="12" borderId="0" xfId="0" applyFont="1" applyFill="1" applyAlignment="1"/>
    <xf numFmtId="0" fontId="1" fillId="12" borderId="0" xfId="0" applyFont="1" applyFill="1"/>
    <xf numFmtId="0" fontId="8" fillId="12" borderId="0" xfId="0" applyFont="1" applyFill="1"/>
    <xf numFmtId="0" fontId="8" fillId="12" borderId="0" xfId="0" applyFont="1" applyFill="1"/>
    <xf numFmtId="0" fontId="9" fillId="0" borderId="0" xfId="0" applyFont="1"/>
    <xf numFmtId="0" fontId="9" fillId="0" borderId="0" xfId="0" applyFont="1" applyAlignment="1"/>
    <xf numFmtId="0" fontId="6" fillId="0" borderId="0" xfId="0" applyFont="1" applyAlignment="1"/>
    <xf numFmtId="0" fontId="10" fillId="0" borderId="0" xfId="0" applyFont="1" applyAlignment="1"/>
    <xf numFmtId="0" fontId="10" fillId="0" borderId="0" xfId="0" applyFont="1"/>
    <xf numFmtId="0" fontId="11" fillId="4" borderId="0" xfId="0" applyFont="1" applyFill="1" applyAlignment="1"/>
    <xf numFmtId="0" fontId="8" fillId="0" borderId="0" xfId="0" applyFont="1"/>
    <xf numFmtId="0" fontId="1" fillId="15" borderId="0" xfId="0" applyFont="1" applyFill="1"/>
    <xf numFmtId="0" fontId="12" fillId="0" borderId="0" xfId="0" applyFont="1"/>
    <xf numFmtId="0" fontId="12" fillId="0" borderId="0" xfId="0" applyFont="1" applyAlignment="1"/>
    <xf numFmtId="0" fontId="12" fillId="0" borderId="0" xfId="0" applyFont="1"/>
    <xf numFmtId="0" fontId="13" fillId="0" borderId="0" xfId="0" applyFont="1"/>
    <xf numFmtId="0" fontId="13" fillId="0" borderId="0" xfId="0" applyFont="1"/>
    <xf numFmtId="0" fontId="8" fillId="0" borderId="0" xfId="0" applyFont="1"/>
    <xf numFmtId="0" fontId="7" fillId="3" borderId="0" xfId="0" applyFont="1" applyFill="1"/>
    <xf numFmtId="0" fontId="14" fillId="0" borderId="0" xfId="0" applyFont="1" applyAlignment="1">
      <alignment horizontal="right"/>
    </xf>
    <xf numFmtId="0" fontId="15" fillId="0" borderId="0" xfId="0" applyFont="1" applyAlignment="1"/>
    <xf numFmtId="0" fontId="15" fillId="0" borderId="0" xfId="0" applyFont="1"/>
    <xf numFmtId="9" fontId="15" fillId="0" borderId="0" xfId="0" applyNumberFormat="1" applyFont="1" applyAlignment="1"/>
    <xf numFmtId="0" fontId="15" fillId="3" borderId="0" xfId="0" applyFont="1" applyFill="1"/>
    <xf numFmtId="0" fontId="8" fillId="3" borderId="0" xfId="0" applyFont="1" applyFill="1" applyAlignment="1">
      <alignment horizontal="right"/>
    </xf>
    <xf numFmtId="0" fontId="1" fillId="15" borderId="0" xfId="0" applyFont="1" applyFill="1" applyAlignment="1"/>
    <xf numFmtId="0" fontId="10" fillId="0" borderId="0" xfId="0" applyFont="1"/>
    <xf numFmtId="0" fontId="16" fillId="0" borderId="0" xfId="0" applyFont="1" applyAlignment="1"/>
    <xf numFmtId="0" fontId="4" fillId="0" borderId="0" xfId="0" applyFont="1" applyAlignment="1"/>
    <xf numFmtId="0" fontId="4" fillId="4" borderId="0" xfId="0" applyFont="1" applyFill="1" applyAlignment="1"/>
    <xf numFmtId="0" fontId="17" fillId="4" borderId="0" xfId="0" applyFont="1" applyFill="1" applyAlignment="1"/>
    <xf numFmtId="0" fontId="18" fillId="0" borderId="0" xfId="0" applyFont="1"/>
    <xf numFmtId="0" fontId="18" fillId="0" borderId="0" xfId="0" applyFont="1" applyAlignment="1"/>
    <xf numFmtId="0" fontId="19" fillId="0" borderId="0" xfId="0" applyFont="1" applyAlignment="1"/>
    <xf numFmtId="0" fontId="1" fillId="16" borderId="0" xfId="0" applyFont="1" applyFill="1" applyAlignment="1"/>
    <xf numFmtId="0" fontId="20" fillId="0" borderId="0" xfId="0" applyFont="1"/>
    <xf numFmtId="0" fontId="1" fillId="17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1" fillId="18" borderId="0" xfId="0" applyFont="1" applyFill="1" applyAlignment="1"/>
    <xf numFmtId="0" fontId="1" fillId="18" borderId="0" xfId="0" applyFont="1" applyFill="1"/>
    <xf numFmtId="0" fontId="1" fillId="19" borderId="0" xfId="0" applyFont="1" applyFill="1"/>
    <xf numFmtId="0" fontId="1" fillId="19" borderId="0" xfId="0" applyFont="1" applyFill="1" applyAlignment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 applyAlignment="1"/>
    <xf numFmtId="0" fontId="1" fillId="23" borderId="0" xfId="0" applyFont="1" applyFill="1"/>
    <xf numFmtId="0" fontId="0" fillId="24" borderId="0" xfId="0" applyFont="1" applyFill="1" applyAlignment="1"/>
    <xf numFmtId="0" fontId="1" fillId="25" borderId="0" xfId="0" applyFont="1" applyFill="1"/>
    <xf numFmtId="0" fontId="1" fillId="25" borderId="0" xfId="0" applyFont="1" applyFill="1" applyAlignment="1"/>
    <xf numFmtId="0" fontId="1" fillId="26" borderId="0" xfId="0" applyFont="1" applyFill="1" applyAlignment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5" fillId="25" borderId="0" xfId="0" applyFont="1" applyFill="1"/>
    <xf numFmtId="0" fontId="2" fillId="25" borderId="0" xfId="0" applyFont="1" applyFill="1"/>
    <xf numFmtId="0" fontId="1" fillId="31" borderId="0" xfId="0" applyFont="1" applyFill="1"/>
    <xf numFmtId="0" fontId="1" fillId="32" borderId="0" xfId="0" applyFont="1" applyFill="1" applyAlignment="1"/>
    <xf numFmtId="0" fontId="0" fillId="33" borderId="0" xfId="0" applyFont="1" applyFill="1" applyAlignment="1"/>
    <xf numFmtId="0" fontId="1" fillId="34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0" fillId="35" borderId="0" xfId="0" applyFont="1" applyFill="1" applyAlignment="1"/>
    <xf numFmtId="0" fontId="0" fillId="0" borderId="0" xfId="0" applyFont="1" applyAlignment="1"/>
    <xf numFmtId="0" fontId="1" fillId="36" borderId="0" xfId="0" applyFont="1" applyFill="1"/>
    <xf numFmtId="0" fontId="1" fillId="37" borderId="0" xfId="0" applyFont="1" applyFill="1"/>
    <xf numFmtId="0" fontId="1" fillId="36" borderId="0" xfId="0" applyFont="1" applyFill="1" applyAlignment="1"/>
    <xf numFmtId="0" fontId="1" fillId="38" borderId="0" xfId="0" applyFont="1" applyFill="1" applyAlignment="1"/>
    <xf numFmtId="0" fontId="1" fillId="38" borderId="0" xfId="0" applyFont="1" applyFill="1"/>
    <xf numFmtId="0" fontId="1" fillId="39" borderId="0" xfId="0" applyFont="1" applyFill="1" applyAlignment="1"/>
    <xf numFmtId="0" fontId="1" fillId="40" borderId="0" xfId="0" applyFont="1" applyFill="1"/>
    <xf numFmtId="0" fontId="1" fillId="41" borderId="0" xfId="0" applyFont="1" applyFill="1"/>
    <xf numFmtId="0" fontId="5" fillId="36" borderId="0" xfId="0" applyFont="1" applyFill="1"/>
    <xf numFmtId="0" fontId="2" fillId="36" borderId="0" xfId="0" applyFont="1" applyFill="1"/>
    <xf numFmtId="0" fontId="1" fillId="42" borderId="0" xfId="0" applyFont="1" applyFill="1"/>
    <xf numFmtId="0" fontId="1" fillId="43" borderId="0" xfId="0" applyFont="1" applyFill="1"/>
    <xf numFmtId="0" fontId="0" fillId="44" borderId="0" xfId="0" applyFont="1" applyFill="1" applyAlignment="1"/>
    <xf numFmtId="0" fontId="1" fillId="45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1" fillId="46" borderId="0" xfId="0" applyFont="1" applyFill="1" applyAlignment="1"/>
    <xf numFmtId="0" fontId="1" fillId="47" borderId="0" xfId="0" applyFont="1" applyFill="1"/>
    <xf numFmtId="3" fontId="1" fillId="18" borderId="0" xfId="0" applyNumberFormat="1" applyFont="1" applyFill="1" applyAlignment="1"/>
    <xf numFmtId="0" fontId="1" fillId="48" borderId="0" xfId="0" applyFont="1" applyFill="1" applyAlignment="1"/>
    <xf numFmtId="0" fontId="1" fillId="3" borderId="0" xfId="0" applyFont="1" applyFill="1" applyAlignment="1">
      <alignment horizontal="left"/>
    </xf>
    <xf numFmtId="0" fontId="0" fillId="0" borderId="0" xfId="0" applyFont="1" applyAlignment="1"/>
    <xf numFmtId="0" fontId="0" fillId="49" borderId="0" xfId="0" applyFont="1" applyFill="1" applyAlignment="1"/>
    <xf numFmtId="0" fontId="19" fillId="49" borderId="0" xfId="0" applyFont="1" applyFill="1" applyAlignment="1"/>
    <xf numFmtId="0" fontId="21" fillId="0" borderId="0" xfId="0" applyFont="1" applyAlignment="1"/>
    <xf numFmtId="0" fontId="4" fillId="0" borderId="0" xfId="0" applyFont="1"/>
    <xf numFmtId="0" fontId="4" fillId="3" borderId="0" xfId="0" applyFont="1" applyFill="1" applyAlignment="1"/>
    <xf numFmtId="0" fontId="4" fillId="0" borderId="0" xfId="0" applyFont="1" applyFill="1" applyAlignment="1"/>
    <xf numFmtId="0" fontId="1" fillId="0" borderId="0" xfId="0" applyFont="1" applyFill="1" applyAlignment="1"/>
    <xf numFmtId="0" fontId="1" fillId="49" borderId="0" xfId="0" applyFont="1" applyFill="1" applyAlignment="1"/>
    <xf numFmtId="0" fontId="0" fillId="50" borderId="0" xfId="0" applyFont="1" applyFill="1" applyAlignment="1"/>
    <xf numFmtId="0" fontId="1" fillId="51" borderId="0" xfId="0" applyFont="1" applyFill="1"/>
    <xf numFmtId="0" fontId="1" fillId="52" borderId="0" xfId="0" applyFont="1" applyFill="1"/>
    <xf numFmtId="0" fontId="22" fillId="0" borderId="0" xfId="0" applyFont="1"/>
    <xf numFmtId="0" fontId="0" fillId="0" borderId="0" xfId="0"/>
    <xf numFmtId="0" fontId="23" fillId="0" borderId="0" xfId="0" applyFont="1"/>
    <xf numFmtId="0" fontId="24" fillId="0" borderId="0" xfId="0" applyFont="1"/>
    <xf numFmtId="0" fontId="21" fillId="0" borderId="0" xfId="0" applyFont="1"/>
    <xf numFmtId="0" fontId="1" fillId="0" borderId="0" xfId="0" applyFont="1" applyFill="1"/>
    <xf numFmtId="0" fontId="5" fillId="0" borderId="0" xfId="0" applyFont="1" applyFill="1"/>
    <xf numFmtId="0" fontId="2" fillId="0" borderId="0" xfId="0" applyFont="1" applyFill="1"/>
    <xf numFmtId="0" fontId="0" fillId="0" borderId="0" xfId="0" applyFont="1" applyFill="1" applyAlignment="1"/>
    <xf numFmtId="0" fontId="0" fillId="0" borderId="0" xfId="0" applyFont="1" applyAlignment="1"/>
    <xf numFmtId="0" fontId="25" fillId="0" borderId="0" xfId="0" applyFont="1" applyAlignment="1"/>
    <xf numFmtId="0" fontId="1" fillId="17" borderId="0" xfId="0" applyFont="1" applyFill="1"/>
    <xf numFmtId="0" fontId="24" fillId="0" borderId="3" xfId="0" applyFont="1" applyBorder="1" applyAlignment="1">
      <alignment wrapText="1"/>
    </xf>
    <xf numFmtId="0" fontId="24" fillId="0" borderId="3" xfId="0" applyFont="1" applyBorder="1" applyAlignment="1">
      <alignment horizontal="right" wrapText="1"/>
    </xf>
    <xf numFmtId="0" fontId="0" fillId="0" borderId="0" xfId="0" applyFont="1" applyAlignment="1"/>
    <xf numFmtId="0" fontId="0" fillId="0" borderId="0" xfId="0" applyFont="1" applyAlignment="1"/>
    <xf numFmtId="0" fontId="26" fillId="0" borderId="0" xfId="0" applyFont="1" applyAlignment="1"/>
    <xf numFmtId="0" fontId="11" fillId="0" borderId="0" xfId="0" applyFont="1" applyFill="1" applyAlignment="1"/>
    <xf numFmtId="0" fontId="24" fillId="53" borderId="3" xfId="0" applyFont="1" applyFill="1" applyBorder="1" applyAlignment="1">
      <alignment wrapText="1"/>
    </xf>
    <xf numFmtId="0" fontId="24" fillId="53" borderId="4" xfId="0" applyFont="1" applyFill="1" applyBorder="1" applyAlignment="1">
      <alignment wrapText="1"/>
    </xf>
    <xf numFmtId="0" fontId="24" fillId="53" borderId="0" xfId="0" applyFont="1" applyFill="1" applyAlignment="1">
      <alignment wrapText="1"/>
    </xf>
    <xf numFmtId="0" fontId="24" fillId="0" borderId="4" xfId="0" applyFont="1" applyBorder="1" applyAlignment="1">
      <alignment horizontal="right" wrapText="1"/>
    </xf>
    <xf numFmtId="0" fontId="1" fillId="24" borderId="0" xfId="0" applyFont="1" applyFill="1" applyAlignment="1"/>
    <xf numFmtId="0" fontId="1" fillId="24" borderId="0" xfId="0" applyFont="1" applyFill="1"/>
    <xf numFmtId="0" fontId="0" fillId="0" borderId="0" xfId="0" applyFont="1" applyAlignment="1"/>
    <xf numFmtId="0" fontId="24" fillId="53" borderId="0" xfId="0" applyFont="1" applyFill="1" applyBorder="1" applyAlignment="1">
      <alignment wrapText="1"/>
    </xf>
    <xf numFmtId="0" fontId="27" fillId="54" borderId="3" xfId="0" applyFont="1" applyFill="1" applyBorder="1" applyAlignment="1">
      <alignment horizontal="right" wrapText="1"/>
    </xf>
    <xf numFmtId="0" fontId="0" fillId="0" borderId="0" xfId="0" applyFont="1" applyAlignment="1"/>
    <xf numFmtId="0" fontId="1" fillId="49" borderId="0" xfId="0" applyFont="1" applyFill="1"/>
    <xf numFmtId="0" fontId="5" fillId="49" borderId="0" xfId="0" applyFont="1" applyFill="1"/>
    <xf numFmtId="0" fontId="2" fillId="49" borderId="0" xfId="0" applyFont="1" applyFill="1"/>
    <xf numFmtId="0" fontId="1" fillId="55" borderId="0" xfId="0" applyFont="1" applyFill="1"/>
    <xf numFmtId="0" fontId="1" fillId="53" borderId="0" xfId="0" applyFont="1" applyFill="1" applyAlignment="1"/>
    <xf numFmtId="0" fontId="1" fillId="56" borderId="0" xfId="0" applyFont="1" applyFill="1"/>
    <xf numFmtId="0" fontId="1" fillId="57" borderId="0" xfId="0" applyFont="1" applyFill="1"/>
    <xf numFmtId="0" fontId="1" fillId="35" borderId="0" xfId="0" applyFont="1" applyFill="1"/>
    <xf numFmtId="0" fontId="0" fillId="0" borderId="0" xfId="0" applyFont="1" applyAlignment="1"/>
    <xf numFmtId="0" fontId="20" fillId="24" borderId="0" xfId="0" applyFont="1" applyFill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7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13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cl/cd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'Ashvat Design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Design Coeff'!$V$25:$V$104</c:f>
              <c:numCache>
                <c:formatCode>General</c:formatCode>
                <c:ptCount val="80"/>
                <c:pt idx="0">
                  <c:v>0.44708177229976476</c:v>
                </c:pt>
                <c:pt idx="1">
                  <c:v>0.64350020349878279</c:v>
                </c:pt>
                <c:pt idx="2">
                  <c:v>0.87525161229989923</c:v>
                </c:pt>
                <c:pt idx="3">
                  <c:v>1.1419973905671768</c:v>
                </c:pt>
                <c:pt idx="4">
                  <c:v>1.4432385665362453</c:v>
                </c:pt>
                <c:pt idx="5">
                  <c:v>1.7782745660290298</c:v>
                </c:pt>
                <c:pt idx="6">
                  <c:v>2.1461597965145001</c:v>
                </c:pt>
                <c:pt idx="7">
                  <c:v>2.5456596133429734</c:v>
                </c:pt>
                <c:pt idx="8">
                  <c:v>2.9752076180604323</c:v>
                </c:pt>
                <c:pt idx="9">
                  <c:v>3.4328666279618774</c:v>
                </c:pt>
                <c:pt idx="10">
                  <c:v>3.9162959999000337</c:v>
                </c:pt>
                <c:pt idx="11">
                  <c:v>4.4227282351707968</c:v>
                </c:pt>
                <c:pt idx="12">
                  <c:v>4.9489578746253393</c:v>
                </c:pt>
                <c:pt idx="13">
                  <c:v>5.4913455521298209</c:v>
                </c:pt>
                <c:pt idx="14">
                  <c:v>6.0458396577743292</c:v>
                </c:pt>
                <c:pt idx="15">
                  <c:v>6.6080173382575609</c:v>
                </c:pt>
                <c:pt idx="16">
                  <c:v>7.1731455322262159</c:v>
                </c:pt>
                <c:pt idx="17">
                  <c:v>7.7362614473264459</c:v>
                </c:pt>
                <c:pt idx="18">
                  <c:v>8.2922704249561576</c:v>
                </c:pt>
                <c:pt idx="19">
                  <c:v>8.8360576435265035</c:v>
                </c:pt>
                <c:pt idx="20">
                  <c:v>9.3626087472585198</c:v>
                </c:pt>
                <c:pt idx="21">
                  <c:v>9.8671334293030046</c:v>
                </c:pt>
                <c:pt idx="22">
                  <c:v>10.345185399583894</c:v>
                </c:pt>
                <c:pt idx="23">
                  <c:v>10.792772135185368</c:v>
                </c:pt>
                <c:pt idx="24">
                  <c:v>11.206448379556514</c:v>
                </c:pt>
                <c:pt idx="25">
                  <c:v>11.583388480095548</c:v>
                </c:pt>
                <c:pt idx="26">
                  <c:v>11.921434208933846</c:v>
                </c:pt>
                <c:pt idx="27">
                  <c:v>12.219116518777041</c:v>
                </c:pt>
                <c:pt idx="28">
                  <c:v>12.475651537040749</c:v>
                </c:pt>
                <c:pt idx="29">
                  <c:v>12.690912796443932</c:v>
                </c:pt>
                <c:pt idx="30">
                  <c:v>12.865383074895565</c:v>
                </c:pt>
                <c:pt idx="31">
                  <c:v>13.000090165896573</c:v>
                </c:pt>
                <c:pt idx="32">
                  <c:v>13.096531382731092</c:v>
                </c:pt>
                <c:pt idx="33">
                  <c:v>13.156591637133852</c:v>
                </c:pt>
                <c:pt idx="34">
                  <c:v>13.182459595657532</c:v>
                </c:pt>
                <c:pt idx="35">
                  <c:v>13.176545803726656</c:v>
                </c:pt>
                <c:pt idx="36">
                  <c:v>13.141405887530931</c:v>
                </c:pt>
                <c:pt idx="37">
                  <c:v>13.079671100453377</c:v>
                </c:pt>
                <c:pt idx="38">
                  <c:v>12.993987659147477</c:v>
                </c:pt>
                <c:pt idx="39">
                  <c:v>12.886965576924728</c:v>
                </c:pt>
                <c:pt idx="40">
                  <c:v>12.761137086841869</c:v>
                </c:pt>
                <c:pt idx="41">
                  <c:v>12.618924270184333</c:v>
                </c:pt>
                <c:pt idx="42">
                  <c:v>12.462615167223539</c:v>
                </c:pt>
                <c:pt idx="43">
                  <c:v>12.294347433605115</c:v>
                </c:pt>
                <c:pt idx="44">
                  <c:v>12.116098498010052</c:v>
                </c:pt>
                <c:pt idx="45">
                  <c:v>11.929681152513247</c:v>
                </c:pt>
                <c:pt idx="46">
                  <c:v>11.736743544234455</c:v>
                </c:pt>
                <c:pt idx="47">
                  <c:v>11.538772615487211</c:v>
                </c:pt>
                <c:pt idx="48">
                  <c:v>11.337100142918318</c:v>
                </c:pt>
                <c:pt idx="49">
                  <c:v>11.132910640877538</c:v>
                </c:pt>
                <c:pt idx="50">
                  <c:v>10.927250510668763</c:v>
                </c:pt>
                <c:pt idx="51">
                  <c:v>10.721037928644249</c:v>
                </c:pt>
                <c:pt idx="52">
                  <c:v>10.5150730680383</c:v>
                </c:pt>
                <c:pt idx="53">
                  <c:v>10.310048339690614</c:v>
                </c:pt>
                <c:pt idx="54">
                  <c:v>10.106558414498835</c:v>
                </c:pt>
                <c:pt idx="55">
                  <c:v>9.9051098556984805</c:v>
                </c:pt>
                <c:pt idx="56">
                  <c:v>9.7061302426633187</c:v>
                </c:pt>
                <c:pt idx="57">
                  <c:v>9.5099767109987301</c:v>
                </c:pt>
                <c:pt idx="58">
                  <c:v>9.3169438675796989</c:v>
                </c:pt>
                <c:pt idx="59">
                  <c:v>9.1272710652146891</c:v>
                </c:pt>
                <c:pt idx="60">
                  <c:v>8.941149041096434</c:v>
                </c:pt>
                <c:pt idx="61">
                  <c:v>8.7587259373122919</c:v>
                </c:pt>
                <c:pt idx="62">
                  <c:v>8.5801127314885726</c:v>
                </c:pt>
                <c:pt idx="63">
                  <c:v>8.4053881120359346</c:v>
                </c:pt>
                <c:pt idx="64">
                  <c:v>8.2346028362158936</c:v>
                </c:pt>
                <c:pt idx="65">
                  <c:v>8.067783610996667</c:v>
                </c:pt>
                <c:pt idx="66">
                  <c:v>7.9049365369219036</c:v>
                </c:pt>
                <c:pt idx="67">
                  <c:v>7.7460501543990627</c:v>
                </c:pt>
                <c:pt idx="68">
                  <c:v>7.5910981302475378</c:v>
                </c:pt>
                <c:pt idx="69">
                  <c:v>7.4400416202889392</c:v>
                </c:pt>
                <c:pt idx="70">
                  <c:v>7.292831341405094</c:v>
                </c:pt>
                <c:pt idx="71">
                  <c:v>7.1494093839833024</c:v>
                </c:pt>
                <c:pt idx="72">
                  <c:v>7.0097107931193543</c:v>
                </c:pt>
                <c:pt idx="73">
                  <c:v>6.8736649444353937</c:v>
                </c:pt>
                <c:pt idx="74">
                  <c:v>6.7411967379460451</c:v>
                </c:pt>
                <c:pt idx="75">
                  <c:v>6.6122276311072783</c:v>
                </c:pt>
                <c:pt idx="76">
                  <c:v>6.4866765300310805</c:v>
                </c:pt>
                <c:pt idx="77">
                  <c:v>6.3644605558555734</c:v>
                </c:pt>
                <c:pt idx="78">
                  <c:v>6.2454957014294683</c:v>
                </c:pt>
                <c:pt idx="79">
                  <c:v>6.1296973917993869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69-4DB5-8075-844C397C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74879"/>
        <c:axId val="601376543"/>
      </c:scatterChart>
      <c:valAx>
        <c:axId val="601374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76543"/>
        <c:crosses val="autoZero"/>
        <c:crossBetween val="midCat"/>
      </c:valAx>
      <c:valAx>
        <c:axId val="60137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74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1/2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'Ashvat Design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Design Coeff'!$BA$25:$BA$104</c:f>
              <c:numCache>
                <c:formatCode>General</c:formatCode>
                <c:ptCount val="80"/>
                <c:pt idx="0">
                  <c:v>7.5140445149952939E-2</c:v>
                </c:pt>
                <c:pt idx="1">
                  <c:v>0.12977805564963701</c:v>
                </c:pt>
                <c:pt idx="2">
                  <c:v>0.20592734029215015</c:v>
                </c:pt>
                <c:pt idx="3">
                  <c:v>0.30705564002559615</c:v>
                </c:pt>
                <c:pt idx="4">
                  <c:v>0.43653468277045765</c:v>
                </c:pt>
                <c:pt idx="5">
                  <c:v>0.59759958993758255</c:v>
                </c:pt>
                <c:pt idx="6">
                  <c:v>0.79329879116510582</c:v>
                </c:pt>
                <c:pt idx="7">
                  <c:v>1.0264349742780148</c:v>
                </c:pt>
                <c:pt idx="8">
                  <c:v>1.2994977886686663</c:v>
                </c:pt>
                <c:pt idx="9">
                  <c:v>1.6145897284462019</c:v>
                </c:pt>
                <c:pt idx="10">
                  <c:v>1.9733474238782622</c:v>
                </c:pt>
                <c:pt idx="11">
                  <c:v>2.3768614209245844</c:v>
                </c:pt>
                <c:pt idx="12">
                  <c:v>2.8255983601105661</c:v>
                </c:pt>
                <c:pt idx="13">
                  <c:v>3.3193301857398541</c:v>
                </c:pt>
                <c:pt idx="14">
                  <c:v>3.8570755160517458</c:v>
                </c:pt>
                <c:pt idx="15">
                  <c:v>4.4370584707046099</c:v>
                </c:pt>
                <c:pt idx="16">
                  <c:v>5.0566899822148565</c:v>
                </c:pt>
                <c:pt idx="17">
                  <c:v>5.7125758433807832</c:v>
                </c:pt>
                <c:pt idx="18">
                  <c:v>6.4005544471017792</c:v>
                </c:pt>
                <c:pt idx="19">
                  <c:v>7.1157654114112203</c:v>
                </c:pt>
                <c:pt idx="20">
                  <c:v>7.8527481795885699</c:v>
                </c:pt>
                <c:pt idx="21">
                  <c:v>8.6055674399084978</c:v>
                </c:pt>
                <c:pt idx="22">
                  <c:v>9.3679600649359234</c:v>
                </c:pt>
                <c:pt idx="23">
                  <c:v>10.133496480380476</c:v>
                </c:pt>
                <c:pt idx="24">
                  <c:v>10.895748162270406</c:v>
                </c:pt>
                <c:pt idx="25">
                  <c:v>11.648452482966789</c:v>
                </c:pt>
                <c:pt idx="26">
                  <c:v>12.38566643851445</c:v>
                </c:pt>
                <c:pt idx="27">
                  <c:v>13.101901842084491</c:v>
                </c:pt>
                <c:pt idx="28">
                  <c:v>13.792236214214082</c:v>
                </c:pt>
                <c:pt idx="29">
                  <c:v>14.452395624828759</c:v>
                </c:pt>
                <c:pt idx="30">
                  <c:v>15.078807899026394</c:v>
                </c:pt>
                <c:pt idx="31">
                  <c:v>15.668626652451852</c:v>
                </c:pt>
                <c:pt idx="32">
                  <c:v>16.219728380190237</c:v>
                </c:pt>
                <c:pt idx="33">
                  <c:v>16.730686157144039</c:v>
                </c:pt>
                <c:pt idx="34">
                  <c:v>17.200724360671032</c:v>
                </c:pt>
                <c:pt idx="35">
                  <c:v>17.629659205878596</c:v>
                </c:pt>
                <c:pt idx="36">
                  <c:v>18.017829848842972</c:v>
                </c:pt>
                <c:pt idx="37">
                  <c:v>18.366024453003948</c:v>
                </c:pt>
                <c:pt idx="38">
                  <c:v>18.675405031563557</c:v>
                </c:pt>
                <c:pt idx="39">
                  <c:v>18.947434173405487</c:v>
                </c:pt>
                <c:pt idx="40">
                  <c:v>19.183806017653957</c:v>
                </c:pt>
                <c:pt idx="41">
                  <c:v>19.386383128775606</c:v>
                </c:pt>
                <c:pt idx="42">
                  <c:v>19.557140285372814</c:v>
                </c:pt>
                <c:pt idx="43">
                  <c:v>19.69811565735365</c:v>
                </c:pt>
                <c:pt idx="44">
                  <c:v>19.811369417796818</c:v>
                </c:pt>
                <c:pt idx="45">
                  <c:v>19.898949515454671</c:v>
                </c:pt>
                <c:pt idx="46">
                  <c:v>19.962864111475003</c:v>
                </c:pt>
                <c:pt idx="47">
                  <c:v>20.005060045226937</c:v>
                </c:pt>
                <c:pt idx="48">
                  <c:v>20.027406623085497</c:v>
                </c:pt>
                <c:pt idx="49">
                  <c:v>20.031684004921807</c:v>
                </c:pt>
                <c:pt idx="50">
                  <c:v>20.019575481583072</c:v>
                </c:pt>
                <c:pt idx="51">
                  <c:v>19.992662980641949</c:v>
                </c:pt>
                <c:pt idx="52">
                  <c:v>19.952425197262563</c:v>
                </c:pt>
                <c:pt idx="53">
                  <c:v>19.900237814522388</c:v>
                </c:pt>
                <c:pt idx="54">
                  <c:v>19.837375347296859</c:v>
                </c:pt>
                <c:pt idx="55">
                  <c:v>19.765014211911698</c:v>
                </c:pt>
                <c:pt idx="56">
                  <c:v>19.684236687615616</c:v>
                </c:pt>
                <c:pt idx="57">
                  <c:v>19.59603549400552</c:v>
                </c:pt>
                <c:pt idx="58">
                  <c:v>19.501318760116412</c:v>
                </c:pt>
                <c:pt idx="59">
                  <c:v>19.400915205795162</c:v>
                </c:pt>
                <c:pt idx="60">
                  <c:v>19.295579394416031</c:v>
                </c:pt>
                <c:pt idx="61">
                  <c:v>19.185996948404419</c:v>
                </c:pt>
                <c:pt idx="62">
                  <c:v>19.072789645988273</c:v>
                </c:pt>
                <c:pt idx="63">
                  <c:v>18.956520339718207</c:v>
                </c:pt>
                <c:pt idx="64">
                  <c:v>18.837697655225529</c:v>
                </c:pt>
                <c:pt idx="65">
                  <c:v>18.716780443029325</c:v>
                </c:pt>
                <c:pt idx="66">
                  <c:v>18.594181967516718</c:v>
                </c:pt>
                <c:pt idx="67">
                  <c:v>18.470273826013656</c:v>
                </c:pt>
                <c:pt idx="68">
                  <c:v>18.345389597575039</c:v>
                </c:pt>
                <c:pt idx="69">
                  <c:v>18.219828226139654</c:v>
                </c:pt>
                <c:pt idx="70">
                  <c:v>18.093857146341826</c:v>
                </c:pt>
                <c:pt idx="71">
                  <c:v>17.967715162824465</c:v>
                </c:pt>
                <c:pt idx="72">
                  <c:v>17.841615095586977</c:v>
                </c:pt>
                <c:pt idx="73">
                  <c:v>17.71574620491462</c:v>
                </c:pt>
                <c:pt idx="74">
                  <c:v>17.590276409930357</c:v>
                </c:pt>
                <c:pt idx="75">
                  <c:v>17.46535431490971</c:v>
                </c:pt>
                <c:pt idx="76">
                  <c:v>17.341111057307117</c:v>
                </c:pt>
                <c:pt idx="77">
                  <c:v>17.217661991037218</c:v>
                </c:pt>
                <c:pt idx="78">
                  <c:v>17.095108218002235</c:v>
                </c:pt>
                <c:pt idx="79">
                  <c:v>16.97353798020541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AF-484E-8AD6-941A1AC35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576351"/>
        <c:axId val="668577599"/>
      </c:scatterChart>
      <c:valAx>
        <c:axId val="66857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77599"/>
        <c:crosses val="autoZero"/>
        <c:crossBetween val="midCat"/>
      </c:valAx>
      <c:valAx>
        <c:axId val="6685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7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3/2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'Ashvat Design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Design Coeff'!$BB$25:$BB$104</c:f>
              <c:numCache>
                <c:formatCode>General</c:formatCode>
                <c:ptCount val="80"/>
                <c:pt idx="0">
                  <c:v>2.6601134811459648</c:v>
                </c:pt>
                <c:pt idx="1">
                  <c:v>3.1907745098362712</c:v>
                </c:pt>
                <c:pt idx="2">
                  <c:v>3.7200761382473684</c:v>
                </c:pt>
                <c:pt idx="3">
                  <c:v>4.2473020197692062</c:v>
                </c:pt>
                <c:pt idx="4">
                  <c:v>4.771528224786814</c:v>
                </c:pt>
                <c:pt idx="5">
                  <c:v>5.2916040864687064</c:v>
                </c:pt>
                <c:pt idx="6">
                  <c:v>5.8061375152360908</c:v>
                </c:pt>
                <c:pt idx="7">
                  <c:v>6.3134860262957622</c:v>
                </c:pt>
                <c:pt idx="8">
                  <c:v>6.8117548546454643</c:v>
                </c:pt>
                <c:pt idx="9">
                  <c:v>7.2988035770023245</c:v>
                </c:pt>
                <c:pt idx="10">
                  <c:v>7.7722625895698254</c:v>
                </c:pt>
                <c:pt idx="11">
                  <c:v>8.2295605751251841</c:v>
                </c:pt>
                <c:pt idx="12">
                  <c:v>8.6679637101211249</c:v>
                </c:pt>
                <c:pt idx="13">
                  <c:v>9.0846268028544035</c:v>
                </c:pt>
                <c:pt idx="14">
                  <c:v>9.4766558278156445</c:v>
                </c:pt>
                <c:pt idx="15">
                  <c:v>9.8411804647186347</c:v>
                </c:pt>
                <c:pt idx="16">
                  <c:v>10.175434327093114</c:v>
                </c:pt>
                <c:pt idx="17">
                  <c:v>10.476839664323748</c:v>
                </c:pt>
                <c:pt idx="18">
                  <c:v>10.743092550636518</c:v>
                </c:pt>
                <c:pt idx="19">
                  <c:v>10.972244047634909</c:v>
                </c:pt>
                <c:pt idx="20">
                  <c:v>11.162772643351776</c:v>
                </c:pt>
                <c:pt idx="21">
                  <c:v>11.313643497831224</c:v>
                </c:pt>
                <c:pt idx="22">
                  <c:v>11.424350681462451</c:v>
                </c:pt>
                <c:pt idx="23">
                  <c:v>11.494939637819874</c:v>
                </c:pt>
                <c:pt idx="24">
                  <c:v>11.526008440479234</c:v>
                </c:pt>
                <c:pt idx="25">
                  <c:v>11.518687900990326</c:v>
                </c:pt>
                <c:pt idx="26">
                  <c:v>11.474602057423423</c:v>
                </c:pt>
                <c:pt idx="27">
                  <c:v>11.395811867546053</c:v>
                </c:pt>
                <c:pt idx="28">
                  <c:v>11.284745914753469</c:v>
                </c:pt>
                <c:pt idx="29">
                  <c:v>11.144122523898364</c:v>
                </c:pt>
                <c:pt idx="30">
                  <c:v>10.976867851370159</c:v>
                </c:pt>
                <c:pt idx="31">
                  <c:v>10.78603428814197</c:v>
                </c:pt>
                <c:pt idx="32">
                  <c:v>10.57472296936508</c:v>
                </c:pt>
                <c:pt idx="33">
                  <c:v>10.346013419921102</c:v>
                </c:pt>
                <c:pt idx="34">
                  <c:v>10.102902491041602</c:v>
                </c:pt>
                <c:pt idx="35">
                  <c:v>9.8482538595988665</c:v>
                </c:pt>
                <c:pt idx="36">
                  <c:v>9.5847585502602843</c:v>
                </c:pt>
                <c:pt idx="37">
                  <c:v>9.3149062571379595</c:v>
                </c:pt>
                <c:pt idx="38">
                  <c:v>9.0409667153516526</c:v>
                </c:pt>
                <c:pt idx="39">
                  <c:v>8.7649800105358473</c:v>
                </c:pt>
                <c:pt idx="40">
                  <c:v>8.4887545046749793</c:v>
                </c:pt>
                <c:pt idx="41">
                  <c:v>8.2138709773195444</c:v>
                </c:pt>
                <c:pt idx="42">
                  <c:v>7.941691604189943</c:v>
                </c:pt>
                <c:pt idx="43">
                  <c:v>7.6733724914324668</c:v>
                </c:pt>
                <c:pt idx="44">
                  <c:v>7.4098786266440104</c:v>
                </c:pt>
                <c:pt idx="45">
                  <c:v>7.1520002746927895</c:v>
                </c:pt>
                <c:pt idx="46">
                  <c:v>6.9003700197481876</c:v>
                </c:pt>
                <c:pt idx="47">
                  <c:v>6.6554798221505251</c:v>
                </c:pt>
                <c:pt idx="48">
                  <c:v>6.4176976115521027</c:v>
                </c:pt>
                <c:pt idx="49">
                  <c:v>6.1872830715236757</c:v>
                </c:pt>
                <c:pt idx="50">
                  <c:v>5.9644023836947371</c:v>
                </c:pt>
                <c:pt idx="51">
                  <c:v>5.7491417916022867</c:v>
                </c:pt>
                <c:pt idx="52">
                  <c:v>5.5415199171554326</c:v>
                </c:pt>
                <c:pt idx="53">
                  <c:v>5.3414988181289882</c:v>
                </c:pt>
                <c:pt idx="54">
                  <c:v>5.1489938158374207</c:v>
                </c:pt>
                <c:pt idx="55">
                  <c:v>4.9638821506299218</c:v>
                </c:pt>
                <c:pt idx="56">
                  <c:v>4.7860105414610912</c:v>
                </c:pt>
                <c:pt idx="57">
                  <c:v>4.6152017366678058</c:v>
                </c:pt>
                <c:pt idx="58">
                  <c:v>4.4512601480656366</c:v>
                </c:pt>
                <c:pt idx="59">
                  <c:v>4.2939766611124099</c:v>
                </c:pt>
                <c:pt idx="60">
                  <c:v>4.1431327114351824</c:v>
                </c:pt>
                <c:pt idx="61">
                  <c:v>3.9985037134766688</c:v>
                </c:pt>
                <c:pt idx="62">
                  <c:v>3.8598619211708769</c:v>
                </c:pt>
                <c:pt idx="63">
                  <c:v>3.7269787939892165</c:v>
                </c:pt>
                <c:pt idx="64">
                  <c:v>3.5996269348449221</c:v>
                </c:pt>
                <c:pt idx="65">
                  <c:v>3.4775816595159936</c:v>
                </c:pt>
                <c:pt idx="66">
                  <c:v>3.3606222506549033</c:v>
                </c:pt>
                <c:pt idx="67">
                  <c:v>3.2485329432398298</c:v>
                </c:pt>
                <c:pt idx="68">
                  <c:v>3.141103682565821</c:v>
                </c:pt>
                <c:pt idx="69">
                  <c:v>3.0381306906184755</c:v>
                </c:pt>
                <c:pt idx="70">
                  <c:v>2.9394168719262459</c:v>
                </c:pt>
                <c:pt idx="71">
                  <c:v>2.8447720857432364</c:v>
                </c:pt>
                <c:pt idx="72">
                  <c:v>2.7540133076476634</c:v>
                </c:pt>
                <c:pt idx="73">
                  <c:v>2.6669647003213961</c:v>
                </c:pt>
                <c:pt idx="74">
                  <c:v>2.5834576103670397</c:v>
                </c:pt>
                <c:pt idx="75">
                  <c:v>2.503330505482769</c:v>
                </c:pt>
                <c:pt idx="76">
                  <c:v>2.4264288641139786</c:v>
                </c:pt>
                <c:pt idx="77">
                  <c:v>2.352605027798043</c:v>
                </c:pt>
                <c:pt idx="78">
                  <c:v>2.2817180247796243</c:v>
                </c:pt>
                <c:pt idx="79">
                  <c:v>2.2136333720671648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5E-4472-8CFE-FBFFB0DD4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555551"/>
        <c:axId val="668567199"/>
      </c:scatterChart>
      <c:valAx>
        <c:axId val="66855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7199"/>
        <c:crosses val="autoZero"/>
        <c:crossBetween val="midCat"/>
      </c:valAx>
      <c:valAx>
        <c:axId val="66856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5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33012191362908"/>
          <c:y val="6.2247862581533753E-2"/>
          <c:w val="0.84621513907159085"/>
          <c:h val="0.66730282477066605"/>
        </c:manualLayout>
      </c:layout>
      <c:scatterChart>
        <c:scatterStyle val="smoothMarker"/>
        <c:varyColors val="0"/>
        <c:ser>
          <c:idx val="0"/>
          <c:order val="0"/>
          <c:tx>
            <c:v>CL/CD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'Ashvat Design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Design Coeff'!$V$25:$V$104</c:f>
              <c:numCache>
                <c:formatCode>General</c:formatCode>
                <c:ptCount val="80"/>
                <c:pt idx="0">
                  <c:v>0.44708177229976476</c:v>
                </c:pt>
                <c:pt idx="1">
                  <c:v>0.64350020349878279</c:v>
                </c:pt>
                <c:pt idx="2">
                  <c:v>0.87525161229989923</c:v>
                </c:pt>
                <c:pt idx="3">
                  <c:v>1.1419973905671768</c:v>
                </c:pt>
                <c:pt idx="4">
                  <c:v>1.4432385665362453</c:v>
                </c:pt>
                <c:pt idx="5">
                  <c:v>1.7782745660290298</c:v>
                </c:pt>
                <c:pt idx="6">
                  <c:v>2.1461597965145001</c:v>
                </c:pt>
                <c:pt idx="7">
                  <c:v>2.5456596133429734</c:v>
                </c:pt>
                <c:pt idx="8">
                  <c:v>2.9752076180604323</c:v>
                </c:pt>
                <c:pt idx="9">
                  <c:v>3.4328666279618774</c:v>
                </c:pt>
                <c:pt idx="10">
                  <c:v>3.9162959999000337</c:v>
                </c:pt>
                <c:pt idx="11">
                  <c:v>4.4227282351707968</c:v>
                </c:pt>
                <c:pt idx="12">
                  <c:v>4.9489578746253393</c:v>
                </c:pt>
                <c:pt idx="13">
                  <c:v>5.4913455521298209</c:v>
                </c:pt>
                <c:pt idx="14">
                  <c:v>6.0458396577743292</c:v>
                </c:pt>
                <c:pt idx="15">
                  <c:v>6.6080173382575609</c:v>
                </c:pt>
                <c:pt idx="16">
                  <c:v>7.1731455322262159</c:v>
                </c:pt>
                <c:pt idx="17">
                  <c:v>7.7362614473264459</c:v>
                </c:pt>
                <c:pt idx="18">
                  <c:v>8.2922704249561576</c:v>
                </c:pt>
                <c:pt idx="19">
                  <c:v>8.8360576435265035</c:v>
                </c:pt>
                <c:pt idx="20">
                  <c:v>9.3626087472585198</c:v>
                </c:pt>
                <c:pt idx="21">
                  <c:v>9.8671334293030046</c:v>
                </c:pt>
                <c:pt idx="22">
                  <c:v>10.345185399583894</c:v>
                </c:pt>
                <c:pt idx="23">
                  <c:v>10.792772135185368</c:v>
                </c:pt>
                <c:pt idx="24">
                  <c:v>11.206448379556514</c:v>
                </c:pt>
                <c:pt idx="25">
                  <c:v>11.583388480095548</c:v>
                </c:pt>
                <c:pt idx="26">
                  <c:v>11.921434208933846</c:v>
                </c:pt>
                <c:pt idx="27">
                  <c:v>12.219116518777041</c:v>
                </c:pt>
                <c:pt idx="28">
                  <c:v>12.475651537040749</c:v>
                </c:pt>
                <c:pt idx="29">
                  <c:v>12.690912796443932</c:v>
                </c:pt>
                <c:pt idx="30">
                  <c:v>12.865383074895565</c:v>
                </c:pt>
                <c:pt idx="31">
                  <c:v>13.000090165896573</c:v>
                </c:pt>
                <c:pt idx="32">
                  <c:v>13.096531382731092</c:v>
                </c:pt>
                <c:pt idx="33">
                  <c:v>13.156591637133852</c:v>
                </c:pt>
                <c:pt idx="34">
                  <c:v>13.182459595657532</c:v>
                </c:pt>
                <c:pt idx="35">
                  <c:v>13.176545803726656</c:v>
                </c:pt>
                <c:pt idx="36">
                  <c:v>13.141405887530931</c:v>
                </c:pt>
                <c:pt idx="37">
                  <c:v>13.079671100453377</c:v>
                </c:pt>
                <c:pt idx="38">
                  <c:v>12.993987659147477</c:v>
                </c:pt>
                <c:pt idx="39">
                  <c:v>12.886965576924728</c:v>
                </c:pt>
                <c:pt idx="40">
                  <c:v>12.761137086841869</c:v>
                </c:pt>
                <c:pt idx="41">
                  <c:v>12.618924270184333</c:v>
                </c:pt>
                <c:pt idx="42">
                  <c:v>12.462615167223539</c:v>
                </c:pt>
                <c:pt idx="43">
                  <c:v>12.294347433605115</c:v>
                </c:pt>
                <c:pt idx="44">
                  <c:v>12.116098498010052</c:v>
                </c:pt>
                <c:pt idx="45">
                  <c:v>11.929681152513247</c:v>
                </c:pt>
                <c:pt idx="46">
                  <c:v>11.736743544234455</c:v>
                </c:pt>
                <c:pt idx="47">
                  <c:v>11.538772615487211</c:v>
                </c:pt>
                <c:pt idx="48">
                  <c:v>11.337100142918318</c:v>
                </c:pt>
                <c:pt idx="49">
                  <c:v>11.132910640877538</c:v>
                </c:pt>
                <c:pt idx="50">
                  <c:v>10.927250510668763</c:v>
                </c:pt>
                <c:pt idx="51">
                  <c:v>10.721037928644249</c:v>
                </c:pt>
                <c:pt idx="52">
                  <c:v>10.5150730680383</c:v>
                </c:pt>
                <c:pt idx="53">
                  <c:v>10.310048339690614</c:v>
                </c:pt>
                <c:pt idx="54">
                  <c:v>10.106558414498835</c:v>
                </c:pt>
                <c:pt idx="55">
                  <c:v>9.9051098556984805</c:v>
                </c:pt>
                <c:pt idx="56">
                  <c:v>9.7061302426633187</c:v>
                </c:pt>
                <c:pt idx="57">
                  <c:v>9.5099767109987301</c:v>
                </c:pt>
                <c:pt idx="58">
                  <c:v>9.3169438675796989</c:v>
                </c:pt>
                <c:pt idx="59">
                  <c:v>9.1272710652146891</c:v>
                </c:pt>
                <c:pt idx="60">
                  <c:v>8.941149041096434</c:v>
                </c:pt>
                <c:pt idx="61">
                  <c:v>8.7587259373122919</c:v>
                </c:pt>
                <c:pt idx="62">
                  <c:v>8.5801127314885726</c:v>
                </c:pt>
                <c:pt idx="63">
                  <c:v>8.4053881120359346</c:v>
                </c:pt>
                <c:pt idx="64">
                  <c:v>8.2346028362158936</c:v>
                </c:pt>
                <c:pt idx="65">
                  <c:v>8.067783610996667</c:v>
                </c:pt>
                <c:pt idx="66">
                  <c:v>7.9049365369219036</c:v>
                </c:pt>
                <c:pt idx="67">
                  <c:v>7.7460501543990627</c:v>
                </c:pt>
                <c:pt idx="68">
                  <c:v>7.5910981302475378</c:v>
                </c:pt>
                <c:pt idx="69">
                  <c:v>7.4400416202889392</c:v>
                </c:pt>
                <c:pt idx="70">
                  <c:v>7.292831341405094</c:v>
                </c:pt>
                <c:pt idx="71">
                  <c:v>7.1494093839833024</c:v>
                </c:pt>
                <c:pt idx="72">
                  <c:v>7.0097107931193543</c:v>
                </c:pt>
                <c:pt idx="73">
                  <c:v>6.8736649444353937</c:v>
                </c:pt>
                <c:pt idx="74">
                  <c:v>6.7411967379460451</c:v>
                </c:pt>
                <c:pt idx="75">
                  <c:v>6.6122276311072783</c:v>
                </c:pt>
                <c:pt idx="76">
                  <c:v>6.4866765300310805</c:v>
                </c:pt>
                <c:pt idx="77">
                  <c:v>6.3644605558555734</c:v>
                </c:pt>
                <c:pt idx="78">
                  <c:v>6.2454957014294683</c:v>
                </c:pt>
                <c:pt idx="79">
                  <c:v>6.1296973917993869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EE-4A83-85A6-591464919CF2}"/>
            </c:ext>
          </c:extLst>
        </c:ser>
        <c:ser>
          <c:idx val="1"/>
          <c:order val="1"/>
          <c:tx>
            <c:v>CL^(1/2)/CD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'Ashvat Design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Design Coeff'!$BA$25:$BA$104</c:f>
              <c:numCache>
                <c:formatCode>General</c:formatCode>
                <c:ptCount val="80"/>
                <c:pt idx="0">
                  <c:v>7.5140445149952939E-2</c:v>
                </c:pt>
                <c:pt idx="1">
                  <c:v>0.12977805564963701</c:v>
                </c:pt>
                <c:pt idx="2">
                  <c:v>0.20592734029215015</c:v>
                </c:pt>
                <c:pt idx="3">
                  <c:v>0.30705564002559615</c:v>
                </c:pt>
                <c:pt idx="4">
                  <c:v>0.43653468277045765</c:v>
                </c:pt>
                <c:pt idx="5">
                  <c:v>0.59759958993758255</c:v>
                </c:pt>
                <c:pt idx="6">
                  <c:v>0.79329879116510582</c:v>
                </c:pt>
                <c:pt idx="7">
                  <c:v>1.0264349742780148</c:v>
                </c:pt>
                <c:pt idx="8">
                  <c:v>1.2994977886686663</c:v>
                </c:pt>
                <c:pt idx="9">
                  <c:v>1.6145897284462019</c:v>
                </c:pt>
                <c:pt idx="10">
                  <c:v>1.9733474238782622</c:v>
                </c:pt>
                <c:pt idx="11">
                  <c:v>2.3768614209245844</c:v>
                </c:pt>
                <c:pt idx="12">
                  <c:v>2.8255983601105661</c:v>
                </c:pt>
                <c:pt idx="13">
                  <c:v>3.3193301857398541</c:v>
                </c:pt>
                <c:pt idx="14">
                  <c:v>3.8570755160517458</c:v>
                </c:pt>
                <c:pt idx="15">
                  <c:v>4.4370584707046099</c:v>
                </c:pt>
                <c:pt idx="16">
                  <c:v>5.0566899822148565</c:v>
                </c:pt>
                <c:pt idx="17">
                  <c:v>5.7125758433807832</c:v>
                </c:pt>
                <c:pt idx="18">
                  <c:v>6.4005544471017792</c:v>
                </c:pt>
                <c:pt idx="19">
                  <c:v>7.1157654114112203</c:v>
                </c:pt>
                <c:pt idx="20">
                  <c:v>7.8527481795885699</c:v>
                </c:pt>
                <c:pt idx="21">
                  <c:v>8.6055674399084978</c:v>
                </c:pt>
                <c:pt idx="22">
                  <c:v>9.3679600649359234</c:v>
                </c:pt>
                <c:pt idx="23">
                  <c:v>10.133496480380476</c:v>
                </c:pt>
                <c:pt idx="24">
                  <c:v>10.895748162270406</c:v>
                </c:pt>
                <c:pt idx="25">
                  <c:v>11.648452482966789</c:v>
                </c:pt>
                <c:pt idx="26">
                  <c:v>12.38566643851445</c:v>
                </c:pt>
                <c:pt idx="27">
                  <c:v>13.101901842084491</c:v>
                </c:pt>
                <c:pt idx="28">
                  <c:v>13.792236214214082</c:v>
                </c:pt>
                <c:pt idx="29">
                  <c:v>14.452395624828759</c:v>
                </c:pt>
                <c:pt idx="30">
                  <c:v>15.078807899026394</c:v>
                </c:pt>
                <c:pt idx="31">
                  <c:v>15.668626652451852</c:v>
                </c:pt>
                <c:pt idx="32">
                  <c:v>16.219728380190237</c:v>
                </c:pt>
                <c:pt idx="33">
                  <c:v>16.730686157144039</c:v>
                </c:pt>
                <c:pt idx="34">
                  <c:v>17.200724360671032</c:v>
                </c:pt>
                <c:pt idx="35">
                  <c:v>17.629659205878596</c:v>
                </c:pt>
                <c:pt idx="36">
                  <c:v>18.017829848842972</c:v>
                </c:pt>
                <c:pt idx="37">
                  <c:v>18.366024453003948</c:v>
                </c:pt>
                <c:pt idx="38">
                  <c:v>18.675405031563557</c:v>
                </c:pt>
                <c:pt idx="39">
                  <c:v>18.947434173405487</c:v>
                </c:pt>
                <c:pt idx="40">
                  <c:v>19.183806017653957</c:v>
                </c:pt>
                <c:pt idx="41">
                  <c:v>19.386383128775606</c:v>
                </c:pt>
                <c:pt idx="42">
                  <c:v>19.557140285372814</c:v>
                </c:pt>
                <c:pt idx="43">
                  <c:v>19.69811565735365</c:v>
                </c:pt>
                <c:pt idx="44">
                  <c:v>19.811369417796818</c:v>
                </c:pt>
                <c:pt idx="45">
                  <c:v>19.898949515454671</c:v>
                </c:pt>
                <c:pt idx="46">
                  <c:v>19.962864111475003</c:v>
                </c:pt>
                <c:pt idx="47">
                  <c:v>20.005060045226937</c:v>
                </c:pt>
                <c:pt idx="48">
                  <c:v>20.027406623085497</c:v>
                </c:pt>
                <c:pt idx="49">
                  <c:v>20.031684004921807</c:v>
                </c:pt>
                <c:pt idx="50">
                  <c:v>20.019575481583072</c:v>
                </c:pt>
                <c:pt idx="51">
                  <c:v>19.992662980641949</c:v>
                </c:pt>
                <c:pt idx="52">
                  <c:v>19.952425197262563</c:v>
                </c:pt>
                <c:pt idx="53">
                  <c:v>19.900237814522388</c:v>
                </c:pt>
                <c:pt idx="54">
                  <c:v>19.837375347296859</c:v>
                </c:pt>
                <c:pt idx="55">
                  <c:v>19.765014211911698</c:v>
                </c:pt>
                <c:pt idx="56">
                  <c:v>19.684236687615616</c:v>
                </c:pt>
                <c:pt idx="57">
                  <c:v>19.59603549400552</c:v>
                </c:pt>
                <c:pt idx="58">
                  <c:v>19.501318760116412</c:v>
                </c:pt>
                <c:pt idx="59">
                  <c:v>19.400915205795162</c:v>
                </c:pt>
                <c:pt idx="60">
                  <c:v>19.295579394416031</c:v>
                </c:pt>
                <c:pt idx="61">
                  <c:v>19.185996948404419</c:v>
                </c:pt>
                <c:pt idx="62">
                  <c:v>19.072789645988273</c:v>
                </c:pt>
                <c:pt idx="63">
                  <c:v>18.956520339718207</c:v>
                </c:pt>
                <c:pt idx="64">
                  <c:v>18.837697655225529</c:v>
                </c:pt>
                <c:pt idx="65">
                  <c:v>18.716780443029325</c:v>
                </c:pt>
                <c:pt idx="66">
                  <c:v>18.594181967516718</c:v>
                </c:pt>
                <c:pt idx="67">
                  <c:v>18.470273826013656</c:v>
                </c:pt>
                <c:pt idx="68">
                  <c:v>18.345389597575039</c:v>
                </c:pt>
                <c:pt idx="69">
                  <c:v>18.219828226139654</c:v>
                </c:pt>
                <c:pt idx="70">
                  <c:v>18.093857146341826</c:v>
                </c:pt>
                <c:pt idx="71">
                  <c:v>17.967715162824465</c:v>
                </c:pt>
                <c:pt idx="72">
                  <c:v>17.841615095586977</c:v>
                </c:pt>
                <c:pt idx="73">
                  <c:v>17.71574620491462</c:v>
                </c:pt>
                <c:pt idx="74">
                  <c:v>17.590276409930357</c:v>
                </c:pt>
                <c:pt idx="75">
                  <c:v>17.46535431490971</c:v>
                </c:pt>
                <c:pt idx="76">
                  <c:v>17.341111057307117</c:v>
                </c:pt>
                <c:pt idx="77">
                  <c:v>17.217661991037218</c:v>
                </c:pt>
                <c:pt idx="78">
                  <c:v>17.095108218002235</c:v>
                </c:pt>
                <c:pt idx="79">
                  <c:v>16.97353798020541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EE-4A83-85A6-591464919CF2}"/>
            </c:ext>
          </c:extLst>
        </c:ser>
        <c:ser>
          <c:idx val="2"/>
          <c:order val="2"/>
          <c:tx>
            <c:v>CL^(3/2)/CD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'Ashvat Design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Design Coeff'!$BB$25:$BB$104</c:f>
              <c:numCache>
                <c:formatCode>General</c:formatCode>
                <c:ptCount val="80"/>
                <c:pt idx="0">
                  <c:v>2.6601134811459648</c:v>
                </c:pt>
                <c:pt idx="1">
                  <c:v>3.1907745098362712</c:v>
                </c:pt>
                <c:pt idx="2">
                  <c:v>3.7200761382473684</c:v>
                </c:pt>
                <c:pt idx="3">
                  <c:v>4.2473020197692062</c:v>
                </c:pt>
                <c:pt idx="4">
                  <c:v>4.771528224786814</c:v>
                </c:pt>
                <c:pt idx="5">
                  <c:v>5.2916040864687064</c:v>
                </c:pt>
                <c:pt idx="6">
                  <c:v>5.8061375152360908</c:v>
                </c:pt>
                <c:pt idx="7">
                  <c:v>6.3134860262957622</c:v>
                </c:pt>
                <c:pt idx="8">
                  <c:v>6.8117548546454643</c:v>
                </c:pt>
                <c:pt idx="9">
                  <c:v>7.2988035770023245</c:v>
                </c:pt>
                <c:pt idx="10">
                  <c:v>7.7722625895698254</c:v>
                </c:pt>
                <c:pt idx="11">
                  <c:v>8.2295605751251841</c:v>
                </c:pt>
                <c:pt idx="12">
                  <c:v>8.6679637101211249</c:v>
                </c:pt>
                <c:pt idx="13">
                  <c:v>9.0846268028544035</c:v>
                </c:pt>
                <c:pt idx="14">
                  <c:v>9.4766558278156445</c:v>
                </c:pt>
                <c:pt idx="15">
                  <c:v>9.8411804647186347</c:v>
                </c:pt>
                <c:pt idx="16">
                  <c:v>10.175434327093114</c:v>
                </c:pt>
                <c:pt idx="17">
                  <c:v>10.476839664323748</c:v>
                </c:pt>
                <c:pt idx="18">
                  <c:v>10.743092550636518</c:v>
                </c:pt>
                <c:pt idx="19">
                  <c:v>10.972244047634909</c:v>
                </c:pt>
                <c:pt idx="20">
                  <c:v>11.162772643351776</c:v>
                </c:pt>
                <c:pt idx="21">
                  <c:v>11.313643497831224</c:v>
                </c:pt>
                <c:pt idx="22">
                  <c:v>11.424350681462451</c:v>
                </c:pt>
                <c:pt idx="23">
                  <c:v>11.494939637819874</c:v>
                </c:pt>
                <c:pt idx="24">
                  <c:v>11.526008440479234</c:v>
                </c:pt>
                <c:pt idx="25">
                  <c:v>11.518687900990326</c:v>
                </c:pt>
                <c:pt idx="26">
                  <c:v>11.474602057423423</c:v>
                </c:pt>
                <c:pt idx="27">
                  <c:v>11.395811867546053</c:v>
                </c:pt>
                <c:pt idx="28">
                  <c:v>11.284745914753469</c:v>
                </c:pt>
                <c:pt idx="29">
                  <c:v>11.144122523898364</c:v>
                </c:pt>
                <c:pt idx="30">
                  <c:v>10.976867851370159</c:v>
                </c:pt>
                <c:pt idx="31">
                  <c:v>10.78603428814197</c:v>
                </c:pt>
                <c:pt idx="32">
                  <c:v>10.57472296936508</c:v>
                </c:pt>
                <c:pt idx="33">
                  <c:v>10.346013419921102</c:v>
                </c:pt>
                <c:pt idx="34">
                  <c:v>10.102902491041602</c:v>
                </c:pt>
                <c:pt idx="35">
                  <c:v>9.8482538595988665</c:v>
                </c:pt>
                <c:pt idx="36">
                  <c:v>9.5847585502602843</c:v>
                </c:pt>
                <c:pt idx="37">
                  <c:v>9.3149062571379595</c:v>
                </c:pt>
                <c:pt idx="38">
                  <c:v>9.0409667153516526</c:v>
                </c:pt>
                <c:pt idx="39">
                  <c:v>8.7649800105358473</c:v>
                </c:pt>
                <c:pt idx="40">
                  <c:v>8.4887545046749793</c:v>
                </c:pt>
                <c:pt idx="41">
                  <c:v>8.2138709773195444</c:v>
                </c:pt>
                <c:pt idx="42">
                  <c:v>7.941691604189943</c:v>
                </c:pt>
                <c:pt idx="43">
                  <c:v>7.6733724914324668</c:v>
                </c:pt>
                <c:pt idx="44">
                  <c:v>7.4098786266440104</c:v>
                </c:pt>
                <c:pt idx="45">
                  <c:v>7.1520002746927895</c:v>
                </c:pt>
                <c:pt idx="46">
                  <c:v>6.9003700197481876</c:v>
                </c:pt>
                <c:pt idx="47">
                  <c:v>6.6554798221505251</c:v>
                </c:pt>
                <c:pt idx="48">
                  <c:v>6.4176976115521027</c:v>
                </c:pt>
                <c:pt idx="49">
                  <c:v>6.1872830715236757</c:v>
                </c:pt>
                <c:pt idx="50">
                  <c:v>5.9644023836947371</c:v>
                </c:pt>
                <c:pt idx="51">
                  <c:v>5.7491417916022867</c:v>
                </c:pt>
                <c:pt idx="52">
                  <c:v>5.5415199171554326</c:v>
                </c:pt>
                <c:pt idx="53">
                  <c:v>5.3414988181289882</c:v>
                </c:pt>
                <c:pt idx="54">
                  <c:v>5.1489938158374207</c:v>
                </c:pt>
                <c:pt idx="55">
                  <c:v>4.9638821506299218</c:v>
                </c:pt>
                <c:pt idx="56">
                  <c:v>4.7860105414610912</c:v>
                </c:pt>
                <c:pt idx="57">
                  <c:v>4.6152017366678058</c:v>
                </c:pt>
                <c:pt idx="58">
                  <c:v>4.4512601480656366</c:v>
                </c:pt>
                <c:pt idx="59">
                  <c:v>4.2939766611124099</c:v>
                </c:pt>
                <c:pt idx="60">
                  <c:v>4.1431327114351824</c:v>
                </c:pt>
                <c:pt idx="61">
                  <c:v>3.9985037134766688</c:v>
                </c:pt>
                <c:pt idx="62">
                  <c:v>3.8598619211708769</c:v>
                </c:pt>
                <c:pt idx="63">
                  <c:v>3.7269787939892165</c:v>
                </c:pt>
                <c:pt idx="64">
                  <c:v>3.5996269348449221</c:v>
                </c:pt>
                <c:pt idx="65">
                  <c:v>3.4775816595159936</c:v>
                </c:pt>
                <c:pt idx="66">
                  <c:v>3.3606222506549033</c:v>
                </c:pt>
                <c:pt idx="67">
                  <c:v>3.2485329432398298</c:v>
                </c:pt>
                <c:pt idx="68">
                  <c:v>3.141103682565821</c:v>
                </c:pt>
                <c:pt idx="69">
                  <c:v>3.0381306906184755</c:v>
                </c:pt>
                <c:pt idx="70">
                  <c:v>2.9394168719262459</c:v>
                </c:pt>
                <c:pt idx="71">
                  <c:v>2.8447720857432364</c:v>
                </c:pt>
                <c:pt idx="72">
                  <c:v>2.7540133076476634</c:v>
                </c:pt>
                <c:pt idx="73">
                  <c:v>2.6669647003213961</c:v>
                </c:pt>
                <c:pt idx="74">
                  <c:v>2.5834576103670397</c:v>
                </c:pt>
                <c:pt idx="75">
                  <c:v>2.503330505482769</c:v>
                </c:pt>
                <c:pt idx="76">
                  <c:v>2.4264288641139786</c:v>
                </c:pt>
                <c:pt idx="77">
                  <c:v>2.352605027798043</c:v>
                </c:pt>
                <c:pt idx="78">
                  <c:v>2.2817180247796243</c:v>
                </c:pt>
                <c:pt idx="79">
                  <c:v>2.2136333720671648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EE-4A83-85A6-591464919CF2}"/>
            </c:ext>
          </c:extLst>
        </c:ser>
        <c:ser>
          <c:idx val="4"/>
          <c:order val="3"/>
          <c:tx>
            <c:v>Max CL/CD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5"/>
              </a:solidFill>
              <a:ln w="952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</c:marker>
          <c:xVal>
            <c:numRef>
              <c:f>'Ashvat Design Coeff'!$H$2</c:f>
              <c:numCache>
                <c:formatCode>General</c:formatCode>
                <c:ptCount val="1"/>
                <c:pt idx="0">
                  <c:v>195</c:v>
                </c:pt>
              </c:numCache>
            </c:numRef>
          </c:xVal>
          <c:yVal>
            <c:numRef>
              <c:f>'Ashvat Design Coeff'!$E$2</c:f>
              <c:numCache>
                <c:formatCode>General</c:formatCode>
                <c:ptCount val="1"/>
                <c:pt idx="0">
                  <c:v>13.182459595657532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3A-4E5D-A233-339140900D42}"/>
            </c:ext>
          </c:extLst>
        </c:ser>
        <c:ser>
          <c:idx val="3"/>
          <c:order val="4"/>
          <c:tx>
            <c:v>Max CL^(1/2)/CD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tx1">
                    <a:alpha val="96000"/>
                  </a:schemeClr>
                </a:solidFill>
              </a:ln>
              <a:effectLst/>
            </c:spPr>
          </c:marker>
          <c:xVal>
            <c:numRef>
              <c:f>'Ashvat Design Coeff'!$H$3</c:f>
              <c:numCache>
                <c:formatCode>General</c:formatCode>
                <c:ptCount val="1"/>
                <c:pt idx="0">
                  <c:v>270</c:v>
                </c:pt>
              </c:numCache>
            </c:numRef>
          </c:xVal>
          <c:yVal>
            <c:numRef>
              <c:f>'Ashvat Design Coeff'!$E$3</c:f>
              <c:numCache>
                <c:formatCode>General</c:formatCode>
                <c:ptCount val="1"/>
                <c:pt idx="0">
                  <c:v>20.031684004921807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43A-4E5D-A233-339140900D42}"/>
            </c:ext>
          </c:extLst>
        </c:ser>
        <c:ser>
          <c:idx val="5"/>
          <c:order val="5"/>
          <c:tx>
            <c:v>Max CL^(3/2)/CD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7"/>
              <c:spPr>
                <a:solidFill>
                  <a:schemeClr val="bg1">
                    <a:lumMod val="50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143A-4E5D-A233-339140900D42}"/>
              </c:ext>
            </c:extLst>
          </c:dPt>
          <c:xVal>
            <c:numRef>
              <c:f>'Ashvat Design Coeff'!$H$4</c:f>
              <c:numCache>
                <c:formatCode>General</c:formatCode>
                <c:ptCount val="1"/>
                <c:pt idx="0">
                  <c:v>145</c:v>
                </c:pt>
              </c:numCache>
            </c:numRef>
          </c:xVal>
          <c:yVal>
            <c:numRef>
              <c:f>'Ashvat Design Coeff'!$E$5</c:f>
              <c:numCache>
                <c:formatCode>General</c:formatCode>
                <c:ptCount val="1"/>
                <c:pt idx="0">
                  <c:v>11.416010009839422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43A-4E5D-A233-339140900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54495"/>
        <c:axId val="601374463"/>
      </c:scatterChart>
      <c:valAx>
        <c:axId val="60135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KCAS</a:t>
                </a:r>
              </a:p>
            </c:rich>
          </c:tx>
          <c:layout>
            <c:manualLayout>
              <c:xMode val="edge"/>
              <c:yMode val="edge"/>
              <c:x val="0.49794758774500419"/>
              <c:y val="0.809412957043735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74463"/>
        <c:crosses val="autoZero"/>
        <c:crossBetween val="midCat"/>
      </c:valAx>
      <c:valAx>
        <c:axId val="6013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Coefficient Magnitude</a:t>
                </a:r>
              </a:p>
            </c:rich>
          </c:tx>
          <c:layout>
            <c:manualLayout>
              <c:xMode val="edge"/>
              <c:yMode val="edge"/>
              <c:x val="3.0097756657741923E-2"/>
              <c:y val="0.274166471765286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54495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08822724815098"/>
          <c:y val="5.0925925925925923E-2"/>
          <c:w val="0.84835621262497229"/>
          <c:h val="0.71440500346535074"/>
        </c:manualLayout>
      </c:layout>
      <c:scatterChart>
        <c:scatterStyle val="smoothMarker"/>
        <c:varyColors val="0"/>
        <c:ser>
          <c:idx val="0"/>
          <c:order val="0"/>
          <c:tx>
            <c:v>CL/CD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'Ashvat Design Coeff'!$L$109:$L$189</c:f>
              <c:numCache>
                <c:formatCode>General</c:formatCode>
                <c:ptCount val="81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  <c:pt idx="80">
                  <c:v>425</c:v>
                </c:pt>
              </c:numCache>
            </c:numRef>
          </c:xVal>
          <c:yVal>
            <c:numRef>
              <c:f>'Ashvat Design Coeff'!$V$109:$V$189</c:f>
              <c:numCache>
                <c:formatCode>General</c:formatCode>
                <c:ptCount val="81"/>
                <c:pt idx="0">
                  <c:v>0.46220056425614386</c:v>
                </c:pt>
                <c:pt idx="1">
                  <c:v>0.66528405520718903</c:v>
                </c:pt>
                <c:pt idx="2">
                  <c:v>0.90490995380830819</c:v>
                </c:pt>
                <c:pt idx="3">
                  <c:v>1.1807254460284422</c:v>
                </c:pt>
                <c:pt idx="4">
                  <c:v>1.4922055239026883</c:v>
                </c:pt>
                <c:pt idx="5">
                  <c:v>1.8386079583017529</c:v>
                </c:pt>
                <c:pt idx="6">
                  <c:v>2.2189258774958098</c:v>
                </c:pt>
                <c:pt idx="7">
                  <c:v>2.6318396921579916</c:v>
                </c:pt>
                <c:pt idx="8">
                  <c:v>3.075670556507085</c:v>
                </c:pt>
                <c:pt idx="9">
                  <c:v>3.5483380031641736</c:v>
                </c:pt>
                <c:pt idx="10">
                  <c:v>4.0473247840186009</c:v>
                </c:pt>
                <c:pt idx="11">
                  <c:v>4.5696522261348465</c:v>
                </c:pt>
                <c:pt idx="12">
                  <c:v>5.1118694975625534</c:v>
                </c:pt>
                <c:pt idx="13">
                  <c:v>5.6700599996139847</c:v>
                </c:pt>
                <c:pt idx="14">
                  <c:v>6.2398675985156729</c:v>
                </c:pt>
                <c:pt idx="15">
                  <c:v>6.8165445450112321</c:v>
                </c:pt>
                <c:pt idx="16">
                  <c:v>7.3950217111481606</c:v>
                </c:pt>
                <c:pt idx="17">
                  <c:v>7.9700002571660624</c:v>
                </c:pt>
                <c:pt idx="18">
                  <c:v>8.5360621434426083</c:v>
                </c:pt>
                <c:pt idx="19">
                  <c:v>9.0877951897111036</c:v>
                </c:pt>
                <c:pt idx="20">
                  <c:v>9.6199268570214826</c:v>
                </c:pt>
                <c:pt idx="21">
                  <c:v>10.127459793173724</c:v>
                </c:pt>
                <c:pt idx="22">
                  <c:v>10.605801615727001</c:v>
                </c:pt>
                <c:pt idx="23">
                  <c:v>11.050881519950066</c:v>
                </c:pt>
                <c:pt idx="24">
                  <c:v>11.459247114345724</c:v>
                </c:pt>
                <c:pt idx="25">
                  <c:v>11.828136326671645</c:v>
                </c:pt>
                <c:pt idx="26">
                  <c:v>12.155521122592639</c:v>
                </c:pt>
                <c:pt idx="27">
                  <c:v>12.440121909688459</c:v>
                </c:pt>
                <c:pt idx="28">
                  <c:v>12.681393611672217</c:v>
                </c:pt>
                <c:pt idx="29">
                  <c:v>12.879486260739254</c:v>
                </c:pt>
                <c:pt idx="30">
                  <c:v>13.035184393347469</c:v>
                </c:pt>
                <c:pt idx="31">
                  <c:v>13.149830444948629</c:v>
                </c:pt>
                <c:pt idx="32">
                  <c:v>13.225237700943762</c:v>
                </c:pt>
                <c:pt idx="33">
                  <c:v>13.263598223563619</c:v>
                </c:pt>
                <c:pt idx="34">
                  <c:v>13.267390637269692</c:v>
                </c:pt>
                <c:pt idx="35">
                  <c:v>13.23929184499819</c:v>
                </c:pt>
                <c:pt idx="36">
                  <c:v>13.182095794217945</c:v>
                </c:pt>
                <c:pt idx="37">
                  <c:v>13.098641431289193</c:v>
                </c:pt>
                <c:pt idx="38">
                  <c:v>12.991751065721019</c:v>
                </c:pt>
                <c:pt idx="39">
                  <c:v>12.864179573769837</c:v>
                </c:pt>
                <c:pt idx="40">
                  <c:v>12.718574235989781</c:v>
                </c:pt>
                <c:pt idx="41">
                  <c:v>12.55744453445827</c:v>
                </c:pt>
                <c:pt idx="42">
                  <c:v>12.383140923358917</c:v>
                </c:pt>
                <c:pt idx="43">
                  <c:v>12.197841411061754</c:v>
                </c:pt>
                <c:pt idx="44">
                  <c:v>12.003544726852489</c:v>
                </c:pt>
                <c:pt idx="45">
                  <c:v>11.802068863883385</c:v>
                </c:pt>
                <c:pt idx="46">
                  <c:v>11.595053866386445</c:v>
                </c:pt>
                <c:pt idx="47">
                  <c:v>11.383967841875085</c:v>
                </c:pt>
                <c:pt idx="48">
                  <c:v>11.170115310404851</c:v>
                </c:pt>
                <c:pt idx="49">
                  <c:v>10.954647139710762</c:v>
                </c:pt>
                <c:pt idx="50">
                  <c:v>10.738571447869202</c:v>
                </c:pt>
                <c:pt idx="51">
                  <c:v>10.522764978001172</c:v>
                </c:pt>
                <c:pt idx="52">
                  <c:v>10.307984559022223</c:v>
                </c:pt>
                <c:pt idx="53">
                  <c:v>10.094878361081737</c:v>
                </c:pt>
                <c:pt idx="54">
                  <c:v>9.883996734002956</c:v>
                </c:pt>
                <c:pt idx="55">
                  <c:v>9.6758024825379785</c:v>
                </c:pt>
                <c:pt idx="56">
                  <c:v>9.4706804848977981</c:v>
                </c:pt>
                <c:pt idx="57">
                  <c:v>9.2689466023868157</c:v>
                </c:pt>
                <c:pt idx="58">
                  <c:v>9.0708558597075726</c:v>
                </c:pt>
                <c:pt idx="59">
                  <c:v>8.876609899198705</c:v>
                </c:pt>
                <c:pt idx="60">
                  <c:v>8.6863637293925873</c:v>
                </c:pt>
                <c:pt idx="61">
                  <c:v>8.500231800126782</c:v>
                </c:pt>
                <c:pt idx="62">
                  <c:v>8.3182934441396004</c:v>
                </c:pt>
                <c:pt idx="63">
                  <c:v>8.1405977295687233</c:v>
                </c:pt>
                <c:pt idx="64">
                  <c:v>7.9671677698330665</c:v>
                </c:pt>
                <c:pt idx="65">
                  <c:v>7.7980045376488523</c:v>
                </c:pt>
                <c:pt idx="66">
                  <c:v>7.633090228917049</c:v>
                </c:pt>
                <c:pt idx="67">
                  <c:v>7.4723912203183573</c:v>
                </c:pt>
                <c:pt idx="68">
                  <c:v>7.3158606619760409</c:v>
                </c:pt>
                <c:pt idx="69">
                  <c:v>7.1634407437286391</c:v>
                </c:pt>
                <c:pt idx="70">
                  <c:v>7.0150646705697115</c:v>
                </c:pt>
                <c:pt idx="71">
                  <c:v>6.8706583797916423</c:v>
                </c:pt>
                <c:pt idx="72">
                  <c:v>6.7301420294017751</c:v>
                </c:pt>
                <c:pt idx="73">
                  <c:v>6.593431284530288</c:v>
                </c:pt>
                <c:pt idx="74">
                  <c:v>6.460438425854548</c:v>
                </c:pt>
                <c:pt idx="75">
                  <c:v>6.3310733015540199</c:v>
                </c:pt>
                <c:pt idx="76">
                  <c:v>6.2052441419911544</c:v>
                </c:pt>
                <c:pt idx="77">
                  <c:v>6.0828582541917147</c:v>
                </c:pt>
                <c:pt idx="78">
                  <c:v>5.9638226112694444</c:v>
                </c:pt>
                <c:pt idx="79">
                  <c:v>5.8480443501965098</c:v>
                </c:pt>
                <c:pt idx="80">
                  <c:v>5.734633412759786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51-4507-8826-BD70CBDF5CCE}"/>
            </c:ext>
          </c:extLst>
        </c:ser>
        <c:ser>
          <c:idx val="1"/>
          <c:order val="1"/>
          <c:tx>
            <c:v>CL^(1/2)/CD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'Ashvat Design Coeff'!$L$109:$L$189</c:f>
              <c:numCache>
                <c:formatCode>General</c:formatCode>
                <c:ptCount val="81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  <c:pt idx="80">
                  <c:v>425</c:v>
                </c:pt>
              </c:numCache>
            </c:numRef>
          </c:xVal>
          <c:yVal>
            <c:numRef>
              <c:f>'Ashvat Design Coeff'!$BA$109:$BA$189</c:f>
              <c:numCache>
                <c:formatCode>General</c:formatCode>
                <c:ptCount val="81"/>
                <c:pt idx="0">
                  <c:v>7.8984694096113001E-2</c:v>
                </c:pt>
                <c:pt idx="1">
                  <c:v>0.13642591794357134</c:v>
                </c:pt>
                <c:pt idx="2">
                  <c:v>0.2164897126829792</c:v>
                </c:pt>
                <c:pt idx="3">
                  <c:v>0.32282517392266369</c:v>
                </c:pt>
                <c:pt idx="4">
                  <c:v>0.45897977501293691</c:v>
                </c:pt>
                <c:pt idx="5">
                  <c:v>0.62835450358718847</c:v>
                </c:pt>
                <c:pt idx="6">
                  <c:v>0.83414887275936078</c:v>
                </c:pt>
                <c:pt idx="7">
                  <c:v>1.0792959509687594</c:v>
                </c:pt>
                <c:pt idx="8">
                  <c:v>1.3663882302568191</c:v>
                </c:pt>
                <c:pt idx="9">
                  <c:v>1.6975959659473581</c:v>
                </c:pt>
                <c:pt idx="10">
                  <c:v>2.0745805441628566</c:v>
                </c:pt>
                <c:pt idx="11">
                  <c:v>2.4984064136341511</c:v>
                </c:pt>
                <c:pt idx="12">
                  <c:v>2.969456072116293</c:v>
                </c:pt>
                <c:pt idx="13">
                  <c:v>3.4873534150512469</c:v>
                </c:pt>
                <c:pt idx="14">
                  <c:v>4.0509013049235714</c:v>
                </c:pt>
                <c:pt idx="15">
                  <c:v>4.6580393687487565</c:v>
                </c:pt>
                <c:pt idx="16">
                  <c:v>5.3058276592629197</c:v>
                </c:pt>
                <c:pt idx="17">
                  <c:v>5.9904608451491521</c:v>
                </c:pt>
                <c:pt idx="18">
                  <c:v>6.7073160164633503</c:v>
                </c:pt>
                <c:pt idx="19">
                  <c:v>7.4510350783674557</c:v>
                </c:pt>
                <c:pt idx="20">
                  <c:v>8.2156402260952053</c:v>
                </c:pt>
                <c:pt idx="21">
                  <c:v>8.9946783935577077</c:v>
                </c:pt>
                <c:pt idx="22">
                  <c:v>9.7813881437044401</c:v>
                </c:pt>
                <c:pt idx="23">
                  <c:v>10.568880521724177</c:v>
                </c:pt>
                <c:pt idx="24">
                  <c:v>11.350324176475606</c:v>
                </c:pt>
                <c:pt idx="25">
                  <c:v>12.119124731837291</c:v>
                </c:pt>
                <c:pt idx="26">
                  <c:v>12.869088995207331</c:v>
                </c:pt>
                <c:pt idx="27">
                  <c:v>13.594566032764401</c:v>
                </c:pt>
                <c:pt idx="28">
                  <c:v>14.290559217320526</c:v>
                </c:pt>
                <c:pt idx="29">
                  <c:v>14.952805790161499</c:v>
                </c:pt>
                <c:pt idx="30">
                  <c:v>15.577822976744118</c:v>
                </c:pt>
                <c:pt idx="31">
                  <c:v>16.162921987213235</c:v>
                </c:pt>
                <c:pt idx="32">
                  <c:v>16.706193109492752</c:v>
                </c:pt>
                <c:pt idx="33">
                  <c:v>17.206466441785974</c:v>
                </c:pt>
                <c:pt idx="34">
                  <c:v>17.663253575309085</c:v>
                </c:pt>
                <c:pt idx="35">
                  <c:v>18.07667576340646</c:v>
                </c:pt>
                <c:pt idx="36">
                  <c:v>18.447383888965359</c:v>
                </c:pt>
                <c:pt idx="37">
                  <c:v>18.776474985913893</c:v>
                </c:pt>
                <c:pt idx="38">
                  <c:v>19.065409306681975</c:v>
                </c:pt>
                <c:pt idx="39">
                  <c:v>19.315931069495669</c:v>
                </c:pt>
                <c:pt idx="40">
                  <c:v>19.529995160009971</c:v>
                </c:pt>
                <c:pt idx="41">
                  <c:v>19.70970126830527</c:v>
                </c:pt>
                <c:pt idx="42">
                  <c:v>19.857236256742105</c:v>
                </c:pt>
                <c:pt idx="43">
                  <c:v>19.974824996727556</c:v>
                </c:pt>
                <c:pt idx="44">
                  <c:v>20.064689486252409</c:v>
                </c:pt>
                <c:pt idx="45">
                  <c:v>20.12901575645186</c:v>
                </c:pt>
                <c:pt idx="46">
                  <c:v>20.169927878693866</c:v>
                </c:pt>
                <c:pt idx="47">
                  <c:v>20.189468274820861</c:v>
                </c:pt>
                <c:pt idx="48">
                  <c:v>20.189583492714913</c:v>
                </c:pt>
                <c:pt idx="49">
                  <c:v>20.172114619241288</c:v>
                </c:pt>
                <c:pt idx="50">
                  <c:v>20.138791547153168</c:v>
                </c:pt>
                <c:pt idx="51">
                  <c:v>20.091230378825777</c:v>
                </c:pt>
                <c:pt idx="52">
                  <c:v>20.030933327659291</c:v>
                </c:pt>
                <c:pt idx="53">
                  <c:v>19.959290560157331</c:v>
                </c:pt>
                <c:pt idx="54">
                  <c:v>19.877583502762256</c:v>
                </c:pt>
                <c:pt idx="55">
                  <c:v>19.786989214024977</c:v>
                </c:pt>
                <c:pt idx="56">
                  <c:v>19.688585492512644</c:v>
                </c:pt>
                <c:pt idx="57">
                  <c:v>19.5833564529642</c:v>
                </c:pt>
                <c:pt idx="58">
                  <c:v>19.472198357283112</c:v>
                </c:pt>
                <c:pt idx="59">
                  <c:v>19.355925533205159</c:v>
                </c:pt>
                <c:pt idx="60">
                  <c:v>19.235276252404496</c:v>
                </c:pt>
                <c:pt idx="61">
                  <c:v>19.11091847209304</c:v>
                </c:pt>
                <c:pt idx="62">
                  <c:v>18.983455370591678</c:v>
                </c:pt>
                <c:pt idx="63">
                  <c:v>18.853430628688301</c:v>
                </c:pt>
                <c:pt idx="64">
                  <c:v>18.721333425590409</c:v>
                </c:pt>
                <c:pt idx="65">
                  <c:v>18.587603131622348</c:v>
                </c:pt>
                <c:pt idx="66">
                  <c:v>18.452633690126031</c:v>
                </c:pt>
                <c:pt idx="67">
                  <c:v>18.316777688840464</c:v>
                </c:pt>
                <c:pt idx="68">
                  <c:v>18.180350126831453</c:v>
                </c:pt>
                <c:pt idx="69">
                  <c:v>18.043631887213014</c:v>
                </c:pt>
                <c:pt idx="70">
                  <c:v>17.906872928781084</c:v>
                </c:pt>
                <c:pt idx="71">
                  <c:v>17.770295211546976</c:v>
                </c:pt>
                <c:pt idx="72">
                  <c:v>17.634095372236349</c:v>
                </c:pt>
                <c:pt idx="73">
                  <c:v>17.498447166300185</c:v>
                </c:pt>
                <c:pt idx="74">
                  <c:v>17.363503693011054</c:v>
                </c:pt>
                <c:pt idx="75">
                  <c:v>17.229399419915211</c:v>
                </c:pt>
                <c:pt idx="76">
                  <c:v>17.096252022371065</c:v>
                </c:pt>
                <c:pt idx="77">
                  <c:v>16.964164053202122</c:v>
                </c:pt>
                <c:pt idx="78">
                  <c:v>16.833224456686562</c:v>
                </c:pt>
                <c:pt idx="79">
                  <c:v>16.703509940238661</c:v>
                </c:pt>
                <c:pt idx="80">
                  <c:v>16.574042885408176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051-4507-8826-BD70CBDF5CCE}"/>
            </c:ext>
          </c:extLst>
        </c:ser>
        <c:ser>
          <c:idx val="2"/>
          <c:order val="2"/>
          <c:tx>
            <c:v>CL^(3/2)/CD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'Ashvat Design Coeff'!$L$109:$L$189</c:f>
              <c:numCache>
                <c:formatCode>General</c:formatCode>
                <c:ptCount val="81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  <c:pt idx="80">
                  <c:v>425</c:v>
                </c:pt>
              </c:numCache>
            </c:numRef>
          </c:xVal>
          <c:yVal>
            <c:numRef>
              <c:f>'Ashvat Design Coeff'!$BB$109:$BB$189</c:f>
              <c:numCache>
                <c:formatCode>General</c:formatCode>
                <c:ptCount val="81"/>
                <c:pt idx="0">
                  <c:v>2.7046931566100825</c:v>
                </c:pt>
                <c:pt idx="1">
                  <c:v>3.2442726483687081</c:v>
                </c:pt>
                <c:pt idx="2">
                  <c:v>3.7824523592974151</c:v>
                </c:pt>
                <c:pt idx="3">
                  <c:v>4.3184754211052931</c:v>
                </c:pt>
                <c:pt idx="4">
                  <c:v>4.8513626237734231</c:v>
                </c:pt>
                <c:pt idx="5">
                  <c:v>5.3798917729273104</c:v>
                </c:pt>
                <c:pt idx="6">
                  <c:v>5.9025819138653235</c:v>
                </c:pt>
                <c:pt idx="7">
                  <c:v>6.4176838234231131</c:v>
                </c:pt>
                <c:pt idx="8">
                  <c:v>6.9231783198151504</c:v>
                </c:pt>
                <c:pt idx="9">
                  <c:v>7.4167839917508109</c:v>
                </c:pt>
                <c:pt idx="10">
                  <c:v>7.8959758653001719</c:v>
                </c:pt>
                <c:pt idx="11">
                  <c:v>8.3580162754404945</c:v>
                </c:pt>
                <c:pt idx="12">
                  <c:v>8.7999987625636305</c:v>
                </c:pt>
                <c:pt idx="13">
                  <c:v>9.2189051618532591</c:v>
                </c:pt>
                <c:pt idx="14">
                  <c:v>9.6116752090903788</c:v>
                </c:pt>
                <c:pt idx="15">
                  <c:v>9.9752869943226585</c:v>
                </c:pt>
                <c:pt idx="16">
                  <c:v>10.306845532926648</c:v>
                </c:pt>
                <c:pt idx="17">
                  <c:v>10.603675700620581</c:v>
                </c:pt>
                <c:pt idx="18">
                  <c:v>10.863414924519113</c:v>
                </c:pt>
                <c:pt idx="19">
                  <c:v>11.084100469465454</c:v>
                </c:pt>
                <c:pt idx="20">
                  <c:v>11.264246021935136</c:v>
                </c:pt>
                <c:pt idx="21">
                  <c:v>11.402902624713207</c:v>
                </c:pt>
                <c:pt idx="22">
                  <c:v>11.499699864640842</c:v>
                </c:pt>
                <c:pt idx="23">
                  <c:v>11.55486450215365</c:v>
                </c:pt>
                <c:pt idx="24">
                  <c:v>11.569215326889037</c:v>
                </c:pt>
                <c:pt idx="25">
                  <c:v>11.544134750490304</c:v>
                </c:pt>
                <c:pt idx="26">
                  <c:v>11.481519306986137</c:v>
                </c:pt>
                <c:pt idx="27">
                  <c:v>11.383712635984871</c:v>
                </c:pt>
                <c:pt idx="28">
                  <c:v>11.25342552999925</c:v>
                </c:pt>
                <c:pt idx="29">
                  <c:v>11.093648153292815</c:v>
                </c:pt>
                <c:pt idx="30">
                  <c:v>10.907559575059642</c:v>
                </c:pt>
                <c:pt idx="31">
                  <c:v>10.69843935816162</c:v>
                </c:pt>
                <c:pt idx="32">
                  <c:v>10.469585207121726</c:v>
                </c:pt>
                <c:pt idx="33">
                  <c:v>10.224239731691231</c:v>
                </c:pt>
                <c:pt idx="34">
                  <c:v>9.9655283536193764</c:v>
                </c:pt>
                <c:pt idx="35">
                  <c:v>9.6964093869438948</c:v>
                </c:pt>
                <c:pt idx="36">
                  <c:v>9.4196364413428153</c:v>
                </c:pt>
                <c:pt idx="37">
                  <c:v>9.137732586878041</c:v>
                </c:pt>
                <c:pt idx="38">
                  <c:v>8.8529751991481191</c:v>
                </c:pt>
                <c:pt idx="39">
                  <c:v>8.5673900735512358</c:v>
                </c:pt>
                <c:pt idx="40">
                  <c:v>8.2827532352701532</c:v>
                </c:pt>
                <c:pt idx="41">
                  <c:v>8.0005988466995532</c:v>
                </c:pt>
                <c:pt idx="42">
                  <c:v>7.7222316915176075</c:v>
                </c:pt>
                <c:pt idx="43">
                  <c:v>7.4487428607654182</c:v>
                </c:pt>
                <c:pt idx="44">
                  <c:v>7.1810274516468349</c:v>
                </c:pt>
                <c:pt idx="45">
                  <c:v>6.9198032905906031</c:v>
                </c:pt>
                <c:pt idx="46">
                  <c:v>6.6656298908446798</c:v>
                </c:pt>
                <c:pt idx="47">
                  <c:v>6.4189270396223943</c:v>
                </c:pt>
                <c:pt idx="48">
                  <c:v>6.1799925735348946</c:v>
                </c:pt>
                <c:pt idx="49">
                  <c:v>5.9490190404285341</c:v>
                </c:pt>
                <c:pt idx="50">
                  <c:v>5.7261090602674667</c:v>
                </c:pt>
                <c:pt idx="51">
                  <c:v>5.5112892886313842</c:v>
                </c:pt>
                <c:pt idx="52">
                  <c:v>5.304522956118138</c:v>
                </c:pt>
                <c:pt idx="53">
                  <c:v>5.105721008363985</c:v>
                </c:pt>
                <c:pt idx="54">
                  <c:v>4.9147519075548249</c:v>
                </c:pt>
                <c:pt idx="55">
                  <c:v>4.7314501801380491</c:v>
                </c:pt>
                <c:pt idx="56">
                  <c:v>4.5556238095994033</c:v>
                </c:pt>
                <c:pt idx="57">
                  <c:v>4.3870605799494591</c:v>
                </c:pt>
                <c:pt idx="58">
                  <c:v>4.2255334769027844</c:v>
                </c:pt>
                <c:pt idx="59">
                  <c:v>4.0708052512074762</c:v>
                </c:pt>
                <c:pt idx="60">
                  <c:v>3.9226322434477714</c:v>
                </c:pt>
                <c:pt idx="61">
                  <c:v>3.7807675628670778</c:v>
                </c:pt>
                <c:pt idx="62">
                  <c:v>3.6449637050801673</c:v>
                </c:pt>
                <c:pt idx="63">
                  <c:v>3.5149746854994559</c:v>
                </c:pt>
                <c:pt idx="64">
                  <c:v>3.3905577572749723</c:v>
                </c:pt>
                <c:pt idx="65">
                  <c:v>3.2714747748051698</c:v>
                </c:pt>
                <c:pt idx="66">
                  <c:v>3.1574932565840679</c:v>
                </c:pt>
                <c:pt idx="67">
                  <c:v>3.0483871944086252</c:v>
                </c:pt>
                <c:pt idx="68">
                  <c:v>2.9439376498287784</c:v>
                </c:pt>
                <c:pt idx="69">
                  <c:v>2.8439331731920814</c:v>
                </c:pt>
                <c:pt idx="70">
                  <c:v>2.7481700757020509</c:v>
                </c:pt>
                <c:pt idx="71">
                  <c:v>2.6564525805472905</c:v>
                </c:pt>
                <c:pt idx="72">
                  <c:v>2.5685928753245699</c:v>
                </c:pt>
                <c:pt idx="73">
                  <c:v>2.4844110846330931</c:v>
                </c:pt>
                <c:pt idx="74">
                  <c:v>2.4037351788082706</c:v>
                </c:pt>
                <c:pt idx="75">
                  <c:v>2.3264008322495187</c:v>
                </c:pt>
                <c:pt idx="76">
                  <c:v>2.2522512426308574</c:v>
                </c:pt>
                <c:pt idx="77">
                  <c:v>2.1811369204251494</c:v>
                </c:pt>
                <c:pt idx="78">
                  <c:v>2.1129154565844663</c:v>
                </c:pt>
                <c:pt idx="79">
                  <c:v>2.0474512748652085</c:v>
                </c:pt>
                <c:pt idx="80">
                  <c:v>1.9841882035730631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051-4507-8826-BD70CBDF5CCE}"/>
            </c:ext>
          </c:extLst>
        </c:ser>
        <c:ser>
          <c:idx val="3"/>
          <c:order val="3"/>
          <c:tx>
            <c:v>Max CL/CD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'Ashvat Design Coeff'!$H$8</c:f>
              <c:numCache>
                <c:formatCode>General</c:formatCode>
                <c:ptCount val="1"/>
                <c:pt idx="0">
                  <c:v>195</c:v>
                </c:pt>
              </c:numCache>
            </c:numRef>
          </c:xVal>
          <c:yVal>
            <c:numRef>
              <c:f>'Ashvat Design Coeff'!$E$8</c:f>
              <c:numCache>
                <c:formatCode>General</c:formatCode>
                <c:ptCount val="1"/>
                <c:pt idx="0">
                  <c:v>13.267390637269692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2A-4E59-A102-615DAF2CFB17}"/>
            </c:ext>
          </c:extLst>
        </c:ser>
        <c:ser>
          <c:idx val="4"/>
          <c:order val="4"/>
          <c:tx>
            <c:v>Max CL^(1/2)/CD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'Ashvat Design Coeff'!$H$9</c:f>
              <c:numCache>
                <c:formatCode>General</c:formatCode>
                <c:ptCount val="1"/>
                <c:pt idx="0">
                  <c:v>265</c:v>
                </c:pt>
              </c:numCache>
            </c:numRef>
          </c:xVal>
          <c:yVal>
            <c:numRef>
              <c:f>'Ashvat Design Coeff'!$E$9</c:f>
              <c:numCache>
                <c:formatCode>General</c:formatCode>
                <c:ptCount val="1"/>
                <c:pt idx="0">
                  <c:v>20.189583492714913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2A-4E59-A102-615DAF2CFB17}"/>
            </c:ext>
          </c:extLst>
        </c:ser>
        <c:ser>
          <c:idx val="5"/>
          <c:order val="5"/>
          <c:tx>
            <c:v>Max CL^(3/2)/CD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'Ashvat Design Coeff'!$H$10</c:f>
              <c:numCache>
                <c:formatCode>General</c:formatCode>
                <c:ptCount val="1"/>
                <c:pt idx="0">
                  <c:v>145</c:v>
                </c:pt>
              </c:numCache>
            </c:numRef>
          </c:xVal>
          <c:yVal>
            <c:numRef>
              <c:f>'Ashvat Design Coeff'!$E$10</c:f>
              <c:numCache>
                <c:formatCode>General</c:formatCode>
                <c:ptCount val="1"/>
                <c:pt idx="0">
                  <c:v>11.569215326889037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2A-4E59-A102-615DAF2CF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307167"/>
        <c:axId val="1034321727"/>
      </c:scatterChart>
      <c:valAx>
        <c:axId val="1034307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KCAS</a:t>
                </a:r>
              </a:p>
            </c:rich>
          </c:tx>
          <c:layout>
            <c:manualLayout>
              <c:xMode val="edge"/>
              <c:yMode val="edge"/>
              <c:x val="0.50059594334823143"/>
              <c:y val="0.81712472966089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321727"/>
        <c:crosses val="autoZero"/>
        <c:crossBetween val="midCat"/>
      </c:valAx>
      <c:valAx>
        <c:axId val="10343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Coefficient Magnitude</a:t>
                </a:r>
              </a:p>
            </c:rich>
          </c:tx>
          <c:layout>
            <c:manualLayout>
              <c:xMode val="edge"/>
              <c:yMode val="edge"/>
              <c:x val="2.9612182420684419E-2"/>
              <c:y val="0.26766441627629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307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cl/cd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'Ashvat Ferry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Ferry Coeff'!$V$25:$V$104</c:f>
              <c:numCache>
                <c:formatCode>General</c:formatCode>
                <c:ptCount val="80"/>
                <c:pt idx="0">
                  <c:v>0.58625846961254058</c:v>
                </c:pt>
                <c:pt idx="1">
                  <c:v>0.84354440010771881</c:v>
                </c:pt>
                <c:pt idx="2">
                  <c:v>1.1467788556128562</c:v>
                </c:pt>
                <c:pt idx="3">
                  <c:v>1.4952366406197262</c:v>
                </c:pt>
                <c:pt idx="4">
                  <c:v>1.8878594685863106</c:v>
                </c:pt>
                <c:pt idx="5">
                  <c:v>2.3231758909369611</c:v>
                </c:pt>
                <c:pt idx="6">
                  <c:v>2.7992207117367607</c:v>
                </c:pt>
                <c:pt idx="7">
                  <c:v>3.3134586740079515</c:v>
                </c:pt>
                <c:pt idx="8">
                  <c:v>3.8627181678511704</c:v>
                </c:pt>
                <c:pt idx="9">
                  <c:v>4.4431414771330688</c:v>
                </c:pt>
                <c:pt idx="10">
                  <c:v>5.0501584613242558</c:v>
                </c:pt>
                <c:pt idx="11">
                  <c:v>5.6784903615434281</c:v>
                </c:pt>
                <c:pt idx="12">
                  <c:v>6.3221894475405005</c:v>
                </c:pt>
                <c:pt idx="13">
                  <c:v>6.9747183758255789</c:v>
                </c:pt>
                <c:pt idx="14">
                  <c:v>7.6290704152535751</c:v>
                </c:pt>
                <c:pt idx="15">
                  <c:v>8.2779282761400808</c:v>
                </c:pt>
                <c:pt idx="16">
                  <c:v>8.9138554812789312</c:v>
                </c:pt>
                <c:pt idx="17">
                  <c:v>9.5295105144464962</c:v>
                </c:pt>
                <c:pt idx="18">
                  <c:v>10.117870923246963</c:v>
                </c:pt>
                <c:pt idx="19">
                  <c:v>10.672452662880184</c:v>
                </c:pt>
                <c:pt idx="20">
                  <c:v>11.187509630715779</c:v>
                </c:pt>
                <c:pt idx="21">
                  <c:v>11.658199707449384</c:v>
                </c:pt>
                <c:pt idx="22">
                  <c:v>12.080706552685321</c:v>
                </c:pt>
                <c:pt idx="23">
                  <c:v>12.452310495798606</c:v>
                </c:pt>
                <c:pt idx="24">
                  <c:v>12.771406523456927</c:v>
                </c:pt>
                <c:pt idx="25">
                  <c:v>13.037471934728359</c:v>
                </c:pt>
                <c:pt idx="26">
                  <c:v>13.250990120950313</c:v>
                </c:pt>
                <c:pt idx="27">
                  <c:v>13.413339708976771</c:v>
                </c:pt>
                <c:pt idx="28">
                  <c:v>13.52665978719515</c:v>
                </c:pt>
                <c:pt idx="29">
                  <c:v>13.593702142329695</c:v>
                </c:pt>
                <c:pt idx="30">
                  <c:v>13.617680577779765</c:v>
                </c:pt>
                <c:pt idx="31">
                  <c:v>13.602125773042214</c:v>
                </c:pt>
                <c:pt idx="32">
                  <c:v>13.550752121287626</c:v>
                </c:pt>
                <c:pt idx="33">
                  <c:v>13.467340860408031</c:v>
                </c:pt>
                <c:pt idx="34">
                  <c:v>13.355641834558382</c:v>
                </c:pt>
                <c:pt idx="35">
                  <c:v>13.219294546572192</c:v>
                </c:pt>
                <c:pt idx="36">
                  <c:v>13.061767863847411</c:v>
                </c:pt>
                <c:pt idx="37">
                  <c:v>12.886316832820945</c:v>
                </c:pt>
                <c:pt idx="38">
                  <c:v>12.695954505763709</c:v>
                </c:pt>
                <c:pt idx="39">
                  <c:v>12.493436428139088</c:v>
                </c:pt>
                <c:pt idx="40">
                  <c:v>12.281255405209373</c:v>
                </c:pt>
                <c:pt idx="41">
                  <c:v>12.061644294710755</c:v>
                </c:pt>
                <c:pt idx="42">
                  <c:v>11.836584798647102</c:v>
                </c:pt>
                <c:pt idx="43">
                  <c:v>11.607820503792103</c:v>
                </c:pt>
                <c:pt idx="44">
                  <c:v>11.376872711860871</c:v>
                </c:pt>
                <c:pt idx="45">
                  <c:v>11.145057882245219</c:v>
                </c:pt>
                <c:pt idx="46">
                  <c:v>10.913505767708696</c:v>
                </c:pt>
                <c:pt idx="47">
                  <c:v>10.683177548647084</c:v>
                </c:pt>
                <c:pt idx="48">
                  <c:v>10.454883461707654</c:v>
                </c:pt>
                <c:pt idx="49">
                  <c:v>10.229299574388973</c:v>
                </c:pt>
                <c:pt idx="50">
                  <c:v>10.006983481452833</c:v>
                </c:pt>
                <c:pt idx="51">
                  <c:v>9.7883887953752264</c:v>
                </c:pt>
                <c:pt idx="52">
                  <c:v>9.5738783758243464</c:v>
                </c:pt>
                <c:pt idx="53">
                  <c:v>9.3637362964181605</c:v>
                </c:pt>
                <c:pt idx="54">
                  <c:v>9.1581785845727239</c:v>
                </c:pt>
                <c:pt idx="55">
                  <c:v>8.9573627954625259</c:v>
                </c:pt>
                <c:pt idx="56">
                  <c:v>8.7613964968183513</c:v>
                </c:pt>
                <c:pt idx="57">
                  <c:v>8.5703447498467042</c:v>
                </c:pt>
                <c:pt idx="58">
                  <c:v>8.3842366748713566</c:v>
                </c:pt>
                <c:pt idx="59">
                  <c:v>8.2030711898836177</c:v>
                </c:pt>
                <c:pt idx="60">
                  <c:v>8.0268220072183922</c:v>
                </c:pt>
                <c:pt idx="61">
                  <c:v>7.8554419689406929</c:v>
                </c:pt>
                <c:pt idx="62">
                  <c:v>7.6888667959064936</c:v>
                </c:pt>
                <c:pt idx="63">
                  <c:v>7.5270183193414626</c:v>
                </c:pt>
                <c:pt idx="64">
                  <c:v>7.3698072575128242</c:v>
                </c:pt>
                <c:pt idx="65">
                  <c:v>7.2171355938994761</c:v>
                </c:pt>
                <c:pt idx="66">
                  <c:v>7.068898607352506</c:v>
                </c:pt>
                <c:pt idx="67">
                  <c:v>6.9249865991861146</c:v>
                </c:pt>
                <c:pt idx="68">
                  <c:v>6.7852863570028115</c:v>
                </c:pt>
                <c:pt idx="69">
                  <c:v>6.6496823903641573</c:v>
                </c:pt>
                <c:pt idx="70">
                  <c:v>6.5180579691668719</c:v>
                </c:pt>
                <c:pt idx="71">
                  <c:v>6.3902959917677462</c:v>
                </c:pt>
                <c:pt idx="72">
                  <c:v>6.266279706490975</c:v>
                </c:pt>
                <c:pt idx="73">
                  <c:v>6.1458933071258715</c:v>
                </c:pt>
                <c:pt idx="74">
                  <c:v>6.0290224203456448</c:v>
                </c:pt>
                <c:pt idx="75">
                  <c:v>5.9155545006209378</c:v>
                </c:pt>
                <c:pt idx="76">
                  <c:v>5.8053791461319513</c:v>
                </c:pt>
                <c:pt idx="77">
                  <c:v>5.6983883473697405</c:v>
                </c:pt>
                <c:pt idx="78">
                  <c:v>5.5944766785339022</c:v>
                </c:pt>
                <c:pt idx="79">
                  <c:v>5.493541440452363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A68-A28B-22A74ADFC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74879"/>
        <c:axId val="601376543"/>
      </c:scatterChart>
      <c:valAx>
        <c:axId val="601374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76543"/>
        <c:crosses val="autoZero"/>
        <c:crossBetween val="midCat"/>
      </c:valAx>
      <c:valAx>
        <c:axId val="60137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74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1/2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'Ashvat Ferry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Ferry Coeff'!$AX$25:$AX$104</c:f>
              <c:numCache>
                <c:formatCode>General</c:formatCode>
                <c:ptCount val="80"/>
                <c:pt idx="0">
                  <c:v>0.11284429662171537</c:v>
                </c:pt>
                <c:pt idx="1">
                  <c:v>0.194825384154002</c:v>
                </c:pt>
                <c:pt idx="2">
                  <c:v>0.30897529172554233</c:v>
                </c:pt>
                <c:pt idx="3">
                  <c:v>0.4603620158761072</c:v>
                </c:pt>
                <c:pt idx="4">
                  <c:v>0.65382139474493084</c:v>
                </c:pt>
                <c:pt idx="5">
                  <c:v>0.89386167788838222</c:v>
                </c:pt>
                <c:pt idx="6">
                  <c:v>1.1845495378956241</c:v>
                </c:pt>
                <c:pt idx="7">
                  <c:v>1.529379644018527</c:v>
                </c:pt>
                <c:pt idx="8">
                  <c:v>1.9311318763477898</c:v>
                </c:pt>
                <c:pt idx="9">
                  <c:v>2.3917224400985422</c:v>
                </c:pt>
                <c:pt idx="10">
                  <c:v>2.9120573565956636</c:v>
                </c:pt>
                <c:pt idx="11">
                  <c:v>3.491898787170868</c:v>
                </c:pt>
                <c:pt idx="12">
                  <c:v>4.1297560460532843</c:v>
                </c:pt>
                <c:pt idx="13">
                  <c:v>4.8228136092759621</c:v>
                </c:pt>
                <c:pt idx="14">
                  <c:v>5.5669075996166315</c:v>
                </c:pt>
                <c:pt idx="15">
                  <c:v>6.3565599166115394</c:v>
                </c:pt>
                <c:pt idx="16">
                  <c:v>7.1850753845908786</c:v>
                </c:pt>
                <c:pt idx="17">
                  <c:v>8.044702270401082</c:v>
                </c:pt>
                <c:pt idx="18">
                  <c:v>8.926850803116178</c:v>
                </c:pt>
                <c:pt idx="19">
                  <c:v>9.8223586455325815</c:v>
                </c:pt>
                <c:pt idx="20">
                  <c:v>10.7217874418353</c:v>
                </c:pt>
                <c:pt idx="21">
                  <c:v>11.615731341597774</c:v>
                </c:pt>
                <c:pt idx="22">
                  <c:v>12.495117285176056</c:v>
                </c:pt>
                <c:pt idx="23">
                  <c:v>13.351477988541617</c:v>
                </c:pt>
                <c:pt idx="24">
                  <c:v>14.177181763897135</c:v>
                </c:pt>
                <c:pt idx="25">
                  <c:v>14.965608008177705</c:v>
                </c:pt>
                <c:pt idx="26">
                  <c:v>15.711262639484442</c:v>
                </c:pt>
                <c:pt idx="27">
                  <c:v>16.409833178699021</c:v>
                </c:pt>
                <c:pt idx="28">
                  <c:v>17.058187887841612</c:v>
                </c:pt>
                <c:pt idx="29">
                  <c:v>17.654326928479882</c:v>
                </c:pt>
                <c:pt idx="30">
                  <c:v>18.197295685456751</c:v>
                </c:pt>
                <c:pt idx="31">
                  <c:v>18.687071239784618</c:v>
                </c:pt>
                <c:pt idx="32">
                  <c:v>19.124432671245888</c:v>
                </c:pt>
                <c:pt idx="33">
                  <c:v>19.510824726582527</c:v>
                </c:pt>
                <c:pt idx="34">
                  <c:v>19.848222730608299</c:v>
                </c:pt>
                <c:pt idx="35">
                  <c:v>20.139004744151588</c:v>
                </c:pt>
                <c:pt idx="36">
                  <c:v>20.385835121836767</c:v>
                </c:pt>
                <c:pt idx="37">
                  <c:v>20.591561957701668</c:v>
                </c:pt>
                <c:pt idx="38">
                  <c:v>20.75912951995247</c:v>
                </c:pt>
                <c:pt idx="39">
                  <c:v>20.891505701769603</c:v>
                </c:pt>
                <c:pt idx="40">
                  <c:v>20.991623744718158</c:v>
                </c:pt>
                <c:pt idx="41">
                  <c:v>21.062336990361626</c:v>
                </c:pt>
                <c:pt idx="42">
                  <c:v>21.106385136460155</c:v>
                </c:pt>
                <c:pt idx="43">
                  <c:v>21.126370365770761</c:v>
                </c:pt>
                <c:pt idx="44">
                  <c:v>21.124741730227996</c:v>
                </c:pt>
                <c:pt idx="45">
                  <c:v>21.103786270095451</c:v>
                </c:pt>
                <c:pt idx="46">
                  <c:v>21.065625493484845</c:v>
                </c:pt>
                <c:pt idx="47">
                  <c:v>21.012216011373347</c:v>
                </c:pt>
                <c:pt idx="48">
                  <c:v>20.945353298984365</c:v>
                </c:pt>
                <c:pt idx="49">
                  <c:v>20.866677724140544</c:v>
                </c:pt>
                <c:pt idx="50">
                  <c:v>20.777682139607595</c:v>
                </c:pt>
                <c:pt idx="51">
                  <c:v>20.679720475639165</c:v>
                </c:pt>
                <c:pt idx="52">
                  <c:v>20.574016889453624</c:v>
                </c:pt>
                <c:pt idx="53">
                  <c:v>20.461675130406451</c:v>
                </c:pt>
                <c:pt idx="54">
                  <c:v>20.343687864337149</c:v>
                </c:pt>
                <c:pt idx="55">
                  <c:v>20.220945769699039</c:v>
                </c:pt>
                <c:pt idx="56">
                  <c:v>20.094246273582364</c:v>
                </c:pt>
                <c:pt idx="57">
                  <c:v>19.964301839605206</c:v>
                </c:pt>
                <c:pt idx="58">
                  <c:v>19.831747753756559</c:v>
                </c:pt>
                <c:pt idx="59">
                  <c:v>19.69714938034728</c:v>
                </c:pt>
                <c:pt idx="60">
                  <c:v>19.561008879764508</c:v>
                </c:pt>
                <c:pt idx="61">
                  <c:v>19.423771394028194</c:v>
                </c:pt>
                <c:pt idx="62">
                  <c:v>19.285830716309412</c:v>
                </c:pt>
                <c:pt idx="63">
                  <c:v>19.147534467493188</c:v>
                </c:pt>
                <c:pt idx="64">
                  <c:v>19.009188807295597</c:v>
                </c:pt>
                <c:pt idx="65">
                  <c:v>18.871062709976645</c:v>
                </c:pt>
                <c:pt idx="66">
                  <c:v>18.7333918358045</c:v>
                </c:pt>
                <c:pt idx="67">
                  <c:v>18.596382029503363</c:v>
                </c:pt>
                <c:pt idx="68">
                  <c:v>18.460212476252646</c:v>
                </c:pt>
                <c:pt idx="69">
                  <c:v>18.325038544631198</c:v>
                </c:pt>
                <c:pt idx="70">
                  <c:v>18.190994344389328</c:v>
                </c:pt>
                <c:pt idx="71">
                  <c:v>18.058195025221636</c:v>
                </c:pt>
                <c:pt idx="72">
                  <c:v>17.926738840899212</c:v>
                </c:pt>
                <c:pt idx="73">
                  <c:v>17.796709001278874</c:v>
                </c:pt>
                <c:pt idx="74">
                  <c:v>17.668175332886261</c:v>
                </c:pt>
                <c:pt idx="75">
                  <c:v>17.541195767009437</c:v>
                </c:pt>
                <c:pt idx="76">
                  <c:v>17.415817672562376</c:v>
                </c:pt>
                <c:pt idx="77">
                  <c:v>17.292079049397721</c:v>
                </c:pt>
                <c:pt idx="78">
                  <c:v>17.17000959627525</c:v>
                </c:pt>
                <c:pt idx="79">
                  <c:v>17.049631666327905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D5-4DE9-B36C-4AAE1AE96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576351"/>
        <c:axId val="668577599"/>
      </c:scatterChart>
      <c:valAx>
        <c:axId val="66857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77599"/>
        <c:crosses val="autoZero"/>
        <c:crossBetween val="midCat"/>
      </c:valAx>
      <c:valAx>
        <c:axId val="6685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7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3/2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'Ashvat Ferry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Ferry Coeff'!$AY$25:$AY$104</c:f>
              <c:numCache>
                <c:formatCode>General</c:formatCode>
                <c:ptCount val="80"/>
                <c:pt idx="0">
                  <c:v>3.0457808102132997</c:v>
                </c:pt>
                <c:pt idx="1">
                  <c:v>3.6523328725512707</c:v>
                </c:pt>
                <c:pt idx="2">
                  <c:v>4.2563330431253865</c:v>
                </c:pt>
                <c:pt idx="3">
                  <c:v>4.8564662903323557</c:v>
                </c:pt>
                <c:pt idx="4">
                  <c:v>5.451050396601631</c:v>
                </c:pt>
                <c:pt idx="5">
                  <c:v>6.0380105263945456</c:v>
                </c:pt>
                <c:pt idx="6">
                  <c:v>6.6148661093027989</c:v>
                </c:pt>
                <c:pt idx="7">
                  <c:v>7.1787331728246349</c:v>
                </c:pt>
                <c:pt idx="8">
                  <c:v>7.7263452729420719</c:v>
                </c:pt>
                <c:pt idx="9">
                  <c:v>8.2540958159872648</c:v>
                </c:pt>
                <c:pt idx="10">
                  <c:v>8.7581037601197913</c:v>
                </c:pt>
                <c:pt idx="11">
                  <c:v>9.2343033837663633</c:v>
                </c:pt>
                <c:pt idx="12">
                  <c:v>9.6785570297284202</c:v>
                </c:pt>
                <c:pt idx="13">
                  <c:v>10.086787581530073</c:v>
                </c:pt>
                <c:pt idx="14">
                  <c:v>10.455125104807834</c:v>
                </c:pt>
                <c:pt idx="15">
                  <c:v>10.780059882051312</c:v>
                </c:pt>
                <c:pt idx="16">
                  <c:v>11.058592330364361</c:v>
                </c:pt>
                <c:pt idx="17">
                  <c:v>11.288369363160875</c:v>
                </c:pt>
                <c:pt idx="18">
                  <c:v>11.467796905908932</c:v>
                </c:pt>
                <c:pt idx="19">
                  <c:v>11.596119623795557</c:v>
                </c:pt>
                <c:pt idx="20">
                  <c:v>11.673461390308445</c:v>
                </c:pt>
                <c:pt idx="21">
                  <c:v>11.700823342224238</c:v>
                </c:pt>
                <c:pt idx="22">
                  <c:v>11.680040089358611</c:v>
                </c:pt>
                <c:pt idx="23">
                  <c:v>11.613698259986672</c:v>
                </c:pt>
                <c:pt idx="24">
                  <c:v>11.505024574260766</c:v>
                </c:pt>
                <c:pt idx="25">
                  <c:v>11.357752679072529</c:v>
                </c:pt>
                <c:pt idx="26">
                  <c:v>11.175978863993112</c:v>
                </c:pt>
                <c:pt idx="27">
                  <c:v>10.964016525284201</c:v>
                </c:pt>
                <c:pt idx="28">
                  <c:v>10.726258041098047</c:v>
                </c:pt>
                <c:pt idx="29">
                  <c:v>10.467050864243291</c:v>
                </c:pt>
                <c:pt idx="30">
                  <c:v>10.190592466255552</c:v>
                </c:pt>
                <c:pt idx="31">
                  <c:v>9.900846589151854</c:v>
                </c:pt>
                <c:pt idx="32">
                  <c:v>9.6014813202099933</c:v>
                </c:pt>
                <c:pt idx="33">
                  <c:v>9.2958279515119173</c:v>
                </c:pt>
                <c:pt idx="34">
                  <c:v>8.9868584826959612</c:v>
                </c:pt>
                <c:pt idx="35">
                  <c:v>8.6771789633636693</c:v>
                </c:pt>
                <c:pt idx="36">
                  <c:v>8.3690355930664939</c:v>
                </c:pt>
                <c:pt idx="37">
                  <c:v>8.0643305183430076</c:v>
                </c:pt>
                <c:pt idx="38">
                  <c:v>7.7646444980989191</c:v>
                </c:pt>
                <c:pt idx="39">
                  <c:v>7.4712639678590307</c:v>
                </c:pt>
                <c:pt idx="40">
                  <c:v>7.18521045166578</c:v>
                </c:pt>
                <c:pt idx="41">
                  <c:v>6.9072706964428185</c:v>
                </c:pt>
                <c:pt idx="42">
                  <c:v>6.6380263029285942</c:v>
                </c:pt>
                <c:pt idx="43">
                  <c:v>6.377881979507773</c:v>
                </c:pt>
                <c:pt idx="44">
                  <c:v>6.1270918411596389</c:v>
                </c:pt>
                <c:pt idx="45">
                  <c:v>5.8857834138800014</c:v>
                </c:pt>
                <c:pt idx="46">
                  <c:v>5.6539791889230875</c:v>
                </c:pt>
                <c:pt idx="47">
                  <c:v>5.431615707459958</c:v>
                </c:pt>
                <c:pt idx="48">
                  <c:v>5.2185602523681629</c:v>
                </c:pt>
                <c:pt idx="49">
                  <c:v>5.0146252875482249</c:v>
                </c:pt>
                <c:pt idx="50">
                  <c:v>4.8195808235596163</c:v>
                </c:pt>
                <c:pt idx="51">
                  <c:v>4.6331649077314685</c:v>
                </c:pt>
                <c:pt idx="52">
                  <c:v>4.4550924424516296</c:v>
                </c:pt>
                <c:pt idx="53">
                  <c:v>4.2850625312961474</c:v>
                </c:pt>
                <c:pt idx="54">
                  <c:v>4.1227645423107386</c:v>
                </c:pt>
                <c:pt idx="55">
                  <c:v>3.9678830635986824</c:v>
                </c:pt>
                <c:pt idx="56">
                  <c:v>3.8201019102358149</c:v>
                </c:pt>
                <c:pt idx="57">
                  <c:v>3.6791073247306438</c:v>
                </c:pt>
                <c:pt idx="58">
                  <c:v>3.544590496666761</c:v>
                </c:pt>
                <c:pt idx="59">
                  <c:v>3.4162495113855011</c:v>
                </c:pt>
                <c:pt idx="60">
                  <c:v>3.2937908229374102</c:v>
                </c:pt>
                <c:pt idx="61">
                  <c:v>3.1769303332290479</c:v>
                </c:pt>
                <c:pt idx="62">
                  <c:v>3.06539414738296</c:v>
                </c:pt>
                <c:pt idx="63">
                  <c:v>2.9589190647958885</c:v>
                </c:pt>
                <c:pt idx="64">
                  <c:v>2.857252856157825</c:v>
                </c:pt>
                <c:pt idx="65">
                  <c:v>2.7601543686881858</c:v>
                </c:pt>
                <c:pt idx="66">
                  <c:v>2.667393494942305</c:v>
                </c:pt>
                <c:pt idx="67">
                  <c:v>2.5787510346273503</c:v>
                </c:pt>
                <c:pt idx="68">
                  <c:v>2.4940184738260638</c:v>
                </c:pt>
                <c:pt idx="69">
                  <c:v>2.4129977017523969</c:v>
                </c:pt>
                <c:pt idx="70">
                  <c:v>2.3355006815514443</c:v>
                </c:pt>
                <c:pt idx="71">
                  <c:v>2.2613490886197658</c:v>
                </c:pt>
                <c:pt idx="72">
                  <c:v>2.1903739273757958</c:v>
                </c:pt>
                <c:pt idx="73">
                  <c:v>2.1224151352848599</c:v>
                </c:pt>
                <c:pt idx="74">
                  <c:v>2.0573211811732963</c:v>
                </c:pt>
                <c:pt idx="75">
                  <c:v>1.9949486633990545</c:v>
                </c:pt>
                <c:pt idx="76">
                  <c:v>1.9351619122333823</c:v>
                </c:pt>
                <c:pt idx="77">
                  <c:v>1.8778325998093459</c:v>
                </c:pt>
                <c:pt idx="78">
                  <c:v>1.8228393601742277</c:v>
                </c:pt>
                <c:pt idx="79">
                  <c:v>1.7700674213138168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03D-AC26-C92946888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555551"/>
        <c:axId val="668567199"/>
      </c:scatterChart>
      <c:valAx>
        <c:axId val="66855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7199"/>
        <c:crosses val="autoZero"/>
        <c:crossBetween val="midCat"/>
      </c:valAx>
      <c:valAx>
        <c:axId val="66856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5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38390099412848"/>
          <c:y val="7.5948011604761945E-2"/>
          <c:w val="0.84216129320958988"/>
          <c:h val="0.66350371719014634"/>
        </c:manualLayout>
      </c:layout>
      <c:scatterChart>
        <c:scatterStyle val="smoothMarker"/>
        <c:varyColors val="0"/>
        <c:ser>
          <c:idx val="0"/>
          <c:order val="0"/>
          <c:tx>
            <c:v>CL/CD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'Ashvat Ferry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Ferry Coeff'!$V$25:$V$104</c:f>
              <c:numCache>
                <c:formatCode>General</c:formatCode>
                <c:ptCount val="80"/>
                <c:pt idx="0">
                  <c:v>0.58625846961254058</c:v>
                </c:pt>
                <c:pt idx="1">
                  <c:v>0.84354440010771881</c:v>
                </c:pt>
                <c:pt idx="2">
                  <c:v>1.1467788556128562</c:v>
                </c:pt>
                <c:pt idx="3">
                  <c:v>1.4952366406197262</c:v>
                </c:pt>
                <c:pt idx="4">
                  <c:v>1.8878594685863106</c:v>
                </c:pt>
                <c:pt idx="5">
                  <c:v>2.3231758909369611</c:v>
                </c:pt>
                <c:pt idx="6">
                  <c:v>2.7992207117367607</c:v>
                </c:pt>
                <c:pt idx="7">
                  <c:v>3.3134586740079515</c:v>
                </c:pt>
                <c:pt idx="8">
                  <c:v>3.8627181678511704</c:v>
                </c:pt>
                <c:pt idx="9">
                  <c:v>4.4431414771330688</c:v>
                </c:pt>
                <c:pt idx="10">
                  <c:v>5.0501584613242558</c:v>
                </c:pt>
                <c:pt idx="11">
                  <c:v>5.6784903615434281</c:v>
                </c:pt>
                <c:pt idx="12">
                  <c:v>6.3221894475405005</c:v>
                </c:pt>
                <c:pt idx="13">
                  <c:v>6.9747183758255789</c:v>
                </c:pt>
                <c:pt idx="14">
                  <c:v>7.6290704152535751</c:v>
                </c:pt>
                <c:pt idx="15">
                  <c:v>8.2779282761400808</c:v>
                </c:pt>
                <c:pt idx="16">
                  <c:v>8.9138554812789312</c:v>
                </c:pt>
                <c:pt idx="17">
                  <c:v>9.5295105144464962</c:v>
                </c:pt>
                <c:pt idx="18">
                  <c:v>10.117870923246963</c:v>
                </c:pt>
                <c:pt idx="19">
                  <c:v>10.672452662880184</c:v>
                </c:pt>
                <c:pt idx="20">
                  <c:v>11.187509630715779</c:v>
                </c:pt>
                <c:pt idx="21">
                  <c:v>11.658199707449384</c:v>
                </c:pt>
                <c:pt idx="22">
                  <c:v>12.080706552685321</c:v>
                </c:pt>
                <c:pt idx="23">
                  <c:v>12.452310495798606</c:v>
                </c:pt>
                <c:pt idx="24">
                  <c:v>12.771406523456927</c:v>
                </c:pt>
                <c:pt idx="25">
                  <c:v>13.037471934728359</c:v>
                </c:pt>
                <c:pt idx="26">
                  <c:v>13.250990120950313</c:v>
                </c:pt>
                <c:pt idx="27">
                  <c:v>13.413339708976771</c:v>
                </c:pt>
                <c:pt idx="28">
                  <c:v>13.52665978719515</c:v>
                </c:pt>
                <c:pt idx="29">
                  <c:v>13.593702142329695</c:v>
                </c:pt>
                <c:pt idx="30">
                  <c:v>13.617680577779765</c:v>
                </c:pt>
                <c:pt idx="31">
                  <c:v>13.602125773042214</c:v>
                </c:pt>
                <c:pt idx="32">
                  <c:v>13.550752121287626</c:v>
                </c:pt>
                <c:pt idx="33">
                  <c:v>13.467340860408031</c:v>
                </c:pt>
                <c:pt idx="34">
                  <c:v>13.355641834558382</c:v>
                </c:pt>
                <c:pt idx="35">
                  <c:v>13.219294546572192</c:v>
                </c:pt>
                <c:pt idx="36">
                  <c:v>13.061767863847411</c:v>
                </c:pt>
                <c:pt idx="37">
                  <c:v>12.886316832820945</c:v>
                </c:pt>
                <c:pt idx="38">
                  <c:v>12.695954505763709</c:v>
                </c:pt>
                <c:pt idx="39">
                  <c:v>12.493436428139088</c:v>
                </c:pt>
                <c:pt idx="40">
                  <c:v>12.281255405209373</c:v>
                </c:pt>
                <c:pt idx="41">
                  <c:v>12.061644294710755</c:v>
                </c:pt>
                <c:pt idx="42">
                  <c:v>11.836584798647102</c:v>
                </c:pt>
                <c:pt idx="43">
                  <c:v>11.607820503792103</c:v>
                </c:pt>
                <c:pt idx="44">
                  <c:v>11.376872711860871</c:v>
                </c:pt>
                <c:pt idx="45">
                  <c:v>11.145057882245219</c:v>
                </c:pt>
                <c:pt idx="46">
                  <c:v>10.913505767708696</c:v>
                </c:pt>
                <c:pt idx="47">
                  <c:v>10.683177548647084</c:v>
                </c:pt>
                <c:pt idx="48">
                  <c:v>10.454883461707654</c:v>
                </c:pt>
                <c:pt idx="49">
                  <c:v>10.229299574388973</c:v>
                </c:pt>
                <c:pt idx="50">
                  <c:v>10.006983481452833</c:v>
                </c:pt>
                <c:pt idx="51">
                  <c:v>9.7883887953752264</c:v>
                </c:pt>
                <c:pt idx="52">
                  <c:v>9.5738783758243464</c:v>
                </c:pt>
                <c:pt idx="53">
                  <c:v>9.3637362964181605</c:v>
                </c:pt>
                <c:pt idx="54">
                  <c:v>9.1581785845727239</c:v>
                </c:pt>
                <c:pt idx="55">
                  <c:v>8.9573627954625259</c:v>
                </c:pt>
                <c:pt idx="56">
                  <c:v>8.7613964968183513</c:v>
                </c:pt>
                <c:pt idx="57">
                  <c:v>8.5703447498467042</c:v>
                </c:pt>
                <c:pt idx="58">
                  <c:v>8.3842366748713566</c:v>
                </c:pt>
                <c:pt idx="59">
                  <c:v>8.2030711898836177</c:v>
                </c:pt>
                <c:pt idx="60">
                  <c:v>8.0268220072183922</c:v>
                </c:pt>
                <c:pt idx="61">
                  <c:v>7.8554419689406929</c:v>
                </c:pt>
                <c:pt idx="62">
                  <c:v>7.6888667959064936</c:v>
                </c:pt>
                <c:pt idx="63">
                  <c:v>7.5270183193414626</c:v>
                </c:pt>
                <c:pt idx="64">
                  <c:v>7.3698072575128242</c:v>
                </c:pt>
                <c:pt idx="65">
                  <c:v>7.2171355938994761</c:v>
                </c:pt>
                <c:pt idx="66">
                  <c:v>7.068898607352506</c:v>
                </c:pt>
                <c:pt idx="67">
                  <c:v>6.9249865991861146</c:v>
                </c:pt>
                <c:pt idx="68">
                  <c:v>6.7852863570028115</c:v>
                </c:pt>
                <c:pt idx="69">
                  <c:v>6.6496823903641573</c:v>
                </c:pt>
                <c:pt idx="70">
                  <c:v>6.5180579691668719</c:v>
                </c:pt>
                <c:pt idx="71">
                  <c:v>6.3902959917677462</c:v>
                </c:pt>
                <c:pt idx="72">
                  <c:v>6.266279706490975</c:v>
                </c:pt>
                <c:pt idx="73">
                  <c:v>6.1458933071258715</c:v>
                </c:pt>
                <c:pt idx="74">
                  <c:v>6.0290224203456448</c:v>
                </c:pt>
                <c:pt idx="75">
                  <c:v>5.9155545006209378</c:v>
                </c:pt>
                <c:pt idx="76">
                  <c:v>5.8053791461319513</c:v>
                </c:pt>
                <c:pt idx="77">
                  <c:v>5.6983883473697405</c:v>
                </c:pt>
                <c:pt idx="78">
                  <c:v>5.5944766785339022</c:v>
                </c:pt>
                <c:pt idx="79">
                  <c:v>5.493541440452363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99-4CA9-9880-EC6611AAF298}"/>
            </c:ext>
          </c:extLst>
        </c:ser>
        <c:ser>
          <c:idx val="1"/>
          <c:order val="1"/>
          <c:tx>
            <c:v>CL^(1/2)/CD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'Ashvat Ferry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Ferry Coeff'!$AX$25:$AX$104</c:f>
              <c:numCache>
                <c:formatCode>General</c:formatCode>
                <c:ptCount val="80"/>
                <c:pt idx="0">
                  <c:v>0.11284429662171537</c:v>
                </c:pt>
                <c:pt idx="1">
                  <c:v>0.194825384154002</c:v>
                </c:pt>
                <c:pt idx="2">
                  <c:v>0.30897529172554233</c:v>
                </c:pt>
                <c:pt idx="3">
                  <c:v>0.4603620158761072</c:v>
                </c:pt>
                <c:pt idx="4">
                  <c:v>0.65382139474493084</c:v>
                </c:pt>
                <c:pt idx="5">
                  <c:v>0.89386167788838222</c:v>
                </c:pt>
                <c:pt idx="6">
                  <c:v>1.1845495378956241</c:v>
                </c:pt>
                <c:pt idx="7">
                  <c:v>1.529379644018527</c:v>
                </c:pt>
                <c:pt idx="8">
                  <c:v>1.9311318763477898</c:v>
                </c:pt>
                <c:pt idx="9">
                  <c:v>2.3917224400985422</c:v>
                </c:pt>
                <c:pt idx="10">
                  <c:v>2.9120573565956636</c:v>
                </c:pt>
                <c:pt idx="11">
                  <c:v>3.491898787170868</c:v>
                </c:pt>
                <c:pt idx="12">
                  <c:v>4.1297560460532843</c:v>
                </c:pt>
                <c:pt idx="13">
                  <c:v>4.8228136092759621</c:v>
                </c:pt>
                <c:pt idx="14">
                  <c:v>5.5669075996166315</c:v>
                </c:pt>
                <c:pt idx="15">
                  <c:v>6.3565599166115394</c:v>
                </c:pt>
                <c:pt idx="16">
                  <c:v>7.1850753845908786</c:v>
                </c:pt>
                <c:pt idx="17">
                  <c:v>8.044702270401082</c:v>
                </c:pt>
                <c:pt idx="18">
                  <c:v>8.926850803116178</c:v>
                </c:pt>
                <c:pt idx="19">
                  <c:v>9.8223586455325815</c:v>
                </c:pt>
                <c:pt idx="20">
                  <c:v>10.7217874418353</c:v>
                </c:pt>
                <c:pt idx="21">
                  <c:v>11.615731341597774</c:v>
                </c:pt>
                <c:pt idx="22">
                  <c:v>12.495117285176056</c:v>
                </c:pt>
                <c:pt idx="23">
                  <c:v>13.351477988541617</c:v>
                </c:pt>
                <c:pt idx="24">
                  <c:v>14.177181763897135</c:v>
                </c:pt>
                <c:pt idx="25">
                  <c:v>14.965608008177705</c:v>
                </c:pt>
                <c:pt idx="26">
                  <c:v>15.711262639484442</c:v>
                </c:pt>
                <c:pt idx="27">
                  <c:v>16.409833178699021</c:v>
                </c:pt>
                <c:pt idx="28">
                  <c:v>17.058187887841612</c:v>
                </c:pt>
                <c:pt idx="29">
                  <c:v>17.654326928479882</c:v>
                </c:pt>
                <c:pt idx="30">
                  <c:v>18.197295685456751</c:v>
                </c:pt>
                <c:pt idx="31">
                  <c:v>18.687071239784618</c:v>
                </c:pt>
                <c:pt idx="32">
                  <c:v>19.124432671245888</c:v>
                </c:pt>
                <c:pt idx="33">
                  <c:v>19.510824726582527</c:v>
                </c:pt>
                <c:pt idx="34">
                  <c:v>19.848222730608299</c:v>
                </c:pt>
                <c:pt idx="35">
                  <c:v>20.139004744151588</c:v>
                </c:pt>
                <c:pt idx="36">
                  <c:v>20.385835121836767</c:v>
                </c:pt>
                <c:pt idx="37">
                  <c:v>20.591561957701668</c:v>
                </c:pt>
                <c:pt idx="38">
                  <c:v>20.75912951995247</c:v>
                </c:pt>
                <c:pt idx="39">
                  <c:v>20.891505701769603</c:v>
                </c:pt>
                <c:pt idx="40">
                  <c:v>20.991623744718158</c:v>
                </c:pt>
                <c:pt idx="41">
                  <c:v>21.062336990361626</c:v>
                </c:pt>
                <c:pt idx="42">
                  <c:v>21.106385136460155</c:v>
                </c:pt>
                <c:pt idx="43">
                  <c:v>21.126370365770761</c:v>
                </c:pt>
                <c:pt idx="44">
                  <c:v>21.124741730227996</c:v>
                </c:pt>
                <c:pt idx="45">
                  <c:v>21.103786270095451</c:v>
                </c:pt>
                <c:pt idx="46">
                  <c:v>21.065625493484845</c:v>
                </c:pt>
                <c:pt idx="47">
                  <c:v>21.012216011373347</c:v>
                </c:pt>
                <c:pt idx="48">
                  <c:v>20.945353298984365</c:v>
                </c:pt>
                <c:pt idx="49">
                  <c:v>20.866677724140544</c:v>
                </c:pt>
                <c:pt idx="50">
                  <c:v>20.777682139607595</c:v>
                </c:pt>
                <c:pt idx="51">
                  <c:v>20.679720475639165</c:v>
                </c:pt>
                <c:pt idx="52">
                  <c:v>20.574016889453624</c:v>
                </c:pt>
                <c:pt idx="53">
                  <c:v>20.461675130406451</c:v>
                </c:pt>
                <c:pt idx="54">
                  <c:v>20.343687864337149</c:v>
                </c:pt>
                <c:pt idx="55">
                  <c:v>20.220945769699039</c:v>
                </c:pt>
                <c:pt idx="56">
                  <c:v>20.094246273582364</c:v>
                </c:pt>
                <c:pt idx="57">
                  <c:v>19.964301839605206</c:v>
                </c:pt>
                <c:pt idx="58">
                  <c:v>19.831747753756559</c:v>
                </c:pt>
                <c:pt idx="59">
                  <c:v>19.69714938034728</c:v>
                </c:pt>
                <c:pt idx="60">
                  <c:v>19.561008879764508</c:v>
                </c:pt>
                <c:pt idx="61">
                  <c:v>19.423771394028194</c:v>
                </c:pt>
                <c:pt idx="62">
                  <c:v>19.285830716309412</c:v>
                </c:pt>
                <c:pt idx="63">
                  <c:v>19.147534467493188</c:v>
                </c:pt>
                <c:pt idx="64">
                  <c:v>19.009188807295597</c:v>
                </c:pt>
                <c:pt idx="65">
                  <c:v>18.871062709976645</c:v>
                </c:pt>
                <c:pt idx="66">
                  <c:v>18.7333918358045</c:v>
                </c:pt>
                <c:pt idx="67">
                  <c:v>18.596382029503363</c:v>
                </c:pt>
                <c:pt idx="68">
                  <c:v>18.460212476252646</c:v>
                </c:pt>
                <c:pt idx="69">
                  <c:v>18.325038544631198</c:v>
                </c:pt>
                <c:pt idx="70">
                  <c:v>18.190994344389328</c:v>
                </c:pt>
                <c:pt idx="71">
                  <c:v>18.058195025221636</c:v>
                </c:pt>
                <c:pt idx="72">
                  <c:v>17.926738840899212</c:v>
                </c:pt>
                <c:pt idx="73">
                  <c:v>17.796709001278874</c:v>
                </c:pt>
                <c:pt idx="74">
                  <c:v>17.668175332886261</c:v>
                </c:pt>
                <c:pt idx="75">
                  <c:v>17.541195767009437</c:v>
                </c:pt>
                <c:pt idx="76">
                  <c:v>17.415817672562376</c:v>
                </c:pt>
                <c:pt idx="77">
                  <c:v>17.292079049397721</c:v>
                </c:pt>
                <c:pt idx="78">
                  <c:v>17.17000959627525</c:v>
                </c:pt>
                <c:pt idx="79">
                  <c:v>17.049631666327905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99-4CA9-9880-EC6611AAF298}"/>
            </c:ext>
          </c:extLst>
        </c:ser>
        <c:ser>
          <c:idx val="2"/>
          <c:order val="2"/>
          <c:tx>
            <c:v>CL^(3/2)/CD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'Ashvat Ferry Coeff'!$L$25:$L$104</c:f>
              <c:numCache>
                <c:formatCode>General</c:formatCode>
                <c:ptCount val="80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  <c:pt idx="14">
                  <c:v>95</c:v>
                </c:pt>
                <c:pt idx="15">
                  <c:v>100</c:v>
                </c:pt>
                <c:pt idx="16">
                  <c:v>105</c:v>
                </c:pt>
                <c:pt idx="17">
                  <c:v>110</c:v>
                </c:pt>
                <c:pt idx="18">
                  <c:v>115</c:v>
                </c:pt>
                <c:pt idx="19">
                  <c:v>120</c:v>
                </c:pt>
                <c:pt idx="20">
                  <c:v>125</c:v>
                </c:pt>
                <c:pt idx="21">
                  <c:v>130</c:v>
                </c:pt>
                <c:pt idx="22">
                  <c:v>135</c:v>
                </c:pt>
                <c:pt idx="23">
                  <c:v>140</c:v>
                </c:pt>
                <c:pt idx="24">
                  <c:v>145</c:v>
                </c:pt>
                <c:pt idx="25">
                  <c:v>150</c:v>
                </c:pt>
                <c:pt idx="26">
                  <c:v>155</c:v>
                </c:pt>
                <c:pt idx="27">
                  <c:v>160</c:v>
                </c:pt>
                <c:pt idx="28">
                  <c:v>165</c:v>
                </c:pt>
                <c:pt idx="29">
                  <c:v>170</c:v>
                </c:pt>
                <c:pt idx="30">
                  <c:v>175</c:v>
                </c:pt>
                <c:pt idx="31">
                  <c:v>180</c:v>
                </c:pt>
                <c:pt idx="32">
                  <c:v>185</c:v>
                </c:pt>
                <c:pt idx="33">
                  <c:v>190</c:v>
                </c:pt>
                <c:pt idx="34">
                  <c:v>195</c:v>
                </c:pt>
                <c:pt idx="35">
                  <c:v>200</c:v>
                </c:pt>
                <c:pt idx="36">
                  <c:v>205</c:v>
                </c:pt>
                <c:pt idx="37">
                  <c:v>210</c:v>
                </c:pt>
                <c:pt idx="38">
                  <c:v>215</c:v>
                </c:pt>
                <c:pt idx="39">
                  <c:v>220</c:v>
                </c:pt>
                <c:pt idx="40">
                  <c:v>225</c:v>
                </c:pt>
                <c:pt idx="41">
                  <c:v>230</c:v>
                </c:pt>
                <c:pt idx="42">
                  <c:v>235</c:v>
                </c:pt>
                <c:pt idx="43">
                  <c:v>240</c:v>
                </c:pt>
                <c:pt idx="44">
                  <c:v>245</c:v>
                </c:pt>
                <c:pt idx="45">
                  <c:v>250</c:v>
                </c:pt>
                <c:pt idx="46">
                  <c:v>255</c:v>
                </c:pt>
                <c:pt idx="47">
                  <c:v>260</c:v>
                </c:pt>
                <c:pt idx="48">
                  <c:v>265</c:v>
                </c:pt>
                <c:pt idx="49">
                  <c:v>270</c:v>
                </c:pt>
                <c:pt idx="50">
                  <c:v>275</c:v>
                </c:pt>
                <c:pt idx="51">
                  <c:v>280</c:v>
                </c:pt>
                <c:pt idx="52">
                  <c:v>285</c:v>
                </c:pt>
                <c:pt idx="53">
                  <c:v>290</c:v>
                </c:pt>
                <c:pt idx="54">
                  <c:v>295</c:v>
                </c:pt>
                <c:pt idx="55">
                  <c:v>300</c:v>
                </c:pt>
                <c:pt idx="56">
                  <c:v>305</c:v>
                </c:pt>
                <c:pt idx="57">
                  <c:v>310</c:v>
                </c:pt>
                <c:pt idx="58">
                  <c:v>315</c:v>
                </c:pt>
                <c:pt idx="59">
                  <c:v>320</c:v>
                </c:pt>
                <c:pt idx="60">
                  <c:v>325</c:v>
                </c:pt>
                <c:pt idx="61">
                  <c:v>330</c:v>
                </c:pt>
                <c:pt idx="62">
                  <c:v>335</c:v>
                </c:pt>
                <c:pt idx="63">
                  <c:v>340</c:v>
                </c:pt>
                <c:pt idx="64">
                  <c:v>345</c:v>
                </c:pt>
                <c:pt idx="65">
                  <c:v>350</c:v>
                </c:pt>
                <c:pt idx="66">
                  <c:v>355</c:v>
                </c:pt>
                <c:pt idx="67">
                  <c:v>360</c:v>
                </c:pt>
                <c:pt idx="68">
                  <c:v>365</c:v>
                </c:pt>
                <c:pt idx="69">
                  <c:v>370</c:v>
                </c:pt>
                <c:pt idx="70">
                  <c:v>375</c:v>
                </c:pt>
                <c:pt idx="71">
                  <c:v>380</c:v>
                </c:pt>
                <c:pt idx="72">
                  <c:v>385</c:v>
                </c:pt>
                <c:pt idx="73">
                  <c:v>390</c:v>
                </c:pt>
                <c:pt idx="74">
                  <c:v>395</c:v>
                </c:pt>
                <c:pt idx="75">
                  <c:v>400</c:v>
                </c:pt>
                <c:pt idx="76">
                  <c:v>405</c:v>
                </c:pt>
                <c:pt idx="77">
                  <c:v>410</c:v>
                </c:pt>
                <c:pt idx="78">
                  <c:v>415</c:v>
                </c:pt>
                <c:pt idx="79">
                  <c:v>420</c:v>
                </c:pt>
              </c:numCache>
            </c:numRef>
          </c:xVal>
          <c:yVal>
            <c:numRef>
              <c:f>'Ashvat Ferry Coeff'!$AY$25:$AY$104</c:f>
              <c:numCache>
                <c:formatCode>General</c:formatCode>
                <c:ptCount val="80"/>
                <c:pt idx="0">
                  <c:v>3.0457808102132997</c:v>
                </c:pt>
                <c:pt idx="1">
                  <c:v>3.6523328725512707</c:v>
                </c:pt>
                <c:pt idx="2">
                  <c:v>4.2563330431253865</c:v>
                </c:pt>
                <c:pt idx="3">
                  <c:v>4.8564662903323557</c:v>
                </c:pt>
                <c:pt idx="4">
                  <c:v>5.451050396601631</c:v>
                </c:pt>
                <c:pt idx="5">
                  <c:v>6.0380105263945456</c:v>
                </c:pt>
                <c:pt idx="6">
                  <c:v>6.6148661093027989</c:v>
                </c:pt>
                <c:pt idx="7">
                  <c:v>7.1787331728246349</c:v>
                </c:pt>
                <c:pt idx="8">
                  <c:v>7.7263452729420719</c:v>
                </c:pt>
                <c:pt idx="9">
                  <c:v>8.2540958159872648</c:v>
                </c:pt>
                <c:pt idx="10">
                  <c:v>8.7581037601197913</c:v>
                </c:pt>
                <c:pt idx="11">
                  <c:v>9.2343033837663633</c:v>
                </c:pt>
                <c:pt idx="12">
                  <c:v>9.6785570297284202</c:v>
                </c:pt>
                <c:pt idx="13">
                  <c:v>10.086787581530073</c:v>
                </c:pt>
                <c:pt idx="14">
                  <c:v>10.455125104807834</c:v>
                </c:pt>
                <c:pt idx="15">
                  <c:v>10.780059882051312</c:v>
                </c:pt>
                <c:pt idx="16">
                  <c:v>11.058592330364361</c:v>
                </c:pt>
                <c:pt idx="17">
                  <c:v>11.288369363160875</c:v>
                </c:pt>
                <c:pt idx="18">
                  <c:v>11.467796905908932</c:v>
                </c:pt>
                <c:pt idx="19">
                  <c:v>11.596119623795557</c:v>
                </c:pt>
                <c:pt idx="20">
                  <c:v>11.673461390308445</c:v>
                </c:pt>
                <c:pt idx="21">
                  <c:v>11.700823342224238</c:v>
                </c:pt>
                <c:pt idx="22">
                  <c:v>11.680040089358611</c:v>
                </c:pt>
                <c:pt idx="23">
                  <c:v>11.613698259986672</c:v>
                </c:pt>
                <c:pt idx="24">
                  <c:v>11.505024574260766</c:v>
                </c:pt>
                <c:pt idx="25">
                  <c:v>11.357752679072529</c:v>
                </c:pt>
                <c:pt idx="26">
                  <c:v>11.175978863993112</c:v>
                </c:pt>
                <c:pt idx="27">
                  <c:v>10.964016525284201</c:v>
                </c:pt>
                <c:pt idx="28">
                  <c:v>10.726258041098047</c:v>
                </c:pt>
                <c:pt idx="29">
                  <c:v>10.467050864243291</c:v>
                </c:pt>
                <c:pt idx="30">
                  <c:v>10.190592466255552</c:v>
                </c:pt>
                <c:pt idx="31">
                  <c:v>9.900846589151854</c:v>
                </c:pt>
                <c:pt idx="32">
                  <c:v>9.6014813202099933</c:v>
                </c:pt>
                <c:pt idx="33">
                  <c:v>9.2958279515119173</c:v>
                </c:pt>
                <c:pt idx="34">
                  <c:v>8.9868584826959612</c:v>
                </c:pt>
                <c:pt idx="35">
                  <c:v>8.6771789633636693</c:v>
                </c:pt>
                <c:pt idx="36">
                  <c:v>8.3690355930664939</c:v>
                </c:pt>
                <c:pt idx="37">
                  <c:v>8.0643305183430076</c:v>
                </c:pt>
                <c:pt idx="38">
                  <c:v>7.7646444980989191</c:v>
                </c:pt>
                <c:pt idx="39">
                  <c:v>7.4712639678590307</c:v>
                </c:pt>
                <c:pt idx="40">
                  <c:v>7.18521045166578</c:v>
                </c:pt>
                <c:pt idx="41">
                  <c:v>6.9072706964428185</c:v>
                </c:pt>
                <c:pt idx="42">
                  <c:v>6.6380263029285942</c:v>
                </c:pt>
                <c:pt idx="43">
                  <c:v>6.377881979507773</c:v>
                </c:pt>
                <c:pt idx="44">
                  <c:v>6.1270918411596389</c:v>
                </c:pt>
                <c:pt idx="45">
                  <c:v>5.8857834138800014</c:v>
                </c:pt>
                <c:pt idx="46">
                  <c:v>5.6539791889230875</c:v>
                </c:pt>
                <c:pt idx="47">
                  <c:v>5.431615707459958</c:v>
                </c:pt>
                <c:pt idx="48">
                  <c:v>5.2185602523681629</c:v>
                </c:pt>
                <c:pt idx="49">
                  <c:v>5.0146252875482249</c:v>
                </c:pt>
                <c:pt idx="50">
                  <c:v>4.8195808235596163</c:v>
                </c:pt>
                <c:pt idx="51">
                  <c:v>4.6331649077314685</c:v>
                </c:pt>
                <c:pt idx="52">
                  <c:v>4.4550924424516296</c:v>
                </c:pt>
                <c:pt idx="53">
                  <c:v>4.2850625312961474</c:v>
                </c:pt>
                <c:pt idx="54">
                  <c:v>4.1227645423107386</c:v>
                </c:pt>
                <c:pt idx="55">
                  <c:v>3.9678830635986824</c:v>
                </c:pt>
                <c:pt idx="56">
                  <c:v>3.8201019102358149</c:v>
                </c:pt>
                <c:pt idx="57">
                  <c:v>3.6791073247306438</c:v>
                </c:pt>
                <c:pt idx="58">
                  <c:v>3.544590496666761</c:v>
                </c:pt>
                <c:pt idx="59">
                  <c:v>3.4162495113855011</c:v>
                </c:pt>
                <c:pt idx="60">
                  <c:v>3.2937908229374102</c:v>
                </c:pt>
                <c:pt idx="61">
                  <c:v>3.1769303332290479</c:v>
                </c:pt>
                <c:pt idx="62">
                  <c:v>3.06539414738296</c:v>
                </c:pt>
                <c:pt idx="63">
                  <c:v>2.9589190647958885</c:v>
                </c:pt>
                <c:pt idx="64">
                  <c:v>2.857252856157825</c:v>
                </c:pt>
                <c:pt idx="65">
                  <c:v>2.7601543686881858</c:v>
                </c:pt>
                <c:pt idx="66">
                  <c:v>2.667393494942305</c:v>
                </c:pt>
                <c:pt idx="67">
                  <c:v>2.5787510346273503</c:v>
                </c:pt>
                <c:pt idx="68">
                  <c:v>2.4940184738260638</c:v>
                </c:pt>
                <c:pt idx="69">
                  <c:v>2.4129977017523969</c:v>
                </c:pt>
                <c:pt idx="70">
                  <c:v>2.3355006815514443</c:v>
                </c:pt>
                <c:pt idx="71">
                  <c:v>2.2613490886197658</c:v>
                </c:pt>
                <c:pt idx="72">
                  <c:v>2.1903739273757958</c:v>
                </c:pt>
                <c:pt idx="73">
                  <c:v>2.1224151352848599</c:v>
                </c:pt>
                <c:pt idx="74">
                  <c:v>2.0573211811732963</c:v>
                </c:pt>
                <c:pt idx="75">
                  <c:v>1.9949486633990545</c:v>
                </c:pt>
                <c:pt idx="76">
                  <c:v>1.9351619122333823</c:v>
                </c:pt>
                <c:pt idx="77">
                  <c:v>1.8778325998093459</c:v>
                </c:pt>
                <c:pt idx="78">
                  <c:v>1.8228393601742277</c:v>
                </c:pt>
                <c:pt idx="79">
                  <c:v>1.7700674213138168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99-4CA9-9880-EC6611AAF298}"/>
            </c:ext>
          </c:extLst>
        </c:ser>
        <c:ser>
          <c:idx val="3"/>
          <c:order val="3"/>
          <c:tx>
            <c:v>Max CL/CD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'Ashvat Ferry Coeff'!$H$3</c:f>
              <c:numCache>
                <c:formatCode>General</c:formatCode>
                <c:ptCount val="1"/>
                <c:pt idx="0">
                  <c:v>175</c:v>
                </c:pt>
              </c:numCache>
            </c:numRef>
          </c:xVal>
          <c:yVal>
            <c:numRef>
              <c:f>'Ashvat Ferry Coeff'!$E$3</c:f>
              <c:numCache>
                <c:formatCode>General</c:formatCode>
                <c:ptCount val="1"/>
                <c:pt idx="0">
                  <c:v>13.61768057777976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F5-42CF-9691-8BF703FB46B6}"/>
            </c:ext>
          </c:extLst>
        </c:ser>
        <c:ser>
          <c:idx val="4"/>
          <c:order val="4"/>
          <c:tx>
            <c:v>Max CL^(1/2)/CD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'Ashvat Ferry Coeff'!$H$4</c:f>
              <c:numCache>
                <c:formatCode>General</c:formatCode>
                <c:ptCount val="1"/>
                <c:pt idx="0">
                  <c:v>240</c:v>
                </c:pt>
              </c:numCache>
            </c:numRef>
          </c:xVal>
          <c:yVal>
            <c:numRef>
              <c:f>'Ashvat Ferry Coeff'!$E$4</c:f>
              <c:numCache>
                <c:formatCode>General</c:formatCode>
                <c:ptCount val="1"/>
                <c:pt idx="0">
                  <c:v>21.126370365770757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F5-42CF-9691-8BF703FB46B6}"/>
            </c:ext>
          </c:extLst>
        </c:ser>
        <c:ser>
          <c:idx val="5"/>
          <c:order val="5"/>
          <c:tx>
            <c:v>Max CL^(3/2)/CD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'Ashvat Ferry Coeff'!$H$5</c:f>
              <c:numCache>
                <c:formatCode>General</c:formatCode>
                <c:ptCount val="1"/>
                <c:pt idx="0">
                  <c:v>130</c:v>
                </c:pt>
              </c:numCache>
            </c:numRef>
          </c:xVal>
          <c:yVal>
            <c:numRef>
              <c:f>'Ashvat Ferry Coeff'!$E$5</c:f>
              <c:numCache>
                <c:formatCode>General</c:formatCode>
                <c:ptCount val="1"/>
                <c:pt idx="0">
                  <c:v>11.700823342224229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F5-42CF-9691-8BF703FB4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54495"/>
        <c:axId val="601374463"/>
      </c:scatterChart>
      <c:valAx>
        <c:axId val="60135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KCAS</a:t>
                </a:r>
              </a:p>
            </c:rich>
          </c:tx>
          <c:layout>
            <c:manualLayout>
              <c:xMode val="edge"/>
              <c:yMode val="edge"/>
              <c:x val="0.50895072981878575"/>
              <c:y val="0.808091565334916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74463"/>
        <c:crosses val="autoZero"/>
        <c:crossBetween val="midCat"/>
      </c:valAx>
      <c:valAx>
        <c:axId val="6013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Coefficient Magnitude</a:t>
                </a:r>
              </a:p>
            </c:rich>
          </c:tx>
          <c:layout>
            <c:manualLayout>
              <c:xMode val="edge"/>
              <c:yMode val="edge"/>
              <c:x val="3.0703422477867136E-2"/>
              <c:y val="0.26398156332838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54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29612526507409"/>
          <c:y val="4.51565902088326E-2"/>
          <c:w val="0.84959953309670078"/>
          <c:h val="0.8065681615884970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5B1-46F1-AB9D-DFC3C841EF91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B1-46F1-AB9D-DFC3C841EF91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B1-46F1-AB9D-DFC3C841EF91}"/>
              </c:ext>
            </c:extLst>
          </c:dPt>
          <c:xVal>
            <c:numRef>
              <c:f>'Payload-Range'!$B$12:$B$15</c:f>
              <c:numCache>
                <c:formatCode>General</c:formatCode>
                <c:ptCount val="4"/>
                <c:pt idx="0">
                  <c:v>0</c:v>
                </c:pt>
                <c:pt idx="1">
                  <c:v>1196.3105029759258</c:v>
                </c:pt>
                <c:pt idx="2">
                  <c:v>1450.5329930477535</c:v>
                </c:pt>
                <c:pt idx="3">
                  <c:v>1695.2993234243684</c:v>
                </c:pt>
              </c:numCache>
            </c:numRef>
          </c:xVal>
          <c:yVal>
            <c:numRef>
              <c:f>'Payload-Range'!$C$12:$C$15</c:f>
              <c:numCache>
                <c:formatCode>General</c:formatCode>
                <c:ptCount val="4"/>
                <c:pt idx="0">
                  <c:v>3000</c:v>
                </c:pt>
                <c:pt idx="1">
                  <c:v>3000</c:v>
                </c:pt>
                <c:pt idx="2">
                  <c:v>2204.8254691464736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1-46F1-AB9D-DFC3C841EF91}"/>
            </c:ext>
          </c:extLst>
        </c:ser>
        <c:ser>
          <c:idx val="1"/>
          <c:order val="1"/>
          <c:tx>
            <c:v>MPW</c:v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'Payload-Range'!$C$18:$C$23</c:f>
              <c:numCache>
                <c:formatCode>General</c:formatCode>
                <c:ptCount val="6"/>
                <c:pt idx="0">
                  <c:v>1196.3105029759258</c:v>
                </c:pt>
                <c:pt idx="1">
                  <c:v>1196.3105029759258</c:v>
                </c:pt>
                <c:pt idx="2">
                  <c:v>1196.3105029759258</c:v>
                </c:pt>
                <c:pt idx="3">
                  <c:v>1196.3105029759258</c:v>
                </c:pt>
                <c:pt idx="4">
                  <c:v>1196.3105029759258</c:v>
                </c:pt>
                <c:pt idx="5">
                  <c:v>1196.3105029759258</c:v>
                </c:pt>
              </c:numCache>
            </c:numRef>
          </c:xVal>
          <c:yVal>
            <c:numRef>
              <c:f>'Payload-Range'!$B$18:$B$23</c:f>
              <c:numCache>
                <c:formatCode>General</c:formatCode>
                <c:ptCount val="6"/>
                <c:pt idx="0">
                  <c:v>0</c:v>
                </c:pt>
                <c:pt idx="1">
                  <c:v>750</c:v>
                </c:pt>
                <c:pt idx="2">
                  <c:v>1754.68000742202</c:v>
                </c:pt>
                <c:pt idx="3">
                  <c:v>2216.99373493036</c:v>
                </c:pt>
                <c:pt idx="4">
                  <c:v>2250</c:v>
                </c:pt>
                <c:pt idx="5">
                  <c:v>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B1-46F1-AB9D-DFC3C841EF91}"/>
            </c:ext>
          </c:extLst>
        </c:ser>
        <c:ser>
          <c:idx val="2"/>
          <c:order val="2"/>
          <c:tx>
            <c:v>MFW</c:v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'Payload-Range'!$D$18:$D$21</c:f>
              <c:numCache>
                <c:formatCode>General</c:formatCode>
                <c:ptCount val="4"/>
                <c:pt idx="0">
                  <c:v>1450.5329930477535</c:v>
                </c:pt>
                <c:pt idx="1">
                  <c:v>1450.5329930477535</c:v>
                </c:pt>
                <c:pt idx="2">
                  <c:v>1450.5329930477535</c:v>
                </c:pt>
                <c:pt idx="3">
                  <c:v>1450.5329930477535</c:v>
                </c:pt>
              </c:numCache>
            </c:numRef>
          </c:xVal>
          <c:yVal>
            <c:numRef>
              <c:f>'Payload-Range'!$B$18:$B$21</c:f>
              <c:numCache>
                <c:formatCode>General</c:formatCode>
                <c:ptCount val="4"/>
                <c:pt idx="0">
                  <c:v>0</c:v>
                </c:pt>
                <c:pt idx="1">
                  <c:v>750</c:v>
                </c:pt>
                <c:pt idx="2">
                  <c:v>1754.68000742202</c:v>
                </c:pt>
                <c:pt idx="3">
                  <c:v>2216.99373493036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B1-46F1-AB9D-DFC3C841E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642688"/>
        <c:axId val="1784641024"/>
      </c:scatterChart>
      <c:valAx>
        <c:axId val="1784642688"/>
        <c:scaling>
          <c:orientation val="minMax"/>
          <c:max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Range</a:t>
                </a:r>
                <a:r>
                  <a:rPr lang="en-US" sz="1200" b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(nmi)</a:t>
                </a:r>
                <a:endParaRPr lang="en-US" sz="1200" b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718911005564223"/>
              <c:y val="0.90672180760013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84641024"/>
        <c:crosses val="autoZero"/>
        <c:crossBetween val="midCat"/>
      </c:valAx>
      <c:valAx>
        <c:axId val="17846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Payload (lb)</a:t>
                </a:r>
              </a:p>
            </c:rich>
          </c:tx>
          <c:layout>
            <c:manualLayout>
              <c:xMode val="edge"/>
              <c:yMode val="edge"/>
              <c:x val="1.6052170819112574E-2"/>
              <c:y val="0.326171037315987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8464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29612526507409"/>
          <c:y val="4.8634851078397809E-2"/>
          <c:w val="0.84959953309670078"/>
          <c:h val="0.8065681615884970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3977-4975-BEBA-78ED29D41BAD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977-4975-BEBA-78ED29D41BAD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977-4975-BEBA-78ED29D41BAD}"/>
              </c:ext>
            </c:extLst>
          </c:dPt>
          <c:xVal>
            <c:numRef>
              <c:f>'Payload-Time'!$B$12:$B$15</c:f>
              <c:numCache>
                <c:formatCode>General</c:formatCode>
                <c:ptCount val="4"/>
                <c:pt idx="0">
                  <c:v>0</c:v>
                </c:pt>
                <c:pt idx="1">
                  <c:v>4.2863302237401921</c:v>
                </c:pt>
                <c:pt idx="2">
                  <c:v>5.1971987148540704</c:v>
                </c:pt>
                <c:pt idx="3">
                  <c:v>6.0741861834397008</c:v>
                </c:pt>
              </c:numCache>
            </c:numRef>
          </c:xVal>
          <c:yVal>
            <c:numRef>
              <c:f>'Payload-Time'!$C$12:$C$15</c:f>
              <c:numCache>
                <c:formatCode>General</c:formatCode>
                <c:ptCount val="4"/>
                <c:pt idx="0">
                  <c:v>3000</c:v>
                </c:pt>
                <c:pt idx="1">
                  <c:v>3000</c:v>
                </c:pt>
                <c:pt idx="2">
                  <c:v>2204.8254691464736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77-4975-BEBA-78ED29D41BAD}"/>
            </c:ext>
          </c:extLst>
        </c:ser>
        <c:ser>
          <c:idx val="1"/>
          <c:order val="1"/>
          <c:tx>
            <c:v>MPW</c:v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'Payload-Time'!$C$18:$C$23</c:f>
              <c:numCache>
                <c:formatCode>General</c:formatCode>
                <c:ptCount val="6"/>
                <c:pt idx="0">
                  <c:v>4.2863302237401921</c:v>
                </c:pt>
                <c:pt idx="1">
                  <c:v>4.2863302237401921</c:v>
                </c:pt>
                <c:pt idx="2">
                  <c:v>4.2863302237401921</c:v>
                </c:pt>
                <c:pt idx="3">
                  <c:v>4.2863302237401921</c:v>
                </c:pt>
                <c:pt idx="4">
                  <c:v>4.2863302237401921</c:v>
                </c:pt>
                <c:pt idx="5">
                  <c:v>4.2863302237401921</c:v>
                </c:pt>
              </c:numCache>
            </c:numRef>
          </c:xVal>
          <c:yVal>
            <c:numRef>
              <c:f>'Payload-Time'!$B$18:$B$23</c:f>
              <c:numCache>
                <c:formatCode>General</c:formatCode>
                <c:ptCount val="6"/>
                <c:pt idx="0">
                  <c:v>0</c:v>
                </c:pt>
                <c:pt idx="1">
                  <c:v>750</c:v>
                </c:pt>
                <c:pt idx="2">
                  <c:v>1754.68000742202</c:v>
                </c:pt>
                <c:pt idx="3">
                  <c:v>2216.99373493036</c:v>
                </c:pt>
                <c:pt idx="4">
                  <c:v>2250</c:v>
                </c:pt>
                <c:pt idx="5">
                  <c:v>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7-4975-BEBA-78ED29D41BAD}"/>
            </c:ext>
          </c:extLst>
        </c:ser>
        <c:ser>
          <c:idx val="2"/>
          <c:order val="2"/>
          <c:tx>
            <c:v>MFW</c:v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'Payload-Time'!$D$18:$D$21</c:f>
              <c:numCache>
                <c:formatCode>General</c:formatCode>
                <c:ptCount val="4"/>
                <c:pt idx="0">
                  <c:v>5.1971987148540704</c:v>
                </c:pt>
                <c:pt idx="1">
                  <c:v>5.1971987148540704</c:v>
                </c:pt>
                <c:pt idx="2">
                  <c:v>5.1971987148540704</c:v>
                </c:pt>
                <c:pt idx="3">
                  <c:v>5.1971987148540704</c:v>
                </c:pt>
              </c:numCache>
            </c:numRef>
          </c:xVal>
          <c:yVal>
            <c:numRef>
              <c:f>'Payload-Time'!$B$18:$B$21</c:f>
              <c:numCache>
                <c:formatCode>General</c:formatCode>
                <c:ptCount val="4"/>
                <c:pt idx="0">
                  <c:v>0</c:v>
                </c:pt>
                <c:pt idx="1">
                  <c:v>750</c:v>
                </c:pt>
                <c:pt idx="2">
                  <c:v>1754.68000742202</c:v>
                </c:pt>
                <c:pt idx="3">
                  <c:v>2216.99373493036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77-4975-BEBA-78ED29D41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642688"/>
        <c:axId val="1784641024"/>
      </c:scatterChart>
      <c:valAx>
        <c:axId val="1784642688"/>
        <c:scaling>
          <c:orientation val="minMax"/>
          <c:max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on Station (hrs)</a:t>
                </a:r>
              </a:p>
            </c:rich>
          </c:tx>
          <c:layout>
            <c:manualLayout>
              <c:xMode val="edge"/>
              <c:yMode val="edge"/>
              <c:x val="0.42906520436024992"/>
              <c:y val="0.9032435467305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84641024"/>
        <c:crosses val="autoZero"/>
        <c:crossBetween val="midCat"/>
      </c:valAx>
      <c:valAx>
        <c:axId val="17846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Payload (lb)</a:t>
                </a:r>
              </a:p>
            </c:rich>
          </c:tx>
          <c:layout>
            <c:manualLayout>
              <c:xMode val="edge"/>
              <c:yMode val="edge"/>
              <c:x val="1.6052170819112574E-2"/>
              <c:y val="0.326171037315987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8464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'Range Mach'!$AD$289:$AD$294</c:f>
              <c:strCache>
                <c:ptCount val="5"/>
                <c:pt idx="0">
                  <c:v>Range</c:v>
                </c:pt>
                <c:pt idx="1">
                  <c:v>0</c:v>
                </c:pt>
                <c:pt idx="2">
                  <c:v>#REF!</c:v>
                </c:pt>
                <c:pt idx="3">
                  <c:v>#REF!</c:v>
                </c:pt>
                <c:pt idx="4">
                  <c:v>#REF!</c:v>
                </c:pt>
              </c:strCache>
            </c:strRef>
          </c:cat>
          <c:val>
            <c:numRef>
              <c:f>'Range Mach'!$AE$289:$AE$294</c:f>
              <c:numCache>
                <c:formatCode>General</c:formatCode>
                <c:ptCount val="6"/>
                <c:pt idx="0">
                  <c:v>0</c:v>
                </c:pt>
                <c:pt idx="1">
                  <c:v>3000</c:v>
                </c:pt>
                <c:pt idx="2">
                  <c:v>3000</c:v>
                </c:pt>
                <c:pt idx="3">
                  <c:v>1800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5-43FB-B02E-95170A668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253724"/>
        <c:axId val="1166082400"/>
      </c:lineChart>
      <c:catAx>
        <c:axId val="3242537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6082400"/>
        <c:crosses val="autoZero"/>
        <c:auto val="1"/>
        <c:lblAlgn val="ctr"/>
        <c:lblOffset val="100"/>
        <c:noMultiLvlLbl val="1"/>
      </c:catAx>
      <c:valAx>
        <c:axId val="1166082400"/>
        <c:scaling>
          <c:orientation val="minMax"/>
          <c:max val="35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425372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10150967847188"/>
          <c:y val="6.2936141493229319E-2"/>
          <c:w val="0.85149544202997807"/>
          <c:h val="0.7880426028101563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'Range Mach'!$D$30:$D$128</c:f>
              <c:numCache>
                <c:formatCode>General</c:formatCode>
                <c:ptCount val="99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0.21000000000000005</c:v>
                </c:pt>
                <c:pt idx="20">
                  <c:v>0.22000000000000006</c:v>
                </c:pt>
                <c:pt idx="21">
                  <c:v>0.23000000000000007</c:v>
                </c:pt>
                <c:pt idx="22">
                  <c:v>0.24000000000000007</c:v>
                </c:pt>
                <c:pt idx="23">
                  <c:v>0.25000000000000006</c:v>
                </c:pt>
                <c:pt idx="24">
                  <c:v>0.26000000000000006</c:v>
                </c:pt>
                <c:pt idx="25">
                  <c:v>0.27000000000000007</c:v>
                </c:pt>
                <c:pt idx="26">
                  <c:v>0.28000000000000008</c:v>
                </c:pt>
                <c:pt idx="27">
                  <c:v>0.29000000000000009</c:v>
                </c:pt>
                <c:pt idx="28">
                  <c:v>0.3000000000000001</c:v>
                </c:pt>
                <c:pt idx="29">
                  <c:v>0.31000000000000011</c:v>
                </c:pt>
                <c:pt idx="30">
                  <c:v>0.32000000000000012</c:v>
                </c:pt>
                <c:pt idx="31">
                  <c:v>0.33000000000000013</c:v>
                </c:pt>
                <c:pt idx="32">
                  <c:v>0.34000000000000014</c:v>
                </c:pt>
                <c:pt idx="33">
                  <c:v>0.35000000000000014</c:v>
                </c:pt>
                <c:pt idx="34">
                  <c:v>0.36000000000000015</c:v>
                </c:pt>
                <c:pt idx="35">
                  <c:v>0.37000000000000016</c:v>
                </c:pt>
                <c:pt idx="36">
                  <c:v>0.38000000000000017</c:v>
                </c:pt>
                <c:pt idx="37">
                  <c:v>0.39000000000000018</c:v>
                </c:pt>
                <c:pt idx="38">
                  <c:v>0.40000000000000019</c:v>
                </c:pt>
                <c:pt idx="39">
                  <c:v>0.4100000000000002</c:v>
                </c:pt>
                <c:pt idx="40">
                  <c:v>0.42000000000000021</c:v>
                </c:pt>
                <c:pt idx="41">
                  <c:v>0.43000000000000022</c:v>
                </c:pt>
                <c:pt idx="42">
                  <c:v>0.44000000000000022</c:v>
                </c:pt>
                <c:pt idx="43">
                  <c:v>0.45000000000000023</c:v>
                </c:pt>
                <c:pt idx="44">
                  <c:v>0.46000000000000024</c:v>
                </c:pt>
                <c:pt idx="45">
                  <c:v>0.47000000000000025</c:v>
                </c:pt>
                <c:pt idx="46">
                  <c:v>0.48000000000000026</c:v>
                </c:pt>
                <c:pt idx="47">
                  <c:v>0.49000000000000027</c:v>
                </c:pt>
                <c:pt idx="48">
                  <c:v>0.50000000000000022</c:v>
                </c:pt>
                <c:pt idx="49">
                  <c:v>0.51000000000000023</c:v>
                </c:pt>
                <c:pt idx="50">
                  <c:v>0.52000000000000024</c:v>
                </c:pt>
                <c:pt idx="51">
                  <c:v>0.53000000000000025</c:v>
                </c:pt>
                <c:pt idx="52">
                  <c:v>0.54000000000000026</c:v>
                </c:pt>
                <c:pt idx="53">
                  <c:v>0.55000000000000027</c:v>
                </c:pt>
                <c:pt idx="54">
                  <c:v>0.56000000000000028</c:v>
                </c:pt>
                <c:pt idx="55">
                  <c:v>0.57000000000000028</c:v>
                </c:pt>
                <c:pt idx="56">
                  <c:v>0.58000000000000029</c:v>
                </c:pt>
                <c:pt idx="57">
                  <c:v>0.5900000000000003</c:v>
                </c:pt>
                <c:pt idx="58">
                  <c:v>0.60000000000000031</c:v>
                </c:pt>
                <c:pt idx="59">
                  <c:v>0.61000000000000032</c:v>
                </c:pt>
                <c:pt idx="60">
                  <c:v>0.62000000000000033</c:v>
                </c:pt>
                <c:pt idx="61">
                  <c:v>0.63000000000000034</c:v>
                </c:pt>
                <c:pt idx="62">
                  <c:v>0.64000000000000035</c:v>
                </c:pt>
                <c:pt idx="63">
                  <c:v>0.65000000000000036</c:v>
                </c:pt>
                <c:pt idx="64">
                  <c:v>0.66000000000000036</c:v>
                </c:pt>
                <c:pt idx="65">
                  <c:v>0.67000000000000037</c:v>
                </c:pt>
                <c:pt idx="66">
                  <c:v>0.68000000000000038</c:v>
                </c:pt>
                <c:pt idx="67">
                  <c:v>0.69000000000000039</c:v>
                </c:pt>
                <c:pt idx="68">
                  <c:v>0.7000000000000004</c:v>
                </c:pt>
                <c:pt idx="69">
                  <c:v>0.71000000000000041</c:v>
                </c:pt>
                <c:pt idx="70">
                  <c:v>0.72000000000000042</c:v>
                </c:pt>
                <c:pt idx="71">
                  <c:v>0.73000000000000043</c:v>
                </c:pt>
                <c:pt idx="72">
                  <c:v>0.74000000000000044</c:v>
                </c:pt>
                <c:pt idx="73">
                  <c:v>0.75000000000000044</c:v>
                </c:pt>
                <c:pt idx="74">
                  <c:v>0.76000000000000045</c:v>
                </c:pt>
                <c:pt idx="75">
                  <c:v>0.77000000000000046</c:v>
                </c:pt>
                <c:pt idx="76">
                  <c:v>0.78000000000000047</c:v>
                </c:pt>
                <c:pt idx="77">
                  <c:v>0.79000000000000048</c:v>
                </c:pt>
                <c:pt idx="78">
                  <c:v>0.80000000000000049</c:v>
                </c:pt>
                <c:pt idx="79">
                  <c:v>0.8100000000000005</c:v>
                </c:pt>
                <c:pt idx="80">
                  <c:v>0.82000000000000051</c:v>
                </c:pt>
                <c:pt idx="81">
                  <c:v>0.83000000000000052</c:v>
                </c:pt>
                <c:pt idx="82">
                  <c:v>0.84000000000000052</c:v>
                </c:pt>
                <c:pt idx="83">
                  <c:v>0.85000000000000053</c:v>
                </c:pt>
                <c:pt idx="84">
                  <c:v>0.86000000000000054</c:v>
                </c:pt>
                <c:pt idx="85">
                  <c:v>0.87000000000000055</c:v>
                </c:pt>
                <c:pt idx="86">
                  <c:v>0.88000000000000056</c:v>
                </c:pt>
                <c:pt idx="87">
                  <c:v>0.89000000000000057</c:v>
                </c:pt>
                <c:pt idx="88">
                  <c:v>0.90000000000000058</c:v>
                </c:pt>
                <c:pt idx="89">
                  <c:v>0.91000000000000059</c:v>
                </c:pt>
                <c:pt idx="90">
                  <c:v>0.9200000000000006</c:v>
                </c:pt>
                <c:pt idx="91">
                  <c:v>0.9300000000000006</c:v>
                </c:pt>
                <c:pt idx="92">
                  <c:v>0.94000000000000061</c:v>
                </c:pt>
                <c:pt idx="93">
                  <c:v>0.95000000000000062</c:v>
                </c:pt>
                <c:pt idx="94">
                  <c:v>0.96000000000000063</c:v>
                </c:pt>
                <c:pt idx="95">
                  <c:v>0.97000000000000064</c:v>
                </c:pt>
                <c:pt idx="96">
                  <c:v>0.98000000000000065</c:v>
                </c:pt>
                <c:pt idx="97">
                  <c:v>0.99000000000000066</c:v>
                </c:pt>
                <c:pt idx="98">
                  <c:v>1.0000000000000007</c:v>
                </c:pt>
              </c:numCache>
            </c:numRef>
          </c:xVal>
          <c:yVal>
            <c:numRef>
              <c:f>'Range Mach'!$M$30:$M$128</c:f>
              <c:numCache>
                <c:formatCode>General</c:formatCode>
                <c:ptCount val="99"/>
                <c:pt idx="0">
                  <c:v>3.0899314962348587E-2</c:v>
                </c:pt>
                <c:pt idx="1">
                  <c:v>0.32844743227541973</c:v>
                </c:pt>
                <c:pt idx="2">
                  <c:v>1.2427396436974953</c:v>
                </c:pt>
                <c:pt idx="3">
                  <c:v>3.1310640182890239</c:v>
                </c:pt>
                <c:pt idx="4">
                  <c:v>6.3469849713158952</c:v>
                </c:pt>
                <c:pt idx="5">
                  <c:v>11.237638005964055</c:v>
                </c:pt>
                <c:pt idx="6">
                  <c:v>18.141241121494392</c:v>
                </c:pt>
                <c:pt idx="7">
                  <c:v>27.383765361434811</c:v>
                </c:pt>
                <c:pt idx="8">
                  <c:v>39.27443401976798</c:v>
                </c:pt>
                <c:pt idx="9">
                  <c:v>54.099900669254048</c:v>
                </c:pt>
                <c:pt idx="10">
                  <c:v>72.117067361744361</c:v>
                </c:pt>
                <c:pt idx="11">
                  <c:v>93.544622612944366</c:v>
                </c:pt>
                <c:pt idx="12">
                  <c:v>118.55352060497437</c:v>
                </c:pt>
                <c:pt idx="13">
                  <c:v>147.25678854651181</c:v>
                </c:pt>
                <c:pt idx="14">
                  <c:v>179.69922880197262</c:v>
                </c:pt>
                <c:pt idx="15">
                  <c:v>215.84775785087473</c:v>
                </c:pt>
                <c:pt idx="16">
                  <c:v>255.58326880093662</c:v>
                </c:pt>
                <c:pt idx="17">
                  <c:v>298.69498574880726</c:v>
                </c:pt>
                <c:pt idx="18">
                  <c:v>344.87826366366528</c:v>
                </c:pt>
                <c:pt idx="19">
                  <c:v>393.73665012651094</c:v>
                </c:pt>
                <c:pt idx="20">
                  <c:v>444.7887538315797</c:v>
                </c:pt>
                <c:pt idx="21">
                  <c:v>497.48007071820513</c:v>
                </c:pt>
                <c:pt idx="22">
                  <c:v>551.19944012498377</c:v>
                </c:pt>
                <c:pt idx="23">
                  <c:v>605.29930288283731</c:v>
                </c:pt>
                <c:pt idx="24">
                  <c:v>659.11848775649696</c:v>
                </c:pt>
                <c:pt idx="25">
                  <c:v>712.005937984659</c:v>
                </c:pt>
                <c:pt idx="26">
                  <c:v>763.34366305339051</c:v>
                </c:pt>
                <c:pt idx="27">
                  <c:v>812.56728645643773</c:v>
                </c:pt>
                <c:pt idx="28">
                  <c:v>859.18284287452423</c:v>
                </c:pt>
                <c:pt idx="29">
                  <c:v>902.7789071853831</c:v>
                </c:pt>
                <c:pt idx="30">
                  <c:v>943.03363933466449</c:v>
                </c:pt>
                <c:pt idx="31">
                  <c:v>979.71682419428021</c:v>
                </c:pt>
                <c:pt idx="32">
                  <c:v>1012.6874062326175</c:v>
                </c:pt>
                <c:pt idx="33">
                  <c:v>1041.8873202007555</c:v>
                </c:pt>
                <c:pt idx="34">
                  <c:v>1067.3325835096603</c:v>
                </c:pt>
                <c:pt idx="35">
                  <c:v>1089.1026507457723</c:v>
                </c:pt>
                <c:pt idx="36">
                  <c:v>1107.3289606973713</c:v>
                </c:pt>
                <c:pt idx="37">
                  <c:v>1122.1834649733603</c:v>
                </c:pt>
                <c:pt idx="38">
                  <c:v>1133.8677491655287</c:v>
                </c:pt>
                <c:pt idx="39">
                  <c:v>1142.6031719495786</c:v>
                </c:pt>
                <c:pt idx="40">
                  <c:v>1148.6222760441099</c:v>
                </c:pt>
                <c:pt idx="41">
                  <c:v>1152.1615805818371</c:v>
                </c:pt>
                <c:pt idx="42">
                  <c:v>1153.4557528023508</c:v>
                </c:pt>
                <c:pt idx="43">
                  <c:v>1152.7330780907523</c:v>
                </c:pt>
                <c:pt idx="44">
                  <c:v>1150.2120977394484</c:v>
                </c:pt>
                <c:pt idx="45">
                  <c:v>1146.0992580712714</c:v>
                </c:pt>
                <c:pt idx="46">
                  <c:v>1140.5874069087442</c:v>
                </c:pt>
                <c:pt idx="47">
                  <c:v>1133.8549783470912</c:v>
                </c:pt>
                <c:pt idx="48">
                  <c:v>1126.0657197502012</c:v>
                </c:pt>
                <c:pt idx="49">
                  <c:v>1117.3688321931959</c:v>
                </c:pt>
                <c:pt idx="50">
                  <c:v>1107.8994145485756</c:v>
                </c:pt>
                <c:pt idx="51">
                  <c:v>1097.7791202303069</c:v>
                </c:pt>
                <c:pt idx="52">
                  <c:v>1087.1169531319138</c:v>
                </c:pt>
                <c:pt idx="53">
                  <c:v>1076.0101448970051</c:v>
                </c:pt>
                <c:pt idx="54">
                  <c:v>1064.5450690871241</c:v>
                </c:pt>
                <c:pt idx="55">
                  <c:v>1052.798159048815</c:v>
                </c:pt>
                <c:pt idx="56">
                  <c:v>1040.8368054653467</c:v>
                </c:pt>
                <c:pt idx="57">
                  <c:v>1028.7202169248492</c:v>
                </c:pt>
                <c:pt idx="58">
                  <c:v>1016.5002325954529</c:v>
                </c:pt>
                <c:pt idx="59">
                  <c:v>1004.2220805221004</c:v>
                </c:pt>
                <c:pt idx="60">
                  <c:v>991.92507838633969</c:v>
                </c:pt>
                <c:pt idx="61">
                  <c:v>979.64327601217906</c:v>
                </c:pt>
                <c:pt idx="62">
                  <c:v>967.40604064166655</c:v>
                </c:pt>
                <c:pt idx="63">
                  <c:v>955.23858719797806</c:v>
                </c:pt>
                <c:pt idx="64">
                  <c:v>943.1624565289037</c:v>
                </c:pt>
                <c:pt idx="65">
                  <c:v>931.19594508298576</c:v>
                </c:pt>
                <c:pt idx="66">
                  <c:v>919.35448969635536</c:v>
                </c:pt>
                <c:pt idx="67">
                  <c:v>907.65101122525493</c:v>
                </c:pt>
                <c:pt idx="68">
                  <c:v>896.096220697332</c:v>
                </c:pt>
                <c:pt idx="69">
                  <c:v>884.69889151241694</c:v>
                </c:pt>
                <c:pt idx="70">
                  <c:v>873.46610102949251</c:v>
                </c:pt>
                <c:pt idx="71">
                  <c:v>862.40344465245073</c:v>
                </c:pt>
                <c:pt idx="72">
                  <c:v>851.51522528858118</c:v>
                </c:pt>
                <c:pt idx="73">
                  <c:v>840.80462081183055</c:v>
                </c:pt>
                <c:pt idx="74">
                  <c:v>830.27383192539469</c:v>
                </c:pt>
                <c:pt idx="75">
                  <c:v>819.92421259042817</c:v>
                </c:pt>
                <c:pt idx="76">
                  <c:v>809.75638497277669</c:v>
                </c:pt>
                <c:pt idx="77">
                  <c:v>799.77034065962675</c:v>
                </c:pt>
                <c:pt idx="78">
                  <c:v>789.96552971357346</c:v>
                </c:pt>
                <c:pt idx="79">
                  <c:v>780.34093896306422</c:v>
                </c:pt>
                <c:pt idx="80">
                  <c:v>770.89516077504493</c:v>
                </c:pt>
                <c:pt idx="81">
                  <c:v>761.62645341732514</c:v>
                </c:pt>
                <c:pt idx="82">
                  <c:v>752.5327939936933</c:v>
                </c:pt>
                <c:pt idx="83">
                  <c:v>743.61192482330728</c:v>
                </c:pt>
                <c:pt idx="84">
                  <c:v>734.86139403616733</c:v>
                </c:pt>
                <c:pt idx="85">
                  <c:v>726.2785910676281</c:v>
                </c:pt>
                <c:pt idx="86">
                  <c:v>717.86077765585503</c:v>
                </c:pt>
                <c:pt idx="87">
                  <c:v>709.60511487591521</c:v>
                </c:pt>
                <c:pt idx="88">
                  <c:v>701.50868668194289</c:v>
                </c:pt>
                <c:pt idx="89">
                  <c:v>693.56852037367355</c:v>
                </c:pt>
                <c:pt idx="90">
                  <c:v>685.78160435482948</c:v>
                </c:pt>
                <c:pt idx="91">
                  <c:v>678.14490350771337</c:v>
                </c:pt>
                <c:pt idx="92">
                  <c:v>670.65537247021166</c:v>
                </c:pt>
                <c:pt idx="93">
                  <c:v>663.30996706775545</c:v>
                </c:pt>
                <c:pt idx="94">
                  <c:v>656.10565412303845</c:v>
                </c:pt>
                <c:pt idx="95">
                  <c:v>649.03941984006372</c:v>
                </c:pt>
                <c:pt idx="96">
                  <c:v>642.10827693591671</c:v>
                </c:pt>
                <c:pt idx="97">
                  <c:v>635.30927067324615</c:v>
                </c:pt>
                <c:pt idx="98">
                  <c:v>628.63948392839586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BB-4E0E-AA64-94523231EAB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'Range Mach'!$R$28</c:f>
              <c:numCache>
                <c:formatCode>General</c:formatCode>
                <c:ptCount val="1"/>
                <c:pt idx="0">
                  <c:v>0.44000000000000022</c:v>
                </c:pt>
              </c:numCache>
            </c:numRef>
          </c:xVal>
          <c:yVal>
            <c:numRef>
              <c:f>'Range Mach'!$P$28</c:f>
              <c:numCache>
                <c:formatCode>General</c:formatCode>
                <c:ptCount val="1"/>
                <c:pt idx="0">
                  <c:v>1153.4557528023508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57-4CA4-B676-2BBF91DA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849120"/>
        <c:axId val="1792829568"/>
      </c:scatterChart>
      <c:valAx>
        <c:axId val="1792849120"/>
        <c:scaling>
          <c:orientation val="minMax"/>
          <c:max val="1.1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92829568"/>
        <c:crosses val="autoZero"/>
        <c:crossBetween val="midCat"/>
      </c:valAx>
      <c:valAx>
        <c:axId val="17928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/>
                  <a:t>Range (nmi)</a:t>
                </a:r>
              </a:p>
            </c:rich>
          </c:tx>
          <c:layout>
            <c:manualLayout>
              <c:xMode val="edge"/>
              <c:yMode val="edge"/>
              <c:x val="2.0767890590250578E-2"/>
              <c:y val="0.34229902224867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928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'Ceiling '!$H$23:$H$107</c:f>
              <c:numCache>
                <c:formatCode>General</c:formatCode>
                <c:ptCount val="8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</c:numCache>
            </c:numRef>
          </c:xVal>
          <c:yVal>
            <c:numRef>
              <c:f>'Ceiling '!$AK$23:$AK$101</c:f>
              <c:numCache>
                <c:formatCode>General</c:formatCode>
                <c:ptCount val="79"/>
                <c:pt idx="0">
                  <c:v>8636.5114371130221</c:v>
                </c:pt>
                <c:pt idx="1">
                  <c:v>8445.5013389410196</c:v>
                </c:pt>
                <c:pt idx="2">
                  <c:v>8257.4842009700315</c:v>
                </c:pt>
                <c:pt idx="3">
                  <c:v>8072.4145205461764</c:v>
                </c:pt>
                <c:pt idx="4">
                  <c:v>7890.2471590242603</c:v>
                </c:pt>
                <c:pt idx="5">
                  <c:v>7710.9373380356028</c:v>
                </c:pt>
                <c:pt idx="6">
                  <c:v>7534.4406357942153</c:v>
                </c:pt>
                <c:pt idx="7">
                  <c:v>7360.7129834449561</c:v>
                </c:pt>
                <c:pt idx="8">
                  <c:v>7189.7106614574632</c:v>
                </c:pt>
                <c:pt idx="9">
                  <c:v>7021.3902960696751</c:v>
                </c:pt>
                <c:pt idx="10">
                  <c:v>6855.7088557851685</c:v>
                </c:pt>
                <c:pt idx="11">
                  <c:v>6692.6236479284289</c:v>
                </c:pt>
                <c:pt idx="12">
                  <c:v>6532.0923152624964</c:v>
                </c:pt>
                <c:pt idx="13">
                  <c:v>6374.0728326734179</c:v>
                </c:pt>
                <c:pt idx="14">
                  <c:v>6218.523503926087</c:v>
                </c:pt>
                <c:pt idx="15">
                  <c:v>6065.4029584961836</c:v>
                </c:pt>
                <c:pt idx="16">
                  <c:v>5914.6701484829582</c:v>
                </c:pt>
                <c:pt idx="17">
                  <c:v>5766.2843456075834</c:v>
                </c:pt>
                <c:pt idx="18">
                  <c:v>5620.2051383019461</c:v>
                </c:pt>
                <c:pt idx="19">
                  <c:v>5476.3924288926219</c:v>
                </c:pt>
                <c:pt idx="20">
                  <c:v>5334.8064308847643</c:v>
                </c:pt>
                <c:pt idx="21">
                  <c:v>5195.4076663506294</c:v>
                </c:pt>
                <c:pt idx="22">
                  <c:v>5058.1569634270927</c:v>
                </c:pt>
                <c:pt idx="23">
                  <c:v>4923.0154539267405</c:v>
                </c:pt>
                <c:pt idx="24">
                  <c:v>4789.9445710664404</c:v>
                </c:pt>
                <c:pt idx="25">
                  <c:v>4658.9060473173722</c:v>
                </c:pt>
                <c:pt idx="26">
                  <c:v>4529.861912380039</c:v>
                </c:pt>
                <c:pt idx="27">
                  <c:v>4402.774491287304</c:v>
                </c:pt>
                <c:pt idx="28">
                  <c:v>4277.6064026383401</c:v>
                </c:pt>
                <c:pt idx="29">
                  <c:v>4154.3205569654529</c:v>
                </c:pt>
                <c:pt idx="30">
                  <c:v>4032.8801552355485</c:v>
                </c:pt>
                <c:pt idx="31">
                  <c:v>3913.2486874872238</c:v>
                </c:pt>
                <c:pt idx="32">
                  <c:v>3795.3899316036586</c:v>
                </c:pt>
                <c:pt idx="33">
                  <c:v>3679.2679522209387</c:v>
                </c:pt>
                <c:pt idx="34">
                  <c:v>3564.8470997703898</c:v>
                </c:pt>
                <c:pt idx="35">
                  <c:v>3452.0920096528425</c:v>
                </c:pt>
                <c:pt idx="36">
                  <c:v>3340.9676015415298</c:v>
                </c:pt>
                <c:pt idx="37">
                  <c:v>3231.4390788095875</c:v>
                </c:pt>
                <c:pt idx="38">
                  <c:v>3123.4719280768827</c:v>
                </c:pt>
                <c:pt idx="39">
                  <c:v>3017.031918869935</c:v>
                </c:pt>
                <c:pt idx="40">
                  <c:v>2912.0851033874869</c:v>
                </c:pt>
                <c:pt idx="41">
                  <c:v>2808.5978163632108</c:v>
                </c:pt>
                <c:pt idx="42">
                  <c:v>2706.536675015836</c:v>
                </c:pt>
                <c:pt idx="43">
                  <c:v>2605.8685790758668</c:v>
                </c:pt>
                <c:pt idx="44">
                  <c:v>2506.5607108769282</c:v>
                </c:pt>
                <c:pt idx="45">
                  <c:v>2408.5805354985323</c:v>
                </c:pt>
                <c:pt idx="46">
                  <c:v>2311.8958009462517</c:v>
                </c:pt>
                <c:pt idx="47">
                  <c:v>2216.4745383539816</c:v>
                </c:pt>
                <c:pt idx="48">
                  <c:v>2122.2850621921507</c:v>
                </c:pt>
                <c:pt idx="49">
                  <c:v>2029.2959704649243</c:v>
                </c:pt>
                <c:pt idx="50">
                  <c:v>1937.4761448785091</c:v>
                </c:pt>
                <c:pt idx="51">
                  <c:v>1846.794750962197</c:v>
                </c:pt>
                <c:pt idx="52">
                  <c:v>1757.2212381229804</c:v>
                </c:pt>
                <c:pt idx="53">
                  <c:v>1668.7253396144595</c:v>
                </c:pt>
                <c:pt idx="54">
                  <c:v>1581.2770724002417</c:v>
                </c:pt>
                <c:pt idx="55">
                  <c:v>1494.846736891996</c:v>
                </c:pt>
                <c:pt idx="56">
                  <c:v>1409.4049165423867</c:v>
                </c:pt>
                <c:pt idx="57">
                  <c:v>1324.9224772732111</c:v>
                </c:pt>
                <c:pt idx="58">
                  <c:v>1241.3705667194517</c:v>
                </c:pt>
                <c:pt idx="59">
                  <c:v>1158.7206132704571</c:v>
                </c:pt>
                <c:pt idx="60">
                  <c:v>1076.9443248900218</c:v>
                </c:pt>
                <c:pt idx="61">
                  <c:v>996.01368769801297</c:v>
                </c:pt>
                <c:pt idx="62">
                  <c:v>915.90096429703908</c:v>
                </c:pt>
                <c:pt idx="63">
                  <c:v>836.57869182872821</c:v>
                </c:pt>
                <c:pt idx="64">
                  <c:v>758.01967974523825</c:v>
                </c:pt>
                <c:pt idx="65">
                  <c:v>680.19700728297948</c:v>
                </c:pt>
                <c:pt idx="66">
                  <c:v>603.08402062668449</c:v>
                </c:pt>
                <c:pt idx="67">
                  <c:v>526.65432975342469</c:v>
                </c:pt>
                <c:pt idx="68">
                  <c:v>450.88180494745137</c:v>
                </c:pt>
                <c:pt idx="69">
                  <c:v>375.74057297824754</c:v>
                </c:pt>
                <c:pt idx="70">
                  <c:v>301.20501293543913</c:v>
                </c:pt>
                <c:pt idx="71">
                  <c:v>227.24975171568119</c:v>
                </c:pt>
                <c:pt idx="72">
                  <c:v>153.84965915789212</c:v>
                </c:pt>
                <c:pt idx="73">
                  <c:v>80.284309404190751</c:v>
                </c:pt>
                <c:pt idx="74">
                  <c:v>7.1461334694827778</c:v>
                </c:pt>
                <c:pt idx="75">
                  <c:v>-65.483629174916288</c:v>
                </c:pt>
                <c:pt idx="76">
                  <c:v>-137.63319161739739</c:v>
                </c:pt>
                <c:pt idx="77">
                  <c:v>-209.33006053156555</c:v>
                </c:pt>
                <c:pt idx="78">
                  <c:v>-280.60105695560446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69-43B3-AF23-2DD876FCD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64896"/>
        <c:axId val="533661984"/>
      </c:scatterChart>
      <c:valAx>
        <c:axId val="53366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Altitude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61984"/>
        <c:crosses val="autoZero"/>
        <c:crossBetween val="midCat"/>
      </c:valAx>
      <c:valAx>
        <c:axId val="533661984"/>
        <c:scaling>
          <c:orientation val="minMax"/>
          <c:max val="8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latin typeface="+mn-lt"/>
                    <a:cs typeface="Times New Roman" panose="02020603050405020304" pitchFamily="18" charset="0"/>
                  </a:rPr>
                  <a:t>Maximum Rate of Climb (ft/min)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64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20020540910647"/>
          <c:y val="4.7210300429184553E-2"/>
          <c:w val="0.82073086516359373"/>
          <c:h val="0.70538110524118669"/>
        </c:manualLayout>
      </c:layout>
      <c:scatterChart>
        <c:scatterStyle val="smoothMarker"/>
        <c:varyColors val="0"/>
        <c:ser>
          <c:idx val="0"/>
          <c:order val="0"/>
          <c:tx>
            <c:v>Min Velocity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'Flight Envelope'!$C$6:$C$84</c:f>
              <c:numCache>
                <c:formatCode>General</c:formatCode>
                <c:ptCount val="79"/>
                <c:pt idx="0">
                  <c:v>107.71395190398718</c:v>
                </c:pt>
                <c:pt idx="1">
                  <c:v>109.47983745093399</c:v>
                </c:pt>
                <c:pt idx="2">
                  <c:v>111.28022377041414</c:v>
                </c:pt>
                <c:pt idx="3">
                  <c:v>113.11595626806886</c:v>
                </c:pt>
                <c:pt idx="4">
                  <c:v>114.98790684190443</c:v>
                </c:pt>
                <c:pt idx="5">
                  <c:v>116.89697459192303</c:v>
                </c:pt>
                <c:pt idx="6">
                  <c:v>118.84408737367345</c:v>
                </c:pt>
                <c:pt idx="7">
                  <c:v>120.83020247633901</c:v>
                </c:pt>
                <c:pt idx="8">
                  <c:v>122.85630831912445</c:v>
                </c:pt>
                <c:pt idx="9">
                  <c:v>124.92342558196543</c:v>
                </c:pt>
                <c:pt idx="10">
                  <c:v>127.03260844645712</c:v>
                </c:pt>
                <c:pt idx="11">
                  <c:v>129.18494635143762</c:v>
                </c:pt>
                <c:pt idx="12">
                  <c:v>131.3815654127022</c:v>
                </c:pt>
                <c:pt idx="13">
                  <c:v>133.62363007090315</c:v>
                </c:pt>
                <c:pt idx="14">
                  <c:v>135.91234475309437</c:v>
                </c:pt>
                <c:pt idx="15">
                  <c:v>138.24895597670002</c:v>
                </c:pt>
                <c:pt idx="16">
                  <c:v>140.63475416445837</c:v>
                </c:pt>
                <c:pt idx="17">
                  <c:v>143.07107555021628</c:v>
                </c:pt>
                <c:pt idx="18">
                  <c:v>145.55930496066702</c:v>
                </c:pt>
                <c:pt idx="19">
                  <c:v>148.10087754891836</c:v>
                </c:pt>
                <c:pt idx="20">
                  <c:v>150.6972817997229</c:v>
                </c:pt>
                <c:pt idx="21">
                  <c:v>153.35006205390002</c:v>
                </c:pt>
                <c:pt idx="22">
                  <c:v>156.06082129093051</c:v>
                </c:pt>
                <c:pt idx="23">
                  <c:v>158.83122455432095</c:v>
                </c:pt>
                <c:pt idx="24">
                  <c:v>161.66300195337516</c:v>
                </c:pt>
                <c:pt idx="25">
                  <c:v>164.55795270388433</c:v>
                </c:pt>
                <c:pt idx="26">
                  <c:v>167.51794812934597</c:v>
                </c:pt>
                <c:pt idx="27">
                  <c:v>170.54493676198373</c:v>
                </c:pt>
                <c:pt idx="28">
                  <c:v>173.64094819653965</c:v>
                </c:pt>
                <c:pt idx="29">
                  <c:v>176.80809801642746</c:v>
                </c:pt>
                <c:pt idx="30">
                  <c:v>180.04859314003667</c:v>
                </c:pt>
                <c:pt idx="31">
                  <c:v>183.36473747994685</c:v>
                </c:pt>
                <c:pt idx="32">
                  <c:v>186.75893760984269</c:v>
                </c:pt>
                <c:pt idx="33">
                  <c:v>190.23371017992753</c:v>
                </c:pt>
                <c:pt idx="34">
                  <c:v>193.79168873741432</c:v>
                </c:pt>
                <c:pt idx="35">
                  <c:v>197.43563163810094</c:v>
                </c:pt>
                <c:pt idx="36">
                  <c:v>201.1684305163046</c:v>
                </c:pt>
                <c:pt idx="37">
                  <c:v>204.99312069154638</c:v>
                </c:pt>
                <c:pt idx="38">
                  <c:v>208.91289034665098</c:v>
                </c:pt>
                <c:pt idx="39">
                  <c:v>212.9310929319235</c:v>
                </c:pt>
                <c:pt idx="40">
                  <c:v>217.05125970567548</c:v>
                </c:pt>
                <c:pt idx="41">
                  <c:v>221.27711359083997</c:v>
                </c:pt>
                <c:pt idx="42">
                  <c:v>225.61258475975742</c:v>
                </c:pt>
                <c:pt idx="43">
                  <c:v>230.06182822367086</c:v>
                </c:pt>
                <c:pt idx="44">
                  <c:v>234.62924350273363</c:v>
                </c:pt>
                <c:pt idx="45">
                  <c:v>239.31949538547141</c:v>
                </c:pt>
                <c:pt idx="46">
                  <c:v>244.13753930738139</c:v>
                </c:pt>
                <c:pt idx="47">
                  <c:v>249.08864860279459</c:v>
                </c:pt>
                <c:pt idx="48">
                  <c:v>254.17844566728326</c:v>
                </c:pt>
                <c:pt idx="49">
                  <c:v>259.41293724823311</c:v>
                </c:pt>
                <c:pt idx="50">
                  <c:v>264.7985552182983</c:v>
                </c:pt>
                <c:pt idx="51">
                  <c:v>270.34220268690439</c:v>
                </c:pt>
                <c:pt idx="52">
                  <c:v>276.0513076045782</c:v>
                </c:pt>
                <c:pt idx="53">
                  <c:v>281.93388451136008</c:v>
                </c:pt>
                <c:pt idx="54">
                  <c:v>287.99860658595657</c:v>
                </c:pt>
                <c:pt idx="55">
                  <c:v>294.25488983755787</c:v>
                </c:pt>
                <c:pt idx="56">
                  <c:v>300.71299243771745</c:v>
                </c:pt>
                <c:pt idx="57">
                  <c:v>307.38413238700946</c:v>
                </c:pt>
                <c:pt idx="58">
                  <c:v>314.28062819208697</c:v>
                </c:pt>
                <c:pt idx="59">
                  <c:v>321.41606792902815</c:v>
                </c:pt>
                <c:pt idx="60">
                  <c:v>328.80551499131553</c:v>
                </c:pt>
                <c:pt idx="61">
                  <c:v>336.46575970358469</c:v>
                </c:pt>
                <c:pt idx="62">
                  <c:v>344.41563095675411</c:v>
                </c:pt>
                <c:pt idx="63">
                  <c:v>352.67638676044385</c:v>
                </c:pt>
                <c:pt idx="64">
                  <c:v>361.27220855874941</c:v>
                </c:pt>
                <c:pt idx="65">
                  <c:v>370.23083710752621</c:v>
                </c:pt>
                <c:pt idx="66">
                  <c:v>379.58440228562375</c:v>
                </c:pt>
                <c:pt idx="67">
                  <c:v>389.37052538305954</c:v>
                </c:pt>
                <c:pt idx="68">
                  <c:v>399.63381274300559</c:v>
                </c:pt>
                <c:pt idx="69">
                  <c:v>412.38546485873866</c:v>
                </c:pt>
                <c:pt idx="70">
                  <c:v>426.35815811774035</c:v>
                </c:pt>
                <c:pt idx="71">
                  <c:v>441.28764939787442</c:v>
                </c:pt>
                <c:pt idx="72">
                  <c:v>457.3630435633022</c:v>
                </c:pt>
                <c:pt idx="73">
                  <c:v>474.8542487580861</c:v>
                </c:pt>
                <c:pt idx="74">
                  <c:v>494.17212516098391</c:v>
                </c:pt>
                <c:pt idx="75">
                  <c:v>516.00294822518185</c:v>
                </c:pt>
                <c:pt idx="76">
                  <c:v>541.6751822873573</c:v>
                </c:pt>
                <c:pt idx="77">
                  <c:v>574.59638223753598</c:v>
                </c:pt>
                <c:pt idx="78">
                  <c:v>649.98954922373719</c:v>
                </c:pt>
              </c:numCache>
            </c:numRef>
          </c:xVal>
          <c:yVal>
            <c:numRef>
              <c:f>'Flight Envelope'!$A$6:$A$82</c:f>
              <c:numCache>
                <c:formatCode>General</c:formatCode>
                <c:ptCount val="77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6-49A9-B7C7-0253A9AF879F}"/>
            </c:ext>
          </c:extLst>
        </c:ser>
        <c:ser>
          <c:idx val="1"/>
          <c:order val="1"/>
          <c:tx>
            <c:v>Max Velocity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'Flight Envelope'!$E$6:$E$84</c:f>
              <c:numCache>
                <c:formatCode>General</c:formatCode>
                <c:ptCount val="79"/>
                <c:pt idx="0">
                  <c:v>914.99848918838836</c:v>
                </c:pt>
                <c:pt idx="1">
                  <c:v>914.77706214382806</c:v>
                </c:pt>
                <c:pt idx="2">
                  <c:v>914.5477705967935</c:v>
                </c:pt>
                <c:pt idx="3">
                  <c:v>914.31029619607841</c:v>
                </c:pt>
                <c:pt idx="4">
                  <c:v>914.06430579598066</c:v>
                </c:pt>
                <c:pt idx="5">
                  <c:v>913.80945070848838</c:v>
                </c:pt>
                <c:pt idx="6">
                  <c:v>913.54536580235265</c:v>
                </c:pt>
                <c:pt idx="7">
                  <c:v>913.27166867287599</c:v>
                </c:pt>
                <c:pt idx="8">
                  <c:v>912.98795862599752</c:v>
                </c:pt>
                <c:pt idx="9">
                  <c:v>912.69381568531787</c:v>
                </c:pt>
                <c:pt idx="10">
                  <c:v>912.38879952941568</c:v>
                </c:pt>
                <c:pt idx="11">
                  <c:v>912.07244829466788</c:v>
                </c:pt>
                <c:pt idx="12">
                  <c:v>911.74427735960785</c:v>
                </c:pt>
                <c:pt idx="13">
                  <c:v>911.40377802619162</c:v>
                </c:pt>
                <c:pt idx="14">
                  <c:v>911.05041612335958</c:v>
                </c:pt>
                <c:pt idx="15">
                  <c:v>910.68363046029026</c:v>
                </c:pt>
                <c:pt idx="16">
                  <c:v>910.30283123399374</c:v>
                </c:pt>
                <c:pt idx="17">
                  <c:v>909.90739832891552</c:v>
                </c:pt>
                <c:pt idx="18">
                  <c:v>909.49667937042625</c:v>
                </c:pt>
                <c:pt idx="19">
                  <c:v>909.06998783425706</c:v>
                </c:pt>
                <c:pt idx="20">
                  <c:v>908.62660082594766</c:v>
                </c:pt>
                <c:pt idx="21">
                  <c:v>908.16575680387587</c:v>
                </c:pt>
                <c:pt idx="22">
                  <c:v>907.68665311516759</c:v>
                </c:pt>
                <c:pt idx="23">
                  <c:v>907.18844325987584</c:v>
                </c:pt>
                <c:pt idx="24">
                  <c:v>906.67023405557893</c:v>
                </c:pt>
                <c:pt idx="25">
                  <c:v>906.13108242527358</c:v>
                </c:pt>
                <c:pt idx="26">
                  <c:v>905.56999216927068</c:v>
                </c:pt>
                <c:pt idx="27">
                  <c:v>904.98591011993346</c:v>
                </c:pt>
                <c:pt idx="28">
                  <c:v>904.3777222764204</c:v>
                </c:pt>
                <c:pt idx="29">
                  <c:v>903.74424946341765</c:v>
                </c:pt>
                <c:pt idx="30">
                  <c:v>903.08424260143784</c:v>
                </c:pt>
                <c:pt idx="31">
                  <c:v>902.39637757761693</c:v>
                </c:pt>
                <c:pt idx="32">
                  <c:v>901.67924974844937</c:v>
                </c:pt>
                <c:pt idx="33">
                  <c:v>900.93136766815212</c:v>
                </c:pt>
                <c:pt idx="34">
                  <c:v>900.1511464806058</c:v>
                </c:pt>
                <c:pt idx="35">
                  <c:v>899.33690057496347</c:v>
                </c:pt>
                <c:pt idx="36">
                  <c:v>898.48683555503908</c:v>
                </c:pt>
                <c:pt idx="37">
                  <c:v>897.59903913643427</c:v>
                </c:pt>
                <c:pt idx="38">
                  <c:v>896.67147161413436</c:v>
                </c:pt>
                <c:pt idx="39">
                  <c:v>895.70195479397796</c:v>
                </c:pt>
                <c:pt idx="40">
                  <c:v>894.68815998181958</c:v>
                </c:pt>
                <c:pt idx="41">
                  <c:v>893.62759464594171</c:v>
                </c:pt>
                <c:pt idx="42">
                  <c:v>892.51758750926263</c:v>
                </c:pt>
                <c:pt idx="43">
                  <c:v>891.35527183088914</c:v>
                </c:pt>
                <c:pt idx="44">
                  <c:v>890.13756665931453</c:v>
                </c:pt>
                <c:pt idx="45">
                  <c:v>888.8611561063168</c:v>
                </c:pt>
                <c:pt idx="46">
                  <c:v>887.52246544049046</c:v>
                </c:pt>
                <c:pt idx="47">
                  <c:v>886.11763440427831</c:v>
                </c:pt>
                <c:pt idx="48">
                  <c:v>884.64248684431891</c:v>
                </c:pt>
                <c:pt idx="49">
                  <c:v>883.09249614513021</c:v>
                </c:pt>
                <c:pt idx="50">
                  <c:v>881.46274553767626</c:v>
                </c:pt>
                <c:pt idx="51">
                  <c:v>879.74788267910503</c:v>
                </c:pt>
                <c:pt idx="52">
                  <c:v>877.94206708147738</c:v>
                </c:pt>
                <c:pt idx="53">
                  <c:v>876.03890922669768</c:v>
                </c:pt>
                <c:pt idx="54">
                  <c:v>874.03139951958792</c:v>
                </c:pt>
                <c:pt idx="55">
                  <c:v>871.91182502914398</c:v>
                </c:pt>
                <c:pt idx="56">
                  <c:v>869.67167121569821</c:v>
                </c:pt>
                <c:pt idx="57">
                  <c:v>867.30150527742273</c:v>
                </c:pt>
                <c:pt idx="58">
                  <c:v>864.79083659763126</c:v>
                </c:pt>
                <c:pt idx="59">
                  <c:v>862.12794866644094</c:v>
                </c:pt>
                <c:pt idx="60">
                  <c:v>859.29969463720658</c:v>
                </c:pt>
                <c:pt idx="61">
                  <c:v>856.29124676341974</c:v>
                </c:pt>
                <c:pt idx="62">
                  <c:v>853.0857859227566</c:v>
                </c:pt>
                <c:pt idx="63">
                  <c:v>849.66411249336909</c:v>
                </c:pt>
                <c:pt idx="64">
                  <c:v>846.00415311436836</c:v>
                </c:pt>
                <c:pt idx="65">
                  <c:v>842.08032621316522</c:v>
                </c:pt>
                <c:pt idx="66">
                  <c:v>837.86271354378437</c:v>
                </c:pt>
                <c:pt idx="67">
                  <c:v>833.31595928832462</c:v>
                </c:pt>
                <c:pt idx="68">
                  <c:v>828.39777780479301</c:v>
                </c:pt>
                <c:pt idx="69">
                  <c:v>822.06956082847455</c:v>
                </c:pt>
                <c:pt idx="70">
                  <c:v>814.85230523488792</c:v>
                </c:pt>
                <c:pt idx="71">
                  <c:v>806.80506770628335</c:v>
                </c:pt>
                <c:pt idx="72">
                  <c:v>797.74062193959537</c:v>
                </c:pt>
                <c:pt idx="73">
                  <c:v>787.39095398983523</c:v>
                </c:pt>
                <c:pt idx="74">
                  <c:v>775.34711336383373</c:v>
                </c:pt>
                <c:pt idx="75">
                  <c:v>760.92474955223815</c:v>
                </c:pt>
                <c:pt idx="76">
                  <c:v>742.79733873163036</c:v>
                </c:pt>
                <c:pt idx="77">
                  <c:v>717.55928190542829</c:v>
                </c:pt>
                <c:pt idx="78">
                  <c:v>649.98954922373719</c:v>
                </c:pt>
              </c:numCache>
            </c:numRef>
          </c:xVal>
          <c:yVal>
            <c:numRef>
              <c:f>'Flight Envelope'!$A$6:$A$82</c:f>
              <c:numCache>
                <c:formatCode>General</c:formatCode>
                <c:ptCount val="77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26-49A9-B7C7-0253A9AF879F}"/>
            </c:ext>
          </c:extLst>
        </c:ser>
        <c:ser>
          <c:idx val="2"/>
          <c:order val="2"/>
          <c:tx>
            <c:v>Stall Velocity</c:v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'Flight Envelope'!$G$6:$G$84</c:f>
              <c:numCache>
                <c:formatCode>General</c:formatCode>
                <c:ptCount val="79"/>
                <c:pt idx="0">
                  <c:v>176.12929591285354</c:v>
                </c:pt>
                <c:pt idx="1">
                  <c:v>177.51128206859147</c:v>
                </c:pt>
                <c:pt idx="2">
                  <c:v>178.90864921038886</c:v>
                </c:pt>
                <c:pt idx="3">
                  <c:v>180.3216239324079</c:v>
                </c:pt>
                <c:pt idx="4">
                  <c:v>181.75043712340874</c:v>
                </c:pt>
                <c:pt idx="5">
                  <c:v>183.19532378422417</c:v>
                </c:pt>
                <c:pt idx="6">
                  <c:v>184.65652344952122</c:v>
                </c:pt>
                <c:pt idx="7">
                  <c:v>186.13427990189865</c:v>
                </c:pt>
                <c:pt idx="8">
                  <c:v>187.62884160813729</c:v>
                </c:pt>
                <c:pt idx="9">
                  <c:v>189.14046167838967</c:v>
                </c:pt>
                <c:pt idx="10">
                  <c:v>190.66939786099334</c:v>
                </c:pt>
                <c:pt idx="11">
                  <c:v>192.21591285678687</c:v>
                </c:pt>
                <c:pt idx="12">
                  <c:v>193.78027432641665</c:v>
                </c:pt>
                <c:pt idx="13">
                  <c:v>195.3627550012871</c:v>
                </c:pt>
                <c:pt idx="14">
                  <c:v>196.96363273787097</c:v>
                </c:pt>
                <c:pt idx="15">
                  <c:v>198.58319080976915</c:v>
                </c:pt>
                <c:pt idx="16">
                  <c:v>200.22171791688132</c:v>
                </c:pt>
                <c:pt idx="17">
                  <c:v>201.87950818070982</c:v>
                </c:pt>
                <c:pt idx="18">
                  <c:v>203.55686164727186</c:v>
                </c:pt>
                <c:pt idx="19">
                  <c:v>205.25408397855472</c:v>
                </c:pt>
                <c:pt idx="20">
                  <c:v>206.97148690449896</c:v>
                </c:pt>
                <c:pt idx="21">
                  <c:v>208.70938823475993</c:v>
                </c:pt>
                <c:pt idx="22">
                  <c:v>210.46811192658248</c:v>
                </c:pt>
                <c:pt idx="23">
                  <c:v>212.24798844084927</c:v>
                </c:pt>
                <c:pt idx="24">
                  <c:v>214.04935468012923</c:v>
                </c:pt>
                <c:pt idx="25">
                  <c:v>215.87255444088743</c:v>
                </c:pt>
                <c:pt idx="26">
                  <c:v>217.71793804105639</c:v>
                </c:pt>
                <c:pt idx="27">
                  <c:v>219.58586309244478</c:v>
                </c:pt>
                <c:pt idx="28">
                  <c:v>221.47669428653694</c:v>
                </c:pt>
                <c:pt idx="29">
                  <c:v>223.39080363848834</c:v>
                </c:pt>
                <c:pt idx="30">
                  <c:v>225.32857074767645</c:v>
                </c:pt>
                <c:pt idx="31">
                  <c:v>227.29038298611843</c:v>
                </c:pt>
                <c:pt idx="32">
                  <c:v>229.2766354153103</c:v>
                </c:pt>
                <c:pt idx="33">
                  <c:v>231.2877314242096</c:v>
                </c:pt>
                <c:pt idx="34">
                  <c:v>233.32408266575038</c:v>
                </c:pt>
                <c:pt idx="35">
                  <c:v>235.38610925543938</c:v>
                </c:pt>
                <c:pt idx="36">
                  <c:v>237.47423987284168</c:v>
                </c:pt>
                <c:pt idx="37">
                  <c:v>239.58891248252084</c:v>
                </c:pt>
                <c:pt idx="38">
                  <c:v>241.7305738486447</c:v>
                </c:pt>
                <c:pt idx="39">
                  <c:v>243.89968026833463</c:v>
                </c:pt>
                <c:pt idx="40">
                  <c:v>246.09669771363627</c:v>
                </c:pt>
                <c:pt idx="41">
                  <c:v>248.32210196400342</c:v>
                </c:pt>
                <c:pt idx="42">
                  <c:v>250.57637884740075</c:v>
                </c:pt>
                <c:pt idx="43">
                  <c:v>252.8600246107514</c:v>
                </c:pt>
                <c:pt idx="44">
                  <c:v>255.17354631685106</c:v>
                </c:pt>
                <c:pt idx="45">
                  <c:v>257.51746162189244</c:v>
                </c:pt>
                <c:pt idx="46">
                  <c:v>259.89229954395626</c:v>
                </c:pt>
                <c:pt idx="47">
                  <c:v>262.29860059769118</c:v>
                </c:pt>
                <c:pt idx="48">
                  <c:v>264.73691707920955</c:v>
                </c:pt>
                <c:pt idx="49">
                  <c:v>267.20781329984209</c:v>
                </c:pt>
                <c:pt idx="50">
                  <c:v>269.71186605442415</c:v>
                </c:pt>
                <c:pt idx="51">
                  <c:v>272.24966482010365</c:v>
                </c:pt>
                <c:pt idx="52">
                  <c:v>274.82181217814588</c:v>
                </c:pt>
                <c:pt idx="53">
                  <c:v>277.42892411582932</c:v>
                </c:pt>
                <c:pt idx="54">
                  <c:v>280.07163041392232</c:v>
                </c:pt>
                <c:pt idx="55">
                  <c:v>282.75057498222515</c:v>
                </c:pt>
                <c:pt idx="56">
                  <c:v>285.46641627080021</c:v>
                </c:pt>
                <c:pt idx="57">
                  <c:v>288.21982764443908</c:v>
                </c:pt>
                <c:pt idx="58">
                  <c:v>291.01149782181386</c:v>
                </c:pt>
                <c:pt idx="59">
                  <c:v>293.84213121891776</c:v>
                </c:pt>
                <c:pt idx="60">
                  <c:v>296.71244848876728</c:v>
                </c:pt>
                <c:pt idx="61">
                  <c:v>299.62318689230165</c:v>
                </c:pt>
                <c:pt idx="62">
                  <c:v>302.57510073222039</c:v>
                </c:pt>
                <c:pt idx="63">
                  <c:v>305.56896194697748</c:v>
                </c:pt>
                <c:pt idx="64">
                  <c:v>308.60556047743034</c:v>
                </c:pt>
                <c:pt idx="65">
                  <c:v>311.68570483070249</c:v>
                </c:pt>
                <c:pt idx="66">
                  <c:v>314.81022260137274</c:v>
                </c:pt>
                <c:pt idx="67">
                  <c:v>317.97996100942765</c:v>
                </c:pt>
                <c:pt idx="68">
                  <c:v>321.19578743080353</c:v>
                </c:pt>
                <c:pt idx="69">
                  <c:v>325.0372227566358</c:v>
                </c:pt>
                <c:pt idx="70">
                  <c:v>329.0508338716038</c:v>
                </c:pt>
                <c:pt idx="71">
                  <c:v>333.11296087623305</c:v>
                </c:pt>
                <c:pt idx="72">
                  <c:v>337.22419016947566</c:v>
                </c:pt>
                <c:pt idx="73">
                  <c:v>341.38511532184947</c:v>
                </c:pt>
                <c:pt idx="74">
                  <c:v>345.59633708898104</c:v>
                </c:pt>
                <c:pt idx="75">
                  <c:v>349.85846338184444</c:v>
                </c:pt>
                <c:pt idx="76">
                  <c:v>354.17210954659754</c:v>
                </c:pt>
                <c:pt idx="77">
                  <c:v>358.53789835146495</c:v>
                </c:pt>
                <c:pt idx="78">
                  <c:v>362.95646009512939</c:v>
                </c:pt>
              </c:numCache>
            </c:numRef>
          </c:xVal>
          <c:yVal>
            <c:numRef>
              <c:f>'Flight Envelope'!$A$6:$A$82</c:f>
              <c:numCache>
                <c:formatCode>General</c:formatCode>
                <c:ptCount val="77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26-49A9-B7C7-0253A9AF879F}"/>
            </c:ext>
          </c:extLst>
        </c:ser>
        <c:ser>
          <c:idx val="3"/>
          <c:order val="3"/>
          <c:tx>
            <c:v>Absolute Ceiling</c:v>
          </c:tx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'Flight Envelope'!$I$50:$I$54</c:f>
              <c:numCache>
                <c:formatCode>General</c:formatCode>
                <c:ptCount val="5"/>
                <c:pt idx="0">
                  <c:v>0</c:v>
                </c:pt>
                <c:pt idx="1">
                  <c:v>200</c:v>
                </c:pt>
                <c:pt idx="2">
                  <c:v>500</c:v>
                </c:pt>
                <c:pt idx="3">
                  <c:v>700</c:v>
                </c:pt>
                <c:pt idx="4">
                  <c:v>1000</c:v>
                </c:pt>
              </c:numCache>
            </c:numRef>
          </c:xVal>
          <c:yVal>
            <c:numRef>
              <c:f>'Flight Envelope'!$J$50:$J$54</c:f>
              <c:numCache>
                <c:formatCode>General</c:formatCode>
                <c:ptCount val="5"/>
                <c:pt idx="0">
                  <c:v>39000</c:v>
                </c:pt>
                <c:pt idx="1">
                  <c:v>39000</c:v>
                </c:pt>
                <c:pt idx="2">
                  <c:v>39000</c:v>
                </c:pt>
                <c:pt idx="3">
                  <c:v>39000</c:v>
                </c:pt>
                <c:pt idx="4">
                  <c:v>39000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26-49A9-B7C7-0253A9AF879F}"/>
            </c:ext>
          </c:extLst>
        </c:ser>
        <c:ser>
          <c:idx val="4"/>
          <c:order val="4"/>
          <c:tx>
            <c:v>Service Ceiling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'Flight Envelope'!$I$50:$I$54</c:f>
              <c:numCache>
                <c:formatCode>General</c:formatCode>
                <c:ptCount val="5"/>
                <c:pt idx="0">
                  <c:v>0</c:v>
                </c:pt>
                <c:pt idx="1">
                  <c:v>200</c:v>
                </c:pt>
                <c:pt idx="2">
                  <c:v>500</c:v>
                </c:pt>
                <c:pt idx="3">
                  <c:v>700</c:v>
                </c:pt>
                <c:pt idx="4">
                  <c:v>1000</c:v>
                </c:pt>
              </c:numCache>
            </c:numRef>
          </c:xVal>
          <c:yVal>
            <c:numRef>
              <c:f>'Flight Envelope'!$K$50:$K$54</c:f>
              <c:numCache>
                <c:formatCode>General</c:formatCode>
                <c:ptCount val="5"/>
                <c:pt idx="0">
                  <c:v>38250</c:v>
                </c:pt>
                <c:pt idx="1">
                  <c:v>38250</c:v>
                </c:pt>
                <c:pt idx="2">
                  <c:v>38250</c:v>
                </c:pt>
                <c:pt idx="3">
                  <c:v>38250</c:v>
                </c:pt>
                <c:pt idx="4">
                  <c:v>38250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24-4E52-8C6A-08418EB15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625072"/>
        <c:axId val="1480615088"/>
      </c:scatterChart>
      <c:valAx>
        <c:axId val="1480625072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Velocity (ft/s)</a:t>
                </a:r>
              </a:p>
            </c:rich>
          </c:tx>
          <c:layout>
            <c:manualLayout>
              <c:xMode val="edge"/>
              <c:yMode val="edge"/>
              <c:x val="0.49740343326649389"/>
              <c:y val="0.820024183448732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80615088"/>
        <c:crosses val="autoZero"/>
        <c:crossBetween val="midCat"/>
      </c:valAx>
      <c:valAx>
        <c:axId val="14806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Altitude</a:t>
                </a:r>
                <a:r>
                  <a:rPr lang="en-US" baseline="0"/>
                  <a:t> (ft)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2222222222222223E-2"/>
              <c:y val="0.33890820939049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8062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'Payload-Time on Station'!$G$45:$G$65</c:f>
              <c:numCache>
                <c:formatCode>General</c:formatCode>
                <c:ptCount val="21"/>
                <c:pt idx="0">
                  <c:v>0</c:v>
                </c:pt>
                <c:pt idx="1">
                  <c:v>150</c:v>
                </c:pt>
                <c:pt idx="2">
                  <c:v>300</c:v>
                </c:pt>
                <c:pt idx="3">
                  <c:v>450</c:v>
                </c:pt>
                <c:pt idx="4">
                  <c:v>600</c:v>
                </c:pt>
                <c:pt idx="5">
                  <c:v>750</c:v>
                </c:pt>
                <c:pt idx="6">
                  <c:v>900</c:v>
                </c:pt>
                <c:pt idx="7">
                  <c:v>1050</c:v>
                </c:pt>
                <c:pt idx="8">
                  <c:v>1200</c:v>
                </c:pt>
                <c:pt idx="9">
                  <c:v>1350</c:v>
                </c:pt>
                <c:pt idx="10">
                  <c:v>1500</c:v>
                </c:pt>
                <c:pt idx="11">
                  <c:v>1650</c:v>
                </c:pt>
                <c:pt idx="12">
                  <c:v>1800</c:v>
                </c:pt>
                <c:pt idx="13">
                  <c:v>1950</c:v>
                </c:pt>
                <c:pt idx="14">
                  <c:v>2100</c:v>
                </c:pt>
                <c:pt idx="15">
                  <c:v>2250</c:v>
                </c:pt>
                <c:pt idx="16">
                  <c:v>2400</c:v>
                </c:pt>
                <c:pt idx="17">
                  <c:v>2550</c:v>
                </c:pt>
                <c:pt idx="18">
                  <c:v>2700</c:v>
                </c:pt>
                <c:pt idx="19">
                  <c:v>2850</c:v>
                </c:pt>
                <c:pt idx="20">
                  <c:v>3000</c:v>
                </c:pt>
              </c:numCache>
            </c:numRef>
          </c:xVal>
          <c:yVal>
            <c:numRef>
              <c:f>'Payload-Time on Station'!$H$45:$H$65</c:f>
              <c:numCache>
                <c:formatCode>General</c:formatCode>
                <c:ptCount val="21"/>
                <c:pt idx="0">
                  <c:v>8.2660240817500785</c:v>
                </c:pt>
                <c:pt idx="1">
                  <c:v>8.1477832886186263</c:v>
                </c:pt>
                <c:pt idx="2">
                  <c:v>8.036168313144433</c:v>
                </c:pt>
                <c:pt idx="3">
                  <c:v>7.9273684700798395</c:v>
                </c:pt>
                <c:pt idx="4">
                  <c:v>7.8206858529250027</c:v>
                </c:pt>
                <c:pt idx="5">
                  <c:v>7.7160579896259955</c:v>
                </c:pt>
                <c:pt idx="6">
                  <c:v>7.6134254713881058</c:v>
                </c:pt>
                <c:pt idx="7">
                  <c:v>7.5148187387921768</c:v>
                </c:pt>
                <c:pt idx="8">
                  <c:v>7.4200333365226072</c:v>
                </c:pt>
                <c:pt idx="9">
                  <c:v>7.3269367076520764</c:v>
                </c:pt>
                <c:pt idx="10">
                  <c:v>7.2354840815361792</c:v>
                </c:pt>
                <c:pt idx="11">
                  <c:v>7.1456326803296886</c:v>
                </c:pt>
                <c:pt idx="12">
                  <c:v>7.0573415833360889</c:v>
                </c:pt>
                <c:pt idx="13">
                  <c:v>6.9740704725441383</c:v>
                </c:pt>
                <c:pt idx="14">
                  <c:v>6.8921915602977597</c:v>
                </c:pt>
                <c:pt idx="15">
                  <c:v>6.8116450220174105</c:v>
                </c:pt>
                <c:pt idx="16">
                  <c:v>6.7323994905759266</c:v>
                </c:pt>
                <c:pt idx="17">
                  <c:v>6.652342983153372</c:v>
                </c:pt>
                <c:pt idx="18">
                  <c:v>6.5787231615401396</c:v>
                </c:pt>
                <c:pt idx="19">
                  <c:v>6.5062194027524276</c:v>
                </c:pt>
                <c:pt idx="20">
                  <c:v>6.4348074447548802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8-447E-96BF-830BEB188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117871"/>
        <c:axId val="1191120367"/>
      </c:scatterChart>
      <c:valAx>
        <c:axId val="1191117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120367"/>
        <c:crosses val="autoZero"/>
        <c:crossBetween val="midCat"/>
      </c:valAx>
      <c:valAx>
        <c:axId val="11911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117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'Trade study 1'!$K$23:$K$146</c:f>
              <c:numCache>
                <c:formatCode>General</c:formatCode>
                <c:ptCount val="124"/>
                <c:pt idx="0">
                  <c:v>250</c:v>
                </c:pt>
                <c:pt idx="1">
                  <c:v>255</c:v>
                </c:pt>
                <c:pt idx="2">
                  <c:v>260</c:v>
                </c:pt>
                <c:pt idx="3">
                  <c:v>265</c:v>
                </c:pt>
                <c:pt idx="4">
                  <c:v>270</c:v>
                </c:pt>
                <c:pt idx="5">
                  <c:v>275</c:v>
                </c:pt>
                <c:pt idx="6">
                  <c:v>280</c:v>
                </c:pt>
                <c:pt idx="7">
                  <c:v>285</c:v>
                </c:pt>
                <c:pt idx="8">
                  <c:v>290</c:v>
                </c:pt>
                <c:pt idx="9">
                  <c:v>295</c:v>
                </c:pt>
                <c:pt idx="10">
                  <c:v>300</c:v>
                </c:pt>
                <c:pt idx="11">
                  <c:v>305</c:v>
                </c:pt>
                <c:pt idx="12">
                  <c:v>310</c:v>
                </c:pt>
                <c:pt idx="13">
                  <c:v>315</c:v>
                </c:pt>
                <c:pt idx="14">
                  <c:v>320</c:v>
                </c:pt>
                <c:pt idx="15">
                  <c:v>325</c:v>
                </c:pt>
                <c:pt idx="16">
                  <c:v>330</c:v>
                </c:pt>
                <c:pt idx="17">
                  <c:v>335</c:v>
                </c:pt>
                <c:pt idx="18">
                  <c:v>340</c:v>
                </c:pt>
                <c:pt idx="19">
                  <c:v>345</c:v>
                </c:pt>
                <c:pt idx="20">
                  <c:v>350</c:v>
                </c:pt>
                <c:pt idx="21">
                  <c:v>355</c:v>
                </c:pt>
                <c:pt idx="22">
                  <c:v>360</c:v>
                </c:pt>
                <c:pt idx="23">
                  <c:v>365</c:v>
                </c:pt>
                <c:pt idx="24">
                  <c:v>370</c:v>
                </c:pt>
                <c:pt idx="25">
                  <c:v>375</c:v>
                </c:pt>
                <c:pt idx="26">
                  <c:v>380</c:v>
                </c:pt>
                <c:pt idx="27">
                  <c:v>385</c:v>
                </c:pt>
                <c:pt idx="28">
                  <c:v>390</c:v>
                </c:pt>
                <c:pt idx="29">
                  <c:v>395</c:v>
                </c:pt>
                <c:pt idx="30">
                  <c:v>400</c:v>
                </c:pt>
                <c:pt idx="31">
                  <c:v>405</c:v>
                </c:pt>
                <c:pt idx="32">
                  <c:v>410</c:v>
                </c:pt>
                <c:pt idx="33">
                  <c:v>415</c:v>
                </c:pt>
                <c:pt idx="34">
                  <c:v>420</c:v>
                </c:pt>
                <c:pt idx="35">
                  <c:v>425</c:v>
                </c:pt>
                <c:pt idx="36">
                  <c:v>430</c:v>
                </c:pt>
                <c:pt idx="37">
                  <c:v>435</c:v>
                </c:pt>
                <c:pt idx="38">
                  <c:v>440</c:v>
                </c:pt>
                <c:pt idx="39">
                  <c:v>445</c:v>
                </c:pt>
                <c:pt idx="40">
                  <c:v>450</c:v>
                </c:pt>
                <c:pt idx="41">
                  <c:v>455</c:v>
                </c:pt>
                <c:pt idx="42">
                  <c:v>460</c:v>
                </c:pt>
                <c:pt idx="43">
                  <c:v>465</c:v>
                </c:pt>
                <c:pt idx="44">
                  <c:v>470</c:v>
                </c:pt>
                <c:pt idx="45">
                  <c:v>475</c:v>
                </c:pt>
                <c:pt idx="46">
                  <c:v>480</c:v>
                </c:pt>
                <c:pt idx="47">
                  <c:v>485</c:v>
                </c:pt>
                <c:pt idx="48">
                  <c:v>490</c:v>
                </c:pt>
                <c:pt idx="49">
                  <c:v>495</c:v>
                </c:pt>
                <c:pt idx="50">
                  <c:v>500</c:v>
                </c:pt>
                <c:pt idx="51">
                  <c:v>505</c:v>
                </c:pt>
                <c:pt idx="52">
                  <c:v>510</c:v>
                </c:pt>
                <c:pt idx="53">
                  <c:v>515</c:v>
                </c:pt>
                <c:pt idx="54">
                  <c:v>520</c:v>
                </c:pt>
                <c:pt idx="55">
                  <c:v>525</c:v>
                </c:pt>
                <c:pt idx="56">
                  <c:v>530</c:v>
                </c:pt>
                <c:pt idx="57">
                  <c:v>535</c:v>
                </c:pt>
                <c:pt idx="58">
                  <c:v>540</c:v>
                </c:pt>
                <c:pt idx="59">
                  <c:v>545</c:v>
                </c:pt>
                <c:pt idx="60">
                  <c:v>550</c:v>
                </c:pt>
                <c:pt idx="61">
                  <c:v>555</c:v>
                </c:pt>
                <c:pt idx="62">
                  <c:v>560</c:v>
                </c:pt>
                <c:pt idx="63">
                  <c:v>565</c:v>
                </c:pt>
                <c:pt idx="64">
                  <c:v>570</c:v>
                </c:pt>
                <c:pt idx="65">
                  <c:v>575</c:v>
                </c:pt>
                <c:pt idx="66">
                  <c:v>580</c:v>
                </c:pt>
                <c:pt idx="67">
                  <c:v>585</c:v>
                </c:pt>
                <c:pt idx="68">
                  <c:v>590</c:v>
                </c:pt>
                <c:pt idx="69">
                  <c:v>595</c:v>
                </c:pt>
                <c:pt idx="70">
                  <c:v>600</c:v>
                </c:pt>
                <c:pt idx="71">
                  <c:v>605</c:v>
                </c:pt>
                <c:pt idx="72">
                  <c:v>610</c:v>
                </c:pt>
                <c:pt idx="73">
                  <c:v>615</c:v>
                </c:pt>
                <c:pt idx="74">
                  <c:v>620</c:v>
                </c:pt>
                <c:pt idx="75">
                  <c:v>625</c:v>
                </c:pt>
                <c:pt idx="76">
                  <c:v>630</c:v>
                </c:pt>
                <c:pt idx="77">
                  <c:v>635</c:v>
                </c:pt>
                <c:pt idx="78">
                  <c:v>640</c:v>
                </c:pt>
                <c:pt idx="79">
                  <c:v>645</c:v>
                </c:pt>
                <c:pt idx="80">
                  <c:v>650</c:v>
                </c:pt>
                <c:pt idx="81">
                  <c:v>655</c:v>
                </c:pt>
                <c:pt idx="82">
                  <c:v>660</c:v>
                </c:pt>
                <c:pt idx="83">
                  <c:v>665</c:v>
                </c:pt>
                <c:pt idx="84">
                  <c:v>670</c:v>
                </c:pt>
                <c:pt idx="85">
                  <c:v>675</c:v>
                </c:pt>
                <c:pt idx="86">
                  <c:v>680</c:v>
                </c:pt>
                <c:pt idx="87">
                  <c:v>685</c:v>
                </c:pt>
                <c:pt idx="88">
                  <c:v>690</c:v>
                </c:pt>
                <c:pt idx="89">
                  <c:v>695</c:v>
                </c:pt>
                <c:pt idx="90">
                  <c:v>700</c:v>
                </c:pt>
                <c:pt idx="91">
                  <c:v>705</c:v>
                </c:pt>
                <c:pt idx="92">
                  <c:v>710</c:v>
                </c:pt>
                <c:pt idx="93">
                  <c:v>715</c:v>
                </c:pt>
                <c:pt idx="94">
                  <c:v>720</c:v>
                </c:pt>
                <c:pt idx="95">
                  <c:v>725</c:v>
                </c:pt>
                <c:pt idx="96">
                  <c:v>730</c:v>
                </c:pt>
                <c:pt idx="97">
                  <c:v>735</c:v>
                </c:pt>
                <c:pt idx="98">
                  <c:v>740</c:v>
                </c:pt>
                <c:pt idx="99">
                  <c:v>745</c:v>
                </c:pt>
                <c:pt idx="100">
                  <c:v>750</c:v>
                </c:pt>
                <c:pt idx="101">
                  <c:v>755</c:v>
                </c:pt>
                <c:pt idx="102">
                  <c:v>760</c:v>
                </c:pt>
                <c:pt idx="103">
                  <c:v>765</c:v>
                </c:pt>
                <c:pt idx="104">
                  <c:v>770</c:v>
                </c:pt>
                <c:pt idx="105">
                  <c:v>775</c:v>
                </c:pt>
                <c:pt idx="106">
                  <c:v>780</c:v>
                </c:pt>
                <c:pt idx="107">
                  <c:v>785</c:v>
                </c:pt>
                <c:pt idx="108">
                  <c:v>790</c:v>
                </c:pt>
                <c:pt idx="109">
                  <c:v>795</c:v>
                </c:pt>
                <c:pt idx="110">
                  <c:v>800</c:v>
                </c:pt>
                <c:pt idx="111">
                  <c:v>805</c:v>
                </c:pt>
                <c:pt idx="112">
                  <c:v>810</c:v>
                </c:pt>
                <c:pt idx="113">
                  <c:v>815</c:v>
                </c:pt>
                <c:pt idx="114">
                  <c:v>820</c:v>
                </c:pt>
                <c:pt idx="115">
                  <c:v>825</c:v>
                </c:pt>
                <c:pt idx="116">
                  <c:v>830</c:v>
                </c:pt>
                <c:pt idx="117">
                  <c:v>835</c:v>
                </c:pt>
                <c:pt idx="118">
                  <c:v>840</c:v>
                </c:pt>
                <c:pt idx="119">
                  <c:v>845</c:v>
                </c:pt>
                <c:pt idx="120">
                  <c:v>850</c:v>
                </c:pt>
                <c:pt idx="121">
                  <c:v>855</c:v>
                </c:pt>
                <c:pt idx="122">
                  <c:v>860</c:v>
                </c:pt>
                <c:pt idx="123">
                  <c:v>865</c:v>
                </c:pt>
              </c:numCache>
            </c:numRef>
          </c:xVal>
          <c:yVal>
            <c:numRef>
              <c:f>'Trade study 1'!$AI$23:$AI$146</c:f>
              <c:numCache>
                <c:formatCode>General</c:formatCode>
                <c:ptCount val="124"/>
                <c:pt idx="0">
                  <c:v>70.181818646146468</c:v>
                </c:pt>
                <c:pt idx="1">
                  <c:v>71.999306078934268</c:v>
                </c:pt>
                <c:pt idx="2">
                  <c:v>73.791164934543417</c:v>
                </c:pt>
                <c:pt idx="3">
                  <c:v>75.558044748744521</c:v>
                </c:pt>
                <c:pt idx="4">
                  <c:v>77.300526920327954</c:v>
                </c:pt>
                <c:pt idx="5">
                  <c:v>79.01913137860781</c:v>
                </c:pt>
                <c:pt idx="6">
                  <c:v>80.71432251770679</c:v>
                </c:pt>
                <c:pt idx="7">
                  <c:v>82.386514484898512</c:v>
                </c:pt>
                <c:pt idx="8">
                  <c:v>84.036075899641006</c:v>
                </c:pt>
                <c:pt idx="9">
                  <c:v>85.663334070495267</c:v>
                </c:pt>
                <c:pt idx="10">
                  <c:v>87.268578768799614</c:v>
                </c:pt>
                <c:pt idx="11">
                  <c:v>88.852065610662876</c:v>
                </c:pt>
                <c:pt idx="12">
                  <c:v>90.414019092442501</c:v>
                </c:pt>
                <c:pt idx="13">
                  <c:v>91.954635319286197</c:v>
                </c:pt>
                <c:pt idx="14">
                  <c:v>93.474084461439219</c:v>
                </c:pt>
                <c:pt idx="15">
                  <c:v>94.972512968769735</c:v>
                </c:pt>
                <c:pt idx="16">
                  <c:v>96.450045570259675</c:v>
                </c:pt>
                <c:pt idx="17">
                  <c:v>97.906787081979047</c:v>
                </c:pt>
                <c:pt idx="18">
                  <c:v>99.342824044247521</c:v>
                </c:pt>
                <c:pt idx="19">
                  <c:v>100.75822620622884</c:v>
                </c:pt>
                <c:pt idx="20">
                  <c:v>102.15304787406167</c:v>
                </c:pt>
                <c:pt idx="21">
                  <c:v>103.52732913675453</c:v>
                </c:pt>
                <c:pt idx="22">
                  <c:v>104.88109698243539</c:v>
                </c:pt>
                <c:pt idx="23">
                  <c:v>106.21436631611029</c:v>
                </c:pt>
                <c:pt idx="24">
                  <c:v>107.52714088882799</c:v>
                </c:pt>
                <c:pt idx="25">
                  <c:v>108.81941414704387</c:v>
                </c:pt>
                <c:pt idx="26">
                  <c:v>110.09117001000524</c:v>
                </c:pt>
                <c:pt idx="27">
                  <c:v>111.34238358212819</c:v>
                </c:pt>
                <c:pt idx="28">
                  <c:v>112.57302180658233</c:v>
                </c:pt>
                <c:pt idx="29">
                  <c:v>113.78304406563795</c:v>
                </c:pt>
                <c:pt idx="30">
                  <c:v>114.97240273274352</c:v>
                </c:pt>
                <c:pt idx="31">
                  <c:v>116.14104368078276</c:v>
                </c:pt>
                <c:pt idx="32">
                  <c:v>117.28890675050292</c:v>
                </c:pt>
                <c:pt idx="33">
                  <c:v>118.41592618269732</c:v>
                </c:pt>
                <c:pt idx="34">
                  <c:v>119.5220310173649</c:v>
                </c:pt>
                <c:pt idx="35">
                  <c:v>120.60714546274738</c:v>
                </c:pt>
                <c:pt idx="36">
                  <c:v>121.67118923685975</c:v>
                </c:pt>
                <c:pt idx="37">
                  <c:v>122.71407788387327</c:v>
                </c:pt>
                <c:pt idx="38">
                  <c:v>123.73572306748372</c:v>
                </c:pt>
                <c:pt idx="39">
                  <c:v>124.73603284319404</c:v>
                </c:pt>
                <c:pt idx="40">
                  <c:v>125.71491191125781</c:v>
                </c:pt>
                <c:pt idx="41">
                  <c:v>126.67226185186821</c:v>
                </c:pt>
                <c:pt idx="42">
                  <c:v>127.60798134402977</c:v>
                </c:pt>
                <c:pt idx="43">
                  <c:v>128.52196636941972</c:v>
                </c:pt>
                <c:pt idx="44">
                  <c:v>129.41411040242704</c:v>
                </c:pt>
                <c:pt idx="45">
                  <c:v>130.28430458745191</c:v>
                </c:pt>
                <c:pt idx="46">
                  <c:v>131.13243790445173</c:v>
                </c:pt>
                <c:pt idx="47">
                  <c:v>131.95839732363402</c:v>
                </c:pt>
                <c:pt idx="48">
                  <c:v>132.76206795011819</c:v>
                </c:pt>
                <c:pt idx="49">
                  <c:v>133.54333315931859</c:v>
                </c:pt>
                <c:pt idx="50">
                  <c:v>134.30207472373579</c:v>
                </c:pt>
                <c:pt idx="51">
                  <c:v>135.03817293178744</c:v>
                </c:pt>
                <c:pt idx="52">
                  <c:v>135.751506699255</c:v>
                </c:pt>
                <c:pt idx="53">
                  <c:v>136.44195367387857</c:v>
                </c:pt>
                <c:pt idx="54">
                  <c:v>137.10939033358437</c:v>
                </c:pt>
                <c:pt idx="55">
                  <c:v>137.75369207879538</c:v>
                </c:pt>
                <c:pt idx="56">
                  <c:v>138.37473331923465</c:v>
                </c:pt>
                <c:pt idx="57">
                  <c:v>138.97238755560164</c:v>
                </c:pt>
                <c:pt idx="58">
                  <c:v>139.54652745647221</c:v>
                </c:pt>
                <c:pt idx="59">
                  <c:v>140.09702493074204</c:v>
                </c:pt>
                <c:pt idx="60">
                  <c:v>140.62375119591485</c:v>
                </c:pt>
                <c:pt idx="61">
                  <c:v>141.12657684250681</c:v>
                </c:pt>
                <c:pt idx="62">
                  <c:v>141.60537189482372</c:v>
                </c:pt>
                <c:pt idx="63">
                  <c:v>142.06000586834577</c:v>
                </c:pt>
                <c:pt idx="64">
                  <c:v>142.49034782393701</c:v>
                </c:pt>
                <c:pt idx="65">
                  <c:v>142.896266419082</c:v>
                </c:pt>
                <c:pt idx="66">
                  <c:v>143.27762995633634</c:v>
                </c:pt>
                <c:pt idx="67">
                  <c:v>143.63430642916597</c:v>
                </c:pt>
                <c:pt idx="68">
                  <c:v>143.96616356533417</c:v>
                </c:pt>
                <c:pt idx="69">
                  <c:v>144.2730688679884</c:v>
                </c:pt>
                <c:pt idx="70">
                  <c:v>144.55488965458542</c:v>
                </c:pt>
                <c:pt idx="71">
                  <c:v>144.81149309378364</c:v>
                </c:pt>
                <c:pt idx="72">
                  <c:v>145.04274624042435</c:v>
                </c:pt>
                <c:pt idx="73">
                  <c:v>145.24851606871394</c:v>
                </c:pt>
                <c:pt idx="74">
                  <c:v>145.42866950371209</c:v>
                </c:pt>
                <c:pt idx="75">
                  <c:v>145.58307345122267</c:v>
                </c:pt>
                <c:pt idx="76">
                  <c:v>145.71159482618071</c:v>
                </c:pt>
                <c:pt idx="77">
                  <c:v>145.81410057961799</c:v>
                </c:pt>
                <c:pt idx="78">
                  <c:v>145.89045772428915</c:v>
                </c:pt>
                <c:pt idx="79">
                  <c:v>145.94053335903126</c:v>
                </c:pt>
                <c:pt idx="80">
                  <c:v>145.96419469192767</c:v>
                </c:pt>
                <c:pt idx="81">
                  <c:v>145.96130906234012</c:v>
                </c:pt>
                <c:pt idx="82">
                  <c:v>145.93174396187112</c:v>
                </c:pt>
                <c:pt idx="83">
                  <c:v>145.87536705431319</c:v>
                </c:pt>
                <c:pt idx="84">
                  <c:v>145.79204619463965</c:v>
                </c:pt>
                <c:pt idx="85">
                  <c:v>145.68164944708533</c:v>
                </c:pt>
                <c:pt idx="86">
                  <c:v>145.54404510236623</c:v>
                </c:pt>
                <c:pt idx="87">
                  <c:v>145.3791016940821</c:v>
                </c:pt>
                <c:pt idx="88">
                  <c:v>145.18668801434271</c:v>
                </c:pt>
                <c:pt idx="89">
                  <c:v>144.96667312865816</c:v>
                </c:pt>
                <c:pt idx="90">
                  <c:v>144.71892639012924</c:v>
                </c:pt>
                <c:pt idx="91">
                  <c:v>144.44331745297271</c:v>
                </c:pt>
                <c:pt idx="92">
                  <c:v>144.13971628541447</c:v>
                </c:pt>
                <c:pt idx="93">
                  <c:v>143.80799318198092</c:v>
                </c:pt>
                <c:pt idx="94">
                  <c:v>143.44801877521726</c:v>
                </c:pt>
                <c:pt idx="95">
                  <c:v>143.05966404686149</c:v>
                </c:pt>
                <c:pt idx="96">
                  <c:v>142.64280033849712</c:v>
                </c:pt>
                <c:pt idx="97">
                  <c:v>142.19729936171211</c:v>
                </c:pt>
                <c:pt idx="98">
                  <c:v>141.72303320778403</c:v>
                </c:pt>
                <c:pt idx="99">
                  <c:v>141.21987435691577</c:v>
                </c:pt>
                <c:pt idx="100">
                  <c:v>140.68769568703991</c:v>
                </c:pt>
                <c:pt idx="101">
                  <c:v>140.12637048221254</c:v>
                </c:pt>
                <c:pt idx="102">
                  <c:v>139.53577244061441</c:v>
                </c:pt>
                <c:pt idx="103">
                  <c:v>138.91577568217684</c:v>
                </c:pt>
                <c:pt idx="104">
                  <c:v>138.26625475584842</c:v>
                </c:pt>
                <c:pt idx="105">
                  <c:v>137.5870846465188</c:v>
                </c:pt>
                <c:pt idx="106">
                  <c:v>136.87814078161259</c:v>
                </c:pt>
                <c:pt idx="107">
                  <c:v>136.13929903737053</c:v>
                </c:pt>
                <c:pt idx="108">
                  <c:v>135.37043574482641</c:v>
                </c:pt>
                <c:pt idx="109">
                  <c:v>134.57142769549756</c:v>
                </c:pt>
                <c:pt idx="110">
                  <c:v>133.7421521467962</c:v>
                </c:pt>
                <c:pt idx="111">
                  <c:v>132.882486827176</c:v>
                </c:pt>
                <c:pt idx="112">
                  <c:v>131.99230994102308</c:v>
                </c:pt>
                <c:pt idx="113">
                  <c:v>131.0715001733019</c:v>
                </c:pt>
                <c:pt idx="114">
                  <c:v>130.11993669396716</c:v>
                </c:pt>
                <c:pt idx="115">
                  <c:v>129.1374991621469</c:v>
                </c:pt>
                <c:pt idx="116">
                  <c:v>128.12406773011179</c:v>
                </c:pt>
                <c:pt idx="117">
                  <c:v>127.07952304703197</c:v>
                </c:pt>
                <c:pt idx="118">
                  <c:v>126.00374626253638</c:v>
                </c:pt>
                <c:pt idx="119">
                  <c:v>124.89661903007485</c:v>
                </c:pt>
                <c:pt idx="120">
                  <c:v>123.75802351009742</c:v>
                </c:pt>
                <c:pt idx="121">
                  <c:v>122.58784237305193</c:v>
                </c:pt>
                <c:pt idx="122">
                  <c:v>121.38595880220927</c:v>
                </c:pt>
                <c:pt idx="123">
                  <c:v>120.15225649632316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4-4571-A39B-269283636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63167"/>
        <c:axId val="491461919"/>
      </c:scatterChart>
      <c:valAx>
        <c:axId val="491463167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Velocity (ft/s)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61919"/>
        <c:crosses val="autoZero"/>
        <c:crossBetween val="midCat"/>
      </c:valAx>
      <c:valAx>
        <c:axId val="4914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Rate of Climb (ft/s)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63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'Trade study 2'!$J$48:$J$68</c:f>
              <c:numCache>
                <c:formatCode>General</c:formatCode>
                <c:ptCount val="21"/>
                <c:pt idx="0">
                  <c:v>0.20021828938639946</c:v>
                </c:pt>
                <c:pt idx="1">
                  <c:v>0.22741950061242822</c:v>
                </c:pt>
                <c:pt idx="2">
                  <c:v>0.25458289383985061</c:v>
                </c:pt>
                <c:pt idx="3">
                  <c:v>0.28170449652760143</c:v>
                </c:pt>
                <c:pt idx="4">
                  <c:v>0.30878051518678695</c:v>
                </c:pt>
                <c:pt idx="5">
                  <c:v>0.33580734802318063</c:v>
                </c:pt>
                <c:pt idx="6">
                  <c:v>0.36278159588042957</c:v>
                </c:pt>
                <c:pt idx="7">
                  <c:v>0.38970007144566576</c:v>
                </c:pt>
                <c:pt idx="8">
                  <c:v>0.4165598067041828</c:v>
                </c:pt>
                <c:pt idx="9">
                  <c:v>0.44335805865371636</c:v>
                </c:pt>
                <c:pt idx="10">
                  <c:v>0.47009231331081092</c:v>
                </c:pt>
                <c:pt idx="11">
                  <c:v>0.49676028806184597</c:v>
                </c:pt>
                <c:pt idx="12">
                  <c:v>0.52335993242893042</c:v>
                </c:pt>
                <c:pt idx="13">
                  <c:v>0.54988942733605417</c:v>
                </c:pt>
                <c:pt idx="14">
                  <c:v>0.57634718297337728</c:v>
                </c:pt>
                <c:pt idx="15">
                  <c:v>0.60273183536750619</c:v>
                </c:pt>
                <c:pt idx="16">
                  <c:v>0.6290422417728756</c:v>
                </c:pt>
                <c:pt idx="17">
                  <c:v>0.65527747500421396</c:v>
                </c:pt>
                <c:pt idx="18">
                  <c:v>0.68143681683257007</c:v>
                </c:pt>
                <c:pt idx="19">
                  <c:v>0.70751975056782601</c:v>
                </c:pt>
                <c:pt idx="20">
                  <c:v>0.73352595294908984</c:v>
                </c:pt>
              </c:numCache>
            </c:numRef>
          </c:xVal>
          <c:yVal>
            <c:numRef>
              <c:f>'Trade study 2'!$AN$48:$AN$68</c:f>
              <c:numCache>
                <c:formatCode>General</c:formatCode>
                <c:ptCount val="21"/>
                <c:pt idx="0">
                  <c:v>1252.1290471290824</c:v>
                </c:pt>
                <c:pt idx="1">
                  <c:v>917.45170580068668</c:v>
                </c:pt>
                <c:pt idx="2">
                  <c:v>715.85441885666637</c:v>
                </c:pt>
                <c:pt idx="3">
                  <c:v>589.54102252742484</c:v>
                </c:pt>
                <c:pt idx="4">
                  <c:v>508.43047438351226</c:v>
                </c:pt>
                <c:pt idx="5">
                  <c:v>455.79836075464118</c:v>
                </c:pt>
                <c:pt idx="6">
                  <c:v>421.83196669068508</c:v>
                </c:pt>
                <c:pt idx="7">
                  <c:v>400.50998893765916</c:v>
                </c:pt>
                <c:pt idx="8">
                  <c:v>387.99473770693203</c:v>
                </c:pt>
                <c:pt idx="9">
                  <c:v>381.75923672140317</c:v>
                </c:pt>
                <c:pt idx="10">
                  <c:v>380.09174730285679</c:v>
                </c:pt>
                <c:pt idx="11">
                  <c:v>381.80352496732922</c:v>
                </c:pt>
                <c:pt idx="12">
                  <c:v>386.050585038451</c:v>
                </c:pt>
                <c:pt idx="13">
                  <c:v>392.22175470647124</c:v>
                </c:pt>
                <c:pt idx="14">
                  <c:v>399.86650019360371</c:v>
                </c:pt>
                <c:pt idx="15">
                  <c:v>408.647299433797</c:v>
                </c:pt>
                <c:pt idx="16">
                  <c:v>418.30754664162043</c:v>
                </c:pt>
                <c:pt idx="17">
                  <c:v>428.6495095000675</c:v>
                </c:pt>
                <c:pt idx="18">
                  <c:v>439.51892691504901</c:v>
                </c:pt>
                <c:pt idx="19">
                  <c:v>450.79407564640195</c:v>
                </c:pt>
                <c:pt idx="20">
                  <c:v>462.37789580936061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AC-4D17-B358-8735B5105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136783"/>
        <c:axId val="1863007999"/>
      </c:scatterChart>
      <c:valAx>
        <c:axId val="183013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007999"/>
        <c:crosses val="autoZero"/>
        <c:crossBetween val="midCat"/>
      </c:valAx>
      <c:valAx>
        <c:axId val="186300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Fuel Burn (lb)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136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482600</xdr:colOff>
      <xdr:row>26</xdr:row>
      <xdr:rowOff>69850</xdr:rowOff>
    </xdr:from>
    <xdr:to>
      <xdr:col>6</xdr:col>
      <xdr:colOff>228600</xdr:colOff>
      <xdr:row>40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2C2AE-22D7-465D-A382-382191226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431800</xdr:colOff>
      <xdr:row>41</xdr:row>
      <xdr:rowOff>101600</xdr:rowOff>
    </xdr:from>
    <xdr:to>
      <xdr:col>6</xdr:col>
      <xdr:colOff>177800</xdr:colOff>
      <xdr:row>55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71CB2-4AEB-4EBF-8BFC-BF3C1F385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431800</xdr:colOff>
      <xdr:row>26</xdr:row>
      <xdr:rowOff>114300</xdr:rowOff>
    </xdr:from>
    <xdr:to>
      <xdr:col>11</xdr:col>
      <xdr:colOff>177800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2B82A8-8557-4172-8726-693678530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429683</xdr:colOff>
      <xdr:row>41</xdr:row>
      <xdr:rowOff>162983</xdr:rowOff>
    </xdr:from>
    <xdr:to>
      <xdr:col>13</xdr:col>
      <xdr:colOff>137583</xdr:colOff>
      <xdr:row>62</xdr:row>
      <xdr:rowOff>10583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7F6B99-452E-44F8-B8F9-E67BDBFB3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386292</xdr:colOff>
      <xdr:row>125</xdr:row>
      <xdr:rowOff>168276</xdr:rowOff>
    </xdr:from>
    <xdr:to>
      <xdr:col>13</xdr:col>
      <xdr:colOff>158750</xdr:colOff>
      <xdr:row>146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F2FFAA-B7C6-48E4-96B9-60CBA838F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26</xdr:row>
      <xdr:rowOff>38100</xdr:rowOff>
    </xdr:from>
    <xdr:to>
      <xdr:col>6</xdr:col>
      <xdr:colOff>165100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6BE1F-0A5D-491B-8636-580DED078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431800</xdr:colOff>
      <xdr:row>41</xdr:row>
      <xdr:rowOff>101600</xdr:rowOff>
    </xdr:from>
    <xdr:to>
      <xdr:col>6</xdr:col>
      <xdr:colOff>177800</xdr:colOff>
      <xdr:row>55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7C5EA4-2204-459A-AE79-CF861B758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431800</xdr:colOff>
      <xdr:row>26</xdr:row>
      <xdr:rowOff>114300</xdr:rowOff>
    </xdr:from>
    <xdr:to>
      <xdr:col>11</xdr:col>
      <xdr:colOff>177800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B9211-8DEF-4E0B-B2FD-C334B84ED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355600</xdr:colOff>
      <xdr:row>41</xdr:row>
      <xdr:rowOff>152399</xdr:rowOff>
    </xdr:from>
    <xdr:to>
      <xdr:col>13</xdr:col>
      <xdr:colOff>105833</xdr:colOff>
      <xdr:row>62</xdr:row>
      <xdr:rowOff>74082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CF55EB-7226-4B69-BAE3-688C84627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179388</xdr:colOff>
      <xdr:row>8</xdr:row>
      <xdr:rowOff>47624</xdr:rowOff>
    </xdr:from>
    <xdr:to>
      <xdr:col>15</xdr:col>
      <xdr:colOff>579437</xdr:colOff>
      <xdr:row>29</xdr:row>
      <xdr:rowOff>15874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CE9D6-4482-4F95-AEE8-EC98A506A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0.13209</cdr:x>
      <cdr:y>0.06587</cdr:y>
    </cdr:from>
    <cdr:to>
      <cdr:x>0.5816</cdr:x>
      <cdr:y>0.15464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E16FAAF-72EF-4F6E-93DA-F37CEC0D450A}"/>
            </a:ext>
          </a:extLst>
        </cdr:cNvPr>
        <cdr:cNvSpPr txBox="1"/>
      </cdr:nvSpPr>
      <cdr:spPr>
        <a:xfrm xmlns:a="http://schemas.openxmlformats.org/drawingml/2006/main">
          <a:off x="606425" y="182563"/>
          <a:ext cx="2063750" cy="246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Maximum Payload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0.56804</cdr:x>
      <cdr:y>0.17044</cdr:y>
    </cdr:from>
    <cdr:to>
      <cdr:x>0.94858</cdr:x>
      <cdr:y>0.25921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C605FE3-A995-43C8-8EB7-FBC9D814ED8B}"/>
            </a:ext>
          </a:extLst>
        </cdr:cNvPr>
        <cdr:cNvSpPr txBox="1"/>
      </cdr:nvSpPr>
      <cdr:spPr>
        <a:xfrm xmlns:a="http://schemas.openxmlformats.org/drawingml/2006/main">
          <a:off x="3595347" y="622302"/>
          <a:ext cx="2408576" cy="324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Gross Weight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0.69345</cdr:x>
      <cdr:y>0.68783</cdr:y>
    </cdr:from>
    <cdr:to>
      <cdr:x>0.9536</cdr:x>
      <cdr:y>0.7766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0328CA9F-ED2D-4341-A673-51FE77475A97}"/>
            </a:ext>
          </a:extLst>
        </cdr:cNvPr>
        <cdr:cNvSpPr txBox="1"/>
      </cdr:nvSpPr>
      <cdr:spPr>
        <a:xfrm xmlns:a="http://schemas.openxmlformats.org/drawingml/2006/main">
          <a:off x="4389087" y="2511425"/>
          <a:ext cx="1646588" cy="3241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Maximum Fuel Weight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496887</xdr:colOff>
      <xdr:row>8</xdr:row>
      <xdr:rowOff>23811</xdr:rowOff>
    </xdr:from>
    <xdr:to>
      <xdr:col>15</xdr:col>
      <xdr:colOff>238124</xdr:colOff>
      <xdr:row>28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5F8EB-6098-41EC-9C30-678782286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0.13209</cdr:x>
      <cdr:y>0.06587</cdr:y>
    </cdr:from>
    <cdr:to>
      <cdr:x>0.5816</cdr:x>
      <cdr:y>0.15464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E16FAAF-72EF-4F6E-93DA-F37CEC0D450A}"/>
            </a:ext>
          </a:extLst>
        </cdr:cNvPr>
        <cdr:cNvSpPr txBox="1"/>
      </cdr:nvSpPr>
      <cdr:spPr>
        <a:xfrm xmlns:a="http://schemas.openxmlformats.org/drawingml/2006/main">
          <a:off x="606425" y="182563"/>
          <a:ext cx="2063750" cy="246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Maximum Payload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0.63576</cdr:x>
      <cdr:y>0.19218</cdr:y>
    </cdr:from>
    <cdr:to>
      <cdr:x>0.80436</cdr:x>
      <cdr:y>0.28095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C605FE3-A995-43C8-8EB7-FBC9D814ED8B}"/>
            </a:ext>
          </a:extLst>
        </cdr:cNvPr>
        <cdr:cNvSpPr txBox="1"/>
      </cdr:nvSpPr>
      <cdr:spPr>
        <a:xfrm xmlns:a="http://schemas.openxmlformats.org/drawingml/2006/main">
          <a:off x="4023976" y="701694"/>
          <a:ext cx="1067138" cy="324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Gross Weight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0.73985</cdr:x>
      <cdr:y>0.68566</cdr:y>
    </cdr:from>
    <cdr:to>
      <cdr:x>1</cdr:x>
      <cdr:y>0.77443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0328CA9F-ED2D-4341-A673-51FE77475A97}"/>
            </a:ext>
          </a:extLst>
        </cdr:cNvPr>
        <cdr:cNvSpPr txBox="1"/>
      </cdr:nvSpPr>
      <cdr:spPr>
        <a:xfrm xmlns:a="http://schemas.openxmlformats.org/drawingml/2006/main">
          <a:off x="4682778" y="2503501"/>
          <a:ext cx="1646584" cy="324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Maximum Fuel Weight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238125</xdr:colOff>
      <xdr:row>295</xdr:row>
      <xdr:rowOff>57150</xdr:rowOff>
    </xdr:from>
    <xdr:ext cx="5715000" cy="3533775"/>
    <xdr:graphicFrame macro="">
      <xdr:nvGraphicFramePr>
        <xdr:cNvPr id="2028993059" name="Chart 25" title="Chart">
          <a:extLst>
            <a:ext uri="{FF2B5EF4-FFF2-40B4-BE49-F238E27FC236}">
              <a16:creationId xmlns:a16="http://schemas.microsoft.com/office/drawing/2014/main" id="{00000000-0008-0000-1000-000023FAE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>
    <xdr:from>
      <xdr:col>7</xdr:col>
      <xdr:colOff>99787</xdr:colOff>
      <xdr:row>8</xdr:row>
      <xdr:rowOff>20862</xdr:rowOff>
    </xdr:from>
    <xdr:to>
      <xdr:col>12</xdr:col>
      <xdr:colOff>489858</xdr:colOff>
      <xdr:row>25</xdr:row>
      <xdr:rowOff>90713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D07B7-66C8-4AF3-941A-E54C50332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216958</xdr:colOff>
      <xdr:row>9</xdr:row>
      <xdr:rowOff>125941</xdr:rowOff>
    </xdr:from>
    <xdr:to>
      <xdr:col>8</xdr:col>
      <xdr:colOff>783167</xdr:colOff>
      <xdr:row>32</xdr:row>
      <xdr:rowOff>74082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254CD-DD95-43D1-84A5-AA58DBD1D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54</xdr:row>
      <xdr:rowOff>127000</xdr:rowOff>
    </xdr:from>
    <xdr:to>
      <xdr:col>14</xdr:col>
      <xdr:colOff>228600</xdr:colOff>
      <xdr:row>74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037E9-8D82-4C01-81CA-E39CB0281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746124</xdr:colOff>
      <xdr:row>46</xdr:row>
      <xdr:rowOff>41275</xdr:rowOff>
    </xdr:from>
    <xdr:to>
      <xdr:col>15</xdr:col>
      <xdr:colOff>502708</xdr:colOff>
      <xdr:row>61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2F4CB1-CFD3-429E-9F17-592364A9D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121708</xdr:colOff>
      <xdr:row>9</xdr:row>
      <xdr:rowOff>157692</xdr:rowOff>
    </xdr:from>
    <xdr:to>
      <xdr:col>5</xdr:col>
      <xdr:colOff>841375</xdr:colOff>
      <xdr:row>24</xdr:row>
      <xdr:rowOff>43392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EBF09C-F785-45FD-945A-F0E273A53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555625</xdr:colOff>
      <xdr:row>13</xdr:row>
      <xdr:rowOff>20108</xdr:rowOff>
    </xdr:from>
    <xdr:to>
      <xdr:col>18</xdr:col>
      <xdr:colOff>312209</xdr:colOff>
      <xdr:row>27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D46F8-AA2F-4C70-9D51-C1620B6CF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98DC-263F-4BF4-BF9F-1958BE1D4EEA}">
  <sheetPr>
    <outlinePr summaryBelow="0" summaryRight="0"/>
  </sheetPr>
  <dimension ref="A1:BD1084"/>
  <sheetViews>
    <sheetView tabSelected="1" topLeftCell="B1" zoomScale="60" zoomScaleNormal="60" workbookViewId="0">
      <selection activeCell="L13" sqref="L13"/>
    </sheetView>
  </sheetViews>
  <sheetFormatPr defaultColWidth="12.6640625" defaultRowHeight="15" customHeight="1"/>
  <cols>
    <col min="1" max="1" width="14" style="154" customWidth="1"/>
    <col min="2" max="16384" width="12.6640625" style="154"/>
  </cols>
  <sheetData>
    <row r="1" spans="1:42" ht="14.5">
      <c r="A1" s="181" t="s">
        <v>70</v>
      </c>
      <c r="B1" s="182"/>
      <c r="C1" s="26"/>
      <c r="D1" s="70" t="s">
        <v>71</v>
      </c>
      <c r="E1" s="32">
        <f ca="1">1.1*Z23</f>
        <v>180.85993596848581</v>
      </c>
      <c r="G1" s="70" t="s">
        <v>72</v>
      </c>
      <c r="H1" s="32">
        <f ca="1">1.15*Z23</f>
        <v>189.08084214887151</v>
      </c>
      <c r="J1" s="70" t="s">
        <v>249</v>
      </c>
      <c r="K1" s="32">
        <f ca="1">1.2*Z23</f>
        <v>197.30174832925724</v>
      </c>
      <c r="AC1" s="3"/>
      <c r="AD1" s="3"/>
      <c r="AP1" s="145"/>
    </row>
    <row r="2" spans="1:42" ht="14.5">
      <c r="A2" s="26" t="s">
        <v>74</v>
      </c>
      <c r="M2" s="21"/>
      <c r="N2" s="61"/>
      <c r="AC2" s="3"/>
      <c r="AD2" s="3"/>
      <c r="AP2" s="145"/>
    </row>
    <row r="3" spans="1:42" thickBot="1">
      <c r="A3" s="21" t="s">
        <v>76</v>
      </c>
      <c r="B3" s="21">
        <v>230</v>
      </c>
      <c r="D3" s="26" t="s">
        <v>1</v>
      </c>
      <c r="E3" s="32">
        <f ca="1">E193</f>
        <v>1025.4410731148248</v>
      </c>
      <c r="F3" s="21" t="s">
        <v>49</v>
      </c>
      <c r="G3" s="26" t="s">
        <v>199</v>
      </c>
      <c r="H3" s="21">
        <v>755</v>
      </c>
      <c r="M3" s="21"/>
      <c r="N3" s="61"/>
      <c r="S3" s="75" t="s">
        <v>284</v>
      </c>
      <c r="T3" s="131" t="s">
        <v>286</v>
      </c>
      <c r="U3" s="131" t="s">
        <v>83</v>
      </c>
      <c r="AC3" s="3"/>
      <c r="AD3" s="3"/>
      <c r="AP3" s="145"/>
    </row>
    <row r="4" spans="1:42" ht="19.5" thickBot="1">
      <c r="A4" s="21" t="s">
        <v>12</v>
      </c>
      <c r="B4" s="21">
        <f>U9/B3</f>
        <v>5.5269412880887687</v>
      </c>
      <c r="D4" s="26" t="s">
        <v>200</v>
      </c>
      <c r="E4" s="21">
        <f ca="1">B93-B48</f>
        <v>19.850591093720837</v>
      </c>
      <c r="G4" s="26" t="s">
        <v>201</v>
      </c>
      <c r="H4" s="21">
        <v>1017</v>
      </c>
      <c r="M4" s="21"/>
      <c r="N4" s="21">
        <f ca="1">N7*50.8</f>
        <v>5804.0787754535058</v>
      </c>
      <c r="S4" s="131" t="s">
        <v>285</v>
      </c>
      <c r="T4" s="150">
        <v>79254.356807799995</v>
      </c>
      <c r="U4" s="154">
        <f>T4/144</f>
        <v>550.37747783194436</v>
      </c>
      <c r="X4" s="158" t="s">
        <v>308</v>
      </c>
      <c r="Y4" s="158" t="s">
        <v>309</v>
      </c>
      <c r="Z4" s="158" t="s">
        <v>310</v>
      </c>
      <c r="AA4" s="158" t="s">
        <v>311</v>
      </c>
      <c r="AB4" s="158" t="s">
        <v>312</v>
      </c>
      <c r="AC4" s="158" t="s">
        <v>313</v>
      </c>
      <c r="AD4" s="158" t="s">
        <v>314</v>
      </c>
      <c r="AE4" s="158" t="s">
        <v>315</v>
      </c>
      <c r="AF4" s="158" t="s">
        <v>316</v>
      </c>
      <c r="AG4" s="158" t="s">
        <v>317</v>
      </c>
      <c r="AP4" s="145"/>
    </row>
    <row r="5" spans="1:42" ht="19.5" thickBot="1">
      <c r="A5" s="21" t="s">
        <v>11</v>
      </c>
      <c r="B5" s="21">
        <v>0.84</v>
      </c>
      <c r="M5" s="21"/>
      <c r="S5" s="131" t="s">
        <v>287</v>
      </c>
      <c r="T5" s="150">
        <v>14021.6390302</v>
      </c>
      <c r="U5" s="154">
        <f t="shared" ref="U5:U9" si="0">T5/144</f>
        <v>97.372493265277782</v>
      </c>
      <c r="X5" s="153">
        <v>0</v>
      </c>
      <c r="Y5" s="153">
        <v>0.71989999999999998</v>
      </c>
      <c r="Z5" s="153">
        <v>0.71209999999999996</v>
      </c>
      <c r="AA5" s="166">
        <v>0.70689999999999997</v>
      </c>
      <c r="AB5" s="153">
        <v>0.69389999999999996</v>
      </c>
      <c r="AC5" s="153">
        <v>0.67789999999999995</v>
      </c>
      <c r="AD5" s="153">
        <v>0.67390000000000005</v>
      </c>
      <c r="AE5" s="153">
        <v>0.67310000000000003</v>
      </c>
      <c r="AF5" s="153">
        <v>0.67190000000000005</v>
      </c>
      <c r="AG5" s="153">
        <v>0.66990000000000005</v>
      </c>
      <c r="AP5" s="145"/>
    </row>
    <row r="6" spans="1:42" ht="19.5" thickBot="1">
      <c r="A6" s="21" t="s">
        <v>10</v>
      </c>
      <c r="B6" s="30">
        <v>6</v>
      </c>
      <c r="D6" s="26" t="s">
        <v>86</v>
      </c>
      <c r="G6" s="26" t="s">
        <v>87</v>
      </c>
      <c r="J6" s="70" t="s">
        <v>90</v>
      </c>
      <c r="K6" s="78">
        <v>9120</v>
      </c>
      <c r="M6" s="75" t="s">
        <v>219</v>
      </c>
      <c r="N6" s="154">
        <v>50.8</v>
      </c>
      <c r="O6" s="154" t="s">
        <v>220</v>
      </c>
      <c r="P6" s="75" t="s">
        <v>266</v>
      </c>
      <c r="Q6" s="154">
        <f ca="1">H18/N6</f>
        <v>105.79029555725988</v>
      </c>
      <c r="S6" s="131" t="s">
        <v>288</v>
      </c>
      <c r="T6" s="150">
        <v>10100.623521699999</v>
      </c>
      <c r="U6" s="154">
        <f t="shared" si="0"/>
        <v>70.143218900694436</v>
      </c>
      <c r="X6" s="153">
        <v>0.1</v>
      </c>
      <c r="Y6" s="153">
        <v>0.74590000000000001</v>
      </c>
      <c r="Z6" s="153">
        <v>0.73870000000000002</v>
      </c>
      <c r="AA6" s="166">
        <v>0.7339</v>
      </c>
      <c r="AB6" s="153">
        <v>0.72189999999999999</v>
      </c>
      <c r="AC6" s="153">
        <v>0.70109999999999995</v>
      </c>
      <c r="AD6" s="153">
        <v>0.69589999999999996</v>
      </c>
      <c r="AE6" s="153">
        <v>0.69469999999999998</v>
      </c>
      <c r="AF6" s="153">
        <v>0.69289999999999996</v>
      </c>
      <c r="AG6" s="153">
        <v>0.68989999999999996</v>
      </c>
      <c r="AP6" s="145"/>
    </row>
    <row r="7" spans="1:42" ht="16" customHeight="1" thickBot="1">
      <c r="A7" s="76" t="s">
        <v>84</v>
      </c>
      <c r="B7" s="76">
        <f>77.04843221/12</f>
        <v>6.4207026841666668</v>
      </c>
      <c r="D7" s="21" t="s">
        <v>19</v>
      </c>
      <c r="E7" s="31">
        <v>0.2</v>
      </c>
      <c r="G7" s="62" t="s">
        <v>19</v>
      </c>
      <c r="H7" s="31">
        <v>0.2</v>
      </c>
      <c r="J7" s="70" t="s">
        <v>93</v>
      </c>
      <c r="K7" s="21">
        <v>3000</v>
      </c>
      <c r="M7" s="75" t="s">
        <v>221</v>
      </c>
      <c r="N7" s="154">
        <f ca="1">(H18/N6)*1.08</f>
        <v>114.25351920184067</v>
      </c>
      <c r="O7" s="131" t="s">
        <v>247</v>
      </c>
      <c r="P7" s="75" t="s">
        <v>267</v>
      </c>
      <c r="Q7" s="154">
        <f>N9*N6</f>
        <v>5907.4304000000002</v>
      </c>
      <c r="R7" s="131" t="s">
        <v>78</v>
      </c>
      <c r="S7" s="131" t="s">
        <v>289</v>
      </c>
      <c r="T7" s="150">
        <v>68456.873772699997</v>
      </c>
      <c r="U7" s="154">
        <f t="shared" si="0"/>
        <v>475.39495675486108</v>
      </c>
      <c r="X7" s="153">
        <v>0.2</v>
      </c>
      <c r="Y7" s="153">
        <v>0.77390000000000003</v>
      </c>
      <c r="Z7" s="153">
        <v>0.7661</v>
      </c>
      <c r="AA7" s="166">
        <v>0.76090000000000002</v>
      </c>
      <c r="AB7" s="153">
        <v>0.74790000000000001</v>
      </c>
      <c r="AC7" s="153">
        <v>0.72709999999999997</v>
      </c>
      <c r="AD7" s="153">
        <v>0.72189999999999999</v>
      </c>
      <c r="AE7" s="153">
        <v>0.71989999999999998</v>
      </c>
      <c r="AF7" s="153">
        <v>0.71689999999999998</v>
      </c>
      <c r="AG7" s="153">
        <v>0.71189999999999998</v>
      </c>
      <c r="AP7" s="145"/>
    </row>
    <row r="8" spans="1:42" ht="15" customHeight="1" thickBot="1">
      <c r="A8" s="76" t="s">
        <v>15</v>
      </c>
      <c r="B8" s="21">
        <f>1/(PI()*B6*B5)</f>
        <v>6.3156723449164814E-2</v>
      </c>
      <c r="D8" s="21" t="s">
        <v>92</v>
      </c>
      <c r="E8" s="21">
        <v>5</v>
      </c>
      <c r="F8" s="21" t="s">
        <v>21</v>
      </c>
      <c r="G8" s="62" t="s">
        <v>92</v>
      </c>
      <c r="H8" s="62">
        <v>5</v>
      </c>
      <c r="I8" s="21" t="s">
        <v>21</v>
      </c>
      <c r="J8" s="70" t="s">
        <v>95</v>
      </c>
      <c r="K8" s="32">
        <f ca="1">H17</f>
        <v>5280.3519583297712</v>
      </c>
      <c r="M8" s="75" t="s">
        <v>248</v>
      </c>
      <c r="N8" s="154">
        <f>K6-700</f>
        <v>8420</v>
      </c>
      <c r="O8" s="131" t="s">
        <v>78</v>
      </c>
      <c r="S8" s="131" t="s">
        <v>290</v>
      </c>
      <c r="T8" s="150">
        <v>11218.802329100001</v>
      </c>
      <c r="U8" s="154">
        <f t="shared" si="0"/>
        <v>77.908349507638889</v>
      </c>
      <c r="X8" s="153">
        <v>0.3</v>
      </c>
      <c r="Y8" s="153">
        <v>0.80589999999999995</v>
      </c>
      <c r="Z8" s="153">
        <v>0.79690000000000005</v>
      </c>
      <c r="AA8" s="166">
        <v>0.79090000000000005</v>
      </c>
      <c r="AB8" s="153">
        <v>0.77590000000000003</v>
      </c>
      <c r="AC8" s="153">
        <v>0.75349999999999995</v>
      </c>
      <c r="AD8" s="153">
        <v>0.74790000000000001</v>
      </c>
      <c r="AE8" s="153">
        <v>0.74550000000000005</v>
      </c>
      <c r="AF8" s="153">
        <v>0.7419</v>
      </c>
      <c r="AG8" s="153">
        <v>0.7359</v>
      </c>
      <c r="AP8" s="145"/>
    </row>
    <row r="9" spans="1:42" thickBot="1">
      <c r="A9" s="26" t="s">
        <v>89</v>
      </c>
      <c r="D9" s="21" t="s">
        <v>14</v>
      </c>
      <c r="E9" s="32">
        <f>($B$15*$E$7*$B$14*(5/60))</f>
        <v>81.64</v>
      </c>
      <c r="F9" s="21" t="s">
        <v>78</v>
      </c>
      <c r="G9" s="62" t="s">
        <v>14</v>
      </c>
      <c r="H9" s="32">
        <f>($B$15*$E$7*$B$14*(5/60))</f>
        <v>81.64</v>
      </c>
      <c r="I9" s="62" t="s">
        <v>78</v>
      </c>
      <c r="J9" s="70" t="s">
        <v>195</v>
      </c>
      <c r="K9" s="32">
        <f ca="1">SUM(K6:K8)</f>
        <v>17400.351958329771</v>
      </c>
      <c r="M9" s="75" t="s">
        <v>250</v>
      </c>
      <c r="N9" s="154">
        <f>126.4*0.92</f>
        <v>116.28800000000001</v>
      </c>
      <c r="O9" s="131" t="s">
        <v>247</v>
      </c>
      <c r="P9" s="131" t="s">
        <v>319</v>
      </c>
      <c r="Q9" s="154">
        <f ca="1">N9-Q6</f>
        <v>10.49770444274013</v>
      </c>
      <c r="S9" s="131" t="s">
        <v>291</v>
      </c>
      <c r="T9" s="154">
        <f>SUM(T4:T8)</f>
        <v>183052.29546150001</v>
      </c>
      <c r="U9" s="154">
        <f t="shared" si="0"/>
        <v>1271.1964962604168</v>
      </c>
      <c r="X9" s="153">
        <v>0.4</v>
      </c>
      <c r="Y9" s="153">
        <v>0.83589999999999998</v>
      </c>
      <c r="Z9" s="153">
        <v>0.82689999999999997</v>
      </c>
      <c r="AA9" s="166">
        <v>0.82089999999999996</v>
      </c>
      <c r="AB9" s="153">
        <v>0.80589999999999995</v>
      </c>
      <c r="AC9" s="153">
        <v>0.78349999999999997</v>
      </c>
      <c r="AD9" s="153">
        <v>0.77790000000000004</v>
      </c>
      <c r="AE9" s="153">
        <v>0.77390000000000003</v>
      </c>
      <c r="AF9" s="153">
        <v>0.76790000000000003</v>
      </c>
      <c r="AG9" s="153">
        <v>0.75790000000000002</v>
      </c>
      <c r="AP9" s="145"/>
    </row>
    <row r="10" spans="1:42" thickBot="1">
      <c r="A10" s="21" t="s">
        <v>91</v>
      </c>
      <c r="B10" s="63">
        <f ca="1">K9</f>
        <v>17400.351958329771</v>
      </c>
      <c r="Q10" s="154">
        <f ca="1">Q9*N6</f>
        <v>533.28338569119853</v>
      </c>
      <c r="X10" s="153">
        <v>0.5</v>
      </c>
      <c r="Y10" s="153">
        <v>0.8639</v>
      </c>
      <c r="Z10" s="153">
        <v>0.85550000000000004</v>
      </c>
      <c r="AA10" s="166">
        <v>0.84989999999999999</v>
      </c>
      <c r="AB10" s="153">
        <v>0.83589999999999998</v>
      </c>
      <c r="AC10" s="153">
        <v>0.81189999999999996</v>
      </c>
      <c r="AD10" s="153">
        <v>0.80589999999999995</v>
      </c>
      <c r="AE10" s="153">
        <v>0.80149999999999999</v>
      </c>
      <c r="AF10" s="153">
        <v>0.79490000000000005</v>
      </c>
      <c r="AG10" s="153">
        <v>0.78390000000000004</v>
      </c>
      <c r="AP10" s="145"/>
    </row>
    <row r="11" spans="1:42" thickBot="1">
      <c r="A11" s="21" t="s">
        <v>94</v>
      </c>
      <c r="B11" s="21">
        <v>0.99</v>
      </c>
      <c r="D11" s="26" t="s">
        <v>99</v>
      </c>
      <c r="G11" s="69" t="s">
        <v>86</v>
      </c>
      <c r="H11" s="32">
        <f>E9</f>
        <v>81.64</v>
      </c>
      <c r="J11" s="69" t="s">
        <v>202</v>
      </c>
      <c r="S11" s="131" t="s">
        <v>12</v>
      </c>
      <c r="T11" s="154">
        <f>U9/230</f>
        <v>5.5269412880887687</v>
      </c>
      <c r="X11" s="153">
        <v>0.6</v>
      </c>
      <c r="Y11" s="153">
        <v>0.89</v>
      </c>
      <c r="Z11" s="153">
        <v>0.88097000000000003</v>
      </c>
      <c r="AA11" s="166">
        <v>0.87495000000000001</v>
      </c>
      <c r="AB11" s="153">
        <v>0.8599</v>
      </c>
      <c r="AC11" s="153">
        <v>0.83750000000000002</v>
      </c>
      <c r="AD11" s="153">
        <v>0.83189999999999997</v>
      </c>
      <c r="AE11" s="153">
        <v>0.82669999999999999</v>
      </c>
      <c r="AF11" s="153">
        <v>0.81889999999999996</v>
      </c>
      <c r="AG11" s="153">
        <v>0.80589999999999995</v>
      </c>
      <c r="AP11" s="145"/>
    </row>
    <row r="12" spans="1:42" thickBot="1">
      <c r="A12" s="21" t="s">
        <v>96</v>
      </c>
      <c r="B12" s="32">
        <f ca="1">B10*B11</f>
        <v>17226.348438746474</v>
      </c>
      <c r="D12" s="21" t="s">
        <v>101</v>
      </c>
      <c r="E12" s="31">
        <v>1</v>
      </c>
      <c r="G12" s="69" t="s">
        <v>99</v>
      </c>
      <c r="H12" s="32">
        <f ca="1">E14</f>
        <v>31.55427800862099</v>
      </c>
      <c r="J12" s="62" t="s">
        <v>203</v>
      </c>
      <c r="K12" s="64">
        <v>0.05</v>
      </c>
      <c r="X12" s="153">
        <v>0.7</v>
      </c>
      <c r="Y12" s="153">
        <v>0.91600000000000004</v>
      </c>
      <c r="Z12" s="153">
        <v>0.90639999999999998</v>
      </c>
      <c r="AA12" s="166">
        <v>0.9</v>
      </c>
      <c r="AB12" s="153">
        <v>0.88400000000000001</v>
      </c>
      <c r="AC12" s="153">
        <v>0.86151999999999995</v>
      </c>
      <c r="AD12" s="153">
        <v>0.85589999999999999</v>
      </c>
      <c r="AE12" s="153">
        <v>0.84989999999999999</v>
      </c>
      <c r="AF12" s="153">
        <v>0.84089999999999998</v>
      </c>
      <c r="AG12" s="153">
        <v>0.82589999999999997</v>
      </c>
      <c r="AP12" s="145"/>
    </row>
    <row r="13" spans="1:42" thickBot="1">
      <c r="A13" s="26" t="s">
        <v>98</v>
      </c>
      <c r="D13" s="21" t="s">
        <v>17</v>
      </c>
      <c r="E13" s="32">
        <f ca="1">$L$289</f>
        <v>23.190307208687642</v>
      </c>
      <c r="F13" s="21" t="s">
        <v>18</v>
      </c>
      <c r="G13" s="69" t="s">
        <v>103</v>
      </c>
      <c r="H13" s="32">
        <f ca="1">SUM(AN23:AN43)+SUM(AN48:AN68)+SUM(AN73:AN93)+SUM(AN98:AN118)+SUM(AN123:AN143)+SUM(AN148:AN168)+SUM(AN173:AN193)</f>
        <v>4493.4836382058602</v>
      </c>
      <c r="J13" s="62" t="s">
        <v>204</v>
      </c>
      <c r="K13" s="32">
        <f ca="1">$L$324</f>
        <v>21.090878055622664</v>
      </c>
      <c r="L13" s="21" t="s">
        <v>18</v>
      </c>
      <c r="M13" s="154" t="s">
        <v>283</v>
      </c>
      <c r="N13" s="154">
        <f>SQRT(B6*B3)</f>
        <v>37.148351242013419</v>
      </c>
      <c r="O13" s="154">
        <v>37.148351242013419</v>
      </c>
      <c r="X13" s="153">
        <v>0.8</v>
      </c>
      <c r="Y13" s="153">
        <v>0.94199999999999995</v>
      </c>
      <c r="Z13" s="153">
        <v>0.93240000000000001</v>
      </c>
      <c r="AA13" s="166">
        <v>0.92600000000000005</v>
      </c>
      <c r="AB13" s="153">
        <v>0.91</v>
      </c>
      <c r="AC13" s="153">
        <v>0.88431999999999999</v>
      </c>
      <c r="AD13" s="153">
        <v>0.87790000000000001</v>
      </c>
      <c r="AE13" s="153">
        <v>0.87150000000000005</v>
      </c>
      <c r="AF13" s="153">
        <v>0.8619</v>
      </c>
      <c r="AG13" s="153">
        <v>0.84589999999999999</v>
      </c>
      <c r="AP13" s="145"/>
    </row>
    <row r="14" spans="1:42" thickBot="1">
      <c r="A14" s="21" t="s">
        <v>100</v>
      </c>
      <c r="B14" s="21">
        <v>0.78</v>
      </c>
      <c r="C14" s="131" t="s">
        <v>56</v>
      </c>
      <c r="D14" s="21" t="s">
        <v>16</v>
      </c>
      <c r="E14" s="32">
        <f ca="1">B15*E12*B14*(E13/3600)</f>
        <v>31.55427800862099</v>
      </c>
      <c r="F14" s="21" t="s">
        <v>78</v>
      </c>
      <c r="G14" s="69" t="s">
        <v>87</v>
      </c>
      <c r="H14" s="32">
        <f>H9</f>
        <v>81.64</v>
      </c>
      <c r="J14" s="62" t="s">
        <v>206</v>
      </c>
      <c r="K14" s="32">
        <f ca="1">B15*B14*K12*(K13/3600)</f>
        <v>1.4348827370508621</v>
      </c>
      <c r="L14" s="21" t="s">
        <v>78</v>
      </c>
      <c r="U14" s="154">
        <f>SUM(U4:U8)</f>
        <v>1271.1964962604166</v>
      </c>
      <c r="X14" s="153">
        <v>0.9</v>
      </c>
      <c r="Y14" s="153">
        <v>0.96599999999999997</v>
      </c>
      <c r="Z14" s="153">
        <v>0.95579999999999998</v>
      </c>
      <c r="AA14" s="166">
        <v>0.94899999999999995</v>
      </c>
      <c r="AB14" s="153">
        <v>0.93200000000000005</v>
      </c>
      <c r="AC14" s="153">
        <v>0.90639999999999998</v>
      </c>
      <c r="AD14" s="153">
        <v>0.9</v>
      </c>
      <c r="AE14" s="153">
        <v>0.89358000000000004</v>
      </c>
      <c r="AF14" s="153">
        <v>0.88395000000000001</v>
      </c>
      <c r="AG14" s="153">
        <v>0.8679</v>
      </c>
      <c r="AP14" s="145"/>
    </row>
    <row r="15" spans="1:42" ht="14.5">
      <c r="A15" s="21" t="s">
        <v>102</v>
      </c>
      <c r="B15" s="21">
        <v>6280</v>
      </c>
      <c r="G15" s="69" t="s">
        <v>202</v>
      </c>
      <c r="H15" s="32">
        <f ca="1">K14</f>
        <v>1.4348827370508621</v>
      </c>
      <c r="W15" s="3"/>
      <c r="X15" s="3"/>
      <c r="AJ15" s="145"/>
    </row>
    <row r="16" spans="1:42" ht="14.5">
      <c r="A16" s="26" t="s">
        <v>104</v>
      </c>
      <c r="G16" s="26" t="s">
        <v>7</v>
      </c>
      <c r="H16" s="32">
        <f ca="1">C200</f>
        <v>590.59915937823882</v>
      </c>
      <c r="M16" s="131" t="s">
        <v>323</v>
      </c>
      <c r="N16" s="154">
        <v>5.2999999999999999E-2</v>
      </c>
      <c r="P16" s="180">
        <f>0.027 + (2.1*2.1)/(PI()*0.84*6)</f>
        <v>0.3055211504108169</v>
      </c>
      <c r="Q16" s="180">
        <f ca="1">P16*AV23*E1*E1*230/2</f>
        <v>2596.5448497635371</v>
      </c>
      <c r="W16" s="3"/>
      <c r="X16" s="3"/>
      <c r="AJ16" s="145"/>
    </row>
    <row r="17" spans="1:56" ht="14.5">
      <c r="A17" s="6" t="s">
        <v>105</v>
      </c>
      <c r="B17" s="6">
        <v>5.0000000000000001E-3</v>
      </c>
      <c r="G17" s="34" t="s">
        <v>107</v>
      </c>
      <c r="H17" s="41">
        <f ca="1">SUM(H11:H16)</f>
        <v>5280.3519583297712</v>
      </c>
      <c r="I17" s="154">
        <v>5273.6369917489565</v>
      </c>
      <c r="M17" s="131" t="s">
        <v>324</v>
      </c>
      <c r="N17" s="154">
        <f>0.5*AV23*K23*K23*230*N16</f>
        <v>455.00027812889493</v>
      </c>
      <c r="P17" s="180">
        <f>0.027 + (2.4*2.4)/(PI()*0.84*6)</f>
        <v>0.39078272706718936</v>
      </c>
      <c r="Q17" s="180">
        <f ca="1">P17*AV23*E1*E1*230/2</f>
        <v>3321.1608295480414</v>
      </c>
      <c r="AC17" s="3"/>
      <c r="AD17" s="3"/>
      <c r="AP17" s="145"/>
    </row>
    <row r="18" spans="1:56" ht="14.5">
      <c r="A18" s="21" t="s">
        <v>205</v>
      </c>
      <c r="B18" s="21">
        <v>2.4</v>
      </c>
      <c r="G18" s="130" t="s">
        <v>223</v>
      </c>
      <c r="H18" s="129">
        <f ca="1">($H$17-$H$16)*1.02 +$H$16</f>
        <v>5374.1470143088018</v>
      </c>
      <c r="AC18" s="3"/>
      <c r="AD18" s="3"/>
      <c r="AP18" s="145"/>
    </row>
    <row r="19" spans="1:56" ht="14.5">
      <c r="AC19" s="3"/>
      <c r="AD19" s="3"/>
      <c r="AP19" s="145"/>
    </row>
    <row r="20" spans="1:56" s="89" customFormat="1" thickBot="1">
      <c r="A20" s="124" t="s">
        <v>238</v>
      </c>
      <c r="B20" s="82" t="s">
        <v>22</v>
      </c>
      <c r="C20" s="125">
        <v>10000</v>
      </c>
      <c r="D20" s="82" t="s">
        <v>9</v>
      </c>
      <c r="E20" s="82"/>
      <c r="F20" s="82"/>
      <c r="G20" s="82"/>
      <c r="H20" s="82"/>
      <c r="I20" s="83"/>
      <c r="J20" s="82"/>
      <c r="K20" s="82"/>
      <c r="L20" s="84" t="s">
        <v>60</v>
      </c>
      <c r="M20" s="82"/>
      <c r="N20" s="82"/>
      <c r="O20" s="82"/>
      <c r="P20" s="82"/>
      <c r="Q20" s="81"/>
      <c r="R20" s="82"/>
      <c r="S20" s="85"/>
      <c r="T20" s="86"/>
      <c r="U20" s="81"/>
      <c r="V20" s="81"/>
      <c r="W20" s="81"/>
      <c r="X20" s="81"/>
      <c r="Y20" s="82"/>
      <c r="Z20" s="82"/>
      <c r="AA20" s="87"/>
      <c r="AB20" s="87"/>
      <c r="AC20" s="82"/>
      <c r="AD20" s="82"/>
      <c r="AE20" s="83"/>
      <c r="AF20" s="81"/>
      <c r="AG20" s="82"/>
      <c r="AH20" s="82"/>
      <c r="AI20" s="82"/>
      <c r="AJ20" s="81" t="s">
        <v>61</v>
      </c>
      <c r="AK20" s="88"/>
      <c r="AL20" s="83"/>
      <c r="AM20" s="82"/>
      <c r="AN20" s="82"/>
      <c r="AO20" s="82"/>
      <c r="AP20" s="53"/>
      <c r="AQ20" s="88"/>
      <c r="AR20" s="88"/>
      <c r="AS20" s="88"/>
      <c r="AT20" s="88"/>
      <c r="AU20" s="88"/>
      <c r="AV20" s="88"/>
      <c r="AW20" s="88"/>
      <c r="AX20" s="82"/>
      <c r="AY20" s="82"/>
      <c r="AZ20" s="82"/>
    </row>
    <row r="21" spans="1:56" ht="26.5" thickBot="1">
      <c r="A21" s="41" t="s">
        <v>2</v>
      </c>
      <c r="B21" s="41" t="s">
        <v>2</v>
      </c>
      <c r="C21" s="41" t="s">
        <v>2</v>
      </c>
      <c r="D21" s="41" t="s">
        <v>23</v>
      </c>
      <c r="E21" s="41" t="s">
        <v>24</v>
      </c>
      <c r="F21" s="41" t="s">
        <v>25</v>
      </c>
      <c r="G21" s="41"/>
      <c r="H21" s="41" t="s">
        <v>0</v>
      </c>
      <c r="I21" s="5" t="s">
        <v>26</v>
      </c>
      <c r="J21" s="41" t="s">
        <v>27</v>
      </c>
      <c r="K21" s="41" t="s">
        <v>28</v>
      </c>
      <c r="L21" s="12" t="s">
        <v>29</v>
      </c>
      <c r="M21" s="13" t="s">
        <v>30</v>
      </c>
      <c r="N21" s="41" t="s">
        <v>31</v>
      </c>
      <c r="O21" s="41" t="s">
        <v>32</v>
      </c>
      <c r="P21" s="41" t="s">
        <v>33</v>
      </c>
      <c r="Q21" s="41" t="s">
        <v>34</v>
      </c>
      <c r="R21" s="41" t="s">
        <v>13</v>
      </c>
      <c r="S21" s="24" t="s">
        <v>35</v>
      </c>
      <c r="T21" s="10" t="s">
        <v>35</v>
      </c>
      <c r="U21" s="41" t="s">
        <v>36</v>
      </c>
      <c r="V21" s="41" t="s">
        <v>37</v>
      </c>
      <c r="W21" s="41" t="s">
        <v>38</v>
      </c>
      <c r="X21" s="41" t="s">
        <v>39</v>
      </c>
      <c r="Y21" s="41" t="s">
        <v>40</v>
      </c>
      <c r="Z21" s="35" t="s">
        <v>108</v>
      </c>
      <c r="AA21" s="35" t="s">
        <v>109</v>
      </c>
      <c r="AB21" s="9" t="s">
        <v>110</v>
      </c>
      <c r="AC21" s="7" t="s">
        <v>111</v>
      </c>
      <c r="AD21" s="7" t="s">
        <v>112</v>
      </c>
      <c r="AE21" s="5" t="s">
        <v>41</v>
      </c>
      <c r="AF21" s="7" t="s">
        <v>113</v>
      </c>
      <c r="AG21" s="7" t="s">
        <v>114</v>
      </c>
      <c r="AH21" s="7" t="s">
        <v>115</v>
      </c>
      <c r="AI21" s="41" t="s">
        <v>42</v>
      </c>
      <c r="AJ21" s="41" t="s">
        <v>43</v>
      </c>
      <c r="AK21" s="36" t="s">
        <v>116</v>
      </c>
      <c r="AL21" s="5" t="s">
        <v>44</v>
      </c>
      <c r="AM21" s="41" t="s">
        <v>45</v>
      </c>
      <c r="AN21" s="41" t="s">
        <v>46</v>
      </c>
      <c r="AO21" s="41" t="s">
        <v>47</v>
      </c>
      <c r="AP21" s="67" t="s">
        <v>85</v>
      </c>
      <c r="AQ21" s="15" t="s">
        <v>62</v>
      </c>
      <c r="AR21" s="16" t="s">
        <v>63</v>
      </c>
      <c r="AS21" s="16" t="s">
        <v>64</v>
      </c>
      <c r="AT21" s="17" t="s">
        <v>65</v>
      </c>
      <c r="AU21" s="18" t="s">
        <v>66</v>
      </c>
      <c r="AV21" s="18" t="s">
        <v>67</v>
      </c>
      <c r="AW21" s="19" t="s">
        <v>68</v>
      </c>
      <c r="AX21" s="7" t="s">
        <v>207</v>
      </c>
      <c r="AY21" s="7" t="s">
        <v>208</v>
      </c>
      <c r="AZ21" s="7" t="s">
        <v>209</v>
      </c>
      <c r="BA21" s="152" t="s">
        <v>293</v>
      </c>
      <c r="BB21" s="152" t="s">
        <v>294</v>
      </c>
      <c r="BC21" s="152" t="s">
        <v>295</v>
      </c>
      <c r="BD21" s="152" t="s">
        <v>296</v>
      </c>
    </row>
    <row r="22" spans="1:56" thickBot="1">
      <c r="A22" s="41" t="s">
        <v>18</v>
      </c>
      <c r="B22" s="41" t="s">
        <v>21</v>
      </c>
      <c r="C22" s="41" t="s">
        <v>48</v>
      </c>
      <c r="D22" s="41" t="s">
        <v>8</v>
      </c>
      <c r="E22" s="41" t="s">
        <v>49</v>
      </c>
      <c r="F22" s="41" t="s">
        <v>49</v>
      </c>
      <c r="G22" s="41"/>
      <c r="H22" s="41" t="s">
        <v>9</v>
      </c>
      <c r="I22" s="5" t="s">
        <v>50</v>
      </c>
      <c r="J22" s="41"/>
      <c r="K22" s="41" t="s">
        <v>51</v>
      </c>
      <c r="L22" s="5" t="s">
        <v>52</v>
      </c>
      <c r="M22" s="41" t="s">
        <v>52</v>
      </c>
      <c r="N22" s="41" t="s">
        <v>53</v>
      </c>
      <c r="O22" s="41" t="s">
        <v>54</v>
      </c>
      <c r="P22" s="41"/>
      <c r="Q22" s="41"/>
      <c r="R22" s="41"/>
      <c r="S22" s="24" t="s">
        <v>55</v>
      </c>
      <c r="T22" s="10" t="s">
        <v>55</v>
      </c>
      <c r="U22" s="41"/>
      <c r="V22" s="41"/>
      <c r="W22" s="41"/>
      <c r="X22" s="41"/>
      <c r="Y22" s="41"/>
      <c r="Z22" s="41"/>
      <c r="AA22" s="9" t="s">
        <v>118</v>
      </c>
      <c r="AB22" s="9" t="s">
        <v>118</v>
      </c>
      <c r="AC22" s="7" t="s">
        <v>119</v>
      </c>
      <c r="AD22" s="7" t="s">
        <v>119</v>
      </c>
      <c r="AE22" s="5" t="s">
        <v>20</v>
      </c>
      <c r="AF22" s="7" t="s">
        <v>118</v>
      </c>
      <c r="AG22" s="7" t="s">
        <v>118</v>
      </c>
      <c r="AH22" s="7" t="s">
        <v>119</v>
      </c>
      <c r="AI22" s="41" t="s">
        <v>56</v>
      </c>
      <c r="AJ22" s="41" t="s">
        <v>57</v>
      </c>
      <c r="AK22" s="11"/>
      <c r="AL22" s="5" t="s">
        <v>9</v>
      </c>
      <c r="AM22" s="41" t="s">
        <v>18</v>
      </c>
      <c r="AN22" s="41" t="s">
        <v>8</v>
      </c>
      <c r="AO22" s="41" t="s">
        <v>49</v>
      </c>
      <c r="AP22" s="53"/>
      <c r="AQ22" s="11"/>
      <c r="AR22" s="11"/>
      <c r="AS22" s="11"/>
      <c r="AT22" s="11"/>
      <c r="AU22" s="11"/>
      <c r="AV22" s="11"/>
      <c r="AW22" s="11"/>
      <c r="AX22" s="41"/>
      <c r="AY22" s="41"/>
      <c r="AZ22" s="41"/>
      <c r="BA22" s="153"/>
      <c r="BB22" s="153"/>
      <c r="BC22" s="153"/>
    </row>
    <row r="23" spans="1:56" ht="14.5">
      <c r="A23" s="41">
        <f ca="1">H23/(K23*SIN(RADIANS(T23)))</f>
        <v>0</v>
      </c>
      <c r="B23" s="41">
        <v>0</v>
      </c>
      <c r="C23" s="41">
        <v>0</v>
      </c>
      <c r="D23" s="41">
        <f ca="1">$B$12</f>
        <v>17226.348438746474</v>
      </c>
      <c r="E23" s="7">
        <v>0</v>
      </c>
      <c r="F23" s="7">
        <v>0</v>
      </c>
      <c r="G23" s="41"/>
      <c r="H23" s="65">
        <v>0</v>
      </c>
      <c r="I23" s="6">
        <v>15</v>
      </c>
      <c r="J23" s="41">
        <f t="shared" ref="J23:J43" si="1">SQRT((((((((L23^2)*(0.2))/(661.477)^2) + 1)^(3.5) - 1)*(1/AR23) + 1)^(1/3.5) - 1)*(5))</f>
        <v>0.15873567788449167</v>
      </c>
      <c r="K23" s="41">
        <f t="shared" ref="K23:K43" si="2">SQRT((1.4*2116.22*AR23*(J23)^2)/AV23)</f>
        <v>181.77451522286458</v>
      </c>
      <c r="L23" s="120">
        <v>105</v>
      </c>
      <c r="M23" s="41">
        <f t="shared" ref="M23:M43" si="3">K23*0.592484</f>
        <v>107.6984918773037</v>
      </c>
      <c r="N23" s="41">
        <f t="shared" ref="N23:N43" si="4">0.5*AV23*K23^2</f>
        <v>37.325699600401549</v>
      </c>
      <c r="O23" s="41">
        <f t="shared" ref="O23:O43" si="5">P23/$B$7</f>
        <v>1056676.1694953949</v>
      </c>
      <c r="P23" s="41">
        <f t="shared" ref="P23:P43" si="6">(AV23*K23*$B$7)/(AW23)</f>
        <v>6784603.5177740334</v>
      </c>
      <c r="Q23" s="41">
        <f t="shared" ref="Q23:Q43" si="7">0.455/(LOG10(P23)^2.58 * (1+0.144*J23*J23)^0.65)</f>
        <v>3.191049279792382E-3</v>
      </c>
      <c r="R23" s="41">
        <f>(((Q23*$B$4)+$B$17)+(0.05*(Q23*$B$4)))</f>
        <v>2.351857911765097E-2</v>
      </c>
      <c r="S23" s="24">
        <f ca="1">T23</f>
        <v>11.885984456175924</v>
      </c>
      <c r="T23" s="10">
        <f t="shared" ref="T23:T43" ca="1" si="8">DEGREES(ASIN(((AF23-X23)/(D23))))</f>
        <v>11.885984456175924</v>
      </c>
      <c r="U23" s="41">
        <f t="shared" ref="U23:U43" ca="1" si="9">(D23*COS(RADIANS(S23)))/(N23*$B$3)</f>
        <v>1.9635620358103234</v>
      </c>
      <c r="V23" s="41">
        <f t="shared" ref="V23:V43" ca="1" si="10">(X23)/(N23*$B$3)</f>
        <v>0.26702411798023679</v>
      </c>
      <c r="W23" s="41">
        <f t="shared" ref="W23:W43" ca="1" si="11">U23/V23</f>
        <v>7.3535006899850606</v>
      </c>
      <c r="X23" s="20">
        <f t="shared" ref="X23:X43" ca="1" si="12">(N23*$B$3*R23)+((N23*$B$3)*((U23^2)/(PI()*$B$6*$B$5)))</f>
        <v>2292.3782631722747</v>
      </c>
      <c r="Y23" s="41">
        <f t="shared" ref="Y23:Y43" si="13">SQRT(PI()*$B$6*$B$5*R23)</f>
        <v>0.61023307736435284</v>
      </c>
      <c r="Z23" s="41">
        <f t="shared" ref="Z23:Z43" ca="1" si="14">SQRT((2*((U23*N23*$B$3)/(D23))*D23)/(AV23*$B$3*$B$18))</f>
        <v>164.41812360771436</v>
      </c>
      <c r="AA23" s="14">
        <f t="shared" ref="AA23:AA43" ca="1" si="15">D23/W23</f>
        <v>2342.6051298543457</v>
      </c>
      <c r="AB23" s="9">
        <f>6280*0.93</f>
        <v>5840.4000000000005</v>
      </c>
      <c r="AC23" s="25">
        <f t="shared" ref="AC23:AC43" ca="1" si="16">AA23*K23</f>
        <v>425825.91183786944</v>
      </c>
      <c r="AD23" s="41">
        <f t="shared" ref="AD23:AD43" si="17">AB23*K23</f>
        <v>1061635.8787076185</v>
      </c>
      <c r="AE23" s="6">
        <v>100</v>
      </c>
      <c r="AF23" s="41">
        <f t="shared" ref="AF23:AF43" si="18">AB23*(AE23/100)</f>
        <v>5840.4000000000005</v>
      </c>
      <c r="AG23" s="41">
        <f t="shared" ref="AG23:AG43" ca="1" si="19">AB23-AA23</f>
        <v>3497.7948701456548</v>
      </c>
      <c r="AH23" s="41">
        <f t="shared" ref="AH23:AH43" ca="1" si="20">AD23-AC23</f>
        <v>635809.96686974901</v>
      </c>
      <c r="AI23" s="41">
        <f t="shared" ref="AI23:AI43" si="21">(AP23*AF23)</f>
        <v>4323.3535482993548</v>
      </c>
      <c r="AJ23" s="13">
        <f t="shared" ref="AJ23:AJ43" ca="1" si="22">K23*SIN(RADIANS(T23))</f>
        <v>37.439155112026569</v>
      </c>
      <c r="AK23" s="11">
        <f t="shared" ref="AK23:AK43" ca="1" si="23">(AH23/D23)*60</f>
        <v>2214.5493078718273</v>
      </c>
      <c r="AL23" s="6">
        <v>500</v>
      </c>
      <c r="AM23" s="41">
        <f t="shared" ref="AM23:AM43" ca="1" si="24">AL23/AJ23</f>
        <v>13.355002229721395</v>
      </c>
      <c r="AN23" s="41">
        <f t="shared" ref="AN23:AN43" ca="1" si="25">AI23*(AM23/3600)</f>
        <v>16.038443410392162</v>
      </c>
      <c r="AO23" s="41">
        <f t="shared" ref="AO23:AO43" ca="1" si="26">M23*COS(RADIANS(T23))*(AM23/3600)</f>
        <v>0.39096535784005415</v>
      </c>
      <c r="AP23" s="67">
        <f>0.705 + 0.302*AZ23 + -0.0327*AZ23^2</f>
        <v>0.74024956309488288</v>
      </c>
      <c r="AQ23" s="11">
        <f t="shared" ref="AQ23:AQ43" si="27">IF(H23 &lt;= 36089, ((1 - 6.87535*10^(-6)*H23) + ((I23*1.8)/518.67)), 0.75187 + ((I23*1.8)/518.67))</f>
        <v>1.0520562207183759</v>
      </c>
      <c r="AR23" s="11">
        <f t="shared" ref="AR23:AR43" si="28">IF(H23 &lt;= 36089, (1 - 6.87535*10^(-6)*H23)^5.2561, 0.22336*EXP((36089 - H23)/(20806.7)))</f>
        <v>1</v>
      </c>
      <c r="AS23" s="11">
        <f t="shared" ref="AS23:AS43" si="29">(AR23/AQ23)</f>
        <v>0.95051954477981193</v>
      </c>
      <c r="AT23" s="11">
        <f t="shared" ref="AT23:AT43" si="30">(518.67*AQ23)</f>
        <v>545.66999999999996</v>
      </c>
      <c r="AU23" s="11">
        <f t="shared" ref="AU23:AU43" si="31">2116.22*AR23</f>
        <v>2116.2199999999998</v>
      </c>
      <c r="AV23" s="11">
        <f t="shared" ref="AV23:AV43" si="32">(0.0023769*AS23)</f>
        <v>2.259289905987135E-3</v>
      </c>
      <c r="AW23" s="11">
        <f t="shared" ref="AW23:AW43" si="33">((2.2697*10^-8)*(AT23^1.5))/(AT23+198.72)</f>
        <v>3.8865391239478742E-7</v>
      </c>
      <c r="AX23" s="41">
        <f t="shared" ref="AX23:AX43" ca="1" si="34">(1/U23)*(((1 + 0.2*(U23)^2)/1.2)^3)</f>
        <v>1.6373896714798881</v>
      </c>
      <c r="AY23" s="41">
        <f t="shared" ref="AY23:AY43" ca="1" si="35">($H$4/$H$3)*AX23</f>
        <v>2.2055964184040349</v>
      </c>
      <c r="AZ23" s="41">
        <f t="shared" ref="AZ23:AZ43" si="36">-6.6*10^(-3) + 0.825*J23 - 0.243*(J23^2)</f>
        <v>0.11823405950437749</v>
      </c>
      <c r="BA23" s="154">
        <f>2.12-0.00251*AF23+1.94*10^-6*AF23^2-7.84*10^-10*AF23^3+1.7*10^-13*AF23^4-1.89*10^-17*AF23^5+8.37*10^-22*AF23^6</f>
        <v>3.0839195580441014E-2</v>
      </c>
      <c r="BB23" s="156">
        <f>2.18-0.00461*AF23+6.03*10^-6*AF23^2-4.1*10^-9*AF23^3+1.5*10^-12*AF23^4-2.81*10^-16*AF23^5+2.1*10^-20*AF23^6</f>
        <v>33.357052269665814</v>
      </c>
    </row>
    <row r="24" spans="1:56" ht="14.5">
      <c r="A24" s="41">
        <f t="shared" ref="A24:A43" ca="1" si="37">A23+AM23</f>
        <v>13.355002229721395</v>
      </c>
      <c r="B24" s="41">
        <f t="shared" ref="B24:C39" ca="1" si="38">A24/60</f>
        <v>0.22258337049535656</v>
      </c>
      <c r="C24" s="41">
        <f t="shared" ca="1" si="38"/>
        <v>3.7097228415892761E-3</v>
      </c>
      <c r="D24" s="41">
        <f t="shared" ref="D24:D43" ca="1" si="39">D23-AN23</f>
        <v>17210.309995336083</v>
      </c>
      <c r="E24" s="41">
        <f t="shared" ref="E24:E43" ca="1" si="40">E23+AO23</f>
        <v>0.39096535784005415</v>
      </c>
      <c r="F24" s="41">
        <f t="shared" ref="F24:F43" ca="1" si="41">F23+AO23</f>
        <v>0.39096535784005415</v>
      </c>
      <c r="G24" s="41"/>
      <c r="H24" s="7">
        <f t="shared" ref="H24:H43" si="42">H23+AL23</f>
        <v>500</v>
      </c>
      <c r="I24" s="6">
        <v>15</v>
      </c>
      <c r="J24" s="41">
        <f t="shared" si="1"/>
        <v>0.17599382099279731</v>
      </c>
      <c r="K24" s="41">
        <f t="shared" si="2"/>
        <v>201.20795971815826</v>
      </c>
      <c r="L24" s="6">
        <f>L23+($L$48-$L$23)/20</f>
        <v>115.375</v>
      </c>
      <c r="M24" s="41">
        <f t="shared" si="3"/>
        <v>119.21249680565329</v>
      </c>
      <c r="N24" s="41">
        <f t="shared" si="4"/>
        <v>45.060189300935157</v>
      </c>
      <c r="O24" s="41">
        <f t="shared" si="5"/>
        <v>1155328.3363350346</v>
      </c>
      <c r="P24" s="41">
        <f t="shared" si="6"/>
        <v>7418019.7502001654</v>
      </c>
      <c r="Q24" s="41">
        <f t="shared" si="7"/>
        <v>3.1431113078390859E-3</v>
      </c>
      <c r="R24" s="41">
        <f t="shared" ref="R24:R43" si="43">(((Q24*$B$4)+$B$17)+(0.1*(Q24*$B$4)))</f>
        <v>2.4108970826389988E-2</v>
      </c>
      <c r="S24" s="24">
        <f t="shared" ref="S24:S43" ca="1" si="44">T24</f>
        <v>12.644206510205775</v>
      </c>
      <c r="T24" s="10">
        <f t="shared" ca="1" si="8"/>
        <v>12.644206510205775</v>
      </c>
      <c r="U24" s="41">
        <f t="shared" ca="1" si="9"/>
        <v>1.6203378894429636</v>
      </c>
      <c r="V24" s="41">
        <f t="shared" ca="1" si="10"/>
        <v>0.1899266246248778</v>
      </c>
      <c r="W24" s="41">
        <f t="shared" ca="1" si="11"/>
        <v>8.5313888594781115</v>
      </c>
      <c r="X24" s="20">
        <f t="shared" ca="1" si="12"/>
        <v>1968.3698215434688</v>
      </c>
      <c r="Y24" s="41">
        <f t="shared" si="13"/>
        <v>0.61784500547818544</v>
      </c>
      <c r="Z24" s="41">
        <f t="shared" ca="1" si="14"/>
        <v>165.32644611101921</v>
      </c>
      <c r="AA24" s="14">
        <f t="shared" ca="1" si="15"/>
        <v>2017.2928791325642</v>
      </c>
      <c r="AB24" s="14">
        <f>$B$15*AR24*0.93</f>
        <v>5735.6403190585688</v>
      </c>
      <c r="AC24" s="25">
        <f t="shared" ca="1" si="16"/>
        <v>405895.38436423248</v>
      </c>
      <c r="AD24" s="41">
        <f t="shared" si="17"/>
        <v>1154056.4862749809</v>
      </c>
      <c r="AE24" s="6">
        <v>100</v>
      </c>
      <c r="AF24" s="41">
        <f t="shared" si="18"/>
        <v>5735.6403190585688</v>
      </c>
      <c r="AG24" s="41">
        <f t="shared" ca="1" si="19"/>
        <v>3718.3474399260049</v>
      </c>
      <c r="AH24" s="41">
        <f t="shared" ca="1" si="20"/>
        <v>748161.10191074852</v>
      </c>
      <c r="AI24" s="41">
        <f t="shared" si="21"/>
        <v>4267.4360754693726</v>
      </c>
      <c r="AJ24" s="13">
        <f t="shared" ca="1" si="22"/>
        <v>44.043646553539148</v>
      </c>
      <c r="AK24" s="11">
        <f t="shared" ca="1" si="23"/>
        <v>2608.3008456448379</v>
      </c>
      <c r="AL24" s="6">
        <f>AL23</f>
        <v>500</v>
      </c>
      <c r="AM24" s="41">
        <f t="shared" ca="1" si="24"/>
        <v>11.352375180656386</v>
      </c>
      <c r="AN24" s="41">
        <f t="shared" ca="1" si="25"/>
        <v>13.457093163387833</v>
      </c>
      <c r="AO24" s="41">
        <f t="shared" ca="1" si="26"/>
        <v>0.36681219116462083</v>
      </c>
      <c r="AP24" s="67">
        <f t="shared" ref="AP24:AP43" si="45">0.705 + 0.302*AZ24 + -0.0327*AZ24^2</f>
        <v>0.74402086568946801</v>
      </c>
      <c r="AQ24" s="11">
        <f t="shared" si="27"/>
        <v>1.0486185457183759</v>
      </c>
      <c r="AR24" s="11">
        <f t="shared" si="28"/>
        <v>0.9820629270355743</v>
      </c>
      <c r="AS24" s="11">
        <f t="shared" si="29"/>
        <v>0.93653019112187608</v>
      </c>
      <c r="AT24" s="11">
        <f t="shared" si="30"/>
        <v>543.88698110774999</v>
      </c>
      <c r="AU24" s="11">
        <f t="shared" si="31"/>
        <v>2078.2612074512226</v>
      </c>
      <c r="AV24" s="11">
        <f t="shared" si="32"/>
        <v>2.2260386112775872E-3</v>
      </c>
      <c r="AW24" s="11">
        <f t="shared" si="33"/>
        <v>3.8767913253979071E-7</v>
      </c>
      <c r="AX24" s="41">
        <f t="shared" ca="1" si="34"/>
        <v>1.266907076826582</v>
      </c>
      <c r="AY24" s="41">
        <f t="shared" ca="1" si="35"/>
        <v>1.7065490028246808</v>
      </c>
      <c r="AZ24" s="41">
        <f t="shared" si="36"/>
        <v>0.13106826283734008</v>
      </c>
      <c r="BA24" s="154">
        <f t="shared" ref="BA24:BA42" si="46">2.12-0.00251*AF24+1.94*10^-6*AF24^2-7.84*10^-10*AF24^3+1.7*10^-13*AF24^4-1.89*10^-17*AF24^5+8.37*10^-22*AF24^6</f>
        <v>7.5696402158328624E-2</v>
      </c>
      <c r="BB24" s="156">
        <f t="shared" ref="BB24:BB43" si="47">2.18-0.00461*AF24+6.03*10^-6*AF24^2-4.1*10^-9*AF24^3+1.5*10^-12*AF24^4-2.81*10^-16*AF24^5+2.1*10^-20*AF24^6</f>
        <v>27.255541094860405</v>
      </c>
    </row>
    <row r="25" spans="1:56" ht="14.5">
      <c r="A25" s="41">
        <f t="shared" ca="1" si="37"/>
        <v>24.707377410377781</v>
      </c>
      <c r="B25" s="41">
        <f t="shared" ca="1" si="38"/>
        <v>0.41178962350629633</v>
      </c>
      <c r="C25" s="41">
        <f t="shared" ca="1" si="38"/>
        <v>6.8631603917716057E-3</v>
      </c>
      <c r="D25" s="41">
        <f t="shared" ca="1" si="39"/>
        <v>17196.852902172697</v>
      </c>
      <c r="E25" s="41">
        <f t="shared" ca="1" si="40"/>
        <v>0.75777754900467498</v>
      </c>
      <c r="F25" s="41">
        <f t="shared" ca="1" si="41"/>
        <v>0.75777754900467498</v>
      </c>
      <c r="G25" s="41"/>
      <c r="H25" s="7">
        <f t="shared" si="42"/>
        <v>1000</v>
      </c>
      <c r="I25" s="6">
        <v>15</v>
      </c>
      <c r="J25" s="41">
        <f t="shared" si="1"/>
        <v>0.19355119835404319</v>
      </c>
      <c r="K25" s="41">
        <f t="shared" si="2"/>
        <v>220.9177241610895</v>
      </c>
      <c r="L25" s="6">
        <f t="shared" ref="L25:L43" si="48">L24+($L$48-$L$23)/20</f>
        <v>125.75</v>
      </c>
      <c r="M25" s="41">
        <f t="shared" si="3"/>
        <v>130.89021688185895</v>
      </c>
      <c r="N25" s="41">
        <f t="shared" si="4"/>
        <v>53.518268545184057</v>
      </c>
      <c r="O25" s="41">
        <f t="shared" si="5"/>
        <v>1252922.4206655137</v>
      </c>
      <c r="P25" s="41">
        <f t="shared" si="6"/>
        <v>8044642.3494196609</v>
      </c>
      <c r="Q25" s="41">
        <f t="shared" si="7"/>
        <v>3.1000459393091852E-3</v>
      </c>
      <c r="R25" s="41">
        <f t="shared" si="43"/>
        <v>2.3847149086633851E-2</v>
      </c>
      <c r="S25" s="24">
        <f t="shared" ca="1" si="44"/>
        <v>13.106307661912993</v>
      </c>
      <c r="T25" s="10">
        <f t="shared" ca="1" si="8"/>
        <v>13.106307661912993</v>
      </c>
      <c r="U25" s="41">
        <f t="shared" ca="1" si="9"/>
        <v>1.3606806162370391</v>
      </c>
      <c r="V25" s="41">
        <f t="shared" ca="1" si="10"/>
        <v>0.14077877457159746</v>
      </c>
      <c r="W25" s="41">
        <f t="shared" ca="1" si="11"/>
        <v>9.665381875767233</v>
      </c>
      <c r="X25" s="20">
        <f t="shared" ca="1" si="12"/>
        <v>1732.8743404864767</v>
      </c>
      <c r="Y25" s="41">
        <f t="shared" si="13"/>
        <v>0.61448097044036476</v>
      </c>
      <c r="Z25" s="41">
        <f t="shared" ca="1" si="14"/>
        <v>166.34242892422381</v>
      </c>
      <c r="AA25" s="14">
        <f t="shared" ca="1" si="15"/>
        <v>1779.2212582193106</v>
      </c>
      <c r="AB25" s="14">
        <f t="shared" ref="AB25:AB43" si="49">$B$15*AR25*0.93</f>
        <v>5632.4074348348286</v>
      </c>
      <c r="AC25" s="25">
        <f t="shared" ca="1" si="16"/>
        <v>393061.51114484022</v>
      </c>
      <c r="AD25" s="41">
        <f t="shared" si="17"/>
        <v>1244298.6320517103</v>
      </c>
      <c r="AE25" s="6">
        <v>100</v>
      </c>
      <c r="AF25" s="41">
        <f t="shared" si="18"/>
        <v>5632.4074348348286</v>
      </c>
      <c r="AG25" s="41">
        <f t="shared" ca="1" si="19"/>
        <v>3853.186176615518</v>
      </c>
      <c r="AH25" s="41">
        <f t="shared" ca="1" si="20"/>
        <v>851237.12090687011</v>
      </c>
      <c r="AI25" s="41">
        <f t="shared" si="21"/>
        <v>4211.9314269088718</v>
      </c>
      <c r="AJ25" s="13">
        <f t="shared" ca="1" si="22"/>
        <v>50.094978505366399</v>
      </c>
      <c r="AK25" s="11">
        <f t="shared" ca="1" si="23"/>
        <v>2969.9752358734981</v>
      </c>
      <c r="AL25" s="6">
        <f t="shared" ref="AL25:AL42" si="50">AL24</f>
        <v>500</v>
      </c>
      <c r="AM25" s="41">
        <f t="shared" ca="1" si="24"/>
        <v>9.9810403141791504</v>
      </c>
      <c r="AN25" s="41">
        <f t="shared" ca="1" si="25"/>
        <v>11.677627047926546</v>
      </c>
      <c r="AO25" s="41">
        <f t="shared" ca="1" si="26"/>
        <v>0.35344155426624285</v>
      </c>
      <c r="AP25" s="67">
        <f t="shared" si="45"/>
        <v>0.74780304437127199</v>
      </c>
      <c r="AQ25" s="11">
        <f t="shared" si="27"/>
        <v>1.0451808707183758</v>
      </c>
      <c r="AR25" s="11">
        <f t="shared" si="28"/>
        <v>0.96438727395980217</v>
      </c>
      <c r="AS25" s="11">
        <f t="shared" si="29"/>
        <v>0.92269893276649573</v>
      </c>
      <c r="AT25" s="11">
        <f t="shared" si="30"/>
        <v>542.10396221549991</v>
      </c>
      <c r="AU25" s="11">
        <f t="shared" si="31"/>
        <v>2040.8556368992124</v>
      </c>
      <c r="AV25" s="11">
        <f t="shared" si="32"/>
        <v>2.1931630932926836E-3</v>
      </c>
      <c r="AW25" s="11">
        <f t="shared" si="33"/>
        <v>3.8670279284088386E-7</v>
      </c>
      <c r="AX25" s="41">
        <f t="shared" ca="1" si="34"/>
        <v>1.0943036800632169</v>
      </c>
      <c r="AY25" s="41">
        <f t="shared" ca="1" si="35"/>
        <v>1.4740487981778698</v>
      </c>
      <c r="AZ25" s="41">
        <f t="shared" si="36"/>
        <v>0.14397645651070409</v>
      </c>
      <c r="BA25" s="154">
        <f t="shared" si="46"/>
        <v>0.11842530174824617</v>
      </c>
      <c r="BB25" s="156">
        <f t="shared" si="47"/>
        <v>22.151653330124873</v>
      </c>
    </row>
    <row r="26" spans="1:56" ht="14.5">
      <c r="A26" s="41">
        <f t="shared" ca="1" si="37"/>
        <v>34.688417724556928</v>
      </c>
      <c r="B26" s="41">
        <f t="shared" ca="1" si="38"/>
        <v>0.57814029540928213</v>
      </c>
      <c r="C26" s="41">
        <f t="shared" ca="1" si="38"/>
        <v>9.6356715901547031E-3</v>
      </c>
      <c r="D26" s="41">
        <f t="shared" ca="1" si="39"/>
        <v>17185.17527512477</v>
      </c>
      <c r="E26" s="41">
        <f t="shared" ca="1" si="40"/>
        <v>1.1112191032709178</v>
      </c>
      <c r="F26" s="41">
        <f t="shared" ca="1" si="41"/>
        <v>1.1112191032709178</v>
      </c>
      <c r="G26" s="41"/>
      <c r="H26" s="7">
        <f t="shared" si="42"/>
        <v>1500</v>
      </c>
      <c r="I26" s="6">
        <v>15</v>
      </c>
      <c r="J26" s="41">
        <f t="shared" si="1"/>
        <v>0.21141118597997766</v>
      </c>
      <c r="K26" s="41">
        <f t="shared" si="2"/>
        <v>240.90580690150651</v>
      </c>
      <c r="L26" s="6">
        <f t="shared" si="48"/>
        <v>136.125</v>
      </c>
      <c r="M26" s="41">
        <f t="shared" si="3"/>
        <v>142.73283609623218</v>
      </c>
      <c r="N26" s="41">
        <f t="shared" si="4"/>
        <v>62.697619740704432</v>
      </c>
      <c r="O26" s="41">
        <f t="shared" si="5"/>
        <v>1349447.8943116248</v>
      </c>
      <c r="P26" s="41">
        <f t="shared" si="6"/>
        <v>8664403.7171497066</v>
      </c>
      <c r="Q26" s="41">
        <f t="shared" si="7"/>
        <v>3.0609631557315634E-3</v>
      </c>
      <c r="R26" s="41">
        <f t="shared" si="43"/>
        <v>2.3609540011404397E-2</v>
      </c>
      <c r="S26" s="24">
        <f t="shared" ca="1" si="44"/>
        <v>13.341828274998768</v>
      </c>
      <c r="T26" s="10">
        <f t="shared" ca="1" si="8"/>
        <v>13.341828274998768</v>
      </c>
      <c r="U26" s="41">
        <f t="shared" ca="1" si="9"/>
        <v>1.1595585382668019</v>
      </c>
      <c r="V26" s="41">
        <f t="shared" ca="1" si="10"/>
        <v>0.10852855483141229</v>
      </c>
      <c r="W26" s="41">
        <f t="shared" ca="1" si="11"/>
        <v>10.684363576646296</v>
      </c>
      <c r="X26" s="20">
        <f t="shared" ca="1" si="12"/>
        <v>1565.0308742204579</v>
      </c>
      <c r="Y26" s="41">
        <f t="shared" si="13"/>
        <v>0.61141201294257386</v>
      </c>
      <c r="Z26" s="41">
        <f t="shared" ca="1" si="14"/>
        <v>167.45109304246418</v>
      </c>
      <c r="AA26" s="14">
        <f t="shared" ca="1" si="15"/>
        <v>1608.4416401448411</v>
      </c>
      <c r="AB26" s="14">
        <f t="shared" si="49"/>
        <v>5530.6842650198869</v>
      </c>
      <c r="AC26" s="25">
        <f t="shared" ca="1" si="16"/>
        <v>387482.93117307551</v>
      </c>
      <c r="AD26" s="41">
        <f t="shared" si="17"/>
        <v>1332373.9555820813</v>
      </c>
      <c r="AE26" s="6">
        <v>100</v>
      </c>
      <c r="AF26" s="41">
        <f t="shared" si="18"/>
        <v>5530.6842650198869</v>
      </c>
      <c r="AG26" s="41">
        <f t="shared" ca="1" si="19"/>
        <v>3922.2426248750457</v>
      </c>
      <c r="AH26" s="41">
        <f t="shared" ca="1" si="20"/>
        <v>944891.02440900588</v>
      </c>
      <c r="AI26" s="41">
        <f t="shared" si="21"/>
        <v>4156.8312576775106</v>
      </c>
      <c r="AJ26" s="13">
        <f t="shared" ca="1" si="22"/>
        <v>55.591456863700543</v>
      </c>
      <c r="AK26" s="11">
        <f t="shared" ca="1" si="23"/>
        <v>3298.9748755488758</v>
      </c>
      <c r="AL26" s="6">
        <f t="shared" si="50"/>
        <v>500</v>
      </c>
      <c r="AM26" s="41">
        <f t="shared" ca="1" si="24"/>
        <v>8.9941877440971361</v>
      </c>
      <c r="AN26" s="41">
        <f t="shared" ca="1" si="25"/>
        <v>10.385366875578598</v>
      </c>
      <c r="AO26" s="41">
        <f t="shared" ca="1" si="26"/>
        <v>0.34697720553845479</v>
      </c>
      <c r="AP26" s="67">
        <f t="shared" si="45"/>
        <v>0.75159438841381121</v>
      </c>
      <c r="AQ26" s="11">
        <f t="shared" si="27"/>
        <v>1.0417431957183758</v>
      </c>
      <c r="AR26" s="11">
        <f t="shared" si="28"/>
        <v>0.94697011592012315</v>
      </c>
      <c r="AS26" s="11">
        <f t="shared" si="29"/>
        <v>0.9090245271696753</v>
      </c>
      <c r="AT26" s="11">
        <f t="shared" si="30"/>
        <v>540.32094332324994</v>
      </c>
      <c r="AU26" s="11">
        <f t="shared" si="31"/>
        <v>2003.9970987124827</v>
      </c>
      <c r="AV26" s="11">
        <f t="shared" si="32"/>
        <v>2.1606603986296011E-3</v>
      </c>
      <c r="AW26" s="11">
        <f t="shared" si="33"/>
        <v>3.8572488716766502E-7</v>
      </c>
      <c r="AX26" s="41">
        <f t="shared" ca="1" si="34"/>
        <v>1.0196740891668068</v>
      </c>
      <c r="AY26" s="41">
        <f t="shared" ca="1" si="35"/>
        <v>1.3735212565333015</v>
      </c>
      <c r="AZ26" s="41">
        <f t="shared" si="36"/>
        <v>0.1569534188710186</v>
      </c>
      <c r="BA26" s="154">
        <f t="shared" si="46"/>
        <v>0.15877849564702018</v>
      </c>
      <c r="BB26" s="156">
        <f t="shared" si="47"/>
        <v>17.899039412071716</v>
      </c>
    </row>
    <row r="27" spans="1:56" ht="14.5">
      <c r="A27" s="41">
        <f t="shared" ca="1" si="37"/>
        <v>43.68260546865406</v>
      </c>
      <c r="B27" s="41">
        <f t="shared" ca="1" si="38"/>
        <v>0.72804342447756765</v>
      </c>
      <c r="C27" s="41">
        <f t="shared" ca="1" si="38"/>
        <v>1.2134057074626127E-2</v>
      </c>
      <c r="D27" s="41">
        <f t="shared" ca="1" si="39"/>
        <v>17174.789908249189</v>
      </c>
      <c r="E27" s="41">
        <f t="shared" ca="1" si="40"/>
        <v>1.4581963088093726</v>
      </c>
      <c r="F27" s="41">
        <f t="shared" ca="1" si="41"/>
        <v>1.4581963088093726</v>
      </c>
      <c r="G27" s="41"/>
      <c r="H27" s="7">
        <f t="shared" si="42"/>
        <v>2000</v>
      </c>
      <c r="I27" s="6">
        <v>15</v>
      </c>
      <c r="J27" s="41">
        <f t="shared" si="1"/>
        <v>0.22957691134175717</v>
      </c>
      <c r="K27" s="41">
        <f t="shared" si="2"/>
        <v>261.173891485762</v>
      </c>
      <c r="L27" s="6">
        <f t="shared" si="48"/>
        <v>146.5</v>
      </c>
      <c r="M27" s="41">
        <f t="shared" si="3"/>
        <v>154.74135192305022</v>
      </c>
      <c r="N27" s="41">
        <f t="shared" si="4"/>
        <v>72.595350720843797</v>
      </c>
      <c r="O27" s="41">
        <f t="shared" si="5"/>
        <v>1444892.6991094307</v>
      </c>
      <c r="P27" s="41">
        <f t="shared" si="6"/>
        <v>9277226.4315047413</v>
      </c>
      <c r="Q27" s="41">
        <f t="shared" si="7"/>
        <v>3.0251824139999385E-3</v>
      </c>
      <c r="R27" s="41">
        <f t="shared" si="43"/>
        <v>2.3392006146729941E-2</v>
      </c>
      <c r="S27" s="24">
        <f t="shared" ca="1" si="44"/>
        <v>13.413556825065514</v>
      </c>
      <c r="T27" s="10">
        <f t="shared" ca="1" si="8"/>
        <v>13.413556825065514</v>
      </c>
      <c r="U27" s="41">
        <f t="shared" ca="1" si="9"/>
        <v>1.0005598895781138</v>
      </c>
      <c r="V27" s="41">
        <f t="shared" ca="1" si="10"/>
        <v>8.6619470976527252E-2</v>
      </c>
      <c r="W27" s="41">
        <f t="shared" ca="1" si="11"/>
        <v>11.551212196265347</v>
      </c>
      <c r="X27" s="20">
        <f t="shared" ca="1" si="12"/>
        <v>1446.2793012028376</v>
      </c>
      <c r="Y27" s="41">
        <f t="shared" si="13"/>
        <v>0.60858877701038983</v>
      </c>
      <c r="Z27" s="41">
        <f t="shared" ca="1" si="14"/>
        <v>168.63421048558686</v>
      </c>
      <c r="AA27" s="14">
        <f t="shared" ca="1" si="15"/>
        <v>1486.8387504648229</v>
      </c>
      <c r="AB27" s="14">
        <f t="shared" si="49"/>
        <v>5430.4538601880595</v>
      </c>
      <c r="AC27" s="25">
        <f t="shared" ca="1" si="16"/>
        <v>388323.46247072559</v>
      </c>
      <c r="AD27" s="41">
        <f t="shared" si="17"/>
        <v>1418292.7671991936</v>
      </c>
      <c r="AE27" s="6">
        <v>100</v>
      </c>
      <c r="AF27" s="41">
        <f t="shared" si="18"/>
        <v>5430.4538601880595</v>
      </c>
      <c r="AG27" s="41">
        <f t="shared" ca="1" si="19"/>
        <v>3943.6151097232369</v>
      </c>
      <c r="AH27" s="41">
        <f t="shared" ca="1" si="20"/>
        <v>1029969.3047284679</v>
      </c>
      <c r="AI27" s="41">
        <f t="shared" si="21"/>
        <v>4102.1272651673917</v>
      </c>
      <c r="AJ27" s="13">
        <f t="shared" ca="1" si="22"/>
        <v>60.586614420765024</v>
      </c>
      <c r="AK27" s="11">
        <f t="shared" ca="1" si="23"/>
        <v>3598.1900572784257</v>
      </c>
      <c r="AL27" s="6">
        <f t="shared" si="50"/>
        <v>500</v>
      </c>
      <c r="AM27" s="41">
        <f t="shared" ca="1" si="24"/>
        <v>8.2526479616037687</v>
      </c>
      <c r="AN27" s="41">
        <f t="shared" ca="1" si="25"/>
        <v>9.4037256147563664</v>
      </c>
      <c r="AO27" s="41">
        <f t="shared" ca="1" si="26"/>
        <v>0.34505275955862658</v>
      </c>
      <c r="AP27" s="67">
        <f t="shared" si="45"/>
        <v>0.75539307961735136</v>
      </c>
      <c r="AQ27" s="11">
        <f t="shared" si="27"/>
        <v>1.0383055207183758</v>
      </c>
      <c r="AR27" s="11">
        <f t="shared" si="28"/>
        <v>0.92980855081639258</v>
      </c>
      <c r="AS27" s="11">
        <f t="shared" si="29"/>
        <v>0.89550573724493243</v>
      </c>
      <c r="AT27" s="11">
        <f t="shared" si="30"/>
        <v>538.53792443099996</v>
      </c>
      <c r="AU27" s="11">
        <f t="shared" si="31"/>
        <v>1967.6794514086662</v>
      </c>
      <c r="AV27" s="11">
        <f t="shared" si="32"/>
        <v>2.12852758685748E-3</v>
      </c>
      <c r="AW27" s="11">
        <f t="shared" si="33"/>
        <v>3.8474540935600882E-7</v>
      </c>
      <c r="AX27" s="41">
        <f t="shared" ca="1" si="34"/>
        <v>1.0000002611490868</v>
      </c>
      <c r="AY27" s="41">
        <f t="shared" ca="1" si="35"/>
        <v>1.3470202193226772</v>
      </c>
      <c r="AZ27" s="41">
        <f t="shared" si="36"/>
        <v>0.16999350120919296</v>
      </c>
      <c r="BA27" s="154">
        <f t="shared" si="46"/>
        <v>0.19662596248233655</v>
      </c>
      <c r="BB27" s="156">
        <f t="shared" si="47"/>
        <v>14.370806906418352</v>
      </c>
    </row>
    <row r="28" spans="1:56" ht="14.5">
      <c r="A28" s="41">
        <f t="shared" ca="1" si="37"/>
        <v>51.935253430257831</v>
      </c>
      <c r="B28" s="41">
        <f t="shared" ca="1" si="38"/>
        <v>0.86558755717096381</v>
      </c>
      <c r="C28" s="41">
        <f t="shared" ca="1" si="38"/>
        <v>1.4426459286182729E-2</v>
      </c>
      <c r="D28" s="41">
        <f t="shared" ca="1" si="39"/>
        <v>17165.386182634433</v>
      </c>
      <c r="E28" s="41">
        <f t="shared" ca="1" si="40"/>
        <v>1.8032490683679991</v>
      </c>
      <c r="F28" s="41">
        <f t="shared" ca="1" si="41"/>
        <v>1.8032490683679991</v>
      </c>
      <c r="G28" s="41"/>
      <c r="H28" s="7">
        <f t="shared" si="42"/>
        <v>2500</v>
      </c>
      <c r="I28" s="6">
        <v>15</v>
      </c>
      <c r="J28" s="41">
        <f t="shared" si="1"/>
        <v>0.24805123441975788</v>
      </c>
      <c r="K28" s="41">
        <f t="shared" si="2"/>
        <v>281.72332731382755</v>
      </c>
      <c r="L28" s="6">
        <f t="shared" si="48"/>
        <v>156.875</v>
      </c>
      <c r="M28" s="41">
        <f t="shared" si="3"/>
        <v>166.9165638602058</v>
      </c>
      <c r="N28" s="41">
        <f t="shared" si="4"/>
        <v>83.207927270124429</v>
      </c>
      <c r="O28" s="41">
        <f t="shared" si="5"/>
        <v>1539243.252701022</v>
      </c>
      <c r="P28" s="41">
        <f t="shared" si="6"/>
        <v>9883023.284202883</v>
      </c>
      <c r="Q28" s="41">
        <f t="shared" si="7"/>
        <v>2.9921721639108827E-3</v>
      </c>
      <c r="R28" s="41">
        <f t="shared" si="43"/>
        <v>2.319131586116787E-2</v>
      </c>
      <c r="S28" s="24">
        <f t="shared" ca="1" si="44"/>
        <v>13.363615076765042</v>
      </c>
      <c r="T28" s="10">
        <f t="shared" ca="1" si="8"/>
        <v>13.363615076765042</v>
      </c>
      <c r="U28" s="41">
        <f t="shared" ca="1" si="9"/>
        <v>0.87264869243002197</v>
      </c>
      <c r="V28" s="41">
        <f t="shared" ca="1" si="10"/>
        <v>7.1286154879785735E-2</v>
      </c>
      <c r="W28" s="41">
        <f t="shared" ca="1" si="11"/>
        <v>12.241489162960516</v>
      </c>
      <c r="X28" s="20">
        <f t="shared" ca="1" si="12"/>
        <v>1364.2618338389286</v>
      </c>
      <c r="Y28" s="41">
        <f t="shared" si="13"/>
        <v>0.60597247823980271</v>
      </c>
      <c r="Z28" s="41">
        <f t="shared" ca="1" si="14"/>
        <v>169.87791002107818</v>
      </c>
      <c r="AA28" s="14">
        <f t="shared" ca="1" si="15"/>
        <v>1402.2302314797057</v>
      </c>
      <c r="AB28" s="14">
        <f t="shared" si="49"/>
        <v>5331.6994032193461</v>
      </c>
      <c r="AC28" s="25">
        <f t="shared" ca="1" si="16"/>
        <v>395040.96647250128</v>
      </c>
      <c r="AD28" s="41">
        <f t="shared" si="17"/>
        <v>1502064.096112103</v>
      </c>
      <c r="AE28" s="6">
        <v>100</v>
      </c>
      <c r="AF28" s="41">
        <f t="shared" si="18"/>
        <v>5331.6994032193461</v>
      </c>
      <c r="AG28" s="41">
        <f t="shared" ca="1" si="19"/>
        <v>3929.4691717396404</v>
      </c>
      <c r="AH28" s="41">
        <f t="shared" ca="1" si="20"/>
        <v>1107023.1296396018</v>
      </c>
      <c r="AI28" s="41">
        <f t="shared" si="21"/>
        <v>4047.8112170068002</v>
      </c>
      <c r="AJ28" s="13">
        <f t="shared" ca="1" si="22"/>
        <v>65.114743185125093</v>
      </c>
      <c r="AK28" s="11">
        <f t="shared" ca="1" si="23"/>
        <v>3869.4956857756042</v>
      </c>
      <c r="AL28" s="6">
        <f t="shared" si="50"/>
        <v>500</v>
      </c>
      <c r="AM28" s="41">
        <f t="shared" ca="1" si="24"/>
        <v>7.6787525457709362</v>
      </c>
      <c r="AN28" s="41">
        <f t="shared" ca="1" si="25"/>
        <v>8.633927968719755</v>
      </c>
      <c r="AO28" s="41">
        <f t="shared" ca="1" si="26"/>
        <v>0.34639053043407986</v>
      </c>
      <c r="AP28" s="67">
        <f t="shared" si="45"/>
        <v>0.75919719228032279</v>
      </c>
      <c r="AQ28" s="11">
        <f t="shared" si="27"/>
        <v>1.0348678457183758</v>
      </c>
      <c r="AR28" s="11">
        <f t="shared" si="28"/>
        <v>0.91289969920199743</v>
      </c>
      <c r="AS28" s="11">
        <f t="shared" si="29"/>
        <v>0.88214133135839046</v>
      </c>
      <c r="AT28" s="11">
        <f t="shared" si="30"/>
        <v>536.75490553874988</v>
      </c>
      <c r="AU28" s="11">
        <f t="shared" si="31"/>
        <v>1931.8966014452508</v>
      </c>
      <c r="AV28" s="11">
        <f t="shared" si="32"/>
        <v>2.0967617305057583E-3</v>
      </c>
      <c r="AW28" s="11">
        <f t="shared" si="33"/>
        <v>3.8376435320786708E-7</v>
      </c>
      <c r="AX28" s="41">
        <f t="shared" ca="1" si="34"/>
        <v>1.0146518807290632</v>
      </c>
      <c r="AY28" s="41">
        <f t="shared" ca="1" si="35"/>
        <v>1.3667562419886852</v>
      </c>
      <c r="AZ28" s="41">
        <f t="shared" si="36"/>
        <v>0.18309062057628897</v>
      </c>
      <c r="BA28" s="154">
        <f t="shared" si="46"/>
        <v>0.23192921831609681</v>
      </c>
      <c r="BB28" s="156">
        <f t="shared" si="47"/>
        <v>11.457160186431224</v>
      </c>
    </row>
    <row r="29" spans="1:56" ht="14.5">
      <c r="A29" s="41">
        <f t="shared" ca="1" si="37"/>
        <v>59.614005976028764</v>
      </c>
      <c r="B29" s="41">
        <f t="shared" ca="1" si="38"/>
        <v>0.99356676626714602</v>
      </c>
      <c r="C29" s="41">
        <f t="shared" ca="1" si="38"/>
        <v>1.6559446104452435E-2</v>
      </c>
      <c r="D29" s="41">
        <f t="shared" ca="1" si="39"/>
        <v>17156.752254665713</v>
      </c>
      <c r="E29" s="41">
        <f t="shared" ca="1" si="40"/>
        <v>2.1496395988020791</v>
      </c>
      <c r="F29" s="41">
        <f t="shared" ca="1" si="41"/>
        <v>2.1496395988020791</v>
      </c>
      <c r="G29" s="41"/>
      <c r="H29" s="7">
        <f t="shared" si="42"/>
        <v>3000</v>
      </c>
      <c r="I29" s="6">
        <v>15</v>
      </c>
      <c r="J29" s="41">
        <f t="shared" si="1"/>
        <v>0.26683672897872124</v>
      </c>
      <c r="K29" s="41">
        <f t="shared" si="2"/>
        <v>302.55511077646844</v>
      </c>
      <c r="L29" s="6">
        <f t="shared" si="48"/>
        <v>167.25</v>
      </c>
      <c r="M29" s="41">
        <f t="shared" si="3"/>
        <v>179.25906225328512</v>
      </c>
      <c r="N29" s="41">
        <f t="shared" si="4"/>
        <v>94.531105135391982</v>
      </c>
      <c r="O29" s="41">
        <f t="shared" si="5"/>
        <v>1632484.4617715366</v>
      </c>
      <c r="P29" s="41">
        <f t="shared" si="6"/>
        <v>10481697.365556881</v>
      </c>
      <c r="Q29" s="41">
        <f t="shared" si="7"/>
        <v>2.961509589652884E-3</v>
      </c>
      <c r="R29" s="41">
        <f t="shared" si="43"/>
        <v>2.3004898588735685E-2</v>
      </c>
      <c r="S29" s="24">
        <f t="shared" ca="1" si="44"/>
        <v>13.221106505208377</v>
      </c>
      <c r="T29" s="10">
        <f t="shared" ca="1" si="8"/>
        <v>13.221106505208377</v>
      </c>
      <c r="U29" s="41">
        <f t="shared" ca="1" si="9"/>
        <v>0.76818550490093829</v>
      </c>
      <c r="V29" s="41">
        <f t="shared" ca="1" si="10"/>
        <v>6.0274247608102058E-2</v>
      </c>
      <c r="W29" s="41">
        <f t="shared" ca="1" si="11"/>
        <v>12.74483772730958</v>
      </c>
      <c r="X29" s="20">
        <f t="shared" ca="1" si="12"/>
        <v>1310.4919846475732</v>
      </c>
      <c r="Y29" s="41">
        <f t="shared" si="13"/>
        <v>0.60353208931329339</v>
      </c>
      <c r="Z29" s="41">
        <f t="shared" ca="1" si="14"/>
        <v>171.17168531338532</v>
      </c>
      <c r="AA29" s="14">
        <f t="shared" ca="1" si="15"/>
        <v>1346.1726717714344</v>
      </c>
      <c r="AB29" s="14">
        <f t="shared" si="49"/>
        <v>5234.4042087224379</v>
      </c>
      <c r="AC29" s="25">
        <f t="shared" ca="1" si="16"/>
        <v>407291.42183206079</v>
      </c>
      <c r="AD29" s="41">
        <f t="shared" si="17"/>
        <v>1583695.74521883</v>
      </c>
      <c r="AE29" s="6">
        <v>100</v>
      </c>
      <c r="AF29" s="41">
        <f t="shared" si="18"/>
        <v>5234.4042087224379</v>
      </c>
      <c r="AG29" s="41">
        <f t="shared" ca="1" si="19"/>
        <v>3888.2315369510034</v>
      </c>
      <c r="AH29" s="41">
        <f t="shared" ca="1" si="20"/>
        <v>1176404.3233867693</v>
      </c>
      <c r="AI29" s="41">
        <f t="shared" si="21"/>
        <v>3993.8749800023588</v>
      </c>
      <c r="AJ29" s="13">
        <f t="shared" ca="1" si="22"/>
        <v>69.197228007372729</v>
      </c>
      <c r="AK29" s="11">
        <f t="shared" ca="1" si="23"/>
        <v>4114.0804713789021</v>
      </c>
      <c r="AL29" s="6">
        <f t="shared" si="50"/>
        <v>500</v>
      </c>
      <c r="AM29" s="41">
        <f t="shared" ca="1" si="24"/>
        <v>7.2257229718324369</v>
      </c>
      <c r="AN29" s="41">
        <f t="shared" ca="1" si="25"/>
        <v>8.0162872748971825</v>
      </c>
      <c r="AO29" s="41">
        <f t="shared" ca="1" si="26"/>
        <v>0.35026240527502916</v>
      </c>
      <c r="AP29" s="67">
        <f t="shared" si="45"/>
        <v>0.763004693704605</v>
      </c>
      <c r="AQ29" s="11">
        <f t="shared" si="27"/>
        <v>1.0314301707183759</v>
      </c>
      <c r="AR29" s="11">
        <f t="shared" si="28"/>
        <v>0.8962407041850623</v>
      </c>
      <c r="AS29" s="11">
        <f t="shared" si="29"/>
        <v>0.86893008332386068</v>
      </c>
      <c r="AT29" s="11">
        <f t="shared" si="30"/>
        <v>534.97188664650002</v>
      </c>
      <c r="AU29" s="11">
        <f t="shared" si="31"/>
        <v>1896.6425030105124</v>
      </c>
      <c r="AV29" s="11">
        <f t="shared" si="32"/>
        <v>2.0653599150524844E-3</v>
      </c>
      <c r="AW29" s="11">
        <f t="shared" si="33"/>
        <v>3.8278171249107636E-7</v>
      </c>
      <c r="AX29" s="41">
        <f t="shared" ca="1" si="34"/>
        <v>1.0527880876392137</v>
      </c>
      <c r="AY29" s="41">
        <f t="shared" ca="1" si="35"/>
        <v>1.418126470369643</v>
      </c>
      <c r="AZ29" s="41">
        <f t="shared" si="36"/>
        <v>0.19623825430395359</v>
      </c>
      <c r="BA29" s="154">
        <f t="shared" si="46"/>
        <v>0.26471968006634228</v>
      </c>
      <c r="BB29" s="156">
        <f t="shared" si="47"/>
        <v>9.0633030010699827</v>
      </c>
    </row>
    <row r="30" spans="1:56" ht="14.5">
      <c r="A30" s="41">
        <f t="shared" ca="1" si="37"/>
        <v>66.839728947861204</v>
      </c>
      <c r="B30" s="41">
        <f t="shared" ca="1" si="38"/>
        <v>1.1139954824643534</v>
      </c>
      <c r="C30" s="41">
        <f t="shared" ca="1" si="38"/>
        <v>1.8566591374405892E-2</v>
      </c>
      <c r="D30" s="41">
        <f t="shared" ca="1" si="39"/>
        <v>17148.735967390814</v>
      </c>
      <c r="E30" s="41">
        <f t="shared" ca="1" si="40"/>
        <v>2.4999020040771081</v>
      </c>
      <c r="F30" s="41">
        <f t="shared" ca="1" si="41"/>
        <v>2.4999020040771081</v>
      </c>
      <c r="G30" s="41"/>
      <c r="H30" s="7">
        <f t="shared" si="42"/>
        <v>3500</v>
      </c>
      <c r="I30" s="6">
        <v>15</v>
      </c>
      <c r="J30" s="41">
        <f t="shared" si="1"/>
        <v>0.28593566424496719</v>
      </c>
      <c r="K30" s="41">
        <f t="shared" si="2"/>
        <v>323.66986707091314</v>
      </c>
      <c r="L30" s="6">
        <f t="shared" si="48"/>
        <v>177.625</v>
      </c>
      <c r="M30" s="41">
        <f t="shared" si="3"/>
        <v>191.7692175216429</v>
      </c>
      <c r="N30" s="41">
        <f t="shared" si="4"/>
        <v>106.55986204081432</v>
      </c>
      <c r="O30" s="41">
        <f t="shared" si="5"/>
        <v>1724599.7433481584</v>
      </c>
      <c r="P30" s="41">
        <f t="shared" si="6"/>
        <v>11073142.201228665</v>
      </c>
      <c r="Q30" s="41">
        <f t="shared" si="7"/>
        <v>2.9328530067766296E-3</v>
      </c>
      <c r="R30" s="41">
        <f t="shared" si="43"/>
        <v>2.2830677012553952E-2</v>
      </c>
      <c r="S30" s="24">
        <f t="shared" ca="1" si="44"/>
        <v>13.006674798829533</v>
      </c>
      <c r="T30" s="10">
        <f t="shared" ca="1" si="8"/>
        <v>13.006674798829533</v>
      </c>
      <c r="U30" s="41">
        <f t="shared" ca="1" si="9"/>
        <v>0.6817464376738348</v>
      </c>
      <c r="V30" s="41">
        <f t="shared" ca="1" si="10"/>
        <v>5.2184545588682948E-2</v>
      </c>
      <c r="W30" s="41">
        <f t="shared" ca="1" si="11"/>
        <v>13.064144374224126</v>
      </c>
      <c r="X30" s="20">
        <f t="shared" ca="1" si="12"/>
        <v>1278.9789350763074</v>
      </c>
      <c r="Y30" s="41">
        <f t="shared" si="13"/>
        <v>0.60124239985447558</v>
      </c>
      <c r="Z30" s="41">
        <f t="shared" ca="1" si="14"/>
        <v>172.50754205821414</v>
      </c>
      <c r="AA30" s="14">
        <f t="shared" ca="1" si="15"/>
        <v>1312.6566483164167</v>
      </c>
      <c r="AB30" s="14">
        <f t="shared" si="49"/>
        <v>5138.55172245822</v>
      </c>
      <c r="AC30" s="25">
        <f t="shared" ca="1" si="16"/>
        <v>424867.40287032496</v>
      </c>
      <c r="AD30" s="41">
        <f t="shared" si="17"/>
        <v>1663194.3529450637</v>
      </c>
      <c r="AE30" s="6">
        <v>100</v>
      </c>
      <c r="AF30" s="41">
        <f t="shared" si="18"/>
        <v>5138.55172245822</v>
      </c>
      <c r="AG30" s="41">
        <f t="shared" ca="1" si="19"/>
        <v>3825.895074141803</v>
      </c>
      <c r="AH30" s="41">
        <f t="shared" ca="1" si="20"/>
        <v>1238326.9500747388</v>
      </c>
      <c r="AI30" s="41">
        <f t="shared" si="21"/>
        <v>3940.3105499993621</v>
      </c>
      <c r="AJ30" s="13">
        <f t="shared" ca="1" si="22"/>
        <v>72.846617582653693</v>
      </c>
      <c r="AK30" s="11">
        <f t="shared" ca="1" si="23"/>
        <v>4332.6585204745588</v>
      </c>
      <c r="AL30" s="6">
        <f t="shared" si="50"/>
        <v>500</v>
      </c>
      <c r="AM30" s="41">
        <f t="shared" ca="1" si="24"/>
        <v>6.8637366646802347</v>
      </c>
      <c r="AN30" s="41">
        <f t="shared" ca="1" si="25"/>
        <v>7.5125705534047116</v>
      </c>
      <c r="AO30" s="41">
        <f t="shared" ca="1" si="26"/>
        <v>0.35624539366222424</v>
      </c>
      <c r="AP30" s="67">
        <f t="shared" si="45"/>
        <v>0.76681344527059969</v>
      </c>
      <c r="AQ30" s="11">
        <f t="shared" si="27"/>
        <v>1.0279924957183759</v>
      </c>
      <c r="AR30" s="11">
        <f t="shared" si="28"/>
        <v>0.87982873132974104</v>
      </c>
      <c r="AS30" s="11">
        <f t="shared" si="29"/>
        <v>0.85587077239790943</v>
      </c>
      <c r="AT30" s="11">
        <f t="shared" si="30"/>
        <v>533.18886775424994</v>
      </c>
      <c r="AU30" s="11">
        <f t="shared" si="31"/>
        <v>1861.9111578146244</v>
      </c>
      <c r="AV30" s="11">
        <f t="shared" si="32"/>
        <v>2.0343192389125908E-3</v>
      </c>
      <c r="AW30" s="11">
        <f t="shared" si="33"/>
        <v>3.8179748093915456E-7</v>
      </c>
      <c r="AX30" s="41">
        <f t="shared" ca="1" si="34"/>
        <v>1.1082582995946384</v>
      </c>
      <c r="AY30" s="41">
        <f t="shared" ca="1" si="35"/>
        <v>1.4928459479307912</v>
      </c>
      <c r="AZ30" s="41">
        <f t="shared" si="36"/>
        <v>0.20942943640890574</v>
      </c>
      <c r="BA30" s="154">
        <f t="shared" si="46"/>
        <v>0.29508067237990332</v>
      </c>
      <c r="BB30" s="156">
        <f t="shared" si="47"/>
        <v>7.1075768870349521</v>
      </c>
    </row>
    <row r="31" spans="1:56" ht="14.5">
      <c r="A31" s="41">
        <f t="shared" ca="1" si="37"/>
        <v>73.703465612541436</v>
      </c>
      <c r="B31" s="41">
        <f t="shared" ca="1" si="38"/>
        <v>1.2283910935423572</v>
      </c>
      <c r="C31" s="41">
        <f t="shared" ca="1" si="38"/>
        <v>2.0473184892372619E-2</v>
      </c>
      <c r="D31" s="41">
        <f t="shared" ca="1" si="39"/>
        <v>17141.223396837409</v>
      </c>
      <c r="E31" s="41">
        <f t="shared" ca="1" si="40"/>
        <v>2.8561473977393321</v>
      </c>
      <c r="F31" s="41">
        <f t="shared" ca="1" si="41"/>
        <v>2.8561473977393321</v>
      </c>
      <c r="G31" s="41"/>
      <c r="H31" s="7">
        <f t="shared" si="42"/>
        <v>4000</v>
      </c>
      <c r="I31" s="6">
        <v>15</v>
      </c>
      <c r="J31" s="41">
        <f t="shared" si="1"/>
        <v>0.30534998717524459</v>
      </c>
      <c r="K31" s="41">
        <f t="shared" si="2"/>
        <v>345.06783290528074</v>
      </c>
      <c r="L31" s="6">
        <f t="shared" si="48"/>
        <v>188</v>
      </c>
      <c r="M31" s="41">
        <f t="shared" si="3"/>
        <v>204.44716991105236</v>
      </c>
      <c r="N31" s="41">
        <f t="shared" si="4"/>
        <v>119.28833028332647</v>
      </c>
      <c r="O31" s="41">
        <f t="shared" si="5"/>
        <v>1815571.05474888</v>
      </c>
      <c r="P31" s="41">
        <f t="shared" si="6"/>
        <v>11657241.94452144</v>
      </c>
      <c r="Q31" s="41">
        <f t="shared" si="7"/>
        <v>2.9059224472813899E-3</v>
      </c>
      <c r="R31" s="41">
        <f t="shared" si="43"/>
        <v>2.2666949029249824E-2</v>
      </c>
      <c r="S31" s="24">
        <f t="shared" ca="1" si="44"/>
        <v>12.73531106454079</v>
      </c>
      <c r="T31" s="10">
        <f t="shared" ca="1" si="8"/>
        <v>12.73531106454079</v>
      </c>
      <c r="U31" s="41">
        <f t="shared" ca="1" si="9"/>
        <v>0.60939413042857127</v>
      </c>
      <c r="V31" s="41">
        <f t="shared" ca="1" si="10"/>
        <v>4.6120906029021684E-2</v>
      </c>
      <c r="W31" s="41">
        <f t="shared" ca="1" si="11"/>
        <v>13.212969624775122</v>
      </c>
      <c r="X31" s="20">
        <f t="shared" ca="1" si="12"/>
        <v>1265.3877504119264</v>
      </c>
      <c r="Y31" s="41">
        <f t="shared" si="13"/>
        <v>0.59908264502480046</v>
      </c>
      <c r="Z31" s="41">
        <f t="shared" ca="1" si="14"/>
        <v>173.87934237395061</v>
      </c>
      <c r="AA31" s="14">
        <f t="shared" ca="1" si="15"/>
        <v>1297.3028685918246</v>
      </c>
      <c r="AB31" s="14">
        <f t="shared" si="49"/>
        <v>5044.1255207638187</v>
      </c>
      <c r="AC31" s="25">
        <f t="shared" ca="1" si="16"/>
        <v>447657.48948678508</v>
      </c>
      <c r="AD31" s="41">
        <f t="shared" si="17"/>
        <v>1740565.4623521916</v>
      </c>
      <c r="AE31" s="6">
        <v>100</v>
      </c>
      <c r="AF31" s="41">
        <f t="shared" si="18"/>
        <v>5044.1255207638187</v>
      </c>
      <c r="AG31" s="41">
        <f t="shared" ca="1" si="19"/>
        <v>3746.8226521719944</v>
      </c>
      <c r="AH31" s="41">
        <f t="shared" ca="1" si="20"/>
        <v>1292907.9728654064</v>
      </c>
      <c r="AI31" s="41">
        <f t="shared" si="21"/>
        <v>3887.1100825153617</v>
      </c>
      <c r="AJ31" s="13">
        <f t="shared" ca="1" si="22"/>
        <v>76.069299334447493</v>
      </c>
      <c r="AK31" s="11">
        <f t="shared" ca="1" si="23"/>
        <v>4525.6092039636469</v>
      </c>
      <c r="AL31" s="6">
        <f t="shared" si="50"/>
        <v>500</v>
      </c>
      <c r="AM31" s="41">
        <f t="shared" ca="1" si="24"/>
        <v>6.5729539298330071</v>
      </c>
      <c r="AN31" s="41">
        <f t="shared" ca="1" si="25"/>
        <v>7.0971654146007923</v>
      </c>
      <c r="AO31" s="41">
        <f t="shared" ca="1" si="26"/>
        <v>0.36410063657788888</v>
      </c>
      <c r="AP31" s="67">
        <f t="shared" si="45"/>
        <v>0.77062120411443424</v>
      </c>
      <c r="AQ31" s="11">
        <f t="shared" si="27"/>
        <v>1.0245548207183759</v>
      </c>
      <c r="AR31" s="11">
        <f t="shared" si="28"/>
        <v>0.86366096855760188</v>
      </c>
      <c r="AS31" s="11">
        <f t="shared" si="29"/>
        <v>0.84296218327491557</v>
      </c>
      <c r="AT31" s="11">
        <f t="shared" si="30"/>
        <v>531.40584886199997</v>
      </c>
      <c r="AU31" s="11">
        <f t="shared" si="31"/>
        <v>1827.6966148809681</v>
      </c>
      <c r="AV31" s="11">
        <f t="shared" si="32"/>
        <v>2.0036368134261468E-3</v>
      </c>
      <c r="AW31" s="11">
        <f t="shared" si="33"/>
        <v>3.8081165225110524E-7</v>
      </c>
      <c r="AX31" s="41">
        <f t="shared" ca="1" si="34"/>
        <v>1.1773377154120912</v>
      </c>
      <c r="AY31" s="41">
        <f t="shared" ca="1" si="35"/>
        <v>1.585897293475625</v>
      </c>
      <c r="AZ31" s="41">
        <f t="shared" si="36"/>
        <v>0.22265675605527174</v>
      </c>
      <c r="BA31" s="154">
        <f t="shared" si="46"/>
        <v>0.32313258223823382</v>
      </c>
      <c r="BB31" s="156">
        <f t="shared" si="47"/>
        <v>5.5198109632551677</v>
      </c>
    </row>
    <row r="32" spans="1:56" ht="14.5">
      <c r="A32" s="41">
        <f t="shared" ca="1" si="37"/>
        <v>80.276419542374441</v>
      </c>
      <c r="B32" s="41">
        <f t="shared" ca="1" si="38"/>
        <v>1.3379403257062408</v>
      </c>
      <c r="C32" s="41">
        <f t="shared" ca="1" si="38"/>
        <v>2.2299005428437345E-2</v>
      </c>
      <c r="D32" s="41">
        <f t="shared" ca="1" si="39"/>
        <v>17134.126231422808</v>
      </c>
      <c r="E32" s="41">
        <f t="shared" ca="1" si="40"/>
        <v>3.2202480343172208</v>
      </c>
      <c r="F32" s="41">
        <f t="shared" ca="1" si="41"/>
        <v>3.2202480343172208</v>
      </c>
      <c r="G32" s="41"/>
      <c r="H32" s="7">
        <f t="shared" si="42"/>
        <v>4500</v>
      </c>
      <c r="I32" s="6">
        <v>15</v>
      </c>
      <c r="J32" s="41">
        <f t="shared" si="1"/>
        <v>0.32508130551725511</v>
      </c>
      <c r="K32" s="41">
        <f t="shared" si="2"/>
        <v>366.7488403109395</v>
      </c>
      <c r="L32" s="6">
        <f t="shared" si="48"/>
        <v>198.375</v>
      </c>
      <c r="M32" s="41">
        <f t="shared" si="3"/>
        <v>217.29281990278668</v>
      </c>
      <c r="N32" s="41">
        <f t="shared" si="4"/>
        <v>132.70973054039476</v>
      </c>
      <c r="O32" s="41">
        <f t="shared" si="5"/>
        <v>1905378.9327189785</v>
      </c>
      <c r="P32" s="41">
        <f t="shared" si="6"/>
        <v>12233871.627663365</v>
      </c>
      <c r="Q32" s="41">
        <f t="shared" si="7"/>
        <v>2.8804856976091561E-3</v>
      </c>
      <c r="R32" s="41">
        <f t="shared" si="43"/>
        <v>2.2512302865051747E-2</v>
      </c>
      <c r="S32" s="24">
        <f t="shared" ca="1" si="44"/>
        <v>12.418135096171056</v>
      </c>
      <c r="T32" s="10">
        <f t="shared" ca="1" si="8"/>
        <v>12.418135096171056</v>
      </c>
      <c r="U32" s="41">
        <f t="shared" ca="1" si="9"/>
        <v>0.5482138130284343</v>
      </c>
      <c r="V32" s="41">
        <f t="shared" ca="1" si="10"/>
        <v>4.1493322519419305E-2</v>
      </c>
      <c r="W32" s="41">
        <f t="shared" ca="1" si="11"/>
        <v>13.212097266297837</v>
      </c>
      <c r="X32" s="20">
        <f t="shared" ca="1" si="12"/>
        <v>1266.5105596789008</v>
      </c>
      <c r="Y32" s="41">
        <f t="shared" si="13"/>
        <v>0.5970355147669395</v>
      </c>
      <c r="Z32" s="41">
        <f t="shared" ca="1" si="14"/>
        <v>175.28232103788199</v>
      </c>
      <c r="AA32" s="14">
        <f t="shared" ca="1" si="15"/>
        <v>1296.8513541850396</v>
      </c>
      <c r="AB32" s="14">
        <f t="shared" si="49"/>
        <v>4951.1093099771379</v>
      </c>
      <c r="AC32" s="25">
        <f t="shared" ca="1" si="16"/>
        <v>475618.73020303471</v>
      </c>
      <c r="AD32" s="41">
        <f t="shared" si="17"/>
        <v>1815813.5976868111</v>
      </c>
      <c r="AE32" s="6">
        <v>100</v>
      </c>
      <c r="AF32" s="41">
        <f t="shared" si="18"/>
        <v>4951.1093099771379</v>
      </c>
      <c r="AG32" s="41">
        <f t="shared" ca="1" si="19"/>
        <v>3654.2579557920981</v>
      </c>
      <c r="AH32" s="41">
        <f t="shared" ca="1" si="20"/>
        <v>1340194.8674837765</v>
      </c>
      <c r="AI32" s="41">
        <f t="shared" si="21"/>
        <v>3834.2659239759855</v>
      </c>
      <c r="AJ32" s="13">
        <f t="shared" ca="1" si="22"/>
        <v>78.867302623508365</v>
      </c>
      <c r="AK32" s="11">
        <f t="shared" ca="1" si="23"/>
        <v>4693.0722327443273</v>
      </c>
      <c r="AL32" s="6">
        <f t="shared" si="50"/>
        <v>500</v>
      </c>
      <c r="AM32" s="41">
        <f t="shared" ca="1" si="24"/>
        <v>6.339762910199525</v>
      </c>
      <c r="AN32" s="41">
        <f t="shared" ca="1" si="25"/>
        <v>6.7523158035180177</v>
      </c>
      <c r="AO32" s="41">
        <f t="shared" ca="1" si="26"/>
        <v>0.37370981763068933</v>
      </c>
      <c r="AP32" s="67">
        <f t="shared" si="45"/>
        <v>0.77442562543497762</v>
      </c>
      <c r="AQ32" s="11">
        <f t="shared" si="27"/>
        <v>1.0211171457183759</v>
      </c>
      <c r="AR32" s="11">
        <f t="shared" si="28"/>
        <v>0.84773462604909555</v>
      </c>
      <c r="AS32" s="11">
        <f t="shared" si="29"/>
        <v>0.83020310608211134</v>
      </c>
      <c r="AT32" s="11">
        <f t="shared" si="30"/>
        <v>529.62282996975</v>
      </c>
      <c r="AU32" s="11">
        <f t="shared" si="31"/>
        <v>1793.9929703376167</v>
      </c>
      <c r="AV32" s="11">
        <f t="shared" si="32"/>
        <v>1.9733097628465705E-3</v>
      </c>
      <c r="AW32" s="11">
        <f t="shared" si="33"/>
        <v>3.79824220091224E-7</v>
      </c>
      <c r="AX32" s="41">
        <f t="shared" ca="1" si="34"/>
        <v>1.2576396657081317</v>
      </c>
      <c r="AY32" s="41">
        <f t="shared" ca="1" si="35"/>
        <v>1.6940656159273775</v>
      </c>
      <c r="AZ32" s="41">
        <f t="shared" si="36"/>
        <v>0.23591235823891238</v>
      </c>
      <c r="BA32" s="154">
        <f t="shared" si="46"/>
        <v>0.34902072321268207</v>
      </c>
      <c r="BB32" s="156">
        <f t="shared" si="47"/>
        <v>4.2398610002570081</v>
      </c>
    </row>
    <row r="33" spans="1:55" ht="14.5">
      <c r="A33" s="41">
        <f t="shared" ca="1" si="37"/>
        <v>86.616182452573966</v>
      </c>
      <c r="B33" s="41">
        <f t="shared" ca="1" si="38"/>
        <v>1.4436030408762328</v>
      </c>
      <c r="C33" s="41">
        <f t="shared" ca="1" si="38"/>
        <v>2.4060050681270546E-2</v>
      </c>
      <c r="D33" s="41">
        <f t="shared" ca="1" si="39"/>
        <v>17127.37391561929</v>
      </c>
      <c r="E33" s="41">
        <f t="shared" ca="1" si="40"/>
        <v>3.5939578519479101</v>
      </c>
      <c r="F33" s="41">
        <f t="shared" ca="1" si="41"/>
        <v>3.5939578519479101</v>
      </c>
      <c r="G33" s="41"/>
      <c r="H33" s="7">
        <f t="shared" si="42"/>
        <v>5000</v>
      </c>
      <c r="I33" s="6">
        <v>15</v>
      </c>
      <c r="J33" s="41">
        <f t="shared" si="1"/>
        <v>0.34513087187070113</v>
      </c>
      <c r="K33" s="41">
        <f t="shared" si="2"/>
        <v>388.7123017888257</v>
      </c>
      <c r="L33" s="6">
        <f t="shared" si="48"/>
        <v>208.75</v>
      </c>
      <c r="M33" s="41">
        <f t="shared" si="3"/>
        <v>230.30581941305061</v>
      </c>
      <c r="N33" s="41">
        <f t="shared" si="4"/>
        <v>146.81630757315676</v>
      </c>
      <c r="O33" s="41">
        <f t="shared" si="5"/>
        <v>1994002.5422319868</v>
      </c>
      <c r="P33" s="41">
        <f t="shared" si="6"/>
        <v>12802897.475144075</v>
      </c>
      <c r="Q33" s="41">
        <f t="shared" si="7"/>
        <v>2.8563480608177292E-3</v>
      </c>
      <c r="R33" s="41">
        <f t="shared" si="43"/>
        <v>2.2365554833534376E-2</v>
      </c>
      <c r="S33" s="24">
        <f t="shared" ca="1" si="44"/>
        <v>12.063556731286525</v>
      </c>
      <c r="T33" s="10">
        <f t="shared" ca="1" si="8"/>
        <v>12.063556731286525</v>
      </c>
      <c r="U33" s="41">
        <f t="shared" ca="1" si="9"/>
        <v>0.49600991843715592</v>
      </c>
      <c r="V33" s="41">
        <f t="shared" ca="1" si="10"/>
        <v>3.7903740720481742E-2</v>
      </c>
      <c r="W33" s="41">
        <f t="shared" ca="1" si="11"/>
        <v>13.086041351299425</v>
      </c>
      <c r="X33" s="20">
        <f t="shared" ca="1" si="12"/>
        <v>1279.9240688320299</v>
      </c>
      <c r="Y33" s="41">
        <f t="shared" si="13"/>
        <v>0.59508642422995672</v>
      </c>
      <c r="Z33" s="41">
        <f t="shared" ca="1" si="14"/>
        <v>176.71273347742186</v>
      </c>
      <c r="AA33" s="14">
        <f t="shared" ca="1" si="15"/>
        <v>1308.8277391022127</v>
      </c>
      <c r="AB33" s="14">
        <f t="shared" si="49"/>
        <v>4859.4869258619374</v>
      </c>
      <c r="AC33" s="25">
        <f t="shared" ca="1" si="16"/>
        <v>508757.44311148574</v>
      </c>
      <c r="AD33" s="41">
        <f t="shared" si="17"/>
        <v>1888942.3484644983</v>
      </c>
      <c r="AE33" s="6">
        <v>100</v>
      </c>
      <c r="AF33" s="41">
        <f t="shared" si="18"/>
        <v>4859.4869258619374</v>
      </c>
      <c r="AG33" s="41">
        <f t="shared" ca="1" si="19"/>
        <v>3550.6591867597244</v>
      </c>
      <c r="AH33" s="41">
        <f t="shared" ca="1" si="20"/>
        <v>1380184.9053530125</v>
      </c>
      <c r="AI33" s="41">
        <f t="shared" si="21"/>
        <v>3781.77064335661</v>
      </c>
      <c r="AJ33" s="13">
        <f t="shared" ca="1" si="22"/>
        <v>81.23954812973264</v>
      </c>
      <c r="AK33" s="11">
        <f t="shared" ca="1" si="23"/>
        <v>4835.014096683045</v>
      </c>
      <c r="AL33" s="6">
        <f t="shared" si="50"/>
        <v>500</v>
      </c>
      <c r="AM33" s="41">
        <f t="shared" ca="1" si="24"/>
        <v>6.1546378766354364</v>
      </c>
      <c r="AN33" s="41">
        <f t="shared" ca="1" si="25"/>
        <v>6.4653969006529319</v>
      </c>
      <c r="AO33" s="41">
        <f t="shared" ca="1" si="26"/>
        <v>0.385040694143294</v>
      </c>
      <c r="AP33" s="67">
        <f t="shared" si="45"/>
        <v>0.77822426545284495</v>
      </c>
      <c r="AQ33" s="11">
        <f t="shared" si="27"/>
        <v>1.0176794707183758</v>
      </c>
      <c r="AR33" s="11">
        <f t="shared" si="28"/>
        <v>0.83204693614511627</v>
      </c>
      <c r="AS33" s="11">
        <f t="shared" si="29"/>
        <v>0.81759233637461282</v>
      </c>
      <c r="AT33" s="11">
        <f t="shared" si="30"/>
        <v>527.83981107749992</v>
      </c>
      <c r="AU33" s="11">
        <f t="shared" si="31"/>
        <v>1760.7943672090178</v>
      </c>
      <c r="AV33" s="11">
        <f t="shared" si="32"/>
        <v>1.9433352243288171E-3</v>
      </c>
      <c r="AW33" s="11">
        <f t="shared" si="33"/>
        <v>3.7883517808889214E-7</v>
      </c>
      <c r="AX33" s="41">
        <f t="shared" ca="1" si="34"/>
        <v>1.3475570610000915</v>
      </c>
      <c r="AY33" s="41">
        <f t="shared" ca="1" si="35"/>
        <v>1.8151861338239645</v>
      </c>
      <c r="AZ33" s="41">
        <f t="shared" si="36"/>
        <v>0.24918794684479845</v>
      </c>
      <c r="BA33" s="154">
        <f t="shared" si="46"/>
        <v>0.37290552300382096</v>
      </c>
      <c r="BB33" s="156">
        <f t="shared" si="47"/>
        <v>3.2163177995369097</v>
      </c>
    </row>
    <row r="34" spans="1:55" ht="14.5">
      <c r="A34" s="41">
        <f t="shared" ca="1" si="37"/>
        <v>92.7708203292094</v>
      </c>
      <c r="B34" s="41">
        <f t="shared" ca="1" si="38"/>
        <v>1.5461803388201567</v>
      </c>
      <c r="C34" s="41">
        <f t="shared" ca="1" si="38"/>
        <v>2.5769672313669278E-2</v>
      </c>
      <c r="D34" s="41">
        <f t="shared" ca="1" si="39"/>
        <v>17120.908518718636</v>
      </c>
      <c r="E34" s="41">
        <f t="shared" ca="1" si="40"/>
        <v>3.9789985460912041</v>
      </c>
      <c r="F34" s="41">
        <f t="shared" ca="1" si="41"/>
        <v>3.9789985460912041</v>
      </c>
      <c r="G34" s="41"/>
      <c r="H34" s="7">
        <f t="shared" si="42"/>
        <v>5500</v>
      </c>
      <c r="I34" s="6">
        <v>15</v>
      </c>
      <c r="J34" s="41">
        <f t="shared" si="1"/>
        <v>0.36549956896346414</v>
      </c>
      <c r="K34" s="41">
        <f t="shared" si="2"/>
        <v>410.95719701898491</v>
      </c>
      <c r="L34" s="6">
        <f t="shared" si="48"/>
        <v>219.125</v>
      </c>
      <c r="M34" s="41">
        <f t="shared" si="3"/>
        <v>243.48556391859626</v>
      </c>
      <c r="N34" s="41">
        <f t="shared" si="4"/>
        <v>161.59926855267736</v>
      </c>
      <c r="O34" s="41">
        <f t="shared" si="5"/>
        <v>2081419.7353525236</v>
      </c>
      <c r="P34" s="41">
        <f t="shared" si="6"/>
        <v>13364177.281655421</v>
      </c>
      <c r="Q34" s="41">
        <f t="shared" si="7"/>
        <v>2.8333447194636022E-3</v>
      </c>
      <c r="R34" s="41">
        <f t="shared" si="43"/>
        <v>2.2225702904730839E-2</v>
      </c>
      <c r="S34" s="24">
        <f t="shared" ca="1" si="44"/>
        <v>11.678051796377561</v>
      </c>
      <c r="T34" s="10">
        <f t="shared" ca="1" si="8"/>
        <v>11.678051796377561</v>
      </c>
      <c r="U34" s="41">
        <f t="shared" ca="1" si="9"/>
        <v>0.45110279801453546</v>
      </c>
      <c r="V34" s="41">
        <f t="shared" ca="1" si="10"/>
        <v>3.5077700410387956E-2</v>
      </c>
      <c r="W34" s="41">
        <f t="shared" ca="1" si="11"/>
        <v>12.860101795069362</v>
      </c>
      <c r="X34" s="20">
        <f t="shared" ca="1" si="12"/>
        <v>1303.7620676305883</v>
      </c>
      <c r="Y34" s="41">
        <f t="shared" si="13"/>
        <v>0.59322296738284963</v>
      </c>
      <c r="Z34" s="41">
        <f t="shared" ca="1" si="14"/>
        <v>178.16760010626021</v>
      </c>
      <c r="AA34" s="14">
        <f t="shared" ca="1" si="15"/>
        <v>1331.3198286877396</v>
      </c>
      <c r="AB34" s="14">
        <f t="shared" si="49"/>
        <v>4769.2423330334022</v>
      </c>
      <c r="AC34" s="25">
        <f t="shared" ca="1" si="16"/>
        <v>547115.46513330867</v>
      </c>
      <c r="AD34" s="41">
        <f t="shared" si="17"/>
        <v>1959954.4610876911</v>
      </c>
      <c r="AE34" s="6">
        <v>100</v>
      </c>
      <c r="AF34" s="41">
        <f t="shared" si="18"/>
        <v>4769.2423330334022</v>
      </c>
      <c r="AG34" s="41">
        <f t="shared" ca="1" si="19"/>
        <v>3437.9225043456627</v>
      </c>
      <c r="AH34" s="41">
        <f t="shared" ca="1" si="20"/>
        <v>1412838.9959543825</v>
      </c>
      <c r="AI34" s="41">
        <f t="shared" si="21"/>
        <v>3729.6170640081455</v>
      </c>
      <c r="AJ34" s="13">
        <f t="shared" ca="1" si="22"/>
        <v>83.182738499973937</v>
      </c>
      <c r="AK34" s="11">
        <f t="shared" ca="1" si="23"/>
        <v>4951.2757844936687</v>
      </c>
      <c r="AL34" s="6">
        <f t="shared" si="50"/>
        <v>500</v>
      </c>
      <c r="AM34" s="41">
        <f t="shared" ca="1" si="24"/>
        <v>6.0108624579624372</v>
      </c>
      <c r="AN34" s="41">
        <f t="shared" ca="1" si="25"/>
        <v>6.2272819979507359</v>
      </c>
      <c r="AO34" s="41">
        <f t="shared" ca="1" si="26"/>
        <v>0.39812866519612777</v>
      </c>
      <c r="AP34" s="67">
        <f t="shared" si="45"/>
        <v>0.78201458503702848</v>
      </c>
      <c r="AQ34" s="11">
        <f t="shared" si="27"/>
        <v>1.0142417957183758</v>
      </c>
      <c r="AR34" s="11">
        <f t="shared" si="28"/>
        <v>0.81659515324864762</v>
      </c>
      <c r="AS34" s="11">
        <f t="shared" si="29"/>
        <v>0.8051286751304334</v>
      </c>
      <c r="AT34" s="11">
        <f t="shared" si="30"/>
        <v>526.05679218524995</v>
      </c>
      <c r="AU34" s="11">
        <f t="shared" si="31"/>
        <v>1728.0949952078529</v>
      </c>
      <c r="AV34" s="11">
        <f t="shared" si="32"/>
        <v>1.9137103479175271E-3</v>
      </c>
      <c r="AW34" s="11">
        <f t="shared" si="33"/>
        <v>3.7784451983838536E-7</v>
      </c>
      <c r="AX34" s="41">
        <f t="shared" ca="1" si="34"/>
        <v>1.4459585241844577</v>
      </c>
      <c r="AY34" s="41">
        <f t="shared" ca="1" si="35"/>
        <v>1.947734859729263</v>
      </c>
      <c r="AZ34" s="41">
        <f t="shared" si="36"/>
        <v>0.26247479021112574</v>
      </c>
      <c r="BA34" s="154">
        <f t="shared" si="46"/>
        <v>0.39495469424754681</v>
      </c>
      <c r="BB34" s="156">
        <f t="shared" si="47"/>
        <v>2.4053668673054744</v>
      </c>
    </row>
    <row r="35" spans="1:55" ht="14.5">
      <c r="A35" s="41">
        <f t="shared" ca="1" si="37"/>
        <v>98.781682787171832</v>
      </c>
      <c r="B35" s="41">
        <f t="shared" ca="1" si="38"/>
        <v>1.6463613797861971</v>
      </c>
      <c r="C35" s="41">
        <f t="shared" ca="1" si="38"/>
        <v>2.7439356329769952E-2</v>
      </c>
      <c r="D35" s="41">
        <f t="shared" ca="1" si="39"/>
        <v>17114.681236720684</v>
      </c>
      <c r="E35" s="41">
        <f t="shared" ca="1" si="40"/>
        <v>4.3771272112873323</v>
      </c>
      <c r="F35" s="41">
        <f t="shared" ca="1" si="41"/>
        <v>4.3771272112873323</v>
      </c>
      <c r="G35" s="41"/>
      <c r="H35" s="7">
        <f t="shared" si="42"/>
        <v>6000</v>
      </c>
      <c r="I35" s="6">
        <v>15</v>
      </c>
      <c r="J35" s="41">
        <f t="shared" si="1"/>
        <v>0.38618789636036499</v>
      </c>
      <c r="K35" s="41">
        <f t="shared" si="2"/>
        <v>433.48206136244892</v>
      </c>
      <c r="L35" s="6">
        <f t="shared" si="48"/>
        <v>229.5</v>
      </c>
      <c r="M35" s="41">
        <f t="shared" si="3"/>
        <v>256.83118564426917</v>
      </c>
      <c r="N35" s="41">
        <f t="shared" si="4"/>
        <v>177.04872477383742</v>
      </c>
      <c r="O35" s="41">
        <f t="shared" si="5"/>
        <v>2167607.1204652637</v>
      </c>
      <c r="P35" s="41">
        <f t="shared" si="6"/>
        <v>13917560.856590098</v>
      </c>
      <c r="Q35" s="41">
        <f t="shared" si="7"/>
        <v>2.8113349508560172E-3</v>
      </c>
      <c r="R35" s="41">
        <f t="shared" si="43"/>
        <v>2.2091891535986442E-2</v>
      </c>
      <c r="S35" s="24">
        <f t="shared" ca="1" si="44"/>
        <v>11.266692108456549</v>
      </c>
      <c r="T35" s="10">
        <f t="shared" ca="1" si="8"/>
        <v>11.266692108456549</v>
      </c>
      <c r="U35" s="41">
        <f t="shared" ca="1" si="9"/>
        <v>0.41218950401310456</v>
      </c>
      <c r="V35" s="41">
        <f t="shared" ca="1" si="10"/>
        <v>3.2822230674110942E-2</v>
      </c>
      <c r="W35" s="41">
        <f t="shared" ca="1" si="11"/>
        <v>12.558241641334439</v>
      </c>
      <c r="X35" s="20">
        <f t="shared" ca="1" si="12"/>
        <v>1336.5608395693366</v>
      </c>
      <c r="Y35" s="41">
        <f t="shared" si="13"/>
        <v>0.59143450164233902</v>
      </c>
      <c r="Z35" s="41">
        <f t="shared" ca="1" si="14"/>
        <v>179.64451987740662</v>
      </c>
      <c r="AA35" s="14">
        <f t="shared" ca="1" si="15"/>
        <v>1362.8246473924416</v>
      </c>
      <c r="AB35" s="14">
        <f t="shared" si="49"/>
        <v>4680.3596243842703</v>
      </c>
      <c r="AC35" s="25">
        <f t="shared" ca="1" si="16"/>
        <v>590760.03742722818</v>
      </c>
      <c r="AD35" s="41">
        <f t="shared" si="17"/>
        <v>2028851.9378956705</v>
      </c>
      <c r="AE35" s="6">
        <v>100</v>
      </c>
      <c r="AF35" s="41">
        <f t="shared" si="18"/>
        <v>4680.3596243842703</v>
      </c>
      <c r="AG35" s="41">
        <f t="shared" ca="1" si="19"/>
        <v>3317.5349769918284</v>
      </c>
      <c r="AH35" s="41">
        <f t="shared" ca="1" si="20"/>
        <v>1438091.9004684424</v>
      </c>
      <c r="AI35" s="41">
        <f t="shared" si="21"/>
        <v>3677.7982954213617</v>
      </c>
      <c r="AJ35" s="13">
        <f t="shared" ca="1" si="22"/>
        <v>84.692012078663822</v>
      </c>
      <c r="AK35" s="11">
        <f t="shared" ca="1" si="23"/>
        <v>5041.6080109616796</v>
      </c>
      <c r="AL35" s="6">
        <f t="shared" si="50"/>
        <v>500</v>
      </c>
      <c r="AM35" s="41">
        <f t="shared" ca="1" si="24"/>
        <v>5.9037444940567578</v>
      </c>
      <c r="AN35" s="41">
        <f t="shared" ca="1" si="25"/>
        <v>6.0313281769014422</v>
      </c>
      <c r="AO35" s="41">
        <f t="shared" ca="1" si="26"/>
        <v>0.41306801005102312</v>
      </c>
      <c r="AP35" s="67">
        <f t="shared" si="45"/>
        <v>0.78579395400736929</v>
      </c>
      <c r="AQ35" s="11">
        <f t="shared" si="27"/>
        <v>1.0108041207183758</v>
      </c>
      <c r="AR35" s="11">
        <f t="shared" si="28"/>
        <v>0.80137655372650329</v>
      </c>
      <c r="AS35" s="11">
        <f t="shared" si="29"/>
        <v>0.79281092874548942</v>
      </c>
      <c r="AT35" s="11">
        <f t="shared" si="30"/>
        <v>524.27377329299998</v>
      </c>
      <c r="AU35" s="11">
        <f t="shared" si="31"/>
        <v>1695.8890905271007</v>
      </c>
      <c r="AV35" s="11">
        <f t="shared" si="32"/>
        <v>1.8844322965351538E-3</v>
      </c>
      <c r="AW35" s="11">
        <f t="shared" si="33"/>
        <v>3.7685223889866925E-7</v>
      </c>
      <c r="AX35" s="41">
        <f t="shared" ca="1" si="34"/>
        <v>1.5520145753666112</v>
      </c>
      <c r="AY35" s="41">
        <f t="shared" ca="1" si="35"/>
        <v>2.0905944677454884</v>
      </c>
      <c r="AZ35" s="41">
        <f t="shared" si="36"/>
        <v>0.27576372931255683</v>
      </c>
      <c r="BA35" s="154">
        <f t="shared" si="46"/>
        <v>0.41533709005208053</v>
      </c>
      <c r="BB35" s="156">
        <f t="shared" si="47"/>
        <v>1.7697831390827048</v>
      </c>
    </row>
    <row r="36" spans="1:55" ht="14.5">
      <c r="A36" s="41">
        <f t="shared" ca="1" si="37"/>
        <v>104.68542728122858</v>
      </c>
      <c r="B36" s="41">
        <f t="shared" ca="1" si="38"/>
        <v>1.7447571213538098</v>
      </c>
      <c r="C36" s="41">
        <f t="shared" ca="1" si="38"/>
        <v>2.9079285355896829E-2</v>
      </c>
      <c r="D36" s="41">
        <f t="shared" ca="1" si="39"/>
        <v>17108.649908543783</v>
      </c>
      <c r="E36" s="41">
        <f t="shared" ca="1" si="40"/>
        <v>4.7901952213383554</v>
      </c>
      <c r="F36" s="41">
        <f t="shared" ca="1" si="41"/>
        <v>4.7901952213383554</v>
      </c>
      <c r="G36" s="41"/>
      <c r="H36" s="7">
        <f t="shared" si="42"/>
        <v>6500</v>
      </c>
      <c r="I36" s="6">
        <v>15</v>
      </c>
      <c r="J36" s="41">
        <f t="shared" si="1"/>
        <v>0.40719595882116982</v>
      </c>
      <c r="K36" s="41">
        <f t="shared" si="2"/>
        <v>456.2849763802613</v>
      </c>
      <c r="L36" s="6">
        <f t="shared" si="48"/>
        <v>239.875</v>
      </c>
      <c r="M36" s="41">
        <f t="shared" si="3"/>
        <v>270.34154794568275</v>
      </c>
      <c r="N36" s="41">
        <f t="shared" si="4"/>
        <v>193.15363754816195</v>
      </c>
      <c r="O36" s="41">
        <f t="shared" si="5"/>
        <v>2252540.1420647367</v>
      </c>
      <c r="P36" s="41">
        <f t="shared" si="6"/>
        <v>14462890.53634822</v>
      </c>
      <c r="Q36" s="41">
        <f t="shared" si="7"/>
        <v>2.7901976851420376E-3</v>
      </c>
      <c r="R36" s="41">
        <f t="shared" si="43"/>
        <v>2.1963384666735357E-2</v>
      </c>
      <c r="S36" s="24">
        <f t="shared" ca="1" si="44"/>
        <v>10.833514761185619</v>
      </c>
      <c r="T36" s="10">
        <f t="shared" ca="1" si="8"/>
        <v>10.833514761185619</v>
      </c>
      <c r="U36" s="41">
        <f t="shared" ca="1" si="9"/>
        <v>0.37824655580670852</v>
      </c>
      <c r="V36" s="41">
        <f t="shared" ca="1" si="10"/>
        <v>3.0999245951943949E-2</v>
      </c>
      <c r="W36" s="41">
        <f t="shared" ca="1" si="11"/>
        <v>12.201798598361998</v>
      </c>
      <c r="X36" s="20">
        <f t="shared" ca="1" si="12"/>
        <v>1377.1519368796648</v>
      </c>
      <c r="Y36" s="41">
        <f t="shared" si="13"/>
        <v>0.58971182784610299</v>
      </c>
      <c r="Z36" s="41">
        <f t="shared" ca="1" si="14"/>
        <v>181.14153334145919</v>
      </c>
      <c r="AA36" s="14">
        <f t="shared" ca="1" si="15"/>
        <v>1402.1416408922282</v>
      </c>
      <c r="AB36" s="14">
        <f t="shared" si="49"/>
        <v>4592.8230205114587</v>
      </c>
      <c r="AC36" s="25">
        <f t="shared" ca="1" si="16"/>
        <v>639776.16549629113</v>
      </c>
      <c r="AD36" s="41">
        <f t="shared" si="17"/>
        <v>2095636.1434327913</v>
      </c>
      <c r="AE36" s="6">
        <v>100</v>
      </c>
      <c r="AF36" s="41">
        <f t="shared" si="18"/>
        <v>4592.8230205114587</v>
      </c>
      <c r="AG36" s="41">
        <f t="shared" ca="1" si="19"/>
        <v>3190.6813796192305</v>
      </c>
      <c r="AH36" s="41">
        <f t="shared" ca="1" si="20"/>
        <v>1455859.9779365002</v>
      </c>
      <c r="AI36" s="41">
        <f t="shared" si="21"/>
        <v>3626.3077646619868</v>
      </c>
      <c r="AJ36" s="13">
        <f t="shared" ca="1" si="22"/>
        <v>85.761437184409004</v>
      </c>
      <c r="AK36" s="11">
        <f t="shared" ca="1" si="23"/>
        <v>5105.6979447903741</v>
      </c>
      <c r="AL36" s="6">
        <f t="shared" si="50"/>
        <v>500</v>
      </c>
      <c r="AM36" s="41">
        <f t="shared" ca="1" si="24"/>
        <v>5.8301261780964824</v>
      </c>
      <c r="AN36" s="41">
        <f t="shared" ca="1" si="25"/>
        <v>5.87273106349733</v>
      </c>
      <c r="AO36" s="41">
        <f t="shared" ca="1" si="26"/>
        <v>0.43000966749898967</v>
      </c>
      <c r="AP36" s="67">
        <f t="shared" si="45"/>
        <v>0.78955965611280177</v>
      </c>
      <c r="AQ36" s="11">
        <f t="shared" si="27"/>
        <v>1.0073664457183757</v>
      </c>
      <c r="AR36" s="11">
        <f t="shared" si="28"/>
        <v>0.78638843581115314</v>
      </c>
      <c r="AS36" s="11">
        <f t="shared" si="29"/>
        <v>0.78063790902858765</v>
      </c>
      <c r="AT36" s="11">
        <f t="shared" si="30"/>
        <v>522.49075440074989</v>
      </c>
      <c r="AU36" s="11">
        <f t="shared" si="31"/>
        <v>1664.1709356322783</v>
      </c>
      <c r="AV36" s="11">
        <f t="shared" si="32"/>
        <v>1.85549824597005E-3</v>
      </c>
      <c r="AW36" s="11">
        <f t="shared" si="33"/>
        <v>3.7585832879320501E-7</v>
      </c>
      <c r="AX36" s="41">
        <f t="shared" ca="1" si="34"/>
        <v>1.6650937416372495</v>
      </c>
      <c r="AY36" s="41">
        <f t="shared" ca="1" si="35"/>
        <v>2.2429143513179906</v>
      </c>
      <c r="AZ36" s="41">
        <f t="shared" si="36"/>
        <v>0.2890451886495542</v>
      </c>
      <c r="BA36" s="154">
        <f t="shared" si="46"/>
        <v>0.43421798280182067</v>
      </c>
      <c r="BB36" s="156">
        <f t="shared" si="47"/>
        <v>1.2780461216652554</v>
      </c>
    </row>
    <row r="37" spans="1:55" ht="14.5">
      <c r="A37" s="41">
        <f t="shared" ca="1" si="37"/>
        <v>110.51555345932506</v>
      </c>
      <c r="B37" s="41">
        <f t="shared" ca="1" si="38"/>
        <v>1.841925890988751</v>
      </c>
      <c r="C37" s="41">
        <f t="shared" ca="1" si="38"/>
        <v>3.0698764849812519E-2</v>
      </c>
      <c r="D37" s="41">
        <f t="shared" ca="1" si="39"/>
        <v>17102.777177480286</v>
      </c>
      <c r="E37" s="41">
        <f t="shared" ca="1" si="40"/>
        <v>5.2202048888373449</v>
      </c>
      <c r="F37" s="41">
        <f t="shared" ca="1" si="41"/>
        <v>5.2202048888373449</v>
      </c>
      <c r="G37" s="41"/>
      <c r="H37" s="7">
        <f t="shared" si="42"/>
        <v>7000</v>
      </c>
      <c r="I37" s="6">
        <v>15</v>
      </c>
      <c r="J37" s="41">
        <f t="shared" si="1"/>
        <v>0.42852345651981444</v>
      </c>
      <c r="K37" s="41">
        <f t="shared" si="2"/>
        <v>479.36356258578388</v>
      </c>
      <c r="L37" s="6">
        <f t="shared" si="48"/>
        <v>250.25</v>
      </c>
      <c r="M37" s="41">
        <f t="shared" si="3"/>
        <v>284.01524101507556</v>
      </c>
      <c r="N37" s="41">
        <f t="shared" si="4"/>
        <v>209.90176908196815</v>
      </c>
      <c r="O37" s="41">
        <f t="shared" si="5"/>
        <v>2336193.1711771078</v>
      </c>
      <c r="P37" s="41">
        <f t="shared" si="6"/>
        <v>15000001.764908694</v>
      </c>
      <c r="Q37" s="41">
        <f t="shared" si="7"/>
        <v>2.7698280523642113E-3</v>
      </c>
      <c r="R37" s="41">
        <f t="shared" si="43"/>
        <v>2.1839544725870089E-2</v>
      </c>
      <c r="S37" s="24">
        <f t="shared" ca="1" si="44"/>
        <v>10.381784090524038</v>
      </c>
      <c r="T37" s="10">
        <f t="shared" ca="1" si="8"/>
        <v>10.381784090524038</v>
      </c>
      <c r="U37" s="41">
        <f t="shared" ca="1" si="9"/>
        <v>0.34846081221596109</v>
      </c>
      <c r="V37" s="41">
        <f t="shared" ca="1" si="10"/>
        <v>2.9508345932876309E-2</v>
      </c>
      <c r="W37" s="41">
        <f t="shared" ca="1" si="11"/>
        <v>11.808890034318337</v>
      </c>
      <c r="X37" s="20">
        <f t="shared" ca="1" si="12"/>
        <v>1424.5864232184906</v>
      </c>
      <c r="Y37" s="41">
        <f t="shared" si="13"/>
        <v>0.58804694070578878</v>
      </c>
      <c r="Z37" s="41">
        <f t="shared" ca="1" si="14"/>
        <v>182.65702117306057</v>
      </c>
      <c r="AA37" s="14">
        <f t="shared" ca="1" si="15"/>
        <v>1448.296760133861</v>
      </c>
      <c r="AB37" s="14">
        <f t="shared" si="49"/>
        <v>4506.6168691432204</v>
      </c>
      <c r="AC37" s="25">
        <f t="shared" ca="1" si="16"/>
        <v>694260.69461921614</v>
      </c>
      <c r="AD37" s="41">
        <f t="shared" si="17"/>
        <v>2160307.9176016855</v>
      </c>
      <c r="AE37" s="6">
        <v>100</v>
      </c>
      <c r="AF37" s="41">
        <f t="shared" si="18"/>
        <v>4506.6168691432204</v>
      </c>
      <c r="AG37" s="41">
        <f t="shared" ca="1" si="19"/>
        <v>3058.3201090093594</v>
      </c>
      <c r="AH37" s="41">
        <f t="shared" ca="1" si="20"/>
        <v>1466047.2229824695</v>
      </c>
      <c r="AI37" s="41">
        <f t="shared" si="21"/>
        <v>3575.1392471894023</v>
      </c>
      <c r="AJ37" s="13">
        <f t="shared" ca="1" si="22"/>
        <v>86.384397061646951</v>
      </c>
      <c r="AK37" s="11">
        <f t="shared" ca="1" si="23"/>
        <v>5143.19004838415</v>
      </c>
      <c r="AL37" s="6">
        <f t="shared" si="50"/>
        <v>500</v>
      </c>
      <c r="AM37" s="41">
        <f t="shared" ca="1" si="24"/>
        <v>5.7880823042983369</v>
      </c>
      <c r="AN37" s="41">
        <f t="shared" ca="1" si="25"/>
        <v>5.7481111700165162</v>
      </c>
      <c r="AO37" s="41">
        <f t="shared" ca="1" si="26"/>
        <v>0.44916414938267579</v>
      </c>
      <c r="AP37" s="67">
        <f t="shared" si="45"/>
        <v>0.79330889467626153</v>
      </c>
      <c r="AQ37" s="11">
        <f t="shared" si="27"/>
        <v>1.0039287707183759</v>
      </c>
      <c r="AR37" s="11">
        <f t="shared" si="28"/>
        <v>0.77162811950264032</v>
      </c>
      <c r="AS37" s="11">
        <f t="shared" si="29"/>
        <v>0.76860843319640149</v>
      </c>
      <c r="AT37" s="11">
        <f t="shared" si="30"/>
        <v>520.70773550850004</v>
      </c>
      <c r="AU37" s="11">
        <f t="shared" si="31"/>
        <v>1632.9348590538773</v>
      </c>
      <c r="AV37" s="11">
        <f t="shared" si="32"/>
        <v>1.8269053848645267E-3</v>
      </c>
      <c r="AW37" s="11">
        <f t="shared" si="33"/>
        <v>3.7486278300974495E-7</v>
      </c>
      <c r="AX37" s="41">
        <f t="shared" ca="1" si="34"/>
        <v>1.7846980117566387</v>
      </c>
      <c r="AY37" s="41">
        <f t="shared" ca="1" si="35"/>
        <v>2.4040236794125849</v>
      </c>
      <c r="AZ37" s="41">
        <f t="shared" si="36"/>
        <v>0.3023091899014384</v>
      </c>
      <c r="BA37" s="154">
        <f t="shared" si="46"/>
        <v>0.45175553784547073</v>
      </c>
      <c r="BB37" s="156">
        <f t="shared" si="47"/>
        <v>0.9035622807944037</v>
      </c>
    </row>
    <row r="38" spans="1:55" ht="14.5">
      <c r="A38" s="41">
        <f t="shared" ca="1" si="37"/>
        <v>116.3036357636234</v>
      </c>
      <c r="B38" s="41">
        <f t="shared" ca="1" si="38"/>
        <v>1.9383939293937233</v>
      </c>
      <c r="C38" s="41">
        <f t="shared" ca="1" si="38"/>
        <v>3.2306565489895391E-2</v>
      </c>
      <c r="D38" s="41">
        <f t="shared" ca="1" si="39"/>
        <v>17097.029066310268</v>
      </c>
      <c r="E38" s="41">
        <f t="shared" ca="1" si="40"/>
        <v>5.6693690382200206</v>
      </c>
      <c r="F38" s="41">
        <f t="shared" ca="1" si="41"/>
        <v>5.6693690382200206</v>
      </c>
      <c r="G38" s="41"/>
      <c r="H38" s="7">
        <f t="shared" si="42"/>
        <v>7500</v>
      </c>
      <c r="I38" s="6">
        <v>15</v>
      </c>
      <c r="J38" s="41">
        <f t="shared" si="1"/>
        <v>0.45016967732797925</v>
      </c>
      <c r="K38" s="41">
        <f t="shared" si="2"/>
        <v>502.71497463316251</v>
      </c>
      <c r="L38" s="6">
        <f t="shared" si="48"/>
        <v>260.625</v>
      </c>
      <c r="M38" s="41">
        <f t="shared" si="3"/>
        <v>297.85057903055468</v>
      </c>
      <c r="N38" s="41">
        <f t="shared" si="4"/>
        <v>227.27963914794594</v>
      </c>
      <c r="O38" s="41">
        <f t="shared" si="5"/>
        <v>2418539.6063481951</v>
      </c>
      <c r="P38" s="41">
        <f t="shared" si="6"/>
        <v>15528723.742243251</v>
      </c>
      <c r="Q38" s="41">
        <f t="shared" si="7"/>
        <v>2.7501346683249223E-3</v>
      </c>
      <c r="R38" s="41">
        <f t="shared" si="43"/>
        <v>2.171981613078626E-2</v>
      </c>
      <c r="S38" s="24">
        <f t="shared" ca="1" si="44"/>
        <v>9.914180542502093</v>
      </c>
      <c r="T38" s="10">
        <f t="shared" ca="1" si="8"/>
        <v>9.914180542502093</v>
      </c>
      <c r="U38" s="41">
        <f t="shared" ca="1" si="9"/>
        <v>0.32217952753883605</v>
      </c>
      <c r="V38" s="41">
        <f t="shared" ca="1" si="10"/>
        <v>2.8275461791441754E-2</v>
      </c>
      <c r="W38" s="41">
        <f t="shared" ca="1" si="11"/>
        <v>11.394315322423891</v>
      </c>
      <c r="X38" s="20">
        <f t="shared" ca="1" si="12"/>
        <v>1478.0804531210954</v>
      </c>
      <c r="Y38" s="41">
        <f t="shared" si="13"/>
        <v>0.58643283209652231</v>
      </c>
      <c r="Z38" s="41">
        <f t="shared" ca="1" si="14"/>
        <v>184.18962821721678</v>
      </c>
      <c r="AA38" s="14">
        <f t="shared" ca="1" si="15"/>
        <v>1500.4876188272144</v>
      </c>
      <c r="AB38" s="14">
        <f t="shared" si="49"/>
        <v>4421.7256445668172</v>
      </c>
      <c r="AC38" s="25">
        <f t="shared" ca="1" si="16"/>
        <v>754317.59523609746</v>
      </c>
      <c r="AD38" s="41">
        <f t="shared" si="17"/>
        <v>2222867.6952432115</v>
      </c>
      <c r="AE38" s="6">
        <v>100</v>
      </c>
      <c r="AF38" s="41">
        <f t="shared" si="18"/>
        <v>4421.7256445668172</v>
      </c>
      <c r="AG38" s="41">
        <f t="shared" ca="1" si="19"/>
        <v>2921.2380257396026</v>
      </c>
      <c r="AH38" s="41">
        <f t="shared" ca="1" si="20"/>
        <v>1468550.100007114</v>
      </c>
      <c r="AI38" s="41">
        <f t="shared" si="21"/>
        <v>3524.2868967556083</v>
      </c>
      <c r="AJ38" s="13">
        <f t="shared" ca="1" si="22"/>
        <v>86.553898458454668</v>
      </c>
      <c r="AK38" s="11">
        <f t="shared" ca="1" si="23"/>
        <v>5153.7027666434578</v>
      </c>
      <c r="AL38" s="6">
        <f t="shared" si="50"/>
        <v>500</v>
      </c>
      <c r="AM38" s="41">
        <f t="shared" ca="1" si="24"/>
        <v>5.7767473089614434</v>
      </c>
      <c r="AN38" s="41">
        <f t="shared" ca="1" si="25"/>
        <v>5.6552541241225098</v>
      </c>
      <c r="AO38" s="41">
        <f t="shared" ca="1" si="26"/>
        <v>0.47080923838562522</v>
      </c>
      <c r="AP38" s="67">
        <f t="shared" si="45"/>
        <v>0.79703879888750351</v>
      </c>
      <c r="AQ38" s="11">
        <f t="shared" si="27"/>
        <v>1.0004910957183759</v>
      </c>
      <c r="AR38" s="11">
        <f t="shared" si="28"/>
        <v>0.75709294647058711</v>
      </c>
      <c r="AS38" s="11">
        <f t="shared" si="29"/>
        <v>0.75672132386843161</v>
      </c>
      <c r="AT38" s="11">
        <f t="shared" si="30"/>
        <v>518.92471661624995</v>
      </c>
      <c r="AU38" s="11">
        <f t="shared" si="31"/>
        <v>1602.1752351799857</v>
      </c>
      <c r="AV38" s="11">
        <f t="shared" si="32"/>
        <v>1.798650914702875E-3</v>
      </c>
      <c r="AW38" s="11">
        <f t="shared" si="33"/>
        <v>3.7386559500013913E-7</v>
      </c>
      <c r="AX38" s="41">
        <f t="shared" ca="1" si="34"/>
        <v>1.9104213431159527</v>
      </c>
      <c r="AY38" s="41">
        <f t="shared" ca="1" si="35"/>
        <v>2.5733755045681113</v>
      </c>
      <c r="AZ38" s="41">
        <f t="shared" si="36"/>
        <v>0.31554536836788766</v>
      </c>
      <c r="BA38" s="154">
        <f t="shared" si="46"/>
        <v>0.46809828316155144</v>
      </c>
      <c r="BB38" s="156">
        <f t="shared" si="47"/>
        <v>0.62398282916882408</v>
      </c>
    </row>
    <row r="39" spans="1:55" ht="14.5">
      <c r="A39" s="41">
        <f t="shared" ca="1" si="37"/>
        <v>122.08038307258485</v>
      </c>
      <c r="B39" s="41">
        <f t="shared" ca="1" si="38"/>
        <v>2.0346730512097477</v>
      </c>
      <c r="C39" s="41">
        <f t="shared" ca="1" si="38"/>
        <v>3.3911217520162462E-2</v>
      </c>
      <c r="D39" s="41">
        <f t="shared" ca="1" si="39"/>
        <v>17091.373812186146</v>
      </c>
      <c r="E39" s="41">
        <f t="shared" ca="1" si="40"/>
        <v>6.1401782766056456</v>
      </c>
      <c r="F39" s="41">
        <f t="shared" ca="1" si="41"/>
        <v>6.1401782766056456</v>
      </c>
      <c r="G39" s="41"/>
      <c r="H39" s="7">
        <f t="shared" si="42"/>
        <v>8000</v>
      </c>
      <c r="I39" s="6">
        <v>15</v>
      </c>
      <c r="J39" s="41">
        <f t="shared" si="1"/>
        <v>0.47213349135282001</v>
      </c>
      <c r="K39" s="41">
        <f t="shared" si="2"/>
        <v>526.33589912669095</v>
      </c>
      <c r="L39" s="6">
        <f t="shared" si="48"/>
        <v>271</v>
      </c>
      <c r="M39" s="41">
        <f t="shared" si="3"/>
        <v>311.84559885817839</v>
      </c>
      <c r="N39" s="41">
        <f t="shared" si="4"/>
        <v>245.27248834506298</v>
      </c>
      <c r="O39" s="41">
        <f t="shared" si="5"/>
        <v>2499551.9849837222</v>
      </c>
      <c r="P39" s="41">
        <f t="shared" si="6"/>
        <v>16048880.139199104</v>
      </c>
      <c r="Q39" s="41">
        <f t="shared" si="7"/>
        <v>2.7310374795061296E-3</v>
      </c>
      <c r="R39" s="41">
        <f t="shared" si="43"/>
        <v>2.1603712185280344E-2</v>
      </c>
      <c r="S39" s="24">
        <f t="shared" ca="1" si="44"/>
        <v>9.4329388396364315</v>
      </c>
      <c r="T39" s="10">
        <f t="shared" ca="1" si="8"/>
        <v>9.4329388396364315</v>
      </c>
      <c r="U39" s="41">
        <f t="shared" ca="1" si="9"/>
        <v>0.29887373418902424</v>
      </c>
      <c r="V39" s="41">
        <f t="shared" ca="1" si="10"/>
        <v>2.7245218653397126E-2</v>
      </c>
      <c r="W39" s="41">
        <f t="shared" ca="1" si="11"/>
        <v>10.969768236811657</v>
      </c>
      <c r="X39" s="20">
        <f t="shared" ca="1" si="12"/>
        <v>1536.975592163529</v>
      </c>
      <c r="Y39" s="41">
        <f t="shared" si="13"/>
        <v>0.58486333446146799</v>
      </c>
      <c r="Z39" s="41">
        <f t="shared" ca="1" si="14"/>
        <v>185.73820597634605</v>
      </c>
      <c r="AA39" s="14">
        <f t="shared" ca="1" si="15"/>
        <v>1558.0432916378297</v>
      </c>
      <c r="AB39" s="14">
        <f t="shared" si="49"/>
        <v>4338.1339470567436</v>
      </c>
      <c r="AC39" s="25">
        <f t="shared" ca="1" si="16"/>
        <v>820054.11678250623</v>
      </c>
      <c r="AD39" s="41">
        <f t="shared" si="17"/>
        <v>2283315.6315561319</v>
      </c>
      <c r="AE39" s="6">
        <v>100</v>
      </c>
      <c r="AF39" s="41">
        <f t="shared" si="18"/>
        <v>4338.1339470567436</v>
      </c>
      <c r="AG39" s="41">
        <f t="shared" ca="1" si="19"/>
        <v>2780.0906554189141</v>
      </c>
      <c r="AH39" s="41">
        <f t="shared" ca="1" si="20"/>
        <v>1463261.5147736256</v>
      </c>
      <c r="AI39" s="41">
        <f t="shared" si="21"/>
        <v>3473.745274069126</v>
      </c>
      <c r="AJ39" s="13">
        <f t="shared" ca="1" si="22"/>
        <v>86.262825769321779</v>
      </c>
      <c r="AK39" s="11">
        <f t="shared" ca="1" si="23"/>
        <v>5136.8422369780028</v>
      </c>
      <c r="AL39" s="6">
        <f t="shared" si="50"/>
        <v>500</v>
      </c>
      <c r="AM39" s="41">
        <f t="shared" ca="1" si="24"/>
        <v>5.7962395219589284</v>
      </c>
      <c r="AN39" s="41">
        <f t="shared" ca="1" si="25"/>
        <v>5.5929610129937544</v>
      </c>
      <c r="AO39" s="41">
        <f t="shared" ca="1" si="26"/>
        <v>0.49530292441627266</v>
      </c>
      <c r="AP39" s="67">
        <f t="shared" si="45"/>
        <v>0.80074643071496865</v>
      </c>
      <c r="AQ39" s="11">
        <f t="shared" si="27"/>
        <v>0.99705342071837588</v>
      </c>
      <c r="AR39" s="11">
        <f t="shared" si="28"/>
        <v>0.7427802799562947</v>
      </c>
      <c r="AS39" s="11">
        <f t="shared" si="29"/>
        <v>0.74497540906195614</v>
      </c>
      <c r="AT39" s="11">
        <f t="shared" si="30"/>
        <v>517.14169772399998</v>
      </c>
      <c r="AU39" s="11">
        <f t="shared" si="31"/>
        <v>1571.8864840491099</v>
      </c>
      <c r="AV39" s="11">
        <f t="shared" si="32"/>
        <v>1.7707320497993635E-3</v>
      </c>
      <c r="AW39" s="11">
        <f t="shared" si="33"/>
        <v>3.7286675818013285E-7</v>
      </c>
      <c r="AX39" s="41">
        <f t="shared" ca="1" si="34"/>
        <v>2.0419221757104862</v>
      </c>
      <c r="AY39" s="41">
        <f t="shared" ca="1" si="35"/>
        <v>2.750509738672271</v>
      </c>
      <c r="AZ39" s="41">
        <f t="shared" si="36"/>
        <v>0.3287429921874247</v>
      </c>
      <c r="BA39" s="154">
        <f t="shared" si="46"/>
        <v>0.48338340231231314</v>
      </c>
      <c r="BB39" s="156">
        <f t="shared" si="47"/>
        <v>0.42060627198341649</v>
      </c>
    </row>
    <row r="40" spans="1:55" ht="14.5">
      <c r="A40" s="41">
        <f t="shared" ca="1" si="37"/>
        <v>127.87662259454378</v>
      </c>
      <c r="B40" s="41">
        <f t="shared" ref="B40:C43" ca="1" si="51">A40/60</f>
        <v>2.1312770432423962</v>
      </c>
      <c r="C40" s="41">
        <f t="shared" ca="1" si="51"/>
        <v>3.5521284054039939E-2</v>
      </c>
      <c r="D40" s="41">
        <f t="shared" ca="1" si="39"/>
        <v>17085.780851173153</v>
      </c>
      <c r="E40" s="41">
        <f t="shared" ca="1" si="40"/>
        <v>6.6354812010219186</v>
      </c>
      <c r="F40" s="41">
        <f t="shared" ca="1" si="41"/>
        <v>6.6354812010219186</v>
      </c>
      <c r="G40" s="41"/>
      <c r="H40" s="7">
        <f t="shared" si="42"/>
        <v>8500</v>
      </c>
      <c r="I40" s="6">
        <v>15</v>
      </c>
      <c r="J40" s="41">
        <f t="shared" si="1"/>
        <v>0.49441334790080765</v>
      </c>
      <c r="K40" s="41">
        <f t="shared" si="2"/>
        <v>550.22255521284853</v>
      </c>
      <c r="L40" s="6">
        <f t="shared" si="48"/>
        <v>281.375</v>
      </c>
      <c r="M40" s="41">
        <f t="shared" si="3"/>
        <v>325.99806040272938</v>
      </c>
      <c r="N40" s="41">
        <f t="shared" si="4"/>
        <v>263.8642487123621</v>
      </c>
      <c r="O40" s="41">
        <f t="shared" si="5"/>
        <v>2579202.1046700766</v>
      </c>
      <c r="P40" s="41">
        <f t="shared" si="6"/>
        <v>16560289.876463478</v>
      </c>
      <c r="Q40" s="41">
        <f t="shared" si="7"/>
        <v>2.7124660359583255E-3</v>
      </c>
      <c r="R40" s="41">
        <f t="shared" si="43"/>
        <v>2.14908045793442E-2</v>
      </c>
      <c r="S40" s="24">
        <f t="shared" ca="1" si="44"/>
        <v>8.9399503857032503</v>
      </c>
      <c r="T40" s="10">
        <f t="shared" ca="1" si="8"/>
        <v>8.9399503857032503</v>
      </c>
      <c r="U40" s="41">
        <f t="shared" ca="1" si="9"/>
        <v>0.27811103328831949</v>
      </c>
      <c r="V40" s="41">
        <f t="shared" ca="1" si="10"/>
        <v>2.6375708522278572E-2</v>
      </c>
      <c r="W40" s="41">
        <f t="shared" ca="1" si="11"/>
        <v>10.54421089971515</v>
      </c>
      <c r="X40" s="20">
        <f t="shared" ca="1" si="12"/>
        <v>1600.7094981020748</v>
      </c>
      <c r="Y40" s="41">
        <f t="shared" si="13"/>
        <v>0.58333299502295954</v>
      </c>
      <c r="Z40" s="41">
        <f t="shared" ca="1" si="14"/>
        <v>187.30176844579674</v>
      </c>
      <c r="AA40" s="14">
        <f t="shared" ca="1" si="15"/>
        <v>1620.394452811516</v>
      </c>
      <c r="AB40" s="14">
        <f t="shared" si="49"/>
        <v>4255.8265023034601</v>
      </c>
      <c r="AC40" s="25">
        <f t="shared" ca="1" si="16"/>
        <v>891577.57627867779</v>
      </c>
      <c r="AD40" s="41">
        <f t="shared" si="17"/>
        <v>2341651.7326399698</v>
      </c>
      <c r="AE40" s="6">
        <v>100</v>
      </c>
      <c r="AF40" s="41">
        <f t="shared" si="18"/>
        <v>4255.8265023034601</v>
      </c>
      <c r="AG40" s="41">
        <f t="shared" ca="1" si="19"/>
        <v>2635.4320494919439</v>
      </c>
      <c r="AH40" s="41">
        <f t="shared" ca="1" si="20"/>
        <v>1450074.1563612921</v>
      </c>
      <c r="AI40" s="41">
        <f t="shared" si="21"/>
        <v>3423.5093739011577</v>
      </c>
      <c r="AJ40" s="13">
        <f t="shared" ca="1" si="22"/>
        <v>85.504155482625208</v>
      </c>
      <c r="AK40" s="11">
        <f t="shared" ca="1" si="23"/>
        <v>5092.2138203419354</v>
      </c>
      <c r="AL40" s="6">
        <f t="shared" si="50"/>
        <v>500</v>
      </c>
      <c r="AM40" s="41">
        <f t="shared" ca="1" si="24"/>
        <v>5.8476690071700901</v>
      </c>
      <c r="AN40" s="41">
        <f t="shared" ca="1" si="25"/>
        <v>5.5609860170883554</v>
      </c>
      <c r="AO40" s="41">
        <f t="shared" ca="1" si="26"/>
        <v>0.52310283292130366</v>
      </c>
      <c r="AP40" s="67">
        <f t="shared" si="45"/>
        <v>0.80442879239747866</v>
      </c>
      <c r="AQ40" s="11">
        <f t="shared" si="27"/>
        <v>0.99361574571837585</v>
      </c>
      <c r="AR40" s="11">
        <f t="shared" si="28"/>
        <v>0.72868750467492982</v>
      </c>
      <c r="AS40" s="11">
        <f t="shared" si="29"/>
        <v>0.73336952218696461</v>
      </c>
      <c r="AT40" s="11">
        <f t="shared" si="30"/>
        <v>515.35867883175001</v>
      </c>
      <c r="AU40" s="11">
        <f t="shared" si="31"/>
        <v>1542.0630711431797</v>
      </c>
      <c r="AV40" s="11">
        <f t="shared" si="32"/>
        <v>1.743146017286196E-3</v>
      </c>
      <c r="AW40" s="11">
        <f t="shared" si="33"/>
        <v>3.7186626592916741E-7</v>
      </c>
      <c r="AX40" s="41">
        <f t="shared" ca="1" si="34"/>
        <v>2.1789047446114265</v>
      </c>
      <c r="AY40" s="41">
        <f t="shared" ca="1" si="35"/>
        <v>2.9350279804898292</v>
      </c>
      <c r="AZ40" s="41">
        <f t="shared" si="36"/>
        <v>0.34189098428262243</v>
      </c>
      <c r="BA40" s="154">
        <f t="shared" si="46"/>
        <v>0.49773570127551636</v>
      </c>
      <c r="BB40" s="156">
        <f t="shared" si="47"/>
        <v>0.27785615668831554</v>
      </c>
    </row>
    <row r="41" spans="1:55" ht="14.5">
      <c r="A41" s="66">
        <f t="shared" ca="1" si="37"/>
        <v>133.72429160171387</v>
      </c>
      <c r="B41" s="41">
        <f t="shared" ca="1" si="51"/>
        <v>2.2287381933618979</v>
      </c>
      <c r="C41" s="41">
        <f t="shared" ca="1" si="51"/>
        <v>3.7145636556031633E-2</v>
      </c>
      <c r="D41" s="41">
        <f t="shared" ca="1" si="39"/>
        <v>17080.219865156065</v>
      </c>
      <c r="E41" s="41">
        <f t="shared" ca="1" si="40"/>
        <v>7.1585840339432227</v>
      </c>
      <c r="F41" s="41">
        <f t="shared" ca="1" si="41"/>
        <v>7.1585840339432227</v>
      </c>
      <c r="G41" s="41"/>
      <c r="H41" s="7">
        <f t="shared" si="42"/>
        <v>9000</v>
      </c>
      <c r="I41" s="6">
        <v>15</v>
      </c>
      <c r="J41" s="41">
        <f t="shared" si="1"/>
        <v>0.51700727501742827</v>
      </c>
      <c r="K41" s="41">
        <f t="shared" si="2"/>
        <v>574.37069808926992</v>
      </c>
      <c r="L41" s="6">
        <f t="shared" si="48"/>
        <v>291.75</v>
      </c>
      <c r="M41" s="41">
        <f t="shared" si="3"/>
        <v>340.30544868672303</v>
      </c>
      <c r="N41" s="41">
        <f t="shared" si="4"/>
        <v>283.03752241610613</v>
      </c>
      <c r="O41" s="41">
        <f t="shared" si="5"/>
        <v>2657461.1539411154</v>
      </c>
      <c r="P41" s="41">
        <f t="shared" si="6"/>
        <v>17062767.964178368</v>
      </c>
      <c r="Q41" s="41">
        <f t="shared" si="7"/>
        <v>2.6943580952512075E-3</v>
      </c>
      <c r="R41" s="41">
        <f t="shared" si="43"/>
        <v>2.1380714901694124E-2</v>
      </c>
      <c r="S41" s="24">
        <f t="shared" ca="1" si="44"/>
        <v>8.4368400506989456</v>
      </c>
      <c r="T41" s="10">
        <f t="shared" ca="1" si="8"/>
        <v>8.4368400506989456</v>
      </c>
      <c r="U41" s="41">
        <f t="shared" ca="1" si="9"/>
        <v>0.25953512541076745</v>
      </c>
      <c r="V41" s="41">
        <f t="shared" ca="1" si="10"/>
        <v>2.5634855878502324E-2</v>
      </c>
      <c r="W41" s="41">
        <f t="shared" ca="1" si="11"/>
        <v>10.1243060090077</v>
      </c>
      <c r="X41" s="20">
        <f t="shared" ca="1" si="12"/>
        <v>1668.7940019294078</v>
      </c>
      <c r="Y41" s="41">
        <f t="shared" si="13"/>
        <v>0.58183697389633704</v>
      </c>
      <c r="Z41" s="41">
        <f t="shared" ca="1" si="14"/>
        <v>188.87945756641173</v>
      </c>
      <c r="AA41" s="14">
        <f t="shared" ca="1" si="15"/>
        <v>1687.0509297091194</v>
      </c>
      <c r="AB41" s="14">
        <f t="shared" si="49"/>
        <v>4174.7881608426615</v>
      </c>
      <c r="AC41" s="25">
        <f t="shared" ca="1" si="16"/>
        <v>968992.62020917877</v>
      </c>
      <c r="AD41" s="41">
        <f t="shared" si="17"/>
        <v>2397875.9903180189</v>
      </c>
      <c r="AE41" s="6">
        <v>100</v>
      </c>
      <c r="AF41" s="41">
        <f t="shared" si="18"/>
        <v>4174.7881608426615</v>
      </c>
      <c r="AG41" s="41">
        <f t="shared" ca="1" si="19"/>
        <v>2487.7372311335421</v>
      </c>
      <c r="AH41" s="41">
        <f t="shared" ca="1" si="20"/>
        <v>1428883.3701088401</v>
      </c>
      <c r="AI41" s="41">
        <f t="shared" si="21"/>
        <v>3373.5746503095638</v>
      </c>
      <c r="AJ41" s="13">
        <f t="shared" ca="1" si="22"/>
        <v>84.271140876762189</v>
      </c>
      <c r="AK41" s="11">
        <f t="shared" ca="1" si="23"/>
        <v>5019.4320028296106</v>
      </c>
      <c r="AL41" s="6">
        <f t="shared" si="50"/>
        <v>500</v>
      </c>
      <c r="AM41" s="41">
        <f t="shared" ca="1" si="24"/>
        <v>5.9332292739598502</v>
      </c>
      <c r="AN41" s="41">
        <f t="shared" ca="1" si="25"/>
        <v>5.5600532980848802</v>
      </c>
      <c r="AO41" s="41">
        <f t="shared" ca="1" si="26"/>
        <v>0.55479440080441378</v>
      </c>
      <c r="AP41" s="67">
        <f t="shared" si="45"/>
        <v>0.80808283446617413</v>
      </c>
      <c r="AQ41" s="11">
        <f t="shared" si="27"/>
        <v>0.99017807071837594</v>
      </c>
      <c r="AR41" s="11">
        <f t="shared" si="28"/>
        <v>0.71481202671780375</v>
      </c>
      <c r="AS41" s="11">
        <f t="shared" si="29"/>
        <v>0.72190250204107864</v>
      </c>
      <c r="AT41" s="11">
        <f t="shared" si="30"/>
        <v>513.57565993950004</v>
      </c>
      <c r="AU41" s="11">
        <f t="shared" si="31"/>
        <v>1512.6995071807505</v>
      </c>
      <c r="AV41" s="11">
        <f t="shared" si="32"/>
        <v>1.7158900571014398E-3</v>
      </c>
      <c r="AW41" s="11">
        <f t="shared" si="33"/>
        <v>3.7086411159018176E-7</v>
      </c>
      <c r="AX41" s="41">
        <f t="shared" ca="1" si="34"/>
        <v>2.3211060935008527</v>
      </c>
      <c r="AY41" s="41">
        <f t="shared" ca="1" si="35"/>
        <v>3.126576022636248</v>
      </c>
      <c r="AZ41" s="41">
        <f t="shared" si="36"/>
        <v>0.35497794694108825</v>
      </c>
      <c r="BA41" s="154">
        <f t="shared" si="46"/>
        <v>0.51126712037692368</v>
      </c>
      <c r="BB41" s="156">
        <f t="shared" si="47"/>
        <v>0.18282546005900713</v>
      </c>
    </row>
    <row r="42" spans="1:55" ht="14.5">
      <c r="A42" s="66">
        <f t="shared" ca="1" si="37"/>
        <v>139.65752087567373</v>
      </c>
      <c r="B42" s="41">
        <f t="shared" ca="1" si="51"/>
        <v>2.3276253479278952</v>
      </c>
      <c r="C42" s="41">
        <f t="shared" ca="1" si="51"/>
        <v>3.8793755798798256E-2</v>
      </c>
      <c r="D42" s="41">
        <f t="shared" ca="1" si="39"/>
        <v>17074.659811857979</v>
      </c>
      <c r="E42" s="41">
        <f t="shared" ca="1" si="40"/>
        <v>7.7133784347476366</v>
      </c>
      <c r="F42" s="41">
        <f t="shared" ca="1" si="41"/>
        <v>7.7133784347476366</v>
      </c>
      <c r="G42" s="41"/>
      <c r="H42" s="7">
        <f t="shared" si="42"/>
        <v>9500</v>
      </c>
      <c r="I42" s="6">
        <v>15</v>
      </c>
      <c r="J42" s="41">
        <f t="shared" si="1"/>
        <v>0.53991288172574436</v>
      </c>
      <c r="K42" s="41">
        <f t="shared" si="2"/>
        <v>598.77562553271275</v>
      </c>
      <c r="L42" s="6">
        <f t="shared" si="48"/>
        <v>302.125</v>
      </c>
      <c r="M42" s="41">
        <f t="shared" si="3"/>
        <v>354.76497771812382</v>
      </c>
      <c r="N42" s="41">
        <f t="shared" si="4"/>
        <v>302.77356916604782</v>
      </c>
      <c r="O42" s="41">
        <f t="shared" si="5"/>
        <v>2734299.8517897939</v>
      </c>
      <c r="P42" s="41">
        <f t="shared" si="6"/>
        <v>17556126.397703249</v>
      </c>
      <c r="Q42" s="41">
        <f t="shared" si="7"/>
        <v>2.6766584849404629E-3</v>
      </c>
      <c r="R42" s="41">
        <f t="shared" si="43"/>
        <v>2.1273107723983633E-2</v>
      </c>
      <c r="S42" s="24">
        <f t="shared" ca="1" si="44"/>
        <v>7.9250243326536394</v>
      </c>
      <c r="T42" s="10">
        <f t="shared" ca="1" si="8"/>
        <v>7.9250243326536394</v>
      </c>
      <c r="U42" s="41">
        <f t="shared" ca="1" si="9"/>
        <v>0.24285023593523078</v>
      </c>
      <c r="V42" s="41">
        <f t="shared" ca="1" si="10"/>
        <v>2.4997853620188963E-2</v>
      </c>
      <c r="W42" s="41">
        <f t="shared" ca="1" si="11"/>
        <v>9.7148435071680783</v>
      </c>
      <c r="X42" s="20">
        <f t="shared" ca="1" si="12"/>
        <v>1740.798553277255</v>
      </c>
      <c r="Y42" s="41">
        <f t="shared" si="13"/>
        <v>0.58037096092175733</v>
      </c>
      <c r="Z42" s="41">
        <f t="shared" ca="1" si="14"/>
        <v>190.47051547617932</v>
      </c>
      <c r="AA42" s="14">
        <f t="shared" ca="1" si="15"/>
        <v>1757.584648611115</v>
      </c>
      <c r="AB42" s="14">
        <f t="shared" si="49"/>
        <v>4095.0038974850663</v>
      </c>
      <c r="AC42" s="25">
        <f t="shared" ca="1" si="16"/>
        <v>1052398.8473988136</v>
      </c>
      <c r="AD42" s="41">
        <f t="shared" si="17"/>
        <v>2451988.5202755174</v>
      </c>
      <c r="AE42" s="6">
        <v>100</v>
      </c>
      <c r="AF42" s="41">
        <f t="shared" si="18"/>
        <v>4095.0038974850663</v>
      </c>
      <c r="AG42" s="41">
        <f t="shared" ca="1" si="19"/>
        <v>2337.4192488739513</v>
      </c>
      <c r="AH42" s="41">
        <f t="shared" ca="1" si="20"/>
        <v>1399589.6728767038</v>
      </c>
      <c r="AI42" s="41">
        <f t="shared" si="21"/>
        <v>3323.9370396601689</v>
      </c>
      <c r="AJ42" s="13">
        <f t="shared" ca="1" si="22"/>
        <v>82.557473656460374</v>
      </c>
      <c r="AK42" s="11">
        <f t="shared" ca="1" si="23"/>
        <v>4918.1290460781629</v>
      </c>
      <c r="AL42" s="6">
        <f t="shared" si="50"/>
        <v>500</v>
      </c>
      <c r="AM42" s="41">
        <f t="shared" ca="1" si="24"/>
        <v>6.0563868763791016</v>
      </c>
      <c r="AN42" s="41">
        <f t="shared" ca="1" si="25"/>
        <v>5.5919579624745133</v>
      </c>
      <c r="AO42" s="41">
        <f t="shared" ca="1" si="26"/>
        <v>0.59113151737287617</v>
      </c>
      <c r="AP42" s="67">
        <f t="shared" si="45"/>
        <v>0.81170546423693379</v>
      </c>
      <c r="AQ42" s="11">
        <f t="shared" si="27"/>
        <v>0.98674039571837591</v>
      </c>
      <c r="AR42" s="11">
        <f t="shared" si="28"/>
        <v>0.70115127345474038</v>
      </c>
      <c r="AS42" s="11">
        <f t="shared" si="29"/>
        <v>0.71057319280445763</v>
      </c>
      <c r="AT42" s="11">
        <f t="shared" si="30"/>
        <v>511.79264104725002</v>
      </c>
      <c r="AU42" s="11">
        <f t="shared" si="31"/>
        <v>1483.7903479103904</v>
      </c>
      <c r="AV42" s="11">
        <f t="shared" si="32"/>
        <v>1.6889614219769153E-3</v>
      </c>
      <c r="AW42" s="11">
        <f t="shared" si="33"/>
        <v>3.6986028846941337E-7</v>
      </c>
      <c r="AX42" s="41">
        <f t="shared" ca="1" si="34"/>
        <v>2.4682868954362127</v>
      </c>
      <c r="AY42" s="41">
        <f t="shared" ca="1" si="35"/>
        <v>3.324831486965071</v>
      </c>
      <c r="AZ42" s="41">
        <f t="shared" si="36"/>
        <v>0.36799218889936341</v>
      </c>
      <c r="BA42" s="154">
        <f t="shared" si="46"/>
        <v>0.52407668079346648</v>
      </c>
      <c r="BB42" s="156">
        <f t="shared" si="47"/>
        <v>0.12487993799976493</v>
      </c>
    </row>
    <row r="43" spans="1:55" ht="14.5">
      <c r="A43" s="66">
        <f t="shared" ca="1" si="37"/>
        <v>145.71390775205282</v>
      </c>
      <c r="B43" s="41">
        <f t="shared" ca="1" si="51"/>
        <v>2.4285651292008805</v>
      </c>
      <c r="C43" s="41">
        <f t="shared" ca="1" si="51"/>
        <v>4.0476085486681343E-2</v>
      </c>
      <c r="D43" s="41">
        <f t="shared" ca="1" si="39"/>
        <v>17069.067853895504</v>
      </c>
      <c r="E43" s="41">
        <f t="shared" ca="1" si="40"/>
        <v>8.3045099521205135</v>
      </c>
      <c r="F43" s="41">
        <f t="shared" ca="1" si="41"/>
        <v>8.3045099521205135</v>
      </c>
      <c r="G43" s="41"/>
      <c r="H43" s="7">
        <f t="shared" si="42"/>
        <v>10000</v>
      </c>
      <c r="I43" s="6">
        <v>15</v>
      </c>
      <c r="J43" s="41">
        <f t="shared" si="1"/>
        <v>0.56312736305628042</v>
      </c>
      <c r="K43" s="41">
        <f t="shared" si="2"/>
        <v>623.43218751213556</v>
      </c>
      <c r="L43" s="6">
        <f t="shared" si="48"/>
        <v>312.5</v>
      </c>
      <c r="M43" s="41">
        <f t="shared" si="3"/>
        <v>369.37359618594013</v>
      </c>
      <c r="N43" s="41">
        <f t="shared" si="4"/>
        <v>323.0523029359008</v>
      </c>
      <c r="O43" s="41">
        <f t="shared" si="5"/>
        <v>2809688.5950590433</v>
      </c>
      <c r="P43" s="41">
        <f t="shared" si="6"/>
        <v>18040175.103968069</v>
      </c>
      <c r="Q43" s="41">
        <f t="shared" si="7"/>
        <v>2.6593181686088391E-3</v>
      </c>
      <c r="R43" s="41">
        <f t="shared" si="43"/>
        <v>2.1167684922673683E-2</v>
      </c>
      <c r="S43" s="24">
        <f t="shared" ca="1" si="44"/>
        <v>7.4057557953830679</v>
      </c>
      <c r="T43" s="10">
        <f t="shared" ca="1" si="8"/>
        <v>7.4057557953830679</v>
      </c>
      <c r="U43" s="41">
        <f t="shared" ca="1" si="9"/>
        <v>0.22780913926584648</v>
      </c>
      <c r="V43" s="41">
        <f t="shared" ca="1" si="10"/>
        <v>2.4445329647913277E-2</v>
      </c>
      <c r="W43" s="41">
        <f t="shared" ca="1" si="11"/>
        <v>9.3191273158099097</v>
      </c>
      <c r="X43" s="20">
        <f t="shared" ca="1" si="12"/>
        <v>1816.3376089206968</v>
      </c>
      <c r="Y43" s="41">
        <f t="shared" si="13"/>
        <v>0.5789311072750698</v>
      </c>
      <c r="Z43" s="41">
        <f t="shared" ca="1" si="14"/>
        <v>192.07426132450237</v>
      </c>
      <c r="AA43" s="14">
        <f t="shared" ca="1" si="15"/>
        <v>1831.6165532944067</v>
      </c>
      <c r="AB43" s="14">
        <f t="shared" si="49"/>
        <v>4016.4588107467653</v>
      </c>
      <c r="AC43" s="25">
        <f t="shared" ca="1" si="16"/>
        <v>1141888.71450377</v>
      </c>
      <c r="AD43" s="41">
        <f t="shared" si="17"/>
        <v>2503989.7024362464</v>
      </c>
      <c r="AE43" s="6">
        <v>100</v>
      </c>
      <c r="AF43" s="41">
        <f t="shared" si="18"/>
        <v>4016.4588107467653</v>
      </c>
      <c r="AG43" s="41">
        <f t="shared" ca="1" si="19"/>
        <v>2184.8422574523584</v>
      </c>
      <c r="AH43" s="41">
        <f t="shared" ca="1" si="20"/>
        <v>1362100.9879324764</v>
      </c>
      <c r="AI43" s="41">
        <f t="shared" si="21"/>
        <v>3274.5929811353408</v>
      </c>
      <c r="AJ43" s="13">
        <f t="shared" ca="1" si="22"/>
        <v>80.357426977667203</v>
      </c>
      <c r="AK43" s="11">
        <f t="shared" ca="1" si="23"/>
        <v>4787.9626453823639</v>
      </c>
      <c r="AL43" s="6">
        <v>0</v>
      </c>
      <c r="AM43" s="41">
        <f t="shared" ca="1" si="24"/>
        <v>0</v>
      </c>
      <c r="AN43" s="41">
        <f t="shared" ca="1" si="25"/>
        <v>0</v>
      </c>
      <c r="AO43" s="41">
        <f t="shared" ca="1" si="26"/>
        <v>0</v>
      </c>
      <c r="AP43" s="67">
        <f t="shared" si="45"/>
        <v>0.81529355470385312</v>
      </c>
      <c r="AQ43" s="11">
        <f t="shared" si="27"/>
        <v>0.98330272071837588</v>
      </c>
      <c r="AR43" s="11">
        <f t="shared" si="28"/>
        <v>0.68770269343653956</v>
      </c>
      <c r="AS43" s="11">
        <f t="shared" si="29"/>
        <v>0.69938044403469313</v>
      </c>
      <c r="AT43" s="11">
        <f t="shared" si="30"/>
        <v>510.00962215499999</v>
      </c>
      <c r="AU43" s="11">
        <f t="shared" si="31"/>
        <v>1455.3301939042735</v>
      </c>
      <c r="AV43" s="11">
        <f t="shared" si="32"/>
        <v>1.6623573774260621E-3</v>
      </c>
      <c r="AW43" s="11">
        <f t="shared" si="33"/>
        <v>3.6885478983619832E-7</v>
      </c>
      <c r="AX43" s="41">
        <f t="shared" ca="1" si="34"/>
        <v>2.6202248971054347</v>
      </c>
      <c r="AY43" s="41">
        <f t="shared" ca="1" si="35"/>
        <v>3.5294949938493074</v>
      </c>
      <c r="AZ43" s="41">
        <f t="shared" si="36"/>
        <v>0.38092175475491041</v>
      </c>
      <c r="BA43" s="154">
        <f>2.12 - (0.00251*AF43) + (1.94*10^(-6)*AF43^2) - (7.84*10^(-10)*AF43^3) + (1.7*10^(-13)*AF43^4) - (1.89*10^(-17)*AF43^5) + (8.37*10^(-22)*AF43^6)</f>
        <v>0.53625077120483677</v>
      </c>
      <c r="BB43" s="156">
        <f t="shared" si="47"/>
        <v>9.5313570140334036E-2</v>
      </c>
    </row>
    <row r="44" spans="1:55" ht="14.5">
      <c r="B44" s="135">
        <f ca="1">B43-B23</f>
        <v>2.4285651292008805</v>
      </c>
      <c r="C44" s="135"/>
      <c r="X44" s="32">
        <f ca="1">AVERAGE(X23:X43)</f>
        <v>1526.3926051392061</v>
      </c>
      <c r="AC44" s="3"/>
      <c r="AD44" s="3"/>
      <c r="AN44" s="32">
        <f ca="1">SUM(AN23:AN43)</f>
        <v>157.28058485096494</v>
      </c>
      <c r="AP44" s="145"/>
    </row>
    <row r="45" spans="1:55" s="89" customFormat="1" ht="14.5">
      <c r="A45" s="123" t="s">
        <v>237</v>
      </c>
      <c r="B45" s="81" t="s">
        <v>120</v>
      </c>
      <c r="C45" s="81">
        <v>100</v>
      </c>
      <c r="D45" s="81" t="s">
        <v>49</v>
      </c>
      <c r="E45" s="82"/>
      <c r="F45" s="82"/>
      <c r="G45" s="82"/>
      <c r="H45" s="82"/>
      <c r="I45" s="83"/>
      <c r="J45" s="82"/>
      <c r="K45" s="82"/>
      <c r="L45" s="84" t="s">
        <v>60</v>
      </c>
      <c r="M45" s="82"/>
      <c r="N45" s="82"/>
      <c r="O45" s="82"/>
      <c r="P45" s="82"/>
      <c r="Q45" s="81"/>
      <c r="R45" s="82"/>
      <c r="S45" s="85"/>
      <c r="T45" s="86"/>
      <c r="U45" s="81"/>
      <c r="V45" s="81"/>
      <c r="W45" s="81"/>
      <c r="X45" s="81"/>
      <c r="Y45" s="82"/>
      <c r="Z45" s="82"/>
      <c r="AA45" s="87"/>
      <c r="AB45" s="87"/>
      <c r="AC45" s="82"/>
      <c r="AD45" s="82"/>
      <c r="AE45" s="83"/>
      <c r="AF45" s="81"/>
      <c r="AG45" s="82"/>
      <c r="AH45" s="82"/>
      <c r="AI45" s="82"/>
      <c r="AJ45" s="81" t="s">
        <v>61</v>
      </c>
      <c r="AK45" s="88"/>
      <c r="AL45" s="83"/>
      <c r="AM45" s="82"/>
      <c r="AN45" s="82"/>
      <c r="AO45" s="83"/>
      <c r="AP45" s="53"/>
      <c r="AQ45" s="88"/>
      <c r="AR45" s="88"/>
      <c r="AS45" s="88"/>
      <c r="AT45" s="88"/>
      <c r="AU45" s="88"/>
      <c r="AV45" s="88"/>
      <c r="AW45" s="88"/>
      <c r="AX45" s="82"/>
      <c r="AY45" s="82"/>
      <c r="AZ45" s="82"/>
    </row>
    <row r="46" spans="1:55" ht="14.5">
      <c r="A46" s="41" t="s">
        <v>2</v>
      </c>
      <c r="B46" s="41" t="s">
        <v>2</v>
      </c>
      <c r="C46" s="41" t="s">
        <v>2</v>
      </c>
      <c r="D46" s="41" t="s">
        <v>23</v>
      </c>
      <c r="E46" s="41" t="s">
        <v>24</v>
      </c>
      <c r="F46" s="41" t="s">
        <v>25</v>
      </c>
      <c r="G46" s="41"/>
      <c r="H46" s="41" t="s">
        <v>0</v>
      </c>
      <c r="I46" s="5" t="s">
        <v>26</v>
      </c>
      <c r="J46" s="41" t="s">
        <v>27</v>
      </c>
      <c r="K46" s="41" t="s">
        <v>28</v>
      </c>
      <c r="L46" s="12" t="s">
        <v>29</v>
      </c>
      <c r="M46" s="13" t="s">
        <v>30</v>
      </c>
      <c r="N46" s="41" t="s">
        <v>31</v>
      </c>
      <c r="O46" s="41" t="s">
        <v>32</v>
      </c>
      <c r="P46" s="41" t="s">
        <v>33</v>
      </c>
      <c r="Q46" s="41" t="s">
        <v>34</v>
      </c>
      <c r="R46" s="41" t="s">
        <v>13</v>
      </c>
      <c r="S46" s="24" t="s">
        <v>35</v>
      </c>
      <c r="T46" s="10" t="s">
        <v>35</v>
      </c>
      <c r="U46" s="41" t="s">
        <v>36</v>
      </c>
      <c r="V46" s="41" t="s">
        <v>37</v>
      </c>
      <c r="W46" s="41" t="s">
        <v>38</v>
      </c>
      <c r="X46" s="41" t="s">
        <v>39</v>
      </c>
      <c r="Y46" s="41" t="s">
        <v>40</v>
      </c>
      <c r="Z46" s="35" t="s">
        <v>108</v>
      </c>
      <c r="AA46" s="35" t="s">
        <v>109</v>
      </c>
      <c r="AB46" s="9" t="s">
        <v>110</v>
      </c>
      <c r="AC46" s="7" t="s">
        <v>111</v>
      </c>
      <c r="AD46" s="7" t="s">
        <v>112</v>
      </c>
      <c r="AE46" s="5" t="s">
        <v>41</v>
      </c>
      <c r="AF46" s="7" t="s">
        <v>113</v>
      </c>
      <c r="AG46" s="7" t="s">
        <v>114</v>
      </c>
      <c r="AH46" s="7" t="s">
        <v>115</v>
      </c>
      <c r="AI46" s="41" t="s">
        <v>42</v>
      </c>
      <c r="AJ46" s="41" t="s">
        <v>43</v>
      </c>
      <c r="AK46" s="36"/>
      <c r="AL46" s="5" t="s">
        <v>44</v>
      </c>
      <c r="AM46" s="41" t="s">
        <v>45</v>
      </c>
      <c r="AN46" s="41" t="s">
        <v>46</v>
      </c>
      <c r="AO46" s="5" t="s">
        <v>47</v>
      </c>
      <c r="AP46" s="53" t="s">
        <v>85</v>
      </c>
      <c r="AQ46" s="15" t="s">
        <v>62</v>
      </c>
      <c r="AR46" s="16" t="s">
        <v>63</v>
      </c>
      <c r="AS46" s="16" t="s">
        <v>64</v>
      </c>
      <c r="AT46" s="17" t="s">
        <v>65</v>
      </c>
      <c r="AU46" s="18" t="s">
        <v>66</v>
      </c>
      <c r="AV46" s="18" t="s">
        <v>67</v>
      </c>
      <c r="AW46" s="19" t="s">
        <v>68</v>
      </c>
      <c r="AX46" s="7" t="s">
        <v>207</v>
      </c>
      <c r="AY46" s="7" t="s">
        <v>208</v>
      </c>
      <c r="AZ46" s="7" t="s">
        <v>209</v>
      </c>
    </row>
    <row r="47" spans="1:55" ht="14.5">
      <c r="A47" s="41" t="s">
        <v>18</v>
      </c>
      <c r="B47" s="41" t="s">
        <v>21</v>
      </c>
      <c r="C47" s="41" t="s">
        <v>48</v>
      </c>
      <c r="D47" s="41" t="s">
        <v>8</v>
      </c>
      <c r="E47" s="41" t="s">
        <v>49</v>
      </c>
      <c r="F47" s="41" t="s">
        <v>49</v>
      </c>
      <c r="G47" s="41"/>
      <c r="H47" s="41" t="s">
        <v>9</v>
      </c>
      <c r="I47" s="5" t="s">
        <v>50</v>
      </c>
      <c r="J47" s="41"/>
      <c r="K47" s="41" t="s">
        <v>51</v>
      </c>
      <c r="L47" s="5" t="s">
        <v>52</v>
      </c>
      <c r="M47" s="41" t="s">
        <v>52</v>
      </c>
      <c r="N47" s="41" t="s">
        <v>53</v>
      </c>
      <c r="O47" s="41" t="s">
        <v>54</v>
      </c>
      <c r="P47" s="41"/>
      <c r="Q47" s="41"/>
      <c r="R47" s="41"/>
      <c r="S47" s="24" t="s">
        <v>55</v>
      </c>
      <c r="T47" s="10" t="s">
        <v>55</v>
      </c>
      <c r="U47" s="41"/>
      <c r="V47" s="41"/>
      <c r="W47" s="41"/>
      <c r="X47" s="41"/>
      <c r="Y47" s="41"/>
      <c r="Z47" s="41"/>
      <c r="AA47" s="9" t="s">
        <v>118</v>
      </c>
      <c r="AB47" s="9" t="s">
        <v>118</v>
      </c>
      <c r="AC47" s="7" t="s">
        <v>119</v>
      </c>
      <c r="AD47" s="7" t="s">
        <v>119</v>
      </c>
      <c r="AE47" s="5" t="s">
        <v>20</v>
      </c>
      <c r="AF47" s="7" t="s">
        <v>118</v>
      </c>
      <c r="AG47" s="7" t="s">
        <v>118</v>
      </c>
      <c r="AH47" s="7" t="s">
        <v>119</v>
      </c>
      <c r="AI47" s="41" t="s">
        <v>56</v>
      </c>
      <c r="AJ47" s="41" t="s">
        <v>57</v>
      </c>
      <c r="AK47" s="11"/>
      <c r="AL47" s="5" t="s">
        <v>9</v>
      </c>
      <c r="AM47" s="41" t="s">
        <v>18</v>
      </c>
      <c r="AN47" s="41" t="s">
        <v>8</v>
      </c>
      <c r="AO47" s="5" t="s">
        <v>49</v>
      </c>
      <c r="AP47" s="53"/>
      <c r="AQ47" s="11"/>
      <c r="AR47" s="11"/>
      <c r="AS47" s="11"/>
      <c r="AT47" s="11"/>
      <c r="AU47" s="11"/>
      <c r="AV47" s="11"/>
      <c r="AW47" s="11"/>
      <c r="AX47" s="41"/>
      <c r="AY47" s="41"/>
      <c r="AZ47" s="41"/>
    </row>
    <row r="48" spans="1:55" ht="14.5">
      <c r="A48" s="41">
        <f ca="1">A43</f>
        <v>145.71390775205282</v>
      </c>
      <c r="B48" s="41">
        <f t="shared" ref="B48:C63" ca="1" si="52">A48/60</f>
        <v>2.4285651292008805</v>
      </c>
      <c r="C48" s="41">
        <f t="shared" ca="1" si="52"/>
        <v>4.0476085486681343E-2</v>
      </c>
      <c r="D48" s="41">
        <f t="shared" ref="D48:E48" ca="1" si="53">D43</f>
        <v>17069.067853895504</v>
      </c>
      <c r="E48" s="41">
        <f t="shared" ca="1" si="53"/>
        <v>8.3045099521205135</v>
      </c>
      <c r="F48" s="41">
        <v>0</v>
      </c>
      <c r="G48" s="41"/>
      <c r="H48" s="7">
        <v>10000</v>
      </c>
      <c r="I48" s="6">
        <v>15</v>
      </c>
      <c r="J48" s="41">
        <f t="shared" ref="J48:J68" si="54">SQRT((((((((L48^2)*(0.2))/(661.477)^2) + 1)^(3.5) - 1)*(1/AR48) + 1)^(1/3.5) - 1)*(5))</f>
        <v>0.56312736305628042</v>
      </c>
      <c r="K48" s="41">
        <f t="shared" ref="K48:K68" si="55">SQRT((1.4*2116.22*AR48*(J48)^2)/AV48)</f>
        <v>623.43218751213556</v>
      </c>
      <c r="L48" s="120">
        <v>312.5</v>
      </c>
      <c r="M48" s="41">
        <f t="shared" ref="M48:M68" si="56">K48*0.592484</f>
        <v>369.37359618594013</v>
      </c>
      <c r="N48" s="41">
        <f t="shared" ref="N48:N68" si="57">0.5*AV48*K48^2</f>
        <v>323.0523029359008</v>
      </c>
      <c r="O48" s="41">
        <f t="shared" ref="O48:O68" si="58">P48/$B$7</f>
        <v>2809688.5950590433</v>
      </c>
      <c r="P48" s="41">
        <f t="shared" ref="P48:P68" si="59">(AV48*K48*$B$7)/(AW48)</f>
        <v>18040175.103968069</v>
      </c>
      <c r="Q48" s="41">
        <f t="shared" ref="Q48:Q68" si="60">0.455/(LOG10(P48)^2.58 * (1+0.144*J48*J48)^0.65)</f>
        <v>2.6593181686088391E-3</v>
      </c>
      <c r="R48" s="41">
        <f t="shared" ref="R48:R68" si="61">(((Q48*$B$4)+$B$17)+(0.1*(Q48*$B$4)))</f>
        <v>2.1167684922673683E-2</v>
      </c>
      <c r="S48" s="24">
        <f ca="1">T48</f>
        <v>-7.6322574183811775E-16</v>
      </c>
      <c r="T48" s="10">
        <f t="shared" ref="T48:T68" ca="1" si="62">DEGREES(ASIN(((AF48-X48)/(D48))))</f>
        <v>-7.6322574183811775E-16</v>
      </c>
      <c r="U48" s="41">
        <f t="shared" ref="U48:U68" ca="1" si="63">(D48*COS(RADIANS(S48)))/(N48*$B$3)</f>
        <v>0.22972545875929898</v>
      </c>
      <c r="V48" s="41">
        <f t="shared" ref="V48:V68" ca="1" si="64">(X48)/(N48*$B$3)</f>
        <v>2.4500704355840855E-2</v>
      </c>
      <c r="W48" s="41">
        <f t="shared" ref="W48:W68" ca="1" si="65">U48/V48</f>
        <v>9.3762797764029795</v>
      </c>
      <c r="X48" s="20">
        <f t="shared" ref="X48:X68" ca="1" si="66">(N48*$B$3*R48)+((N48*$B$3)*((U48^2)/(PI()*$B$6*$B$5)))</f>
        <v>1820.4520621123902</v>
      </c>
      <c r="Y48" s="41">
        <f t="shared" ref="Y48:Y68" si="67">SQRT(PI()*$B$6*$B$5*R48)</f>
        <v>0.5789311072750698</v>
      </c>
      <c r="Z48" s="41">
        <f t="shared" ref="Z48:Z68" ca="1" si="68">SQRT((2*((U48*N48*$B$3)/(D48))*D48)/(AV48*$B$3*$B$18))</f>
        <v>192.88042922529235</v>
      </c>
      <c r="AA48" s="14">
        <f t="shared" ref="AA48:AA68" ca="1" si="69">D48/W48</f>
        <v>1820.45206211239</v>
      </c>
      <c r="AB48" s="14">
        <f>$B$15*AR48*0.93</f>
        <v>4016.4588107467653</v>
      </c>
      <c r="AC48" s="25">
        <f t="shared" ref="AC48:AC68" ca="1" si="70">AA48*K48</f>
        <v>1134928.4113437054</v>
      </c>
      <c r="AD48" s="41">
        <f t="shared" ref="AD48:AD68" si="71">AB48*K48</f>
        <v>2503989.7024362464</v>
      </c>
      <c r="AE48" s="5">
        <f t="shared" ref="AE48:AE68" ca="1" si="72">(AA48/AB48)*100</f>
        <v>45.324803462229958</v>
      </c>
      <c r="AF48" s="7">
        <f t="shared" ref="AF48:AF68" ca="1" si="73">(AB48)*(AE48/100)</f>
        <v>1820.45206211239</v>
      </c>
      <c r="AG48" s="41">
        <f t="shared" ref="AG48:AG68" ca="1" si="74">AB48-AA48</f>
        <v>2196.0067486343751</v>
      </c>
      <c r="AH48" s="41">
        <f t="shared" ref="AH48:AH68" ca="1" si="75">AD48-AC48</f>
        <v>1369061.2910925411</v>
      </c>
      <c r="AI48" s="41">
        <f t="shared" ref="AI48:AI68" ca="1" si="76">(AP48*AF48)</f>
        <v>1457.6574968593827</v>
      </c>
      <c r="AJ48" s="13">
        <f t="shared" ref="AJ48:AJ68" ca="1" si="77">K48*SIN(RADIANS(T48))</f>
        <v>-8.3046168119776871E-15</v>
      </c>
      <c r="AK48" s="11"/>
      <c r="AL48" s="6">
        <v>0</v>
      </c>
      <c r="AM48" s="41">
        <f t="shared" ref="AM48:AM68" si="78">(AO48/M48)*3600</f>
        <v>48.731149670316235</v>
      </c>
      <c r="AN48" s="41">
        <f t="shared" ref="AN48:AN68" ca="1" si="79">AI48*(AM48/3600)</f>
        <v>19.731479346531415</v>
      </c>
      <c r="AO48" s="6">
        <v>5</v>
      </c>
      <c r="AP48" s="67">
        <f>0.692 + 0.298*AZ48 + -0.0331*AZ48^2</f>
        <v>0.80071182713153521</v>
      </c>
      <c r="AQ48" s="11">
        <f t="shared" ref="AQ48:AQ68" si="80">IF(H48 &lt;= 36089, ((1 - 6.87535*10^(-6)*H48) + ((I48*1.8)/518.67)), 0.75187 + ((I48*1.8)/518.67))</f>
        <v>0.98330272071837588</v>
      </c>
      <c r="AR48" s="11">
        <f t="shared" ref="AR48:AR68" si="81">IF(H48 &lt;= 36089, (1 - 6.87535*10^(-6)*H48)^5.2561, 0.22336*EXP((36089 - H48)/(20806.7)))</f>
        <v>0.68770269343653956</v>
      </c>
      <c r="AS48" s="11">
        <f t="shared" ref="AS48:AS68" si="82">(AR48/AQ48)</f>
        <v>0.69938044403469313</v>
      </c>
      <c r="AT48" s="11">
        <f t="shared" ref="AT48:AT68" si="83">(518.67*AQ48)</f>
        <v>510.00962215499999</v>
      </c>
      <c r="AU48" s="11">
        <f t="shared" ref="AU48:AU68" si="84">2116.22*AR48</f>
        <v>1455.3301939042735</v>
      </c>
      <c r="AV48" s="11">
        <f t="shared" ref="AV48:AV68" si="85">(0.0023769*AS48)</f>
        <v>1.6623573774260621E-3</v>
      </c>
      <c r="AW48" s="11">
        <f t="shared" ref="AW48:AW68" si="86">((2.2697*10^-8)*(AT48^1.5))/(AT48+198.72)</f>
        <v>3.6885478983619832E-7</v>
      </c>
      <c r="AX48" s="41">
        <f t="shared" ref="AX48:AX68" ca="1" si="87">(1/U48)*(((1 + 0.2*(U48)^2)/1.2)^3)</f>
        <v>2.5997206691457007</v>
      </c>
      <c r="AY48" s="41">
        <f t="shared" ref="AY48:AY68" ca="1" si="88">($H$4/$H$3)*AX48</f>
        <v>3.5018753914187783</v>
      </c>
      <c r="AZ48" s="41">
        <f t="shared" ref="AZ48:AZ68" si="89">-6.6*10^(-3) + 0.825*J48 - 0.243*(J48^2)</f>
        <v>0.38092175475491041</v>
      </c>
      <c r="BA48" s="154">
        <f ca="1">2.12-0.00251*AF48+1.94*10^-6*AF48^2-7.84*10^-10*AF48^3+1.7*10^-13*AF48^4-1.89*10^-17*AF48^5+8.37*10^-22*AF48^6</f>
        <v>0.76966811762772358</v>
      </c>
      <c r="BB48" s="156">
        <f ca="1">2.18-0.00461*AF48+6.03*10^-6*AF48^2-4.1*10^-9*AF48^3+1.5*10^-12*AF48^4-2.81*10^-16*AF48^5+2.1*10^-20*AF48^6</f>
        <v>0.65629362955653658</v>
      </c>
      <c r="BC48" s="156">
        <f ca="1">1.75-5.02*10^-3*AF48+1.01*10^-5*AF48^2-1.09*10^-8*AF48^3+6.44*10^-12*AF48^4-1.99*10^-15*AF48^5+2.49*10^-19*AF48^6</f>
        <v>0.32800873669122943</v>
      </c>
    </row>
    <row r="49" spans="1:55" ht="14.5">
      <c r="A49" s="41">
        <f t="shared" ref="A49:A68" ca="1" si="90">A48+AM48</f>
        <v>194.44505742236905</v>
      </c>
      <c r="B49" s="41">
        <f t="shared" ca="1" si="52"/>
        <v>3.2407509570394839</v>
      </c>
      <c r="C49" s="41">
        <f t="shared" ca="1" si="52"/>
        <v>5.4012515950658063E-2</v>
      </c>
      <c r="D49" s="41">
        <f t="shared" ref="D49:D68" ca="1" si="91">D48-AN48</f>
        <v>17049.336374548973</v>
      </c>
      <c r="E49" s="41">
        <f t="shared" ref="E49:E68" ca="1" si="92">E48+AO48</f>
        <v>13.304509952120513</v>
      </c>
      <c r="F49" s="7">
        <f t="shared" ref="F49:F68" si="93">F48+AO48</f>
        <v>5</v>
      </c>
      <c r="G49" s="41"/>
      <c r="H49" s="7">
        <f t="shared" ref="H49:H68" si="94">H48+AL48</f>
        <v>10000</v>
      </c>
      <c r="I49" s="6">
        <v>15</v>
      </c>
      <c r="J49" s="41">
        <f t="shared" si="54"/>
        <v>0.56312736305628042</v>
      </c>
      <c r="K49" s="41">
        <f t="shared" si="55"/>
        <v>623.43218751213556</v>
      </c>
      <c r="L49" s="6">
        <f t="shared" ref="L49:L68" si="95">L48</f>
        <v>312.5</v>
      </c>
      <c r="M49" s="41">
        <f t="shared" si="56"/>
        <v>369.37359618594013</v>
      </c>
      <c r="N49" s="41">
        <f t="shared" si="57"/>
        <v>323.0523029359008</v>
      </c>
      <c r="O49" s="41">
        <f t="shared" si="58"/>
        <v>2809688.5950590433</v>
      </c>
      <c r="P49" s="41">
        <f t="shared" si="59"/>
        <v>18040175.103968069</v>
      </c>
      <c r="Q49" s="41">
        <f t="shared" si="60"/>
        <v>2.6593181686088391E-3</v>
      </c>
      <c r="R49" s="41">
        <f t="shared" si="61"/>
        <v>2.1167684922673683E-2</v>
      </c>
      <c r="S49" s="24">
        <f t="shared" ref="S49:S68" ca="1" si="96">T49</f>
        <v>-7.6410903562920629E-16</v>
      </c>
      <c r="T49" s="10">
        <f t="shared" ca="1" si="62"/>
        <v>-7.6410903562920629E-16</v>
      </c>
      <c r="U49" s="41">
        <f t="shared" ca="1" si="63"/>
        <v>0.22945990101568459</v>
      </c>
      <c r="V49" s="41">
        <f t="shared" ca="1" si="64"/>
        <v>2.4493003010581039E-2</v>
      </c>
      <c r="W49" s="41">
        <f t="shared" ca="1" si="65"/>
        <v>9.3683857759931417</v>
      </c>
      <c r="X49" s="20">
        <f t="shared" ca="1" si="66"/>
        <v>1819.879836528356</v>
      </c>
      <c r="Y49" s="41">
        <f t="shared" si="67"/>
        <v>0.5789311072750698</v>
      </c>
      <c r="Z49" s="41">
        <f t="shared" ca="1" si="68"/>
        <v>192.76891415209076</v>
      </c>
      <c r="AA49" s="14">
        <f t="shared" ca="1" si="69"/>
        <v>1819.8798365283558</v>
      </c>
      <c r="AB49" s="14">
        <f t="shared" ref="AB49:AB68" si="97">$B$15*AR49*0.93</f>
        <v>4016.4588107467653</v>
      </c>
      <c r="AC49" s="25">
        <f t="shared" ca="1" si="70"/>
        <v>1134571.6674961005</v>
      </c>
      <c r="AD49" s="41">
        <f t="shared" si="71"/>
        <v>2503989.7024362464</v>
      </c>
      <c r="AE49" s="5">
        <f t="shared" ca="1" si="72"/>
        <v>45.310556444869711</v>
      </c>
      <c r="AF49" s="7">
        <f t="shared" ca="1" si="73"/>
        <v>1819.8798365283558</v>
      </c>
      <c r="AG49" s="41">
        <f t="shared" ca="1" si="74"/>
        <v>2196.5789742184097</v>
      </c>
      <c r="AH49" s="41">
        <f t="shared" ca="1" si="75"/>
        <v>1369418.0349401459</v>
      </c>
      <c r="AI49" s="41">
        <f t="shared" ca="1" si="76"/>
        <v>1457.1993090664594</v>
      </c>
      <c r="AJ49" s="13">
        <f t="shared" ca="1" si="77"/>
        <v>-8.3142278825499698E-15</v>
      </c>
      <c r="AK49" s="11"/>
      <c r="AL49" s="6">
        <v>0</v>
      </c>
      <c r="AM49" s="41">
        <f t="shared" si="78"/>
        <v>48.731149670316235</v>
      </c>
      <c r="AN49" s="41">
        <f t="shared" ca="1" si="79"/>
        <v>19.725277119333068</v>
      </c>
      <c r="AO49" s="6">
        <v>5</v>
      </c>
      <c r="AP49" s="67">
        <f t="shared" ref="AP49:AP68" si="98">0.692 + 0.298*AZ49 + -0.0331*AZ49^2</f>
        <v>0.80071182713153521</v>
      </c>
      <c r="AQ49" s="11">
        <f t="shared" si="80"/>
        <v>0.98330272071837588</v>
      </c>
      <c r="AR49" s="11">
        <f t="shared" si="81"/>
        <v>0.68770269343653956</v>
      </c>
      <c r="AS49" s="11">
        <f t="shared" si="82"/>
        <v>0.69938044403469313</v>
      </c>
      <c r="AT49" s="11">
        <f t="shared" si="83"/>
        <v>510.00962215499999</v>
      </c>
      <c r="AU49" s="11">
        <f t="shared" si="84"/>
        <v>1455.3301939042735</v>
      </c>
      <c r="AV49" s="11">
        <f t="shared" si="85"/>
        <v>1.6623573774260621E-3</v>
      </c>
      <c r="AW49" s="11">
        <f t="shared" si="86"/>
        <v>3.6885478983619832E-7</v>
      </c>
      <c r="AX49" s="41">
        <f t="shared" ca="1" si="87"/>
        <v>2.6025409359433884</v>
      </c>
      <c r="AY49" s="41">
        <f t="shared" ca="1" si="88"/>
        <v>3.5056743468270546</v>
      </c>
      <c r="AZ49" s="41">
        <f t="shared" si="89"/>
        <v>0.38092175475491041</v>
      </c>
      <c r="BA49" s="154">
        <f t="shared" ref="BA49:BA67" ca="1" si="99">2.12-0.00251*AF49+1.94*10^-6*AF49^2-7.84*10^-10*AF49^3+1.7*10^-13*AF49^4-1.89*10^-17*AF49^5+8.37*10^-22*AF49^6</f>
        <v>0.76971177583714812</v>
      </c>
      <c r="BB49" s="156">
        <f t="shared" ref="BB49:BB68" ca="1" si="100">2.18-0.00461*AF49+6.03*10^-6*AF49^2-4.1*10^-9*AF49^3+1.5*10^-12*AF49^4-2.81*10^-16*AF49^5+2.1*10^-20*AF49^6</f>
        <v>0.65636886295809393</v>
      </c>
      <c r="BC49" s="156">
        <f t="shared" ref="BC49:BC68" ca="1" si="101">1.75-5.02*10^-3*AF49+1.01*10^-5*AF49^2-1.09*10^-8*AF49^3+6.44*10^-12*AF49^4-1.99*10^-15*AF49^5+2.49*10^-19*AF49^6</f>
        <v>0.32835969055291159</v>
      </c>
    </row>
    <row r="50" spans="1:55" ht="14.5">
      <c r="A50" s="41">
        <f t="shared" ca="1" si="90"/>
        <v>243.17620709268527</v>
      </c>
      <c r="B50" s="41">
        <f t="shared" ca="1" si="52"/>
        <v>4.0529367848780877</v>
      </c>
      <c r="C50" s="41">
        <f t="shared" ca="1" si="52"/>
        <v>6.7548946414634797E-2</v>
      </c>
      <c r="D50" s="41">
        <f t="shared" ca="1" si="91"/>
        <v>17029.611097429639</v>
      </c>
      <c r="E50" s="41">
        <f t="shared" ca="1" si="92"/>
        <v>18.304509952120512</v>
      </c>
      <c r="F50" s="7">
        <f t="shared" si="93"/>
        <v>10</v>
      </c>
      <c r="G50" s="41"/>
      <c r="H50" s="7">
        <f t="shared" si="94"/>
        <v>10000</v>
      </c>
      <c r="I50" s="6">
        <v>15</v>
      </c>
      <c r="J50" s="41">
        <f t="shared" si="54"/>
        <v>0.56312736305628042</v>
      </c>
      <c r="K50" s="41">
        <f t="shared" si="55"/>
        <v>623.43218751213556</v>
      </c>
      <c r="L50" s="6">
        <f t="shared" si="95"/>
        <v>312.5</v>
      </c>
      <c r="M50" s="41">
        <f t="shared" si="56"/>
        <v>369.37359618594013</v>
      </c>
      <c r="N50" s="41">
        <f t="shared" si="57"/>
        <v>323.0523029359008</v>
      </c>
      <c r="O50" s="41">
        <f t="shared" si="58"/>
        <v>2809688.5950590433</v>
      </c>
      <c r="P50" s="41">
        <f t="shared" si="59"/>
        <v>18040175.103968069</v>
      </c>
      <c r="Q50" s="41">
        <f t="shared" si="60"/>
        <v>2.6593181686088391E-3</v>
      </c>
      <c r="R50" s="41">
        <f t="shared" si="61"/>
        <v>2.1167684922673683E-2</v>
      </c>
      <c r="S50" s="24">
        <f t="shared" ca="1" si="96"/>
        <v>7.6499409767736126E-16</v>
      </c>
      <c r="T50" s="10">
        <f t="shared" ca="1" si="62"/>
        <v>7.6499409767736126E-16</v>
      </c>
      <c r="U50" s="41">
        <f t="shared" ca="1" si="63"/>
        <v>0.22919442674525692</v>
      </c>
      <c r="V50" s="41">
        <f t="shared" ca="1" si="64"/>
        <v>2.4485312989637634E-2</v>
      </c>
      <c r="W50" s="41">
        <f t="shared" ca="1" si="65"/>
        <v>9.3604858897353562</v>
      </c>
      <c r="X50" s="20">
        <f t="shared" ca="1" si="66"/>
        <v>1819.3084523640157</v>
      </c>
      <c r="Y50" s="41">
        <f t="shared" si="67"/>
        <v>0.5789311072750698</v>
      </c>
      <c r="Z50" s="41">
        <f t="shared" ca="1" si="68"/>
        <v>192.65736961422937</v>
      </c>
      <c r="AA50" s="14">
        <f t="shared" ca="1" si="69"/>
        <v>1819.3084523640159</v>
      </c>
      <c r="AB50" s="14">
        <f t="shared" si="97"/>
        <v>4016.4588107467653</v>
      </c>
      <c r="AC50" s="25">
        <f t="shared" ca="1" si="70"/>
        <v>1134215.4482166164</v>
      </c>
      <c r="AD50" s="41">
        <f t="shared" si="71"/>
        <v>2503989.7024362464</v>
      </c>
      <c r="AE50" s="5">
        <f t="shared" ca="1" si="72"/>
        <v>45.296330376801713</v>
      </c>
      <c r="AF50" s="7">
        <f t="shared" ca="1" si="73"/>
        <v>1819.3084523640159</v>
      </c>
      <c r="AG50" s="41">
        <f t="shared" ca="1" si="74"/>
        <v>2197.1503583827493</v>
      </c>
      <c r="AH50" s="41">
        <f t="shared" ca="1" si="75"/>
        <v>1369774.25421963</v>
      </c>
      <c r="AI50" s="41">
        <f t="shared" ca="1" si="76"/>
        <v>1456.7417950082367</v>
      </c>
      <c r="AJ50" s="13">
        <f t="shared" ca="1" si="77"/>
        <v>8.3238581934289629E-15</v>
      </c>
      <c r="AK50" s="11"/>
      <c r="AL50" s="6">
        <v>0</v>
      </c>
      <c r="AM50" s="41">
        <f t="shared" si="78"/>
        <v>48.731149670316235</v>
      </c>
      <c r="AN50" s="41">
        <f t="shared" ca="1" si="79"/>
        <v>19.719084012097642</v>
      </c>
      <c r="AO50" s="6">
        <v>5</v>
      </c>
      <c r="AP50" s="67">
        <f t="shared" si="98"/>
        <v>0.80071182713153521</v>
      </c>
      <c r="AQ50" s="11">
        <f t="shared" si="80"/>
        <v>0.98330272071837588</v>
      </c>
      <c r="AR50" s="11">
        <f t="shared" si="81"/>
        <v>0.68770269343653956</v>
      </c>
      <c r="AS50" s="11">
        <f t="shared" si="82"/>
        <v>0.69938044403469313</v>
      </c>
      <c r="AT50" s="11">
        <f t="shared" si="83"/>
        <v>510.00962215499999</v>
      </c>
      <c r="AU50" s="11">
        <f t="shared" si="84"/>
        <v>1455.3301939042735</v>
      </c>
      <c r="AV50" s="11">
        <f t="shared" si="85"/>
        <v>1.6623573774260621E-3</v>
      </c>
      <c r="AW50" s="11">
        <f t="shared" si="86"/>
        <v>3.6885478983619832E-7</v>
      </c>
      <c r="AX50" s="41">
        <f t="shared" ca="1" si="87"/>
        <v>2.6053670757907321</v>
      </c>
      <c r="AY50" s="41">
        <f t="shared" ca="1" si="88"/>
        <v>3.5094812133499005</v>
      </c>
      <c r="AZ50" s="41">
        <f t="shared" si="89"/>
        <v>0.38092175475491041</v>
      </c>
      <c r="BA50" s="154">
        <f t="shared" ca="1" si="99"/>
        <v>0.7697553936273196</v>
      </c>
      <c r="BB50" s="156">
        <f t="shared" ca="1" si="100"/>
        <v>0.65644396710177155</v>
      </c>
      <c r="BC50" s="156">
        <f t="shared" ca="1" si="101"/>
        <v>0.328709859794861</v>
      </c>
    </row>
    <row r="51" spans="1:55" ht="14.5">
      <c r="A51" s="41">
        <f t="shared" ca="1" si="90"/>
        <v>291.90735676300153</v>
      </c>
      <c r="B51" s="41">
        <f t="shared" ca="1" si="52"/>
        <v>4.865122612716692</v>
      </c>
      <c r="C51" s="41">
        <f t="shared" ca="1" si="52"/>
        <v>8.1085376878611531E-2</v>
      </c>
      <c r="D51" s="41">
        <f t="shared" ca="1" si="91"/>
        <v>17009.892013417542</v>
      </c>
      <c r="E51" s="41">
        <f t="shared" ca="1" si="92"/>
        <v>23.304509952120512</v>
      </c>
      <c r="F51" s="7">
        <f t="shared" si="93"/>
        <v>15</v>
      </c>
      <c r="G51" s="41"/>
      <c r="H51" s="7">
        <f t="shared" si="94"/>
        <v>10000</v>
      </c>
      <c r="I51" s="6">
        <v>15</v>
      </c>
      <c r="J51" s="41">
        <f t="shared" si="54"/>
        <v>0.56312736305628042</v>
      </c>
      <c r="K51" s="41">
        <f t="shared" si="55"/>
        <v>623.43218751213556</v>
      </c>
      <c r="L51" s="6">
        <f t="shared" si="95"/>
        <v>312.5</v>
      </c>
      <c r="M51" s="41">
        <f t="shared" si="56"/>
        <v>369.37359618594013</v>
      </c>
      <c r="N51" s="41">
        <f t="shared" si="57"/>
        <v>323.0523029359008</v>
      </c>
      <c r="O51" s="41">
        <f t="shared" si="58"/>
        <v>2809688.5950590433</v>
      </c>
      <c r="P51" s="41">
        <f t="shared" si="59"/>
        <v>18040175.103968069</v>
      </c>
      <c r="Q51" s="41">
        <f t="shared" si="60"/>
        <v>2.6593181686088391E-3</v>
      </c>
      <c r="R51" s="41">
        <f t="shared" si="61"/>
        <v>2.1167684922673683E-2</v>
      </c>
      <c r="S51" s="24">
        <f t="shared" ca="1" si="96"/>
        <v>0</v>
      </c>
      <c r="T51" s="10">
        <f t="shared" ca="1" si="62"/>
        <v>0</v>
      </c>
      <c r="U51" s="41">
        <f t="shared" ca="1" si="63"/>
        <v>0.22892903582527424</v>
      </c>
      <c r="V51" s="41">
        <f t="shared" ca="1" si="64"/>
        <v>2.4477634281064028E-2</v>
      </c>
      <c r="W51" s="41">
        <f t="shared" ca="1" si="65"/>
        <v>9.3525801225968319</v>
      </c>
      <c r="X51" s="20">
        <f t="shared" ca="1" si="66"/>
        <v>1818.737908731712</v>
      </c>
      <c r="Y51" s="41">
        <f t="shared" si="67"/>
        <v>0.5789311072750698</v>
      </c>
      <c r="Z51" s="41">
        <f t="shared" ca="1" si="68"/>
        <v>192.54579550888295</v>
      </c>
      <c r="AA51" s="14">
        <f t="shared" ca="1" si="69"/>
        <v>1818.7379087317122</v>
      </c>
      <c r="AB51" s="14">
        <f t="shared" si="97"/>
        <v>4016.4588107467653</v>
      </c>
      <c r="AC51" s="25">
        <f t="shared" ca="1" si="70"/>
        <v>1133859.7529518581</v>
      </c>
      <c r="AD51" s="41">
        <f t="shared" si="71"/>
        <v>2503989.7024362464</v>
      </c>
      <c r="AE51" s="5">
        <f t="shared" ca="1" si="72"/>
        <v>45.282125235925449</v>
      </c>
      <c r="AF51" s="7">
        <f t="shared" ca="1" si="73"/>
        <v>1818.737908731712</v>
      </c>
      <c r="AG51" s="41">
        <f t="shared" ca="1" si="74"/>
        <v>2197.7209020150531</v>
      </c>
      <c r="AH51" s="41">
        <f t="shared" ca="1" si="75"/>
        <v>1370129.9494843883</v>
      </c>
      <c r="AI51" s="41">
        <f t="shared" ca="1" si="76"/>
        <v>1456.2849539739564</v>
      </c>
      <c r="AJ51" s="13">
        <f t="shared" ca="1" si="77"/>
        <v>0</v>
      </c>
      <c r="AK51" s="11"/>
      <c r="AL51" s="6">
        <v>0</v>
      </c>
      <c r="AM51" s="41">
        <f t="shared" si="78"/>
        <v>48.731149670316235</v>
      </c>
      <c r="AN51" s="41">
        <f t="shared" ca="1" si="79"/>
        <v>19.712900015204017</v>
      </c>
      <c r="AO51" s="6">
        <v>5</v>
      </c>
      <c r="AP51" s="67">
        <f t="shared" si="98"/>
        <v>0.80071182713153521</v>
      </c>
      <c r="AQ51" s="11">
        <f t="shared" si="80"/>
        <v>0.98330272071837588</v>
      </c>
      <c r="AR51" s="11">
        <f t="shared" si="81"/>
        <v>0.68770269343653956</v>
      </c>
      <c r="AS51" s="11">
        <f t="shared" si="82"/>
        <v>0.69938044403469313</v>
      </c>
      <c r="AT51" s="11">
        <f t="shared" si="83"/>
        <v>510.00962215499999</v>
      </c>
      <c r="AU51" s="11">
        <f t="shared" si="84"/>
        <v>1455.3301939042735</v>
      </c>
      <c r="AV51" s="11">
        <f t="shared" si="85"/>
        <v>1.6623573774260621E-3</v>
      </c>
      <c r="AW51" s="11">
        <f t="shared" si="86"/>
        <v>3.6885478983619832E-7</v>
      </c>
      <c r="AX51" s="41">
        <f t="shared" ca="1" si="87"/>
        <v>2.6081991070931645</v>
      </c>
      <c r="AY51" s="41">
        <f t="shared" ca="1" si="88"/>
        <v>3.5132960157797992</v>
      </c>
      <c r="AZ51" s="41">
        <f t="shared" si="89"/>
        <v>0.38092175475491041</v>
      </c>
      <c r="BA51" s="154">
        <f t="shared" ca="1" si="99"/>
        <v>0.76979897104103945</v>
      </c>
      <c r="BB51" s="156">
        <f t="shared" ca="1" si="100"/>
        <v>0.65651894213712525</v>
      </c>
      <c r="BC51" s="156">
        <f t="shared" ca="1" si="101"/>
        <v>0.32905924604819248</v>
      </c>
    </row>
    <row r="52" spans="1:55" ht="14.5">
      <c r="A52" s="41">
        <f t="shared" ca="1" si="90"/>
        <v>340.63850643331779</v>
      </c>
      <c r="B52" s="41">
        <f t="shared" ca="1" si="52"/>
        <v>5.6773084405552963</v>
      </c>
      <c r="C52" s="41">
        <f t="shared" ca="1" si="52"/>
        <v>9.4621807342588266E-2</v>
      </c>
      <c r="D52" s="41">
        <f t="shared" ca="1" si="91"/>
        <v>16990.179113402337</v>
      </c>
      <c r="E52" s="41">
        <f t="shared" ca="1" si="92"/>
        <v>28.304509952120512</v>
      </c>
      <c r="F52" s="7">
        <f t="shared" si="93"/>
        <v>20</v>
      </c>
      <c r="G52" s="41"/>
      <c r="H52" s="7">
        <f t="shared" si="94"/>
        <v>10000</v>
      </c>
      <c r="I52" s="6">
        <v>15</v>
      </c>
      <c r="J52" s="41">
        <f t="shared" si="54"/>
        <v>0.56312736305628042</v>
      </c>
      <c r="K52" s="41">
        <f t="shared" si="55"/>
        <v>623.43218751213556</v>
      </c>
      <c r="L52" s="6">
        <f t="shared" si="95"/>
        <v>312.5</v>
      </c>
      <c r="M52" s="41">
        <f t="shared" si="56"/>
        <v>369.37359618594013</v>
      </c>
      <c r="N52" s="41">
        <f t="shared" si="57"/>
        <v>323.0523029359008</v>
      </c>
      <c r="O52" s="41">
        <f t="shared" si="58"/>
        <v>2809688.5950590433</v>
      </c>
      <c r="P52" s="41">
        <f t="shared" si="59"/>
        <v>18040175.103968069</v>
      </c>
      <c r="Q52" s="41">
        <f t="shared" si="60"/>
        <v>2.6593181686088391E-3</v>
      </c>
      <c r="R52" s="41">
        <f t="shared" si="61"/>
        <v>2.1167684922673683E-2</v>
      </c>
      <c r="S52" s="24">
        <f t="shared" ca="1" si="96"/>
        <v>0</v>
      </c>
      <c r="T52" s="10">
        <f t="shared" ca="1" si="62"/>
        <v>0</v>
      </c>
      <c r="U52" s="41">
        <f t="shared" ca="1" si="63"/>
        <v>0.22866372813312422</v>
      </c>
      <c r="V52" s="41">
        <f t="shared" ca="1" si="64"/>
        <v>2.4469966872936441E-2</v>
      </c>
      <c r="W52" s="41">
        <f t="shared" ca="1" si="65"/>
        <v>9.3446684795484618</v>
      </c>
      <c r="X52" s="20">
        <f t="shared" ca="1" si="66"/>
        <v>1818.1682047454838</v>
      </c>
      <c r="Y52" s="41">
        <f t="shared" si="67"/>
        <v>0.5789311072750698</v>
      </c>
      <c r="Z52" s="41">
        <f t="shared" ca="1" si="68"/>
        <v>192.43419173302865</v>
      </c>
      <c r="AA52" s="14">
        <f t="shared" ca="1" si="69"/>
        <v>1818.1682047454838</v>
      </c>
      <c r="AB52" s="14">
        <f t="shared" si="97"/>
        <v>4016.4588107467653</v>
      </c>
      <c r="AC52" s="25">
        <f t="shared" ca="1" si="70"/>
        <v>1133504.5811494894</v>
      </c>
      <c r="AD52" s="41">
        <f t="shared" si="71"/>
        <v>2503989.7024362464</v>
      </c>
      <c r="AE52" s="5">
        <f t="shared" ca="1" si="72"/>
        <v>45.26794100018266</v>
      </c>
      <c r="AF52" s="7">
        <f t="shared" ca="1" si="73"/>
        <v>1818.1682047454838</v>
      </c>
      <c r="AG52" s="41">
        <f t="shared" ca="1" si="74"/>
        <v>2198.2906060012815</v>
      </c>
      <c r="AH52" s="41">
        <f t="shared" ca="1" si="75"/>
        <v>1370485.1212867571</v>
      </c>
      <c r="AI52" s="41">
        <f t="shared" ca="1" si="76"/>
        <v>1455.8287852542196</v>
      </c>
      <c r="AJ52" s="13">
        <f t="shared" ca="1" si="77"/>
        <v>0</v>
      </c>
      <c r="AK52" s="11"/>
      <c r="AL52" s="6">
        <v>0</v>
      </c>
      <c r="AM52" s="41">
        <f t="shared" si="78"/>
        <v>48.731149670316235</v>
      </c>
      <c r="AN52" s="41">
        <f t="shared" ca="1" si="79"/>
        <v>19.706725119049459</v>
      </c>
      <c r="AO52" s="6">
        <v>5</v>
      </c>
      <c r="AP52" s="67">
        <f t="shared" si="98"/>
        <v>0.80071182713153521</v>
      </c>
      <c r="AQ52" s="11">
        <f t="shared" si="80"/>
        <v>0.98330272071837588</v>
      </c>
      <c r="AR52" s="11">
        <f t="shared" si="81"/>
        <v>0.68770269343653956</v>
      </c>
      <c r="AS52" s="11">
        <f t="shared" si="82"/>
        <v>0.69938044403469313</v>
      </c>
      <c r="AT52" s="11">
        <f t="shared" si="83"/>
        <v>510.00962215499999</v>
      </c>
      <c r="AU52" s="11">
        <f t="shared" si="84"/>
        <v>1455.3301939042735</v>
      </c>
      <c r="AV52" s="11">
        <f t="shared" si="85"/>
        <v>1.6623573774260621E-3</v>
      </c>
      <c r="AW52" s="11">
        <f t="shared" si="86"/>
        <v>3.6885478983619832E-7</v>
      </c>
      <c r="AX52" s="41">
        <f t="shared" ca="1" si="87"/>
        <v>2.6110370483339702</v>
      </c>
      <c r="AY52" s="41">
        <f t="shared" ca="1" si="88"/>
        <v>3.517118779014103</v>
      </c>
      <c r="AZ52" s="41">
        <f t="shared" si="89"/>
        <v>0.38092175475491041</v>
      </c>
      <c r="BA52" s="154">
        <f t="shared" ca="1" si="99"/>
        <v>0.76984250812067812</v>
      </c>
      <c r="BB52" s="156">
        <f t="shared" ca="1" si="100"/>
        <v>0.65659378821363301</v>
      </c>
      <c r="BC52" s="156">
        <f t="shared" ca="1" si="101"/>
        <v>0.3294078509422711</v>
      </c>
    </row>
    <row r="53" spans="1:55" ht="14.5">
      <c r="A53" s="41">
        <f t="shared" ca="1" si="90"/>
        <v>389.36965610363404</v>
      </c>
      <c r="B53" s="41">
        <f t="shared" ca="1" si="52"/>
        <v>6.4894942683939005</v>
      </c>
      <c r="C53" s="41">
        <f t="shared" ca="1" si="52"/>
        <v>0.10815823780656501</v>
      </c>
      <c r="D53" s="41">
        <f t="shared" ca="1" si="91"/>
        <v>16970.472388283288</v>
      </c>
      <c r="E53" s="41">
        <f t="shared" ca="1" si="92"/>
        <v>33.304509952120512</v>
      </c>
      <c r="F53" s="7">
        <f t="shared" si="93"/>
        <v>25</v>
      </c>
      <c r="G53" s="41"/>
      <c r="H53" s="7">
        <f t="shared" si="94"/>
        <v>10000</v>
      </c>
      <c r="I53" s="6">
        <v>15</v>
      </c>
      <c r="J53" s="41">
        <f t="shared" si="54"/>
        <v>0.56312736305628042</v>
      </c>
      <c r="K53" s="41">
        <f t="shared" si="55"/>
        <v>623.43218751213556</v>
      </c>
      <c r="L53" s="6">
        <f t="shared" si="95"/>
        <v>312.5</v>
      </c>
      <c r="M53" s="41">
        <f t="shared" si="56"/>
        <v>369.37359618594013</v>
      </c>
      <c r="N53" s="41">
        <f t="shared" si="57"/>
        <v>323.0523029359008</v>
      </c>
      <c r="O53" s="41">
        <f t="shared" si="58"/>
        <v>2809688.5950590433</v>
      </c>
      <c r="P53" s="41">
        <f t="shared" si="59"/>
        <v>18040175.103968069</v>
      </c>
      <c r="Q53" s="41">
        <f t="shared" si="60"/>
        <v>2.6593181686088391E-3</v>
      </c>
      <c r="R53" s="41">
        <f t="shared" si="61"/>
        <v>2.1167684922673683E-2</v>
      </c>
      <c r="S53" s="24">
        <f t="shared" ca="1" si="96"/>
        <v>0</v>
      </c>
      <c r="T53" s="10">
        <f t="shared" ca="1" si="62"/>
        <v>0</v>
      </c>
      <c r="U53" s="41">
        <f t="shared" ca="1" si="63"/>
        <v>0.22839850354632382</v>
      </c>
      <c r="V53" s="41">
        <f t="shared" ca="1" si="64"/>
        <v>2.4462310753353884E-2</v>
      </c>
      <c r="W53" s="41">
        <f t="shared" ca="1" si="65"/>
        <v>9.3367509655648302</v>
      </c>
      <c r="X53" s="20">
        <f t="shared" ca="1" si="66"/>
        <v>1817.5993395210633</v>
      </c>
      <c r="Y53" s="41">
        <f t="shared" si="67"/>
        <v>0.5789311072750698</v>
      </c>
      <c r="Z53" s="41">
        <f t="shared" ca="1" si="68"/>
        <v>192.32255818344532</v>
      </c>
      <c r="AA53" s="14">
        <f t="shared" ca="1" si="69"/>
        <v>1817.5993395210635</v>
      </c>
      <c r="AB53" s="14">
        <f t="shared" si="97"/>
        <v>4016.4588107467653</v>
      </c>
      <c r="AC53" s="25">
        <f t="shared" ca="1" si="70"/>
        <v>1133149.9322582295</v>
      </c>
      <c r="AD53" s="41">
        <f t="shared" si="71"/>
        <v>2503989.7024362464</v>
      </c>
      <c r="AE53" s="5">
        <f t="shared" ca="1" si="72"/>
        <v>45.25377764755725</v>
      </c>
      <c r="AF53" s="7">
        <f t="shared" ca="1" si="73"/>
        <v>1817.5993395210633</v>
      </c>
      <c r="AG53" s="41">
        <f t="shared" ca="1" si="74"/>
        <v>2198.8594712257018</v>
      </c>
      <c r="AH53" s="41">
        <f t="shared" ca="1" si="75"/>
        <v>1370839.770178017</v>
      </c>
      <c r="AI53" s="41">
        <f t="shared" ca="1" si="76"/>
        <v>1455.3732881409821</v>
      </c>
      <c r="AJ53" s="13">
        <f t="shared" ca="1" si="77"/>
        <v>0</v>
      </c>
      <c r="AK53" s="11"/>
      <c r="AL53" s="6">
        <v>0</v>
      </c>
      <c r="AM53" s="41">
        <f t="shared" si="78"/>
        <v>48.731149670316235</v>
      </c>
      <c r="AN53" s="41">
        <f t="shared" ca="1" si="79"/>
        <v>19.700559314049578</v>
      </c>
      <c r="AO53" s="6">
        <v>5</v>
      </c>
      <c r="AP53" s="67">
        <f t="shared" si="98"/>
        <v>0.80071182713153521</v>
      </c>
      <c r="AQ53" s="11">
        <f t="shared" si="80"/>
        <v>0.98330272071837588</v>
      </c>
      <c r="AR53" s="11">
        <f t="shared" si="81"/>
        <v>0.68770269343653956</v>
      </c>
      <c r="AS53" s="11">
        <f t="shared" si="82"/>
        <v>0.69938044403469313</v>
      </c>
      <c r="AT53" s="11">
        <f t="shared" si="83"/>
        <v>510.00962215499999</v>
      </c>
      <c r="AU53" s="11">
        <f t="shared" si="84"/>
        <v>1455.3301939042735</v>
      </c>
      <c r="AV53" s="11">
        <f t="shared" si="85"/>
        <v>1.6623573774260621E-3</v>
      </c>
      <c r="AW53" s="11">
        <f t="shared" si="86"/>
        <v>3.6885478983619832E-7</v>
      </c>
      <c r="AX53" s="41">
        <f t="shared" ca="1" si="87"/>
        <v>2.6138809180746914</v>
      </c>
      <c r="AY53" s="41">
        <f t="shared" ca="1" si="88"/>
        <v>3.5209495280555778</v>
      </c>
      <c r="AZ53" s="41">
        <f t="shared" si="89"/>
        <v>0.38092175475491041</v>
      </c>
      <c r="BA53" s="154">
        <f t="shared" ca="1" si="99"/>
        <v>0.76988600490817671</v>
      </c>
      <c r="BB53" s="156">
        <f t="shared" ca="1" si="100"/>
        <v>0.65666850548075228</v>
      </c>
      <c r="BC53" s="156">
        <f t="shared" ca="1" si="101"/>
        <v>0.32975567610467138</v>
      </c>
    </row>
    <row r="54" spans="1:55" ht="14.5">
      <c r="A54" s="41">
        <f t="shared" ca="1" si="90"/>
        <v>438.1008057739503</v>
      </c>
      <c r="B54" s="41">
        <f t="shared" ca="1" si="52"/>
        <v>7.3016800962325048</v>
      </c>
      <c r="C54" s="41">
        <f t="shared" ca="1" si="52"/>
        <v>0.12169466827054175</v>
      </c>
      <c r="D54" s="41">
        <f t="shared" ca="1" si="91"/>
        <v>16950.771828969238</v>
      </c>
      <c r="E54" s="41">
        <f t="shared" ca="1" si="92"/>
        <v>38.304509952120512</v>
      </c>
      <c r="F54" s="7">
        <f t="shared" si="93"/>
        <v>30</v>
      </c>
      <c r="G54" s="41"/>
      <c r="H54" s="7">
        <f t="shared" si="94"/>
        <v>10000</v>
      </c>
      <c r="I54" s="6">
        <v>15</v>
      </c>
      <c r="J54" s="41">
        <f t="shared" si="54"/>
        <v>0.56312736305628042</v>
      </c>
      <c r="K54" s="41">
        <f t="shared" si="55"/>
        <v>623.43218751213556</v>
      </c>
      <c r="L54" s="6">
        <f t="shared" si="95"/>
        <v>312.5</v>
      </c>
      <c r="M54" s="41">
        <f t="shared" si="56"/>
        <v>369.37359618594013</v>
      </c>
      <c r="N54" s="41">
        <f t="shared" si="57"/>
        <v>323.0523029359008</v>
      </c>
      <c r="O54" s="41">
        <f t="shared" si="58"/>
        <v>2809688.5950590433</v>
      </c>
      <c r="P54" s="41">
        <f t="shared" si="59"/>
        <v>18040175.103968069</v>
      </c>
      <c r="Q54" s="41">
        <f t="shared" si="60"/>
        <v>2.6593181686088391E-3</v>
      </c>
      <c r="R54" s="41">
        <f t="shared" si="61"/>
        <v>2.1167684922673683E-2</v>
      </c>
      <c r="S54" s="24">
        <f t="shared" ca="1" si="96"/>
        <v>7.6855214067657942E-16</v>
      </c>
      <c r="T54" s="10">
        <f t="shared" ca="1" si="62"/>
        <v>7.6855214067657942E-16</v>
      </c>
      <c r="U54" s="41">
        <f t="shared" ca="1" si="63"/>
        <v>0.22813336194251904</v>
      </c>
      <c r="V54" s="41">
        <f t="shared" ca="1" si="64"/>
        <v>2.4454665910438121E-2</v>
      </c>
      <c r="W54" s="41">
        <f t="shared" ca="1" si="65"/>
        <v>9.3288275856242056</v>
      </c>
      <c r="X54" s="20">
        <f t="shared" ca="1" si="66"/>
        <v>1817.0313121758736</v>
      </c>
      <c r="Y54" s="41">
        <f t="shared" si="67"/>
        <v>0.5789311072750698</v>
      </c>
      <c r="Z54" s="41">
        <f t="shared" ca="1" si="68"/>
        <v>192.21089475671238</v>
      </c>
      <c r="AA54" s="14">
        <f t="shared" ca="1" si="69"/>
        <v>1817.0313121758738</v>
      </c>
      <c r="AB54" s="14">
        <f t="shared" si="97"/>
        <v>4016.4588107467653</v>
      </c>
      <c r="AC54" s="25">
        <f t="shared" ca="1" si="70"/>
        <v>1132795.8057278511</v>
      </c>
      <c r="AD54" s="41">
        <f t="shared" si="71"/>
        <v>2503989.7024362464</v>
      </c>
      <c r="AE54" s="5">
        <f t="shared" ca="1" si="72"/>
        <v>45.239635156075209</v>
      </c>
      <c r="AF54" s="7">
        <f t="shared" ca="1" si="73"/>
        <v>1817.0313121758738</v>
      </c>
      <c r="AG54" s="41">
        <f t="shared" ca="1" si="74"/>
        <v>2199.4274985708917</v>
      </c>
      <c r="AH54" s="41">
        <f t="shared" ca="1" si="75"/>
        <v>1371193.8967083953</v>
      </c>
      <c r="AI54" s="41">
        <f t="shared" ca="1" si="76"/>
        <v>1454.918461927555</v>
      </c>
      <c r="AJ54" s="13">
        <f t="shared" ca="1" si="77"/>
        <v>8.3625730612449826E-15</v>
      </c>
      <c r="AK54" s="11"/>
      <c r="AL54" s="6">
        <v>0</v>
      </c>
      <c r="AM54" s="41">
        <f t="shared" si="78"/>
        <v>48.731149670316235</v>
      </c>
      <c r="AN54" s="41">
        <f t="shared" ca="1" si="79"/>
        <v>19.694402590638326</v>
      </c>
      <c r="AO54" s="6">
        <v>5</v>
      </c>
      <c r="AP54" s="67">
        <f t="shared" si="98"/>
        <v>0.80071182713153521</v>
      </c>
      <c r="AQ54" s="11">
        <f t="shared" si="80"/>
        <v>0.98330272071837588</v>
      </c>
      <c r="AR54" s="11">
        <f t="shared" si="81"/>
        <v>0.68770269343653956</v>
      </c>
      <c r="AS54" s="11">
        <f t="shared" si="82"/>
        <v>0.69938044403469313</v>
      </c>
      <c r="AT54" s="11">
        <f t="shared" si="83"/>
        <v>510.00962215499999</v>
      </c>
      <c r="AU54" s="11">
        <f t="shared" si="84"/>
        <v>1455.3301939042735</v>
      </c>
      <c r="AV54" s="11">
        <f t="shared" si="85"/>
        <v>1.6623573774260621E-3</v>
      </c>
      <c r="AW54" s="11">
        <f t="shared" si="86"/>
        <v>3.6885478983619832E-7</v>
      </c>
      <c r="AX54" s="41">
        <f t="shared" ca="1" si="87"/>
        <v>2.6167307349555391</v>
      </c>
      <c r="AY54" s="41">
        <f t="shared" ca="1" si="88"/>
        <v>3.524788288012958</v>
      </c>
      <c r="AZ54" s="41">
        <f t="shared" si="89"/>
        <v>0.38092175475491041</v>
      </c>
      <c r="BA54" s="154">
        <f t="shared" ca="1" si="99"/>
        <v>0.76992946144504237</v>
      </c>
      <c r="BB54" s="156">
        <f t="shared" ca="1" si="100"/>
        <v>0.65674309408782516</v>
      </c>
      <c r="BC54" s="156">
        <f t="shared" ca="1" si="101"/>
        <v>0.33010272316103695</v>
      </c>
    </row>
    <row r="55" spans="1:55" ht="14.5">
      <c r="A55" s="41">
        <f t="shared" ca="1" si="90"/>
        <v>486.83195544426655</v>
      </c>
      <c r="B55" s="41">
        <f t="shared" ca="1" si="52"/>
        <v>8.11386592407111</v>
      </c>
      <c r="C55" s="41">
        <f t="shared" ca="1" si="52"/>
        <v>0.1352310987345185</v>
      </c>
      <c r="D55" s="41">
        <f t="shared" ca="1" si="91"/>
        <v>16931.077426378601</v>
      </c>
      <c r="E55" s="41">
        <f t="shared" ca="1" si="92"/>
        <v>43.304509952120512</v>
      </c>
      <c r="F55" s="7">
        <f t="shared" si="93"/>
        <v>35</v>
      </c>
      <c r="G55" s="41"/>
      <c r="H55" s="7">
        <f t="shared" si="94"/>
        <v>10000</v>
      </c>
      <c r="I55" s="6">
        <v>15</v>
      </c>
      <c r="J55" s="41">
        <f t="shared" si="54"/>
        <v>0.56312736305628042</v>
      </c>
      <c r="K55" s="41">
        <f t="shared" si="55"/>
        <v>623.43218751213556</v>
      </c>
      <c r="L55" s="6">
        <f t="shared" si="95"/>
        <v>312.5</v>
      </c>
      <c r="M55" s="41">
        <f t="shared" si="56"/>
        <v>369.37359618594013</v>
      </c>
      <c r="N55" s="41">
        <f t="shared" si="57"/>
        <v>323.0523029359008</v>
      </c>
      <c r="O55" s="41">
        <f t="shared" si="58"/>
        <v>2809688.5950590433</v>
      </c>
      <c r="P55" s="41">
        <f t="shared" si="59"/>
        <v>18040175.103968069</v>
      </c>
      <c r="Q55" s="41">
        <f t="shared" si="60"/>
        <v>2.6593181686088391E-3</v>
      </c>
      <c r="R55" s="41">
        <f t="shared" si="61"/>
        <v>2.1167684922673683E-2</v>
      </c>
      <c r="S55" s="24">
        <f t="shared" ca="1" si="96"/>
        <v>0</v>
      </c>
      <c r="T55" s="10">
        <f t="shared" ca="1" si="62"/>
        <v>0</v>
      </c>
      <c r="U55" s="41">
        <f t="shared" ca="1" si="63"/>
        <v>0.22786830319948451</v>
      </c>
      <c r="V55" s="41">
        <f t="shared" ca="1" si="64"/>
        <v>2.4447032332333623E-2</v>
      </c>
      <c r="W55" s="41">
        <f t="shared" ca="1" si="65"/>
        <v>9.3208983447085352</v>
      </c>
      <c r="X55" s="20">
        <f t="shared" ca="1" si="66"/>
        <v>1816.4641218290249</v>
      </c>
      <c r="Y55" s="41">
        <f t="shared" si="67"/>
        <v>0.5789311072750698</v>
      </c>
      <c r="Z55" s="41">
        <f t="shared" ca="1" si="68"/>
        <v>192.09920134920927</v>
      </c>
      <c r="AA55" s="14">
        <f t="shared" ca="1" si="69"/>
        <v>1816.4641218290249</v>
      </c>
      <c r="AB55" s="14">
        <f t="shared" si="97"/>
        <v>4016.4588107467653</v>
      </c>
      <c r="AC55" s="25">
        <f t="shared" ca="1" si="70"/>
        <v>1132442.2010091792</v>
      </c>
      <c r="AD55" s="41">
        <f t="shared" si="71"/>
        <v>2503989.7024362464</v>
      </c>
      <c r="AE55" s="5">
        <f t="shared" ca="1" si="72"/>
        <v>45.225513503804521</v>
      </c>
      <c r="AF55" s="7">
        <f t="shared" ca="1" si="73"/>
        <v>1816.4641218290249</v>
      </c>
      <c r="AG55" s="41">
        <f t="shared" ca="1" si="74"/>
        <v>2199.9946889177404</v>
      </c>
      <c r="AH55" s="41">
        <f t="shared" ca="1" si="75"/>
        <v>1371547.5014270672</v>
      </c>
      <c r="AI55" s="41">
        <f t="shared" ca="1" si="76"/>
        <v>1454.4643059085981</v>
      </c>
      <c r="AJ55" s="13">
        <f t="shared" ca="1" si="77"/>
        <v>0</v>
      </c>
      <c r="AK55" s="11"/>
      <c r="AL55" s="6">
        <v>0</v>
      </c>
      <c r="AM55" s="41">
        <f t="shared" si="78"/>
        <v>48.731149670316235</v>
      </c>
      <c r="AN55" s="41">
        <f t="shared" ca="1" si="79"/>
        <v>19.688254939267921</v>
      </c>
      <c r="AO55" s="6">
        <v>5</v>
      </c>
      <c r="AP55" s="67">
        <f t="shared" si="98"/>
        <v>0.80071182713153521</v>
      </c>
      <c r="AQ55" s="11">
        <f t="shared" si="80"/>
        <v>0.98330272071837588</v>
      </c>
      <c r="AR55" s="11">
        <f t="shared" si="81"/>
        <v>0.68770269343653956</v>
      </c>
      <c r="AS55" s="11">
        <f t="shared" si="82"/>
        <v>0.69938044403469313</v>
      </c>
      <c r="AT55" s="11">
        <f t="shared" si="83"/>
        <v>510.00962215499999</v>
      </c>
      <c r="AU55" s="11">
        <f t="shared" si="84"/>
        <v>1455.3301939042735</v>
      </c>
      <c r="AV55" s="11">
        <f t="shared" si="85"/>
        <v>1.6623573774260621E-3</v>
      </c>
      <c r="AW55" s="11">
        <f t="shared" si="86"/>
        <v>3.6885478983619832E-7</v>
      </c>
      <c r="AX55" s="41">
        <f t="shared" ca="1" si="87"/>
        <v>2.6195865176958155</v>
      </c>
      <c r="AY55" s="41">
        <f t="shared" ca="1" si="88"/>
        <v>3.5286350841015159</v>
      </c>
      <c r="AZ55" s="41">
        <f t="shared" si="89"/>
        <v>0.38092175475491041</v>
      </c>
      <c r="BA55" s="154">
        <f t="shared" ca="1" si="99"/>
        <v>0.7699728777723619</v>
      </c>
      <c r="BB55" s="156">
        <f t="shared" ca="1" si="100"/>
        <v>0.65681755418417775</v>
      </c>
      <c r="BC55" s="156">
        <f t="shared" ca="1" si="101"/>
        <v>0.33044899373516223</v>
      </c>
    </row>
    <row r="56" spans="1:55" ht="14.5">
      <c r="A56" s="41">
        <f t="shared" ca="1" si="90"/>
        <v>535.56310511458275</v>
      </c>
      <c r="B56" s="41">
        <f t="shared" ca="1" si="52"/>
        <v>8.9260517519097125</v>
      </c>
      <c r="C56" s="41">
        <f t="shared" ca="1" si="52"/>
        <v>0.1487675291984952</v>
      </c>
      <c r="D56" s="41">
        <f t="shared" ca="1" si="91"/>
        <v>16911.389171439332</v>
      </c>
      <c r="E56" s="41">
        <f t="shared" ca="1" si="92"/>
        <v>48.304509952120512</v>
      </c>
      <c r="F56" s="7">
        <f t="shared" si="93"/>
        <v>40</v>
      </c>
      <c r="G56" s="41"/>
      <c r="H56" s="7">
        <f t="shared" si="94"/>
        <v>10000</v>
      </c>
      <c r="I56" s="6">
        <v>15</v>
      </c>
      <c r="J56" s="41">
        <f t="shared" si="54"/>
        <v>0.56312736305628042</v>
      </c>
      <c r="K56" s="41">
        <f t="shared" si="55"/>
        <v>623.43218751213556</v>
      </c>
      <c r="L56" s="6">
        <f t="shared" si="95"/>
        <v>312.5</v>
      </c>
      <c r="M56" s="41">
        <f t="shared" si="56"/>
        <v>369.37359618594013</v>
      </c>
      <c r="N56" s="41">
        <f t="shared" si="57"/>
        <v>323.0523029359008</v>
      </c>
      <c r="O56" s="41">
        <f t="shared" si="58"/>
        <v>2809688.5950590433</v>
      </c>
      <c r="P56" s="41">
        <f t="shared" si="59"/>
        <v>18040175.103968069</v>
      </c>
      <c r="Q56" s="41">
        <f t="shared" si="60"/>
        <v>2.6593181686088391E-3</v>
      </c>
      <c r="R56" s="41">
        <f t="shared" si="61"/>
        <v>2.1167684922673683E-2</v>
      </c>
      <c r="S56" s="24">
        <f t="shared" ca="1" si="96"/>
        <v>0</v>
      </c>
      <c r="T56" s="10">
        <f t="shared" ca="1" si="62"/>
        <v>0</v>
      </c>
      <c r="U56" s="41">
        <f t="shared" ca="1" si="63"/>
        <v>0.22760332719512341</v>
      </c>
      <c r="V56" s="41">
        <f t="shared" ca="1" si="64"/>
        <v>2.4439410007207535E-2</v>
      </c>
      <c r="W56" s="41">
        <f t="shared" ca="1" si="65"/>
        <v>9.3129632478034416</v>
      </c>
      <c r="X56" s="20">
        <f t="shared" ca="1" si="66"/>
        <v>1815.8977676013117</v>
      </c>
      <c r="Y56" s="41">
        <f t="shared" si="67"/>
        <v>0.5789311072750698</v>
      </c>
      <c r="Z56" s="41">
        <f t="shared" ca="1" si="68"/>
        <v>191.98747785711441</v>
      </c>
      <c r="AA56" s="14">
        <f t="shared" ca="1" si="69"/>
        <v>1815.8977676013119</v>
      </c>
      <c r="AB56" s="14">
        <f t="shared" si="97"/>
        <v>4016.4588107467653</v>
      </c>
      <c r="AC56" s="25">
        <f t="shared" ca="1" si="70"/>
        <v>1132089.1175540895</v>
      </c>
      <c r="AD56" s="41">
        <f t="shared" si="71"/>
        <v>2503989.7024362464</v>
      </c>
      <c r="AE56" s="5">
        <f t="shared" ca="1" si="72"/>
        <v>45.211412668855147</v>
      </c>
      <c r="AF56" s="7">
        <f t="shared" ca="1" si="73"/>
        <v>1815.8977676013117</v>
      </c>
      <c r="AG56" s="41">
        <f t="shared" ca="1" si="74"/>
        <v>2200.5610431454534</v>
      </c>
      <c r="AH56" s="41">
        <f t="shared" ca="1" si="75"/>
        <v>1371900.5848821569</v>
      </c>
      <c r="AI56" s="41">
        <f t="shared" ca="1" si="76"/>
        <v>1454.0108193801223</v>
      </c>
      <c r="AJ56" s="13">
        <f t="shared" ca="1" si="77"/>
        <v>0</v>
      </c>
      <c r="AK56" s="11"/>
      <c r="AL56" s="6">
        <v>0</v>
      </c>
      <c r="AM56" s="41">
        <f t="shared" si="78"/>
        <v>48.731149670316235</v>
      </c>
      <c r="AN56" s="41">
        <f t="shared" ca="1" si="79"/>
        <v>19.682116350408858</v>
      </c>
      <c r="AO56" s="6">
        <v>5</v>
      </c>
      <c r="AP56" s="67">
        <f t="shared" si="98"/>
        <v>0.80071182713153521</v>
      </c>
      <c r="AQ56" s="11">
        <f t="shared" si="80"/>
        <v>0.98330272071837588</v>
      </c>
      <c r="AR56" s="11">
        <f t="shared" si="81"/>
        <v>0.68770269343653956</v>
      </c>
      <c r="AS56" s="11">
        <f t="shared" si="82"/>
        <v>0.69938044403469313</v>
      </c>
      <c r="AT56" s="11">
        <f t="shared" si="83"/>
        <v>510.00962215499999</v>
      </c>
      <c r="AU56" s="11">
        <f t="shared" si="84"/>
        <v>1455.3301939042735</v>
      </c>
      <c r="AV56" s="11">
        <f t="shared" si="85"/>
        <v>1.6623573774260621E-3</v>
      </c>
      <c r="AW56" s="11">
        <f t="shared" si="86"/>
        <v>3.6885478983619832E-7</v>
      </c>
      <c r="AX56" s="41">
        <f t="shared" ca="1" si="87"/>
        <v>2.6224482850943267</v>
      </c>
      <c r="AY56" s="41">
        <f t="shared" ca="1" si="88"/>
        <v>3.5324899416436164</v>
      </c>
      <c r="AZ56" s="41">
        <f t="shared" si="89"/>
        <v>0.38092175475491041</v>
      </c>
      <c r="BA56" s="154">
        <f t="shared" ca="1" si="99"/>
        <v>0.77001625393079032</v>
      </c>
      <c r="BB56" s="156">
        <f t="shared" ca="1" si="100"/>
        <v>0.65689188591906378</v>
      </c>
      <c r="BC56" s="156">
        <f t="shared" ca="1" si="101"/>
        <v>0.33079448944897649</v>
      </c>
    </row>
    <row r="57" spans="1:55" ht="14.5">
      <c r="A57" s="41">
        <f t="shared" ca="1" si="90"/>
        <v>584.29425478489895</v>
      </c>
      <c r="B57" s="41">
        <f t="shared" ca="1" si="52"/>
        <v>9.7382375797483167</v>
      </c>
      <c r="C57" s="41">
        <f t="shared" ca="1" si="52"/>
        <v>0.16230395966247194</v>
      </c>
      <c r="D57" s="41">
        <f t="shared" ca="1" si="91"/>
        <v>16891.707055088922</v>
      </c>
      <c r="E57" s="41">
        <f t="shared" ca="1" si="92"/>
        <v>53.304509952120512</v>
      </c>
      <c r="F57" s="7">
        <f t="shared" si="93"/>
        <v>45</v>
      </c>
      <c r="G57" s="41"/>
      <c r="H57" s="7">
        <f t="shared" si="94"/>
        <v>10000</v>
      </c>
      <c r="I57" s="6">
        <v>15</v>
      </c>
      <c r="J57" s="41">
        <f t="shared" si="54"/>
        <v>0.56312736305628042</v>
      </c>
      <c r="K57" s="41">
        <f t="shared" si="55"/>
        <v>623.43218751213556</v>
      </c>
      <c r="L57" s="6">
        <f t="shared" si="95"/>
        <v>312.5</v>
      </c>
      <c r="M57" s="41">
        <f t="shared" si="56"/>
        <v>369.37359618594013</v>
      </c>
      <c r="N57" s="41">
        <f t="shared" si="57"/>
        <v>323.0523029359008</v>
      </c>
      <c r="O57" s="41">
        <f t="shared" si="58"/>
        <v>2809688.5950590433</v>
      </c>
      <c r="P57" s="41">
        <f t="shared" si="59"/>
        <v>18040175.103968069</v>
      </c>
      <c r="Q57" s="41">
        <f t="shared" si="60"/>
        <v>2.6593181686088391E-3</v>
      </c>
      <c r="R57" s="41">
        <f t="shared" si="61"/>
        <v>2.1167684922673683E-2</v>
      </c>
      <c r="S57" s="24">
        <f t="shared" ca="1" si="96"/>
        <v>-7.7123951610028581E-16</v>
      </c>
      <c r="T57" s="10">
        <f t="shared" ca="1" si="62"/>
        <v>-7.7123951610028581E-16</v>
      </c>
      <c r="U57" s="41">
        <f t="shared" ca="1" si="63"/>
        <v>0.22733843380746724</v>
      </c>
      <c r="V57" s="41">
        <f t="shared" ca="1" si="64"/>
        <v>2.443179892324961E-2</v>
      </c>
      <c r="W57" s="41">
        <f t="shared" ca="1" si="65"/>
        <v>9.3050222998982317</v>
      </c>
      <c r="X57" s="20">
        <f t="shared" ca="1" si="66"/>
        <v>1815.3322486152092</v>
      </c>
      <c r="Y57" s="41">
        <f t="shared" si="67"/>
        <v>0.5789311072750698</v>
      </c>
      <c r="Z57" s="41">
        <f t="shared" ca="1" si="68"/>
        <v>191.87572417640442</v>
      </c>
      <c r="AA57" s="14">
        <f t="shared" ca="1" si="69"/>
        <v>1815.3322486152092</v>
      </c>
      <c r="AB57" s="14">
        <f t="shared" si="97"/>
        <v>4016.4588107467653</v>
      </c>
      <c r="AC57" s="25">
        <f t="shared" ca="1" si="70"/>
        <v>1131736.5548155038</v>
      </c>
      <c r="AD57" s="41">
        <f t="shared" si="71"/>
        <v>2503989.7024362464</v>
      </c>
      <c r="AE57" s="5">
        <f t="shared" ca="1" si="72"/>
        <v>45.197332629378842</v>
      </c>
      <c r="AF57" s="7">
        <f t="shared" ca="1" si="73"/>
        <v>1815.332248615209</v>
      </c>
      <c r="AG57" s="41">
        <f t="shared" ca="1" si="74"/>
        <v>2201.1265621315561</v>
      </c>
      <c r="AH57" s="41">
        <f t="shared" ca="1" si="75"/>
        <v>1372253.1476207427</v>
      </c>
      <c r="AI57" s="41">
        <f t="shared" ca="1" si="76"/>
        <v>1453.5580016394824</v>
      </c>
      <c r="AJ57" s="13">
        <f t="shared" ca="1" si="77"/>
        <v>-8.3918142436375727E-15</v>
      </c>
      <c r="AK57" s="11"/>
      <c r="AL57" s="6">
        <v>0</v>
      </c>
      <c r="AM57" s="41">
        <f t="shared" si="78"/>
        <v>48.731149670316235</v>
      </c>
      <c r="AN57" s="41">
        <f t="shared" ca="1" si="79"/>
        <v>19.67598681454983</v>
      </c>
      <c r="AO57" s="6">
        <v>5</v>
      </c>
      <c r="AP57" s="67">
        <f t="shared" si="98"/>
        <v>0.80071182713153521</v>
      </c>
      <c r="AQ57" s="11">
        <f t="shared" si="80"/>
        <v>0.98330272071837588</v>
      </c>
      <c r="AR57" s="11">
        <f t="shared" si="81"/>
        <v>0.68770269343653956</v>
      </c>
      <c r="AS57" s="11">
        <f t="shared" si="82"/>
        <v>0.69938044403469313</v>
      </c>
      <c r="AT57" s="11">
        <f t="shared" si="83"/>
        <v>510.00962215499999</v>
      </c>
      <c r="AU57" s="11">
        <f t="shared" si="84"/>
        <v>1455.3301939042735</v>
      </c>
      <c r="AV57" s="11">
        <f t="shared" si="85"/>
        <v>1.6623573774260621E-3</v>
      </c>
      <c r="AW57" s="11">
        <f t="shared" si="86"/>
        <v>3.6885478983619832E-7</v>
      </c>
      <c r="AX57" s="41">
        <f t="shared" ca="1" si="87"/>
        <v>2.6253160560297988</v>
      </c>
      <c r="AY57" s="41">
        <f t="shared" ca="1" si="88"/>
        <v>3.5363528860692788</v>
      </c>
      <c r="AZ57" s="41">
        <f t="shared" si="89"/>
        <v>0.38092175475491041</v>
      </c>
      <c r="BA57" s="154">
        <f t="shared" ca="1" si="99"/>
        <v>0.77005958996056256</v>
      </c>
      <c r="BB57" s="156">
        <f t="shared" ca="1" si="100"/>
        <v>0.65696608944166934</v>
      </c>
      <c r="BC57" s="156">
        <f t="shared" ca="1" si="101"/>
        <v>0.33113921192244433</v>
      </c>
    </row>
    <row r="58" spans="1:55" ht="14.5">
      <c r="A58" s="41">
        <f t="shared" ca="1" si="90"/>
        <v>633.02540445521515</v>
      </c>
      <c r="B58" s="41">
        <f t="shared" ca="1" si="52"/>
        <v>10.550423407586919</v>
      </c>
      <c r="C58" s="41">
        <f t="shared" ca="1" si="52"/>
        <v>0.17584039012644864</v>
      </c>
      <c r="D58" s="41">
        <f t="shared" ca="1" si="91"/>
        <v>16872.031068274373</v>
      </c>
      <c r="E58" s="41">
        <f t="shared" ca="1" si="92"/>
        <v>58.304509952120512</v>
      </c>
      <c r="F58" s="7">
        <f t="shared" si="93"/>
        <v>50</v>
      </c>
      <c r="G58" s="41"/>
      <c r="H58" s="7">
        <f t="shared" si="94"/>
        <v>10000</v>
      </c>
      <c r="I58" s="6">
        <v>15</v>
      </c>
      <c r="J58" s="41">
        <f t="shared" si="54"/>
        <v>0.56312736305628042</v>
      </c>
      <c r="K58" s="41">
        <f t="shared" si="55"/>
        <v>623.43218751213556</v>
      </c>
      <c r="L58" s="6">
        <f t="shared" si="95"/>
        <v>312.5</v>
      </c>
      <c r="M58" s="41">
        <f t="shared" si="56"/>
        <v>369.37359618594013</v>
      </c>
      <c r="N58" s="41">
        <f t="shared" si="57"/>
        <v>323.0523029359008</v>
      </c>
      <c r="O58" s="41">
        <f t="shared" si="58"/>
        <v>2809688.5950590433</v>
      </c>
      <c r="P58" s="41">
        <f t="shared" si="59"/>
        <v>18040175.103968069</v>
      </c>
      <c r="Q58" s="41">
        <f t="shared" si="60"/>
        <v>2.6593181686088391E-3</v>
      </c>
      <c r="R58" s="41">
        <f t="shared" si="61"/>
        <v>2.1167684922673683E-2</v>
      </c>
      <c r="S58" s="24">
        <f t="shared" ca="1" si="96"/>
        <v>-7.7213892758715666E-16</v>
      </c>
      <c r="T58" s="10">
        <f t="shared" ca="1" si="62"/>
        <v>-7.7213892758715666E-16</v>
      </c>
      <c r="U58" s="41">
        <f t="shared" ca="1" si="63"/>
        <v>0.22707362291467542</v>
      </c>
      <c r="V58" s="41">
        <f t="shared" ca="1" si="64"/>
        <v>2.4424199068672207E-2</v>
      </c>
      <c r="W58" s="41">
        <f t="shared" ca="1" si="65"/>
        <v>9.2970755059858767</v>
      </c>
      <c r="X58" s="20">
        <f t="shared" ca="1" si="66"/>
        <v>1814.7675639948714</v>
      </c>
      <c r="Y58" s="41">
        <f t="shared" si="67"/>
        <v>0.5789311072750698</v>
      </c>
      <c r="Z58" s="41">
        <f t="shared" ca="1" si="68"/>
        <v>191.76394020285329</v>
      </c>
      <c r="AA58" s="14">
        <f t="shared" ca="1" si="69"/>
        <v>1814.7675639948711</v>
      </c>
      <c r="AB58" s="14">
        <f t="shared" si="97"/>
        <v>4016.4588107467653</v>
      </c>
      <c r="AC58" s="25">
        <f t="shared" ca="1" si="70"/>
        <v>1131384.512247392</v>
      </c>
      <c r="AD58" s="41">
        <f t="shared" si="71"/>
        <v>2503989.7024362464</v>
      </c>
      <c r="AE58" s="5">
        <f t="shared" ca="1" si="72"/>
        <v>45.183273363569192</v>
      </c>
      <c r="AF58" s="7">
        <f t="shared" ca="1" si="73"/>
        <v>1814.7675639948711</v>
      </c>
      <c r="AG58" s="41">
        <f t="shared" ca="1" si="74"/>
        <v>2201.6912467518941</v>
      </c>
      <c r="AH58" s="41">
        <f t="shared" ca="1" si="75"/>
        <v>1372605.1901888545</v>
      </c>
      <c r="AI58" s="41">
        <f t="shared" ca="1" si="76"/>
        <v>1453.1058519853784</v>
      </c>
      <c r="AJ58" s="13">
        <f t="shared" ca="1" si="77"/>
        <v>-8.4016006899604715E-15</v>
      </c>
      <c r="AK58" s="11"/>
      <c r="AL58" s="6">
        <v>0</v>
      </c>
      <c r="AM58" s="41">
        <f t="shared" si="78"/>
        <v>48.731149670316235</v>
      </c>
      <c r="AN58" s="41">
        <f t="shared" ca="1" si="79"/>
        <v>19.669866322197741</v>
      </c>
      <c r="AO58" s="6">
        <v>5</v>
      </c>
      <c r="AP58" s="67">
        <f t="shared" si="98"/>
        <v>0.80071182713153521</v>
      </c>
      <c r="AQ58" s="11">
        <f t="shared" si="80"/>
        <v>0.98330272071837588</v>
      </c>
      <c r="AR58" s="11">
        <f t="shared" si="81"/>
        <v>0.68770269343653956</v>
      </c>
      <c r="AS58" s="11">
        <f t="shared" si="82"/>
        <v>0.69938044403469313</v>
      </c>
      <c r="AT58" s="11">
        <f t="shared" si="83"/>
        <v>510.00962215499999</v>
      </c>
      <c r="AU58" s="11">
        <f t="shared" si="84"/>
        <v>1455.3301939042735</v>
      </c>
      <c r="AV58" s="11">
        <f t="shared" si="85"/>
        <v>1.6623573774260621E-3</v>
      </c>
      <c r="AW58" s="11">
        <f t="shared" si="86"/>
        <v>3.6885478983619832E-7</v>
      </c>
      <c r="AX58" s="41">
        <f t="shared" ca="1" si="87"/>
        <v>2.6281898494613141</v>
      </c>
      <c r="AY58" s="41">
        <f t="shared" ca="1" si="88"/>
        <v>3.5402239429167635</v>
      </c>
      <c r="AZ58" s="41">
        <f t="shared" si="89"/>
        <v>0.38092175475491041</v>
      </c>
      <c r="BA58" s="154">
        <f t="shared" ca="1" si="99"/>
        <v>0.77010288590149056</v>
      </c>
      <c r="BB58" s="156">
        <f t="shared" ca="1" si="100"/>
        <v>0.65704016490112649</v>
      </c>
      <c r="BC58" s="156">
        <f t="shared" ca="1" si="101"/>
        <v>0.33148316277359946</v>
      </c>
    </row>
    <row r="59" spans="1:55" ht="14.5">
      <c r="A59" s="41">
        <f t="shared" ca="1" si="90"/>
        <v>681.75655412553135</v>
      </c>
      <c r="B59" s="41">
        <f t="shared" ca="1" si="52"/>
        <v>11.362609235425522</v>
      </c>
      <c r="C59" s="41">
        <f t="shared" ca="1" si="52"/>
        <v>0.18937682059042535</v>
      </c>
      <c r="D59" s="41">
        <f t="shared" ca="1" si="91"/>
        <v>16852.361201952175</v>
      </c>
      <c r="E59" s="41">
        <f t="shared" ca="1" si="92"/>
        <v>63.304509952120512</v>
      </c>
      <c r="F59" s="7">
        <f t="shared" si="93"/>
        <v>55</v>
      </c>
      <c r="G59" s="41"/>
      <c r="H59" s="7">
        <f t="shared" si="94"/>
        <v>10000</v>
      </c>
      <c r="I59" s="6">
        <v>15</v>
      </c>
      <c r="J59" s="41">
        <f t="shared" si="54"/>
        <v>0.56312736305628042</v>
      </c>
      <c r="K59" s="41">
        <f t="shared" si="55"/>
        <v>623.43218751213556</v>
      </c>
      <c r="L59" s="6">
        <f t="shared" si="95"/>
        <v>312.5</v>
      </c>
      <c r="M59" s="41">
        <f t="shared" si="56"/>
        <v>369.37359618594013</v>
      </c>
      <c r="N59" s="41">
        <f t="shared" si="57"/>
        <v>323.0523029359008</v>
      </c>
      <c r="O59" s="41">
        <f t="shared" si="58"/>
        <v>2809688.5950590433</v>
      </c>
      <c r="P59" s="41">
        <f t="shared" si="59"/>
        <v>18040175.103968069</v>
      </c>
      <c r="Q59" s="41">
        <f t="shared" si="60"/>
        <v>2.6593181686088391E-3</v>
      </c>
      <c r="R59" s="41">
        <f t="shared" si="61"/>
        <v>2.1167684922673683E-2</v>
      </c>
      <c r="S59" s="24">
        <f t="shared" ca="1" si="96"/>
        <v>0</v>
      </c>
      <c r="T59" s="10">
        <f t="shared" ca="1" si="62"/>
        <v>0</v>
      </c>
      <c r="U59" s="41">
        <f t="shared" ca="1" si="63"/>
        <v>0.22680889439503515</v>
      </c>
      <c r="V59" s="41">
        <f t="shared" ca="1" si="64"/>
        <v>2.4416610431710215E-2</v>
      </c>
      <c r="W59" s="41">
        <f t="shared" ca="1" si="65"/>
        <v>9.2891228710630145</v>
      </c>
      <c r="X59" s="20">
        <f t="shared" ca="1" si="66"/>
        <v>1814.2037128661266</v>
      </c>
      <c r="Y59" s="41">
        <f t="shared" si="67"/>
        <v>0.5789311072750698</v>
      </c>
      <c r="Z59" s="41">
        <f t="shared" ca="1" si="68"/>
        <v>191.65212583203152</v>
      </c>
      <c r="AA59" s="14">
        <f t="shared" ca="1" si="69"/>
        <v>1814.2037128661266</v>
      </c>
      <c r="AB59" s="14">
        <f t="shared" si="97"/>
        <v>4016.4588107467653</v>
      </c>
      <c r="AC59" s="25">
        <f t="shared" ca="1" si="70"/>
        <v>1131032.9893047675</v>
      </c>
      <c r="AD59" s="41">
        <f t="shared" si="71"/>
        <v>2503989.7024362464</v>
      </c>
      <c r="AE59" s="5">
        <f t="shared" ca="1" si="72"/>
        <v>45.169234849661471</v>
      </c>
      <c r="AF59" s="7">
        <f t="shared" ca="1" si="73"/>
        <v>1814.2037128661266</v>
      </c>
      <c r="AG59" s="41">
        <f t="shared" ca="1" si="74"/>
        <v>2202.2550978806385</v>
      </c>
      <c r="AH59" s="41">
        <f t="shared" ca="1" si="75"/>
        <v>1372956.713131479</v>
      </c>
      <c r="AI59" s="41">
        <f t="shared" ca="1" si="76"/>
        <v>1452.6543697178513</v>
      </c>
      <c r="AJ59" s="13">
        <f t="shared" ca="1" si="77"/>
        <v>0</v>
      </c>
      <c r="AK59" s="11"/>
      <c r="AL59" s="6">
        <v>0</v>
      </c>
      <c r="AM59" s="41">
        <f t="shared" si="78"/>
        <v>48.731149670316235</v>
      </c>
      <c r="AN59" s="41">
        <f t="shared" ca="1" si="79"/>
        <v>19.663754863877642</v>
      </c>
      <c r="AO59" s="6">
        <v>5</v>
      </c>
      <c r="AP59" s="67">
        <f t="shared" si="98"/>
        <v>0.80071182713153521</v>
      </c>
      <c r="AQ59" s="11">
        <f t="shared" si="80"/>
        <v>0.98330272071837588</v>
      </c>
      <c r="AR59" s="11">
        <f t="shared" si="81"/>
        <v>0.68770269343653956</v>
      </c>
      <c r="AS59" s="11">
        <f t="shared" si="82"/>
        <v>0.69938044403469313</v>
      </c>
      <c r="AT59" s="11">
        <f t="shared" si="83"/>
        <v>510.00962215499999</v>
      </c>
      <c r="AU59" s="11">
        <f t="shared" si="84"/>
        <v>1455.3301939042735</v>
      </c>
      <c r="AV59" s="11">
        <f t="shared" si="85"/>
        <v>1.6623573774260621E-3</v>
      </c>
      <c r="AW59" s="11">
        <f t="shared" si="86"/>
        <v>3.6885478983619832E-7</v>
      </c>
      <c r="AX59" s="41">
        <f t="shared" ca="1" si="87"/>
        <v>2.6310696844287214</v>
      </c>
      <c r="AY59" s="41">
        <f t="shared" ca="1" si="88"/>
        <v>3.5441031378331256</v>
      </c>
      <c r="AZ59" s="41">
        <f t="shared" si="89"/>
        <v>0.38092175475491041</v>
      </c>
      <c r="BA59" s="154">
        <f t="shared" ca="1" si="99"/>
        <v>0.7701461417929647</v>
      </c>
      <c r="BB59" s="156">
        <f t="shared" ca="1" si="100"/>
        <v>0.65711411244650764</v>
      </c>
      <c r="BC59" s="156">
        <f t="shared" ca="1" si="101"/>
        <v>0.33182634361849317</v>
      </c>
    </row>
    <row r="60" spans="1:55" ht="14.5">
      <c r="A60" s="41">
        <f t="shared" ca="1" si="90"/>
        <v>730.48770379584755</v>
      </c>
      <c r="B60" s="41">
        <f t="shared" ca="1" si="52"/>
        <v>12.174795063264126</v>
      </c>
      <c r="C60" s="41">
        <f t="shared" ca="1" si="52"/>
        <v>0.20291325105440211</v>
      </c>
      <c r="D60" s="41">
        <f t="shared" ca="1" si="91"/>
        <v>16832.697447088296</v>
      </c>
      <c r="E60" s="41">
        <f t="shared" ca="1" si="92"/>
        <v>68.304509952120512</v>
      </c>
      <c r="F60" s="7">
        <f t="shared" si="93"/>
        <v>60</v>
      </c>
      <c r="G60" s="41"/>
      <c r="H60" s="7">
        <f t="shared" si="94"/>
        <v>10000</v>
      </c>
      <c r="I60" s="6">
        <v>15</v>
      </c>
      <c r="J60" s="41">
        <f t="shared" si="54"/>
        <v>0.56312736305628042</v>
      </c>
      <c r="K60" s="41">
        <f t="shared" si="55"/>
        <v>623.43218751213556</v>
      </c>
      <c r="L60" s="6">
        <f t="shared" si="95"/>
        <v>312.5</v>
      </c>
      <c r="M60" s="41">
        <f t="shared" si="56"/>
        <v>369.37359618594013</v>
      </c>
      <c r="N60" s="41">
        <f t="shared" si="57"/>
        <v>323.0523029359008</v>
      </c>
      <c r="O60" s="41">
        <f t="shared" si="58"/>
        <v>2809688.5950590433</v>
      </c>
      <c r="P60" s="41">
        <f t="shared" si="59"/>
        <v>18040175.103968069</v>
      </c>
      <c r="Q60" s="41">
        <f t="shared" si="60"/>
        <v>2.6593181686088391E-3</v>
      </c>
      <c r="R60" s="41">
        <f t="shared" si="61"/>
        <v>2.1167684922673683E-2</v>
      </c>
      <c r="S60" s="24">
        <f t="shared" ca="1" si="96"/>
        <v>-7.7394321475956064E-16</v>
      </c>
      <c r="T60" s="10">
        <f t="shared" ca="1" si="62"/>
        <v>-7.7394321475956064E-16</v>
      </c>
      <c r="U60" s="41">
        <f t="shared" ca="1" si="63"/>
        <v>0.22654424812696117</v>
      </c>
      <c r="V60" s="41">
        <f t="shared" ca="1" si="64"/>
        <v>2.4409033000621028E-2</v>
      </c>
      <c r="W60" s="41">
        <f t="shared" ca="1" si="65"/>
        <v>9.2811644001299562</v>
      </c>
      <c r="X60" s="20">
        <f t="shared" ca="1" si="66"/>
        <v>1813.6406943564757</v>
      </c>
      <c r="Y60" s="41">
        <f t="shared" si="67"/>
        <v>0.5789311072750698</v>
      </c>
      <c r="Z60" s="41">
        <f t="shared" ca="1" si="68"/>
        <v>191.54028095930514</v>
      </c>
      <c r="AA60" s="14">
        <f t="shared" ca="1" si="69"/>
        <v>1813.6406943564755</v>
      </c>
      <c r="AB60" s="14">
        <f t="shared" si="97"/>
        <v>4016.4588107467653</v>
      </c>
      <c r="AC60" s="25">
        <f t="shared" ca="1" si="70"/>
        <v>1130681.9854436859</v>
      </c>
      <c r="AD60" s="41">
        <f t="shared" si="71"/>
        <v>2503989.7024362464</v>
      </c>
      <c r="AE60" s="5">
        <f t="shared" ca="1" si="72"/>
        <v>45.155217065932561</v>
      </c>
      <c r="AF60" s="7">
        <f t="shared" ca="1" si="73"/>
        <v>1813.6406943564755</v>
      </c>
      <c r="AG60" s="41">
        <f t="shared" ca="1" si="74"/>
        <v>2202.81811639029</v>
      </c>
      <c r="AH60" s="41">
        <f t="shared" ca="1" si="75"/>
        <v>1373307.7169925605</v>
      </c>
      <c r="AI60" s="41">
        <f t="shared" ca="1" si="76"/>
        <v>1452.2035541382797</v>
      </c>
      <c r="AJ60" s="13">
        <f t="shared" ca="1" si="77"/>
        <v>-8.4212330382477498E-15</v>
      </c>
      <c r="AK60" s="11"/>
      <c r="AL60" s="6">
        <v>0</v>
      </c>
      <c r="AM60" s="41">
        <f t="shared" si="78"/>
        <v>48.731149670316235</v>
      </c>
      <c r="AN60" s="41">
        <f t="shared" ca="1" si="79"/>
        <v>19.657652430132693</v>
      </c>
      <c r="AO60" s="6">
        <v>5</v>
      </c>
      <c r="AP60" s="67">
        <f t="shared" si="98"/>
        <v>0.80071182713153521</v>
      </c>
      <c r="AQ60" s="11">
        <f t="shared" si="80"/>
        <v>0.98330272071837588</v>
      </c>
      <c r="AR60" s="11">
        <f t="shared" si="81"/>
        <v>0.68770269343653956</v>
      </c>
      <c r="AS60" s="11">
        <f t="shared" si="82"/>
        <v>0.69938044403469313</v>
      </c>
      <c r="AT60" s="11">
        <f t="shared" si="83"/>
        <v>510.00962215499999</v>
      </c>
      <c r="AU60" s="11">
        <f t="shared" si="84"/>
        <v>1455.3301939042735</v>
      </c>
      <c r="AV60" s="11">
        <f t="shared" si="85"/>
        <v>1.6623573774260621E-3</v>
      </c>
      <c r="AW60" s="11">
        <f t="shared" si="86"/>
        <v>3.6885478983619832E-7</v>
      </c>
      <c r="AX60" s="41">
        <f t="shared" ca="1" si="87"/>
        <v>2.6339555800530778</v>
      </c>
      <c r="AY60" s="41">
        <f t="shared" ca="1" si="88"/>
        <v>3.5479904965748084</v>
      </c>
      <c r="AZ60" s="41">
        <f t="shared" si="89"/>
        <v>0.38092175475491041</v>
      </c>
      <c r="BA60" s="154">
        <f t="shared" ca="1" si="99"/>
        <v>0.77018935767396168</v>
      </c>
      <c r="BB60" s="156">
        <f t="shared" ca="1" si="100"/>
        <v>0.65718793222682037</v>
      </c>
      <c r="BC60" s="156">
        <f t="shared" ca="1" si="101"/>
        <v>0.33216875607125473</v>
      </c>
    </row>
    <row r="61" spans="1:55" ht="14.5">
      <c r="A61" s="41">
        <f t="shared" ca="1" si="90"/>
        <v>779.21885346616375</v>
      </c>
      <c r="B61" s="41">
        <f t="shared" ca="1" si="52"/>
        <v>12.986980891102728</v>
      </c>
      <c r="C61" s="41">
        <f t="shared" ca="1" si="52"/>
        <v>0.21644968151837882</v>
      </c>
      <c r="D61" s="41">
        <f t="shared" ca="1" si="91"/>
        <v>16813.039794658162</v>
      </c>
      <c r="E61" s="41">
        <f t="shared" ca="1" si="92"/>
        <v>73.304509952120512</v>
      </c>
      <c r="F61" s="7">
        <f t="shared" si="93"/>
        <v>65</v>
      </c>
      <c r="G61" s="41"/>
      <c r="H61" s="7">
        <f t="shared" si="94"/>
        <v>10000</v>
      </c>
      <c r="I61" s="6">
        <v>15</v>
      </c>
      <c r="J61" s="41">
        <f t="shared" si="54"/>
        <v>0.56312736305628042</v>
      </c>
      <c r="K61" s="41">
        <f t="shared" si="55"/>
        <v>623.43218751213556</v>
      </c>
      <c r="L61" s="6">
        <f t="shared" si="95"/>
        <v>312.5</v>
      </c>
      <c r="M61" s="41">
        <f t="shared" si="56"/>
        <v>369.37359618594013</v>
      </c>
      <c r="N61" s="41">
        <f t="shared" si="57"/>
        <v>323.0523029359008</v>
      </c>
      <c r="O61" s="41">
        <f t="shared" si="58"/>
        <v>2809688.5950590433</v>
      </c>
      <c r="P61" s="41">
        <f t="shared" si="59"/>
        <v>18040175.103968069</v>
      </c>
      <c r="Q61" s="41">
        <f t="shared" si="60"/>
        <v>2.6593181686088391E-3</v>
      </c>
      <c r="R61" s="41">
        <f t="shared" si="61"/>
        <v>2.1167684922673683E-2</v>
      </c>
      <c r="S61" s="24">
        <f t="shared" ca="1" si="96"/>
        <v>-7.7484810209119227E-16</v>
      </c>
      <c r="T61" s="10">
        <f t="shared" ca="1" si="62"/>
        <v>-7.7484810209119227E-16</v>
      </c>
      <c r="U61" s="41">
        <f t="shared" ca="1" si="63"/>
        <v>0.22627968398899548</v>
      </c>
      <c r="V61" s="41">
        <f t="shared" ca="1" si="64"/>
        <v>2.4401466763684508E-2</v>
      </c>
      <c r="W61" s="41">
        <f t="shared" ca="1" si="65"/>
        <v>9.2732000981906673</v>
      </c>
      <c r="X61" s="20">
        <f t="shared" ca="1" si="66"/>
        <v>1813.0785075950882</v>
      </c>
      <c r="Y61" s="41">
        <f t="shared" si="67"/>
        <v>0.5789311072750698</v>
      </c>
      <c r="Z61" s="41">
        <f t="shared" ca="1" si="68"/>
        <v>191.42840547983494</v>
      </c>
      <c r="AA61" s="14">
        <f t="shared" ca="1" si="69"/>
        <v>1813.0785075950882</v>
      </c>
      <c r="AB61" s="14">
        <f t="shared" si="97"/>
        <v>4016.4588107467653</v>
      </c>
      <c r="AC61" s="25">
        <f t="shared" ca="1" si="70"/>
        <v>1130331.500121244</v>
      </c>
      <c r="AD61" s="41">
        <f t="shared" si="71"/>
        <v>2503989.7024362464</v>
      </c>
      <c r="AE61" s="5">
        <f t="shared" ca="1" si="72"/>
        <v>45.141219990700939</v>
      </c>
      <c r="AF61" s="7">
        <f t="shared" ca="1" si="73"/>
        <v>1813.078507595088</v>
      </c>
      <c r="AG61" s="41">
        <f t="shared" ca="1" si="74"/>
        <v>2203.3803031516773</v>
      </c>
      <c r="AH61" s="41">
        <f t="shared" ca="1" si="75"/>
        <v>1373658.2023150024</v>
      </c>
      <c r="AI61" s="41">
        <f t="shared" ca="1" si="76"/>
        <v>1451.7534045493799</v>
      </c>
      <c r="AJ61" s="13">
        <f t="shared" ca="1" si="77"/>
        <v>-8.4310790669326784E-15</v>
      </c>
      <c r="AK61" s="11"/>
      <c r="AL61" s="6">
        <v>0</v>
      </c>
      <c r="AM61" s="41">
        <f t="shared" si="78"/>
        <v>48.731149670316235</v>
      </c>
      <c r="AN61" s="41">
        <f t="shared" ca="1" si="79"/>
        <v>19.651559011524164</v>
      </c>
      <c r="AO61" s="6">
        <v>5</v>
      </c>
      <c r="AP61" s="67">
        <f t="shared" si="98"/>
        <v>0.80071182713153521</v>
      </c>
      <c r="AQ61" s="11">
        <f t="shared" si="80"/>
        <v>0.98330272071837588</v>
      </c>
      <c r="AR61" s="11">
        <f t="shared" si="81"/>
        <v>0.68770269343653956</v>
      </c>
      <c r="AS61" s="11">
        <f t="shared" si="82"/>
        <v>0.69938044403469313</v>
      </c>
      <c r="AT61" s="11">
        <f t="shared" si="83"/>
        <v>510.00962215499999</v>
      </c>
      <c r="AU61" s="11">
        <f t="shared" si="84"/>
        <v>1455.3301939042735</v>
      </c>
      <c r="AV61" s="11">
        <f t="shared" si="85"/>
        <v>1.6623573774260621E-3</v>
      </c>
      <c r="AW61" s="11">
        <f t="shared" si="86"/>
        <v>3.6885478983619832E-7</v>
      </c>
      <c r="AX61" s="41">
        <f t="shared" ca="1" si="87"/>
        <v>2.6368475555370701</v>
      </c>
      <c r="AY61" s="41">
        <f t="shared" ca="1" si="88"/>
        <v>3.5518860450082124</v>
      </c>
      <c r="AZ61" s="41">
        <f t="shared" si="89"/>
        <v>0.38092175475491041</v>
      </c>
      <c r="BA61" s="154">
        <f t="shared" ca="1" si="99"/>
        <v>0.77023253358303623</v>
      </c>
      <c r="BB61" s="156">
        <f t="shared" ca="1" si="100"/>
        <v>0.65726162439100633</v>
      </c>
      <c r="BC61" s="156">
        <f t="shared" ca="1" si="101"/>
        <v>0.33251040174388713</v>
      </c>
    </row>
    <row r="62" spans="1:55" ht="14.5">
      <c r="A62" s="41">
        <f t="shared" ca="1" si="90"/>
        <v>827.95000313647995</v>
      </c>
      <c r="B62" s="41">
        <f t="shared" ca="1" si="52"/>
        <v>13.799166718941333</v>
      </c>
      <c r="C62" s="41">
        <f t="shared" ca="1" si="52"/>
        <v>0.22998611198235555</v>
      </c>
      <c r="D62" s="41">
        <f t="shared" ca="1" si="91"/>
        <v>16793.388235646638</v>
      </c>
      <c r="E62" s="41">
        <f t="shared" ca="1" si="92"/>
        <v>78.304509952120512</v>
      </c>
      <c r="F62" s="7">
        <f t="shared" si="93"/>
        <v>70</v>
      </c>
      <c r="G62" s="41"/>
      <c r="H62" s="7">
        <f t="shared" si="94"/>
        <v>10000</v>
      </c>
      <c r="I62" s="6">
        <v>15</v>
      </c>
      <c r="J62" s="41">
        <f t="shared" si="54"/>
        <v>0.56312736305628042</v>
      </c>
      <c r="K62" s="41">
        <f t="shared" si="55"/>
        <v>623.43218751213556</v>
      </c>
      <c r="L62" s="6">
        <f t="shared" si="95"/>
        <v>312.5</v>
      </c>
      <c r="M62" s="41">
        <f t="shared" si="56"/>
        <v>369.37359618594013</v>
      </c>
      <c r="N62" s="41">
        <f t="shared" si="57"/>
        <v>323.0523029359008</v>
      </c>
      <c r="O62" s="41">
        <f t="shared" si="58"/>
        <v>2809688.5950590433</v>
      </c>
      <c r="P62" s="41">
        <f t="shared" si="59"/>
        <v>18040175.103968069</v>
      </c>
      <c r="Q62" s="41">
        <f t="shared" si="60"/>
        <v>2.6593181686088391E-3</v>
      </c>
      <c r="R62" s="41">
        <f t="shared" si="61"/>
        <v>2.1167684922673683E-2</v>
      </c>
      <c r="S62" s="24">
        <f t="shared" ca="1" si="96"/>
        <v>0</v>
      </c>
      <c r="T62" s="10">
        <f t="shared" ca="1" si="62"/>
        <v>0</v>
      </c>
      <c r="U62" s="41">
        <f t="shared" ca="1" si="63"/>
        <v>0.2260152018598072</v>
      </c>
      <c r="V62" s="41">
        <f t="shared" ca="1" si="64"/>
        <v>2.4393911709202926E-2</v>
      </c>
      <c r="W62" s="41">
        <f t="shared" ca="1" si="65"/>
        <v>9.2652299702527809</v>
      </c>
      <c r="X62" s="20">
        <f t="shared" ca="1" si="66"/>
        <v>1812.5171517127997</v>
      </c>
      <c r="Y62" s="41">
        <f t="shared" si="67"/>
        <v>0.5789311072750698</v>
      </c>
      <c r="Z62" s="41">
        <f t="shared" ca="1" si="68"/>
        <v>191.31649928857578</v>
      </c>
      <c r="AA62" s="14">
        <f t="shared" ca="1" si="69"/>
        <v>1812.5171517127997</v>
      </c>
      <c r="AB62" s="14">
        <f t="shared" si="97"/>
        <v>4016.4588107467653</v>
      </c>
      <c r="AC62" s="25">
        <f t="shared" ca="1" si="70"/>
        <v>1129981.5327955759</v>
      </c>
      <c r="AD62" s="41">
        <f t="shared" si="71"/>
        <v>2503989.7024362464</v>
      </c>
      <c r="AE62" s="5">
        <f t="shared" ca="1" si="72"/>
        <v>45.12724360232653</v>
      </c>
      <c r="AF62" s="7">
        <f t="shared" ca="1" si="73"/>
        <v>1812.5171517127997</v>
      </c>
      <c r="AG62" s="41">
        <f t="shared" ca="1" si="74"/>
        <v>2203.9416590339656</v>
      </c>
      <c r="AH62" s="41">
        <f t="shared" ca="1" si="75"/>
        <v>1374008.1696406705</v>
      </c>
      <c r="AI62" s="41">
        <f t="shared" ca="1" si="76"/>
        <v>1451.3039202552018</v>
      </c>
      <c r="AJ62" s="13">
        <f t="shared" ca="1" si="77"/>
        <v>0</v>
      </c>
      <c r="AK62" s="11"/>
      <c r="AL62" s="6">
        <v>0</v>
      </c>
      <c r="AM62" s="41">
        <f t="shared" si="78"/>
        <v>48.731149670316235</v>
      </c>
      <c r="AN62" s="41">
        <f t="shared" ca="1" si="79"/>
        <v>19.64547459863137</v>
      </c>
      <c r="AO62" s="6">
        <v>5</v>
      </c>
      <c r="AP62" s="67">
        <f t="shared" si="98"/>
        <v>0.80071182713153521</v>
      </c>
      <c r="AQ62" s="11">
        <f t="shared" si="80"/>
        <v>0.98330272071837588</v>
      </c>
      <c r="AR62" s="11">
        <f t="shared" si="81"/>
        <v>0.68770269343653956</v>
      </c>
      <c r="AS62" s="11">
        <f t="shared" si="82"/>
        <v>0.69938044403469313</v>
      </c>
      <c r="AT62" s="11">
        <f t="shared" si="83"/>
        <v>510.00962215499999</v>
      </c>
      <c r="AU62" s="11">
        <f t="shared" si="84"/>
        <v>1455.3301939042735</v>
      </c>
      <c r="AV62" s="11">
        <f t="shared" si="85"/>
        <v>1.6623573774260621E-3</v>
      </c>
      <c r="AW62" s="11">
        <f t="shared" si="86"/>
        <v>3.6885478983619832E-7</v>
      </c>
      <c r="AX62" s="41">
        <f t="shared" ca="1" si="87"/>
        <v>2.6397456301654554</v>
      </c>
      <c r="AY62" s="41">
        <f t="shared" ca="1" si="88"/>
        <v>3.5557898091102893</v>
      </c>
      <c r="AZ62" s="41">
        <f t="shared" si="89"/>
        <v>0.38092175475491041</v>
      </c>
      <c r="BA62" s="154">
        <f t="shared" ca="1" si="99"/>
        <v>0.77027566955833093</v>
      </c>
      <c r="BB62" s="156">
        <f t="shared" ca="1" si="100"/>
        <v>0.65733518908795119</v>
      </c>
      <c r="BC62" s="156">
        <f t="shared" ca="1" si="101"/>
        <v>0.33285128224645355</v>
      </c>
    </row>
    <row r="63" spans="1:55" ht="14.5">
      <c r="A63" s="41">
        <f t="shared" ca="1" si="90"/>
        <v>876.68115280679615</v>
      </c>
      <c r="B63" s="41">
        <f t="shared" ca="1" si="52"/>
        <v>14.611352546779935</v>
      </c>
      <c r="C63" s="41">
        <f t="shared" ca="1" si="52"/>
        <v>0.24352254244633226</v>
      </c>
      <c r="D63" s="41">
        <f t="shared" ca="1" si="91"/>
        <v>16773.742761048008</v>
      </c>
      <c r="E63" s="41">
        <f t="shared" ca="1" si="92"/>
        <v>83.304509952120512</v>
      </c>
      <c r="F63" s="7">
        <f t="shared" si="93"/>
        <v>75</v>
      </c>
      <c r="G63" s="41"/>
      <c r="H63" s="7">
        <f t="shared" si="94"/>
        <v>10000</v>
      </c>
      <c r="I63" s="6">
        <v>15</v>
      </c>
      <c r="J63" s="41">
        <f t="shared" si="54"/>
        <v>0.56312736305628042</v>
      </c>
      <c r="K63" s="41">
        <f t="shared" si="55"/>
        <v>623.43218751213556</v>
      </c>
      <c r="L63" s="6">
        <f t="shared" si="95"/>
        <v>312.5</v>
      </c>
      <c r="M63" s="41">
        <f t="shared" si="56"/>
        <v>369.37359618594013</v>
      </c>
      <c r="N63" s="41">
        <f t="shared" si="57"/>
        <v>323.0523029359008</v>
      </c>
      <c r="O63" s="41">
        <f t="shared" si="58"/>
        <v>2809688.5950590433</v>
      </c>
      <c r="P63" s="41">
        <f t="shared" si="59"/>
        <v>18040175.103968069</v>
      </c>
      <c r="Q63" s="41">
        <f t="shared" si="60"/>
        <v>2.6593181686088391E-3</v>
      </c>
      <c r="R63" s="41">
        <f t="shared" si="61"/>
        <v>2.1167684922673683E-2</v>
      </c>
      <c r="S63" s="24">
        <f t="shared" ca="1" si="96"/>
        <v>1.5533267870933553E-15</v>
      </c>
      <c r="T63" s="10">
        <f t="shared" ca="1" si="62"/>
        <v>1.5533267870933553E-15</v>
      </c>
      <c r="U63" s="41">
        <f t="shared" ca="1" si="63"/>
        <v>0.22575080161819211</v>
      </c>
      <c r="V63" s="41">
        <f t="shared" ca="1" si="64"/>
        <v>2.4386367825500951E-2</v>
      </c>
      <c r="W63" s="41">
        <f t="shared" ca="1" si="65"/>
        <v>9.2572540213275758</v>
      </c>
      <c r="X63" s="20">
        <f t="shared" ca="1" si="66"/>
        <v>1811.9566258421087</v>
      </c>
      <c r="Y63" s="41">
        <f t="shared" si="67"/>
        <v>0.5789311072750698</v>
      </c>
      <c r="Z63" s="41">
        <f t="shared" ca="1" si="68"/>
        <v>191.20456228027533</v>
      </c>
      <c r="AA63" s="14">
        <f t="shared" ca="1" si="69"/>
        <v>1811.9566258421089</v>
      </c>
      <c r="AB63" s="14">
        <f t="shared" si="97"/>
        <v>4016.4588107467653</v>
      </c>
      <c r="AC63" s="25">
        <f t="shared" ca="1" si="70"/>
        <v>1129632.082925854</v>
      </c>
      <c r="AD63" s="41">
        <f t="shared" si="71"/>
        <v>2503989.7024362464</v>
      </c>
      <c r="AE63" s="5">
        <f t="shared" ca="1" si="72"/>
        <v>45.11328787921066</v>
      </c>
      <c r="AF63" s="7">
        <f t="shared" ca="1" si="73"/>
        <v>1811.9566258421091</v>
      </c>
      <c r="AG63" s="41">
        <f t="shared" ca="1" si="74"/>
        <v>2204.5021849046561</v>
      </c>
      <c r="AH63" s="41">
        <f t="shared" ca="1" si="75"/>
        <v>1374357.6195103924</v>
      </c>
      <c r="AI63" s="41">
        <f t="shared" ca="1" si="76"/>
        <v>1450.8551005611266</v>
      </c>
      <c r="AJ63" s="13">
        <f t="shared" ca="1" si="77"/>
        <v>1.6901662304423222E-14</v>
      </c>
      <c r="AK63" s="11"/>
      <c r="AL63" s="6">
        <v>0</v>
      </c>
      <c r="AM63" s="41">
        <f t="shared" si="78"/>
        <v>48.731149670316235</v>
      </c>
      <c r="AN63" s="41">
        <f t="shared" ca="1" si="79"/>
        <v>19.639399182051658</v>
      </c>
      <c r="AO63" s="6">
        <v>5</v>
      </c>
      <c r="AP63" s="67">
        <f t="shared" si="98"/>
        <v>0.80071182713153521</v>
      </c>
      <c r="AQ63" s="11">
        <f t="shared" si="80"/>
        <v>0.98330272071837588</v>
      </c>
      <c r="AR63" s="11">
        <f t="shared" si="81"/>
        <v>0.68770269343653956</v>
      </c>
      <c r="AS63" s="11">
        <f t="shared" si="82"/>
        <v>0.69938044403469313</v>
      </c>
      <c r="AT63" s="11">
        <f t="shared" si="83"/>
        <v>510.00962215499999</v>
      </c>
      <c r="AU63" s="11">
        <f t="shared" si="84"/>
        <v>1455.3301939042735</v>
      </c>
      <c r="AV63" s="11">
        <f t="shared" si="85"/>
        <v>1.6623573774260621E-3</v>
      </c>
      <c r="AW63" s="11">
        <f t="shared" si="86"/>
        <v>3.6885478983619832E-7</v>
      </c>
      <c r="AX63" s="41">
        <f t="shared" ca="1" si="87"/>
        <v>2.6426498233054949</v>
      </c>
      <c r="AY63" s="41">
        <f t="shared" ca="1" si="88"/>
        <v>3.5597018149691237</v>
      </c>
      <c r="AZ63" s="41">
        <f t="shared" si="89"/>
        <v>0.38092175475491041</v>
      </c>
      <c r="BA63" s="154">
        <f t="shared" ca="1" si="99"/>
        <v>0.77031876563757173</v>
      </c>
      <c r="BB63" s="156">
        <f t="shared" ca="1" si="100"/>
        <v>0.65740862646647413</v>
      </c>
      <c r="BC63" s="156">
        <f t="shared" ca="1" si="101"/>
        <v>0.3331913991869353</v>
      </c>
    </row>
    <row r="64" spans="1:55" ht="14.5">
      <c r="A64" s="41">
        <f t="shared" ca="1" si="90"/>
        <v>925.41230247711235</v>
      </c>
      <c r="B64" s="41">
        <f t="shared" ref="B64:C68" ca="1" si="102">A64/60</f>
        <v>15.423538374618539</v>
      </c>
      <c r="C64" s="41">
        <f t="shared" ca="1" si="102"/>
        <v>0.25705897291030899</v>
      </c>
      <c r="D64" s="41">
        <f t="shared" ca="1" si="91"/>
        <v>16754.103361865957</v>
      </c>
      <c r="E64" s="41">
        <f t="shared" ca="1" si="92"/>
        <v>88.304509952120512</v>
      </c>
      <c r="F64" s="7">
        <f t="shared" si="93"/>
        <v>80</v>
      </c>
      <c r="G64" s="41"/>
      <c r="H64" s="7">
        <f t="shared" si="94"/>
        <v>10000</v>
      </c>
      <c r="I64" s="6">
        <v>15</v>
      </c>
      <c r="J64" s="41">
        <f t="shared" si="54"/>
        <v>0.56312736305628042</v>
      </c>
      <c r="K64" s="41">
        <f t="shared" si="55"/>
        <v>623.43218751213556</v>
      </c>
      <c r="L64" s="6">
        <f t="shared" si="95"/>
        <v>312.5</v>
      </c>
      <c r="M64" s="41">
        <f t="shared" si="56"/>
        <v>369.37359618594013</v>
      </c>
      <c r="N64" s="41">
        <f t="shared" si="57"/>
        <v>323.0523029359008</v>
      </c>
      <c r="O64" s="41">
        <f t="shared" si="58"/>
        <v>2809688.5950590433</v>
      </c>
      <c r="P64" s="41">
        <f t="shared" si="59"/>
        <v>18040175.103968069</v>
      </c>
      <c r="Q64" s="41">
        <f t="shared" si="60"/>
        <v>2.6593181686088391E-3</v>
      </c>
      <c r="R64" s="41">
        <f t="shared" si="61"/>
        <v>2.1167684922673683E-2</v>
      </c>
      <c r="S64" s="24">
        <f t="shared" ca="1" si="96"/>
        <v>0</v>
      </c>
      <c r="T64" s="10">
        <f t="shared" ca="1" si="62"/>
        <v>0</v>
      </c>
      <c r="U64" s="41">
        <f t="shared" ca="1" si="63"/>
        <v>0.22548648314307254</v>
      </c>
      <c r="V64" s="41">
        <f t="shared" ca="1" si="64"/>
        <v>2.4378835100925565E-2</v>
      </c>
      <c r="W64" s="41">
        <f t="shared" ca="1" si="65"/>
        <v>9.249272256429995</v>
      </c>
      <c r="X64" s="20">
        <f t="shared" ca="1" si="66"/>
        <v>1811.3969291171729</v>
      </c>
      <c r="Y64" s="41">
        <f t="shared" si="67"/>
        <v>0.5789311072750698</v>
      </c>
      <c r="Z64" s="41">
        <f t="shared" ca="1" si="68"/>
        <v>191.09259434947336</v>
      </c>
      <c r="AA64" s="14">
        <f t="shared" ca="1" si="69"/>
        <v>1811.3969291171729</v>
      </c>
      <c r="AB64" s="14">
        <f t="shared" si="97"/>
        <v>4016.4588107467653</v>
      </c>
      <c r="AC64" s="25">
        <f t="shared" ca="1" si="70"/>
        <v>1129283.149972284</v>
      </c>
      <c r="AD64" s="41">
        <f t="shared" si="71"/>
        <v>2503989.7024362464</v>
      </c>
      <c r="AE64" s="5">
        <f t="shared" ca="1" si="72"/>
        <v>45.099352799795959</v>
      </c>
      <c r="AF64" s="7">
        <f t="shared" ca="1" si="73"/>
        <v>1811.3969291171729</v>
      </c>
      <c r="AG64" s="41">
        <f t="shared" ca="1" si="74"/>
        <v>2205.0618816295923</v>
      </c>
      <c r="AH64" s="41">
        <f t="shared" ca="1" si="75"/>
        <v>1374706.5524639625</v>
      </c>
      <c r="AI64" s="41">
        <f t="shared" ca="1" si="76"/>
        <v>1450.4069447738634</v>
      </c>
      <c r="AJ64" s="13">
        <f t="shared" ca="1" si="77"/>
        <v>0</v>
      </c>
      <c r="AK64" s="11"/>
      <c r="AL64" s="6">
        <v>0</v>
      </c>
      <c r="AM64" s="41">
        <f t="shared" si="78"/>
        <v>48.731149670316235</v>
      </c>
      <c r="AN64" s="41">
        <f t="shared" ca="1" si="79"/>
        <v>19.633332752400342</v>
      </c>
      <c r="AO64" s="6">
        <v>5</v>
      </c>
      <c r="AP64" s="67">
        <f t="shared" si="98"/>
        <v>0.80071182713153521</v>
      </c>
      <c r="AQ64" s="11">
        <f t="shared" si="80"/>
        <v>0.98330272071837588</v>
      </c>
      <c r="AR64" s="11">
        <f t="shared" si="81"/>
        <v>0.68770269343653956</v>
      </c>
      <c r="AS64" s="11">
        <f t="shared" si="82"/>
        <v>0.69938044403469313</v>
      </c>
      <c r="AT64" s="11">
        <f t="shared" si="83"/>
        <v>510.00962215499999</v>
      </c>
      <c r="AU64" s="11">
        <f t="shared" si="84"/>
        <v>1455.3301939042735</v>
      </c>
      <c r="AV64" s="11">
        <f t="shared" si="85"/>
        <v>1.6623573774260621E-3</v>
      </c>
      <c r="AW64" s="11">
        <f t="shared" si="86"/>
        <v>3.6885478983619832E-7</v>
      </c>
      <c r="AX64" s="41">
        <f t="shared" ca="1" si="87"/>
        <v>2.6455601544073972</v>
      </c>
      <c r="AY64" s="41">
        <f t="shared" ca="1" si="88"/>
        <v>3.563622088784534</v>
      </c>
      <c r="AZ64" s="41">
        <f t="shared" si="89"/>
        <v>0.38092175475491041</v>
      </c>
      <c r="BA64" s="154">
        <f t="shared" ca="1" si="99"/>
        <v>0.77036182185807833</v>
      </c>
      <c r="BB64" s="156">
        <f t="shared" ca="1" si="100"/>
        <v>0.65748193667533661</v>
      </c>
      <c r="BC64" s="156">
        <f t="shared" ca="1" si="101"/>
        <v>0.33353075417126021</v>
      </c>
    </row>
    <row r="65" spans="1:55" ht="14.5">
      <c r="A65" s="41">
        <f t="shared" ca="1" si="90"/>
        <v>974.14345214742855</v>
      </c>
      <c r="B65" s="41">
        <f t="shared" ca="1" si="102"/>
        <v>16.235724202457142</v>
      </c>
      <c r="C65" s="41">
        <f t="shared" ca="1" si="102"/>
        <v>0.27059540337428573</v>
      </c>
      <c r="D65" s="41">
        <f t="shared" ca="1" si="91"/>
        <v>16734.470029113556</v>
      </c>
      <c r="E65" s="41">
        <f t="shared" ca="1" si="92"/>
        <v>93.304509952120512</v>
      </c>
      <c r="F65" s="7">
        <f t="shared" si="93"/>
        <v>85</v>
      </c>
      <c r="G65" s="41"/>
      <c r="H65" s="7">
        <f t="shared" si="94"/>
        <v>10000</v>
      </c>
      <c r="I65" s="6">
        <v>15</v>
      </c>
      <c r="J65" s="41">
        <f t="shared" si="54"/>
        <v>0.56312736305628042</v>
      </c>
      <c r="K65" s="41">
        <f t="shared" si="55"/>
        <v>623.43218751213556</v>
      </c>
      <c r="L65" s="6">
        <f t="shared" si="95"/>
        <v>312.5</v>
      </c>
      <c r="M65" s="41">
        <f t="shared" si="56"/>
        <v>369.37359618594013</v>
      </c>
      <c r="N65" s="41">
        <f t="shared" si="57"/>
        <v>323.0523029359008</v>
      </c>
      <c r="O65" s="41">
        <f t="shared" si="58"/>
        <v>2809688.5950590433</v>
      </c>
      <c r="P65" s="41">
        <f t="shared" si="59"/>
        <v>18040175.103968069</v>
      </c>
      <c r="Q65" s="41">
        <f t="shared" si="60"/>
        <v>2.6593181686088391E-3</v>
      </c>
      <c r="R65" s="41">
        <f t="shared" si="61"/>
        <v>2.1167684922673683E-2</v>
      </c>
      <c r="S65" s="24">
        <f t="shared" ca="1" si="96"/>
        <v>0</v>
      </c>
      <c r="T65" s="10">
        <f t="shared" ca="1" si="62"/>
        <v>0</v>
      </c>
      <c r="U65" s="41">
        <f t="shared" ca="1" si="63"/>
        <v>0.22522224631349724</v>
      </c>
      <c r="V65" s="41">
        <f t="shared" ca="1" si="64"/>
        <v>2.4371313523846076E-2</v>
      </c>
      <c r="W65" s="41">
        <f t="shared" ca="1" si="65"/>
        <v>9.2412846805786177</v>
      </c>
      <c r="X65" s="20">
        <f t="shared" ca="1" si="66"/>
        <v>1810.8380606738081</v>
      </c>
      <c r="Y65" s="41">
        <f t="shared" si="67"/>
        <v>0.5789311072750698</v>
      </c>
      <c r="Z65" s="41">
        <f t="shared" ca="1" si="68"/>
        <v>190.98059539050107</v>
      </c>
      <c r="AA65" s="14">
        <f t="shared" ca="1" si="69"/>
        <v>1810.8380606738081</v>
      </c>
      <c r="AB65" s="14">
        <f t="shared" si="97"/>
        <v>4016.4588107467653</v>
      </c>
      <c r="AC65" s="25">
        <f t="shared" ca="1" si="70"/>
        <v>1128934.7333961055</v>
      </c>
      <c r="AD65" s="41">
        <f t="shared" si="71"/>
        <v>2503989.7024362464</v>
      </c>
      <c r="AE65" s="5">
        <f t="shared" ca="1" si="72"/>
        <v>45.085438342566384</v>
      </c>
      <c r="AF65" s="7">
        <f t="shared" ca="1" si="73"/>
        <v>1810.8380606738081</v>
      </c>
      <c r="AG65" s="41">
        <f t="shared" ca="1" si="74"/>
        <v>2205.620750072957</v>
      </c>
      <c r="AH65" s="41">
        <f t="shared" ca="1" si="75"/>
        <v>1375054.969040141</v>
      </c>
      <c r="AI65" s="41">
        <f t="shared" ca="1" si="76"/>
        <v>1449.9594522014506</v>
      </c>
      <c r="AJ65" s="13">
        <f t="shared" ca="1" si="77"/>
        <v>0</v>
      </c>
      <c r="AK65" s="11"/>
      <c r="AL65" s="6">
        <v>0</v>
      </c>
      <c r="AM65" s="41">
        <f t="shared" si="78"/>
        <v>48.731149670316235</v>
      </c>
      <c r="AN65" s="41">
        <f t="shared" ca="1" si="79"/>
        <v>19.627275300310732</v>
      </c>
      <c r="AO65" s="6">
        <v>5</v>
      </c>
      <c r="AP65" s="67">
        <f t="shared" si="98"/>
        <v>0.80071182713153521</v>
      </c>
      <c r="AQ65" s="11">
        <f t="shared" si="80"/>
        <v>0.98330272071837588</v>
      </c>
      <c r="AR65" s="11">
        <f t="shared" si="81"/>
        <v>0.68770269343653956</v>
      </c>
      <c r="AS65" s="11">
        <f t="shared" si="82"/>
        <v>0.69938044403469313</v>
      </c>
      <c r="AT65" s="11">
        <f t="shared" si="83"/>
        <v>510.00962215499999</v>
      </c>
      <c r="AU65" s="11">
        <f t="shared" si="84"/>
        <v>1455.3301939042735</v>
      </c>
      <c r="AV65" s="11">
        <f t="shared" si="85"/>
        <v>1.6623573774260621E-3</v>
      </c>
      <c r="AW65" s="11">
        <f t="shared" si="86"/>
        <v>3.6885478983619832E-7</v>
      </c>
      <c r="AX65" s="41">
        <f t="shared" ca="1" si="87"/>
        <v>2.6484766430047553</v>
      </c>
      <c r="AY65" s="41">
        <f t="shared" ca="1" si="88"/>
        <v>3.5675506568686575</v>
      </c>
      <c r="AZ65" s="41">
        <f t="shared" si="89"/>
        <v>0.38092175475491041</v>
      </c>
      <c r="BA65" s="154">
        <f t="shared" ca="1" si="99"/>
        <v>0.77040483825675599</v>
      </c>
      <c r="BB65" s="156">
        <f t="shared" ca="1" si="100"/>
        <v>0.65755511986323045</v>
      </c>
      <c r="BC65" s="156">
        <f t="shared" ca="1" si="101"/>
        <v>0.33386934880321206</v>
      </c>
    </row>
    <row r="66" spans="1:55" ht="14.5">
      <c r="A66" s="41">
        <f t="shared" ca="1" si="90"/>
        <v>1022.8746018177447</v>
      </c>
      <c r="B66" s="41">
        <f t="shared" ca="1" si="102"/>
        <v>17.047910030295746</v>
      </c>
      <c r="C66" s="41">
        <f t="shared" ca="1" si="102"/>
        <v>0.28413183383826246</v>
      </c>
      <c r="D66" s="41">
        <f t="shared" ca="1" si="91"/>
        <v>16714.842753813246</v>
      </c>
      <c r="E66" s="41">
        <f t="shared" ca="1" si="92"/>
        <v>98.304509952120512</v>
      </c>
      <c r="F66" s="7">
        <f t="shared" si="93"/>
        <v>90</v>
      </c>
      <c r="G66" s="41"/>
      <c r="H66" s="7">
        <f t="shared" si="94"/>
        <v>10000</v>
      </c>
      <c r="I66" s="6">
        <v>15</v>
      </c>
      <c r="J66" s="41">
        <f t="shared" si="54"/>
        <v>0.56312736305628042</v>
      </c>
      <c r="K66" s="41">
        <f t="shared" si="55"/>
        <v>623.43218751213556</v>
      </c>
      <c r="L66" s="6">
        <f t="shared" si="95"/>
        <v>312.5</v>
      </c>
      <c r="M66" s="41">
        <f t="shared" si="56"/>
        <v>369.37359618594013</v>
      </c>
      <c r="N66" s="41">
        <f t="shared" si="57"/>
        <v>323.0523029359008</v>
      </c>
      <c r="O66" s="41">
        <f t="shared" si="58"/>
        <v>2809688.5950590433</v>
      </c>
      <c r="P66" s="41">
        <f t="shared" si="59"/>
        <v>18040175.103968069</v>
      </c>
      <c r="Q66" s="41">
        <f t="shared" si="60"/>
        <v>2.6593181686088391E-3</v>
      </c>
      <c r="R66" s="41">
        <f t="shared" si="61"/>
        <v>2.1167684922673683E-2</v>
      </c>
      <c r="S66" s="24">
        <f t="shared" ca="1" si="96"/>
        <v>7.794002113661836E-16</v>
      </c>
      <c r="T66" s="10">
        <f t="shared" ca="1" si="62"/>
        <v>7.794002113661836E-16</v>
      </c>
      <c r="U66" s="41">
        <f t="shared" ca="1" si="63"/>
        <v>0.22495809100864092</v>
      </c>
      <c r="V66" s="41">
        <f t="shared" ca="1" si="64"/>
        <v>2.4363803082654036E-2</v>
      </c>
      <c r="W66" s="41">
        <f t="shared" ca="1" si="65"/>
        <v>9.233291298795681</v>
      </c>
      <c r="X66" s="20">
        <f t="shared" ca="1" si="66"/>
        <v>1810.2800196494827</v>
      </c>
      <c r="Y66" s="41">
        <f t="shared" si="67"/>
        <v>0.5789311072750698</v>
      </c>
      <c r="Z66" s="41">
        <f t="shared" ca="1" si="68"/>
        <v>190.86856529747988</v>
      </c>
      <c r="AA66" s="14">
        <f t="shared" ca="1" si="69"/>
        <v>1810.2800196494829</v>
      </c>
      <c r="AB66" s="14">
        <f t="shared" si="97"/>
        <v>4016.4588107467653</v>
      </c>
      <c r="AC66" s="25">
        <f t="shared" ca="1" si="70"/>
        <v>1128586.8326595889</v>
      </c>
      <c r="AD66" s="41">
        <f t="shared" si="71"/>
        <v>2503989.7024362464</v>
      </c>
      <c r="AE66" s="5">
        <f t="shared" ca="1" si="72"/>
        <v>45.07154448604701</v>
      </c>
      <c r="AF66" s="7">
        <f t="shared" ca="1" si="73"/>
        <v>1810.2800196494829</v>
      </c>
      <c r="AG66" s="41">
        <f t="shared" ca="1" si="74"/>
        <v>2206.1787910972826</v>
      </c>
      <c r="AH66" s="41">
        <f t="shared" ca="1" si="75"/>
        <v>1375402.8697766575</v>
      </c>
      <c r="AI66" s="41">
        <f t="shared" ca="1" si="76"/>
        <v>1449.5126221532489</v>
      </c>
      <c r="AJ66" s="13">
        <f t="shared" ca="1" si="77"/>
        <v>8.4806103145606837E-15</v>
      </c>
      <c r="AK66" s="11"/>
      <c r="AL66" s="6">
        <v>0</v>
      </c>
      <c r="AM66" s="41">
        <f t="shared" si="78"/>
        <v>48.731149670316235</v>
      </c>
      <c r="AN66" s="41">
        <f t="shared" ca="1" si="79"/>
        <v>19.621226816434032</v>
      </c>
      <c r="AO66" s="6">
        <v>5</v>
      </c>
      <c r="AP66" s="67">
        <f t="shared" si="98"/>
        <v>0.80071182713153521</v>
      </c>
      <c r="AQ66" s="11">
        <f t="shared" si="80"/>
        <v>0.98330272071837588</v>
      </c>
      <c r="AR66" s="11">
        <f t="shared" si="81"/>
        <v>0.68770269343653956</v>
      </c>
      <c r="AS66" s="11">
        <f t="shared" si="82"/>
        <v>0.69938044403469313</v>
      </c>
      <c r="AT66" s="11">
        <f t="shared" si="83"/>
        <v>510.00962215499999</v>
      </c>
      <c r="AU66" s="11">
        <f t="shared" si="84"/>
        <v>1455.3301939042735</v>
      </c>
      <c r="AV66" s="11">
        <f t="shared" si="85"/>
        <v>1.6623573774260621E-3</v>
      </c>
      <c r="AW66" s="11">
        <f t="shared" si="86"/>
        <v>3.6885478983619832E-7</v>
      </c>
      <c r="AX66" s="41">
        <f t="shared" ca="1" si="87"/>
        <v>2.6513993087149927</v>
      </c>
      <c r="AY66" s="41">
        <f t="shared" ca="1" si="88"/>
        <v>3.5714875456465536</v>
      </c>
      <c r="AZ66" s="41">
        <f t="shared" si="89"/>
        <v>0.38092175475491041</v>
      </c>
      <c r="BA66" s="154">
        <f t="shared" ca="1" si="99"/>
        <v>0.7704478148701035</v>
      </c>
      <c r="BB66" s="156">
        <f t="shared" ca="1" si="100"/>
        <v>0.65762817617878022</v>
      </c>
      <c r="BC66" s="156">
        <f t="shared" ca="1" si="101"/>
        <v>0.33420718468451938</v>
      </c>
    </row>
    <row r="67" spans="1:55" ht="14.5">
      <c r="A67" s="41">
        <f t="shared" ca="1" si="90"/>
        <v>1071.6057514880611</v>
      </c>
      <c r="B67" s="41">
        <f t="shared" ca="1" si="102"/>
        <v>17.860095858134351</v>
      </c>
      <c r="C67" s="41">
        <f t="shared" ca="1" si="102"/>
        <v>0.29766826430223919</v>
      </c>
      <c r="D67" s="41">
        <f t="shared" ca="1" si="91"/>
        <v>16695.221526996811</v>
      </c>
      <c r="E67" s="41">
        <f t="shared" ca="1" si="92"/>
        <v>103.30450995212051</v>
      </c>
      <c r="F67" s="7">
        <f t="shared" si="93"/>
        <v>95</v>
      </c>
      <c r="G67" s="41"/>
      <c r="H67" s="7">
        <f t="shared" si="94"/>
        <v>10000</v>
      </c>
      <c r="I67" s="6">
        <v>15</v>
      </c>
      <c r="J67" s="41">
        <f t="shared" si="54"/>
        <v>0.56312736305628042</v>
      </c>
      <c r="K67" s="41">
        <f t="shared" si="55"/>
        <v>623.43218751213556</v>
      </c>
      <c r="L67" s="6">
        <f t="shared" si="95"/>
        <v>312.5</v>
      </c>
      <c r="M67" s="41">
        <f t="shared" si="56"/>
        <v>369.37359618594013</v>
      </c>
      <c r="N67" s="41">
        <f t="shared" si="57"/>
        <v>323.0523029359008</v>
      </c>
      <c r="O67" s="41">
        <f t="shared" si="58"/>
        <v>2809688.5950590433</v>
      </c>
      <c r="P67" s="41">
        <f t="shared" si="59"/>
        <v>18040175.103968069</v>
      </c>
      <c r="Q67" s="41">
        <f t="shared" si="60"/>
        <v>2.6593181686088391E-3</v>
      </c>
      <c r="R67" s="41">
        <f t="shared" si="61"/>
        <v>2.1167684922673683E-2</v>
      </c>
      <c r="S67" s="24">
        <f t="shared" ca="1" si="96"/>
        <v>0</v>
      </c>
      <c r="T67" s="10">
        <f t="shared" ca="1" si="62"/>
        <v>0</v>
      </c>
      <c r="U67" s="41">
        <f t="shared" ca="1" si="63"/>
        <v>0.22469401710780415</v>
      </c>
      <c r="V67" s="41">
        <f t="shared" ca="1" si="64"/>
        <v>2.4356303765763213E-2</v>
      </c>
      <c r="W67" s="41">
        <f t="shared" ca="1" si="65"/>
        <v>9.2252921161070631</v>
      </c>
      <c r="X67" s="20">
        <f t="shared" ca="1" si="66"/>
        <v>1809.7228051833167</v>
      </c>
      <c r="Y67" s="41">
        <f t="shared" si="67"/>
        <v>0.5789311072750698</v>
      </c>
      <c r="Z67" s="41">
        <f t="shared" ca="1" si="68"/>
        <v>190.75650396432079</v>
      </c>
      <c r="AA67" s="14">
        <f t="shared" ca="1" si="69"/>
        <v>1809.7228051833167</v>
      </c>
      <c r="AB67" s="14">
        <f t="shared" si="97"/>
        <v>4016.4588107467653</v>
      </c>
      <c r="AC67" s="25">
        <f t="shared" ca="1" si="70"/>
        <v>1128239.4472260335</v>
      </c>
      <c r="AD67" s="41">
        <f t="shared" si="71"/>
        <v>2503989.7024362464</v>
      </c>
      <c r="AE67" s="5">
        <f t="shared" ca="1" si="72"/>
        <v>45.057671208804003</v>
      </c>
      <c r="AF67" s="7">
        <f t="shared" ca="1" si="73"/>
        <v>1809.7228051833167</v>
      </c>
      <c r="AG67" s="41">
        <f t="shared" ca="1" si="74"/>
        <v>2206.7360055634485</v>
      </c>
      <c r="AH67" s="41">
        <f t="shared" ca="1" si="75"/>
        <v>1375750.2552102129</v>
      </c>
      <c r="AI67" s="41">
        <f t="shared" ca="1" si="76"/>
        <v>1449.0664539399409</v>
      </c>
      <c r="AJ67" s="13">
        <f t="shared" ca="1" si="77"/>
        <v>0</v>
      </c>
      <c r="AK67" s="11"/>
      <c r="AL67" s="6">
        <v>0</v>
      </c>
      <c r="AM67" s="41">
        <f t="shared" si="78"/>
        <v>48.731149670316235</v>
      </c>
      <c r="AN67" s="41">
        <f t="shared" ca="1" si="79"/>
        <v>19.615187291439351</v>
      </c>
      <c r="AO67" s="6">
        <v>5</v>
      </c>
      <c r="AP67" s="67">
        <f t="shared" si="98"/>
        <v>0.80071182713153521</v>
      </c>
      <c r="AQ67" s="11">
        <f t="shared" si="80"/>
        <v>0.98330272071837588</v>
      </c>
      <c r="AR67" s="11">
        <f t="shared" si="81"/>
        <v>0.68770269343653956</v>
      </c>
      <c r="AS67" s="11">
        <f t="shared" si="82"/>
        <v>0.69938044403469313</v>
      </c>
      <c r="AT67" s="11">
        <f t="shared" si="83"/>
        <v>510.00962215499999</v>
      </c>
      <c r="AU67" s="11">
        <f t="shared" si="84"/>
        <v>1455.3301939042735</v>
      </c>
      <c r="AV67" s="11">
        <f t="shared" si="85"/>
        <v>1.6623573774260621E-3</v>
      </c>
      <c r="AW67" s="11">
        <f t="shared" si="86"/>
        <v>3.6885478983619832E-7</v>
      </c>
      <c r="AX67" s="41">
        <f t="shared" ca="1" si="87"/>
        <v>2.6543281712398161</v>
      </c>
      <c r="AY67" s="41">
        <f t="shared" ca="1" si="88"/>
        <v>3.5754327816568123</v>
      </c>
      <c r="AZ67" s="41">
        <f t="shared" si="89"/>
        <v>0.38092175475491041</v>
      </c>
      <c r="BA67" s="154">
        <f t="shared" ca="1" si="99"/>
        <v>0.77049075173421377</v>
      </c>
      <c r="BB67" s="156">
        <f t="shared" ca="1" si="100"/>
        <v>0.65770110577055163</v>
      </c>
      <c r="BC67" s="156">
        <f t="shared" ca="1" si="101"/>
        <v>0.3345442634147453</v>
      </c>
    </row>
    <row r="68" spans="1:55" ht="14.5">
      <c r="A68" s="41">
        <f t="shared" ca="1" si="90"/>
        <v>1120.3369011583773</v>
      </c>
      <c r="B68" s="41">
        <f t="shared" ca="1" si="102"/>
        <v>18.672281685972955</v>
      </c>
      <c r="C68" s="41">
        <f t="shared" ca="1" si="102"/>
        <v>0.31120469476621593</v>
      </c>
      <c r="D68" s="41">
        <f t="shared" ca="1" si="91"/>
        <v>16675.606339705373</v>
      </c>
      <c r="E68" s="41">
        <f t="shared" ca="1" si="92"/>
        <v>108.30450995212051</v>
      </c>
      <c r="F68" s="7">
        <f t="shared" si="93"/>
        <v>100</v>
      </c>
      <c r="G68" s="41"/>
      <c r="H68" s="7">
        <f t="shared" si="94"/>
        <v>10000</v>
      </c>
      <c r="I68" s="6">
        <v>15</v>
      </c>
      <c r="J68" s="41">
        <f t="shared" si="54"/>
        <v>0.56312736305628042</v>
      </c>
      <c r="K68" s="41">
        <f t="shared" si="55"/>
        <v>623.43218751213556</v>
      </c>
      <c r="L68" s="6">
        <f t="shared" si="95"/>
        <v>312.5</v>
      </c>
      <c r="M68" s="41">
        <f t="shared" si="56"/>
        <v>369.37359618594013</v>
      </c>
      <c r="N68" s="41">
        <f t="shared" si="57"/>
        <v>323.0523029359008</v>
      </c>
      <c r="O68" s="41">
        <f t="shared" si="58"/>
        <v>2809688.5950590433</v>
      </c>
      <c r="P68" s="41">
        <f t="shared" si="59"/>
        <v>18040175.103968069</v>
      </c>
      <c r="Q68" s="41">
        <f t="shared" si="60"/>
        <v>2.6593181686088391E-3</v>
      </c>
      <c r="R68" s="41">
        <f t="shared" si="61"/>
        <v>2.1167684922673683E-2</v>
      </c>
      <c r="S68" s="24">
        <f t="shared" ca="1" si="96"/>
        <v>0</v>
      </c>
      <c r="T68" s="10">
        <f t="shared" ca="1" si="62"/>
        <v>0</v>
      </c>
      <c r="U68" s="41">
        <f t="shared" ca="1" si="63"/>
        <v>0.2244300244904131</v>
      </c>
      <c r="V68" s="41">
        <f t="shared" ca="1" si="64"/>
        <v>2.4348815561609564E-2</v>
      </c>
      <c r="W68" s="41">
        <f t="shared" ca="1" si="65"/>
        <v>9.2172871375422787</v>
      </c>
      <c r="X68" s="20">
        <f t="shared" ca="1" si="66"/>
        <v>1809.1664164160777</v>
      </c>
      <c r="Y68" s="41">
        <f t="shared" si="67"/>
        <v>0.5789311072750698</v>
      </c>
      <c r="Z68" s="41">
        <f t="shared" ca="1" si="68"/>
        <v>190.64441128472325</v>
      </c>
      <c r="AA68" s="14">
        <f t="shared" ca="1" si="69"/>
        <v>1809.1664164160779</v>
      </c>
      <c r="AB68" s="14">
        <f t="shared" si="97"/>
        <v>4016.4588107467653</v>
      </c>
      <c r="AC68" s="25">
        <f t="shared" ca="1" si="70"/>
        <v>1127892.5765597667</v>
      </c>
      <c r="AD68" s="41">
        <f t="shared" si="71"/>
        <v>2503989.7024362464</v>
      </c>
      <c r="AE68" s="5">
        <f t="shared" ca="1" si="72"/>
        <v>45.04381848944459</v>
      </c>
      <c r="AF68" s="7">
        <f t="shared" ca="1" si="73"/>
        <v>1809.1664164160777</v>
      </c>
      <c r="AG68" s="41">
        <f t="shared" ca="1" si="74"/>
        <v>2207.2923943306873</v>
      </c>
      <c r="AH68" s="41">
        <f t="shared" ca="1" si="75"/>
        <v>1376097.1258764798</v>
      </c>
      <c r="AI68" s="41">
        <f t="shared" ca="1" si="76"/>
        <v>1448.6209468735294</v>
      </c>
      <c r="AJ68" s="13">
        <f t="shared" ca="1" si="77"/>
        <v>0</v>
      </c>
      <c r="AK68" s="11"/>
      <c r="AL68" s="6">
        <v>0</v>
      </c>
      <c r="AM68" s="41">
        <f t="shared" si="78"/>
        <v>0</v>
      </c>
      <c r="AN68" s="41">
        <f t="shared" ca="1" si="79"/>
        <v>0</v>
      </c>
      <c r="AO68" s="6">
        <v>0</v>
      </c>
      <c r="AP68" s="67">
        <f t="shared" si="98"/>
        <v>0.80071182713153521</v>
      </c>
      <c r="AQ68" s="11">
        <f t="shared" si="80"/>
        <v>0.98330272071837588</v>
      </c>
      <c r="AR68" s="11">
        <f t="shared" si="81"/>
        <v>0.68770269343653956</v>
      </c>
      <c r="AS68" s="11">
        <f t="shared" si="82"/>
        <v>0.69938044403469313</v>
      </c>
      <c r="AT68" s="11">
        <f t="shared" si="83"/>
        <v>510.00962215499999</v>
      </c>
      <c r="AU68" s="11">
        <f t="shared" si="84"/>
        <v>1455.3301939042735</v>
      </c>
      <c r="AV68" s="11">
        <f t="shared" si="85"/>
        <v>1.6623573774260621E-3</v>
      </c>
      <c r="AW68" s="11">
        <f t="shared" si="86"/>
        <v>3.6885478983619832E-7</v>
      </c>
      <c r="AX68" s="41">
        <f t="shared" ca="1" si="87"/>
        <v>2.6572632503656646</v>
      </c>
      <c r="AY68" s="41">
        <f t="shared" ca="1" si="88"/>
        <v>3.5793863915521604</v>
      </c>
      <c r="AZ68" s="41">
        <f t="shared" si="89"/>
        <v>0.38092175475491041</v>
      </c>
      <c r="BA68" s="154">
        <f ca="1">2.12 - (0.00251*AF68) + (1.94*10^(-6)*AF68^2) - (7.84*10^(-10)*AF68^3) + (1.7*10^(-13)*AF68^4) - (1.89*10^(-17)*AF68^5) + (8.37*10^(-22)*AF68^6)</f>
        <v>0.77053364888477427</v>
      </c>
      <c r="BB68" s="156">
        <f t="shared" ca="1" si="100"/>
        <v>0.65777390878705055</v>
      </c>
      <c r="BC68" s="156">
        <f t="shared" ca="1" si="101"/>
        <v>0.33488058659133735</v>
      </c>
    </row>
    <row r="69" spans="1:55" ht="14.5">
      <c r="B69" s="135">
        <f ca="1">B68-B48</f>
        <v>16.243716556772075</v>
      </c>
      <c r="X69" s="32">
        <f ca="1">AVERAGE(X48:X68)</f>
        <v>1814.7828448396076</v>
      </c>
      <c r="AC69" s="3"/>
      <c r="AD69" s="3"/>
      <c r="AN69" s="32">
        <f ca="1">SUM(AN48:AN68)</f>
        <v>393.46151419012983</v>
      </c>
      <c r="AP69" s="145"/>
    </row>
    <row r="70" spans="1:55" s="89" customFormat="1" ht="14.5">
      <c r="A70" s="102" t="s">
        <v>239</v>
      </c>
      <c r="B70" s="82" t="s">
        <v>22</v>
      </c>
      <c r="C70" s="81">
        <v>3000</v>
      </c>
      <c r="D70" s="82" t="s">
        <v>9</v>
      </c>
      <c r="E70" s="82"/>
      <c r="F70" s="82"/>
      <c r="G70" s="82"/>
      <c r="H70" s="82"/>
      <c r="I70" s="83"/>
      <c r="J70" s="82"/>
      <c r="K70" s="82"/>
      <c r="L70" s="84" t="s">
        <v>60</v>
      </c>
      <c r="M70" s="82"/>
      <c r="N70" s="82"/>
      <c r="O70" s="82"/>
      <c r="P70" s="82"/>
      <c r="Q70" s="81"/>
      <c r="R70" s="82"/>
      <c r="S70" s="85"/>
      <c r="T70" s="86"/>
      <c r="U70" s="81"/>
      <c r="V70" s="81"/>
      <c r="W70" s="81"/>
      <c r="X70" s="81"/>
      <c r="Y70" s="82"/>
      <c r="Z70" s="82"/>
      <c r="AA70" s="87"/>
      <c r="AB70" s="87"/>
      <c r="AC70" s="82"/>
      <c r="AD70" s="82"/>
      <c r="AE70" s="83"/>
      <c r="AF70" s="81"/>
      <c r="AG70" s="82"/>
      <c r="AH70" s="82"/>
      <c r="AI70" s="82"/>
      <c r="AJ70" s="81" t="s">
        <v>61</v>
      </c>
      <c r="AK70" s="88"/>
      <c r="AL70" s="83"/>
      <c r="AM70" s="82"/>
      <c r="AN70" s="82"/>
      <c r="AO70" s="82"/>
      <c r="AP70" s="53"/>
      <c r="AQ70" s="88"/>
      <c r="AR70" s="88"/>
      <c r="AS70" s="88"/>
      <c r="AT70" s="88"/>
      <c r="AU70" s="88"/>
      <c r="AV70" s="88"/>
      <c r="AW70" s="88"/>
      <c r="AX70" s="82"/>
      <c r="AY70" s="82"/>
      <c r="AZ70" s="82"/>
    </row>
    <row r="71" spans="1:55" ht="14.5">
      <c r="A71" s="41" t="s">
        <v>2</v>
      </c>
      <c r="B71" s="41" t="s">
        <v>2</v>
      </c>
      <c r="C71" s="41" t="s">
        <v>2</v>
      </c>
      <c r="D71" s="41" t="s">
        <v>23</v>
      </c>
      <c r="E71" s="41" t="s">
        <v>24</v>
      </c>
      <c r="F71" s="41" t="s">
        <v>25</v>
      </c>
      <c r="G71" s="41"/>
      <c r="H71" s="41" t="s">
        <v>0</v>
      </c>
      <c r="I71" s="5" t="s">
        <v>26</v>
      </c>
      <c r="J71" s="41" t="s">
        <v>27</v>
      </c>
      <c r="K71" s="41" t="s">
        <v>28</v>
      </c>
      <c r="L71" s="12" t="s">
        <v>29</v>
      </c>
      <c r="M71" s="13" t="s">
        <v>30</v>
      </c>
      <c r="N71" s="41" t="s">
        <v>31</v>
      </c>
      <c r="O71" s="41" t="s">
        <v>32</v>
      </c>
      <c r="P71" s="41" t="s">
        <v>33</v>
      </c>
      <c r="Q71" s="41" t="s">
        <v>34</v>
      </c>
      <c r="R71" s="41" t="s">
        <v>13</v>
      </c>
      <c r="S71" s="24" t="s">
        <v>35</v>
      </c>
      <c r="T71" s="10" t="s">
        <v>35</v>
      </c>
      <c r="U71" s="41" t="s">
        <v>36</v>
      </c>
      <c r="V71" s="41" t="s">
        <v>37</v>
      </c>
      <c r="W71" s="41" t="s">
        <v>38</v>
      </c>
      <c r="X71" s="41" t="s">
        <v>39</v>
      </c>
      <c r="Y71" s="41" t="s">
        <v>40</v>
      </c>
      <c r="Z71" s="35" t="s">
        <v>108</v>
      </c>
      <c r="AA71" s="35" t="s">
        <v>109</v>
      </c>
      <c r="AB71" s="9" t="s">
        <v>110</v>
      </c>
      <c r="AC71" s="7" t="s">
        <v>111</v>
      </c>
      <c r="AD71" s="7" t="s">
        <v>112</v>
      </c>
      <c r="AE71" s="5" t="s">
        <v>41</v>
      </c>
      <c r="AF71" s="7" t="s">
        <v>113</v>
      </c>
      <c r="AG71" s="7" t="s">
        <v>114</v>
      </c>
      <c r="AH71" s="7" t="s">
        <v>115</v>
      </c>
      <c r="AI71" s="41" t="s">
        <v>42</v>
      </c>
      <c r="AJ71" s="41" t="s">
        <v>43</v>
      </c>
      <c r="AK71" s="36"/>
      <c r="AL71" s="5" t="s">
        <v>44</v>
      </c>
      <c r="AM71" s="41" t="s">
        <v>45</v>
      </c>
      <c r="AN71" s="41" t="s">
        <v>46</v>
      </c>
      <c r="AO71" s="41" t="s">
        <v>47</v>
      </c>
      <c r="AP71" s="53"/>
      <c r="AQ71" s="15" t="s">
        <v>62</v>
      </c>
      <c r="AR71" s="16" t="s">
        <v>63</v>
      </c>
      <c r="AS71" s="16" t="s">
        <v>64</v>
      </c>
      <c r="AT71" s="17" t="s">
        <v>65</v>
      </c>
      <c r="AU71" s="18" t="s">
        <v>66</v>
      </c>
      <c r="AV71" s="18" t="s">
        <v>67</v>
      </c>
      <c r="AW71" s="19" t="s">
        <v>68</v>
      </c>
      <c r="AX71" s="7" t="s">
        <v>207</v>
      </c>
      <c r="AY71" s="7" t="s">
        <v>208</v>
      </c>
      <c r="AZ71" s="7" t="s">
        <v>209</v>
      </c>
    </row>
    <row r="72" spans="1:55" ht="14.5">
      <c r="A72" s="41" t="s">
        <v>18</v>
      </c>
      <c r="B72" s="41" t="s">
        <v>21</v>
      </c>
      <c r="C72" s="41" t="s">
        <v>48</v>
      </c>
      <c r="D72" s="41" t="s">
        <v>8</v>
      </c>
      <c r="E72" s="41" t="s">
        <v>49</v>
      </c>
      <c r="F72" s="41" t="s">
        <v>49</v>
      </c>
      <c r="G72" s="41"/>
      <c r="H72" s="41" t="s">
        <v>9</v>
      </c>
      <c r="I72" s="5" t="s">
        <v>50</v>
      </c>
      <c r="J72" s="41"/>
      <c r="K72" s="41" t="s">
        <v>51</v>
      </c>
      <c r="L72" s="5" t="s">
        <v>52</v>
      </c>
      <c r="M72" s="41" t="s">
        <v>52</v>
      </c>
      <c r="N72" s="41" t="s">
        <v>53</v>
      </c>
      <c r="O72" s="41" t="s">
        <v>54</v>
      </c>
      <c r="P72" s="41"/>
      <c r="Q72" s="41"/>
      <c r="R72" s="41"/>
      <c r="S72" s="24" t="s">
        <v>55</v>
      </c>
      <c r="T72" s="10" t="s">
        <v>55</v>
      </c>
      <c r="U72" s="41"/>
      <c r="V72" s="41"/>
      <c r="W72" s="41"/>
      <c r="X72" s="41"/>
      <c r="Y72" s="41"/>
      <c r="Z72" s="41"/>
      <c r="AA72" s="9" t="s">
        <v>118</v>
      </c>
      <c r="AB72" s="9" t="s">
        <v>118</v>
      </c>
      <c r="AC72" s="7" t="s">
        <v>119</v>
      </c>
      <c r="AD72" s="7" t="s">
        <v>119</v>
      </c>
      <c r="AE72" s="5" t="s">
        <v>20</v>
      </c>
      <c r="AF72" s="7" t="s">
        <v>118</v>
      </c>
      <c r="AG72" s="7" t="s">
        <v>118</v>
      </c>
      <c r="AH72" s="7" t="s">
        <v>119</v>
      </c>
      <c r="AI72" s="41" t="s">
        <v>56</v>
      </c>
      <c r="AJ72" s="41" t="s">
        <v>57</v>
      </c>
      <c r="AK72" s="11"/>
      <c r="AL72" s="5" t="s">
        <v>9</v>
      </c>
      <c r="AM72" s="41" t="s">
        <v>18</v>
      </c>
      <c r="AN72" s="41" t="s">
        <v>8</v>
      </c>
      <c r="AO72" s="41" t="s">
        <v>49</v>
      </c>
      <c r="AP72" s="53"/>
      <c r="AQ72" s="11"/>
      <c r="AR72" s="11"/>
      <c r="AS72" s="11"/>
      <c r="AT72" s="11"/>
      <c r="AU72" s="11"/>
      <c r="AV72" s="11"/>
      <c r="AW72" s="11"/>
      <c r="AX72" s="41"/>
      <c r="AY72" s="41"/>
      <c r="AZ72" s="41"/>
    </row>
    <row r="73" spans="1:55" ht="14.5">
      <c r="A73" s="41">
        <f ca="1">A68</f>
        <v>1120.3369011583773</v>
      </c>
      <c r="B73" s="41">
        <f t="shared" ref="B73:C88" ca="1" si="103">A73/60</f>
        <v>18.672281685972955</v>
      </c>
      <c r="C73" s="41">
        <f t="shared" ca="1" si="103"/>
        <v>0.31120469476621593</v>
      </c>
      <c r="D73" s="41">
        <f t="shared" ref="D73:E73" ca="1" si="104">D68</f>
        <v>16675.606339705373</v>
      </c>
      <c r="E73" s="7">
        <f t="shared" ca="1" si="104"/>
        <v>108.30450995212051</v>
      </c>
      <c r="F73" s="7">
        <v>0</v>
      </c>
      <c r="G73" s="41"/>
      <c r="H73" s="7">
        <f>H68</f>
        <v>10000</v>
      </c>
      <c r="I73" s="6">
        <v>15</v>
      </c>
      <c r="J73" s="41">
        <f t="shared" ref="J73:J93" si="105">SQRT((((((((L73^2)*(0.2))/(661.477)^2) + 1)^(3.5) - 1)*(1/AR73) + 1)^(1/3.5) - 1)*(5))</f>
        <v>0.56312736305628042</v>
      </c>
      <c r="K73" s="41">
        <f t="shared" ref="K73:K93" si="106">SQRT((1.4*2116.22*AR73*(J73)^2)/AV73)</f>
        <v>623.43218751213556</v>
      </c>
      <c r="L73" s="6">
        <f>L68</f>
        <v>312.5</v>
      </c>
      <c r="M73" s="41">
        <f t="shared" ref="M73:M93" si="107">K73*0.592484</f>
        <v>369.37359618594013</v>
      </c>
      <c r="N73" s="41">
        <f t="shared" ref="N73:N93" si="108">0.5*AV73*K73^2</f>
        <v>323.0523029359008</v>
      </c>
      <c r="O73" s="41">
        <f t="shared" ref="O73:O93" si="109">P73/$B$7</f>
        <v>2809688.5950590433</v>
      </c>
      <c r="P73" s="41">
        <f t="shared" ref="P73:P93" si="110">(AV73*K73*$B$7)/(AW73)</f>
        <v>18040175.103968069</v>
      </c>
      <c r="Q73" s="41">
        <f t="shared" ref="Q73:Q93" si="111">0.455/(LOG10(P73)^2.58 * (1+0.144*J73*J73)^0.65)</f>
        <v>2.6593181686088391E-3</v>
      </c>
      <c r="R73" s="41">
        <f t="shared" ref="R73:R93" si="112">(((Q73*$B$4)+$B$17)+(0.1*(Q73*$B$4)))</f>
        <v>2.1167684922673683E-2</v>
      </c>
      <c r="S73" s="24">
        <f ca="1">T73</f>
        <v>-5.5271478693847769</v>
      </c>
      <c r="T73" s="10">
        <f t="shared" ref="T73:T93" ca="1" si="113">DEGREES(ASIN(((AF73-X73)/(D73))))</f>
        <v>-5.5271478693847769</v>
      </c>
      <c r="U73" s="41">
        <f t="shared" ref="U73:U93" ca="1" si="114">(D73*COS(RADIANS(S73)))/(N73*$B$3)</f>
        <v>0.22338657592396816</v>
      </c>
      <c r="V73" s="41">
        <f t="shared" ref="V73:V93" ca="1" si="115">(X73)/(N73*$B$3)</f>
        <v>2.4319304092727718E-2</v>
      </c>
      <c r="W73" s="41">
        <f t="shared" ref="W73:W93" ca="1" si="116">U73/V73</f>
        <v>9.1855661277235381</v>
      </c>
      <c r="X73" s="20">
        <f t="shared" ref="X73:X93" ca="1" si="117">(N73*$B$3*R73)+((N73*$B$3)*((U73^2)/(PI()*$B$6*$B$5)))</f>
        <v>1806.9736543794586</v>
      </c>
      <c r="Y73" s="41">
        <f t="shared" ref="Y73:Y93" si="118">SQRT(PI()*$B$6*$B$5*R73)</f>
        <v>0.5789311072750698</v>
      </c>
      <c r="Z73" s="41">
        <f t="shared" ref="Z73:Z93" ca="1" si="119">SQRT((2*((U73*N73*$B$3)/(D73))*D73)/(AV73*$B$3*$B$18))</f>
        <v>190.20071085495377</v>
      </c>
      <c r="AA73" s="14">
        <f t="shared" ref="AA73:AA93" ca="1" si="120">D73/W73</f>
        <v>1815.4141081599391</v>
      </c>
      <c r="AB73" s="14">
        <f>$B$15*AR73*0.93</f>
        <v>4016.4588107467653</v>
      </c>
      <c r="AC73" s="25">
        <f t="shared" ref="AC73:AC93" ca="1" si="121">AA73*K73</f>
        <v>1131787.5886905435</v>
      </c>
      <c r="AD73" s="41">
        <f t="shared" ref="AD73:AD93" si="122">AB73*K73</f>
        <v>2503989.7024362464</v>
      </c>
      <c r="AE73" s="6">
        <v>5</v>
      </c>
      <c r="AF73" s="41">
        <f t="shared" ref="AF73:AF93" si="123">AB73*(AE73/100)</f>
        <v>200.82294053733827</v>
      </c>
      <c r="AG73" s="41">
        <f t="shared" ref="AG73:AG93" ca="1" si="124">AB73-AA73</f>
        <v>2201.0447025868261</v>
      </c>
      <c r="AH73" s="41">
        <f t="shared" ref="AH73:AH93" ca="1" si="125">AD73-AC73</f>
        <v>1372202.1137457029</v>
      </c>
      <c r="AI73" s="41">
        <f t="shared" ref="AI73:AI93" si="126">(AP73*AF73)</f>
        <v>162.8469454990672</v>
      </c>
      <c r="AJ73" s="13">
        <f t="shared" ref="AJ73:AJ93" ca="1" si="127">K73*SIN(RADIANS(T73))</f>
        <v>-60.047354957076926</v>
      </c>
      <c r="AK73" s="11"/>
      <c r="AL73" s="6">
        <v>-350</v>
      </c>
      <c r="AM73" s="41">
        <f t="shared" ref="AM73:AM93" ca="1" si="128">AL73/AJ73</f>
        <v>5.8287330099749965</v>
      </c>
      <c r="AN73" s="41">
        <f t="shared" ref="AN73:AN93" ca="1" si="129">AI73*(AM73/3600)</f>
        <v>0.26366426855667002</v>
      </c>
      <c r="AO73" s="41">
        <f t="shared" ref="AO73:AO93" ca="1" si="130">M73*COS(RADIANS(T73))*(AM73/3600)</f>
        <v>0.59526949021546238</v>
      </c>
      <c r="AP73" s="67">
        <f>0.701 + 0.301*AZ73 + -0.0328*AZ73^2</f>
        <v>0.81089812281077356</v>
      </c>
      <c r="AQ73" s="11">
        <f t="shared" ref="AQ73:AQ93" si="131">IF(H73 &lt;= 36089, ((1 - 6.87535*10^(-6)*H73) + ((I73*1.8)/518.67)), 0.75187 + ((I73*1.8)/518.67))</f>
        <v>0.98330272071837588</v>
      </c>
      <c r="AR73" s="11">
        <f t="shared" ref="AR73:AR93" si="132">IF(H73 &lt;= 36089, (1 - 6.87535*10^(-6)*H73)^5.2561, 0.22336*EXP((36089 - H73)/(20806.7)))</f>
        <v>0.68770269343653956</v>
      </c>
      <c r="AS73" s="11">
        <f t="shared" ref="AS73:AS93" si="133">(AR73/AQ73)</f>
        <v>0.69938044403469313</v>
      </c>
      <c r="AT73" s="11">
        <f t="shared" ref="AT73:AT93" si="134">(518.67*AQ73)</f>
        <v>510.00962215499999</v>
      </c>
      <c r="AU73" s="11">
        <f t="shared" ref="AU73:AU93" si="135">2116.22*AR73</f>
        <v>1455.3301939042735</v>
      </c>
      <c r="AV73" s="11">
        <f t="shared" ref="AV73:AV93" si="136">(0.0023769*AS73)</f>
        <v>1.6623573774260621E-3</v>
      </c>
      <c r="AW73" s="11">
        <f t="shared" ref="AW73:AW93" si="137">((2.2697*10^-8)*(AT73^1.5))/(AT73+198.72)</f>
        <v>3.6885478983619832E-7</v>
      </c>
      <c r="AX73" s="41">
        <f t="shared" ref="AX73:AX93" ca="1" si="138">(1/U73)*(((1 + 0.2*(U73)^2)/1.2)^3)</f>
        <v>2.6689344965080171</v>
      </c>
      <c r="AY73" s="41">
        <f t="shared" ref="AY73:AY93" ca="1" si="139">($H$4/$H$3)*AX73</f>
        <v>3.5951077919849714</v>
      </c>
      <c r="AZ73" s="41">
        <f t="shared" ref="AZ73:AZ93" si="140">-6.6*10^(-3) + 0.825*J73 - 0.243*(J73^2)</f>
        <v>0.38092175475491041</v>
      </c>
      <c r="BA73" s="154">
        <f>2.12-0.00251*AF73+1.94*10^-6*AF73^2-7.84*10^-10*AF73^3+1.7*10^-13*AF73^4-1.89*10^-17*AF73^5+8.37*10^-22*AF73^6</f>
        <v>1.6880949796352283</v>
      </c>
      <c r="BB73" s="156">
        <f>2.18-0.00461*AF73+6.03*10^-6*AF73^2-4.1*10^-9*AF73^3+1.5*10^-12*AF73^4-2.81*10^-16*AF73^5+2.1*10^-20*AF73^6</f>
        <v>1.4665380432700525</v>
      </c>
      <c r="BC73" s="156">
        <f>1.75-5.02*10^-3*AF73+1.01*10^-5*AF73^2-1.09*10^-8*AF73^3+6.44*10^-12*AF73^4-1.99*10^-15*AF73^5+2.49*10^-19*AF73^6</f>
        <v>1.0707604821349515</v>
      </c>
    </row>
    <row r="74" spans="1:55" ht="14.5">
      <c r="A74" s="41">
        <f t="shared" ref="A74:A93" ca="1" si="141">A73+AM73</f>
        <v>1126.1656341683522</v>
      </c>
      <c r="B74" s="41">
        <f t="shared" ca="1" si="103"/>
        <v>18.769427236139204</v>
      </c>
      <c r="C74" s="41">
        <f t="shared" ca="1" si="103"/>
        <v>0.31282378726898674</v>
      </c>
      <c r="D74" s="41">
        <f t="shared" ref="D74:D93" ca="1" si="142">D73-AN73</f>
        <v>16675.342675436816</v>
      </c>
      <c r="E74" s="41">
        <f t="shared" ref="E74:E93" ca="1" si="143">E73+AO73</f>
        <v>108.89977944233597</v>
      </c>
      <c r="F74" s="41">
        <f t="shared" ref="F74:F93" ca="1" si="144">F73+AO73</f>
        <v>0.59526949021546238</v>
      </c>
      <c r="G74" s="41"/>
      <c r="H74" s="7">
        <f t="shared" ref="H74:H93" si="145">H73+AL73</f>
        <v>9650</v>
      </c>
      <c r="I74" s="6">
        <v>15</v>
      </c>
      <c r="J74" s="41">
        <f t="shared" si="105"/>
        <v>0.54796468383009211</v>
      </c>
      <c r="K74" s="41">
        <f t="shared" si="106"/>
        <v>607.38759868369561</v>
      </c>
      <c r="L74" s="6">
        <f>L73-($L$68-$L$98)/20</f>
        <v>305.875</v>
      </c>
      <c r="M74" s="41">
        <f t="shared" si="107"/>
        <v>359.86743401851072</v>
      </c>
      <c r="N74" s="41">
        <f t="shared" si="108"/>
        <v>310.06708908650825</v>
      </c>
      <c r="O74" s="41">
        <f t="shared" si="109"/>
        <v>2762715.6083443658</v>
      </c>
      <c r="P74" s="41">
        <f t="shared" si="110"/>
        <v>17738575.522085816</v>
      </c>
      <c r="Q74" s="41">
        <f t="shared" si="111"/>
        <v>2.6702824174565597E-3</v>
      </c>
      <c r="R74" s="41">
        <f t="shared" si="112"/>
        <v>2.1234343558287964E-2</v>
      </c>
      <c r="S74" s="24">
        <f t="shared" ref="S74:S93" ca="1" si="146">T74</f>
        <v>-5.3502921824130478</v>
      </c>
      <c r="T74" s="10">
        <f t="shared" ca="1" si="113"/>
        <v>-5.3502921824130478</v>
      </c>
      <c r="U74" s="41">
        <f t="shared" ca="1" si="114"/>
        <v>0.23280644893122107</v>
      </c>
      <c r="V74" s="41">
        <f t="shared" ca="1" si="115"/>
        <v>2.4657364875680814E-2</v>
      </c>
      <c r="W74" s="41">
        <f t="shared" ca="1" si="116"/>
        <v>9.4416597274283163</v>
      </c>
      <c r="X74" s="20">
        <f t="shared" ca="1" si="117"/>
        <v>1758.4505908556403</v>
      </c>
      <c r="Y74" s="41">
        <f t="shared" si="118"/>
        <v>0.5798419396194594</v>
      </c>
      <c r="Z74" s="41">
        <f t="shared" ca="1" si="119"/>
        <v>189.1724126974168</v>
      </c>
      <c r="AA74" s="14">
        <f t="shared" ca="1" si="120"/>
        <v>1766.145270729724</v>
      </c>
      <c r="AB74" s="14">
        <f t="shared" ref="AB74:AB93" si="147">$B$15*AR74*0.93</f>
        <v>4071.3109327094548</v>
      </c>
      <c r="AC74" s="25">
        <f t="shared" ca="1" si="121"/>
        <v>1072734.7349150926</v>
      </c>
      <c r="AD74" s="41">
        <f t="shared" si="122"/>
        <v>2472863.7709130729</v>
      </c>
      <c r="AE74" s="6">
        <v>5</v>
      </c>
      <c r="AF74" s="41">
        <f t="shared" si="123"/>
        <v>203.56554663547274</v>
      </c>
      <c r="AG74" s="41">
        <f t="shared" ca="1" si="124"/>
        <v>2305.1656619797309</v>
      </c>
      <c r="AH74" s="41">
        <f t="shared" ca="1" si="125"/>
        <v>1400129.0359979803</v>
      </c>
      <c r="AI74" s="41">
        <f t="shared" si="126"/>
        <v>164.59761783472305</v>
      </c>
      <c r="AJ74" s="13">
        <f t="shared" ca="1" si="127"/>
        <v>-56.635591341054116</v>
      </c>
      <c r="AK74" s="11"/>
      <c r="AL74" s="6">
        <f>AL73</f>
        <v>-350</v>
      </c>
      <c r="AM74" s="41">
        <f t="shared" ca="1" si="128"/>
        <v>6.1798595496661006</v>
      </c>
      <c r="AN74" s="41">
        <f t="shared" ca="1" si="129"/>
        <v>0.28255282234116791</v>
      </c>
      <c r="AO74" s="41">
        <f t="shared" ca="1" si="130"/>
        <v>0.61506696042056164</v>
      </c>
      <c r="AP74" s="67">
        <f t="shared" ref="AP74:AP92" si="148">0.701 + 0.301*AZ74 + -0.0328*AZ74^2</f>
        <v>0.80857306432836584</v>
      </c>
      <c r="AQ74" s="11">
        <f t="shared" si="131"/>
        <v>0.98570909321837585</v>
      </c>
      <c r="AR74" s="11">
        <f t="shared" si="132"/>
        <v>0.69709453679704381</v>
      </c>
      <c r="AS74" s="11">
        <f t="shared" si="133"/>
        <v>0.70720108152903904</v>
      </c>
      <c r="AT74" s="11">
        <f t="shared" si="134"/>
        <v>511.25773537957497</v>
      </c>
      <c r="AU74" s="11">
        <f t="shared" si="135"/>
        <v>1475.20540066064</v>
      </c>
      <c r="AV74" s="11">
        <f t="shared" si="136"/>
        <v>1.6809462506863729E-3</v>
      </c>
      <c r="AW74" s="11">
        <f t="shared" si="137"/>
        <v>3.6955881511546951E-7</v>
      </c>
      <c r="AX74" s="41">
        <f t="shared" ca="1" si="138"/>
        <v>2.5674867693225618</v>
      </c>
      <c r="AY74" s="41">
        <f t="shared" ca="1" si="139"/>
        <v>3.4584556879484047</v>
      </c>
      <c r="AZ74" s="41">
        <f t="shared" si="140"/>
        <v>0.37250639754164783</v>
      </c>
      <c r="BA74" s="154">
        <f t="shared" ref="BA74:BA92" si="149">2.12-0.00251*AF74+1.94*10^-6*AF74^2-7.84*10^-10*AF74^3+1.7*10^-13*AF74^4-1.89*10^-17*AF74^5+8.37*10^-22*AF74^6</f>
        <v>1.6831139175160095</v>
      </c>
      <c r="BB74" s="156">
        <f t="shared" ref="BB74:BB93" si="150">2.18-0.00461*AF74+6.03*10^-6*AF74^2-4.1*10^-9*AF74^3+1.5*10^-12*AF74^4-2.81*10^-16*AF74^5+2.1*10^-20*AF74^6</f>
        <v>1.4593329251935752</v>
      </c>
      <c r="BC74" s="156">
        <f t="shared" ref="BC74:BC93" si="151">1.75-5.02*10^-3*AF74+1.01*10^-5*AF74^2-1.09*10^-8*AF74^3+6.44*10^-12*AF74^4-1.99*10^-15*AF74^5+2.49*10^-19*AF74^6</f>
        <v>1.0650675603408812</v>
      </c>
    </row>
    <row r="75" spans="1:55" ht="14.5">
      <c r="A75" s="41">
        <f t="shared" ca="1" si="141"/>
        <v>1132.3454937180184</v>
      </c>
      <c r="B75" s="41">
        <f t="shared" ca="1" si="103"/>
        <v>18.872424895300306</v>
      </c>
      <c r="C75" s="41">
        <f t="shared" ca="1" si="103"/>
        <v>0.31454041492167178</v>
      </c>
      <c r="D75" s="41">
        <f t="shared" ca="1" si="142"/>
        <v>16675.060122614475</v>
      </c>
      <c r="E75" s="41">
        <f t="shared" ca="1" si="143"/>
        <v>109.51484640275653</v>
      </c>
      <c r="F75" s="41">
        <f t="shared" ca="1" si="144"/>
        <v>1.2103364506360239</v>
      </c>
      <c r="G75" s="41"/>
      <c r="H75" s="7">
        <f t="shared" si="145"/>
        <v>9300</v>
      </c>
      <c r="I75" s="6">
        <v>15</v>
      </c>
      <c r="J75" s="41">
        <f t="shared" si="105"/>
        <v>0.53294328263390034</v>
      </c>
      <c r="K75" s="41">
        <f t="shared" si="106"/>
        <v>591.45786434696583</v>
      </c>
      <c r="L75" s="6">
        <f t="shared" ref="L75:L92" si="152">L74-($L$68-$L$98)/20</f>
        <v>299.25</v>
      </c>
      <c r="M75" s="41">
        <f t="shared" si="107"/>
        <v>350.4293212997477</v>
      </c>
      <c r="N75" s="41">
        <f t="shared" si="108"/>
        <v>297.2954818501409</v>
      </c>
      <c r="O75" s="41">
        <f t="shared" si="109"/>
        <v>2715096.8737115911</v>
      </c>
      <c r="P75" s="41">
        <f t="shared" si="110"/>
        <v>17432829.78481254</v>
      </c>
      <c r="Q75" s="41">
        <f t="shared" si="111"/>
        <v>2.6813797952668062E-3</v>
      </c>
      <c r="R75" s="41">
        <f t="shared" si="112"/>
        <v>2.1301811569457832E-2</v>
      </c>
      <c r="S75" s="24">
        <f t="shared" ca="1" si="146"/>
        <v>-5.1781463450307168</v>
      </c>
      <c r="T75" s="10">
        <f t="shared" ca="1" si="113"/>
        <v>-5.1781463450307168</v>
      </c>
      <c r="U75" s="41">
        <f t="shared" ca="1" si="114"/>
        <v>0.24287076204713076</v>
      </c>
      <c r="V75" s="41">
        <f t="shared" ca="1" si="115"/>
        <v>2.5027187135894313E-2</v>
      </c>
      <c r="W75" s="41">
        <f t="shared" ca="1" si="116"/>
        <v>9.7042772217418864</v>
      </c>
      <c r="X75" s="20">
        <f t="shared" ca="1" si="117"/>
        <v>1711.3080215514501</v>
      </c>
      <c r="Y75" s="41">
        <f t="shared" si="118"/>
        <v>0.58076237676282405</v>
      </c>
      <c r="Z75" s="41">
        <f t="shared" ca="1" si="119"/>
        <v>188.15068668031176</v>
      </c>
      <c r="AA75" s="14">
        <f t="shared" ca="1" si="120"/>
        <v>1718.3206684630713</v>
      </c>
      <c r="AB75" s="14">
        <f t="shared" si="147"/>
        <v>4126.7680699150587</v>
      </c>
      <c r="AC75" s="25">
        <f t="shared" ca="1" si="121"/>
        <v>1016314.2728324189</v>
      </c>
      <c r="AD75" s="41">
        <f t="shared" si="122"/>
        <v>2440809.429287211</v>
      </c>
      <c r="AE75" s="6">
        <v>5</v>
      </c>
      <c r="AF75" s="41">
        <f t="shared" si="123"/>
        <v>206.33840349575294</v>
      </c>
      <c r="AG75" s="41">
        <f t="shared" ca="1" si="124"/>
        <v>2408.4474014519874</v>
      </c>
      <c r="AH75" s="41">
        <f t="shared" ca="1" si="125"/>
        <v>1424495.1564547922</v>
      </c>
      <c r="AI75" s="41">
        <f t="shared" si="126"/>
        <v>166.3571512791186</v>
      </c>
      <c r="AJ75" s="13">
        <f t="shared" ca="1" si="127"/>
        <v>-53.380684066926726</v>
      </c>
      <c r="AK75" s="11"/>
      <c r="AL75" s="6">
        <f t="shared" ref="AL75:AL92" si="153">AL74</f>
        <v>-350</v>
      </c>
      <c r="AM75" s="41">
        <f t="shared" ca="1" si="128"/>
        <v>6.5566788084091048</v>
      </c>
      <c r="AN75" s="41">
        <f t="shared" ca="1" si="129"/>
        <v>0.30298622456086238</v>
      </c>
      <c r="AO75" s="41">
        <f t="shared" ca="1" si="130"/>
        <v>0.63563209552766675</v>
      </c>
      <c r="AP75" s="67">
        <f t="shared" si="148"/>
        <v>0.80623455673166888</v>
      </c>
      <c r="AQ75" s="11">
        <f t="shared" si="131"/>
        <v>0.98811546571837594</v>
      </c>
      <c r="AR75" s="11">
        <f t="shared" si="132"/>
        <v>0.70658997156274539</v>
      </c>
      <c r="AS75" s="11">
        <f t="shared" si="133"/>
        <v>0.71508846493870337</v>
      </c>
      <c r="AT75" s="11">
        <f t="shared" si="134"/>
        <v>512.50584860415006</v>
      </c>
      <c r="AU75" s="11">
        <f t="shared" si="135"/>
        <v>1495.2998296205128</v>
      </c>
      <c r="AV75" s="11">
        <f t="shared" si="136"/>
        <v>1.6996937723128039E-3</v>
      </c>
      <c r="AW75" s="11">
        <f t="shared" si="137"/>
        <v>3.7026201840146783E-7</v>
      </c>
      <c r="AX75" s="41">
        <f t="shared" ca="1" si="138"/>
        <v>2.4680928811971397</v>
      </c>
      <c r="AY75" s="41">
        <f t="shared" ca="1" si="139"/>
        <v>3.3245701459304517</v>
      </c>
      <c r="AZ75" s="41">
        <f t="shared" si="140"/>
        <v>0.36405927234435065</v>
      </c>
      <c r="BA75" s="154">
        <f t="shared" si="149"/>
        <v>1.6781008839057157</v>
      </c>
      <c r="BB75" s="156">
        <f t="shared" si="150"/>
        <v>1.4521076108046231</v>
      </c>
      <c r="BC75" s="156">
        <f t="shared" si="151"/>
        <v>1.0593865244949536</v>
      </c>
    </row>
    <row r="76" spans="1:55" ht="14.5">
      <c r="A76" s="41">
        <f t="shared" ca="1" si="141"/>
        <v>1138.9021725264274</v>
      </c>
      <c r="B76" s="41">
        <f t="shared" ca="1" si="103"/>
        <v>18.981702875440458</v>
      </c>
      <c r="C76" s="41">
        <f t="shared" ca="1" si="103"/>
        <v>0.3163617145906743</v>
      </c>
      <c r="D76" s="41">
        <f t="shared" ca="1" si="142"/>
        <v>16674.757136389915</v>
      </c>
      <c r="E76" s="41">
        <f t="shared" ca="1" si="143"/>
        <v>110.1504784982842</v>
      </c>
      <c r="F76" s="41">
        <f t="shared" ca="1" si="144"/>
        <v>1.8459685461636908</v>
      </c>
      <c r="G76" s="41"/>
      <c r="H76" s="7">
        <f t="shared" si="145"/>
        <v>8950</v>
      </c>
      <c r="I76" s="6">
        <v>15</v>
      </c>
      <c r="J76" s="41">
        <f t="shared" si="105"/>
        <v>0.51806387348288852</v>
      </c>
      <c r="K76" s="41">
        <f t="shared" si="106"/>
        <v>575.64442852205673</v>
      </c>
      <c r="L76" s="6">
        <f t="shared" si="152"/>
        <v>292.625</v>
      </c>
      <c r="M76" s="41">
        <f t="shared" si="107"/>
        <v>341.06011358846229</v>
      </c>
      <c r="N76" s="41">
        <f t="shared" si="108"/>
        <v>284.74338591382366</v>
      </c>
      <c r="O76" s="41">
        <f t="shared" si="109"/>
        <v>2666840.8479856919</v>
      </c>
      <c r="P76" s="41">
        <f t="shared" si="110"/>
        <v>17122992.190907042</v>
      </c>
      <c r="Q76" s="41">
        <f t="shared" si="111"/>
        <v>2.6926224395006034E-3</v>
      </c>
      <c r="R76" s="41">
        <f t="shared" si="112"/>
        <v>2.137016274752121E-2</v>
      </c>
      <c r="S76" s="24">
        <f t="shared" ca="1" si="146"/>
        <v>-5.0110434907979498</v>
      </c>
      <c r="T76" s="10">
        <f t="shared" ca="1" si="113"/>
        <v>-5.0110434907979498</v>
      </c>
      <c r="U76" s="41">
        <f t="shared" ca="1" si="114"/>
        <v>0.25363835661452272</v>
      </c>
      <c r="V76" s="41">
        <f t="shared" ca="1" si="115"/>
        <v>2.5433187350246685E-2</v>
      </c>
      <c r="W76" s="41">
        <f t="shared" ca="1" si="116"/>
        <v>9.9727318138150149</v>
      </c>
      <c r="X76" s="20">
        <f t="shared" ca="1" si="117"/>
        <v>1665.6443325586699</v>
      </c>
      <c r="Y76" s="41">
        <f t="shared" si="118"/>
        <v>0.58169337740763372</v>
      </c>
      <c r="Z76" s="41">
        <f t="shared" ca="1" si="119"/>
        <v>187.13548628896342</v>
      </c>
      <c r="AA76" s="14">
        <f t="shared" ca="1" si="120"/>
        <v>1672.0350499439608</v>
      </c>
      <c r="AB76" s="14">
        <f t="shared" si="147"/>
        <v>4182.8353145298888</v>
      </c>
      <c r="AC76" s="25">
        <f t="shared" ca="1" si="121"/>
        <v>962497.66079383984</v>
      </c>
      <c r="AD76" s="41">
        <f t="shared" si="122"/>
        <v>2407825.8442344354</v>
      </c>
      <c r="AE76" s="6">
        <v>5</v>
      </c>
      <c r="AF76" s="41">
        <f t="shared" si="123"/>
        <v>209.14176572649444</v>
      </c>
      <c r="AG76" s="41">
        <f t="shared" ca="1" si="124"/>
        <v>2510.8002645859278</v>
      </c>
      <c r="AH76" s="41">
        <f t="shared" ca="1" si="125"/>
        <v>1445328.1834405954</v>
      </c>
      <c r="AI76" s="41">
        <f t="shared" si="126"/>
        <v>168.12561881653434</v>
      </c>
      <c r="AJ76" s="13">
        <f t="shared" ca="1" si="127"/>
        <v>-50.281247328951267</v>
      </c>
      <c r="AK76" s="11"/>
      <c r="AL76" s="6">
        <f t="shared" si="153"/>
        <v>-350</v>
      </c>
      <c r="AM76" s="41">
        <f t="shared" ca="1" si="128"/>
        <v>6.9608456152692675</v>
      </c>
      <c r="AN76" s="41">
        <f t="shared" ca="1" si="129"/>
        <v>0.3250823545981959</v>
      </c>
      <c r="AO76" s="41">
        <f t="shared" ca="1" si="130"/>
        <v>0.65694245271230267</v>
      </c>
      <c r="AP76" s="67">
        <f t="shared" si="148"/>
        <v>0.80388352002536378</v>
      </c>
      <c r="AQ76" s="11">
        <f t="shared" si="131"/>
        <v>0.99052183821837592</v>
      </c>
      <c r="AR76" s="11">
        <f t="shared" si="132"/>
        <v>0.71618986962021247</v>
      </c>
      <c r="AS76" s="11">
        <f t="shared" si="133"/>
        <v>0.72304298803588551</v>
      </c>
      <c r="AT76" s="11">
        <f t="shared" si="134"/>
        <v>513.75396182872498</v>
      </c>
      <c r="AU76" s="11">
        <f t="shared" si="135"/>
        <v>1515.6153258876859</v>
      </c>
      <c r="AV76" s="11">
        <f t="shared" si="136"/>
        <v>1.7186008782624962E-3</v>
      </c>
      <c r="AW76" s="11">
        <f t="shared" si="137"/>
        <v>3.7096440200852477E-7</v>
      </c>
      <c r="AX76" s="41">
        <f t="shared" ca="1" si="138"/>
        <v>2.3708164479579121</v>
      </c>
      <c r="AY76" s="41">
        <f t="shared" ca="1" si="139"/>
        <v>3.1935368577128433</v>
      </c>
      <c r="AZ76" s="41">
        <f t="shared" si="140"/>
        <v>0.35558388261041607</v>
      </c>
      <c r="BA76" s="154">
        <f t="shared" si="149"/>
        <v>1.6730560927427629</v>
      </c>
      <c r="BB76" s="156">
        <f t="shared" si="150"/>
        <v>1.4448630074676665</v>
      </c>
      <c r="BC76" s="156">
        <f t="shared" si="151"/>
        <v>1.0537184869321885</v>
      </c>
    </row>
    <row r="77" spans="1:55" ht="14.5">
      <c r="A77" s="41">
        <f t="shared" ca="1" si="141"/>
        <v>1145.8630181416968</v>
      </c>
      <c r="B77" s="41">
        <f t="shared" ca="1" si="103"/>
        <v>19.09771696902828</v>
      </c>
      <c r="C77" s="41">
        <f t="shared" ca="1" si="103"/>
        <v>0.31829528281713798</v>
      </c>
      <c r="D77" s="41">
        <f t="shared" ca="1" si="142"/>
        <v>16674.432054035318</v>
      </c>
      <c r="E77" s="41">
        <f t="shared" ca="1" si="143"/>
        <v>110.8074209509965</v>
      </c>
      <c r="F77" s="41">
        <f t="shared" ca="1" si="144"/>
        <v>2.5029109988759934</v>
      </c>
      <c r="G77" s="41"/>
      <c r="H77" s="7">
        <f t="shared" si="145"/>
        <v>8600</v>
      </c>
      <c r="I77" s="6">
        <v>15</v>
      </c>
      <c r="J77" s="41">
        <f t="shared" si="105"/>
        <v>0.50332708932240355</v>
      </c>
      <c r="K77" s="41">
        <f t="shared" si="106"/>
        <v>559.94864711802177</v>
      </c>
      <c r="L77" s="6">
        <f t="shared" si="152"/>
        <v>286</v>
      </c>
      <c r="M77" s="41">
        <f t="shared" si="107"/>
        <v>331.76061423907402</v>
      </c>
      <c r="N77" s="41">
        <f t="shared" si="108"/>
        <v>272.41645307654085</v>
      </c>
      <c r="O77" s="41">
        <f t="shared" si="109"/>
        <v>2617955.9418630693</v>
      </c>
      <c r="P77" s="41">
        <f t="shared" si="110"/>
        <v>16809116.742950283</v>
      </c>
      <c r="Q77" s="41">
        <f t="shared" si="111"/>
        <v>2.7040234132126089E-3</v>
      </c>
      <c r="R77" s="41">
        <f t="shared" si="112"/>
        <v>2.1439476511087834E-2</v>
      </c>
      <c r="S77" s="24">
        <f t="shared" ca="1" si="146"/>
        <v>-4.8493378254552928</v>
      </c>
      <c r="T77" s="10">
        <f t="shared" ca="1" si="113"/>
        <v>-4.8493378254552928</v>
      </c>
      <c r="U77" s="41">
        <f t="shared" ca="1" si="114"/>
        <v>0.26517495610708453</v>
      </c>
      <c r="V77" s="41">
        <f t="shared" ca="1" si="115"/>
        <v>2.5880515665379532E-2</v>
      </c>
      <c r="W77" s="41">
        <f t="shared" ca="1" si="116"/>
        <v>10.24612335919605</v>
      </c>
      <c r="X77" s="20">
        <f t="shared" ca="1" si="117"/>
        <v>1621.5640047115451</v>
      </c>
      <c r="Y77" s="41">
        <f t="shared" si="118"/>
        <v>0.58263597005023993</v>
      </c>
      <c r="Z77" s="41">
        <f t="shared" ca="1" si="119"/>
        <v>186.12676609467448</v>
      </c>
      <c r="AA77" s="14">
        <f t="shared" ca="1" si="120"/>
        <v>1627.3893520001168</v>
      </c>
      <c r="AB77" s="14">
        <f t="shared" si="147"/>
        <v>4239.5177883399092</v>
      </c>
      <c r="AC77" s="25">
        <f t="shared" ca="1" si="121"/>
        <v>911254.46598673949</v>
      </c>
      <c r="AD77" s="41">
        <f t="shared" si="122"/>
        <v>2373912.2500137198</v>
      </c>
      <c r="AE77" s="6">
        <v>5</v>
      </c>
      <c r="AF77" s="41">
        <f t="shared" si="123"/>
        <v>211.97588941699547</v>
      </c>
      <c r="AG77" s="41">
        <f t="shared" ca="1" si="124"/>
        <v>2612.1284363397926</v>
      </c>
      <c r="AH77" s="41">
        <f t="shared" ca="1" si="125"/>
        <v>1462657.7840269804</v>
      </c>
      <c r="AI77" s="41">
        <f t="shared" si="126"/>
        <v>169.90309852833545</v>
      </c>
      <c r="AJ77" s="13">
        <f t="shared" ca="1" si="127"/>
        <v>-47.335762657164103</v>
      </c>
      <c r="AK77" s="11"/>
      <c r="AL77" s="6">
        <f t="shared" si="153"/>
        <v>-350</v>
      </c>
      <c r="AM77" s="41">
        <f t="shared" ca="1" si="128"/>
        <v>7.3939867101101564</v>
      </c>
      <c r="AN77" s="41">
        <f t="shared" ca="1" si="129"/>
        <v>0.3489614590347358</v>
      </c>
      <c r="AO77" s="41">
        <f t="shared" ca="1" si="130"/>
        <v>0.67895910486317579</v>
      </c>
      <c r="AP77" s="67">
        <f t="shared" si="148"/>
        <v>0.80152086633826958</v>
      </c>
      <c r="AQ77" s="11">
        <f t="shared" si="131"/>
        <v>0.99292821071837589</v>
      </c>
      <c r="AR77" s="11">
        <f t="shared" si="132"/>
        <v>0.72589510792752365</v>
      </c>
      <c r="AS77" s="11">
        <f t="shared" si="133"/>
        <v>0.73106504588317034</v>
      </c>
      <c r="AT77" s="11">
        <f t="shared" si="134"/>
        <v>515.00207505330002</v>
      </c>
      <c r="AU77" s="11">
        <f t="shared" si="135"/>
        <v>1536.1537452983839</v>
      </c>
      <c r="AV77" s="11">
        <f t="shared" si="136"/>
        <v>1.7376685075597075E-3</v>
      </c>
      <c r="AW77" s="11">
        <f t="shared" si="137"/>
        <v>3.7166596824208236E-7</v>
      </c>
      <c r="AX77" s="41">
        <f t="shared" ca="1" si="138"/>
        <v>2.2757223544558083</v>
      </c>
      <c r="AY77" s="41">
        <f t="shared" ca="1" si="139"/>
        <v>3.0654432244788836</v>
      </c>
      <c r="AZ77" s="41">
        <f t="shared" si="140"/>
        <v>0.34708367609146251</v>
      </c>
      <c r="BA77" s="154">
        <f t="shared" si="149"/>
        <v>1.6679797668292264</v>
      </c>
      <c r="BB77" s="156">
        <f t="shared" si="150"/>
        <v>1.4376000384911731</v>
      </c>
      <c r="BC77" s="156">
        <f t="shared" si="151"/>
        <v>1.0480645635038632</v>
      </c>
    </row>
    <row r="78" spans="1:55" ht="14.5">
      <c r="A78" s="41">
        <f t="shared" ca="1" si="141"/>
        <v>1153.2570048518069</v>
      </c>
      <c r="B78" s="41">
        <f t="shared" ca="1" si="103"/>
        <v>19.220950080863449</v>
      </c>
      <c r="C78" s="41">
        <f t="shared" ca="1" si="103"/>
        <v>0.32034916801439084</v>
      </c>
      <c r="D78" s="41">
        <f t="shared" ca="1" si="142"/>
        <v>16674.083092576282</v>
      </c>
      <c r="E78" s="41">
        <f t="shared" ca="1" si="143"/>
        <v>111.48638005585968</v>
      </c>
      <c r="F78" s="41">
        <f t="shared" ca="1" si="144"/>
        <v>3.1818701037391692</v>
      </c>
      <c r="G78" s="41"/>
      <c r="H78" s="7">
        <f t="shared" si="145"/>
        <v>8250</v>
      </c>
      <c r="I78" s="6">
        <v>15</v>
      </c>
      <c r="J78" s="41">
        <f t="shared" si="105"/>
        <v>0.48873348150046425</v>
      </c>
      <c r="K78" s="41">
        <f t="shared" si="106"/>
        <v>544.37178679888393</v>
      </c>
      <c r="L78" s="6">
        <f t="shared" si="152"/>
        <v>279.375</v>
      </c>
      <c r="M78" s="41">
        <f t="shared" si="107"/>
        <v>322.53157372974994</v>
      </c>
      <c r="N78" s="41">
        <f t="shared" si="108"/>
        <v>260.32008192729234</v>
      </c>
      <c r="O78" s="41">
        <f t="shared" si="109"/>
        <v>2568450.5009735916</v>
      </c>
      <c r="P78" s="41">
        <f t="shared" si="110"/>
        <v>16491257.02575036</v>
      </c>
      <c r="Q78" s="41">
        <f t="shared" si="111"/>
        <v>2.7155967870129989E-3</v>
      </c>
      <c r="R78" s="41">
        <f t="shared" si="112"/>
        <v>2.1509838404337681E-2</v>
      </c>
      <c r="S78" s="24">
        <f t="shared" ca="1" si="146"/>
        <v>-4.6934081396413418</v>
      </c>
      <c r="T78" s="10">
        <f t="shared" ca="1" si="113"/>
        <v>-4.6934081396413418</v>
      </c>
      <c r="U78" s="41">
        <f t="shared" ca="1" si="114"/>
        <v>0.2775541548781188</v>
      </c>
      <c r="V78" s="41">
        <f t="shared" ca="1" si="115"/>
        <v>2.637519926045459E-2</v>
      </c>
      <c r="W78" s="41">
        <f t="shared" ca="1" si="116"/>
        <v>10.52330077726719</v>
      </c>
      <c r="X78" s="20">
        <f t="shared" ca="1" si="117"/>
        <v>1579.1786274359458</v>
      </c>
      <c r="Y78" s="41">
        <f t="shared" si="118"/>
        <v>0.58359125898808073</v>
      </c>
      <c r="Z78" s="41">
        <f t="shared" ca="1" si="119"/>
        <v>185.12448122731445</v>
      </c>
      <c r="AA78" s="14">
        <f t="shared" ca="1" si="120"/>
        <v>1584.4917336769686</v>
      </c>
      <c r="AB78" s="14">
        <f t="shared" si="147"/>
        <v>4296.8206428463982</v>
      </c>
      <c r="AC78" s="25">
        <f t="shared" ca="1" si="121"/>
        <v>862552.59622979269</v>
      </c>
      <c r="AD78" s="41">
        <f t="shared" si="122"/>
        <v>2339067.9309006231</v>
      </c>
      <c r="AE78" s="6">
        <v>5</v>
      </c>
      <c r="AF78" s="41">
        <f t="shared" si="123"/>
        <v>214.84103214231993</v>
      </c>
      <c r="AG78" s="41">
        <f t="shared" ca="1" si="124"/>
        <v>2712.3289091694296</v>
      </c>
      <c r="AH78" s="41">
        <f t="shared" ca="1" si="125"/>
        <v>1476515.3346708305</v>
      </c>
      <c r="AI78" s="41">
        <f t="shared" si="126"/>
        <v>171.68967347679001</v>
      </c>
      <c r="AJ78" s="13">
        <f t="shared" ca="1" si="127"/>
        <v>-44.542592862425835</v>
      </c>
      <c r="AK78" s="11"/>
      <c r="AL78" s="6">
        <f t="shared" si="153"/>
        <v>-350</v>
      </c>
      <c r="AM78" s="41">
        <f t="shared" ca="1" si="128"/>
        <v>7.8576476470736516</v>
      </c>
      <c r="AN78" s="41">
        <f t="shared" ca="1" si="129"/>
        <v>0.37474359967270626</v>
      </c>
      <c r="AO78" s="41">
        <f t="shared" ca="1" si="130"/>
        <v>0.70162259240025382</v>
      </c>
      <c r="AP78" s="67">
        <f t="shared" si="148"/>
        <v>0.79914749880300051</v>
      </c>
      <c r="AQ78" s="11">
        <f t="shared" si="131"/>
        <v>0.99533458321837587</v>
      </c>
      <c r="AR78" s="11">
        <f t="shared" si="132"/>
        <v>0.73570656853064831</v>
      </c>
      <c r="AS78" s="11">
        <f t="shared" si="133"/>
        <v>0.7391550348343866</v>
      </c>
      <c r="AT78" s="11">
        <f t="shared" si="134"/>
        <v>516.25018827787494</v>
      </c>
      <c r="AU78" s="11">
        <f t="shared" si="135"/>
        <v>1556.9169544559284</v>
      </c>
      <c r="AV78" s="11">
        <f t="shared" si="136"/>
        <v>1.7568976022978534E-3</v>
      </c>
      <c r="AW78" s="11">
        <f t="shared" si="137"/>
        <v>3.7236671939872864E-7</v>
      </c>
      <c r="AX78" s="41">
        <f t="shared" ca="1" si="138"/>
        <v>2.1828772961820602</v>
      </c>
      <c r="AY78" s="41">
        <f t="shared" ca="1" si="139"/>
        <v>2.9403790863803381</v>
      </c>
      <c r="AZ78" s="41">
        <f t="shared" si="140"/>
        <v>0.33856204116456878</v>
      </c>
      <c r="BA78" s="154">
        <f t="shared" si="149"/>
        <v>1.6628721379101219</v>
      </c>
      <c r="BB78" s="156">
        <f t="shared" si="150"/>
        <v>1.4303196430074887</v>
      </c>
      <c r="BC78" s="156">
        <f t="shared" si="151"/>
        <v>1.0424258729459079</v>
      </c>
    </row>
    <row r="79" spans="1:55" ht="14.5">
      <c r="A79" s="41">
        <f t="shared" ca="1" si="141"/>
        <v>1161.1146524988806</v>
      </c>
      <c r="B79" s="41">
        <f t="shared" ca="1" si="103"/>
        <v>19.351910874981343</v>
      </c>
      <c r="C79" s="41">
        <f t="shared" ca="1" si="103"/>
        <v>0.3225318479163557</v>
      </c>
      <c r="D79" s="41">
        <f t="shared" ca="1" si="142"/>
        <v>16673.708348976608</v>
      </c>
      <c r="E79" s="41">
        <f t="shared" ca="1" si="143"/>
        <v>112.18800264825994</v>
      </c>
      <c r="F79" s="41">
        <f t="shared" ca="1" si="144"/>
        <v>3.8834926961394229</v>
      </c>
      <c r="G79" s="41"/>
      <c r="H79" s="7">
        <f t="shared" si="145"/>
        <v>7900</v>
      </c>
      <c r="I79" s="6">
        <v>15</v>
      </c>
      <c r="J79" s="41">
        <f t="shared" si="105"/>
        <v>0.47428351947963815</v>
      </c>
      <c r="K79" s="41">
        <f t="shared" si="106"/>
        <v>528.91502411430031</v>
      </c>
      <c r="L79" s="6">
        <f t="shared" si="152"/>
        <v>272.75</v>
      </c>
      <c r="M79" s="41">
        <f t="shared" si="107"/>
        <v>313.37368914733713</v>
      </c>
      <c r="N79" s="41">
        <f t="shared" si="108"/>
        <v>248.4594183184079</v>
      </c>
      <c r="O79" s="41">
        <f t="shared" si="109"/>
        <v>2518332.7875709352</v>
      </c>
      <c r="P79" s="41">
        <f t="shared" si="110"/>
        <v>16169466.088781627</v>
      </c>
      <c r="Q79" s="41">
        <f t="shared" si="111"/>
        <v>2.7273577316399293E-3</v>
      </c>
      <c r="R79" s="41">
        <f t="shared" si="112"/>
        <v>2.1581340659827739E-2</v>
      </c>
      <c r="S79" s="24">
        <f t="shared" ca="1" si="146"/>
        <v>-4.5436619483139182</v>
      </c>
      <c r="T79" s="10">
        <f t="shared" ca="1" si="113"/>
        <v>-4.5436619483139182</v>
      </c>
      <c r="U79" s="41">
        <f t="shared" ca="1" si="114"/>
        <v>0.29085857661251319</v>
      </c>
      <c r="V79" s="41">
        <f t="shared" ca="1" si="115"/>
        <v>2.6924318091813476E-2</v>
      </c>
      <c r="W79" s="41">
        <f t="shared" ca="1" si="116"/>
        <v>10.802820543891537</v>
      </c>
      <c r="X79" s="20">
        <f t="shared" ca="1" si="117"/>
        <v>1538.6080946937054</v>
      </c>
      <c r="Y79" s="41">
        <f t="shared" si="118"/>
        <v>0.58456043110060818</v>
      </c>
      <c r="Z79" s="41">
        <f t="shared" ca="1" si="119"/>
        <v>184.12858680251938</v>
      </c>
      <c r="AA79" s="14">
        <f t="shared" ca="1" si="120"/>
        <v>1543.4587921952261</v>
      </c>
      <c r="AB79" s="14">
        <f t="shared" si="147"/>
        <v>4354.7490593616949</v>
      </c>
      <c r="AC79" s="25">
        <f t="shared" ca="1" si="121"/>
        <v>816358.54429336684</v>
      </c>
      <c r="AD79" s="41">
        <f t="shared" si="122"/>
        <v>2303292.2037440175</v>
      </c>
      <c r="AE79" s="6">
        <v>5</v>
      </c>
      <c r="AF79" s="41">
        <f t="shared" si="123"/>
        <v>217.73745296808477</v>
      </c>
      <c r="AG79" s="41">
        <f t="shared" ca="1" si="124"/>
        <v>2811.2902671664688</v>
      </c>
      <c r="AH79" s="41">
        <f t="shared" ca="1" si="125"/>
        <v>1486933.6594506507</v>
      </c>
      <c r="AI79" s="41">
        <f t="shared" si="126"/>
        <v>173.48543157779127</v>
      </c>
      <c r="AJ79" s="13">
        <f t="shared" ca="1" si="127"/>
        <v>-41.899996851213849</v>
      </c>
      <c r="AK79" s="11"/>
      <c r="AL79" s="6">
        <f t="shared" si="153"/>
        <v>-350</v>
      </c>
      <c r="AM79" s="41">
        <f t="shared" ca="1" si="128"/>
        <v>8.3532225847854793</v>
      </c>
      <c r="AN79" s="41">
        <f t="shared" ca="1" si="129"/>
        <v>0.40254511810746169</v>
      </c>
      <c r="AO79" s="41">
        <f t="shared" ca="1" si="130"/>
        <v>0.72484818783448268</v>
      </c>
      <c r="AP79" s="67">
        <f t="shared" si="148"/>
        <v>0.79676431047083207</v>
      </c>
      <c r="AQ79" s="11">
        <f t="shared" si="131"/>
        <v>0.99774095571837584</v>
      </c>
      <c r="AR79" s="11">
        <f t="shared" si="132"/>
        <v>0.74562513857983947</v>
      </c>
      <c r="AS79" s="11">
        <f t="shared" si="133"/>
        <v>0.74731335253546605</v>
      </c>
      <c r="AT79" s="11">
        <f t="shared" si="134"/>
        <v>517.49830150244998</v>
      </c>
      <c r="AU79" s="11">
        <f t="shared" si="135"/>
        <v>1577.9068307654277</v>
      </c>
      <c r="AV79" s="11">
        <f t="shared" si="136"/>
        <v>1.7762891076415492E-3</v>
      </c>
      <c r="AW79" s="11">
        <f t="shared" si="137"/>
        <v>3.730666577662288E-7</v>
      </c>
      <c r="AX79" s="41">
        <f t="shared" ca="1" si="138"/>
        <v>2.0923504349805206</v>
      </c>
      <c r="AY79" s="41">
        <f t="shared" ca="1" si="139"/>
        <v>2.8184376057949532</v>
      </c>
      <c r="AZ79" s="41">
        <f t="shared" si="140"/>
        <v>0.33002230335615335</v>
      </c>
      <c r="BA79" s="154">
        <f t="shared" si="149"/>
        <v>1.6577334467509071</v>
      </c>
      <c r="BB79" s="156">
        <f t="shared" si="150"/>
        <v>1.4230227758413387</v>
      </c>
      <c r="BC79" s="156">
        <f t="shared" si="151"/>
        <v>1.0368035362302084</v>
      </c>
    </row>
    <row r="80" spans="1:55" ht="14.5">
      <c r="A80" s="41">
        <f t="shared" ca="1" si="141"/>
        <v>1169.4678750836661</v>
      </c>
      <c r="B80" s="41">
        <f t="shared" ca="1" si="103"/>
        <v>19.491131251394435</v>
      </c>
      <c r="C80" s="41">
        <f t="shared" ca="1" si="103"/>
        <v>0.32485218752324058</v>
      </c>
      <c r="D80" s="41">
        <f t="shared" ca="1" si="142"/>
        <v>16673.3058038585</v>
      </c>
      <c r="E80" s="41">
        <f t="shared" ca="1" si="143"/>
        <v>112.91285083609442</v>
      </c>
      <c r="F80" s="41">
        <f t="shared" ca="1" si="144"/>
        <v>4.6083408839739057</v>
      </c>
      <c r="G80" s="41"/>
      <c r="H80" s="7">
        <f t="shared" si="145"/>
        <v>7550</v>
      </c>
      <c r="I80" s="6">
        <v>15</v>
      </c>
      <c r="J80" s="41">
        <f t="shared" si="105"/>
        <v>0.45997759078304135</v>
      </c>
      <c r="K80" s="41">
        <f t="shared" si="106"/>
        <v>513.57944489126476</v>
      </c>
      <c r="L80" s="6">
        <f t="shared" si="152"/>
        <v>266.125</v>
      </c>
      <c r="M80" s="41">
        <f t="shared" si="107"/>
        <v>304.28760382695611</v>
      </c>
      <c r="N80" s="41">
        <f t="shared" si="108"/>
        <v>236.8393566056111</v>
      </c>
      <c r="O80" s="41">
        <f t="shared" si="109"/>
        <v>2467610.9629038828</v>
      </c>
      <c r="P80" s="41">
        <f t="shared" si="110"/>
        <v>15843796.332996054</v>
      </c>
      <c r="Q80" s="41">
        <f t="shared" si="111"/>
        <v>2.7393226228184238E-3</v>
      </c>
      <c r="R80" s="41">
        <f t="shared" si="112"/>
        <v>2.165408283599584E-2</v>
      </c>
      <c r="S80" s="24">
        <f t="shared" ca="1" si="146"/>
        <v>-4.4005403791973565</v>
      </c>
      <c r="T80" s="10">
        <f t="shared" ca="1" si="113"/>
        <v>-4.4005403791973565</v>
      </c>
      <c r="U80" s="41">
        <f t="shared" ca="1" si="114"/>
        <v>0.30518123657856872</v>
      </c>
      <c r="V80" s="41">
        <f t="shared" ca="1" si="115"/>
        <v>2.7536221357511818E-2</v>
      </c>
      <c r="W80" s="41">
        <f t="shared" ca="1" si="116"/>
        <v>11.082901775675767</v>
      </c>
      <c r="X80" s="20">
        <f t="shared" ca="1" si="117"/>
        <v>1499.9820184224409</v>
      </c>
      <c r="Y80" s="41">
        <f t="shared" si="118"/>
        <v>0.58554476352475249</v>
      </c>
      <c r="Z80" s="41">
        <f t="shared" ca="1" si="119"/>
        <v>183.13903729197807</v>
      </c>
      <c r="AA80" s="14">
        <f t="shared" ca="1" si="120"/>
        <v>1504.4169966797224</v>
      </c>
      <c r="AB80" s="14">
        <f t="shared" si="147"/>
        <v>4413.3082491050009</v>
      </c>
      <c r="AC80" s="25">
        <f t="shared" ca="1" si="121"/>
        <v>772637.64603975555</v>
      </c>
      <c r="AD80" s="41">
        <f t="shared" si="122"/>
        <v>2266584.400709386</v>
      </c>
      <c r="AE80" s="6">
        <v>5</v>
      </c>
      <c r="AF80" s="41">
        <f t="shared" si="123"/>
        <v>220.66541245525005</v>
      </c>
      <c r="AG80" s="41">
        <f t="shared" ca="1" si="124"/>
        <v>2908.8912524252783</v>
      </c>
      <c r="AH80" s="41">
        <f t="shared" ca="1" si="125"/>
        <v>1493946.7546696304</v>
      </c>
      <c r="AI80" s="41">
        <f t="shared" si="126"/>
        <v>175.29046546331148</v>
      </c>
      <c r="AJ80" s="13">
        <f t="shared" ca="1" si="127"/>
        <v>-39.406145371648982</v>
      </c>
      <c r="AK80" s="11"/>
      <c r="AL80" s="6">
        <f t="shared" si="153"/>
        <v>-350</v>
      </c>
      <c r="AM80" s="41">
        <f t="shared" ca="1" si="128"/>
        <v>8.8818633920944183</v>
      </c>
      <c r="AN80" s="41">
        <f t="shared" ca="1" si="129"/>
        <v>0.4324738800504937</v>
      </c>
      <c r="AO80" s="41">
        <f t="shared" ca="1" si="130"/>
        <v>0.7485204502710906</v>
      </c>
      <c r="AP80" s="67">
        <f t="shared" si="148"/>
        <v>0.79437218326573766</v>
      </c>
      <c r="AQ80" s="11">
        <f t="shared" si="131"/>
        <v>1.0001473282183759</v>
      </c>
      <c r="AR80" s="11">
        <f t="shared" si="132"/>
        <v>0.75565171034603806</v>
      </c>
      <c r="AS80" s="11">
        <f t="shared" si="133"/>
        <v>0.7555403979253007</v>
      </c>
      <c r="AT80" s="11">
        <f t="shared" si="134"/>
        <v>518.74641472702501</v>
      </c>
      <c r="AU80" s="11">
        <f t="shared" si="135"/>
        <v>1599.1252624684926</v>
      </c>
      <c r="AV80" s="11">
        <f t="shared" si="136"/>
        <v>1.7958439718286472E-3</v>
      </c>
      <c r="AW80" s="11">
        <f t="shared" si="137"/>
        <v>3.7376578562356062E-7</v>
      </c>
      <c r="AX80" s="41">
        <f t="shared" ca="1" si="138"/>
        <v>2.0042141971095258</v>
      </c>
      <c r="AY80" s="41">
        <f t="shared" ca="1" si="139"/>
        <v>2.6997163423316395</v>
      </c>
      <c r="AZ80" s="41">
        <f t="shared" si="140"/>
        <v>0.32146772207852431</v>
      </c>
      <c r="BA80" s="154">
        <f t="shared" si="149"/>
        <v>1.6525639432131218</v>
      </c>
      <c r="BB80" s="156">
        <f t="shared" si="150"/>
        <v>1.4157104073667155</v>
      </c>
      <c r="BC80" s="156">
        <f t="shared" si="151"/>
        <v>1.0311986758989387</v>
      </c>
    </row>
    <row r="81" spans="1:55" ht="14.5">
      <c r="A81" s="41">
        <f t="shared" ca="1" si="141"/>
        <v>1178.3497384757604</v>
      </c>
      <c r="B81" s="41">
        <f t="shared" ca="1" si="103"/>
        <v>19.63916230792934</v>
      </c>
      <c r="C81" s="41">
        <f t="shared" ca="1" si="103"/>
        <v>0.32731937179882231</v>
      </c>
      <c r="D81" s="41">
        <f t="shared" ca="1" si="142"/>
        <v>16672.873329978451</v>
      </c>
      <c r="E81" s="41">
        <f t="shared" ca="1" si="143"/>
        <v>113.66137128636551</v>
      </c>
      <c r="F81" s="41">
        <f t="shared" ca="1" si="144"/>
        <v>5.3568613342449964</v>
      </c>
      <c r="G81" s="41"/>
      <c r="H81" s="7">
        <f t="shared" si="145"/>
        <v>7200</v>
      </c>
      <c r="I81" s="6">
        <v>15</v>
      </c>
      <c r="J81" s="41">
        <f t="shared" si="105"/>
        <v>0.44581600116795789</v>
      </c>
      <c r="K81" s="41">
        <f t="shared" si="106"/>
        <v>498.36604388176949</v>
      </c>
      <c r="L81" s="6">
        <f t="shared" si="152"/>
        <v>259.5</v>
      </c>
      <c r="M81" s="41">
        <f t="shared" si="107"/>
        <v>295.27390714324633</v>
      </c>
      <c r="N81" s="41">
        <f t="shared" si="108"/>
        <v>225.46454162285056</v>
      </c>
      <c r="O81" s="41">
        <f t="shared" si="109"/>
        <v>2416293.0703150062</v>
      </c>
      <c r="P81" s="41">
        <f t="shared" si="110"/>
        <v>15514299.402304877</v>
      </c>
      <c r="Q81" s="41">
        <f t="shared" si="111"/>
        <v>2.7515091603850616E-3</v>
      </c>
      <c r="R81" s="41">
        <f t="shared" si="112"/>
        <v>2.1728172541395325E-2</v>
      </c>
      <c r="S81" s="24">
        <f t="shared" ca="1" si="146"/>
        <v>-4.2645239607972618</v>
      </c>
      <c r="T81" s="10">
        <f t="shared" ca="1" si="113"/>
        <v>-4.2645239607972618</v>
      </c>
      <c r="U81" s="41">
        <f t="shared" ca="1" si="114"/>
        <v>0.32062714967156458</v>
      </c>
      <c r="V81" s="41">
        <f t="shared" ca="1" si="115"/>
        <v>2.8220795442940191E-2</v>
      </c>
      <c r="W81" s="41">
        <f t="shared" ca="1" si="116"/>
        <v>11.361378892378944</v>
      </c>
      <c r="X81" s="20">
        <f t="shared" ca="1" si="117"/>
        <v>1463.4414030181902</v>
      </c>
      <c r="Y81" s="41">
        <f t="shared" si="118"/>
        <v>0.58654563236731572</v>
      </c>
      <c r="Z81" s="41">
        <f t="shared" ca="1" si="119"/>
        <v>182.15578582106741</v>
      </c>
      <c r="AA81" s="14">
        <f t="shared" ca="1" si="120"/>
        <v>1467.504383747151</v>
      </c>
      <c r="AB81" s="14">
        <f t="shared" si="147"/>
        <v>4472.5034532982363</v>
      </c>
      <c r="AC81" s="25">
        <f t="shared" ca="1" si="121"/>
        <v>731354.3541072217</v>
      </c>
      <c r="AD81" s="41">
        <f t="shared" si="122"/>
        <v>2228943.8522677943</v>
      </c>
      <c r="AE81" s="6">
        <v>5</v>
      </c>
      <c r="AF81" s="41">
        <f t="shared" si="123"/>
        <v>223.62517266491182</v>
      </c>
      <c r="AG81" s="41">
        <f t="shared" ca="1" si="124"/>
        <v>3004.9990695510851</v>
      </c>
      <c r="AH81" s="41">
        <f t="shared" ca="1" si="125"/>
        <v>1497589.4981605727</v>
      </c>
      <c r="AI81" s="41">
        <f t="shared" si="126"/>
        <v>177.10487233444118</v>
      </c>
      <c r="AJ81" s="13">
        <f t="shared" ca="1" si="127"/>
        <v>-37.059137776246182</v>
      </c>
      <c r="AK81" s="11"/>
      <c r="AL81" s="6">
        <f t="shared" si="153"/>
        <v>-350</v>
      </c>
      <c r="AM81" s="41">
        <f t="shared" ca="1" si="128"/>
        <v>9.4443643592900788</v>
      </c>
      <c r="AN81" s="41">
        <f t="shared" ca="1" si="129"/>
        <v>0.46462304003667104</v>
      </c>
      <c r="AO81" s="41">
        <f t="shared" ca="1" si="130"/>
        <v>0.77248709711578212</v>
      </c>
      <c r="AP81" s="67">
        <f t="shared" si="148"/>
        <v>0.79197198698118676</v>
      </c>
      <c r="AQ81" s="11">
        <f t="shared" si="131"/>
        <v>1.0025537007183758</v>
      </c>
      <c r="AR81" s="11">
        <f t="shared" si="132"/>
        <v>0.7657871812372844</v>
      </c>
      <c r="AS81" s="11">
        <f t="shared" si="133"/>
        <v>0.76383657123659576</v>
      </c>
      <c r="AT81" s="11">
        <f t="shared" si="134"/>
        <v>519.99452795159993</v>
      </c>
      <c r="AU81" s="11">
        <f t="shared" si="135"/>
        <v>1620.5741486779659</v>
      </c>
      <c r="AV81" s="11">
        <f t="shared" si="136"/>
        <v>1.8155631461722645E-3</v>
      </c>
      <c r="AW81" s="11">
        <f t="shared" si="137"/>
        <v>3.7446410524094736E-7</v>
      </c>
      <c r="AX81" s="41">
        <f t="shared" ca="1" si="138"/>
        <v>1.9185452506344793</v>
      </c>
      <c r="AY81" s="41">
        <f t="shared" ca="1" si="139"/>
        <v>2.5843185693977029</v>
      </c>
      <c r="AZ81" s="41">
        <f t="shared" si="140"/>
        <v>0.3129014875874998</v>
      </c>
      <c r="BA81" s="154">
        <f t="shared" si="149"/>
        <v>1.6473638863280942</v>
      </c>
      <c r="BB81" s="156">
        <f t="shared" si="150"/>
        <v>1.4083835233519468</v>
      </c>
      <c r="BC81" s="156">
        <f t="shared" si="151"/>
        <v>1.0256124153820414</v>
      </c>
    </row>
    <row r="82" spans="1:55" ht="14.5">
      <c r="A82" s="41">
        <f t="shared" ca="1" si="141"/>
        <v>1187.7941028350506</v>
      </c>
      <c r="B82" s="41">
        <f t="shared" ca="1" si="103"/>
        <v>19.796568380584176</v>
      </c>
      <c r="C82" s="41">
        <f t="shared" ca="1" si="103"/>
        <v>0.32994280634306961</v>
      </c>
      <c r="D82" s="41">
        <f t="shared" ca="1" si="142"/>
        <v>16672.408706938415</v>
      </c>
      <c r="E82" s="41">
        <f t="shared" ca="1" si="143"/>
        <v>114.43385838348129</v>
      </c>
      <c r="F82" s="41">
        <f t="shared" ca="1" si="144"/>
        <v>6.1293484313607784</v>
      </c>
      <c r="G82" s="41"/>
      <c r="H82" s="7">
        <f t="shared" si="145"/>
        <v>6850</v>
      </c>
      <c r="I82" s="6">
        <v>15</v>
      </c>
      <c r="J82" s="41">
        <f t="shared" si="105"/>
        <v>0.4317989750195384</v>
      </c>
      <c r="K82" s="41">
        <f t="shared" si="106"/>
        <v>483.27572466011003</v>
      </c>
      <c r="L82" s="6">
        <f t="shared" si="152"/>
        <v>252.875</v>
      </c>
      <c r="M82" s="41">
        <f t="shared" si="107"/>
        <v>286.33313444952063</v>
      </c>
      <c r="N82" s="41">
        <f t="shared" si="108"/>
        <v>214.3393713569989</v>
      </c>
      <c r="O82" s="41">
        <f t="shared" si="109"/>
        <v>2364387.0191072659</v>
      </c>
      <c r="P82" s="41">
        <f t="shared" si="110"/>
        <v>15181026.079990847</v>
      </c>
      <c r="Q82" s="41">
        <f t="shared" si="111"/>
        <v>2.763936504026298E-3</v>
      </c>
      <c r="R82" s="41">
        <f t="shared" si="112"/>
        <v>2.1803726259934545E-2</v>
      </c>
      <c r="S82" s="24">
        <f t="shared" ca="1" si="146"/>
        <v>-4.1361394961658293</v>
      </c>
      <c r="T82" s="10">
        <f t="shared" ca="1" si="113"/>
        <v>-4.1361394961658293</v>
      </c>
      <c r="U82" s="41">
        <f t="shared" ca="1" si="114"/>
        <v>0.33731523621611414</v>
      </c>
      <c r="V82" s="41">
        <f t="shared" ca="1" si="115"/>
        <v>2.8989797320576913E-2</v>
      </c>
      <c r="W82" s="41">
        <f t="shared" ca="1" si="116"/>
        <v>11.635653484775773</v>
      </c>
      <c r="X82" s="20">
        <f t="shared" ca="1" si="117"/>
        <v>1429.1406346956312</v>
      </c>
      <c r="Y82" s="41">
        <f t="shared" si="118"/>
        <v>0.58756452262286041</v>
      </c>
      <c r="Z82" s="41">
        <f t="shared" ca="1" si="119"/>
        <v>181.1787833722293</v>
      </c>
      <c r="AA82" s="14">
        <f t="shared" ca="1" si="120"/>
        <v>1432.872569534044</v>
      </c>
      <c r="AB82" s="14">
        <f t="shared" si="147"/>
        <v>4532.3399432619817</v>
      </c>
      <c r="AC82" s="25">
        <f t="shared" ca="1" si="121"/>
        <v>692472.52938715904</v>
      </c>
      <c r="AD82" s="41">
        <f t="shared" si="122"/>
        <v>2190369.8704858962</v>
      </c>
      <c r="AE82" s="6">
        <v>5</v>
      </c>
      <c r="AF82" s="41">
        <f t="shared" si="123"/>
        <v>226.61699716309909</v>
      </c>
      <c r="AG82" s="41">
        <f t="shared" ca="1" si="124"/>
        <v>3099.4673737279377</v>
      </c>
      <c r="AH82" s="41">
        <f t="shared" ca="1" si="125"/>
        <v>1497897.3410987372</v>
      </c>
      <c r="AI82" s="41">
        <f t="shared" si="126"/>
        <v>178.92875380589041</v>
      </c>
      <c r="AJ82" s="13">
        <f t="shared" ca="1" si="127"/>
        <v>-34.857019916240027</v>
      </c>
      <c r="AK82" s="11"/>
      <c r="AL82" s="6">
        <f t="shared" si="153"/>
        <v>-350</v>
      </c>
      <c r="AM82" s="41">
        <f t="shared" ca="1" si="128"/>
        <v>10.041019021162322</v>
      </c>
      <c r="AN82" s="41">
        <f t="shared" ca="1" si="129"/>
        <v>0.49906306122161553</v>
      </c>
      <c r="AO82" s="41">
        <f t="shared" ca="1" si="130"/>
        <v>0.79655229894537871</v>
      </c>
      <c r="AP82" s="67">
        <f t="shared" si="148"/>
        <v>0.78956457832292759</v>
      </c>
      <c r="AQ82" s="11">
        <f t="shared" si="131"/>
        <v>1.0049600732183759</v>
      </c>
      <c r="AR82" s="11">
        <f t="shared" si="132"/>
        <v>0.77603245381514641</v>
      </c>
      <c r="AS82" s="11">
        <f t="shared" si="133"/>
        <v>0.77220227399672625</v>
      </c>
      <c r="AT82" s="11">
        <f t="shared" si="134"/>
        <v>521.24264117617497</v>
      </c>
      <c r="AU82" s="11">
        <f t="shared" si="135"/>
        <v>1642.255399412689</v>
      </c>
      <c r="AV82" s="11">
        <f t="shared" si="136"/>
        <v>1.8354475850628185E-3</v>
      </c>
      <c r="AW82" s="11">
        <f t="shared" si="137"/>
        <v>3.7516161887989139E-7</v>
      </c>
      <c r="AX82" s="41">
        <f t="shared" ca="1" si="138"/>
        <v>1.8354257109901135</v>
      </c>
      <c r="AY82" s="41">
        <f t="shared" ca="1" si="139"/>
        <v>2.4723548981151597</v>
      </c>
      <c r="AZ82" s="41">
        <f t="shared" si="140"/>
        <v>0.30432671816793366</v>
      </c>
      <c r="BA82" s="154">
        <f t="shared" si="149"/>
        <v>1.6421335443686185</v>
      </c>
      <c r="BB82" s="156">
        <f t="shared" si="150"/>
        <v>1.4010431247927084</v>
      </c>
      <c r="BC82" s="156">
        <f t="shared" si="151"/>
        <v>1.0200458782980291</v>
      </c>
    </row>
    <row r="83" spans="1:55" ht="14.5">
      <c r="A83" s="41">
        <f t="shared" ca="1" si="141"/>
        <v>1197.8351218562129</v>
      </c>
      <c r="B83" s="41">
        <f t="shared" ca="1" si="103"/>
        <v>19.96391869760355</v>
      </c>
      <c r="C83" s="41">
        <f t="shared" ca="1" si="103"/>
        <v>0.33273197829339252</v>
      </c>
      <c r="D83" s="41">
        <f t="shared" ca="1" si="142"/>
        <v>16671.909643877192</v>
      </c>
      <c r="E83" s="41">
        <f t="shared" ca="1" si="143"/>
        <v>115.23041068242667</v>
      </c>
      <c r="F83" s="41">
        <f t="shared" ca="1" si="144"/>
        <v>6.9259007303061573</v>
      </c>
      <c r="G83" s="41"/>
      <c r="H83" s="7">
        <f t="shared" si="145"/>
        <v>6500</v>
      </c>
      <c r="I83" s="6">
        <v>15</v>
      </c>
      <c r="J83" s="41">
        <f t="shared" si="105"/>
        <v>0.4179266559559891</v>
      </c>
      <c r="K83" s="41">
        <f t="shared" si="106"/>
        <v>468.30929976225008</v>
      </c>
      <c r="L83" s="6">
        <f t="shared" si="152"/>
        <v>246.25</v>
      </c>
      <c r="M83" s="41">
        <f t="shared" si="107"/>
        <v>277.46576716033695</v>
      </c>
      <c r="N83" s="41">
        <f t="shared" si="108"/>
        <v>203.46800028488215</v>
      </c>
      <c r="O83" s="41">
        <f t="shared" si="109"/>
        <v>2311900.5692126271</v>
      </c>
      <c r="P83" s="41">
        <f t="shared" si="110"/>
        <v>14844026.19026996</v>
      </c>
      <c r="Q83" s="41">
        <f t="shared" si="111"/>
        <v>2.7766254284274168E-3</v>
      </c>
      <c r="R83" s="41">
        <f t="shared" si="112"/>
        <v>2.1880870294125922E-2</v>
      </c>
      <c r="S83" s="24">
        <f t="shared" ca="1" si="146"/>
        <v>-4.0159682538417165</v>
      </c>
      <c r="T83" s="10">
        <f t="shared" ca="1" si="113"/>
        <v>-4.0159682538417165</v>
      </c>
      <c r="U83" s="41">
        <f t="shared" ca="1" si="114"/>
        <v>0.35538059016655427</v>
      </c>
      <c r="V83" s="41">
        <f t="shared" ca="1" si="115"/>
        <v>2.9857271662793793E-2</v>
      </c>
      <c r="W83" s="41">
        <f t="shared" ca="1" si="116"/>
        <v>11.902647843386395</v>
      </c>
      <c r="X83" s="20">
        <f t="shared" ca="1" si="117"/>
        <v>1397.2498526139602</v>
      </c>
      <c r="Y83" s="41">
        <f t="shared" si="118"/>
        <v>0.58860303949749759</v>
      </c>
      <c r="Z83" s="41">
        <f t="shared" ca="1" si="119"/>
        <v>180.20797786423122</v>
      </c>
      <c r="AA83" s="14">
        <f t="shared" ca="1" si="120"/>
        <v>1400.6891460828017</v>
      </c>
      <c r="AB83" s="14">
        <f t="shared" si="147"/>
        <v>4592.8230205114587</v>
      </c>
      <c r="AC83" s="25">
        <f t="shared" ca="1" si="121"/>
        <v>655955.75318662089</v>
      </c>
      <c r="AD83" s="41">
        <f t="shared" si="122"/>
        <v>2150861.7326676636</v>
      </c>
      <c r="AE83" s="6">
        <v>5</v>
      </c>
      <c r="AF83" s="41">
        <f t="shared" si="123"/>
        <v>229.64115102557295</v>
      </c>
      <c r="AG83" s="41">
        <f t="shared" ca="1" si="124"/>
        <v>3192.1338744286568</v>
      </c>
      <c r="AH83" s="41">
        <f t="shared" ca="1" si="125"/>
        <v>1494905.9794810428</v>
      </c>
      <c r="AI83" s="41">
        <f t="shared" si="126"/>
        <v>180.7622157428348</v>
      </c>
      <c r="AJ83" s="13">
        <f t="shared" ca="1" si="127"/>
        <v>-32.797803318108933</v>
      </c>
      <c r="AK83" s="11"/>
      <c r="AL83" s="6">
        <f t="shared" si="153"/>
        <v>-350</v>
      </c>
      <c r="AM83" s="41">
        <f t="shared" ca="1" si="128"/>
        <v>10.671446395519773</v>
      </c>
      <c r="AN83" s="41">
        <f t="shared" ca="1" si="129"/>
        <v>0.53583174878751172</v>
      </c>
      <c r="AO83" s="41">
        <f t="shared" ca="1" si="130"/>
        <v>0.82046961935153628</v>
      </c>
      <c r="AP83" s="67">
        <f t="shared" si="148"/>
        <v>0.78715080000058446</v>
      </c>
      <c r="AQ83" s="11">
        <f t="shared" si="131"/>
        <v>1.0073664457183757</v>
      </c>
      <c r="AR83" s="11">
        <f t="shared" si="132"/>
        <v>0.78638843581115314</v>
      </c>
      <c r="AS83" s="11">
        <f t="shared" si="133"/>
        <v>0.78063790902858765</v>
      </c>
      <c r="AT83" s="11">
        <f t="shared" si="134"/>
        <v>522.49075440074989</v>
      </c>
      <c r="AU83" s="11">
        <f t="shared" si="135"/>
        <v>1664.1709356322783</v>
      </c>
      <c r="AV83" s="11">
        <f t="shared" si="136"/>
        <v>1.85549824597005E-3</v>
      </c>
      <c r="AW83" s="11">
        <f t="shared" si="137"/>
        <v>3.7585832879320501E-7</v>
      </c>
      <c r="AX83" s="41">
        <f t="shared" ca="1" si="138"/>
        <v>1.7549446398190616</v>
      </c>
      <c r="AY83" s="41">
        <f t="shared" ca="1" si="139"/>
        <v>2.3639452962860736</v>
      </c>
      <c r="AZ83" s="41">
        <f t="shared" si="140"/>
        <v>0.29574645755236201</v>
      </c>
      <c r="BA83" s="154">
        <f t="shared" si="149"/>
        <v>1.6368731949185307</v>
      </c>
      <c r="BB83" s="156">
        <f t="shared" si="150"/>
        <v>1.3936902277327736</v>
      </c>
      <c r="BC83" s="156">
        <f t="shared" si="151"/>
        <v>1.01450018773827</v>
      </c>
    </row>
    <row r="84" spans="1:55" ht="14.5">
      <c r="A84" s="41">
        <f t="shared" ca="1" si="141"/>
        <v>1208.5065682517327</v>
      </c>
      <c r="B84" s="41">
        <f t="shared" ca="1" si="103"/>
        <v>20.141776137528879</v>
      </c>
      <c r="C84" s="41">
        <f t="shared" ca="1" si="103"/>
        <v>0.33569626895881466</v>
      </c>
      <c r="D84" s="41">
        <f t="shared" ca="1" si="142"/>
        <v>16671.373812128404</v>
      </c>
      <c r="E84" s="41">
        <f t="shared" ca="1" si="143"/>
        <v>116.05088030177821</v>
      </c>
      <c r="F84" s="41">
        <f t="shared" ca="1" si="144"/>
        <v>7.7463703496576937</v>
      </c>
      <c r="G84" s="41"/>
      <c r="H84" s="7">
        <f t="shared" si="145"/>
        <v>6150</v>
      </c>
      <c r="I84" s="6">
        <v>15</v>
      </c>
      <c r="J84" s="41">
        <f t="shared" si="105"/>
        <v>0.40419910763584799</v>
      </c>
      <c r="K84" s="41">
        <f t="shared" si="106"/>
        <v>453.46749105864819</v>
      </c>
      <c r="L84" s="6">
        <f t="shared" si="152"/>
        <v>239.625</v>
      </c>
      <c r="M84" s="41">
        <f t="shared" si="107"/>
        <v>268.67223297239212</v>
      </c>
      <c r="N84" s="41">
        <f t="shared" si="108"/>
        <v>192.85434333303181</v>
      </c>
      <c r="O84" s="41">
        <f t="shared" si="109"/>
        <v>2258841.3166909404</v>
      </c>
      <c r="P84" s="41">
        <f t="shared" si="110"/>
        <v>14503348.50518409</v>
      </c>
      <c r="Q84" s="41">
        <f t="shared" si="111"/>
        <v>2.7895985011798241E-3</v>
      </c>
      <c r="R84" s="41">
        <f t="shared" si="112"/>
        <v>2.195974184669745E-2</v>
      </c>
      <c r="S84" s="24">
        <f t="shared" ca="1" si="146"/>
        <v>-3.9046557651237812</v>
      </c>
      <c r="T84" s="10">
        <f t="shared" ca="1" si="113"/>
        <v>-3.9046557651237812</v>
      </c>
      <c r="U84" s="41">
        <f t="shared" ca="1" si="114"/>
        <v>0.37497719053420192</v>
      </c>
      <c r="V84" s="41">
        <f t="shared" ca="1" si="115"/>
        <v>3.0840075686252334E-2</v>
      </c>
      <c r="W84" s="41">
        <f t="shared" ca="1" si="116"/>
        <v>12.158763627851814</v>
      </c>
      <c r="X84" s="20">
        <f t="shared" ca="1" si="117"/>
        <v>1367.9577853070348</v>
      </c>
      <c r="Y84" s="41">
        <f t="shared" si="118"/>
        <v>0.58966292137794951</v>
      </c>
      <c r="Z84" s="41">
        <f t="shared" ca="1" si="119"/>
        <v>179.24331306576917</v>
      </c>
      <c r="AA84" s="14">
        <f t="shared" ca="1" si="120"/>
        <v>1371.1405470486861</v>
      </c>
      <c r="AB84" s="14">
        <f t="shared" si="147"/>
        <v>4653.958016852589</v>
      </c>
      <c r="AC84" s="25">
        <f t="shared" ca="1" si="121"/>
        <v>621767.66375895008</v>
      </c>
      <c r="AD84" s="41">
        <f t="shared" si="122"/>
        <v>2110418.6653944254</v>
      </c>
      <c r="AE84" s="6">
        <v>5</v>
      </c>
      <c r="AF84" s="41">
        <f t="shared" si="123"/>
        <v>232.69790084262945</v>
      </c>
      <c r="AG84" s="41">
        <f t="shared" ca="1" si="124"/>
        <v>3282.8174698039029</v>
      </c>
      <c r="AH84" s="41">
        <f t="shared" ca="1" si="125"/>
        <v>1488651.0016354753</v>
      </c>
      <c r="AI84" s="41">
        <f t="shared" si="126"/>
        <v>182.60536809099889</v>
      </c>
      <c r="AJ84" s="13">
        <f t="shared" ca="1" si="127"/>
        <v>-30.879485836559301</v>
      </c>
      <c r="AK84" s="11"/>
      <c r="AL84" s="6">
        <f t="shared" si="153"/>
        <v>-350</v>
      </c>
      <c r="AM84" s="41">
        <f t="shared" ca="1" si="128"/>
        <v>11.334385612911429</v>
      </c>
      <c r="AN84" s="41">
        <f t="shared" ca="1" si="129"/>
        <v>0.57492212692528166</v>
      </c>
      <c r="AO84" s="41">
        <f t="shared" ca="1" si="130"/>
        <v>0.84393498252297139</v>
      </c>
      <c r="AP84" s="67">
        <f t="shared" si="148"/>
        <v>0.78473147987051473</v>
      </c>
      <c r="AQ84" s="11">
        <f t="shared" si="131"/>
        <v>1.0097728182183758</v>
      </c>
      <c r="AR84" s="11">
        <f t="shared" si="132"/>
        <v>0.79685604014324174</v>
      </c>
      <c r="AS84" s="11">
        <f t="shared" si="133"/>
        <v>0.78914388045144601</v>
      </c>
      <c r="AT84" s="11">
        <f t="shared" si="134"/>
        <v>523.73886762532493</v>
      </c>
      <c r="AU84" s="11">
        <f t="shared" si="135"/>
        <v>1686.3226892719308</v>
      </c>
      <c r="AV84" s="11">
        <f t="shared" si="136"/>
        <v>1.875716089445042E-3</v>
      </c>
      <c r="AW84" s="11">
        <f t="shared" si="137"/>
        <v>3.7655423722504886E-7</v>
      </c>
      <c r="AX84" s="41">
        <f t="shared" ca="1" si="138"/>
        <v>1.6771999247522063</v>
      </c>
      <c r="AY84" s="41">
        <f t="shared" ca="1" si="139"/>
        <v>2.2592216204940314</v>
      </c>
      <c r="AZ84" s="41">
        <f t="shared" si="140"/>
        <v>0.28716367257646591</v>
      </c>
      <c r="BA84" s="154">
        <f t="shared" si="149"/>
        <v>1.6315831249400869</v>
      </c>
      <c r="BB84" s="156">
        <f t="shared" si="150"/>
        <v>1.3863258630722868</v>
      </c>
      <c r="BC84" s="156">
        <f t="shared" si="151"/>
        <v>1.00897646553498</v>
      </c>
    </row>
    <row r="85" spans="1:55" ht="14.5">
      <c r="A85" s="41">
        <f t="shared" ca="1" si="141"/>
        <v>1219.840953864644</v>
      </c>
      <c r="B85" s="41">
        <f t="shared" ca="1" si="103"/>
        <v>20.330682564410733</v>
      </c>
      <c r="C85" s="41">
        <f t="shared" ca="1" si="103"/>
        <v>0.33884470940684552</v>
      </c>
      <c r="D85" s="41">
        <f t="shared" ca="1" si="142"/>
        <v>16670.798890001479</v>
      </c>
      <c r="E85" s="41">
        <f t="shared" ca="1" si="143"/>
        <v>116.89481528430117</v>
      </c>
      <c r="F85" s="41">
        <f t="shared" ca="1" si="144"/>
        <v>8.5903053321806659</v>
      </c>
      <c r="G85" s="41"/>
      <c r="H85" s="7">
        <f t="shared" si="145"/>
        <v>5800</v>
      </c>
      <c r="I85" s="6">
        <v>15</v>
      </c>
      <c r="J85" s="41">
        <f t="shared" si="105"/>
        <v>0.3906163147571115</v>
      </c>
      <c r="K85" s="41">
        <f t="shared" si="106"/>
        <v>438.7509303509018</v>
      </c>
      <c r="L85" s="6">
        <f t="shared" si="152"/>
        <v>233</v>
      </c>
      <c r="M85" s="41">
        <f t="shared" si="107"/>
        <v>259.95290621802371</v>
      </c>
      <c r="N85" s="41">
        <f t="shared" si="108"/>
        <v>182.50208041875757</v>
      </c>
      <c r="O85" s="41">
        <f t="shared" si="109"/>
        <v>2205216.6800811351</v>
      </c>
      <c r="P85" s="41">
        <f t="shared" si="110"/>
        <v>14159040.656966049</v>
      </c>
      <c r="Q85" s="41">
        <f t="shared" si="111"/>
        <v>2.8028802874728374E-3</v>
      </c>
      <c r="R85" s="41">
        <f t="shared" si="112"/>
        <v>2.2040490265044118E-2</v>
      </c>
      <c r="S85" s="24">
        <f t="shared" ca="1" si="146"/>
        <v>-3.8029235909219996</v>
      </c>
      <c r="T85" s="10">
        <f t="shared" ca="1" si="113"/>
        <v>-3.8029235909219996</v>
      </c>
      <c r="U85" s="41">
        <f t="shared" ca="1" si="114"/>
        <v>0.39628115767697325</v>
      </c>
      <c r="V85" s="41">
        <f t="shared" ca="1" si="115"/>
        <v>3.1958543544103518E-2</v>
      </c>
      <c r="W85" s="41">
        <f t="shared" ca="1" si="116"/>
        <v>12.399850360204814</v>
      </c>
      <c r="X85" s="20">
        <f t="shared" ca="1" si="117"/>
        <v>1341.4751573090398</v>
      </c>
      <c r="Y85" s="41">
        <f t="shared" si="118"/>
        <v>0.5907460547331882</v>
      </c>
      <c r="Z85" s="41">
        <f t="shared" ca="1" si="119"/>
        <v>178.28472728526646</v>
      </c>
      <c r="AA85" s="14">
        <f t="shared" ca="1" si="120"/>
        <v>1344.4354896010309</v>
      </c>
      <c r="AB85" s="14">
        <f t="shared" si="147"/>
        <v>4715.7502944780908</v>
      </c>
      <c r="AC85" s="25">
        <f t="shared" ca="1" si="121"/>
        <v>589872.32185922249</v>
      </c>
      <c r="AD85" s="41">
        <f t="shared" si="122"/>
        <v>2069039.8290048016</v>
      </c>
      <c r="AE85" s="6">
        <v>5</v>
      </c>
      <c r="AF85" s="41">
        <f t="shared" si="123"/>
        <v>235.78751472390456</v>
      </c>
      <c r="AG85" s="41">
        <f t="shared" ca="1" si="124"/>
        <v>3371.3148048770599</v>
      </c>
      <c r="AH85" s="41">
        <f t="shared" ca="1" si="125"/>
        <v>1479167.507145579</v>
      </c>
      <c r="AI85" s="41">
        <f t="shared" si="126"/>
        <v>184.45832470086219</v>
      </c>
      <c r="AJ85" s="13">
        <f t="shared" ca="1" si="127"/>
        <v>-29.100074031405963</v>
      </c>
      <c r="AK85" s="11"/>
      <c r="AL85" s="6">
        <f t="shared" si="153"/>
        <v>-350</v>
      </c>
      <c r="AM85" s="41">
        <f t="shared" ca="1" si="128"/>
        <v>12.027460810658626</v>
      </c>
      <c r="AN85" s="41">
        <f t="shared" ca="1" si="129"/>
        <v>0.61626813098315669</v>
      </c>
      <c r="AO85" s="41">
        <f t="shared" ca="1" si="130"/>
        <v>0.86658026227358886</v>
      </c>
      <c r="AP85" s="67">
        <f t="shared" si="148"/>
        <v>0.78230743013197157</v>
      </c>
      <c r="AQ85" s="11">
        <f t="shared" si="131"/>
        <v>1.0121791907183759</v>
      </c>
      <c r="AR85" s="11">
        <f t="shared" si="132"/>
        <v>0.80743618493221192</v>
      </c>
      <c r="AS85" s="11">
        <f t="shared" si="133"/>
        <v>0.79772059368178538</v>
      </c>
      <c r="AT85" s="11">
        <f t="shared" si="134"/>
        <v>524.98698084989996</v>
      </c>
      <c r="AU85" s="11">
        <f t="shared" si="135"/>
        <v>1708.7126032772453</v>
      </c>
      <c r="AV85" s="11">
        <f t="shared" si="136"/>
        <v>1.8961020791222357E-3</v>
      </c>
      <c r="AW85" s="11">
        <f t="shared" si="137"/>
        <v>3.7724934641096215E-7</v>
      </c>
      <c r="AX85" s="41">
        <f t="shared" ca="1" si="138"/>
        <v>1.6023006594292946</v>
      </c>
      <c r="AY85" s="41">
        <f t="shared" ca="1" si="139"/>
        <v>2.1583308220391957</v>
      </c>
      <c r="AZ85" s="41">
        <f t="shared" si="140"/>
        <v>0.27858125107349124</v>
      </c>
      <c r="BA85" s="154">
        <f t="shared" si="149"/>
        <v>1.6262636308390712</v>
      </c>
      <c r="BB85" s="156">
        <f t="shared" si="150"/>
        <v>1.3789510763633404</v>
      </c>
      <c r="BC85" s="156">
        <f t="shared" si="151"/>
        <v>1.003475831513142</v>
      </c>
    </row>
    <row r="86" spans="1:55" ht="14.5">
      <c r="A86" s="41">
        <f t="shared" ca="1" si="141"/>
        <v>1231.8684146753026</v>
      </c>
      <c r="B86" s="41">
        <f t="shared" ca="1" si="103"/>
        <v>20.531140244588375</v>
      </c>
      <c r="C86" s="41">
        <f t="shared" ca="1" si="103"/>
        <v>0.3421856707431396</v>
      </c>
      <c r="D86" s="41">
        <f t="shared" ca="1" si="142"/>
        <v>16670.182621870495</v>
      </c>
      <c r="E86" s="41">
        <f t="shared" ca="1" si="143"/>
        <v>117.76139554657476</v>
      </c>
      <c r="F86" s="41">
        <f t="shared" ca="1" si="144"/>
        <v>9.4568855944542545</v>
      </c>
      <c r="G86" s="41"/>
      <c r="H86" s="7">
        <f t="shared" si="145"/>
        <v>5450</v>
      </c>
      <c r="I86" s="6">
        <v>15</v>
      </c>
      <c r="J86" s="41">
        <f t="shared" si="105"/>
        <v>0.37717818423739757</v>
      </c>
      <c r="K86" s="41">
        <f t="shared" si="106"/>
        <v>424.16016018179869</v>
      </c>
      <c r="L86" s="6">
        <f t="shared" si="152"/>
        <v>226.375</v>
      </c>
      <c r="M86" s="41">
        <f t="shared" si="107"/>
        <v>251.30810834515282</v>
      </c>
      <c r="N86" s="41">
        <f t="shared" si="108"/>
        <v>172.41466152990861</v>
      </c>
      <c r="O86" s="41">
        <f t="shared" si="109"/>
        <v>2151033.8876211308</v>
      </c>
      <c r="P86" s="41">
        <f t="shared" si="110"/>
        <v>13811149.055982454</v>
      </c>
      <c r="Q86" s="41">
        <f t="shared" si="111"/>
        <v>2.8164975864367072E-3</v>
      </c>
      <c r="R86" s="41">
        <f t="shared" si="112"/>
        <v>2.2123278478107345E-2</v>
      </c>
      <c r="S86" s="24">
        <f t="shared" ca="1" si="146"/>
        <v>-3.7115835170464604</v>
      </c>
      <c r="T86" s="10">
        <f t="shared" ca="1" si="113"/>
        <v>-3.7115835170464604</v>
      </c>
      <c r="U86" s="41">
        <f t="shared" ca="1" si="114"/>
        <v>0.41949468299276027</v>
      </c>
      <c r="V86" s="41">
        <f t="shared" ca="1" si="115"/>
        <v>3.3237332721467581E-2</v>
      </c>
      <c r="W86" s="41">
        <f t="shared" ca="1" si="116"/>
        <v>12.621189747931062</v>
      </c>
      <c r="X86" s="20">
        <f t="shared" ca="1" si="117"/>
        <v>1318.0387984056215</v>
      </c>
      <c r="Y86" s="41">
        <f t="shared" si="118"/>
        <v>0.59185449129521839</v>
      </c>
      <c r="Z86" s="41">
        <f t="shared" ca="1" si="119"/>
        <v>177.33215175504952</v>
      </c>
      <c r="AA86" s="14">
        <f t="shared" ca="1" si="120"/>
        <v>1320.8091277292751</v>
      </c>
      <c r="AB86" s="14">
        <f t="shared" si="147"/>
        <v>4778.2052460636796</v>
      </c>
      <c r="AC86" s="25">
        <f t="shared" ca="1" si="121"/>
        <v>560234.61118723114</v>
      </c>
      <c r="AD86" s="41">
        <f t="shared" si="122"/>
        <v>2026724.3025518812</v>
      </c>
      <c r="AE86" s="6">
        <v>5</v>
      </c>
      <c r="AF86" s="41">
        <f t="shared" si="123"/>
        <v>238.910262303184</v>
      </c>
      <c r="AG86" s="41">
        <f t="shared" ca="1" si="124"/>
        <v>3457.3961183344045</v>
      </c>
      <c r="AH86" s="41">
        <f t="shared" ca="1" si="125"/>
        <v>1466489.6913646501</v>
      </c>
      <c r="AI86" s="41">
        <f t="shared" si="126"/>
        <v>186.32120314686793</v>
      </c>
      <c r="AJ86" s="13">
        <f t="shared" ca="1" si="127"/>
        <v>-27.457607580702106</v>
      </c>
      <c r="AK86" s="11"/>
      <c r="AL86" s="6">
        <f t="shared" si="153"/>
        <v>-350</v>
      </c>
      <c r="AM86" s="41">
        <f t="shared" ca="1" si="128"/>
        <v>12.746922650536705</v>
      </c>
      <c r="AN86" s="41">
        <f t="shared" ca="1" si="129"/>
        <v>0.65972832351890598</v>
      </c>
      <c r="AO86" s="41">
        <f t="shared" ca="1" si="130"/>
        <v>0.88796834472013986</v>
      </c>
      <c r="AP86" s="67">
        <f t="shared" si="148"/>
        <v>0.77987944657823427</v>
      </c>
      <c r="AQ86" s="11">
        <f t="shared" si="131"/>
        <v>1.0145855632183758</v>
      </c>
      <c r="AR86" s="11">
        <f t="shared" si="132"/>
        <v>0.81812979351819726</v>
      </c>
      <c r="AS86" s="11">
        <f t="shared" si="133"/>
        <v>0.80636845543415825</v>
      </c>
      <c r="AT86" s="11">
        <f t="shared" si="134"/>
        <v>526.23509407447489</v>
      </c>
      <c r="AU86" s="11">
        <f t="shared" si="135"/>
        <v>1731.3426316390792</v>
      </c>
      <c r="AV86" s="11">
        <f t="shared" si="136"/>
        <v>1.9166571817214506E-3</v>
      </c>
      <c r="AW86" s="11">
        <f t="shared" si="137"/>
        <v>3.7794365857789621E-7</v>
      </c>
      <c r="AX86" s="41">
        <f t="shared" ca="1" si="138"/>
        <v>1.530370187950864</v>
      </c>
      <c r="AY86" s="41">
        <f t="shared" ca="1" si="139"/>
        <v>2.0614390478755347</v>
      </c>
      <c r="AZ86" s="41">
        <f t="shared" si="140"/>
        <v>0.27000200000835028</v>
      </c>
      <c r="BA86" s="154">
        <f t="shared" si="149"/>
        <v>1.6209150185275296</v>
      </c>
      <c r="BB86" s="156">
        <f t="shared" si="150"/>
        <v>1.3715669275926583</v>
      </c>
      <c r="BC86" s="156">
        <f t="shared" si="151"/>
        <v>0.99799940272661702</v>
      </c>
    </row>
    <row r="87" spans="1:55" ht="14.5">
      <c r="A87" s="41">
        <f t="shared" ca="1" si="141"/>
        <v>1244.6153373258394</v>
      </c>
      <c r="B87" s="41">
        <f t="shared" ca="1" si="103"/>
        <v>20.743588955430656</v>
      </c>
      <c r="C87" s="41">
        <f t="shared" ca="1" si="103"/>
        <v>0.34572648259051092</v>
      </c>
      <c r="D87" s="41">
        <f t="shared" ca="1" si="142"/>
        <v>16669.522893546975</v>
      </c>
      <c r="E87" s="41">
        <f t="shared" ca="1" si="143"/>
        <v>118.6493638912949</v>
      </c>
      <c r="F87" s="41">
        <f t="shared" ca="1" si="144"/>
        <v>10.344853939174394</v>
      </c>
      <c r="G87" s="41"/>
      <c r="H87" s="7">
        <f t="shared" si="145"/>
        <v>5100</v>
      </c>
      <c r="I87" s="6">
        <v>15</v>
      </c>
      <c r="J87" s="41">
        <f t="shared" si="105"/>
        <v>0.36388454656369568</v>
      </c>
      <c r="K87" s="41">
        <f t="shared" si="106"/>
        <v>409.69563484752541</v>
      </c>
      <c r="L87" s="6">
        <f t="shared" si="152"/>
        <v>219.75</v>
      </c>
      <c r="M87" s="41">
        <f t="shared" si="107"/>
        <v>242.73810851700125</v>
      </c>
      <c r="N87" s="41">
        <f t="shared" si="108"/>
        <v>162.59531229968343</v>
      </c>
      <c r="O87" s="41">
        <f t="shared" si="109"/>
        <v>2096299.9653467126</v>
      </c>
      <c r="P87" s="41">
        <f t="shared" si="110"/>
        <v>13459718.814320128</v>
      </c>
      <c r="Q87" s="41">
        <f t="shared" si="111"/>
        <v>2.8304797050513367E-3</v>
      </c>
      <c r="R87" s="41">
        <f t="shared" si="112"/>
        <v>2.2208284661640113E-2</v>
      </c>
      <c r="S87" s="24">
        <f t="shared" ca="1" si="146"/>
        <v>-3.6315547609475298</v>
      </c>
      <c r="T87" s="10">
        <f t="shared" ca="1" si="113"/>
        <v>-3.6315547609475298</v>
      </c>
      <c r="U87" s="41">
        <f t="shared" ca="1" si="114"/>
        <v>0.4448507955776918</v>
      </c>
      <c r="V87" s="41">
        <f t="shared" ca="1" si="115"/>
        <v>3.4706509525084375E-2</v>
      </c>
      <c r="W87" s="41">
        <f t="shared" ca="1" si="116"/>
        <v>12.817503161940637</v>
      </c>
      <c r="X87" s="20">
        <f t="shared" ca="1" si="117"/>
        <v>1297.9166236644974</v>
      </c>
      <c r="Y87" s="41">
        <f t="shared" si="118"/>
        <v>0.59299046793930077</v>
      </c>
      <c r="Z87" s="41">
        <f t="shared" ca="1" si="119"/>
        <v>176.38550859431325</v>
      </c>
      <c r="AA87" s="14">
        <f t="shared" ca="1" si="120"/>
        <v>1300.528089046566</v>
      </c>
      <c r="AB87" s="14">
        <f t="shared" si="147"/>
        <v>4841.32829486429</v>
      </c>
      <c r="AC87" s="25">
        <f t="shared" ca="1" si="121"/>
        <v>532820.68107897195</v>
      </c>
      <c r="AD87" s="41">
        <f t="shared" si="122"/>
        <v>1983471.069269713</v>
      </c>
      <c r="AE87" s="6">
        <v>5</v>
      </c>
      <c r="AF87" s="41">
        <f t="shared" si="123"/>
        <v>242.06641474321452</v>
      </c>
      <c r="AG87" s="41">
        <f t="shared" ca="1" si="124"/>
        <v>3540.800205817724</v>
      </c>
      <c r="AH87" s="41">
        <f t="shared" ca="1" si="125"/>
        <v>1450650.3881907412</v>
      </c>
      <c r="AI87" s="41">
        <f t="shared" si="126"/>
        <v>188.19412454249374</v>
      </c>
      <c r="AJ87" s="13">
        <f t="shared" ca="1" si="127"/>
        <v>-25.950186121724848</v>
      </c>
      <c r="AK87" s="11"/>
      <c r="AL87" s="6">
        <f t="shared" si="153"/>
        <v>-350</v>
      </c>
      <c r="AM87" s="41">
        <f t="shared" ca="1" si="128"/>
        <v>13.487379179411308</v>
      </c>
      <c r="AN87" s="41">
        <f t="shared" ca="1" si="129"/>
        <v>0.70506819917832464</v>
      </c>
      <c r="AO87" s="41">
        <f t="shared" ca="1" si="130"/>
        <v>0.90759080702729522</v>
      </c>
      <c r="AP87" s="67">
        <f t="shared" si="148"/>
        <v>0.77744830790397412</v>
      </c>
      <c r="AQ87" s="11">
        <f t="shared" si="131"/>
        <v>1.0169919357183759</v>
      </c>
      <c r="AR87" s="11">
        <f t="shared" si="132"/>
        <v>0.82893779447714022</v>
      </c>
      <c r="AS87" s="11">
        <f t="shared" si="133"/>
        <v>0.81508787372202784</v>
      </c>
      <c r="AT87" s="11">
        <f t="shared" si="134"/>
        <v>527.48320729904992</v>
      </c>
      <c r="AU87" s="11">
        <f t="shared" si="135"/>
        <v>1754.2147394284136</v>
      </c>
      <c r="AV87" s="11">
        <f t="shared" si="136"/>
        <v>1.937382367049888E-3</v>
      </c>
      <c r="AW87" s="11">
        <f t="shared" si="137"/>
        <v>3.7863717594424859E-7</v>
      </c>
      <c r="AX87" s="41">
        <f t="shared" ca="1" si="138"/>
        <v>1.4615500424711687</v>
      </c>
      <c r="AY87" s="41">
        <f t="shared" ca="1" si="139"/>
        <v>1.9687369446267267</v>
      </c>
      <c r="AZ87" s="41">
        <f t="shared" si="140"/>
        <v>0.26142864385067738</v>
      </c>
      <c r="BA87" s="154">
        <f t="shared" si="149"/>
        <v>1.6155376034840527</v>
      </c>
      <c r="BB87" s="156">
        <f t="shared" si="150"/>
        <v>1.364174490951171</v>
      </c>
      <c r="BC87" s="156">
        <f t="shared" si="151"/>
        <v>0.99254829267872979</v>
      </c>
    </row>
    <row r="88" spans="1:55" ht="14.5">
      <c r="A88" s="41">
        <f t="shared" ca="1" si="141"/>
        <v>1258.1027165052508</v>
      </c>
      <c r="B88" s="41">
        <f t="shared" ca="1" si="103"/>
        <v>20.968378608420846</v>
      </c>
      <c r="C88" s="41">
        <f t="shared" ca="1" si="103"/>
        <v>0.34947297680701411</v>
      </c>
      <c r="D88" s="41">
        <f t="shared" ca="1" si="142"/>
        <v>16668.817825347796</v>
      </c>
      <c r="E88" s="41">
        <f t="shared" ca="1" si="143"/>
        <v>119.55695469832219</v>
      </c>
      <c r="F88" s="41">
        <f t="shared" ca="1" si="144"/>
        <v>11.252444746201689</v>
      </c>
      <c r="G88" s="41"/>
      <c r="H88" s="7">
        <f t="shared" si="145"/>
        <v>4750</v>
      </c>
      <c r="I88" s="6">
        <v>15</v>
      </c>
      <c r="J88" s="41">
        <f t="shared" si="105"/>
        <v>0.35073515729994942</v>
      </c>
      <c r="K88" s="41">
        <f t="shared" si="106"/>
        <v>395.35772160030899</v>
      </c>
      <c r="L88" s="6">
        <f t="shared" si="152"/>
        <v>213.125</v>
      </c>
      <c r="M88" s="41">
        <f t="shared" si="107"/>
        <v>234.24312432463748</v>
      </c>
      <c r="N88" s="41">
        <f t="shared" si="108"/>
        <v>153.04704003244748</v>
      </c>
      <c r="O88" s="41">
        <f t="shared" si="109"/>
        <v>2041021.7260748907</v>
      </c>
      <c r="P88" s="41">
        <f t="shared" si="110"/>
        <v>13104793.675051535</v>
      </c>
      <c r="Q88" s="41">
        <f t="shared" si="111"/>
        <v>2.8448587768484398E-3</v>
      </c>
      <c r="R88" s="41">
        <f t="shared" si="112"/>
        <v>2.2295704175799892E-2</v>
      </c>
      <c r="S88" s="24">
        <f t="shared" ca="1" si="146"/>
        <v>-3.5638849351463859</v>
      </c>
      <c r="T88" s="10">
        <f t="shared" ca="1" si="113"/>
        <v>-3.5638849351463859</v>
      </c>
      <c r="U88" s="41">
        <f t="shared" ca="1" si="114"/>
        <v>0.47261917529997077</v>
      </c>
      <c r="V88" s="41">
        <f t="shared" ca="1" si="115"/>
        <v>3.640295106412858E-2</v>
      </c>
      <c r="W88" s="41">
        <f t="shared" ca="1" si="116"/>
        <v>12.982990704995043</v>
      </c>
      <c r="X88" s="20">
        <f t="shared" ca="1" si="117"/>
        <v>1281.4136990265101</v>
      </c>
      <c r="Y88" s="41">
        <f t="shared" si="118"/>
        <v>0.59415642977614336</v>
      </c>
      <c r="Z88" s="41">
        <f t="shared" ca="1" si="119"/>
        <v>175.44470818711918</v>
      </c>
      <c r="AA88" s="14">
        <f t="shared" ca="1" si="120"/>
        <v>1283.8966155105293</v>
      </c>
      <c r="AB88" s="14">
        <f t="shared" si="147"/>
        <v>4905.1248948103803</v>
      </c>
      <c r="AC88" s="25">
        <f t="shared" ca="1" si="121"/>
        <v>507598.44067859079</v>
      </c>
      <c r="AD88" s="41">
        <f t="shared" si="122"/>
        <v>1939279.0025771873</v>
      </c>
      <c r="AE88" s="6">
        <v>5</v>
      </c>
      <c r="AF88" s="41">
        <f t="shared" si="123"/>
        <v>245.25624474051904</v>
      </c>
      <c r="AG88" s="41">
        <f t="shared" ca="1" si="124"/>
        <v>3621.2282792998512</v>
      </c>
      <c r="AH88" s="41">
        <f t="shared" ca="1" si="125"/>
        <v>1431680.5618985966</v>
      </c>
      <c r="AI88" s="41">
        <f t="shared" si="126"/>
        <v>190.07721335202811</v>
      </c>
      <c r="AJ88" s="13">
        <f t="shared" ca="1" si="127"/>
        <v>-24.575999008324303</v>
      </c>
      <c r="AK88" s="11"/>
      <c r="AL88" s="6">
        <f t="shared" si="153"/>
        <v>-350</v>
      </c>
      <c r="AM88" s="41">
        <f t="shared" ca="1" si="128"/>
        <v>14.241537032999112</v>
      </c>
      <c r="AN88" s="41">
        <f t="shared" ca="1" si="129"/>
        <v>0.75194213141171717</v>
      </c>
      <c r="AO88" s="41">
        <f t="shared" ca="1" si="130"/>
        <v>0.92486963972363279</v>
      </c>
      <c r="AP88" s="67">
        <f t="shared" si="148"/>
        <v>0.77501477506976302</v>
      </c>
      <c r="AQ88" s="11">
        <f t="shared" si="131"/>
        <v>1.0193983082183757</v>
      </c>
      <c r="AR88" s="11">
        <f t="shared" si="132"/>
        <v>0.83986112163728166</v>
      </c>
      <c r="AS88" s="11">
        <f t="shared" si="133"/>
        <v>0.8238792578586136</v>
      </c>
      <c r="AT88" s="11">
        <f t="shared" si="134"/>
        <v>528.73132052362485</v>
      </c>
      <c r="AU88" s="11">
        <f t="shared" si="135"/>
        <v>1777.3309028312481</v>
      </c>
      <c r="AV88" s="11">
        <f t="shared" si="136"/>
        <v>1.9582786080041387E-3</v>
      </c>
      <c r="AW88" s="11">
        <f t="shared" si="137"/>
        <v>3.7932990071989691E-7</v>
      </c>
      <c r="AX88" s="41">
        <f t="shared" ca="1" si="138"/>
        <v>1.3960050966286126</v>
      </c>
      <c r="AY88" s="41">
        <f t="shared" ca="1" si="139"/>
        <v>1.8804466003593365</v>
      </c>
      <c r="AZ88" s="41">
        <f t="shared" si="140"/>
        <v>0.25286382318486678</v>
      </c>
      <c r="BA88" s="154">
        <f t="shared" si="149"/>
        <v>1.6101317108115134</v>
      </c>
      <c r="BB88" s="156">
        <f t="shared" si="150"/>
        <v>1.3567748545902967</v>
      </c>
      <c r="BC88" s="156">
        <f t="shared" si="151"/>
        <v>0.98712361052764996</v>
      </c>
    </row>
    <row r="89" spans="1:55" ht="14.5">
      <c r="A89" s="41">
        <f t="shared" ca="1" si="141"/>
        <v>1272.3442535382499</v>
      </c>
      <c r="B89" s="41">
        <f t="shared" ref="B89:C93" ca="1" si="154">A89/60</f>
        <v>21.205737558970831</v>
      </c>
      <c r="C89" s="41">
        <f t="shared" ca="1" si="154"/>
        <v>0.35342895931618051</v>
      </c>
      <c r="D89" s="41">
        <f t="shared" ca="1" si="142"/>
        <v>16668.065883216386</v>
      </c>
      <c r="E89" s="41">
        <f t="shared" ca="1" si="143"/>
        <v>120.48182433804583</v>
      </c>
      <c r="F89" s="41">
        <f t="shared" ca="1" si="144"/>
        <v>12.177314385925323</v>
      </c>
      <c r="G89" s="41"/>
      <c r="H89" s="7">
        <f t="shared" si="145"/>
        <v>4400</v>
      </c>
      <c r="I89" s="6">
        <v>15</v>
      </c>
      <c r="J89" s="41">
        <f t="shared" si="105"/>
        <v>0.33772969874026271</v>
      </c>
      <c r="K89" s="41">
        <f t="shared" si="106"/>
        <v>381.14670202912572</v>
      </c>
      <c r="L89" s="6">
        <f t="shared" si="152"/>
        <v>206.5</v>
      </c>
      <c r="M89" s="41">
        <f t="shared" si="107"/>
        <v>225.82332260502452</v>
      </c>
      <c r="N89" s="41">
        <f t="shared" si="108"/>
        <v>143.77264013623068</v>
      </c>
      <c r="O89" s="41">
        <f t="shared" si="109"/>
        <v>1985205.7592712641</v>
      </c>
      <c r="P89" s="41">
        <f t="shared" si="110"/>
        <v>12746415.94717613</v>
      </c>
      <c r="Q89" s="41">
        <f t="shared" si="111"/>
        <v>2.8596701342924972E-3</v>
      </c>
      <c r="R89" s="41">
        <f t="shared" si="112"/>
        <v>2.2385751829089112E-2</v>
      </c>
      <c r="S89" s="24">
        <f t="shared" ca="1" si="146"/>
        <v>-3.5097757259669384</v>
      </c>
      <c r="T89" s="10">
        <f t="shared" ca="1" si="113"/>
        <v>-3.5097757259669384</v>
      </c>
      <c r="U89" s="41">
        <f t="shared" ca="1" si="114"/>
        <v>0.50311328230384733</v>
      </c>
      <c r="V89" s="41">
        <f t="shared" ca="1" si="115"/>
        <v>3.8372169549092117E-2</v>
      </c>
      <c r="W89" s="41">
        <f t="shared" ca="1" si="116"/>
        <v>13.111410905765451</v>
      </c>
      <c r="X89" s="20">
        <f t="shared" ca="1" si="117"/>
        <v>1268.8796684804515</v>
      </c>
      <c r="Y89" s="41">
        <f t="shared" si="118"/>
        <v>0.59535505708476788</v>
      </c>
      <c r="Z89" s="41">
        <f t="shared" ca="1" si="119"/>
        <v>174.50964574304601</v>
      </c>
      <c r="AA89" s="14">
        <f t="shared" ca="1" si="120"/>
        <v>1271.2640922486057</v>
      </c>
      <c r="AB89" s="14">
        <f t="shared" si="147"/>
        <v>4969.6005306042962</v>
      </c>
      <c r="AC89" s="25">
        <f t="shared" ca="1" si="121"/>
        <v>484538.11616860633</v>
      </c>
      <c r="AD89" s="41">
        <f t="shared" si="122"/>
        <v>1894146.8526420207</v>
      </c>
      <c r="AE89" s="6">
        <v>5</v>
      </c>
      <c r="AF89" s="41">
        <f t="shared" si="123"/>
        <v>248.48002653021481</v>
      </c>
      <c r="AG89" s="41">
        <f t="shared" ca="1" si="124"/>
        <v>3698.3364383556905</v>
      </c>
      <c r="AH89" s="41">
        <f t="shared" ca="1" si="125"/>
        <v>1409608.7364734143</v>
      </c>
      <c r="AI89" s="41">
        <f t="shared" si="126"/>
        <v>191.97059719986436</v>
      </c>
      <c r="AJ89" s="13">
        <f t="shared" ca="1" si="127"/>
        <v>-23.333358591571898</v>
      </c>
      <c r="AK89" s="11"/>
      <c r="AL89" s="6">
        <f t="shared" si="153"/>
        <v>-350</v>
      </c>
      <c r="AM89" s="41">
        <f t="shared" ca="1" si="128"/>
        <v>14.9999837625785</v>
      </c>
      <c r="AN89" s="41">
        <f t="shared" ca="1" si="129"/>
        <v>0.79987662246957303</v>
      </c>
      <c r="AO89" s="41">
        <f t="shared" ca="1" si="130"/>
        <v>0.93916465472073718</v>
      </c>
      <c r="AP89" s="67">
        <f t="shared" si="148"/>
        <v>0.77257959072425086</v>
      </c>
      <c r="AQ89" s="11">
        <f t="shared" si="131"/>
        <v>1.0218046807183758</v>
      </c>
      <c r="AR89" s="11">
        <f t="shared" si="132"/>
        <v>0.85090071409566059</v>
      </c>
      <c r="AS89" s="11">
        <f t="shared" si="133"/>
        <v>0.83274301845773313</v>
      </c>
      <c r="AT89" s="11">
        <f t="shared" si="134"/>
        <v>529.97943374819999</v>
      </c>
      <c r="AU89" s="11">
        <f t="shared" si="135"/>
        <v>1800.6931091835188</v>
      </c>
      <c r="AV89" s="11">
        <f t="shared" si="136"/>
        <v>1.9793468805721858E-3</v>
      </c>
      <c r="AW89" s="11">
        <f t="shared" si="137"/>
        <v>3.8002183510623204E-7</v>
      </c>
      <c r="AX89" s="41">
        <f t="shared" ca="1" si="138"/>
        <v>1.3339303963996978</v>
      </c>
      <c r="AY89" s="41">
        <f t="shared" ca="1" si="139"/>
        <v>1.7968307458787984</v>
      </c>
      <c r="AZ89" s="41">
        <f t="shared" si="140"/>
        <v>0.2443100935537979</v>
      </c>
      <c r="BA89" s="154">
        <f t="shared" si="149"/>
        <v>1.6046976752921664</v>
      </c>
      <c r="BB89" s="156">
        <f t="shared" si="150"/>
        <v>1.3493691203647182</v>
      </c>
      <c r="BC89" s="156">
        <f t="shared" si="151"/>
        <v>0.98172646027690247</v>
      </c>
    </row>
    <row r="90" spans="1:55" ht="14.5">
      <c r="A90" s="41">
        <f t="shared" ca="1" si="141"/>
        <v>1287.3442373008284</v>
      </c>
      <c r="B90" s="41">
        <f t="shared" ca="1" si="154"/>
        <v>21.455737288347141</v>
      </c>
      <c r="C90" s="41">
        <f t="shared" ca="1" si="154"/>
        <v>0.35759562147245233</v>
      </c>
      <c r="D90" s="41">
        <f t="shared" ca="1" si="142"/>
        <v>16667.266006593916</v>
      </c>
      <c r="E90" s="41">
        <f t="shared" ca="1" si="143"/>
        <v>121.42098899276657</v>
      </c>
      <c r="F90" s="41">
        <f t="shared" ca="1" si="144"/>
        <v>13.116479040646061</v>
      </c>
      <c r="G90" s="41"/>
      <c r="H90" s="7">
        <f t="shared" si="145"/>
        <v>4050</v>
      </c>
      <c r="I90" s="6">
        <v>15</v>
      </c>
      <c r="J90" s="41">
        <f t="shared" si="105"/>
        <v>0.32486778169545527</v>
      </c>
      <c r="K90" s="41">
        <f t="shared" si="106"/>
        <v>367.06277360589661</v>
      </c>
      <c r="L90" s="6">
        <f t="shared" si="152"/>
        <v>199.875</v>
      </c>
      <c r="M90" s="41">
        <f t="shared" si="107"/>
        <v>217.47882035711606</v>
      </c>
      <c r="N90" s="41">
        <f t="shared" si="108"/>
        <v>134.77470291789317</v>
      </c>
      <c r="O90" s="41">
        <f t="shared" si="109"/>
        <v>1928858.4217968648</v>
      </c>
      <c r="P90" s="41">
        <f t="shared" si="110"/>
        <v>12384626.446208611</v>
      </c>
      <c r="Q90" s="41">
        <f t="shared" si="111"/>
        <v>2.8749527458313889E-3</v>
      </c>
      <c r="R90" s="41">
        <f t="shared" si="112"/>
        <v>2.2478664535463648E-2</v>
      </c>
      <c r="S90" s="24">
        <f t="shared" ca="1" si="146"/>
        <v>-3.4706145287671593</v>
      </c>
      <c r="T90" s="10">
        <f t="shared" ca="1" si="113"/>
        <v>-3.4706145287671593</v>
      </c>
      <c r="U90" s="41">
        <f t="shared" ca="1" si="114"/>
        <v>0.53669915348685149</v>
      </c>
      <c r="V90" s="41">
        <f t="shared" ca="1" si="115"/>
        <v>4.0670704920450121E-2</v>
      </c>
      <c r="W90" s="41">
        <f t="shared" ca="1" si="116"/>
        <v>13.196209766627069</v>
      </c>
      <c r="X90" s="20">
        <f t="shared" ca="1" si="117"/>
        <v>1260.7178998164409</v>
      </c>
      <c r="Y90" s="41">
        <f t="shared" si="118"/>
        <v>0.59658929686199946</v>
      </c>
      <c r="Z90" s="41">
        <f t="shared" ca="1" si="119"/>
        <v>173.58019671042126</v>
      </c>
      <c r="AA90" s="14">
        <f t="shared" ca="1" si="120"/>
        <v>1263.0343334451286</v>
      </c>
      <c r="AB90" s="14">
        <f t="shared" si="147"/>
        <v>5034.7607178166854</v>
      </c>
      <c r="AC90" s="25">
        <f t="shared" ca="1" si="121"/>
        <v>463612.88559384376</v>
      </c>
      <c r="AD90" s="41">
        <f t="shared" si="122"/>
        <v>1848073.2335238075</v>
      </c>
      <c r="AE90" s="6">
        <v>5</v>
      </c>
      <c r="AF90" s="41">
        <f t="shared" si="123"/>
        <v>251.73803589083428</v>
      </c>
      <c r="AG90" s="41">
        <f t="shared" ca="1" si="124"/>
        <v>3771.7263843715568</v>
      </c>
      <c r="AH90" s="41">
        <f t="shared" ca="1" si="125"/>
        <v>1384460.3479299638</v>
      </c>
      <c r="AI90" s="41">
        <f t="shared" si="126"/>
        <v>193.87440667809798</v>
      </c>
      <c r="AJ90" s="13">
        <f t="shared" ca="1" si="127"/>
        <v>-22.220737775380293</v>
      </c>
      <c r="AK90" s="11"/>
      <c r="AL90" s="6">
        <f t="shared" si="153"/>
        <v>-350</v>
      </c>
      <c r="AM90" s="41">
        <f t="shared" ca="1" si="128"/>
        <v>15.751052171984419</v>
      </c>
      <c r="AN90" s="41">
        <f t="shared" ca="1" si="129"/>
        <v>0.8482571928886794</v>
      </c>
      <c r="AO90" s="41">
        <f t="shared" ca="1" si="130"/>
        <v>0.94978826774526193</v>
      </c>
      <c r="AP90" s="67">
        <f t="shared" si="148"/>
        <v>0.7701434786842114</v>
      </c>
      <c r="AQ90" s="11">
        <f t="shared" si="131"/>
        <v>1.0242110532183759</v>
      </c>
      <c r="AR90" s="11">
        <f t="shared" si="132"/>
        <v>0.86205751623462168</v>
      </c>
      <c r="AS90" s="11">
        <f t="shared" si="133"/>
        <v>0.8416795674346419</v>
      </c>
      <c r="AT90" s="11">
        <f t="shared" si="134"/>
        <v>531.22754697277503</v>
      </c>
      <c r="AU90" s="11">
        <f t="shared" si="135"/>
        <v>1824.3033570060309</v>
      </c>
      <c r="AV90" s="11">
        <f t="shared" si="136"/>
        <v>2.0005881638354003E-3</v>
      </c>
      <c r="AW90" s="11">
        <f t="shared" si="137"/>
        <v>3.8071298129619079E-7</v>
      </c>
      <c r="AX90" s="41">
        <f t="shared" ca="1" si="138"/>
        <v>1.2755603383826875</v>
      </c>
      <c r="AY90" s="41">
        <f t="shared" ca="1" si="139"/>
        <v>1.7182051180598585</v>
      </c>
      <c r="AZ90" s="41">
        <f t="shared" si="140"/>
        <v>0.23576992453190515</v>
      </c>
      <c r="BA90" s="154">
        <f t="shared" si="149"/>
        <v>1.5992358414400256</v>
      </c>
      <c r="BB90" s="156">
        <f t="shared" si="150"/>
        <v>1.3419584035614773</v>
      </c>
      <c r="BC90" s="156">
        <f t="shared" si="151"/>
        <v>0.97635793995139186</v>
      </c>
    </row>
    <row r="91" spans="1:55" ht="14.5">
      <c r="A91" s="41">
        <f t="shared" ca="1" si="141"/>
        <v>1303.0952894728127</v>
      </c>
      <c r="B91" s="41">
        <f t="shared" ca="1" si="154"/>
        <v>21.718254824546879</v>
      </c>
      <c r="C91" s="41">
        <f t="shared" ca="1" si="154"/>
        <v>0.361970913742448</v>
      </c>
      <c r="D91" s="41">
        <f t="shared" ca="1" si="142"/>
        <v>16666.417749401029</v>
      </c>
      <c r="E91" s="41">
        <f t="shared" ca="1" si="143"/>
        <v>122.37077726051183</v>
      </c>
      <c r="F91" s="41">
        <f t="shared" ca="1" si="144"/>
        <v>14.066267308391323</v>
      </c>
      <c r="G91" s="41"/>
      <c r="H91" s="7">
        <f t="shared" si="145"/>
        <v>3700</v>
      </c>
      <c r="I91" s="6">
        <v>15</v>
      </c>
      <c r="J91" s="41">
        <f t="shared" si="105"/>
        <v>0.31214894740045374</v>
      </c>
      <c r="K91" s="41">
        <f t="shared" si="106"/>
        <v>353.10605138418833</v>
      </c>
      <c r="L91" s="6">
        <f t="shared" si="152"/>
        <v>193.25</v>
      </c>
      <c r="M91" s="41">
        <f t="shared" si="107"/>
        <v>209.20968574830945</v>
      </c>
      <c r="N91" s="41">
        <f t="shared" si="108"/>
        <v>126.0556206973416</v>
      </c>
      <c r="O91" s="41">
        <f t="shared" si="109"/>
        <v>1871985.8295247075</v>
      </c>
      <c r="P91" s="41">
        <f t="shared" si="110"/>
        <v>12019464.440351253</v>
      </c>
      <c r="Q91" s="41">
        <f t="shared" si="111"/>
        <v>2.8907497313022572E-3</v>
      </c>
      <c r="R91" s="41">
        <f t="shared" si="112"/>
        <v>2.2574704447812555E-2</v>
      </c>
      <c r="S91" s="24">
        <f t="shared" ca="1" si="146"/>
        <v>-3.4480136578179512</v>
      </c>
      <c r="T91" s="10">
        <f t="shared" ca="1" si="113"/>
        <v>-3.4480136578179512</v>
      </c>
      <c r="U91" s="41">
        <f t="shared" ca="1" si="114"/>
        <v>0.57380632441391821</v>
      </c>
      <c r="V91" s="41">
        <f t="shared" ca="1" si="115"/>
        <v>4.3369289193060462E-2</v>
      </c>
      <c r="W91" s="41">
        <f t="shared" ca="1" si="116"/>
        <v>13.230706223004761</v>
      </c>
      <c r="X91" s="20">
        <f t="shared" ca="1" si="117"/>
        <v>1257.3968137397615</v>
      </c>
      <c r="Y91" s="41">
        <f t="shared" si="118"/>
        <v>0.5978623999525744</v>
      </c>
      <c r="Z91" s="41">
        <f t="shared" ca="1" si="119"/>
        <v>172.65621057301013</v>
      </c>
      <c r="AA91" s="14">
        <f t="shared" ca="1" si="120"/>
        <v>1259.677107819268</v>
      </c>
      <c r="AB91" s="14">
        <f t="shared" si="147"/>
        <v>5100.6110029829915</v>
      </c>
      <c r="AC91" s="25">
        <f t="shared" ca="1" si="121"/>
        <v>444799.6095611162</v>
      </c>
      <c r="AD91" s="41">
        <f t="shared" si="122"/>
        <v>1801056.6109100685</v>
      </c>
      <c r="AE91" s="6">
        <v>5</v>
      </c>
      <c r="AF91" s="41">
        <f t="shared" si="123"/>
        <v>255.03055014914958</v>
      </c>
      <c r="AG91" s="41">
        <f t="shared" ca="1" si="124"/>
        <v>3840.9338951637237</v>
      </c>
      <c r="AH91" s="41">
        <f t="shared" ca="1" si="125"/>
        <v>1356257.0013489523</v>
      </c>
      <c r="AI91" s="41">
        <f t="shared" si="126"/>
        <v>195.78877515317467</v>
      </c>
      <c r="AJ91" s="13">
        <f t="shared" ca="1" si="127"/>
        <v>-21.236812775194217</v>
      </c>
      <c r="AK91" s="11"/>
      <c r="AL91" s="6">
        <f t="shared" si="153"/>
        <v>-350</v>
      </c>
      <c r="AM91" s="41">
        <f t="shared" ca="1" si="128"/>
        <v>16.480815822269694</v>
      </c>
      <c r="AN91" s="41">
        <f t="shared" ca="1" si="129"/>
        <v>0.89632187315756784</v>
      </c>
      <c r="AO91" s="41">
        <f t="shared" ca="1" si="130"/>
        <v>0.95602909830869276</v>
      </c>
      <c r="AP91" s="67">
        <f t="shared" si="148"/>
        <v>0.7677071434723074</v>
      </c>
      <c r="AQ91" s="11">
        <f t="shared" si="131"/>
        <v>1.0266174257183758</v>
      </c>
      <c r="AR91" s="11">
        <f t="shared" si="132"/>
        <v>0.87333247773833833</v>
      </c>
      <c r="AS91" s="11">
        <f t="shared" si="133"/>
        <v>0.85068931800687464</v>
      </c>
      <c r="AT91" s="11">
        <f t="shared" si="134"/>
        <v>532.47566019734995</v>
      </c>
      <c r="AU91" s="11">
        <f t="shared" si="135"/>
        <v>1848.1636560394261</v>
      </c>
      <c r="AV91" s="11">
        <f t="shared" si="136"/>
        <v>2.0220034399705401E-3</v>
      </c>
      <c r="AW91" s="11">
        <f t="shared" si="137"/>
        <v>3.8140334147428954E-7</v>
      </c>
      <c r="AX91" s="41">
        <f t="shared" ca="1" si="138"/>
        <v>1.2211811834387567</v>
      </c>
      <c r="AY91" s="41">
        <f t="shared" ca="1" si="139"/>
        <v>1.644955315969822</v>
      </c>
      <c r="AZ91" s="41">
        <f t="shared" si="140"/>
        <v>0.22724569902211403</v>
      </c>
      <c r="BA91" s="154">
        <f t="shared" si="149"/>
        <v>1.5937465635504113</v>
      </c>
      <c r="BB91" s="156">
        <f t="shared" si="150"/>
        <v>1.3345438326151935</v>
      </c>
      <c r="BC91" s="156">
        <f t="shared" si="151"/>
        <v>0.97101914075933626</v>
      </c>
    </row>
    <row r="92" spans="1:55" ht="14.5">
      <c r="A92" s="41">
        <f t="shared" ca="1" si="141"/>
        <v>1319.5761052950825</v>
      </c>
      <c r="B92" s="41">
        <f t="shared" ca="1" si="154"/>
        <v>21.992935088251375</v>
      </c>
      <c r="C92" s="41">
        <f t="shared" ca="1" si="154"/>
        <v>0.36654891813752294</v>
      </c>
      <c r="D92" s="41">
        <f t="shared" ca="1" si="142"/>
        <v>16665.52142752787</v>
      </c>
      <c r="E92" s="41">
        <f t="shared" ca="1" si="143"/>
        <v>123.32680635882052</v>
      </c>
      <c r="F92" s="41">
        <f t="shared" ca="1" si="144"/>
        <v>15.022296406700015</v>
      </c>
      <c r="G92" s="41"/>
      <c r="H92" s="7">
        <f t="shared" si="145"/>
        <v>3350</v>
      </c>
      <c r="I92" s="6">
        <v>15</v>
      </c>
      <c r="J92" s="41">
        <f t="shared" si="105"/>
        <v>0.29957266953011064</v>
      </c>
      <c r="K92" s="41">
        <f t="shared" si="106"/>
        <v>339.27656983741321</v>
      </c>
      <c r="L92" s="6">
        <f t="shared" si="152"/>
        <v>186.625</v>
      </c>
      <c r="M92" s="41">
        <f t="shared" si="107"/>
        <v>201.01593920354992</v>
      </c>
      <c r="N92" s="41">
        <f t="shared" si="108"/>
        <v>117.61759519806867</v>
      </c>
      <c r="O92" s="41">
        <f t="shared" si="109"/>
        <v>1814593.8498126913</v>
      </c>
      <c r="P92" s="41">
        <f t="shared" si="110"/>
        <v>11650967.602164673</v>
      </c>
      <c r="Q92" s="41">
        <f t="shared" si="111"/>
        <v>2.9071089728524057E-3</v>
      </c>
      <c r="R92" s="41">
        <f t="shared" si="112"/>
        <v>2.2674162672134426E-2</v>
      </c>
      <c r="S92" s="24">
        <f t="shared" ca="1" si="146"/>
        <v>-3.4438592555820469</v>
      </c>
      <c r="T92" s="10">
        <f t="shared" ca="1" si="113"/>
        <v>-3.4438592555820469</v>
      </c>
      <c r="U92" s="41">
        <f t="shared" ca="1" si="114"/>
        <v>0.61494148095927803</v>
      </c>
      <c r="V92" s="41">
        <f t="shared" ca="1" si="115"/>
        <v>4.6557068693801808E-2</v>
      </c>
      <c r="W92" s="41">
        <f t="shared" ca="1" si="116"/>
        <v>13.208337599681094</v>
      </c>
      <c r="X92" s="20">
        <f t="shared" ca="1" si="117"/>
        <v>1259.4640056243391</v>
      </c>
      <c r="Y92" s="41">
        <f t="shared" si="118"/>
        <v>0.59917796496572717</v>
      </c>
      <c r="Z92" s="41">
        <f t="shared" ca="1" si="119"/>
        <v>171.73750236271374</v>
      </c>
      <c r="AA92" s="14">
        <f t="shared" ca="1" si="120"/>
        <v>1261.7425396463402</v>
      </c>
      <c r="AB92" s="14">
        <f t="shared" si="147"/>
        <v>5167.1569636999984</v>
      </c>
      <c r="AC92" s="25">
        <f t="shared" ca="1" si="121"/>
        <v>428079.68086915667</v>
      </c>
      <c r="AD92" s="41">
        <f t="shared" si="122"/>
        <v>1753095.2904556384</v>
      </c>
      <c r="AE92" s="6">
        <v>5</v>
      </c>
      <c r="AF92" s="41">
        <f t="shared" si="123"/>
        <v>258.35784818499991</v>
      </c>
      <c r="AG92" s="41">
        <f t="shared" ca="1" si="124"/>
        <v>3905.414424053658</v>
      </c>
      <c r="AH92" s="41">
        <f t="shared" ca="1" si="125"/>
        <v>1325015.6095864817</v>
      </c>
      <c r="AI92" s="41">
        <f t="shared" si="126"/>
        <v>197.7138385723014</v>
      </c>
      <c r="AJ92" s="13">
        <f t="shared" ca="1" si="127"/>
        <v>-20.380512221963858</v>
      </c>
      <c r="AK92" s="11"/>
      <c r="AL92" s="6">
        <f t="shared" si="153"/>
        <v>-350</v>
      </c>
      <c r="AM92" s="41">
        <f t="shared" ca="1" si="128"/>
        <v>17.173268080220712</v>
      </c>
      <c r="AN92" s="41">
        <f t="shared" ca="1" si="129"/>
        <v>0.94316465360322621</v>
      </c>
      <c r="AO92" s="41">
        <f t="shared" ca="1" si="130"/>
        <v>0.95718516443636459</v>
      </c>
      <c r="AP92" s="67">
        <f t="shared" si="148"/>
        <v>0.76527126991213479</v>
      </c>
      <c r="AQ92" s="11">
        <f t="shared" si="131"/>
        <v>1.0290237982183759</v>
      </c>
      <c r="AR92" s="11">
        <f t="shared" si="132"/>
        <v>0.8847265536093416</v>
      </c>
      <c r="AS92" s="11">
        <f t="shared" si="133"/>
        <v>0.85977268469508028</v>
      </c>
      <c r="AT92" s="11">
        <f t="shared" si="134"/>
        <v>533.72377342192499</v>
      </c>
      <c r="AU92" s="11">
        <f t="shared" si="135"/>
        <v>1872.2760272791606</v>
      </c>
      <c r="AV92" s="11">
        <f t="shared" si="136"/>
        <v>2.0435936942517362E-3</v>
      </c>
      <c r="AW92" s="11">
        <f t="shared" si="137"/>
        <v>3.8209291781665951E-7</v>
      </c>
      <c r="AX92" s="41">
        <f t="shared" ca="1" si="138"/>
        <v>1.1711483871640749</v>
      </c>
      <c r="AY92" s="41">
        <f t="shared" ca="1" si="139"/>
        <v>1.5775601453587607</v>
      </c>
      <c r="AZ92" s="41">
        <f t="shared" si="140"/>
        <v>0.21873971277029783</v>
      </c>
      <c r="BA92" s="154">
        <f t="shared" si="149"/>
        <v>1.5882302057465869</v>
      </c>
      <c r="BB92" s="156">
        <f t="shared" si="150"/>
        <v>1.3271265488092332</v>
      </c>
      <c r="BC92" s="156">
        <f t="shared" si="151"/>
        <v>0.9657111462405491</v>
      </c>
    </row>
    <row r="93" spans="1:55" ht="14.5">
      <c r="A93" s="41">
        <f t="shared" ca="1" si="141"/>
        <v>1336.7493733753031</v>
      </c>
      <c r="B93" s="41">
        <f t="shared" ca="1" si="154"/>
        <v>22.279156222921717</v>
      </c>
      <c r="C93" s="41">
        <f t="shared" ca="1" si="154"/>
        <v>0.37131927038202861</v>
      </c>
      <c r="D93" s="41">
        <f t="shared" ca="1" si="142"/>
        <v>16664.578262874267</v>
      </c>
      <c r="E93" s="41">
        <f t="shared" ca="1" si="143"/>
        <v>124.28399152325689</v>
      </c>
      <c r="F93" s="41">
        <f t="shared" ca="1" si="144"/>
        <v>15.979481571136379</v>
      </c>
      <c r="G93" s="41"/>
      <c r="H93" s="7">
        <f t="shared" si="145"/>
        <v>3000</v>
      </c>
      <c r="I93" s="6">
        <v>15</v>
      </c>
      <c r="J93" s="41">
        <f t="shared" si="105"/>
        <v>0.28713835631100121</v>
      </c>
      <c r="K93" s="41">
        <f t="shared" si="106"/>
        <v>325.57428482334547</v>
      </c>
      <c r="L93" s="6">
        <f>L92-($L$68-$L$98)/20</f>
        <v>180</v>
      </c>
      <c r="M93" s="41">
        <f t="shared" si="107"/>
        <v>192.89755456927503</v>
      </c>
      <c r="N93" s="41">
        <f t="shared" si="108"/>
        <v>109.46264517225482</v>
      </c>
      <c r="O93" s="41">
        <f t="shared" si="109"/>
        <v>1756688.0948151206</v>
      </c>
      <c r="P93" s="41">
        <f t="shared" si="110"/>
        <v>11279171.965623073</v>
      </c>
      <c r="Q93" s="41">
        <f t="shared" si="111"/>
        <v>2.9240838430518376E-3</v>
      </c>
      <c r="R93" s="41">
        <f t="shared" si="112"/>
        <v>2.277736369419613E-2</v>
      </c>
      <c r="S93" s="24">
        <f t="shared" ca="1" si="146"/>
        <v>-3.4603727122887906</v>
      </c>
      <c r="T93" s="10">
        <f t="shared" ca="1" si="113"/>
        <v>-3.4603727122887906</v>
      </c>
      <c r="U93" s="41">
        <f t="shared" ca="1" si="114"/>
        <v>0.66070564373292573</v>
      </c>
      <c r="V93" s="41">
        <f t="shared" ca="1" si="115"/>
        <v>5.0347291189318133E-2</v>
      </c>
      <c r="W93" s="41">
        <f t="shared" ca="1" si="116"/>
        <v>13.122963085511609</v>
      </c>
      <c r="X93" s="20">
        <f t="shared" ca="1" si="117"/>
        <v>1267.5639642933202</v>
      </c>
      <c r="Y93" s="41">
        <f t="shared" si="118"/>
        <v>0.60053999049783546</v>
      </c>
      <c r="Z93" s="41">
        <f t="shared" ca="1" si="119"/>
        <v>170.82384093655719</v>
      </c>
      <c r="AA93" s="14">
        <f t="shared" ca="1" si="120"/>
        <v>1269.8792303449191</v>
      </c>
      <c r="AB93" s="14">
        <f t="shared" si="147"/>
        <v>5234.4042087224379</v>
      </c>
      <c r="AC93" s="25">
        <f t="shared" ca="1" si="121"/>
        <v>413440.02223156742</v>
      </c>
      <c r="AD93" s="41">
        <f t="shared" si="122"/>
        <v>1704187.4067311173</v>
      </c>
      <c r="AE93" s="6">
        <v>5</v>
      </c>
      <c r="AF93" s="41">
        <f t="shared" si="123"/>
        <v>261.72021043612193</v>
      </c>
      <c r="AG93" s="41">
        <f t="shared" ca="1" si="124"/>
        <v>3964.5249783775189</v>
      </c>
      <c r="AH93" s="41">
        <f t="shared" ca="1" si="125"/>
        <v>1290747.3844995499</v>
      </c>
      <c r="AI93" s="41">
        <f t="shared" si="126"/>
        <v>199.64973527028752</v>
      </c>
      <c r="AJ93" s="13">
        <f t="shared" ca="1" si="127"/>
        <v>-19.651074011014547</v>
      </c>
      <c r="AK93" s="11"/>
      <c r="AL93" s="6">
        <v>0</v>
      </c>
      <c r="AM93" s="41">
        <f t="shared" ca="1" si="128"/>
        <v>0</v>
      </c>
      <c r="AN93" s="41">
        <f t="shared" ca="1" si="129"/>
        <v>0</v>
      </c>
      <c r="AO93" s="41">
        <f t="shared" ca="1" si="130"/>
        <v>0</v>
      </c>
      <c r="AP93" s="67">
        <f>0.701 + 0.301*AZ93 + -0.0328*AZ93^2</f>
        <v>0.76283652277979519</v>
      </c>
      <c r="AQ93" s="11">
        <f t="shared" si="131"/>
        <v>1.0314301707183759</v>
      </c>
      <c r="AR93" s="11">
        <f t="shared" si="132"/>
        <v>0.8962407041850623</v>
      </c>
      <c r="AS93" s="11">
        <f t="shared" si="133"/>
        <v>0.86893008332386068</v>
      </c>
      <c r="AT93" s="11">
        <f t="shared" si="134"/>
        <v>534.97188664650002</v>
      </c>
      <c r="AU93" s="11">
        <f t="shared" si="135"/>
        <v>1896.6425030105124</v>
      </c>
      <c r="AV93" s="11">
        <f t="shared" si="136"/>
        <v>2.0653599150524844E-3</v>
      </c>
      <c r="AW93" s="11">
        <f t="shared" si="137"/>
        <v>3.8278171249107636E-7</v>
      </c>
      <c r="AX93" s="41">
        <f t="shared" ca="1" si="138"/>
        <v>1.1259110094123097</v>
      </c>
      <c r="AY93" s="41">
        <f t="shared" ca="1" si="139"/>
        <v>1.5166244987712836</v>
      </c>
      <c r="AZ93" s="41">
        <f t="shared" si="140"/>
        <v>0.21025417408998501</v>
      </c>
      <c r="BA93" s="154">
        <f>2.12 - (0.00251*AF93) + (1.94*10^(-6)*AF93^2) - (7.84*10^(-10)*AF93^3) + (1.7*10^(-13)*AF93^4) - (1.89*10^(-17)*AF93^5) + (8.37*10^(-22)*AF93^6)</f>
        <v>1.582687142023385</v>
      </c>
      <c r="BB93" s="156">
        <f t="shared" si="150"/>
        <v>1.3197077059626507</v>
      </c>
      <c r="BC93" s="156">
        <f t="shared" si="151"/>
        <v>0.96043503140153696</v>
      </c>
    </row>
    <row r="94" spans="1:55" ht="14.5">
      <c r="B94" s="135">
        <f ca="1">B93-B73</f>
        <v>3.6068745369487623</v>
      </c>
      <c r="X94" s="32">
        <f ca="1">AVERAGE(X73:X93)</f>
        <v>1447.2555071716026</v>
      </c>
      <c r="AC94" s="3"/>
      <c r="AD94" s="3"/>
      <c r="AN94" s="32">
        <f ca="1">SUM(AN73:AN93)</f>
        <v>11.028076831104523</v>
      </c>
      <c r="AP94" s="145"/>
    </row>
    <row r="95" spans="1:55" ht="14.5">
      <c r="A95" s="67" t="s">
        <v>5</v>
      </c>
      <c r="B95" s="67" t="s">
        <v>122</v>
      </c>
      <c r="C95" s="67">
        <v>240</v>
      </c>
      <c r="D95" s="67" t="s">
        <v>21</v>
      </c>
      <c r="E95" s="53"/>
      <c r="F95" s="53"/>
      <c r="G95" s="53"/>
      <c r="H95" s="53"/>
      <c r="I95" s="53"/>
      <c r="J95" s="53"/>
      <c r="K95" s="53"/>
      <c r="L95" s="67" t="s">
        <v>60</v>
      </c>
      <c r="M95" s="53"/>
      <c r="N95" s="53"/>
      <c r="O95" s="53"/>
      <c r="P95" s="53"/>
      <c r="Q95" s="67"/>
      <c r="R95" s="53"/>
      <c r="S95" s="53"/>
      <c r="T95" s="53"/>
      <c r="U95" s="67"/>
      <c r="V95" s="67"/>
      <c r="W95" s="67"/>
      <c r="X95" s="67"/>
      <c r="Y95" s="53"/>
      <c r="Z95" s="53"/>
      <c r="AA95" s="67"/>
      <c r="AB95" s="67"/>
      <c r="AC95" s="53"/>
      <c r="AD95" s="53"/>
      <c r="AE95" s="53"/>
      <c r="AF95" s="67"/>
      <c r="AG95" s="53"/>
      <c r="AH95" s="53"/>
      <c r="AI95" s="53"/>
      <c r="AJ95" s="67" t="s">
        <v>61</v>
      </c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</row>
    <row r="96" spans="1:55" ht="14.5">
      <c r="A96" s="41" t="s">
        <v>2</v>
      </c>
      <c r="B96" s="41" t="s">
        <v>2</v>
      </c>
      <c r="C96" s="41" t="s">
        <v>2</v>
      </c>
      <c r="D96" s="41" t="s">
        <v>23</v>
      </c>
      <c r="E96" s="41" t="s">
        <v>24</v>
      </c>
      <c r="F96" s="41" t="s">
        <v>25</v>
      </c>
      <c r="G96" s="41"/>
      <c r="H96" s="41" t="s">
        <v>0</v>
      </c>
      <c r="I96" s="5" t="s">
        <v>26</v>
      </c>
      <c r="J96" s="41" t="s">
        <v>27</v>
      </c>
      <c r="K96" s="41" t="s">
        <v>28</v>
      </c>
      <c r="L96" s="12" t="s">
        <v>29</v>
      </c>
      <c r="M96" s="13" t="s">
        <v>30</v>
      </c>
      <c r="N96" s="41" t="s">
        <v>31</v>
      </c>
      <c r="O96" s="41" t="s">
        <v>32</v>
      </c>
      <c r="P96" s="41" t="s">
        <v>33</v>
      </c>
      <c r="Q96" s="41" t="s">
        <v>34</v>
      </c>
      <c r="R96" s="41" t="s">
        <v>13</v>
      </c>
      <c r="S96" s="24" t="s">
        <v>35</v>
      </c>
      <c r="T96" s="10" t="s">
        <v>35</v>
      </c>
      <c r="U96" s="41" t="s">
        <v>36</v>
      </c>
      <c r="V96" s="41" t="s">
        <v>37</v>
      </c>
      <c r="W96" s="41" t="s">
        <v>38</v>
      </c>
      <c r="X96" s="41" t="s">
        <v>39</v>
      </c>
      <c r="Y96" s="41" t="s">
        <v>40</v>
      </c>
      <c r="Z96" s="35" t="s">
        <v>108</v>
      </c>
      <c r="AA96" s="35" t="s">
        <v>109</v>
      </c>
      <c r="AB96" s="9" t="s">
        <v>110</v>
      </c>
      <c r="AC96" s="7" t="s">
        <v>111</v>
      </c>
      <c r="AD96" s="7" t="s">
        <v>112</v>
      </c>
      <c r="AE96" s="5" t="s">
        <v>41</v>
      </c>
      <c r="AF96" s="7" t="s">
        <v>113</v>
      </c>
      <c r="AG96" s="7" t="s">
        <v>114</v>
      </c>
      <c r="AH96" s="7" t="s">
        <v>115</v>
      </c>
      <c r="AI96" s="41" t="s">
        <v>42</v>
      </c>
      <c r="AJ96" s="41" t="s">
        <v>43</v>
      </c>
      <c r="AK96" s="36"/>
      <c r="AL96" s="5" t="s">
        <v>44</v>
      </c>
      <c r="AM96" s="5" t="s">
        <v>45</v>
      </c>
      <c r="AN96" s="41" t="s">
        <v>46</v>
      </c>
      <c r="AO96" s="41" t="s">
        <v>47</v>
      </c>
      <c r="AP96" s="53"/>
      <c r="AQ96" s="15" t="s">
        <v>62</v>
      </c>
      <c r="AR96" s="16" t="s">
        <v>63</v>
      </c>
      <c r="AS96" s="16" t="s">
        <v>64</v>
      </c>
      <c r="AT96" s="17" t="s">
        <v>65</v>
      </c>
      <c r="AU96" s="18" t="s">
        <v>66</v>
      </c>
      <c r="AV96" s="18" t="s">
        <v>67</v>
      </c>
      <c r="AW96" s="19" t="s">
        <v>68</v>
      </c>
      <c r="AX96" s="7" t="s">
        <v>207</v>
      </c>
      <c r="AY96" s="7" t="s">
        <v>208</v>
      </c>
      <c r="AZ96" s="7" t="s">
        <v>209</v>
      </c>
    </row>
    <row r="97" spans="1:53" ht="14.5">
      <c r="A97" s="41" t="s">
        <v>18</v>
      </c>
      <c r="B97" s="41" t="s">
        <v>21</v>
      </c>
      <c r="C97" s="41" t="s">
        <v>48</v>
      </c>
      <c r="D97" s="41" t="s">
        <v>8</v>
      </c>
      <c r="E97" s="41" t="s">
        <v>49</v>
      </c>
      <c r="F97" s="41" t="s">
        <v>49</v>
      </c>
      <c r="G97" s="41"/>
      <c r="H97" s="41" t="s">
        <v>9</v>
      </c>
      <c r="I97" s="5" t="s">
        <v>50</v>
      </c>
      <c r="J97" s="41"/>
      <c r="K97" s="41" t="s">
        <v>51</v>
      </c>
      <c r="L97" s="5" t="s">
        <v>52</v>
      </c>
      <c r="M97" s="41" t="s">
        <v>52</v>
      </c>
      <c r="N97" s="41" t="s">
        <v>53</v>
      </c>
      <c r="O97" s="41" t="s">
        <v>54</v>
      </c>
      <c r="P97" s="41"/>
      <c r="Q97" s="41"/>
      <c r="R97" s="41"/>
      <c r="S97" s="24" t="s">
        <v>55</v>
      </c>
      <c r="T97" s="10" t="s">
        <v>55</v>
      </c>
      <c r="U97" s="41"/>
      <c r="V97" s="41"/>
      <c r="W97" s="41"/>
      <c r="X97" s="41"/>
      <c r="Y97" s="41"/>
      <c r="Z97" s="41"/>
      <c r="AA97" s="9" t="s">
        <v>118</v>
      </c>
      <c r="AB97" s="9" t="s">
        <v>118</v>
      </c>
      <c r="AC97" s="7" t="s">
        <v>119</v>
      </c>
      <c r="AD97" s="7" t="s">
        <v>119</v>
      </c>
      <c r="AE97" s="5" t="s">
        <v>20</v>
      </c>
      <c r="AF97" s="7" t="s">
        <v>118</v>
      </c>
      <c r="AG97" s="7" t="s">
        <v>118</v>
      </c>
      <c r="AH97" s="7" t="s">
        <v>119</v>
      </c>
      <c r="AI97" s="41" t="s">
        <v>56</v>
      </c>
      <c r="AJ97" s="41" t="s">
        <v>57</v>
      </c>
      <c r="AK97" s="11"/>
      <c r="AL97" s="5" t="s">
        <v>9</v>
      </c>
      <c r="AM97" s="5" t="s">
        <v>18</v>
      </c>
      <c r="AN97" s="41" t="s">
        <v>8</v>
      </c>
      <c r="AO97" s="41" t="s">
        <v>49</v>
      </c>
      <c r="AP97" s="53"/>
      <c r="AQ97" s="11"/>
      <c r="AR97" s="11"/>
      <c r="AS97" s="11"/>
      <c r="AT97" s="11"/>
      <c r="AU97" s="11"/>
      <c r="AV97" s="11"/>
      <c r="AW97" s="11"/>
      <c r="AX97" s="41"/>
      <c r="AY97" s="41"/>
      <c r="AZ97" s="41"/>
    </row>
    <row r="98" spans="1:53" ht="14.5">
      <c r="A98" s="41">
        <f ca="1">A93</f>
        <v>1336.7493733753031</v>
      </c>
      <c r="B98" s="41">
        <f t="shared" ref="B98:C98" ca="1" si="155">(A98/60)</f>
        <v>22.279156222921717</v>
      </c>
      <c r="C98" s="41">
        <f t="shared" ca="1" si="155"/>
        <v>0.37131927038202861</v>
      </c>
      <c r="D98" s="41">
        <f t="shared" ref="D98:E98" ca="1" si="156">D93</f>
        <v>16664.578262874267</v>
      </c>
      <c r="E98" s="41">
        <f t="shared" ca="1" si="156"/>
        <v>124.28399152325689</v>
      </c>
      <c r="F98" s="7">
        <v>0</v>
      </c>
      <c r="G98" s="41"/>
      <c r="H98" s="7">
        <f>H93</f>
        <v>3000</v>
      </c>
      <c r="I98" s="6">
        <v>15</v>
      </c>
      <c r="J98" s="41">
        <f t="shared" ref="J98:J118" si="157">SQRT((((((((L98^2)*(0.2))/(661.477)^2) + 1)^(3.5) - 1)*(1/AR98) + 1)^(1/3.5) - 1)*(5))</f>
        <v>0.28713835631100121</v>
      </c>
      <c r="K98" s="41">
        <f t="shared" ref="K98:K118" si="158">SQRT((1.4*2116.22*AR98*(J98)^2)/AV98)</f>
        <v>325.57428482334547</v>
      </c>
      <c r="L98" s="120">
        <v>180</v>
      </c>
      <c r="M98" s="41">
        <f t="shared" ref="M98:M118" si="159">K98*0.592484</f>
        <v>192.89755456927503</v>
      </c>
      <c r="N98" s="41">
        <f t="shared" ref="N98:N118" si="160">0.5*AV98*K98^2</f>
        <v>109.46264517225482</v>
      </c>
      <c r="O98" s="41">
        <f t="shared" ref="O98:O118" si="161">P98/$B$7</f>
        <v>1756688.0948151206</v>
      </c>
      <c r="P98" s="41">
        <f t="shared" ref="P98:P118" si="162">(AV98*K98*$B$7)/(AW98)</f>
        <v>11279171.965623073</v>
      </c>
      <c r="Q98" s="41">
        <f t="shared" ref="Q98:Q118" si="163">0.455/(LOG10(P98)^2.58 * (1+0.144*J98*J98)^0.65)</f>
        <v>2.9240838430518376E-3</v>
      </c>
      <c r="R98" s="41">
        <f t="shared" ref="R98:R118" si="164">(((Q98*$B$4)+$B$17)+(0.1*(Q98*$B$4)))</f>
        <v>2.277736369419613E-2</v>
      </c>
      <c r="S98" s="24">
        <f ca="1">T98</f>
        <v>0</v>
      </c>
      <c r="T98" s="10">
        <f t="shared" ref="T98:T118" ca="1" si="165">DEGREES(ASIN(((AF98-X98)/(D98))))</f>
        <v>0</v>
      </c>
      <c r="U98" s="41">
        <f t="shared" ref="U98:U118" ca="1" si="166">(D98*COS(RADIANS(S98)))/(N98*$B$3)</f>
        <v>0.66191245411104149</v>
      </c>
      <c r="V98" s="41">
        <f t="shared" ref="V98:V118" ca="1" si="167">(X98)/(N98*$B$3)</f>
        <v>5.0448098745879459E-2</v>
      </c>
      <c r="W98" s="41">
        <f t="shared" ref="W98:W118" ca="1" si="168">U98/V98</f>
        <v>13.120662038132918</v>
      </c>
      <c r="X98" s="20">
        <f t="shared" ref="X98:X118" ca="1" si="169">(N98*$B$3*R98)+((N98*$B$3)*((U98^2)/(PI()*$B$6*$B$5)))</f>
        <v>1270.1019365060677</v>
      </c>
      <c r="Y98" s="41">
        <f t="shared" ref="Y98:Y118" si="170">SQRT(PI()*$B$6*$B$5*R98)</f>
        <v>0.60053999049783546</v>
      </c>
      <c r="Z98" s="41">
        <f t="shared" ref="Z98:Z118" ca="1" si="171">SQRT((2*((U98*N98*$B$3)/(D98))*D98)/(AV98*$B$3*$B$18))</f>
        <v>170.97977870952195</v>
      </c>
      <c r="AA98" s="14">
        <f t="shared" ref="AA98:AA118" ca="1" si="172">D98/W98</f>
        <v>1270.1019365060677</v>
      </c>
      <c r="AB98" s="14">
        <f>$B$15*AR98*0.93</f>
        <v>5234.4042087224379</v>
      </c>
      <c r="AC98" s="25">
        <f t="shared" ref="AC98:AC118" ca="1" si="173">AA98*K98</f>
        <v>413512.52963070909</v>
      </c>
      <c r="AD98" s="41">
        <f t="shared" ref="AD98:AD118" si="174">AB98*K98</f>
        <v>1704187.4067311173</v>
      </c>
      <c r="AE98" s="5">
        <f t="shared" ref="AE98:AE118" ca="1" si="175">(AA98/AB98)*100</f>
        <v>24.264498610741828</v>
      </c>
      <c r="AF98" s="7">
        <f t="shared" ref="AF98:AF118" ca="1" si="176">(AB98)*(AE98/100)</f>
        <v>1270.1019365060677</v>
      </c>
      <c r="AG98" s="41">
        <f t="shared" ref="AG98:AG118" ca="1" si="177">AB98-AA98</f>
        <v>3964.3022722163705</v>
      </c>
      <c r="AH98" s="41">
        <f t="shared" ref="AH98:AH118" ca="1" si="178">AD98-AC98</f>
        <v>1290674.8771004081</v>
      </c>
      <c r="AI98" s="41">
        <f t="shared" ref="AI98:AI118" ca="1" si="179">(AP98*AF98)</f>
        <v>981.12342438269729</v>
      </c>
      <c r="AJ98" s="13">
        <f t="shared" ref="AJ98:AJ118" ca="1" si="180">K98*SIN(RADIANS(T98))</f>
        <v>0</v>
      </c>
      <c r="AK98" s="11"/>
      <c r="AL98" s="6">
        <v>0</v>
      </c>
      <c r="AM98" s="6">
        <v>720</v>
      </c>
      <c r="AN98" s="41">
        <f t="shared" ref="AN98:AN118" ca="1" si="181">AI98*(AM98/3600)</f>
        <v>196.22468487653947</v>
      </c>
      <c r="AO98" s="41">
        <f t="shared" ref="AO98:AO118" ca="1" si="182">M98*COS(RADIANS(T98))*(AM98/3600)</f>
        <v>38.57951091385501</v>
      </c>
      <c r="AP98" s="67">
        <f>0.71 + 0.304*AZ98 + -0.0326*AZ98^2</f>
        <v>0.77247612666560972</v>
      </c>
      <c r="AQ98" s="11">
        <f t="shared" ref="AQ98:AQ118" si="183">IF(H98 &lt;= 36089, ((1 - 6.87535*10^(-6)*H98) + ((I98*1.8)/518.67)), 0.75187 + ((I98*1.8)/518.67))</f>
        <v>1.0314301707183759</v>
      </c>
      <c r="AR98" s="11">
        <f t="shared" ref="AR98:AR118" si="184">IF(H98 &lt;= 36089, (1 - 6.87535*10^(-6)*H98)^5.2561, 0.22336*EXP((36089 - H98)/(20806.7)))</f>
        <v>0.8962407041850623</v>
      </c>
      <c r="AS98" s="11">
        <f t="shared" ref="AS98:AS118" si="185">(AR98/AQ98)</f>
        <v>0.86893008332386068</v>
      </c>
      <c r="AT98" s="11">
        <f t="shared" ref="AT98:AT118" si="186">(518.67*AQ98)</f>
        <v>534.97188664650002</v>
      </c>
      <c r="AU98" s="11">
        <f t="shared" ref="AU98:AU118" si="187">2116.22*AR98</f>
        <v>1896.6425030105124</v>
      </c>
      <c r="AV98" s="11">
        <f t="shared" ref="AV98:AV118" si="188">(0.0023769*AS98)</f>
        <v>2.0653599150524844E-3</v>
      </c>
      <c r="AW98" s="11">
        <f t="shared" ref="AW98:AW118" si="189">((2.2697*10^-8)*(AT98^1.5))/(AT98+198.72)</f>
        <v>3.8278171249107636E-7</v>
      </c>
      <c r="AX98" s="41">
        <f t="shared" ref="AX98:AX118" ca="1" si="190">(1/U98)*(((1 + 0.2*(U98)^2)/1.2)^3)</f>
        <v>1.1248484034723223</v>
      </c>
      <c r="AY98" s="41">
        <f t="shared" ref="AY98:AY118" ca="1" si="191">($H$4/$H$3)*AX98</f>
        <v>1.5151931474587441</v>
      </c>
      <c r="AZ98" s="41">
        <f t="shared" ref="AZ98:AZ118" si="192">-6.6*10^(-3) + 0.825*J98 - 0.243*(J98^2)</f>
        <v>0.21025417408998501</v>
      </c>
      <c r="BA98" s="154">
        <f ca="1">2.12-0.00251*AF98+1.94*10^-6*AF98^2-7.84*10^-10*AF98^3+1.7*10^-13*AF98^4-1.89*10^-17*AF98^5+8.37*10^-22*AF98^6</f>
        <v>0.83868740807258846</v>
      </c>
    </row>
    <row r="99" spans="1:53" ht="14.5">
      <c r="A99" s="41">
        <f t="shared" ref="A99:A118" ca="1" si="193">A98+AM98</f>
        <v>2056.7493733753031</v>
      </c>
      <c r="B99" s="41">
        <f t="shared" ref="B99:C114" ca="1" si="194">A99/60</f>
        <v>34.279156222921721</v>
      </c>
      <c r="C99" s="41">
        <f t="shared" ca="1" si="194"/>
        <v>0.57131927038202868</v>
      </c>
      <c r="D99" s="41">
        <f t="shared" ref="D99:D118" ca="1" si="195">D98-AN98</f>
        <v>16468.353577997728</v>
      </c>
      <c r="E99" s="41">
        <f t="shared" ref="E99:E118" ca="1" si="196">E98+AO98</f>
        <v>162.86350243711189</v>
      </c>
      <c r="F99" s="41">
        <f t="shared" ref="F99:F118" ca="1" si="197">F98+AO98</f>
        <v>38.57951091385501</v>
      </c>
      <c r="G99" s="41"/>
      <c r="H99" s="7">
        <f t="shared" ref="H99:H118" si="198">H98+AL98</f>
        <v>3000</v>
      </c>
      <c r="I99" s="6">
        <v>15</v>
      </c>
      <c r="J99" s="41">
        <f t="shared" si="157"/>
        <v>0.28713835631100121</v>
      </c>
      <c r="K99" s="41">
        <f t="shared" si="158"/>
        <v>325.57428482334547</v>
      </c>
      <c r="L99" s="6">
        <f t="shared" ref="L99:L118" si="199">L98</f>
        <v>180</v>
      </c>
      <c r="M99" s="41">
        <f t="shared" si="159"/>
        <v>192.89755456927503</v>
      </c>
      <c r="N99" s="41">
        <f t="shared" si="160"/>
        <v>109.46264517225482</v>
      </c>
      <c r="O99" s="41">
        <f t="shared" si="161"/>
        <v>1756688.0948151206</v>
      </c>
      <c r="P99" s="41">
        <f t="shared" si="162"/>
        <v>11279171.965623073</v>
      </c>
      <c r="Q99" s="41">
        <f t="shared" si="163"/>
        <v>2.9240838430518376E-3</v>
      </c>
      <c r="R99" s="41">
        <f t="shared" si="164"/>
        <v>2.277736369419613E-2</v>
      </c>
      <c r="S99" s="24">
        <f t="shared" ref="S99:S118" ca="1" si="200">T99</f>
        <v>0</v>
      </c>
      <c r="T99" s="10">
        <f t="shared" ca="1" si="165"/>
        <v>0</v>
      </c>
      <c r="U99" s="41">
        <f t="shared" ca="1" si="166"/>
        <v>0.65411846372766924</v>
      </c>
      <c r="V99" s="41">
        <f t="shared" ca="1" si="167"/>
        <v>4.9800291876699168E-2</v>
      </c>
      <c r="W99" s="41">
        <f t="shared" ca="1" si="168"/>
        <v>13.134831927234583</v>
      </c>
      <c r="X99" s="20">
        <f t="shared" ca="1" si="169"/>
        <v>1253.7924862099844</v>
      </c>
      <c r="Y99" s="41">
        <f t="shared" si="170"/>
        <v>0.60053999049783546</v>
      </c>
      <c r="Z99" s="41">
        <f t="shared" ca="1" si="171"/>
        <v>169.97015811687069</v>
      </c>
      <c r="AA99" s="14">
        <f t="shared" ca="1" si="172"/>
        <v>1253.7924862099844</v>
      </c>
      <c r="AB99" s="14">
        <f t="shared" ref="AB99:AB118" si="201">$B$15*AR99*0.93</f>
        <v>5234.4042087224379</v>
      </c>
      <c r="AC99" s="25">
        <f t="shared" ca="1" si="173"/>
        <v>408202.59201469988</v>
      </c>
      <c r="AD99" s="41">
        <f t="shared" si="174"/>
        <v>1704187.4067311173</v>
      </c>
      <c r="AE99" s="5">
        <f t="shared" ca="1" si="175"/>
        <v>23.952916821377801</v>
      </c>
      <c r="AF99" s="7">
        <f t="shared" ca="1" si="176"/>
        <v>1253.7924862099844</v>
      </c>
      <c r="AG99" s="41">
        <f t="shared" ca="1" si="177"/>
        <v>3980.6117225124535</v>
      </c>
      <c r="AH99" s="41">
        <f t="shared" ca="1" si="178"/>
        <v>1295984.8147164173</v>
      </c>
      <c r="AI99" s="41">
        <f t="shared" ca="1" si="179"/>
        <v>968.5247633899337</v>
      </c>
      <c r="AJ99" s="13">
        <f t="shared" ca="1" si="180"/>
        <v>0</v>
      </c>
      <c r="AK99" s="11"/>
      <c r="AL99" s="6">
        <v>0</v>
      </c>
      <c r="AM99" s="6">
        <v>720</v>
      </c>
      <c r="AN99" s="41">
        <f t="shared" ca="1" si="181"/>
        <v>193.70495267798674</v>
      </c>
      <c r="AO99" s="41">
        <f t="shared" ca="1" si="182"/>
        <v>38.57951091385501</v>
      </c>
      <c r="AP99" s="67">
        <f t="shared" ref="AP99:AP118" si="202">0.71 + 0.304*AZ99 + -0.0326*AZ99^2</f>
        <v>0.77247612666560972</v>
      </c>
      <c r="AQ99" s="11">
        <f t="shared" si="183"/>
        <v>1.0314301707183759</v>
      </c>
      <c r="AR99" s="11">
        <f t="shared" si="184"/>
        <v>0.8962407041850623</v>
      </c>
      <c r="AS99" s="11">
        <f t="shared" si="185"/>
        <v>0.86893008332386068</v>
      </c>
      <c r="AT99" s="11">
        <f t="shared" si="186"/>
        <v>534.97188664650002</v>
      </c>
      <c r="AU99" s="11">
        <f t="shared" si="187"/>
        <v>1896.6425030105124</v>
      </c>
      <c r="AV99" s="11">
        <f t="shared" si="188"/>
        <v>2.0653599150524844E-3</v>
      </c>
      <c r="AW99" s="11">
        <f t="shared" si="189"/>
        <v>3.8278171249107636E-7</v>
      </c>
      <c r="AX99" s="41">
        <f t="shared" ca="1" si="190"/>
        <v>1.131822660945456</v>
      </c>
      <c r="AY99" s="41">
        <f t="shared" ca="1" si="191"/>
        <v>1.524587610836462</v>
      </c>
      <c r="AZ99" s="41">
        <f t="shared" si="192"/>
        <v>0.21025417408998501</v>
      </c>
      <c r="BA99" s="154">
        <f t="shared" ref="BA99:BA117" ca="1" si="203">2.12-0.00251*AF99+1.94*10^-6*AF99^2-7.84*10^-10*AF99^3+1.7*10^-13*AF99^4-1.89*10^-17*AF99^5+8.37*10^-22*AF99^6</f>
        <v>0.84221447672562144</v>
      </c>
    </row>
    <row r="100" spans="1:53" ht="14.5">
      <c r="A100" s="41">
        <f t="shared" ca="1" si="193"/>
        <v>2776.7493733753031</v>
      </c>
      <c r="B100" s="41">
        <f t="shared" ca="1" si="194"/>
        <v>46.279156222921721</v>
      </c>
      <c r="C100" s="41">
        <f t="shared" ca="1" si="194"/>
        <v>0.77131927038202863</v>
      </c>
      <c r="D100" s="41">
        <f t="shared" ca="1" si="195"/>
        <v>16274.648625319742</v>
      </c>
      <c r="E100" s="41">
        <f t="shared" ca="1" si="196"/>
        <v>201.44301335096691</v>
      </c>
      <c r="F100" s="41">
        <f t="shared" ca="1" si="197"/>
        <v>77.159021827710021</v>
      </c>
      <c r="G100" s="41"/>
      <c r="H100" s="7">
        <f t="shared" si="198"/>
        <v>3000</v>
      </c>
      <c r="I100" s="6">
        <v>15</v>
      </c>
      <c r="J100" s="41">
        <f t="shared" si="157"/>
        <v>0.28713835631100121</v>
      </c>
      <c r="K100" s="41">
        <f t="shared" si="158"/>
        <v>325.57428482334547</v>
      </c>
      <c r="L100" s="6">
        <f t="shared" si="199"/>
        <v>180</v>
      </c>
      <c r="M100" s="41">
        <f t="shared" si="159"/>
        <v>192.89755456927503</v>
      </c>
      <c r="N100" s="41">
        <f t="shared" si="160"/>
        <v>109.46264517225482</v>
      </c>
      <c r="O100" s="41">
        <f t="shared" si="161"/>
        <v>1756688.0948151206</v>
      </c>
      <c r="P100" s="41">
        <f t="shared" si="162"/>
        <v>11279171.965623073</v>
      </c>
      <c r="Q100" s="41">
        <f t="shared" si="163"/>
        <v>2.9240838430518376E-3</v>
      </c>
      <c r="R100" s="41">
        <f t="shared" si="164"/>
        <v>2.277736369419613E-2</v>
      </c>
      <c r="S100" s="24">
        <f t="shared" ca="1" si="200"/>
        <v>0</v>
      </c>
      <c r="T100" s="10">
        <f t="shared" ca="1" si="165"/>
        <v>0</v>
      </c>
      <c r="U100" s="41">
        <f t="shared" ca="1" si="166"/>
        <v>0.64642455641252339</v>
      </c>
      <c r="V100" s="41">
        <f t="shared" ca="1" si="167"/>
        <v>4.9168329441769326E-2</v>
      </c>
      <c r="W100" s="41">
        <f t="shared" ca="1" si="168"/>
        <v>13.147173470233357</v>
      </c>
      <c r="X100" s="20">
        <f t="shared" ca="1" si="169"/>
        <v>1237.8819418612929</v>
      </c>
      <c r="Y100" s="41">
        <f t="shared" si="170"/>
        <v>0.60053999049783546</v>
      </c>
      <c r="Z100" s="41">
        <f t="shared" ca="1" si="171"/>
        <v>168.96758520717944</v>
      </c>
      <c r="AA100" s="14">
        <f t="shared" ca="1" si="172"/>
        <v>1237.8819418612929</v>
      </c>
      <c r="AB100" s="14">
        <f t="shared" si="201"/>
        <v>5234.4042087224379</v>
      </c>
      <c r="AC100" s="25">
        <f t="shared" ca="1" si="173"/>
        <v>403022.52791722456</v>
      </c>
      <c r="AD100" s="41">
        <f t="shared" si="174"/>
        <v>1704187.4067311173</v>
      </c>
      <c r="AE100" s="5">
        <f t="shared" ca="1" si="175"/>
        <v>23.648955879229337</v>
      </c>
      <c r="AF100" s="7">
        <f t="shared" ca="1" si="176"/>
        <v>1237.8819418612929</v>
      </c>
      <c r="AG100" s="41">
        <f t="shared" ca="1" si="177"/>
        <v>3996.522266861145</v>
      </c>
      <c r="AH100" s="41">
        <f t="shared" ca="1" si="178"/>
        <v>1301164.8788138926</v>
      </c>
      <c r="AI100" s="41">
        <f t="shared" ca="1" si="179"/>
        <v>956.23424771831503</v>
      </c>
      <c r="AJ100" s="13">
        <f t="shared" ca="1" si="180"/>
        <v>0</v>
      </c>
      <c r="AK100" s="11"/>
      <c r="AL100" s="6">
        <v>0</v>
      </c>
      <c r="AM100" s="6">
        <v>720</v>
      </c>
      <c r="AN100" s="41">
        <f t="shared" ca="1" si="181"/>
        <v>191.24684954366302</v>
      </c>
      <c r="AO100" s="41">
        <f t="shared" ca="1" si="182"/>
        <v>38.57951091385501</v>
      </c>
      <c r="AP100" s="67">
        <f t="shared" si="202"/>
        <v>0.77247612666560972</v>
      </c>
      <c r="AQ100" s="11">
        <f t="shared" si="183"/>
        <v>1.0314301707183759</v>
      </c>
      <c r="AR100" s="11">
        <f t="shared" si="184"/>
        <v>0.8962407041850623</v>
      </c>
      <c r="AS100" s="11">
        <f t="shared" si="185"/>
        <v>0.86893008332386068</v>
      </c>
      <c r="AT100" s="11">
        <f t="shared" si="186"/>
        <v>534.97188664650002</v>
      </c>
      <c r="AU100" s="11">
        <f t="shared" si="187"/>
        <v>1896.6425030105124</v>
      </c>
      <c r="AV100" s="11">
        <f t="shared" si="188"/>
        <v>2.0653599150524844E-3</v>
      </c>
      <c r="AW100" s="11">
        <f t="shared" si="189"/>
        <v>3.8278171249107636E-7</v>
      </c>
      <c r="AX100" s="41">
        <f t="shared" ca="1" si="190"/>
        <v>1.1389715343624454</v>
      </c>
      <c r="AY100" s="41">
        <f t="shared" ca="1" si="191"/>
        <v>1.5342172853597444</v>
      </c>
      <c r="AZ100" s="41">
        <f t="shared" si="192"/>
        <v>0.21025417408998501</v>
      </c>
      <c r="BA100" s="154">
        <f t="shared" ca="1" si="203"/>
        <v>0.84578496070047882</v>
      </c>
    </row>
    <row r="101" spans="1:53" ht="14.5">
      <c r="A101" s="41">
        <f t="shared" ca="1" si="193"/>
        <v>3496.7493733753031</v>
      </c>
      <c r="B101" s="41">
        <f t="shared" ca="1" si="194"/>
        <v>58.279156222921721</v>
      </c>
      <c r="C101" s="41">
        <f t="shared" ca="1" si="194"/>
        <v>0.9713192703820287</v>
      </c>
      <c r="D101" s="41">
        <f t="shared" ca="1" si="195"/>
        <v>16083.401775776079</v>
      </c>
      <c r="E101" s="41">
        <f t="shared" ca="1" si="196"/>
        <v>240.02252426482193</v>
      </c>
      <c r="F101" s="41">
        <f t="shared" ca="1" si="197"/>
        <v>115.73853274156502</v>
      </c>
      <c r="G101" s="41"/>
      <c r="H101" s="7">
        <f t="shared" si="198"/>
        <v>3000</v>
      </c>
      <c r="I101" s="6">
        <v>15</v>
      </c>
      <c r="J101" s="41">
        <f t="shared" si="157"/>
        <v>0.28713835631100121</v>
      </c>
      <c r="K101" s="41">
        <f t="shared" si="158"/>
        <v>325.57428482334547</v>
      </c>
      <c r="L101" s="6">
        <f t="shared" si="199"/>
        <v>180</v>
      </c>
      <c r="M101" s="41">
        <f t="shared" si="159"/>
        <v>192.89755456927503</v>
      </c>
      <c r="N101" s="41">
        <f t="shared" si="160"/>
        <v>109.46264517225482</v>
      </c>
      <c r="O101" s="41">
        <f t="shared" si="161"/>
        <v>1756688.0948151206</v>
      </c>
      <c r="P101" s="41">
        <f t="shared" si="162"/>
        <v>11279171.965623073</v>
      </c>
      <c r="Q101" s="41">
        <f t="shared" si="163"/>
        <v>2.9240838430518376E-3</v>
      </c>
      <c r="R101" s="41">
        <f t="shared" si="164"/>
        <v>2.277736369419613E-2</v>
      </c>
      <c r="S101" s="24">
        <f t="shared" ca="1" si="200"/>
        <v>0</v>
      </c>
      <c r="T101" s="10">
        <f t="shared" ca="1" si="165"/>
        <v>0</v>
      </c>
      <c r="U101" s="41">
        <f t="shared" ca="1" si="166"/>
        <v>0.63882828427616412</v>
      </c>
      <c r="V101" s="41">
        <f t="shared" ca="1" si="167"/>
        <v>4.8551722118767793E-2</v>
      </c>
      <c r="W101" s="41">
        <f t="shared" ca="1" si="168"/>
        <v>13.157685379592817</v>
      </c>
      <c r="X101" s="20">
        <f t="shared" ca="1" si="169"/>
        <v>1222.3579840813768</v>
      </c>
      <c r="Y101" s="41">
        <f t="shared" si="170"/>
        <v>0.60053999049783546</v>
      </c>
      <c r="Z101" s="41">
        <f t="shared" ca="1" si="171"/>
        <v>167.97186435610914</v>
      </c>
      <c r="AA101" s="14">
        <f t="shared" ca="1" si="172"/>
        <v>1222.3579840813768</v>
      </c>
      <c r="AB101" s="14">
        <f t="shared" si="201"/>
        <v>5234.4042087224379</v>
      </c>
      <c r="AC101" s="25">
        <f t="shared" ca="1" si="173"/>
        <v>397968.32646540058</v>
      </c>
      <c r="AD101" s="41">
        <f t="shared" si="174"/>
        <v>1704187.4067311173</v>
      </c>
      <c r="AE101" s="5">
        <f t="shared" ca="1" si="175"/>
        <v>23.352380430316785</v>
      </c>
      <c r="AF101" s="7">
        <f t="shared" ca="1" si="176"/>
        <v>1222.3579840813768</v>
      </c>
      <c r="AG101" s="41">
        <f t="shared" ca="1" si="177"/>
        <v>4012.0462246410611</v>
      </c>
      <c r="AH101" s="41">
        <f t="shared" ca="1" si="178"/>
        <v>1306219.0802657166</v>
      </c>
      <c r="AI101" s="41">
        <f t="shared" ca="1" si="179"/>
        <v>944.24236094196499</v>
      </c>
      <c r="AJ101" s="13">
        <f t="shared" ca="1" si="180"/>
        <v>0</v>
      </c>
      <c r="AK101" s="11"/>
      <c r="AL101" s="6">
        <v>0</v>
      </c>
      <c r="AM101" s="6">
        <v>720</v>
      </c>
      <c r="AN101" s="41">
        <f t="shared" ca="1" si="181"/>
        <v>188.848472188393</v>
      </c>
      <c r="AO101" s="41">
        <f t="shared" ca="1" si="182"/>
        <v>38.57951091385501</v>
      </c>
      <c r="AP101" s="67">
        <f t="shared" si="202"/>
        <v>0.77247612666560972</v>
      </c>
      <c r="AQ101" s="11">
        <f t="shared" si="183"/>
        <v>1.0314301707183759</v>
      </c>
      <c r="AR101" s="11">
        <f t="shared" si="184"/>
        <v>0.8962407041850623</v>
      </c>
      <c r="AS101" s="11">
        <f t="shared" si="185"/>
        <v>0.86893008332386068</v>
      </c>
      <c r="AT101" s="11">
        <f t="shared" si="186"/>
        <v>534.97188664650002</v>
      </c>
      <c r="AU101" s="11">
        <f t="shared" si="187"/>
        <v>1896.6425030105124</v>
      </c>
      <c r="AV101" s="11">
        <f t="shared" si="188"/>
        <v>2.0653599150524844E-3</v>
      </c>
      <c r="AW101" s="11">
        <f t="shared" si="189"/>
        <v>3.8278171249107636E-7</v>
      </c>
      <c r="AX101" s="41">
        <f t="shared" ca="1" si="190"/>
        <v>1.1462956192648504</v>
      </c>
      <c r="AY101" s="41">
        <f t="shared" ca="1" si="191"/>
        <v>1.5440829732349044</v>
      </c>
      <c r="AZ101" s="41">
        <f t="shared" si="192"/>
        <v>0.21025417408998501</v>
      </c>
      <c r="BA101" s="154">
        <f t="shared" ca="1" si="203"/>
        <v>0.8493967450820904</v>
      </c>
    </row>
    <row r="102" spans="1:53" ht="14.5">
      <c r="A102" s="41">
        <f t="shared" ca="1" si="193"/>
        <v>4216.7493733753035</v>
      </c>
      <c r="B102" s="41">
        <f t="shared" ca="1" si="194"/>
        <v>70.279156222921728</v>
      </c>
      <c r="C102" s="41">
        <f t="shared" ca="1" si="194"/>
        <v>1.1713192703820288</v>
      </c>
      <c r="D102" s="41">
        <f t="shared" ca="1" si="195"/>
        <v>15894.553303587687</v>
      </c>
      <c r="E102" s="41">
        <f t="shared" ca="1" si="196"/>
        <v>278.60203517867694</v>
      </c>
      <c r="F102" s="41">
        <f t="shared" ca="1" si="197"/>
        <v>154.31804365542004</v>
      </c>
      <c r="G102" s="41"/>
      <c r="H102" s="7">
        <f t="shared" si="198"/>
        <v>3000</v>
      </c>
      <c r="I102" s="6">
        <v>15</v>
      </c>
      <c r="J102" s="41">
        <f t="shared" si="157"/>
        <v>0.28713835631100121</v>
      </c>
      <c r="K102" s="41">
        <f t="shared" si="158"/>
        <v>325.57428482334547</v>
      </c>
      <c r="L102" s="6">
        <f t="shared" si="199"/>
        <v>180</v>
      </c>
      <c r="M102" s="41">
        <f t="shared" si="159"/>
        <v>192.89755456927503</v>
      </c>
      <c r="N102" s="41">
        <f t="shared" si="160"/>
        <v>109.46264517225482</v>
      </c>
      <c r="O102" s="41">
        <f t="shared" si="161"/>
        <v>1756688.0948151206</v>
      </c>
      <c r="P102" s="41">
        <f t="shared" si="162"/>
        <v>11279171.965623073</v>
      </c>
      <c r="Q102" s="41">
        <f t="shared" si="163"/>
        <v>2.9240838430518376E-3</v>
      </c>
      <c r="R102" s="41">
        <f t="shared" si="164"/>
        <v>2.277736369419613E-2</v>
      </c>
      <c r="S102" s="24">
        <f t="shared" ca="1" si="200"/>
        <v>0</v>
      </c>
      <c r="T102" s="10">
        <f t="shared" ca="1" si="165"/>
        <v>0</v>
      </c>
      <c r="U102" s="41">
        <f t="shared" ca="1" si="166"/>
        <v>0.63132727502711394</v>
      </c>
      <c r="V102" s="41">
        <f t="shared" ca="1" si="167"/>
        <v>4.794999968248357E-2</v>
      </c>
      <c r="W102" s="41">
        <f t="shared" ca="1" si="168"/>
        <v>13.166366615383767</v>
      </c>
      <c r="X102" s="20">
        <f t="shared" ca="1" si="169"/>
        <v>1207.2087742882891</v>
      </c>
      <c r="Y102" s="41">
        <f t="shared" si="170"/>
        <v>0.60053999049783546</v>
      </c>
      <c r="Z102" s="41">
        <f t="shared" ca="1" si="171"/>
        <v>166.98280441111658</v>
      </c>
      <c r="AA102" s="14">
        <f t="shared" ca="1" si="172"/>
        <v>1207.2087742882891</v>
      </c>
      <c r="AB102" s="14">
        <f t="shared" si="201"/>
        <v>5234.4042087224379</v>
      </c>
      <c r="AC102" s="25">
        <f t="shared" ca="1" si="173"/>
        <v>393036.13332137722</v>
      </c>
      <c r="AD102" s="41">
        <f t="shared" si="174"/>
        <v>1704187.4067311173</v>
      </c>
      <c r="AE102" s="5">
        <f t="shared" ca="1" si="175"/>
        <v>23.06296430597844</v>
      </c>
      <c r="AF102" s="7">
        <f t="shared" ca="1" si="176"/>
        <v>1207.2087742882891</v>
      </c>
      <c r="AG102" s="41">
        <f t="shared" ca="1" si="177"/>
        <v>4027.1954344341489</v>
      </c>
      <c r="AH102" s="41">
        <f t="shared" ca="1" si="178"/>
        <v>1311151.2734097401</v>
      </c>
      <c r="AI102" s="41">
        <f t="shared" ca="1" si="179"/>
        <v>932.53995803895589</v>
      </c>
      <c r="AJ102" s="13">
        <f t="shared" ca="1" si="180"/>
        <v>0</v>
      </c>
      <c r="AK102" s="11"/>
      <c r="AL102" s="6">
        <v>0</v>
      </c>
      <c r="AM102" s="6">
        <v>720</v>
      </c>
      <c r="AN102" s="41">
        <f t="shared" ca="1" si="181"/>
        <v>186.50799160779118</v>
      </c>
      <c r="AO102" s="41">
        <f t="shared" ca="1" si="182"/>
        <v>38.57951091385501</v>
      </c>
      <c r="AP102" s="67">
        <f t="shared" si="202"/>
        <v>0.77247612666560972</v>
      </c>
      <c r="AQ102" s="11">
        <f t="shared" si="183"/>
        <v>1.0314301707183759</v>
      </c>
      <c r="AR102" s="11">
        <f t="shared" si="184"/>
        <v>0.8962407041850623</v>
      </c>
      <c r="AS102" s="11">
        <f t="shared" si="185"/>
        <v>0.86893008332386068</v>
      </c>
      <c r="AT102" s="11">
        <f t="shared" si="186"/>
        <v>534.97188664650002</v>
      </c>
      <c r="AU102" s="11">
        <f t="shared" si="187"/>
        <v>1896.6425030105124</v>
      </c>
      <c r="AV102" s="11">
        <f t="shared" si="188"/>
        <v>2.0653599150524844E-3</v>
      </c>
      <c r="AW102" s="11">
        <f t="shared" si="189"/>
        <v>3.8278171249107636E-7</v>
      </c>
      <c r="AX102" s="41">
        <f t="shared" ca="1" si="190"/>
        <v>1.1537956670045753</v>
      </c>
      <c r="AY102" s="41">
        <f t="shared" ca="1" si="191"/>
        <v>1.5541856865478849</v>
      </c>
      <c r="AZ102" s="41">
        <f t="shared" si="192"/>
        <v>0.21025417408998501</v>
      </c>
      <c r="BA102" s="154">
        <f t="shared" ca="1" si="203"/>
        <v>0.8530476566781201</v>
      </c>
    </row>
    <row r="103" spans="1:53" ht="14.5">
      <c r="A103" s="41">
        <f t="shared" ca="1" si="193"/>
        <v>4936.7493733753035</v>
      </c>
      <c r="B103" s="41">
        <f t="shared" ca="1" si="194"/>
        <v>82.279156222921728</v>
      </c>
      <c r="C103" s="41">
        <f t="shared" ca="1" si="194"/>
        <v>1.3713192703820287</v>
      </c>
      <c r="D103" s="41">
        <f t="shared" ca="1" si="195"/>
        <v>15708.045311979895</v>
      </c>
      <c r="E103" s="41">
        <f t="shared" ca="1" si="196"/>
        <v>317.18154609253196</v>
      </c>
      <c r="F103" s="41">
        <f t="shared" ca="1" si="197"/>
        <v>192.89755456927506</v>
      </c>
      <c r="G103" s="41"/>
      <c r="H103" s="7">
        <f t="shared" si="198"/>
        <v>3000</v>
      </c>
      <c r="I103" s="6">
        <v>15</v>
      </c>
      <c r="J103" s="41">
        <f t="shared" si="157"/>
        <v>0.28713835631100121</v>
      </c>
      <c r="K103" s="41">
        <f t="shared" si="158"/>
        <v>325.57428482334547</v>
      </c>
      <c r="L103" s="6">
        <f t="shared" si="199"/>
        <v>180</v>
      </c>
      <c r="M103" s="41">
        <f t="shared" si="159"/>
        <v>192.89755456927503</v>
      </c>
      <c r="N103" s="41">
        <f t="shared" si="160"/>
        <v>109.46264517225482</v>
      </c>
      <c r="O103" s="41">
        <f t="shared" si="161"/>
        <v>1756688.0948151206</v>
      </c>
      <c r="P103" s="41">
        <f t="shared" si="162"/>
        <v>11279171.965623073</v>
      </c>
      <c r="Q103" s="41">
        <f t="shared" si="163"/>
        <v>2.9240838430518376E-3</v>
      </c>
      <c r="R103" s="41">
        <f t="shared" si="164"/>
        <v>2.277736369419613E-2</v>
      </c>
      <c r="S103" s="24">
        <f t="shared" ca="1" si="200"/>
        <v>0</v>
      </c>
      <c r="T103" s="10">
        <f t="shared" ca="1" si="165"/>
        <v>0</v>
      </c>
      <c r="U103" s="41">
        <f t="shared" ca="1" si="166"/>
        <v>0.62391922902144548</v>
      </c>
      <c r="V103" s="41">
        <f t="shared" ca="1" si="167"/>
        <v>4.7362710120486103E-2</v>
      </c>
      <c r="W103" s="41">
        <f t="shared" ca="1" si="168"/>
        <v>13.173216385512061</v>
      </c>
      <c r="X103" s="20">
        <f t="shared" ca="1" si="169"/>
        <v>1192.4229324324806</v>
      </c>
      <c r="Y103" s="41">
        <f t="shared" si="170"/>
        <v>0.60053999049783546</v>
      </c>
      <c r="Z103" s="41">
        <f t="shared" ca="1" si="171"/>
        <v>166.00021851090455</v>
      </c>
      <c r="AA103" s="14">
        <f t="shared" ca="1" si="172"/>
        <v>1192.4229324324806</v>
      </c>
      <c r="AB103" s="14">
        <f t="shared" si="201"/>
        <v>5234.4042087224379</v>
      </c>
      <c r="AC103" s="25">
        <f t="shared" ca="1" si="173"/>
        <v>388222.24343366124</v>
      </c>
      <c r="AD103" s="41">
        <f t="shared" si="174"/>
        <v>1704187.4067311173</v>
      </c>
      <c r="AE103" s="5">
        <f t="shared" ca="1" si="175"/>
        <v>22.780490097525647</v>
      </c>
      <c r="AF103" s="7">
        <f t="shared" ca="1" si="176"/>
        <v>1192.4229324324806</v>
      </c>
      <c r="AG103" s="41">
        <f t="shared" ca="1" si="177"/>
        <v>4041.9812762899573</v>
      </c>
      <c r="AH103" s="41">
        <f t="shared" ca="1" si="178"/>
        <v>1315965.163297456</v>
      </c>
      <c r="AI103" s="41">
        <f t="shared" ca="1" si="179"/>
        <v>921.11824819269066</v>
      </c>
      <c r="AJ103" s="13">
        <f t="shared" ca="1" si="180"/>
        <v>0</v>
      </c>
      <c r="AK103" s="11"/>
      <c r="AL103" s="6">
        <v>0</v>
      </c>
      <c r="AM103" s="6">
        <v>720</v>
      </c>
      <c r="AN103" s="41">
        <f t="shared" ca="1" si="181"/>
        <v>184.22364963853815</v>
      </c>
      <c r="AO103" s="41">
        <f t="shared" ca="1" si="182"/>
        <v>38.57951091385501</v>
      </c>
      <c r="AP103" s="67">
        <f t="shared" si="202"/>
        <v>0.77247612666560972</v>
      </c>
      <c r="AQ103" s="11">
        <f t="shared" si="183"/>
        <v>1.0314301707183759</v>
      </c>
      <c r="AR103" s="11">
        <f t="shared" si="184"/>
        <v>0.8962407041850623</v>
      </c>
      <c r="AS103" s="11">
        <f t="shared" si="185"/>
        <v>0.86893008332386068</v>
      </c>
      <c r="AT103" s="11">
        <f t="shared" si="186"/>
        <v>534.97188664650002</v>
      </c>
      <c r="AU103" s="11">
        <f t="shared" si="187"/>
        <v>1896.6425030105124</v>
      </c>
      <c r="AV103" s="11">
        <f t="shared" si="188"/>
        <v>2.0653599150524844E-3</v>
      </c>
      <c r="AW103" s="11">
        <f t="shared" si="189"/>
        <v>3.8278171249107636E-7</v>
      </c>
      <c r="AX103" s="41">
        <f t="shared" ca="1" si="190"/>
        <v>1.1614725832019801</v>
      </c>
      <c r="AY103" s="41">
        <f t="shared" ca="1" si="191"/>
        <v>1.564526645187303</v>
      </c>
      <c r="AZ103" s="41">
        <f t="shared" si="192"/>
        <v>0.21025417408998501</v>
      </c>
      <c r="BA103" s="154">
        <f t="shared" ca="1" si="203"/>
        <v>0.85673547777785475</v>
      </c>
    </row>
    <row r="104" spans="1:53" ht="14.5">
      <c r="A104" s="41">
        <f t="shared" ca="1" si="193"/>
        <v>5656.7493733753035</v>
      </c>
      <c r="B104" s="41">
        <f t="shared" ca="1" si="194"/>
        <v>94.279156222921728</v>
      </c>
      <c r="C104" s="41">
        <f t="shared" ca="1" si="194"/>
        <v>1.5713192703820289</v>
      </c>
      <c r="D104" s="41">
        <f t="shared" ca="1" si="195"/>
        <v>15523.821662341357</v>
      </c>
      <c r="E104" s="41">
        <f t="shared" ca="1" si="196"/>
        <v>355.76105700638698</v>
      </c>
      <c r="F104" s="41">
        <f t="shared" ca="1" si="197"/>
        <v>231.47706548313008</v>
      </c>
      <c r="G104" s="41"/>
      <c r="H104" s="7">
        <f t="shared" si="198"/>
        <v>3000</v>
      </c>
      <c r="I104" s="6">
        <v>15</v>
      </c>
      <c r="J104" s="41">
        <f t="shared" si="157"/>
        <v>0.28713835631100121</v>
      </c>
      <c r="K104" s="41">
        <f t="shared" si="158"/>
        <v>325.57428482334547</v>
      </c>
      <c r="L104" s="6">
        <f t="shared" si="199"/>
        <v>180</v>
      </c>
      <c r="M104" s="41">
        <f t="shared" si="159"/>
        <v>192.89755456927503</v>
      </c>
      <c r="N104" s="41">
        <f t="shared" si="160"/>
        <v>109.46264517225482</v>
      </c>
      <c r="O104" s="41">
        <f t="shared" si="161"/>
        <v>1756688.0948151206</v>
      </c>
      <c r="P104" s="41">
        <f t="shared" si="162"/>
        <v>11279171.965623073</v>
      </c>
      <c r="Q104" s="41">
        <f t="shared" si="163"/>
        <v>2.9240838430518376E-3</v>
      </c>
      <c r="R104" s="41">
        <f t="shared" si="164"/>
        <v>2.277736369419613E-2</v>
      </c>
      <c r="S104" s="24">
        <f t="shared" ca="1" si="200"/>
        <v>0</v>
      </c>
      <c r="T104" s="10">
        <f t="shared" ca="1" si="165"/>
        <v>0</v>
      </c>
      <c r="U104" s="41">
        <f t="shared" ca="1" si="166"/>
        <v>0.61660191644899365</v>
      </c>
      <c r="V104" s="41">
        <f t="shared" ca="1" si="167"/>
        <v>4.6789418796331778E-2</v>
      </c>
      <c r="W104" s="41">
        <f t="shared" ca="1" si="168"/>
        <v>13.178234145907672</v>
      </c>
      <c r="X104" s="20">
        <f t="shared" ca="1" si="169"/>
        <v>1177.989515929346</v>
      </c>
      <c r="Y104" s="41">
        <f t="shared" si="170"/>
        <v>0.60053999049783546</v>
      </c>
      <c r="Z104" s="41">
        <f t="shared" ca="1" si="171"/>
        <v>165.0239239118747</v>
      </c>
      <c r="AA104" s="14">
        <f t="shared" ca="1" si="172"/>
        <v>1177.989515929346</v>
      </c>
      <c r="AB104" s="14">
        <f t="shared" si="201"/>
        <v>5234.4042087224379</v>
      </c>
      <c r="AC104" s="25">
        <f t="shared" ca="1" si="173"/>
        <v>383523.09417809575</v>
      </c>
      <c r="AD104" s="41">
        <f t="shared" si="174"/>
        <v>1704187.4067311173</v>
      </c>
      <c r="AE104" s="5">
        <f t="shared" ca="1" si="175"/>
        <v>22.504748753762332</v>
      </c>
      <c r="AF104" s="7">
        <f t="shared" ca="1" si="176"/>
        <v>1177.989515929346</v>
      </c>
      <c r="AG104" s="41">
        <f t="shared" ca="1" si="177"/>
        <v>4056.4146927930919</v>
      </c>
      <c r="AH104" s="41">
        <f t="shared" ca="1" si="178"/>
        <v>1320664.3125530216</v>
      </c>
      <c r="AI104" s="41">
        <f t="shared" ca="1" si="179"/>
        <v>909.96877851779777</v>
      </c>
      <c r="AJ104" s="13">
        <f t="shared" ca="1" si="180"/>
        <v>0</v>
      </c>
      <c r="AK104" s="11"/>
      <c r="AL104" s="6">
        <v>0</v>
      </c>
      <c r="AM104" s="6">
        <v>720</v>
      </c>
      <c r="AN104" s="41">
        <f t="shared" ca="1" si="181"/>
        <v>181.99375570355957</v>
      </c>
      <c r="AO104" s="41">
        <f t="shared" ca="1" si="182"/>
        <v>38.57951091385501</v>
      </c>
      <c r="AP104" s="67">
        <f t="shared" si="202"/>
        <v>0.77247612666560972</v>
      </c>
      <c r="AQ104" s="11">
        <f t="shared" si="183"/>
        <v>1.0314301707183759</v>
      </c>
      <c r="AR104" s="11">
        <f t="shared" si="184"/>
        <v>0.8962407041850623</v>
      </c>
      <c r="AS104" s="11">
        <f t="shared" si="185"/>
        <v>0.86893008332386068</v>
      </c>
      <c r="AT104" s="11">
        <f t="shared" si="186"/>
        <v>534.97188664650002</v>
      </c>
      <c r="AU104" s="11">
        <f t="shared" si="187"/>
        <v>1896.6425030105124</v>
      </c>
      <c r="AV104" s="11">
        <f t="shared" si="188"/>
        <v>2.0653599150524844E-3</v>
      </c>
      <c r="AW104" s="11">
        <f t="shared" si="189"/>
        <v>3.8278171249107636E-7</v>
      </c>
      <c r="AX104" s="41">
        <f t="shared" ca="1" si="190"/>
        <v>1.1693274265772167</v>
      </c>
      <c r="AY104" s="41">
        <f t="shared" ca="1" si="191"/>
        <v>1.5751072752702377</v>
      </c>
      <c r="AZ104" s="41">
        <f t="shared" si="192"/>
        <v>0.21025417408998501</v>
      </c>
      <c r="BA104" s="154">
        <f t="shared" ca="1" si="203"/>
        <v>0.86045795859237872</v>
      </c>
    </row>
    <row r="105" spans="1:53" ht="14.5">
      <c r="A105" s="41">
        <f t="shared" ca="1" si="193"/>
        <v>6376.7493733753035</v>
      </c>
      <c r="B105" s="41">
        <f t="shared" ca="1" si="194"/>
        <v>106.27915622292173</v>
      </c>
      <c r="C105" s="41">
        <f t="shared" ca="1" si="194"/>
        <v>1.7713192703820289</v>
      </c>
      <c r="D105" s="41">
        <f t="shared" ca="1" si="195"/>
        <v>15341.827906637798</v>
      </c>
      <c r="E105" s="41">
        <f t="shared" ca="1" si="196"/>
        <v>394.34056792024199</v>
      </c>
      <c r="F105" s="41">
        <f t="shared" ca="1" si="197"/>
        <v>270.05657639698507</v>
      </c>
      <c r="G105" s="41"/>
      <c r="H105" s="7">
        <f t="shared" si="198"/>
        <v>3000</v>
      </c>
      <c r="I105" s="6">
        <v>15</v>
      </c>
      <c r="J105" s="41">
        <f t="shared" si="157"/>
        <v>0.28713835631100121</v>
      </c>
      <c r="K105" s="41">
        <f t="shared" si="158"/>
        <v>325.57428482334547</v>
      </c>
      <c r="L105" s="6">
        <f t="shared" si="199"/>
        <v>180</v>
      </c>
      <c r="M105" s="41">
        <f t="shared" si="159"/>
        <v>192.89755456927503</v>
      </c>
      <c r="N105" s="41">
        <f t="shared" si="160"/>
        <v>109.46264517225482</v>
      </c>
      <c r="O105" s="41">
        <f t="shared" si="161"/>
        <v>1756688.0948151206</v>
      </c>
      <c r="P105" s="41">
        <f t="shared" si="162"/>
        <v>11279171.965623073</v>
      </c>
      <c r="Q105" s="41">
        <f t="shared" si="163"/>
        <v>2.9240838430518376E-3</v>
      </c>
      <c r="R105" s="41">
        <f t="shared" si="164"/>
        <v>2.277736369419613E-2</v>
      </c>
      <c r="S105" s="24">
        <f t="shared" ca="1" si="200"/>
        <v>0</v>
      </c>
      <c r="T105" s="10">
        <f t="shared" ca="1" si="165"/>
        <v>0</v>
      </c>
      <c r="U105" s="41">
        <f t="shared" ca="1" si="166"/>
        <v>0.60937317464884866</v>
      </c>
      <c r="V105" s="41">
        <f t="shared" ca="1" si="167"/>
        <v>4.6229707657408511E-2</v>
      </c>
      <c r="W105" s="41">
        <f t="shared" ca="1" si="168"/>
        <v>13.181419600675193</v>
      </c>
      <c r="X105" s="20">
        <f t="shared" ca="1" si="169"/>
        <v>1163.8979997155952</v>
      </c>
      <c r="Y105" s="41">
        <f t="shared" si="170"/>
        <v>0.60053999049783546</v>
      </c>
      <c r="Z105" s="41">
        <f t="shared" ca="1" si="171"/>
        <v>164.05374182120403</v>
      </c>
      <c r="AA105" s="14">
        <f t="shared" ca="1" si="172"/>
        <v>1163.8979997155952</v>
      </c>
      <c r="AB105" s="14">
        <f t="shared" si="201"/>
        <v>5234.4042087224379</v>
      </c>
      <c r="AC105" s="25">
        <f t="shared" ca="1" si="173"/>
        <v>378935.25886472728</v>
      </c>
      <c r="AD105" s="41">
        <f t="shared" si="174"/>
        <v>1704187.4067311173</v>
      </c>
      <c r="AE105" s="5">
        <f t="shared" ca="1" si="175"/>
        <v>22.235539199974546</v>
      </c>
      <c r="AF105" s="7">
        <f t="shared" ca="1" si="176"/>
        <v>1163.8979997155952</v>
      </c>
      <c r="AG105" s="41">
        <f t="shared" ca="1" si="177"/>
        <v>4070.5062090068427</v>
      </c>
      <c r="AH105" s="41">
        <f t="shared" ca="1" si="178"/>
        <v>1325252.1478663899</v>
      </c>
      <c r="AI105" s="41">
        <f t="shared" ca="1" si="179"/>
        <v>899.08341865415389</v>
      </c>
      <c r="AJ105" s="13">
        <f t="shared" ca="1" si="180"/>
        <v>0</v>
      </c>
      <c r="AK105" s="11"/>
      <c r="AL105" s="6">
        <v>0</v>
      </c>
      <c r="AM105" s="6">
        <v>720</v>
      </c>
      <c r="AN105" s="41">
        <f t="shared" ca="1" si="181"/>
        <v>179.81668373083079</v>
      </c>
      <c r="AO105" s="41">
        <f t="shared" ca="1" si="182"/>
        <v>38.57951091385501</v>
      </c>
      <c r="AP105" s="67">
        <f t="shared" si="202"/>
        <v>0.77247612666560972</v>
      </c>
      <c r="AQ105" s="11">
        <f t="shared" si="183"/>
        <v>1.0314301707183759</v>
      </c>
      <c r="AR105" s="11">
        <f t="shared" si="184"/>
        <v>0.8962407041850623</v>
      </c>
      <c r="AS105" s="11">
        <f t="shared" si="185"/>
        <v>0.86893008332386068</v>
      </c>
      <c r="AT105" s="11">
        <f t="shared" si="186"/>
        <v>534.97188664650002</v>
      </c>
      <c r="AU105" s="11">
        <f t="shared" si="187"/>
        <v>1896.6425030105124</v>
      </c>
      <c r="AV105" s="11">
        <f t="shared" si="188"/>
        <v>2.0653599150524844E-3</v>
      </c>
      <c r="AW105" s="11">
        <f t="shared" si="189"/>
        <v>3.8278171249107636E-7</v>
      </c>
      <c r="AX105" s="41">
        <f t="shared" ca="1" si="190"/>
        <v>1.1773614081434778</v>
      </c>
      <c r="AY105" s="41">
        <f t="shared" ca="1" si="191"/>
        <v>1.5859292080555192</v>
      </c>
      <c r="AZ105" s="41">
        <f t="shared" si="192"/>
        <v>0.21025417408998501</v>
      </c>
      <c r="BA105" s="154">
        <f t="shared" ca="1" si="203"/>
        <v>0.8642128284699836</v>
      </c>
    </row>
    <row r="106" spans="1:53" ht="14.5">
      <c r="A106" s="41">
        <f t="shared" ca="1" si="193"/>
        <v>7096.7493733753035</v>
      </c>
      <c r="B106" s="41">
        <f t="shared" ca="1" si="194"/>
        <v>118.27915622292173</v>
      </c>
      <c r="C106" s="41">
        <f t="shared" ca="1" si="194"/>
        <v>1.9713192703820288</v>
      </c>
      <c r="D106" s="41">
        <f t="shared" ca="1" si="195"/>
        <v>15162.011222906967</v>
      </c>
      <c r="E106" s="41">
        <f t="shared" ca="1" si="196"/>
        <v>432.92007883409701</v>
      </c>
      <c r="F106" s="41">
        <f t="shared" ca="1" si="197"/>
        <v>308.63608731084008</v>
      </c>
      <c r="G106" s="41"/>
      <c r="H106" s="7">
        <f t="shared" si="198"/>
        <v>3000</v>
      </c>
      <c r="I106" s="6">
        <v>15</v>
      </c>
      <c r="J106" s="41">
        <f t="shared" si="157"/>
        <v>0.28713835631100121</v>
      </c>
      <c r="K106" s="41">
        <f t="shared" si="158"/>
        <v>325.57428482334547</v>
      </c>
      <c r="L106" s="6">
        <f t="shared" si="199"/>
        <v>180</v>
      </c>
      <c r="M106" s="41">
        <f t="shared" si="159"/>
        <v>192.89755456927503</v>
      </c>
      <c r="N106" s="41">
        <f t="shared" si="160"/>
        <v>109.46264517225482</v>
      </c>
      <c r="O106" s="41">
        <f t="shared" si="161"/>
        <v>1756688.0948151206</v>
      </c>
      <c r="P106" s="41">
        <f t="shared" si="162"/>
        <v>11279171.965623073</v>
      </c>
      <c r="Q106" s="41">
        <f t="shared" si="163"/>
        <v>2.9240838430518376E-3</v>
      </c>
      <c r="R106" s="41">
        <f t="shared" si="164"/>
        <v>2.277736369419613E-2</v>
      </c>
      <c r="S106" s="24">
        <f t="shared" ca="1" si="200"/>
        <v>0</v>
      </c>
      <c r="T106" s="10">
        <f t="shared" ca="1" si="165"/>
        <v>0</v>
      </c>
      <c r="U106" s="41">
        <f t="shared" ca="1" si="166"/>
        <v>0.60223090554723291</v>
      </c>
      <c r="V106" s="41">
        <f t="shared" ca="1" si="167"/>
        <v>4.5683174484716274E-2</v>
      </c>
      <c r="W106" s="41">
        <f t="shared" ca="1" si="168"/>
        <v>13.182772702206034</v>
      </c>
      <c r="X106" s="20">
        <f t="shared" ca="1" si="169"/>
        <v>1150.1382573614217</v>
      </c>
      <c r="Y106" s="41">
        <f t="shared" si="170"/>
        <v>0.60053999049783546</v>
      </c>
      <c r="Z106" s="41">
        <f t="shared" ca="1" si="171"/>
        <v>163.08949723618576</v>
      </c>
      <c r="AA106" s="14">
        <f t="shared" ca="1" si="172"/>
        <v>1150.1382573614217</v>
      </c>
      <c r="AB106" s="14">
        <f t="shared" si="201"/>
        <v>5234.4042087224379</v>
      </c>
      <c r="AC106" s="25">
        <f t="shared" ca="1" si="173"/>
        <v>374455.44058841368</v>
      </c>
      <c r="AD106" s="41">
        <f t="shared" si="174"/>
        <v>1704187.4067311173</v>
      </c>
      <c r="AE106" s="5">
        <f t="shared" ca="1" si="175"/>
        <v>21.972667977090293</v>
      </c>
      <c r="AF106" s="7">
        <f t="shared" ca="1" si="176"/>
        <v>1150.1382573614217</v>
      </c>
      <c r="AG106" s="41">
        <f t="shared" ca="1" si="177"/>
        <v>4084.2659513610161</v>
      </c>
      <c r="AH106" s="41">
        <f t="shared" ca="1" si="178"/>
        <v>1329731.9661427035</v>
      </c>
      <c r="AI106" s="41">
        <f t="shared" ca="1" si="179"/>
        <v>888.45434617648516</v>
      </c>
      <c r="AJ106" s="13">
        <f t="shared" ca="1" si="180"/>
        <v>0</v>
      </c>
      <c r="AK106" s="11"/>
      <c r="AL106" s="6">
        <v>0</v>
      </c>
      <c r="AM106" s="6">
        <v>720</v>
      </c>
      <c r="AN106" s="41">
        <f t="shared" ca="1" si="181"/>
        <v>177.69086923529704</v>
      </c>
      <c r="AO106" s="41">
        <f t="shared" ca="1" si="182"/>
        <v>38.57951091385501</v>
      </c>
      <c r="AP106" s="67">
        <f t="shared" si="202"/>
        <v>0.77247612666560972</v>
      </c>
      <c r="AQ106" s="11">
        <f t="shared" si="183"/>
        <v>1.0314301707183759</v>
      </c>
      <c r="AR106" s="11">
        <f t="shared" si="184"/>
        <v>0.8962407041850623</v>
      </c>
      <c r="AS106" s="11">
        <f t="shared" si="185"/>
        <v>0.86893008332386068</v>
      </c>
      <c r="AT106" s="11">
        <f t="shared" si="186"/>
        <v>534.97188664650002</v>
      </c>
      <c r="AU106" s="11">
        <f t="shared" si="187"/>
        <v>1896.6425030105124</v>
      </c>
      <c r="AV106" s="11">
        <f t="shared" si="188"/>
        <v>2.0653599150524844E-3</v>
      </c>
      <c r="AW106" s="11">
        <f t="shared" si="189"/>
        <v>3.8278171249107636E-7</v>
      </c>
      <c r="AX106" s="41">
        <f t="shared" ca="1" si="190"/>
        <v>1.1855758907525134</v>
      </c>
      <c r="AY106" s="41">
        <f t="shared" ca="1" si="191"/>
        <v>1.5969942793315313</v>
      </c>
      <c r="AZ106" s="41">
        <f t="shared" si="192"/>
        <v>0.21025417408998501</v>
      </c>
      <c r="BA106" s="154">
        <f t="shared" ca="1" si="203"/>
        <v>0.8679978059763771</v>
      </c>
    </row>
    <row r="107" spans="1:53" ht="14.5">
      <c r="A107" s="41">
        <f t="shared" ca="1" si="193"/>
        <v>7816.7493733753035</v>
      </c>
      <c r="B107" s="41">
        <f t="shared" ca="1" si="194"/>
        <v>130.27915622292173</v>
      </c>
      <c r="C107" s="41">
        <f t="shared" ca="1" si="194"/>
        <v>2.1713192703820288</v>
      </c>
      <c r="D107" s="41">
        <f t="shared" ca="1" si="195"/>
        <v>14984.32035367167</v>
      </c>
      <c r="E107" s="41">
        <f t="shared" ca="1" si="196"/>
        <v>471.49958974795203</v>
      </c>
      <c r="F107" s="41">
        <f t="shared" ca="1" si="197"/>
        <v>347.2155982246951</v>
      </c>
      <c r="G107" s="41"/>
      <c r="H107" s="7">
        <f t="shared" si="198"/>
        <v>3000</v>
      </c>
      <c r="I107" s="6">
        <v>15</v>
      </c>
      <c r="J107" s="41">
        <f t="shared" si="157"/>
        <v>0.28713835631100121</v>
      </c>
      <c r="K107" s="41">
        <f t="shared" si="158"/>
        <v>325.57428482334547</v>
      </c>
      <c r="L107" s="6">
        <f t="shared" si="199"/>
        <v>180</v>
      </c>
      <c r="M107" s="41">
        <f t="shared" si="159"/>
        <v>192.89755456927503</v>
      </c>
      <c r="N107" s="41">
        <f t="shared" si="160"/>
        <v>109.46264517225482</v>
      </c>
      <c r="O107" s="41">
        <f t="shared" si="161"/>
        <v>1756688.0948151206</v>
      </c>
      <c r="P107" s="41">
        <f t="shared" si="162"/>
        <v>11279171.965623073</v>
      </c>
      <c r="Q107" s="41">
        <f t="shared" si="163"/>
        <v>2.9240838430518376E-3</v>
      </c>
      <c r="R107" s="41">
        <f t="shared" si="164"/>
        <v>2.277736369419613E-2</v>
      </c>
      <c r="S107" s="24">
        <f t="shared" ca="1" si="200"/>
        <v>0</v>
      </c>
      <c r="T107" s="10">
        <f t="shared" ca="1" si="165"/>
        <v>0</v>
      </c>
      <c r="U107" s="41">
        <f t="shared" ca="1" si="166"/>
        <v>0.59517307321128432</v>
      </c>
      <c r="V107" s="41">
        <f t="shared" ca="1" si="167"/>
        <v>4.514943218206488E-2</v>
      </c>
      <c r="W107" s="41">
        <f t="shared" ca="1" si="168"/>
        <v>13.182293651252392</v>
      </c>
      <c r="X107" s="20">
        <f t="shared" ca="1" si="169"/>
        <v>1136.7005431750547</v>
      </c>
      <c r="Y107" s="41">
        <f t="shared" si="170"/>
        <v>0.60053999049783546</v>
      </c>
      <c r="Z107" s="41">
        <f t="shared" ca="1" si="171"/>
        <v>162.13101878949578</v>
      </c>
      <c r="AA107" s="14">
        <f t="shared" ca="1" si="172"/>
        <v>1136.7005431750547</v>
      </c>
      <c r="AB107" s="14">
        <f t="shared" si="201"/>
        <v>5234.4042087224379</v>
      </c>
      <c r="AC107" s="25">
        <f t="shared" ca="1" si="173"/>
        <v>370080.46640252677</v>
      </c>
      <c r="AD107" s="41">
        <f t="shared" si="174"/>
        <v>1704187.4067311173</v>
      </c>
      <c r="AE107" s="5">
        <f t="shared" ca="1" si="175"/>
        <v>21.715948899798271</v>
      </c>
      <c r="AF107" s="7">
        <f t="shared" ca="1" si="176"/>
        <v>1136.7005431750547</v>
      </c>
      <c r="AG107" s="41">
        <f t="shared" ca="1" si="177"/>
        <v>4097.703665547383</v>
      </c>
      <c r="AH107" s="41">
        <f t="shared" ca="1" si="178"/>
        <v>1334106.9403285906</v>
      </c>
      <c r="AI107" s="41">
        <f t="shared" ca="1" si="179"/>
        <v>878.07403277056096</v>
      </c>
      <c r="AJ107" s="13">
        <f t="shared" ca="1" si="180"/>
        <v>0</v>
      </c>
      <c r="AK107" s="11"/>
      <c r="AL107" s="6">
        <v>0</v>
      </c>
      <c r="AM107" s="6">
        <v>720</v>
      </c>
      <c r="AN107" s="41">
        <f t="shared" ca="1" si="181"/>
        <v>175.61480655411219</v>
      </c>
      <c r="AO107" s="41">
        <f t="shared" ca="1" si="182"/>
        <v>38.57951091385501</v>
      </c>
      <c r="AP107" s="67">
        <f t="shared" si="202"/>
        <v>0.77247612666560972</v>
      </c>
      <c r="AQ107" s="11">
        <f t="shared" si="183"/>
        <v>1.0314301707183759</v>
      </c>
      <c r="AR107" s="11">
        <f t="shared" si="184"/>
        <v>0.8962407041850623</v>
      </c>
      <c r="AS107" s="11">
        <f t="shared" si="185"/>
        <v>0.86893008332386068</v>
      </c>
      <c r="AT107" s="11">
        <f t="shared" si="186"/>
        <v>534.97188664650002</v>
      </c>
      <c r="AU107" s="11">
        <f t="shared" si="187"/>
        <v>1896.6425030105124</v>
      </c>
      <c r="AV107" s="11">
        <f t="shared" si="188"/>
        <v>2.0653599150524844E-3</v>
      </c>
      <c r="AW107" s="11">
        <f t="shared" si="189"/>
        <v>3.8278171249107636E-7</v>
      </c>
      <c r="AX107" s="41">
        <f t="shared" ca="1" si="190"/>
        <v>1.1939723889844298</v>
      </c>
      <c r="AY107" s="41">
        <f t="shared" ca="1" si="191"/>
        <v>1.6083045292677685</v>
      </c>
      <c r="AZ107" s="41">
        <f t="shared" si="192"/>
        <v>0.21025417408998501</v>
      </c>
      <c r="BA107" s="154">
        <f t="shared" ca="1" si="203"/>
        <v>0.87181060792471343</v>
      </c>
    </row>
    <row r="108" spans="1:53" ht="14.5">
      <c r="A108" s="41">
        <f t="shared" ca="1" si="193"/>
        <v>8536.7493733753035</v>
      </c>
      <c r="B108" s="41">
        <f t="shared" ca="1" si="194"/>
        <v>142.27915622292173</v>
      </c>
      <c r="C108" s="41">
        <f t="shared" ca="1" si="194"/>
        <v>2.3713192703820289</v>
      </c>
      <c r="D108" s="41">
        <f t="shared" ca="1" si="195"/>
        <v>14808.705547117557</v>
      </c>
      <c r="E108" s="41">
        <f t="shared" ca="1" si="196"/>
        <v>510.07910066180705</v>
      </c>
      <c r="F108" s="41">
        <f t="shared" ca="1" si="197"/>
        <v>385.79510913855012</v>
      </c>
      <c r="G108" s="41"/>
      <c r="H108" s="7">
        <f t="shared" si="198"/>
        <v>3000</v>
      </c>
      <c r="I108" s="6">
        <v>15</v>
      </c>
      <c r="J108" s="41">
        <f t="shared" si="157"/>
        <v>0.28713835631100121</v>
      </c>
      <c r="K108" s="41">
        <f t="shared" si="158"/>
        <v>325.57428482334547</v>
      </c>
      <c r="L108" s="6">
        <f t="shared" si="199"/>
        <v>180</v>
      </c>
      <c r="M108" s="41">
        <f t="shared" si="159"/>
        <v>192.89755456927503</v>
      </c>
      <c r="N108" s="41">
        <f t="shared" si="160"/>
        <v>109.46264517225482</v>
      </c>
      <c r="O108" s="41">
        <f t="shared" si="161"/>
        <v>1756688.0948151206</v>
      </c>
      <c r="P108" s="41">
        <f t="shared" si="162"/>
        <v>11279171.965623073</v>
      </c>
      <c r="Q108" s="41">
        <f t="shared" si="163"/>
        <v>2.9240838430518376E-3</v>
      </c>
      <c r="R108" s="41">
        <f t="shared" si="164"/>
        <v>2.277736369419613E-2</v>
      </c>
      <c r="S108" s="24">
        <f t="shared" ca="1" si="200"/>
        <v>0</v>
      </c>
      <c r="T108" s="10">
        <f t="shared" ca="1" si="165"/>
        <v>0</v>
      </c>
      <c r="U108" s="41">
        <f t="shared" ca="1" si="166"/>
        <v>0.58819770151265371</v>
      </c>
      <c r="V108" s="41">
        <f t="shared" ca="1" si="167"/>
        <v>4.4628108102338734E-2</v>
      </c>
      <c r="W108" s="41">
        <f t="shared" ca="1" si="168"/>
        <v>13.179982896963299</v>
      </c>
      <c r="X108" s="20">
        <f t="shared" ca="1" si="169"/>
        <v>1123.5754752405271</v>
      </c>
      <c r="Y108" s="41">
        <f t="shared" si="170"/>
        <v>0.60053999049783546</v>
      </c>
      <c r="Z108" s="41">
        <f t="shared" ca="1" si="171"/>
        <v>161.17813860006137</v>
      </c>
      <c r="AA108" s="14">
        <f t="shared" ca="1" si="172"/>
        <v>1123.5754752405271</v>
      </c>
      <c r="AB108" s="14">
        <f t="shared" si="201"/>
        <v>5234.4042087224379</v>
      </c>
      <c r="AC108" s="25">
        <f t="shared" ca="1" si="173"/>
        <v>365807.28179648513</v>
      </c>
      <c r="AD108" s="41">
        <f t="shared" si="174"/>
        <v>1704187.4067311173</v>
      </c>
      <c r="AE108" s="5">
        <f t="shared" ca="1" si="175"/>
        <v>21.465202732495097</v>
      </c>
      <c r="AF108" s="7">
        <f t="shared" ca="1" si="176"/>
        <v>1123.5754752405271</v>
      </c>
      <c r="AG108" s="41">
        <f t="shared" ca="1" si="177"/>
        <v>4110.8287334819106</v>
      </c>
      <c r="AH108" s="41">
        <f t="shared" ca="1" si="178"/>
        <v>1338380.1249346321</v>
      </c>
      <c r="AI108" s="41">
        <f t="shared" ca="1" si="179"/>
        <v>867.93523113027402</v>
      </c>
      <c r="AJ108" s="13">
        <f t="shared" ca="1" si="180"/>
        <v>0</v>
      </c>
      <c r="AK108" s="11"/>
      <c r="AL108" s="6">
        <v>0</v>
      </c>
      <c r="AM108" s="6">
        <v>720</v>
      </c>
      <c r="AN108" s="41">
        <f t="shared" ca="1" si="181"/>
        <v>173.58704622605481</v>
      </c>
      <c r="AO108" s="41">
        <f t="shared" ca="1" si="182"/>
        <v>38.57951091385501</v>
      </c>
      <c r="AP108" s="67">
        <f t="shared" si="202"/>
        <v>0.77247612666560972</v>
      </c>
      <c r="AQ108" s="11">
        <f t="shared" si="183"/>
        <v>1.0314301707183759</v>
      </c>
      <c r="AR108" s="11">
        <f t="shared" si="184"/>
        <v>0.8962407041850623</v>
      </c>
      <c r="AS108" s="11">
        <f t="shared" si="185"/>
        <v>0.86893008332386068</v>
      </c>
      <c r="AT108" s="11">
        <f t="shared" si="186"/>
        <v>534.97188664650002</v>
      </c>
      <c r="AU108" s="11">
        <f t="shared" si="187"/>
        <v>1896.6425030105124</v>
      </c>
      <c r="AV108" s="11">
        <f t="shared" si="188"/>
        <v>2.0653599150524844E-3</v>
      </c>
      <c r="AW108" s="11">
        <f t="shared" si="189"/>
        <v>3.8278171249107636E-7</v>
      </c>
      <c r="AX108" s="41">
        <f t="shared" ca="1" si="190"/>
        <v>1.202552569375315</v>
      </c>
      <c r="AY108" s="41">
        <f t="shared" ca="1" si="191"/>
        <v>1.6198622027214509</v>
      </c>
      <c r="AZ108" s="41">
        <f t="shared" si="192"/>
        <v>0.21025417408998501</v>
      </c>
      <c r="BA108" s="154">
        <f t="shared" ca="1" si="203"/>
        <v>0.87564895743589244</v>
      </c>
    </row>
    <row r="109" spans="1:53" ht="14.5">
      <c r="A109" s="41">
        <f t="shared" ca="1" si="193"/>
        <v>9256.7493733753035</v>
      </c>
      <c r="B109" s="41">
        <f t="shared" ca="1" si="194"/>
        <v>154.27915622292173</v>
      </c>
      <c r="C109" s="41">
        <f t="shared" ca="1" si="194"/>
        <v>2.5713192703820287</v>
      </c>
      <c r="D109" s="41">
        <f t="shared" ca="1" si="195"/>
        <v>14635.118500891502</v>
      </c>
      <c r="E109" s="41">
        <f t="shared" ca="1" si="196"/>
        <v>548.65861157566201</v>
      </c>
      <c r="F109" s="41">
        <f t="shared" ca="1" si="197"/>
        <v>424.37462005240513</v>
      </c>
      <c r="G109" s="41"/>
      <c r="H109" s="7">
        <f t="shared" si="198"/>
        <v>3000</v>
      </c>
      <c r="I109" s="6">
        <v>15</v>
      </c>
      <c r="J109" s="41">
        <f t="shared" si="157"/>
        <v>0.28713835631100121</v>
      </c>
      <c r="K109" s="41">
        <f t="shared" si="158"/>
        <v>325.57428482334547</v>
      </c>
      <c r="L109" s="6">
        <f t="shared" si="199"/>
        <v>180</v>
      </c>
      <c r="M109" s="41">
        <f t="shared" si="159"/>
        <v>192.89755456927503</v>
      </c>
      <c r="N109" s="41">
        <f t="shared" si="160"/>
        <v>109.46264517225482</v>
      </c>
      <c r="O109" s="41">
        <f t="shared" si="161"/>
        <v>1756688.0948151206</v>
      </c>
      <c r="P109" s="41">
        <f t="shared" si="162"/>
        <v>11279171.965623073</v>
      </c>
      <c r="Q109" s="41">
        <f t="shared" si="163"/>
        <v>2.9240838430518376E-3</v>
      </c>
      <c r="R109" s="41">
        <f t="shared" si="164"/>
        <v>2.277736369419613E-2</v>
      </c>
      <c r="S109" s="24">
        <f t="shared" ca="1" si="200"/>
        <v>0</v>
      </c>
      <c r="T109" s="10">
        <f t="shared" ca="1" si="165"/>
        <v>0</v>
      </c>
      <c r="U109" s="41">
        <f t="shared" ca="1" si="166"/>
        <v>0.58130287189519192</v>
      </c>
      <c r="V109" s="41">
        <f t="shared" ca="1" si="167"/>
        <v>4.4118843408635602E-2</v>
      </c>
      <c r="W109" s="41">
        <f t="shared" ca="1" si="168"/>
        <v>13.175841136882809</v>
      </c>
      <c r="X109" s="20">
        <f t="shared" ca="1" si="169"/>
        <v>1110.754019333443</v>
      </c>
      <c r="Y109" s="41">
        <f t="shared" si="170"/>
        <v>0.60053999049783546</v>
      </c>
      <c r="Z109" s="41">
        <f t="shared" ca="1" si="171"/>
        <v>160.23069212922786</v>
      </c>
      <c r="AA109" s="14">
        <f t="shared" ca="1" si="172"/>
        <v>1110.754019333443</v>
      </c>
      <c r="AB109" s="14">
        <f t="shared" si="201"/>
        <v>5234.4042087224379</v>
      </c>
      <c r="AC109" s="25">
        <f t="shared" ca="1" si="173"/>
        <v>361632.94545914215</v>
      </c>
      <c r="AD109" s="41">
        <f t="shared" si="174"/>
        <v>1704187.4067311173</v>
      </c>
      <c r="AE109" s="5">
        <f t="shared" ca="1" si="175"/>
        <v>21.220256882006154</v>
      </c>
      <c r="AF109" s="7">
        <f t="shared" ca="1" si="176"/>
        <v>1110.754019333443</v>
      </c>
      <c r="AG109" s="41">
        <f t="shared" ca="1" si="177"/>
        <v>4123.6501893889945</v>
      </c>
      <c r="AH109" s="41">
        <f t="shared" ca="1" si="178"/>
        <v>1342554.4612719752</v>
      </c>
      <c r="AI109" s="41">
        <f t="shared" ca="1" si="179"/>
        <v>858.03096253295587</v>
      </c>
      <c r="AJ109" s="13">
        <f t="shared" ca="1" si="180"/>
        <v>0</v>
      </c>
      <c r="AK109" s="11"/>
      <c r="AL109" s="6">
        <v>0</v>
      </c>
      <c r="AM109" s="6">
        <v>720</v>
      </c>
      <c r="AN109" s="41">
        <f t="shared" ca="1" si="181"/>
        <v>171.60619250659119</v>
      </c>
      <c r="AO109" s="41">
        <f t="shared" ca="1" si="182"/>
        <v>38.57951091385501</v>
      </c>
      <c r="AP109" s="67">
        <f t="shared" si="202"/>
        <v>0.77247612666560972</v>
      </c>
      <c r="AQ109" s="11">
        <f t="shared" si="183"/>
        <v>1.0314301707183759</v>
      </c>
      <c r="AR109" s="11">
        <f t="shared" si="184"/>
        <v>0.8962407041850623</v>
      </c>
      <c r="AS109" s="11">
        <f t="shared" si="185"/>
        <v>0.86893008332386068</v>
      </c>
      <c r="AT109" s="11">
        <f t="shared" si="186"/>
        <v>534.97188664650002</v>
      </c>
      <c r="AU109" s="11">
        <f t="shared" si="187"/>
        <v>1896.6425030105124</v>
      </c>
      <c r="AV109" s="11">
        <f t="shared" si="188"/>
        <v>2.0653599150524844E-3</v>
      </c>
      <c r="AW109" s="11">
        <f t="shared" si="189"/>
        <v>3.8278171249107636E-7</v>
      </c>
      <c r="AX109" s="41">
        <f t="shared" ca="1" si="190"/>
        <v>1.2113182509777074</v>
      </c>
      <c r="AY109" s="41">
        <f t="shared" ca="1" si="191"/>
        <v>1.6316697499924881</v>
      </c>
      <c r="AZ109" s="41">
        <f t="shared" si="192"/>
        <v>0.21025417408998501</v>
      </c>
      <c r="BA109" s="154">
        <f t="shared" ca="1" si="203"/>
        <v>0.87951059110502494</v>
      </c>
    </row>
    <row r="110" spans="1:53" ht="14.5">
      <c r="A110" s="41">
        <f t="shared" ca="1" si="193"/>
        <v>9976.7493733753035</v>
      </c>
      <c r="B110" s="41">
        <f t="shared" ca="1" si="194"/>
        <v>166.27915622292173</v>
      </c>
      <c r="C110" s="41">
        <f t="shared" ca="1" si="194"/>
        <v>2.7713192703820289</v>
      </c>
      <c r="D110" s="41">
        <f t="shared" ca="1" si="195"/>
        <v>14463.51230838491</v>
      </c>
      <c r="E110" s="41">
        <f t="shared" ca="1" si="196"/>
        <v>587.23812248951697</v>
      </c>
      <c r="F110" s="41">
        <f t="shared" ca="1" si="197"/>
        <v>462.95413096626015</v>
      </c>
      <c r="G110" s="41"/>
      <c r="H110" s="7">
        <f t="shared" si="198"/>
        <v>3000</v>
      </c>
      <c r="I110" s="6">
        <v>15</v>
      </c>
      <c r="J110" s="41">
        <f t="shared" si="157"/>
        <v>0.28713835631100121</v>
      </c>
      <c r="K110" s="41">
        <f t="shared" si="158"/>
        <v>325.57428482334547</v>
      </c>
      <c r="L110" s="6">
        <f t="shared" si="199"/>
        <v>180</v>
      </c>
      <c r="M110" s="41">
        <f t="shared" si="159"/>
        <v>192.89755456927503</v>
      </c>
      <c r="N110" s="41">
        <f t="shared" si="160"/>
        <v>109.46264517225482</v>
      </c>
      <c r="O110" s="41">
        <f t="shared" si="161"/>
        <v>1756688.0948151206</v>
      </c>
      <c r="P110" s="41">
        <f t="shared" si="162"/>
        <v>11279171.965623073</v>
      </c>
      <c r="Q110" s="41">
        <f t="shared" si="163"/>
        <v>2.9240838430518376E-3</v>
      </c>
      <c r="R110" s="41">
        <f t="shared" si="164"/>
        <v>2.277736369419613E-2</v>
      </c>
      <c r="S110" s="24">
        <f t="shared" ca="1" si="200"/>
        <v>-9.0071842146683287E-16</v>
      </c>
      <c r="T110" s="10">
        <f t="shared" ca="1" si="165"/>
        <v>-9.0071842146683287E-16</v>
      </c>
      <c r="U110" s="41">
        <f t="shared" ca="1" si="166"/>
        <v>0.57448672124133804</v>
      </c>
      <c r="V110" s="41">
        <f t="shared" ca="1" si="167"/>
        <v>4.3621292468231015E-2</v>
      </c>
      <c r="W110" s="41">
        <f t="shared" ca="1" si="168"/>
        <v>13.169869316910576</v>
      </c>
      <c r="X110" s="20">
        <f t="shared" ca="1" si="169"/>
        <v>1098.2274736631784</v>
      </c>
      <c r="Y110" s="41">
        <f t="shared" si="170"/>
        <v>0.60053999049783546</v>
      </c>
      <c r="Z110" s="41">
        <f t="shared" ca="1" si="171"/>
        <v>159.288518041933</v>
      </c>
      <c r="AA110" s="14">
        <f t="shared" ca="1" si="172"/>
        <v>1098.2274736631782</v>
      </c>
      <c r="AB110" s="14">
        <f t="shared" si="201"/>
        <v>5234.4042087224379</v>
      </c>
      <c r="AC110" s="25">
        <f t="shared" ca="1" si="173"/>
        <v>357554.6243112387</v>
      </c>
      <c r="AD110" s="41">
        <f t="shared" si="174"/>
        <v>1704187.4067311173</v>
      </c>
      <c r="AE110" s="5">
        <f t="shared" ca="1" si="175"/>
        <v>20.980945106094946</v>
      </c>
      <c r="AF110" s="7">
        <f t="shared" ca="1" si="176"/>
        <v>1098.2274736631782</v>
      </c>
      <c r="AG110" s="41">
        <f t="shared" ca="1" si="177"/>
        <v>4136.17673505926</v>
      </c>
      <c r="AH110" s="41">
        <f t="shared" ca="1" si="178"/>
        <v>1346632.7824198785</v>
      </c>
      <c r="AI110" s="41">
        <f t="shared" ca="1" si="179"/>
        <v>848.35450505308984</v>
      </c>
      <c r="AJ110" s="13">
        <f t="shared" ca="1" si="180"/>
        <v>-5.118191224352205E-15</v>
      </c>
      <c r="AK110" s="11"/>
      <c r="AL110" s="6">
        <v>0</v>
      </c>
      <c r="AM110" s="6">
        <v>720</v>
      </c>
      <c r="AN110" s="41">
        <f t="shared" ca="1" si="181"/>
        <v>169.67090101061797</v>
      </c>
      <c r="AO110" s="41">
        <f t="shared" ca="1" si="182"/>
        <v>38.57951091385501</v>
      </c>
      <c r="AP110" s="67">
        <f t="shared" si="202"/>
        <v>0.77247612666560972</v>
      </c>
      <c r="AQ110" s="11">
        <f t="shared" si="183"/>
        <v>1.0314301707183759</v>
      </c>
      <c r="AR110" s="11">
        <f t="shared" si="184"/>
        <v>0.8962407041850623</v>
      </c>
      <c r="AS110" s="11">
        <f t="shared" si="185"/>
        <v>0.86893008332386068</v>
      </c>
      <c r="AT110" s="11">
        <f t="shared" si="186"/>
        <v>534.97188664650002</v>
      </c>
      <c r="AU110" s="11">
        <f t="shared" si="187"/>
        <v>1896.6425030105124</v>
      </c>
      <c r="AV110" s="11">
        <f t="shared" si="188"/>
        <v>2.0653599150524844E-3</v>
      </c>
      <c r="AW110" s="11">
        <f t="shared" si="189"/>
        <v>3.8278171249107636E-7</v>
      </c>
      <c r="AX110" s="41">
        <f t="shared" ca="1" si="190"/>
        <v>1.220271406250383</v>
      </c>
      <c r="AY110" s="41">
        <f t="shared" ca="1" si="191"/>
        <v>1.6437298280220392</v>
      </c>
      <c r="AZ110" s="41">
        <f t="shared" si="192"/>
        <v>0.21025417408998501</v>
      </c>
      <c r="BA110" s="154">
        <f t="shared" ca="1" si="203"/>
        <v>0.88339326534545282</v>
      </c>
    </row>
    <row r="111" spans="1:53" ht="14.5">
      <c r="A111" s="41">
        <f t="shared" ca="1" si="193"/>
        <v>10696.749373375304</v>
      </c>
      <c r="B111" s="41">
        <f t="shared" ca="1" si="194"/>
        <v>178.27915622292173</v>
      </c>
      <c r="C111" s="41">
        <f t="shared" ca="1" si="194"/>
        <v>2.9713192703820286</v>
      </c>
      <c r="D111" s="41">
        <f t="shared" ca="1" si="195"/>
        <v>14293.841407374292</v>
      </c>
      <c r="E111" s="41">
        <f t="shared" ca="1" si="196"/>
        <v>625.81763340337193</v>
      </c>
      <c r="F111" s="41">
        <f t="shared" ca="1" si="197"/>
        <v>501.53364188011517</v>
      </c>
      <c r="G111" s="41"/>
      <c r="H111" s="7">
        <f t="shared" si="198"/>
        <v>3000</v>
      </c>
      <c r="I111" s="6">
        <v>15</v>
      </c>
      <c r="J111" s="41">
        <f t="shared" si="157"/>
        <v>0.28713835631100121</v>
      </c>
      <c r="K111" s="41">
        <f t="shared" si="158"/>
        <v>325.57428482334547</v>
      </c>
      <c r="L111" s="6">
        <f t="shared" si="199"/>
        <v>180</v>
      </c>
      <c r="M111" s="41">
        <f t="shared" si="159"/>
        <v>192.89755456927503</v>
      </c>
      <c r="N111" s="41">
        <f t="shared" si="160"/>
        <v>109.46264517225482</v>
      </c>
      <c r="O111" s="41">
        <f t="shared" si="161"/>
        <v>1756688.0948151206</v>
      </c>
      <c r="P111" s="41">
        <f t="shared" si="162"/>
        <v>11279171.965623073</v>
      </c>
      <c r="Q111" s="41">
        <f t="shared" si="163"/>
        <v>2.9240838430518376E-3</v>
      </c>
      <c r="R111" s="41">
        <f t="shared" si="164"/>
        <v>2.277736369419613E-2</v>
      </c>
      <c r="S111" s="24">
        <f t="shared" ca="1" si="200"/>
        <v>0</v>
      </c>
      <c r="T111" s="10">
        <f t="shared" ca="1" si="165"/>
        <v>0</v>
      </c>
      <c r="U111" s="41">
        <f t="shared" ca="1" si="166"/>
        <v>0.5677474398321366</v>
      </c>
      <c r="V111" s="41">
        <f t="shared" ca="1" si="167"/>
        <v>4.3135122277454592E-2</v>
      </c>
      <c r="W111" s="41">
        <f t="shared" ca="1" si="168"/>
        <v>13.162068631224926</v>
      </c>
      <c r="X111" s="20">
        <f t="shared" ca="1" si="169"/>
        <v>1085.9874543933324</v>
      </c>
      <c r="Y111" s="41">
        <f t="shared" si="170"/>
        <v>0.60053999049783546</v>
      </c>
      <c r="Z111" s="41">
        <f t="shared" ca="1" si="171"/>
        <v>158.35145807261318</v>
      </c>
      <c r="AA111" s="14">
        <f t="shared" ca="1" si="172"/>
        <v>1085.9874543933324</v>
      </c>
      <c r="AB111" s="14">
        <f t="shared" si="201"/>
        <v>5234.4042087224379</v>
      </c>
      <c r="AC111" s="25">
        <f t="shared" ca="1" si="173"/>
        <v>353569.58879123471</v>
      </c>
      <c r="AD111" s="41">
        <f t="shared" si="174"/>
        <v>1704187.4067311173</v>
      </c>
      <c r="AE111" s="5">
        <f t="shared" ca="1" si="175"/>
        <v>20.747107236840421</v>
      </c>
      <c r="AF111" s="7">
        <f t="shared" ca="1" si="176"/>
        <v>1085.9874543933324</v>
      </c>
      <c r="AG111" s="41">
        <f t="shared" ca="1" si="177"/>
        <v>4148.416754329106</v>
      </c>
      <c r="AH111" s="41">
        <f t="shared" ca="1" si="178"/>
        <v>1350617.8179398826</v>
      </c>
      <c r="AI111" s="41">
        <f t="shared" ca="1" si="179"/>
        <v>838.89938237720696</v>
      </c>
      <c r="AJ111" s="13">
        <f t="shared" ca="1" si="180"/>
        <v>0</v>
      </c>
      <c r="AK111" s="11"/>
      <c r="AL111" s="6">
        <v>0</v>
      </c>
      <c r="AM111" s="6">
        <v>720</v>
      </c>
      <c r="AN111" s="41">
        <f t="shared" ca="1" si="181"/>
        <v>167.7798764754414</v>
      </c>
      <c r="AO111" s="41">
        <f t="shared" ca="1" si="182"/>
        <v>38.57951091385501</v>
      </c>
      <c r="AP111" s="67">
        <f t="shared" si="202"/>
        <v>0.77247612666560972</v>
      </c>
      <c r="AQ111" s="11">
        <f t="shared" si="183"/>
        <v>1.0314301707183759</v>
      </c>
      <c r="AR111" s="11">
        <f t="shared" si="184"/>
        <v>0.8962407041850623</v>
      </c>
      <c r="AS111" s="11">
        <f t="shared" si="185"/>
        <v>0.86893008332386068</v>
      </c>
      <c r="AT111" s="11">
        <f t="shared" si="186"/>
        <v>534.97188664650002</v>
      </c>
      <c r="AU111" s="11">
        <f t="shared" si="187"/>
        <v>1896.6425030105124</v>
      </c>
      <c r="AV111" s="11">
        <f t="shared" si="188"/>
        <v>2.0653599150524844E-3</v>
      </c>
      <c r="AW111" s="11">
        <f t="shared" si="189"/>
        <v>3.8278171249107636E-7</v>
      </c>
      <c r="AX111" s="41">
        <f t="shared" ca="1" si="190"/>
        <v>1.2294141622752723</v>
      </c>
      <c r="AY111" s="41">
        <f t="shared" ca="1" si="191"/>
        <v>1.6560453020317245</v>
      </c>
      <c r="AZ111" s="41">
        <f t="shared" si="192"/>
        <v>0.21025417408998501</v>
      </c>
      <c r="BA111" s="154">
        <f t="shared" ca="1" si="203"/>
        <v>0.88729476197732537</v>
      </c>
    </row>
    <row r="112" spans="1:53" ht="14.5">
      <c r="A112" s="41">
        <f t="shared" ca="1" si="193"/>
        <v>11416.749373375304</v>
      </c>
      <c r="B112" s="41">
        <f t="shared" ca="1" si="194"/>
        <v>190.27915622292173</v>
      </c>
      <c r="C112" s="41">
        <f t="shared" ca="1" si="194"/>
        <v>3.1713192703820288</v>
      </c>
      <c r="D112" s="41">
        <f t="shared" ca="1" si="195"/>
        <v>14126.061530898851</v>
      </c>
      <c r="E112" s="41">
        <f t="shared" ca="1" si="196"/>
        <v>664.39714431722689</v>
      </c>
      <c r="F112" s="41">
        <f t="shared" ca="1" si="197"/>
        <v>540.11315279397013</v>
      </c>
      <c r="G112" s="41"/>
      <c r="H112" s="7">
        <f t="shared" si="198"/>
        <v>3000</v>
      </c>
      <c r="I112" s="6">
        <v>15</v>
      </c>
      <c r="J112" s="41">
        <f t="shared" si="157"/>
        <v>0.28713835631100121</v>
      </c>
      <c r="K112" s="41">
        <f t="shared" si="158"/>
        <v>325.57428482334547</v>
      </c>
      <c r="L112" s="6">
        <f t="shared" si="199"/>
        <v>180</v>
      </c>
      <c r="M112" s="41">
        <f t="shared" si="159"/>
        <v>192.89755456927503</v>
      </c>
      <c r="N112" s="41">
        <f t="shared" si="160"/>
        <v>109.46264517225482</v>
      </c>
      <c r="O112" s="41">
        <f t="shared" si="161"/>
        <v>1756688.0948151206</v>
      </c>
      <c r="P112" s="41">
        <f t="shared" si="162"/>
        <v>11279171.965623073</v>
      </c>
      <c r="Q112" s="41">
        <f t="shared" si="163"/>
        <v>2.9240838430518376E-3</v>
      </c>
      <c r="R112" s="41">
        <f t="shared" si="164"/>
        <v>2.277736369419613E-2</v>
      </c>
      <c r="S112" s="24">
        <f t="shared" ca="1" si="200"/>
        <v>9.2223525621621825E-16</v>
      </c>
      <c r="T112" s="10">
        <f t="shared" ca="1" si="165"/>
        <v>9.2223525621621825E-16</v>
      </c>
      <c r="U112" s="41">
        <f t="shared" ca="1" si="166"/>
        <v>0.56108326939610953</v>
      </c>
      <c r="V112" s="41">
        <f t="shared" ca="1" si="167"/>
        <v>4.2660011915689272E-2</v>
      </c>
      <c r="W112" s="41">
        <f t="shared" ca="1" si="168"/>
        <v>13.152440522168661</v>
      </c>
      <c r="X112" s="20">
        <f t="shared" ca="1" si="169"/>
        <v>1074.0258818953891</v>
      </c>
      <c r="Y112" s="41">
        <f t="shared" si="170"/>
        <v>0.60053999049783546</v>
      </c>
      <c r="Z112" s="41">
        <f t="shared" ca="1" si="171"/>
        <v>157.41935689557974</v>
      </c>
      <c r="AA112" s="14">
        <f t="shared" ca="1" si="172"/>
        <v>1074.0258818953894</v>
      </c>
      <c r="AB112" s="14">
        <f t="shared" si="201"/>
        <v>5234.4042087224379</v>
      </c>
      <c r="AC112" s="25">
        <f t="shared" ca="1" si="173"/>
        <v>349675.20837985427</v>
      </c>
      <c r="AD112" s="41">
        <f t="shared" si="174"/>
        <v>1704187.4067311173</v>
      </c>
      <c r="AE112" s="5">
        <f t="shared" ca="1" si="175"/>
        <v>20.518588918021809</v>
      </c>
      <c r="AF112" s="7">
        <f t="shared" ca="1" si="176"/>
        <v>1074.0258818953894</v>
      </c>
      <c r="AG112" s="41">
        <f t="shared" ca="1" si="177"/>
        <v>4160.378326827049</v>
      </c>
      <c r="AH112" s="41">
        <f t="shared" ca="1" si="178"/>
        <v>1354512.1983512631</v>
      </c>
      <c r="AI112" s="41">
        <f t="shared" ca="1" si="179"/>
        <v>829.65935318516597</v>
      </c>
      <c r="AJ112" s="13">
        <f t="shared" ca="1" si="180"/>
        <v>5.2404572646212565E-15</v>
      </c>
      <c r="AK112" s="11"/>
      <c r="AL112" s="6">
        <v>0</v>
      </c>
      <c r="AM112" s="6">
        <v>720</v>
      </c>
      <c r="AN112" s="41">
        <f t="shared" ca="1" si="181"/>
        <v>165.9318706370332</v>
      </c>
      <c r="AO112" s="41">
        <f t="shared" ca="1" si="182"/>
        <v>38.57951091385501</v>
      </c>
      <c r="AP112" s="67">
        <f t="shared" si="202"/>
        <v>0.77247612666560972</v>
      </c>
      <c r="AQ112" s="11">
        <f t="shared" si="183"/>
        <v>1.0314301707183759</v>
      </c>
      <c r="AR112" s="11">
        <f t="shared" si="184"/>
        <v>0.8962407041850623</v>
      </c>
      <c r="AS112" s="11">
        <f t="shared" si="185"/>
        <v>0.86893008332386068</v>
      </c>
      <c r="AT112" s="11">
        <f t="shared" si="186"/>
        <v>534.97188664650002</v>
      </c>
      <c r="AU112" s="11">
        <f t="shared" si="187"/>
        <v>1896.6425030105124</v>
      </c>
      <c r="AV112" s="11">
        <f t="shared" si="188"/>
        <v>2.0653599150524844E-3</v>
      </c>
      <c r="AW112" s="11">
        <f t="shared" si="189"/>
        <v>3.8278171249107636E-7</v>
      </c>
      <c r="AX112" s="41">
        <f t="shared" ca="1" si="190"/>
        <v>1.2387488023007187</v>
      </c>
      <c r="AY112" s="41">
        <f t="shared" ca="1" si="191"/>
        <v>1.6686192476024251</v>
      </c>
      <c r="AZ112" s="41">
        <f t="shared" si="192"/>
        <v>0.21025417408998501</v>
      </c>
      <c r="BA112" s="154">
        <f t="shared" ca="1" si="203"/>
        <v>0.89121289312344543</v>
      </c>
    </row>
    <row r="113" spans="1:53" ht="14.5">
      <c r="A113" s="41">
        <f t="shared" ca="1" si="193"/>
        <v>12136.749373375304</v>
      </c>
      <c r="B113" s="41">
        <f t="shared" ca="1" si="194"/>
        <v>202.27915622292173</v>
      </c>
      <c r="C113" s="41">
        <f t="shared" ca="1" si="194"/>
        <v>3.3713192703820289</v>
      </c>
      <c r="D113" s="41">
        <f t="shared" ca="1" si="195"/>
        <v>13960.129660261817</v>
      </c>
      <c r="E113" s="41">
        <f t="shared" ca="1" si="196"/>
        <v>702.97665523108185</v>
      </c>
      <c r="F113" s="41">
        <f t="shared" ca="1" si="197"/>
        <v>578.69266370782509</v>
      </c>
      <c r="G113" s="41"/>
      <c r="H113" s="7">
        <f t="shared" si="198"/>
        <v>3000</v>
      </c>
      <c r="I113" s="6">
        <v>15</v>
      </c>
      <c r="J113" s="41">
        <f t="shared" si="157"/>
        <v>0.28713835631100121</v>
      </c>
      <c r="K113" s="41">
        <f t="shared" si="158"/>
        <v>325.57428482334547</v>
      </c>
      <c r="L113" s="6">
        <f t="shared" si="199"/>
        <v>180</v>
      </c>
      <c r="M113" s="41">
        <f t="shared" si="159"/>
        <v>192.89755456927503</v>
      </c>
      <c r="N113" s="41">
        <f t="shared" si="160"/>
        <v>109.46264517225482</v>
      </c>
      <c r="O113" s="41">
        <f t="shared" si="161"/>
        <v>1756688.0948151206</v>
      </c>
      <c r="P113" s="41">
        <f t="shared" si="162"/>
        <v>11279171.965623073</v>
      </c>
      <c r="Q113" s="41">
        <f t="shared" si="163"/>
        <v>2.9240838430518376E-3</v>
      </c>
      <c r="R113" s="41">
        <f t="shared" si="164"/>
        <v>2.277736369419613E-2</v>
      </c>
      <c r="S113" s="24">
        <f t="shared" ca="1" si="200"/>
        <v>0</v>
      </c>
      <c r="T113" s="10">
        <f t="shared" ca="1" si="165"/>
        <v>0</v>
      </c>
      <c r="U113" s="41">
        <f t="shared" ca="1" si="166"/>
        <v>0.55449250124248139</v>
      </c>
      <c r="V113" s="41">
        <f t="shared" ca="1" si="167"/>
        <v>4.2195652026820199E-2</v>
      </c>
      <c r="W113" s="41">
        <f t="shared" ca="1" si="168"/>
        <v>13.140986680097692</v>
      </c>
      <c r="X113" s="20">
        <f t="shared" ca="1" si="169"/>
        <v>1062.3349676934636</v>
      </c>
      <c r="Y113" s="41">
        <f t="shared" si="170"/>
        <v>0.60053999049783546</v>
      </c>
      <c r="Z113" s="41">
        <f t="shared" ca="1" si="171"/>
        <v>156.49206199961523</v>
      </c>
      <c r="AA113" s="14">
        <f t="shared" ca="1" si="172"/>
        <v>1062.3349676934636</v>
      </c>
      <c r="AB113" s="14">
        <f t="shared" si="201"/>
        <v>5234.4042087224379</v>
      </c>
      <c r="AC113" s="25">
        <f t="shared" ca="1" si="173"/>
        <v>345868.94734963123</v>
      </c>
      <c r="AD113" s="41">
        <f t="shared" si="174"/>
        <v>1704187.4067311173</v>
      </c>
      <c r="AE113" s="5">
        <f t="shared" ca="1" si="175"/>
        <v>20.295241355706228</v>
      </c>
      <c r="AF113" s="7">
        <f t="shared" ca="1" si="176"/>
        <v>1062.3349676934636</v>
      </c>
      <c r="AG113" s="41">
        <f t="shared" ca="1" si="177"/>
        <v>4172.0692410289739</v>
      </c>
      <c r="AH113" s="41">
        <f t="shared" ca="1" si="178"/>
        <v>1358318.4593814861</v>
      </c>
      <c r="AI113" s="41">
        <f t="shared" ca="1" si="179"/>
        <v>820.62840106528233</v>
      </c>
      <c r="AJ113" s="13">
        <f t="shared" ca="1" si="180"/>
        <v>0</v>
      </c>
      <c r="AK113" s="11"/>
      <c r="AL113" s="6">
        <v>0</v>
      </c>
      <c r="AM113" s="6">
        <v>720</v>
      </c>
      <c r="AN113" s="41">
        <f t="shared" ca="1" si="181"/>
        <v>164.12568021305648</v>
      </c>
      <c r="AO113" s="41">
        <f t="shared" ca="1" si="182"/>
        <v>38.57951091385501</v>
      </c>
      <c r="AP113" s="67">
        <f t="shared" si="202"/>
        <v>0.77247612666560972</v>
      </c>
      <c r="AQ113" s="11">
        <f t="shared" si="183"/>
        <v>1.0314301707183759</v>
      </c>
      <c r="AR113" s="11">
        <f t="shared" si="184"/>
        <v>0.8962407041850623</v>
      </c>
      <c r="AS113" s="11">
        <f t="shared" si="185"/>
        <v>0.86893008332386068</v>
      </c>
      <c r="AT113" s="11">
        <f t="shared" si="186"/>
        <v>534.97188664650002</v>
      </c>
      <c r="AU113" s="11">
        <f t="shared" si="187"/>
        <v>1896.6425030105124</v>
      </c>
      <c r="AV113" s="11">
        <f t="shared" si="188"/>
        <v>2.0653599150524844E-3</v>
      </c>
      <c r="AW113" s="11">
        <f t="shared" si="189"/>
        <v>3.8278171249107636E-7</v>
      </c>
      <c r="AX113" s="41">
        <f t="shared" ca="1" si="190"/>
        <v>1.2482777676115679</v>
      </c>
      <c r="AY113" s="41">
        <f t="shared" ca="1" si="191"/>
        <v>1.6814549531933307</v>
      </c>
      <c r="AZ113" s="41">
        <f t="shared" si="192"/>
        <v>0.21025417408998501</v>
      </c>
      <c r="BA113" s="154">
        <f t="shared" ca="1" si="203"/>
        <v>0.89514550547099059</v>
      </c>
    </row>
    <row r="114" spans="1:53" ht="14.5">
      <c r="A114" s="41">
        <f t="shared" ca="1" si="193"/>
        <v>12856.749373375304</v>
      </c>
      <c r="B114" s="41">
        <f t="shared" ca="1" si="194"/>
        <v>214.27915622292173</v>
      </c>
      <c r="C114" s="41">
        <f t="shared" ca="1" si="194"/>
        <v>3.5713192703820287</v>
      </c>
      <c r="D114" s="41">
        <f t="shared" ca="1" si="195"/>
        <v>13796.003980048761</v>
      </c>
      <c r="E114" s="41">
        <f t="shared" ca="1" si="196"/>
        <v>741.55616614493681</v>
      </c>
      <c r="F114" s="41">
        <f t="shared" ca="1" si="197"/>
        <v>617.27217462168005</v>
      </c>
      <c r="G114" s="41"/>
      <c r="H114" s="7">
        <f t="shared" si="198"/>
        <v>3000</v>
      </c>
      <c r="I114" s="6">
        <v>15</v>
      </c>
      <c r="J114" s="41">
        <f t="shared" si="157"/>
        <v>0.28713835631100121</v>
      </c>
      <c r="K114" s="41">
        <f t="shared" si="158"/>
        <v>325.57428482334547</v>
      </c>
      <c r="L114" s="6">
        <f t="shared" si="199"/>
        <v>180</v>
      </c>
      <c r="M114" s="41">
        <f t="shared" si="159"/>
        <v>192.89755456927503</v>
      </c>
      <c r="N114" s="41">
        <f t="shared" si="160"/>
        <v>109.46264517225482</v>
      </c>
      <c r="O114" s="41">
        <f t="shared" si="161"/>
        <v>1756688.0948151206</v>
      </c>
      <c r="P114" s="41">
        <f t="shared" si="162"/>
        <v>11279171.965623073</v>
      </c>
      <c r="Q114" s="41">
        <f t="shared" si="163"/>
        <v>2.9240838430518376E-3</v>
      </c>
      <c r="R114" s="41">
        <f t="shared" si="164"/>
        <v>2.277736369419613E-2</v>
      </c>
      <c r="S114" s="24">
        <f t="shared" ca="1" si="200"/>
        <v>0</v>
      </c>
      <c r="T114" s="10">
        <f t="shared" ca="1" si="165"/>
        <v>0</v>
      </c>
      <c r="U114" s="41">
        <f t="shared" ca="1" si="166"/>
        <v>0.54797347447451983</v>
      </c>
      <c r="V114" s="41">
        <f t="shared" ca="1" si="167"/>
        <v>4.1741744326567722E-2</v>
      </c>
      <c r="W114" s="41">
        <f t="shared" ca="1" si="168"/>
        <v>13.127709043192681</v>
      </c>
      <c r="X114" s="20">
        <f t="shared" ca="1" si="169"/>
        <v>1050.9072020607146</v>
      </c>
      <c r="Y114" s="41">
        <f t="shared" si="170"/>
        <v>0.60053999049783546</v>
      </c>
      <c r="Z114" s="41">
        <f t="shared" ca="1" si="171"/>
        <v>155.56942356655196</v>
      </c>
      <c r="AA114" s="14">
        <f t="shared" ca="1" si="172"/>
        <v>1050.9072020607146</v>
      </c>
      <c r="AB114" s="14">
        <f t="shared" si="201"/>
        <v>5234.4042087224379</v>
      </c>
      <c r="AC114" s="25">
        <f t="shared" ca="1" si="173"/>
        <v>342148.36072662013</v>
      </c>
      <c r="AD114" s="41">
        <f t="shared" si="174"/>
        <v>1704187.4067311173</v>
      </c>
      <c r="AE114" s="5">
        <f t="shared" ca="1" si="175"/>
        <v>20.076921081285956</v>
      </c>
      <c r="AF114" s="7">
        <f t="shared" ca="1" si="176"/>
        <v>1050.9072020607146</v>
      </c>
      <c r="AG114" s="41">
        <f t="shared" ca="1" si="177"/>
        <v>4183.4970066617234</v>
      </c>
      <c r="AH114" s="41">
        <f t="shared" ca="1" si="178"/>
        <v>1362039.0460044972</v>
      </c>
      <c r="AI114" s="41">
        <f t="shared" ca="1" si="179"/>
        <v>811.800724932854</v>
      </c>
      <c r="AJ114" s="13">
        <f t="shared" ca="1" si="180"/>
        <v>0</v>
      </c>
      <c r="AK114" s="11"/>
      <c r="AL114" s="6">
        <v>0</v>
      </c>
      <c r="AM114" s="6">
        <v>720</v>
      </c>
      <c r="AN114" s="41">
        <f t="shared" ca="1" si="181"/>
        <v>162.36014498657082</v>
      </c>
      <c r="AO114" s="41">
        <f t="shared" ca="1" si="182"/>
        <v>38.57951091385501</v>
      </c>
      <c r="AP114" s="67">
        <f t="shared" si="202"/>
        <v>0.77247612666560972</v>
      </c>
      <c r="AQ114" s="11">
        <f t="shared" si="183"/>
        <v>1.0314301707183759</v>
      </c>
      <c r="AR114" s="11">
        <f t="shared" si="184"/>
        <v>0.8962407041850623</v>
      </c>
      <c r="AS114" s="11">
        <f t="shared" si="185"/>
        <v>0.86893008332386068</v>
      </c>
      <c r="AT114" s="11">
        <f t="shared" si="186"/>
        <v>534.97188664650002</v>
      </c>
      <c r="AU114" s="11">
        <f t="shared" si="187"/>
        <v>1896.6425030105124</v>
      </c>
      <c r="AV114" s="11">
        <f t="shared" si="188"/>
        <v>2.0653599150524844E-3</v>
      </c>
      <c r="AW114" s="11">
        <f t="shared" si="189"/>
        <v>3.8278171249107636E-7</v>
      </c>
      <c r="AX114" s="41">
        <f t="shared" ca="1" si="190"/>
        <v>1.2580036597279045</v>
      </c>
      <c r="AY114" s="41">
        <f t="shared" ca="1" si="191"/>
        <v>1.6945559231036809</v>
      </c>
      <c r="AZ114" s="41">
        <f t="shared" si="192"/>
        <v>0.21025417408998501</v>
      </c>
      <c r="BA114" s="154">
        <f t="shared" ca="1" si="203"/>
        <v>0.89909048395374513</v>
      </c>
    </row>
    <row r="115" spans="1:53" ht="14.5">
      <c r="A115" s="41">
        <f t="shared" ca="1" si="193"/>
        <v>13576.749373375304</v>
      </c>
      <c r="B115" s="41">
        <f t="shared" ref="B115:C118" ca="1" si="204">A115/60</f>
        <v>226.27915622292173</v>
      </c>
      <c r="C115" s="41">
        <f t="shared" ca="1" si="204"/>
        <v>3.7713192703820289</v>
      </c>
      <c r="D115" s="41">
        <f t="shared" ca="1" si="195"/>
        <v>13633.64383506219</v>
      </c>
      <c r="E115" s="41">
        <f t="shared" ca="1" si="196"/>
        <v>780.13567705879177</v>
      </c>
      <c r="F115" s="41">
        <f t="shared" ca="1" si="197"/>
        <v>655.85168553553501</v>
      </c>
      <c r="G115" s="41"/>
      <c r="H115" s="7">
        <f t="shared" si="198"/>
        <v>3000</v>
      </c>
      <c r="I115" s="6">
        <v>15</v>
      </c>
      <c r="J115" s="41">
        <f t="shared" si="157"/>
        <v>0.28713835631100121</v>
      </c>
      <c r="K115" s="41">
        <f t="shared" si="158"/>
        <v>325.57428482334547</v>
      </c>
      <c r="L115" s="6">
        <f t="shared" si="199"/>
        <v>180</v>
      </c>
      <c r="M115" s="41">
        <f t="shared" si="159"/>
        <v>192.89755456927503</v>
      </c>
      <c r="N115" s="41">
        <f t="shared" si="160"/>
        <v>109.46264517225482</v>
      </c>
      <c r="O115" s="41">
        <f t="shared" si="161"/>
        <v>1756688.0948151206</v>
      </c>
      <c r="P115" s="41">
        <f t="shared" si="162"/>
        <v>11279171.965623073</v>
      </c>
      <c r="Q115" s="41">
        <f t="shared" si="163"/>
        <v>2.9240838430518376E-3</v>
      </c>
      <c r="R115" s="41">
        <f t="shared" si="164"/>
        <v>2.277736369419613E-2</v>
      </c>
      <c r="S115" s="24">
        <f t="shared" ca="1" si="200"/>
        <v>-9.5554439685237235E-16</v>
      </c>
      <c r="T115" s="10">
        <f t="shared" ca="1" si="165"/>
        <v>-9.5554439685237235E-16</v>
      </c>
      <c r="U115" s="41">
        <f t="shared" ca="1" si="166"/>
        <v>0.54152457427898926</v>
      </c>
      <c r="V115" s="41">
        <f t="shared" ca="1" si="167"/>
        <v>4.1298001134238316E-2</v>
      </c>
      <c r="W115" s="41">
        <f t="shared" ca="1" si="168"/>
        <v>13.112609797233882</v>
      </c>
      <c r="X115" s="20">
        <f t="shared" ca="1" si="169"/>
        <v>1039.7353422305164</v>
      </c>
      <c r="Y115" s="41">
        <f t="shared" si="170"/>
        <v>0.60053999049783546</v>
      </c>
      <c r="Z115" s="41">
        <f t="shared" ca="1" si="171"/>
        <v>154.65129435360524</v>
      </c>
      <c r="AA115" s="14">
        <f t="shared" ca="1" si="172"/>
        <v>1039.7353422305162</v>
      </c>
      <c r="AB115" s="14">
        <f t="shared" si="201"/>
        <v>5234.4042087224379</v>
      </c>
      <c r="AC115" s="25">
        <f t="shared" ca="1" si="173"/>
        <v>338511.09045225661</v>
      </c>
      <c r="AD115" s="41">
        <f t="shared" si="174"/>
        <v>1704187.4067311173</v>
      </c>
      <c r="AE115" s="5">
        <f t="shared" ca="1" si="175"/>
        <v>19.863489726260262</v>
      </c>
      <c r="AF115" s="7">
        <f t="shared" ca="1" si="176"/>
        <v>1039.7353422305162</v>
      </c>
      <c r="AG115" s="41">
        <f t="shared" ca="1" si="177"/>
        <v>4194.668866491922</v>
      </c>
      <c r="AH115" s="41">
        <f t="shared" ca="1" si="178"/>
        <v>1365676.3162788607</v>
      </c>
      <c r="AI115" s="41">
        <f t="shared" ca="1" si="179"/>
        <v>803.17072992357123</v>
      </c>
      <c r="AJ115" s="13">
        <f t="shared" ca="1" si="180"/>
        <v>-5.429731234411997E-15</v>
      </c>
      <c r="AK115" s="11"/>
      <c r="AL115" s="6">
        <v>0</v>
      </c>
      <c r="AM115" s="6">
        <v>720</v>
      </c>
      <c r="AN115" s="41">
        <f t="shared" ca="1" si="181"/>
        <v>160.63414598471425</v>
      </c>
      <c r="AO115" s="41">
        <f t="shared" ca="1" si="182"/>
        <v>38.57951091385501</v>
      </c>
      <c r="AP115" s="67">
        <f t="shared" si="202"/>
        <v>0.77247612666560972</v>
      </c>
      <c r="AQ115" s="11">
        <f t="shared" si="183"/>
        <v>1.0314301707183759</v>
      </c>
      <c r="AR115" s="11">
        <f t="shared" si="184"/>
        <v>0.8962407041850623</v>
      </c>
      <c r="AS115" s="11">
        <f t="shared" si="185"/>
        <v>0.86893008332386068</v>
      </c>
      <c r="AT115" s="11">
        <f t="shared" si="186"/>
        <v>534.97188664650002</v>
      </c>
      <c r="AU115" s="11">
        <f t="shared" si="187"/>
        <v>1896.6425030105124</v>
      </c>
      <c r="AV115" s="11">
        <f t="shared" si="188"/>
        <v>2.0653599150524844E-3</v>
      </c>
      <c r="AW115" s="11">
        <f t="shared" si="189"/>
        <v>3.8278171249107636E-7</v>
      </c>
      <c r="AX115" s="41">
        <f t="shared" ca="1" si="190"/>
        <v>1.2679292429355558</v>
      </c>
      <c r="AY115" s="41">
        <f t="shared" ca="1" si="191"/>
        <v>1.7079258808814044</v>
      </c>
      <c r="AZ115" s="41">
        <f t="shared" si="192"/>
        <v>0.21025417408998501</v>
      </c>
      <c r="BA115" s="154">
        <f t="shared" ca="1" si="203"/>
        <v>0.90304575490569783</v>
      </c>
    </row>
    <row r="116" spans="1:53" ht="14.5">
      <c r="A116" s="41">
        <f t="shared" ca="1" si="193"/>
        <v>14296.749373375304</v>
      </c>
      <c r="B116" s="41">
        <f t="shared" ca="1" si="204"/>
        <v>238.27915622292173</v>
      </c>
      <c r="C116" s="41">
        <f t="shared" ca="1" si="204"/>
        <v>3.9713192703820286</v>
      </c>
      <c r="D116" s="41">
        <f t="shared" ca="1" si="195"/>
        <v>13473.009689077477</v>
      </c>
      <c r="E116" s="41">
        <f t="shared" ca="1" si="196"/>
        <v>818.71518797264673</v>
      </c>
      <c r="F116" s="41">
        <f t="shared" ca="1" si="197"/>
        <v>694.43119644938997</v>
      </c>
      <c r="G116" s="41"/>
      <c r="H116" s="7">
        <f t="shared" si="198"/>
        <v>3000</v>
      </c>
      <c r="I116" s="6">
        <v>15</v>
      </c>
      <c r="J116" s="41">
        <f t="shared" si="157"/>
        <v>0.28713835631100121</v>
      </c>
      <c r="K116" s="41">
        <f t="shared" si="158"/>
        <v>325.57428482334547</v>
      </c>
      <c r="L116" s="6">
        <f t="shared" si="199"/>
        <v>180</v>
      </c>
      <c r="M116" s="41">
        <f t="shared" si="159"/>
        <v>192.89755456927503</v>
      </c>
      <c r="N116" s="41">
        <f t="shared" si="160"/>
        <v>109.46264517225482</v>
      </c>
      <c r="O116" s="41">
        <f t="shared" si="161"/>
        <v>1756688.0948151206</v>
      </c>
      <c r="P116" s="41">
        <f t="shared" si="162"/>
        <v>11279171.965623073</v>
      </c>
      <c r="Q116" s="41">
        <f t="shared" si="163"/>
        <v>2.9240838430518376E-3</v>
      </c>
      <c r="R116" s="41">
        <f t="shared" si="164"/>
        <v>2.277736369419613E-2</v>
      </c>
      <c r="S116" s="24">
        <f t="shared" ca="1" si="200"/>
        <v>0</v>
      </c>
      <c r="T116" s="10">
        <f t="shared" ca="1" si="165"/>
        <v>0</v>
      </c>
      <c r="U116" s="41">
        <f t="shared" ca="1" si="166"/>
        <v>0.53514423028794755</v>
      </c>
      <c r="V116" s="41">
        <f t="shared" ca="1" si="167"/>
        <v>4.0864144927520753E-2</v>
      </c>
      <c r="W116" s="41">
        <f t="shared" ca="1" si="168"/>
        <v>13.095691375339271</v>
      </c>
      <c r="X116" s="20">
        <f t="shared" ca="1" si="169"/>
        <v>1028.8124011878242</v>
      </c>
      <c r="Y116" s="41">
        <f t="shared" si="170"/>
        <v>0.60053999049783546</v>
      </c>
      <c r="Z116" s="41">
        <f t="shared" ca="1" si="171"/>
        <v>153.73752957924367</v>
      </c>
      <c r="AA116" s="14">
        <f t="shared" ca="1" si="172"/>
        <v>1028.8124011878242</v>
      </c>
      <c r="AB116" s="14">
        <f t="shared" si="201"/>
        <v>5234.4042087224379</v>
      </c>
      <c r="AC116" s="25">
        <f t="shared" ca="1" si="173"/>
        <v>334954.86173411465</v>
      </c>
      <c r="AD116" s="41">
        <f t="shared" si="174"/>
        <v>1704187.4067311173</v>
      </c>
      <c r="AE116" s="5">
        <f t="shared" ca="1" si="175"/>
        <v>19.654813808101508</v>
      </c>
      <c r="AF116" s="7">
        <f t="shared" ca="1" si="176"/>
        <v>1028.8124011878242</v>
      </c>
      <c r="AG116" s="41">
        <f t="shared" ca="1" si="177"/>
        <v>4205.5918075346135</v>
      </c>
      <c r="AH116" s="41">
        <f t="shared" ca="1" si="178"/>
        <v>1369232.5449970027</v>
      </c>
      <c r="AI116" s="41">
        <f t="shared" ca="1" si="179"/>
        <v>794.73301873511582</v>
      </c>
      <c r="AJ116" s="13">
        <f t="shared" ca="1" si="180"/>
        <v>0</v>
      </c>
      <c r="AK116" s="11"/>
      <c r="AL116" s="6">
        <v>0</v>
      </c>
      <c r="AM116" s="6">
        <v>720</v>
      </c>
      <c r="AN116" s="41">
        <f t="shared" ca="1" si="181"/>
        <v>158.94660374702318</v>
      </c>
      <c r="AO116" s="41">
        <f t="shared" ca="1" si="182"/>
        <v>38.57951091385501</v>
      </c>
      <c r="AP116" s="67">
        <f t="shared" si="202"/>
        <v>0.77247612666560972</v>
      </c>
      <c r="AQ116" s="11">
        <f t="shared" si="183"/>
        <v>1.0314301707183759</v>
      </c>
      <c r="AR116" s="11">
        <f t="shared" si="184"/>
        <v>0.8962407041850623</v>
      </c>
      <c r="AS116" s="11">
        <f t="shared" si="185"/>
        <v>0.86893008332386068</v>
      </c>
      <c r="AT116" s="11">
        <f t="shared" si="186"/>
        <v>534.97188664650002</v>
      </c>
      <c r="AU116" s="11">
        <f t="shared" si="187"/>
        <v>1896.6425030105124</v>
      </c>
      <c r="AV116" s="11">
        <f t="shared" si="188"/>
        <v>2.0653599150524844E-3</v>
      </c>
      <c r="AW116" s="11">
        <f t="shared" si="189"/>
        <v>3.8278171249107636E-7</v>
      </c>
      <c r="AX116" s="41">
        <f t="shared" ca="1" si="190"/>
        <v>1.2780574471527624</v>
      </c>
      <c r="AY116" s="41">
        <f t="shared" ca="1" si="191"/>
        <v>1.7215687731845819</v>
      </c>
      <c r="AZ116" s="41">
        <f t="shared" si="192"/>
        <v>0.21025417408998501</v>
      </c>
      <c r="BA116" s="154">
        <f t="shared" ca="1" si="203"/>
        <v>0.90700928873325926</v>
      </c>
    </row>
    <row r="117" spans="1:53" ht="14.5">
      <c r="A117" s="41">
        <f t="shared" ca="1" si="193"/>
        <v>15016.749373375304</v>
      </c>
      <c r="B117" s="41">
        <f t="shared" ca="1" si="204"/>
        <v>250.27915622292173</v>
      </c>
      <c r="C117" s="41">
        <f t="shared" ca="1" si="204"/>
        <v>4.1713192703820292</v>
      </c>
      <c r="D117" s="41">
        <f t="shared" ca="1" si="195"/>
        <v>13314.063085330454</v>
      </c>
      <c r="E117" s="41">
        <f t="shared" ca="1" si="196"/>
        <v>857.29469888650169</v>
      </c>
      <c r="F117" s="41">
        <f t="shared" ca="1" si="197"/>
        <v>733.01070736324493</v>
      </c>
      <c r="G117" s="41"/>
      <c r="H117" s="7">
        <f t="shared" si="198"/>
        <v>3000</v>
      </c>
      <c r="I117" s="6">
        <v>15</v>
      </c>
      <c r="J117" s="41">
        <f t="shared" si="157"/>
        <v>0.28713835631100121</v>
      </c>
      <c r="K117" s="41">
        <f t="shared" si="158"/>
        <v>325.57428482334547</v>
      </c>
      <c r="L117" s="6">
        <f t="shared" si="199"/>
        <v>180</v>
      </c>
      <c r="M117" s="41">
        <f t="shared" si="159"/>
        <v>192.89755456927503</v>
      </c>
      <c r="N117" s="41">
        <f t="shared" si="160"/>
        <v>109.46264517225482</v>
      </c>
      <c r="O117" s="41">
        <f t="shared" si="161"/>
        <v>1756688.0948151206</v>
      </c>
      <c r="P117" s="41">
        <f t="shared" si="162"/>
        <v>11279171.965623073</v>
      </c>
      <c r="Q117" s="41">
        <f t="shared" si="163"/>
        <v>2.9240838430518376E-3</v>
      </c>
      <c r="R117" s="41">
        <f t="shared" si="164"/>
        <v>2.277736369419613E-2</v>
      </c>
      <c r="S117" s="24">
        <f t="shared" ca="1" si="200"/>
        <v>-4.892402826913308E-16</v>
      </c>
      <c r="T117" s="10">
        <f t="shared" ca="1" si="165"/>
        <v>-4.892402826913308E-16</v>
      </c>
      <c r="U117" s="41">
        <f t="shared" ca="1" si="166"/>
        <v>0.52883091500932489</v>
      </c>
      <c r="V117" s="41">
        <f t="shared" ca="1" si="167"/>
        <v>4.0439907919040577E-2</v>
      </c>
      <c r="W117" s="41">
        <f t="shared" ca="1" si="168"/>
        <v>13.076956457666217</v>
      </c>
      <c r="X117" s="20">
        <f t="shared" ca="1" si="169"/>
        <v>1018.1316370083373</v>
      </c>
      <c r="Y117" s="41">
        <f t="shared" si="170"/>
        <v>0.60053999049783546</v>
      </c>
      <c r="Z117" s="41">
        <f t="shared" ca="1" si="171"/>
        <v>152.82798681238927</v>
      </c>
      <c r="AA117" s="14">
        <f t="shared" ca="1" si="172"/>
        <v>1018.1316370083373</v>
      </c>
      <c r="AB117" s="14">
        <f t="shared" si="201"/>
        <v>5234.4042087224379</v>
      </c>
      <c r="AC117" s="25">
        <f t="shared" ca="1" si="173"/>
        <v>331477.47957501136</v>
      </c>
      <c r="AD117" s="41">
        <f t="shared" si="174"/>
        <v>1704187.4067311173</v>
      </c>
      <c r="AE117" s="5">
        <f t="shared" ca="1" si="175"/>
        <v>19.450764526586546</v>
      </c>
      <c r="AF117" s="7">
        <f t="shared" ca="1" si="176"/>
        <v>1018.1316370083372</v>
      </c>
      <c r="AG117" s="41">
        <f t="shared" ca="1" si="177"/>
        <v>4216.2725717141002</v>
      </c>
      <c r="AH117" s="41">
        <f t="shared" ca="1" si="178"/>
        <v>1372709.9271561059</v>
      </c>
      <c r="AI117" s="41">
        <f t="shared" ca="1" si="179"/>
        <v>786.48238339191687</v>
      </c>
      <c r="AJ117" s="13">
        <f t="shared" ca="1" si="180"/>
        <v>-2.7800312081910348E-15</v>
      </c>
      <c r="AK117" s="11"/>
      <c r="AL117" s="6">
        <v>0</v>
      </c>
      <c r="AM117" s="6">
        <v>720</v>
      </c>
      <c r="AN117" s="41">
        <f t="shared" ca="1" si="181"/>
        <v>157.29647667838339</v>
      </c>
      <c r="AO117" s="41">
        <f t="shared" ca="1" si="182"/>
        <v>38.57951091385501</v>
      </c>
      <c r="AP117" s="67">
        <f t="shared" si="202"/>
        <v>0.77247612666560972</v>
      </c>
      <c r="AQ117" s="11">
        <f t="shared" si="183"/>
        <v>1.0314301707183759</v>
      </c>
      <c r="AR117" s="11">
        <f t="shared" si="184"/>
        <v>0.8962407041850623</v>
      </c>
      <c r="AS117" s="11">
        <f t="shared" si="185"/>
        <v>0.86893008332386068</v>
      </c>
      <c r="AT117" s="11">
        <f t="shared" si="186"/>
        <v>534.97188664650002</v>
      </c>
      <c r="AU117" s="11">
        <f t="shared" si="187"/>
        <v>1896.6425030105124</v>
      </c>
      <c r="AV117" s="11">
        <f t="shared" si="188"/>
        <v>2.0653599150524844E-3</v>
      </c>
      <c r="AW117" s="11">
        <f t="shared" si="189"/>
        <v>3.8278171249107636E-7</v>
      </c>
      <c r="AX117" s="41">
        <f t="shared" ca="1" si="190"/>
        <v>1.2883913711387238</v>
      </c>
      <c r="AY117" s="41">
        <f t="shared" ca="1" si="191"/>
        <v>1.7354887741034202</v>
      </c>
      <c r="AZ117" s="41">
        <f t="shared" si="192"/>
        <v>0.21025417408998501</v>
      </c>
      <c r="BA117" s="154">
        <f t="shared" ca="1" si="203"/>
        <v>0.9109791021499265</v>
      </c>
    </row>
    <row r="118" spans="1:53" ht="14.5">
      <c r="A118" s="41">
        <f t="shared" ca="1" si="193"/>
        <v>15736.749373375304</v>
      </c>
      <c r="B118" s="41">
        <f t="shared" ca="1" si="204"/>
        <v>262.2791562229217</v>
      </c>
      <c r="C118" s="41">
        <f t="shared" ca="1" si="204"/>
        <v>4.3713192703820285</v>
      </c>
      <c r="D118" s="41">
        <f t="shared" ca="1" si="195"/>
        <v>13156.766608652071</v>
      </c>
      <c r="E118" s="41">
        <f t="shared" ca="1" si="196"/>
        <v>895.87420980035665</v>
      </c>
      <c r="F118" s="41">
        <f t="shared" ca="1" si="197"/>
        <v>771.59021827709989</v>
      </c>
      <c r="G118" s="41"/>
      <c r="H118" s="7">
        <f t="shared" si="198"/>
        <v>3000</v>
      </c>
      <c r="I118" s="6">
        <v>15</v>
      </c>
      <c r="J118" s="41">
        <f t="shared" si="157"/>
        <v>0.28713835631100121</v>
      </c>
      <c r="K118" s="41">
        <f t="shared" si="158"/>
        <v>325.57428482334547</v>
      </c>
      <c r="L118" s="6">
        <f t="shared" si="199"/>
        <v>180</v>
      </c>
      <c r="M118" s="41">
        <f t="shared" si="159"/>
        <v>192.89755456927503</v>
      </c>
      <c r="N118" s="41">
        <f t="shared" si="160"/>
        <v>109.46264517225482</v>
      </c>
      <c r="O118" s="41">
        <f t="shared" si="161"/>
        <v>1756688.0948151206</v>
      </c>
      <c r="P118" s="41">
        <f t="shared" si="162"/>
        <v>11279171.965623073</v>
      </c>
      <c r="Q118" s="41">
        <f t="shared" si="163"/>
        <v>2.9240838430518376E-3</v>
      </c>
      <c r="R118" s="41">
        <f t="shared" si="164"/>
        <v>2.277736369419613E-2</v>
      </c>
      <c r="S118" s="24">
        <f t="shared" ca="1" si="200"/>
        <v>-9.9017884581972179E-16</v>
      </c>
      <c r="T118" s="10">
        <f t="shared" ca="1" si="165"/>
        <v>-9.9017884581972179E-16</v>
      </c>
      <c r="U118" s="41">
        <f t="shared" ca="1" si="166"/>
        <v>0.52258314232292213</v>
      </c>
      <c r="V118" s="41">
        <f t="shared" ca="1" si="167"/>
        <v>4.0025031653466762E-2</v>
      </c>
      <c r="W118" s="41">
        <f t="shared" ca="1" si="168"/>
        <v>13.056407971076737</v>
      </c>
      <c r="X118" s="20">
        <f t="shared" ca="1" si="169"/>
        <v>1007.686542715091</v>
      </c>
      <c r="Y118" s="41">
        <f t="shared" si="170"/>
        <v>0.60053999049783546</v>
      </c>
      <c r="Z118" s="41">
        <f t="shared" ca="1" si="171"/>
        <v>151.9225258647468</v>
      </c>
      <c r="AA118" s="14">
        <f t="shared" ca="1" si="172"/>
        <v>1007.6865427150908</v>
      </c>
      <c r="AB118" s="14">
        <f t="shared" si="201"/>
        <v>5234.4042087224379</v>
      </c>
      <c r="AC118" s="25">
        <f t="shared" ca="1" si="173"/>
        <v>328076.82547057525</v>
      </c>
      <c r="AD118" s="41">
        <f t="shared" si="174"/>
        <v>1704187.4067311173</v>
      </c>
      <c r="AE118" s="5">
        <f t="shared" ca="1" si="175"/>
        <v>19.251217570013324</v>
      </c>
      <c r="AF118" s="7">
        <f t="shared" ca="1" si="176"/>
        <v>1007.6865427150908</v>
      </c>
      <c r="AG118" s="41">
        <f t="shared" ca="1" si="177"/>
        <v>4226.7176660073474</v>
      </c>
      <c r="AH118" s="41">
        <f t="shared" ca="1" si="178"/>
        <v>1376110.5812605419</v>
      </c>
      <c r="AI118" s="41">
        <f t="shared" ca="1" si="179"/>
        <v>778.41379740961281</v>
      </c>
      <c r="AJ118" s="13">
        <f t="shared" ca="1" si="180"/>
        <v>-5.6265360610261606E-15</v>
      </c>
      <c r="AK118" s="11"/>
      <c r="AL118" s="6">
        <v>0</v>
      </c>
      <c r="AM118" s="6">
        <v>0</v>
      </c>
      <c r="AN118" s="41">
        <f t="shared" ca="1" si="181"/>
        <v>0</v>
      </c>
      <c r="AO118" s="41">
        <f t="shared" ca="1" si="182"/>
        <v>0</v>
      </c>
      <c r="AP118" s="67">
        <f t="shared" si="202"/>
        <v>0.77247612666560972</v>
      </c>
      <c r="AQ118" s="11">
        <f t="shared" si="183"/>
        <v>1.0314301707183759</v>
      </c>
      <c r="AR118" s="11">
        <f t="shared" si="184"/>
        <v>0.8962407041850623</v>
      </c>
      <c r="AS118" s="11">
        <f t="shared" si="185"/>
        <v>0.86893008332386068</v>
      </c>
      <c r="AT118" s="11">
        <f t="shared" si="186"/>
        <v>534.97188664650002</v>
      </c>
      <c r="AU118" s="11">
        <f t="shared" si="187"/>
        <v>1896.6425030105124</v>
      </c>
      <c r="AV118" s="11">
        <f t="shared" si="188"/>
        <v>2.0653599150524844E-3</v>
      </c>
      <c r="AW118" s="11">
        <f t="shared" si="189"/>
        <v>3.8278171249107636E-7</v>
      </c>
      <c r="AX118" s="41">
        <f t="shared" ca="1" si="190"/>
        <v>1.298934286051078</v>
      </c>
      <c r="AY118" s="41">
        <f t="shared" ca="1" si="191"/>
        <v>1.7496902899522468</v>
      </c>
      <c r="AZ118" s="41">
        <f t="shared" si="192"/>
        <v>0.21025417408998501</v>
      </c>
      <c r="BA118" s="154">
        <f ca="1">2.12 - (0.00251*AF118) + (1.94*10^(-6)*AF118^2) - (7.84*10^(-10)*AF118^3) + (1.7*10^(-13)*AF118^4) - (1.89*10^(-17)*AF118^5) + (8.37*10^(-22)*AF118^6)</f>
        <v>0.91495326001400035</v>
      </c>
    </row>
    <row r="119" spans="1:53" ht="14.5">
      <c r="B119" s="135">
        <f ca="1">B118-B98</f>
        <v>239.99999999999997</v>
      </c>
      <c r="X119" s="32">
        <f ca="1">AVERAGE(X98:X118)</f>
        <v>1129.1747985229867</v>
      </c>
      <c r="AC119" s="3"/>
      <c r="AD119" s="3"/>
      <c r="AN119" s="32">
        <f ca="1">SUM(AN98:AN118)</f>
        <v>3507.8116542221983</v>
      </c>
      <c r="AP119" s="135"/>
    </row>
    <row r="120" spans="1:53" s="89" customFormat="1" ht="14.5">
      <c r="A120" s="124" t="s">
        <v>240</v>
      </c>
      <c r="B120" s="82" t="s">
        <v>22</v>
      </c>
      <c r="C120" s="125">
        <v>10000</v>
      </c>
      <c r="D120" s="82" t="s">
        <v>9</v>
      </c>
      <c r="E120" s="82"/>
      <c r="F120" s="82"/>
      <c r="G120" s="82"/>
      <c r="H120" s="82"/>
      <c r="I120" s="83"/>
      <c r="J120" s="82"/>
      <c r="K120" s="82"/>
      <c r="L120" s="84" t="s">
        <v>60</v>
      </c>
      <c r="M120" s="82"/>
      <c r="N120" s="82"/>
      <c r="O120" s="82"/>
      <c r="P120" s="82"/>
      <c r="Q120" s="81"/>
      <c r="R120" s="82"/>
      <c r="S120" s="85"/>
      <c r="T120" s="86"/>
      <c r="U120" s="81"/>
      <c r="V120" s="81"/>
      <c r="W120" s="81"/>
      <c r="X120" s="81"/>
      <c r="Y120" s="82"/>
      <c r="Z120" s="82"/>
      <c r="AA120" s="87"/>
      <c r="AB120" s="87"/>
      <c r="AC120" s="82"/>
      <c r="AD120" s="82"/>
      <c r="AE120" s="83"/>
      <c r="AF120" s="81"/>
      <c r="AG120" s="82"/>
      <c r="AH120" s="82"/>
      <c r="AI120" s="82"/>
      <c r="AJ120" s="81" t="s">
        <v>61</v>
      </c>
      <c r="AK120" s="88"/>
      <c r="AL120" s="83"/>
      <c r="AM120" s="82"/>
      <c r="AN120" s="82"/>
      <c r="AO120" s="82"/>
      <c r="AP120" s="67"/>
      <c r="AQ120" s="88"/>
      <c r="AR120" s="88"/>
      <c r="AS120" s="88"/>
      <c r="AT120" s="88"/>
      <c r="AU120" s="88"/>
      <c r="AV120" s="88"/>
      <c r="AW120" s="88"/>
      <c r="AX120" s="82"/>
      <c r="AY120" s="82"/>
      <c r="AZ120" s="82"/>
    </row>
    <row r="121" spans="1:53" ht="14.5">
      <c r="A121" s="41" t="s">
        <v>2</v>
      </c>
      <c r="B121" s="41" t="s">
        <v>2</v>
      </c>
      <c r="C121" s="41" t="s">
        <v>2</v>
      </c>
      <c r="D121" s="41" t="s">
        <v>23</v>
      </c>
      <c r="E121" s="41" t="s">
        <v>24</v>
      </c>
      <c r="F121" s="41" t="s">
        <v>25</v>
      </c>
      <c r="G121" s="41"/>
      <c r="H121" s="41" t="s">
        <v>0</v>
      </c>
      <c r="I121" s="5" t="s">
        <v>26</v>
      </c>
      <c r="J121" s="41" t="s">
        <v>27</v>
      </c>
      <c r="K121" s="41" t="s">
        <v>28</v>
      </c>
      <c r="L121" s="12" t="s">
        <v>29</v>
      </c>
      <c r="M121" s="13" t="s">
        <v>30</v>
      </c>
      <c r="N121" s="41" t="s">
        <v>31</v>
      </c>
      <c r="O121" s="41" t="s">
        <v>32</v>
      </c>
      <c r="P121" s="41" t="s">
        <v>33</v>
      </c>
      <c r="Q121" s="41" t="s">
        <v>34</v>
      </c>
      <c r="R121" s="41" t="s">
        <v>13</v>
      </c>
      <c r="S121" s="24" t="s">
        <v>35</v>
      </c>
      <c r="T121" s="10" t="s">
        <v>35</v>
      </c>
      <c r="U121" s="41" t="s">
        <v>36</v>
      </c>
      <c r="V121" s="41" t="s">
        <v>37</v>
      </c>
      <c r="W121" s="41" t="s">
        <v>38</v>
      </c>
      <c r="X121" s="41" t="s">
        <v>39</v>
      </c>
      <c r="Y121" s="41" t="s">
        <v>40</v>
      </c>
      <c r="Z121" s="35" t="s">
        <v>108</v>
      </c>
      <c r="AA121" s="35" t="s">
        <v>109</v>
      </c>
      <c r="AB121" s="9" t="s">
        <v>110</v>
      </c>
      <c r="AC121" s="7" t="s">
        <v>111</v>
      </c>
      <c r="AD121" s="7" t="s">
        <v>112</v>
      </c>
      <c r="AE121" s="5" t="s">
        <v>41</v>
      </c>
      <c r="AF121" s="7" t="s">
        <v>113</v>
      </c>
      <c r="AG121" s="7" t="s">
        <v>114</v>
      </c>
      <c r="AH121" s="7" t="s">
        <v>115</v>
      </c>
      <c r="AI121" s="41" t="s">
        <v>42</v>
      </c>
      <c r="AJ121" s="41" t="s">
        <v>43</v>
      </c>
      <c r="AK121" s="36"/>
      <c r="AL121" s="5" t="s">
        <v>44</v>
      </c>
      <c r="AM121" s="41" t="s">
        <v>45</v>
      </c>
      <c r="AN121" s="41" t="s">
        <v>46</v>
      </c>
      <c r="AO121" s="41" t="s">
        <v>47</v>
      </c>
      <c r="AP121" s="67"/>
      <c r="AQ121" s="15" t="s">
        <v>62</v>
      </c>
      <c r="AR121" s="16" t="s">
        <v>63</v>
      </c>
      <c r="AS121" s="16" t="s">
        <v>64</v>
      </c>
      <c r="AT121" s="17" t="s">
        <v>65</v>
      </c>
      <c r="AU121" s="18" t="s">
        <v>66</v>
      </c>
      <c r="AV121" s="18" t="s">
        <v>67</v>
      </c>
      <c r="AW121" s="19" t="s">
        <v>68</v>
      </c>
      <c r="AX121" s="7" t="s">
        <v>207</v>
      </c>
      <c r="AY121" s="7" t="s">
        <v>208</v>
      </c>
      <c r="AZ121" s="7" t="s">
        <v>209</v>
      </c>
    </row>
    <row r="122" spans="1:53" ht="14.5">
      <c r="A122" s="41" t="s">
        <v>18</v>
      </c>
      <c r="B122" s="41" t="s">
        <v>21</v>
      </c>
      <c r="C122" s="41" t="s">
        <v>48</v>
      </c>
      <c r="D122" s="41" t="s">
        <v>8</v>
      </c>
      <c r="E122" s="41" t="s">
        <v>49</v>
      </c>
      <c r="F122" s="41" t="s">
        <v>49</v>
      </c>
      <c r="G122" s="41"/>
      <c r="H122" s="41" t="s">
        <v>9</v>
      </c>
      <c r="I122" s="5" t="s">
        <v>50</v>
      </c>
      <c r="J122" s="41"/>
      <c r="K122" s="41" t="s">
        <v>51</v>
      </c>
      <c r="L122" s="5" t="s">
        <v>52</v>
      </c>
      <c r="M122" s="41" t="s">
        <v>52</v>
      </c>
      <c r="N122" s="41" t="s">
        <v>53</v>
      </c>
      <c r="O122" s="41" t="s">
        <v>54</v>
      </c>
      <c r="P122" s="41"/>
      <c r="Q122" s="41"/>
      <c r="R122" s="41"/>
      <c r="S122" s="24" t="s">
        <v>55</v>
      </c>
      <c r="T122" s="10" t="s">
        <v>55</v>
      </c>
      <c r="U122" s="41"/>
      <c r="V122" s="41"/>
      <c r="W122" s="41"/>
      <c r="X122" s="41"/>
      <c r="Y122" s="41"/>
      <c r="Z122" s="41"/>
      <c r="AA122" s="9" t="s">
        <v>118</v>
      </c>
      <c r="AB122" s="9" t="s">
        <v>118</v>
      </c>
      <c r="AC122" s="7" t="s">
        <v>119</v>
      </c>
      <c r="AD122" s="7" t="s">
        <v>119</v>
      </c>
      <c r="AE122" s="5" t="s">
        <v>20</v>
      </c>
      <c r="AF122" s="7" t="s">
        <v>118</v>
      </c>
      <c r="AG122" s="7" t="s">
        <v>118</v>
      </c>
      <c r="AH122" s="7" t="s">
        <v>119</v>
      </c>
      <c r="AI122" s="41" t="s">
        <v>56</v>
      </c>
      <c r="AJ122" s="41" t="s">
        <v>57</v>
      </c>
      <c r="AK122" s="11"/>
      <c r="AL122" s="5" t="s">
        <v>9</v>
      </c>
      <c r="AM122" s="41" t="s">
        <v>18</v>
      </c>
      <c r="AN122" s="41" t="s">
        <v>8</v>
      </c>
      <c r="AO122" s="41" t="s">
        <v>49</v>
      </c>
      <c r="AP122" s="67"/>
      <c r="AQ122" s="11"/>
      <c r="AR122" s="11"/>
      <c r="AS122" s="11"/>
      <c r="AT122" s="11"/>
      <c r="AU122" s="11"/>
      <c r="AV122" s="11"/>
      <c r="AW122" s="11"/>
      <c r="AX122" s="41"/>
      <c r="AY122" s="41"/>
      <c r="AZ122" s="41"/>
    </row>
    <row r="123" spans="1:53" ht="14.5">
      <c r="A123" s="41">
        <f ca="1">A118</f>
        <v>15736.749373375304</v>
      </c>
      <c r="B123" s="41">
        <f t="shared" ref="B123:C138" ca="1" si="205">A123/60</f>
        <v>262.2791562229217</v>
      </c>
      <c r="C123" s="41">
        <f t="shared" ca="1" si="205"/>
        <v>4.3713192703820285</v>
      </c>
      <c r="D123" s="41">
        <f t="shared" ref="D123:E123" ca="1" si="206">D118</f>
        <v>13156.766608652071</v>
      </c>
      <c r="E123" s="7">
        <f t="shared" ca="1" si="206"/>
        <v>895.87420980035665</v>
      </c>
      <c r="F123" s="7">
        <v>0</v>
      </c>
      <c r="G123" s="41"/>
      <c r="H123" s="7">
        <f>H118</f>
        <v>3000</v>
      </c>
      <c r="I123" s="6">
        <v>15</v>
      </c>
      <c r="J123" s="41">
        <f t="shared" ref="J123:J143" si="207">SQRT((((((((L123^2)*(0.2))/(661.477)^2) + 1)^(3.5) - 1)*(1/AR123) + 1)^(1/3.5) - 1)*(5))</f>
        <v>0.28713835631100121</v>
      </c>
      <c r="K123" s="41">
        <f t="shared" ref="K123:K143" si="208">SQRT((1.4*2116.22*AR123*(J123)^2)/AV123)</f>
        <v>325.57428482334547</v>
      </c>
      <c r="L123" s="6">
        <f>L118</f>
        <v>180</v>
      </c>
      <c r="M123" s="41">
        <f t="shared" ref="M123:M143" si="209">K123*0.592484</f>
        <v>192.89755456927503</v>
      </c>
      <c r="N123" s="41">
        <f t="shared" ref="N123:N143" si="210">0.5*AV123*K123^2</f>
        <v>109.46264517225482</v>
      </c>
      <c r="O123" s="41">
        <f t="shared" ref="O123:O143" si="211">P123/$B$7</f>
        <v>1756688.0948151206</v>
      </c>
      <c r="P123" s="41">
        <f t="shared" ref="P123:P143" si="212">(AV123*K123*$B$7)/(AW123)</f>
        <v>11279171.965623073</v>
      </c>
      <c r="Q123" s="41">
        <f t="shared" ref="Q123:Q143" si="213">0.455/(LOG10(P123)^2.58 * (1+0.144*J123*J123)^0.65)</f>
        <v>2.9240838430518376E-3</v>
      </c>
      <c r="R123" s="41">
        <f t="shared" ref="R123:R143" si="214">(((Q123*$B$4)+$B$17)+(0.1*(Q123*$B$4)))</f>
        <v>2.277736369419613E-2</v>
      </c>
      <c r="S123" s="24">
        <f ca="1">T123</f>
        <v>18.94973865761057</v>
      </c>
      <c r="T123" s="10">
        <f t="shared" ref="T123:T143" ca="1" si="215">DEGREES(ASIN(((AF123-X123)/(D123))))</f>
        <v>18.94973865761057</v>
      </c>
      <c r="U123" s="41">
        <f t="shared" ref="U123:U143" ca="1" si="216">(D123*COS(RADIANS(S123)))/(N123*$B$3)</f>
        <v>0.49426112631051089</v>
      </c>
      <c r="V123" s="41">
        <f t="shared" ref="V123:V143" ca="1" si="217">(X123)/(N123*$B$3)</f>
        <v>3.8206176143892961E-2</v>
      </c>
      <c r="W123" s="41">
        <f t="shared" ref="W123:W143" ca="1" si="218">U123/V123</f>
        <v>12.936681348298597</v>
      </c>
      <c r="X123" s="20">
        <f t="shared" ref="X123:X143" ca="1" si="219">(N123*$B$3*R123)+((N123*$B$3)*((U123^2)/(PI()*$B$6*$B$5)))</f>
        <v>961.89429360435315</v>
      </c>
      <c r="Y123" s="41">
        <f t="shared" ref="Y123:Y143" si="220">SQRT(PI()*$B$6*$B$5*R123)</f>
        <v>0.60053999049783546</v>
      </c>
      <c r="Z123" s="41">
        <f t="shared" ref="Z123:Z143" ca="1" si="221">SQRT((2*((U123*N123*$B$3)/(D123))*D123)/(AV123*$B$3*$B$18))</f>
        <v>147.74837112289529</v>
      </c>
      <c r="AA123" s="14">
        <f t="shared" ref="AA123:AA143" ca="1" si="222">D123/W123</f>
        <v>1017.0124975971847</v>
      </c>
      <c r="AB123" s="14">
        <f>$B$15*AR123*0.93</f>
        <v>5234.4042087224379</v>
      </c>
      <c r="AC123" s="25">
        <f t="shared" ref="AC123:AC143" ca="1" si="223">AA123*K123</f>
        <v>331113.11656160775</v>
      </c>
      <c r="AD123" s="41">
        <f t="shared" ref="AD123:AD143" si="224">AB123*K123</f>
        <v>1704187.4067311173</v>
      </c>
      <c r="AE123" s="6">
        <v>100</v>
      </c>
      <c r="AF123" s="41">
        <f t="shared" ref="AF123:AF143" si="225">AB123*(AE123/100)</f>
        <v>5234.4042087224379</v>
      </c>
      <c r="AG123" s="41">
        <f t="shared" ref="AG123:AG143" ca="1" si="226">AB123-AA123</f>
        <v>4217.3917111252531</v>
      </c>
      <c r="AH123" s="41">
        <f t="shared" ref="AH123:AH143" ca="1" si="227">AD123-AC123</f>
        <v>1373074.2901695096</v>
      </c>
      <c r="AI123" s="41">
        <f t="shared" ref="AI123:AI143" si="228">(AP123*AF123)</f>
        <v>3992.9947054057498</v>
      </c>
      <c r="AJ123" s="13">
        <f t="shared" ref="AJ123:AJ143" ca="1" si="229">K123*SIN(RADIANS(T123))</f>
        <v>105.72653611567979</v>
      </c>
      <c r="AK123" s="11"/>
      <c r="AL123" s="6">
        <v>350</v>
      </c>
      <c r="AM123" s="41">
        <f t="shared" ref="AM123:AM143" ca="1" si="230">AL123/AJ123</f>
        <v>3.3104271913065464</v>
      </c>
      <c r="AN123" s="41">
        <f t="shared" ref="AN123:AN143" ca="1" si="231">AI123*(AM123/3600)</f>
        <v>3.6718106243106297</v>
      </c>
      <c r="AO123" s="41">
        <f t="shared" ref="AO123:AO143" ca="1" si="232">M123*COS(RADIANS(T123))*(AM123/3600)</f>
        <v>0.16776807457004603</v>
      </c>
      <c r="AP123" s="67">
        <f>0.701 + 0.301*AZ123 + -0.0328*AZ123^2</f>
        <v>0.76283652277979519</v>
      </c>
      <c r="AQ123" s="11">
        <f t="shared" ref="AQ123:AQ143" si="233">IF(H123 &lt;= 36089, ((1 - 6.87535*10^(-6)*H123) + ((I123*1.8)/518.67)), 0.75187 + ((I123*1.8)/518.67))</f>
        <v>1.0314301707183759</v>
      </c>
      <c r="AR123" s="11">
        <f t="shared" ref="AR123:AR143" si="234">IF(H123 &lt;= 36089, (1 - 6.87535*10^(-6)*H123)^5.2561, 0.22336*EXP((36089 - H123)/(20806.7)))</f>
        <v>0.8962407041850623</v>
      </c>
      <c r="AS123" s="11">
        <f t="shared" ref="AS123:AS143" si="235">(AR123/AQ123)</f>
        <v>0.86893008332386068</v>
      </c>
      <c r="AT123" s="11">
        <f t="shared" ref="AT123:AT143" si="236">(518.67*AQ123)</f>
        <v>534.97188664650002</v>
      </c>
      <c r="AU123" s="11">
        <f t="shared" ref="AU123:AU143" si="237">2116.22*AR123</f>
        <v>1896.6425030105124</v>
      </c>
      <c r="AV123" s="11">
        <f t="shared" ref="AV123:AV143" si="238">(0.0023769*AS123)</f>
        <v>2.0653599150524844E-3</v>
      </c>
      <c r="AW123" s="11">
        <f t="shared" ref="AW123:AW143" si="239">((2.2697*10^-8)*(AT123^1.5))/(AT123+198.72)</f>
        <v>3.8278171249107636E-7</v>
      </c>
      <c r="AX123" s="41">
        <f t="shared" ref="AX123:AX143" ca="1" si="240">(1/U123)*(((1 + 0.2*(U123)^2)/1.2)^3)</f>
        <v>1.3509861646329382</v>
      </c>
      <c r="AY123" s="41">
        <f t="shared" ref="AY123:AY143" ca="1" si="241">($H$4/$H$3)*AX123</f>
        <v>1.8198052045452957</v>
      </c>
      <c r="AZ123" s="41">
        <f t="shared" ref="AZ123:AZ143" si="242">-6.6*10^(-3) + 0.825*J123 - 0.243*(J123^2)</f>
        <v>0.21025417408998501</v>
      </c>
      <c r="BA123" s="154">
        <f>2.12-0.00251*AF123+1.94*10^-6*AF123^2-7.84*10^-10*AF123^3+1.7*10^-13*AF123^4-1.89*10^-17*AF123^5+8.37*10^-22*AF123^6</f>
        <v>0.26471968006634228</v>
      </c>
    </row>
    <row r="124" spans="1:53" ht="14.5">
      <c r="A124" s="41">
        <f t="shared" ref="A124:A143" ca="1" si="243">A123+AM123</f>
        <v>15740.059800566611</v>
      </c>
      <c r="B124" s="41">
        <f t="shared" ca="1" si="205"/>
        <v>262.33433000944353</v>
      </c>
      <c r="C124" s="41">
        <f t="shared" ca="1" si="205"/>
        <v>4.3722388334907256</v>
      </c>
      <c r="D124" s="41">
        <f t="shared" ref="D124:D143" ca="1" si="244">D123-AN123</f>
        <v>13153.094798027761</v>
      </c>
      <c r="E124" s="41">
        <f t="shared" ref="E124:E143" ca="1" si="245">E123+AO123</f>
        <v>896.04197787492672</v>
      </c>
      <c r="F124" s="41">
        <f t="shared" ref="F124:F143" ca="1" si="246">F123+AO123</f>
        <v>0.16776807457004603</v>
      </c>
      <c r="G124" s="41"/>
      <c r="H124" s="7">
        <f t="shared" ref="H124:H143" si="247">H123+AL123</f>
        <v>3350</v>
      </c>
      <c r="I124" s="6">
        <v>15</v>
      </c>
      <c r="J124" s="41">
        <f t="shared" si="207"/>
        <v>0.29336731460688248</v>
      </c>
      <c r="K124" s="41">
        <f t="shared" si="208"/>
        <v>332.2487874423141</v>
      </c>
      <c r="L124" s="6">
        <f>L123+($L$148-$L$118)/20</f>
        <v>182.75</v>
      </c>
      <c r="M124" s="41">
        <f t="shared" si="209"/>
        <v>196.85209057897202</v>
      </c>
      <c r="N124" s="41">
        <f t="shared" si="210"/>
        <v>112.79539451075611</v>
      </c>
      <c r="O124" s="41">
        <f t="shared" si="211"/>
        <v>1777006.3125475037</v>
      </c>
      <c r="P124" s="41">
        <f t="shared" si="212"/>
        <v>11409629.200754868</v>
      </c>
      <c r="Q124" s="41">
        <f t="shared" si="213"/>
        <v>2.9177721163961045E-3</v>
      </c>
      <c r="R124" s="41">
        <f t="shared" si="214"/>
        <v>2.2738990697278156E-2</v>
      </c>
      <c r="S124" s="24">
        <f t="shared" ref="S124:S143" ca="1" si="248">T124</f>
        <v>18.616973671091191</v>
      </c>
      <c r="T124" s="10">
        <f t="shared" ca="1" si="215"/>
        <v>18.616973671091191</v>
      </c>
      <c r="U124" s="41">
        <f t="shared" ca="1" si="216"/>
        <v>0.48047152708101748</v>
      </c>
      <c r="V124" s="41">
        <f t="shared" ca="1" si="217"/>
        <v>3.7318902723328357E-2</v>
      </c>
      <c r="W124" s="41">
        <f t="shared" ca="1" si="218"/>
        <v>12.874749577796957</v>
      </c>
      <c r="X124" s="20">
        <f t="shared" ca="1" si="219"/>
        <v>968.16208173886116</v>
      </c>
      <c r="Y124" s="41">
        <f t="shared" si="220"/>
        <v>0.60003391276498963</v>
      </c>
      <c r="Z124" s="41">
        <f t="shared" ca="1" si="221"/>
        <v>148.65913859021097</v>
      </c>
      <c r="AA124" s="14">
        <f t="shared" ca="1" si="222"/>
        <v>1021.6194667359451</v>
      </c>
      <c r="AB124" s="14">
        <f t="shared" ref="AB124:AB143" si="249">$B$15*AR124*0.93</f>
        <v>5167.1569636999984</v>
      </c>
      <c r="AC124" s="25">
        <f t="shared" ca="1" si="223"/>
        <v>339431.82905048132</v>
      </c>
      <c r="AD124" s="41">
        <f t="shared" si="224"/>
        <v>1716781.6357134338</v>
      </c>
      <c r="AE124" s="6">
        <v>100</v>
      </c>
      <c r="AF124" s="41">
        <f t="shared" si="225"/>
        <v>5167.1569636999984</v>
      </c>
      <c r="AG124" s="41">
        <f t="shared" ca="1" si="226"/>
        <v>4145.5374969640534</v>
      </c>
      <c r="AH124" s="41">
        <f t="shared" ca="1" si="227"/>
        <v>1377349.8066629525</v>
      </c>
      <c r="AI124" s="41">
        <f t="shared" si="228"/>
        <v>3948.015328230194</v>
      </c>
      <c r="AJ124" s="13">
        <f t="shared" ca="1" si="229"/>
        <v>106.0671256028095</v>
      </c>
      <c r="AK124" s="11"/>
      <c r="AL124" s="6">
        <v>350</v>
      </c>
      <c r="AM124" s="41">
        <f t="shared" ca="1" si="230"/>
        <v>3.2997971615696282</v>
      </c>
      <c r="AN124" s="41">
        <f t="shared" ca="1" si="231"/>
        <v>3.6187916038687162</v>
      </c>
      <c r="AO124" s="41">
        <f t="shared" ca="1" si="232"/>
        <v>0.17099510764280185</v>
      </c>
      <c r="AP124" s="67">
        <f t="shared" ref="AP124:AP142" si="250">0.701 + 0.301*AZ124 + -0.0328*AZ124^2</f>
        <v>0.7640594926698675</v>
      </c>
      <c r="AQ124" s="11">
        <f t="shared" si="233"/>
        <v>1.0290237982183759</v>
      </c>
      <c r="AR124" s="11">
        <f t="shared" si="234"/>
        <v>0.8847265536093416</v>
      </c>
      <c r="AS124" s="11">
        <f t="shared" si="235"/>
        <v>0.85977268469508028</v>
      </c>
      <c r="AT124" s="11">
        <f t="shared" si="236"/>
        <v>533.72377342192499</v>
      </c>
      <c r="AU124" s="11">
        <f t="shared" si="237"/>
        <v>1872.2760272791606</v>
      </c>
      <c r="AV124" s="11">
        <f t="shared" si="238"/>
        <v>2.0435936942517362E-3</v>
      </c>
      <c r="AW124" s="11">
        <f t="shared" si="239"/>
        <v>3.8209291781665951E-7</v>
      </c>
      <c r="AX124" s="41">
        <f t="shared" ca="1" si="240"/>
        <v>1.3791011196026433</v>
      </c>
      <c r="AY124" s="41">
        <f t="shared" ca="1" si="241"/>
        <v>1.8576766074647526</v>
      </c>
      <c r="AZ124" s="41">
        <f t="shared" si="242"/>
        <v>0.21451438989972221</v>
      </c>
      <c r="BA124" s="154">
        <f t="shared" ref="BA124:BA142" si="251">2.12-0.00251*AF124+1.94*10^-6*AF124^2-7.84*10^-10*AF124^3+1.7*10^-13*AF124^4-1.89*10^-17*AF124^5+8.37*10^-22*AF124^6</f>
        <v>0.2862208859334352</v>
      </c>
    </row>
    <row r="125" spans="1:53" ht="14.5">
      <c r="A125" s="41">
        <f t="shared" ca="1" si="243"/>
        <v>15743.35959772818</v>
      </c>
      <c r="B125" s="41">
        <f t="shared" ca="1" si="205"/>
        <v>262.38932662880302</v>
      </c>
      <c r="C125" s="41">
        <f t="shared" ca="1" si="205"/>
        <v>4.3731554438133839</v>
      </c>
      <c r="D125" s="41">
        <f t="shared" ca="1" si="244"/>
        <v>13149.476006423893</v>
      </c>
      <c r="E125" s="41">
        <f t="shared" ca="1" si="245"/>
        <v>896.21297298256957</v>
      </c>
      <c r="F125" s="41">
        <f t="shared" ca="1" si="246"/>
        <v>0.33876318221284785</v>
      </c>
      <c r="G125" s="41"/>
      <c r="H125" s="7">
        <f t="shared" si="247"/>
        <v>3700</v>
      </c>
      <c r="I125" s="6">
        <v>15</v>
      </c>
      <c r="J125" s="41">
        <f t="shared" si="207"/>
        <v>0.29966517763673856</v>
      </c>
      <c r="K125" s="41">
        <f t="shared" si="208"/>
        <v>338.98428456624777</v>
      </c>
      <c r="L125" s="6">
        <f t="shared" ref="L125:L143" si="252">L124+($L$148-$L$118)/20</f>
        <v>185.5</v>
      </c>
      <c r="M125" s="41">
        <f t="shared" si="209"/>
        <v>200.84276485694875</v>
      </c>
      <c r="N125" s="41">
        <f t="shared" si="210"/>
        <v>116.17455662400374</v>
      </c>
      <c r="O125" s="41">
        <f t="shared" si="211"/>
        <v>1797119.5187735665</v>
      </c>
      <c r="P125" s="41">
        <f t="shared" si="212"/>
        <v>11538770.117957747</v>
      </c>
      <c r="Q125" s="41">
        <f t="shared" si="213"/>
        <v>2.9115593787813927E-3</v>
      </c>
      <c r="R125" s="41">
        <f t="shared" si="214"/>
        <v>2.2701219517639863E-2</v>
      </c>
      <c r="S125" s="24">
        <f t="shared" ca="1" si="248"/>
        <v>18.284998970343626</v>
      </c>
      <c r="T125" s="10">
        <f t="shared" ca="1" si="215"/>
        <v>18.284998970343626</v>
      </c>
      <c r="U125" s="41">
        <f t="shared" ca="1" si="216"/>
        <v>0.4672701700697327</v>
      </c>
      <c r="V125" s="41">
        <f t="shared" ca="1" si="217"/>
        <v>3.6490947682529279E-2</v>
      </c>
      <c r="W125" s="41">
        <f t="shared" ca="1" si="218"/>
        <v>12.805098243404816</v>
      </c>
      <c r="X125" s="20">
        <f t="shared" ca="1" si="219"/>
        <v>975.04352359573795</v>
      </c>
      <c r="Y125" s="41">
        <f t="shared" si="220"/>
        <v>0.59953535483680942</v>
      </c>
      <c r="Z125" s="41">
        <f t="shared" ca="1" si="221"/>
        <v>149.57464209158402</v>
      </c>
      <c r="AA125" s="14">
        <f t="shared" ca="1" si="222"/>
        <v>1026.893800927802</v>
      </c>
      <c r="AB125" s="14">
        <f t="shared" si="249"/>
        <v>5100.6110029829915</v>
      </c>
      <c r="AC125" s="25">
        <f t="shared" ca="1" si="223"/>
        <v>348100.86043302581</v>
      </c>
      <c r="AD125" s="41">
        <f t="shared" si="224"/>
        <v>1729026.9716969209</v>
      </c>
      <c r="AE125" s="6">
        <v>100</v>
      </c>
      <c r="AF125" s="41">
        <f t="shared" si="225"/>
        <v>5100.6110029829915</v>
      </c>
      <c r="AG125" s="41">
        <f t="shared" ca="1" si="226"/>
        <v>4073.7172020551898</v>
      </c>
      <c r="AH125" s="41">
        <f t="shared" ca="1" si="227"/>
        <v>1380926.1112638952</v>
      </c>
      <c r="AI125" s="41">
        <f t="shared" si="228"/>
        <v>3903.4429495114787</v>
      </c>
      <c r="AJ125" s="13">
        <f t="shared" ca="1" si="229"/>
        <v>106.35424101665028</v>
      </c>
      <c r="AK125" s="11"/>
      <c r="AL125" s="6">
        <v>350</v>
      </c>
      <c r="AM125" s="41">
        <f t="shared" ca="1" si="230"/>
        <v>3.2908889824638567</v>
      </c>
      <c r="AN125" s="41">
        <f t="shared" ca="1" si="231"/>
        <v>3.5682770545065408</v>
      </c>
      <c r="AO125" s="41">
        <f t="shared" ca="1" si="232"/>
        <v>0.17432729531195681</v>
      </c>
      <c r="AP125" s="67">
        <f t="shared" si="250"/>
        <v>0.76528928538730501</v>
      </c>
      <c r="AQ125" s="11">
        <f t="shared" si="233"/>
        <v>1.0266174257183758</v>
      </c>
      <c r="AR125" s="11">
        <f t="shared" si="234"/>
        <v>0.87333247773833833</v>
      </c>
      <c r="AS125" s="11">
        <f t="shared" si="235"/>
        <v>0.85068931800687464</v>
      </c>
      <c r="AT125" s="11">
        <f t="shared" si="236"/>
        <v>532.47566019734995</v>
      </c>
      <c r="AU125" s="11">
        <f t="shared" si="237"/>
        <v>1848.1636560394261</v>
      </c>
      <c r="AV125" s="11">
        <f t="shared" si="238"/>
        <v>2.0220034399705401E-3</v>
      </c>
      <c r="AW125" s="11">
        <f t="shared" si="239"/>
        <v>3.8140334147428954E-7</v>
      </c>
      <c r="AX125" s="41">
        <f t="shared" ca="1" si="240"/>
        <v>1.407912485900237</v>
      </c>
      <c r="AY125" s="41">
        <f t="shared" ca="1" si="241"/>
        <v>1.8964860902788625</v>
      </c>
      <c r="AZ125" s="41">
        <f t="shared" si="242"/>
        <v>0.2188025614091112</v>
      </c>
      <c r="BA125" s="154">
        <f t="shared" si="251"/>
        <v>0.30657083149941222</v>
      </c>
    </row>
    <row r="126" spans="1:53" ht="14.5">
      <c r="A126" s="41">
        <f t="shared" ca="1" si="243"/>
        <v>15746.650486710643</v>
      </c>
      <c r="B126" s="41">
        <f t="shared" ca="1" si="205"/>
        <v>262.44417477851073</v>
      </c>
      <c r="C126" s="41">
        <f t="shared" ca="1" si="205"/>
        <v>4.3740695796418452</v>
      </c>
      <c r="D126" s="41">
        <f t="shared" ca="1" si="244"/>
        <v>13145.907729369386</v>
      </c>
      <c r="E126" s="41">
        <f t="shared" ca="1" si="245"/>
        <v>896.38730027788154</v>
      </c>
      <c r="F126" s="41">
        <f t="shared" ca="1" si="246"/>
        <v>0.51309047752480463</v>
      </c>
      <c r="G126" s="41"/>
      <c r="H126" s="7">
        <f t="shared" si="247"/>
        <v>4050</v>
      </c>
      <c r="I126" s="6">
        <v>15</v>
      </c>
      <c r="J126" s="41">
        <f t="shared" si="207"/>
        <v>0.30603256446368543</v>
      </c>
      <c r="K126" s="41">
        <f t="shared" si="208"/>
        <v>345.78117084898116</v>
      </c>
      <c r="L126" s="6">
        <f t="shared" si="252"/>
        <v>188.25</v>
      </c>
      <c r="M126" s="41">
        <f t="shared" si="209"/>
        <v>204.86981122928776</v>
      </c>
      <c r="N126" s="41">
        <f t="shared" si="210"/>
        <v>119.59977990587626</v>
      </c>
      <c r="O126" s="41">
        <f t="shared" si="211"/>
        <v>1817026.8723761521</v>
      </c>
      <c r="P126" s="41">
        <f t="shared" si="212"/>
        <v>11666589.316668523</v>
      </c>
      <c r="Q126" s="41">
        <f t="shared" si="213"/>
        <v>2.9054411803845059E-3</v>
      </c>
      <c r="R126" s="41">
        <f t="shared" si="214"/>
        <v>2.2664023101978546E-2</v>
      </c>
      <c r="S126" s="24">
        <f t="shared" ca="1" si="248"/>
        <v>17.953897532991199</v>
      </c>
      <c r="T126" s="10">
        <f t="shared" ca="1" si="215"/>
        <v>17.953897532991199</v>
      </c>
      <c r="U126" s="41">
        <f t="shared" ca="1" si="216"/>
        <v>0.45462370475234504</v>
      </c>
      <c r="V126" s="41">
        <f t="shared" ca="1" si="217"/>
        <v>3.5717426043763621E-2</v>
      </c>
      <c r="W126" s="41">
        <f t="shared" ca="1" si="218"/>
        <v>12.728344539589907</v>
      </c>
      <c r="X126" s="20">
        <f t="shared" ca="1" si="219"/>
        <v>982.51314753686461</v>
      </c>
      <c r="Y126" s="41">
        <f t="shared" si="220"/>
        <v>0.59904397795900122</v>
      </c>
      <c r="Z126" s="41">
        <f t="shared" ca="1" si="221"/>
        <v>150.49489144727656</v>
      </c>
      <c r="AA126" s="14">
        <f t="shared" ca="1" si="222"/>
        <v>1032.8057736401386</v>
      </c>
      <c r="AB126" s="14">
        <f t="shared" si="249"/>
        <v>5034.7607178166854</v>
      </c>
      <c r="AC126" s="25">
        <f t="shared" ca="1" si="223"/>
        <v>357124.78966887493</v>
      </c>
      <c r="AD126" s="41">
        <f t="shared" si="224"/>
        <v>1740925.4559511102</v>
      </c>
      <c r="AE126" s="6">
        <v>100</v>
      </c>
      <c r="AF126" s="41">
        <f t="shared" si="225"/>
        <v>5034.7607178166854</v>
      </c>
      <c r="AG126" s="41">
        <f t="shared" ca="1" si="226"/>
        <v>4001.9549441765466</v>
      </c>
      <c r="AH126" s="41">
        <f t="shared" ca="1" si="227"/>
        <v>1383800.6662822352</v>
      </c>
      <c r="AI126" s="41">
        <f t="shared" si="228"/>
        <v>3859.274067809903</v>
      </c>
      <c r="AJ126" s="13">
        <f t="shared" ca="1" si="229"/>
        <v>106.58761176992616</v>
      </c>
      <c r="AK126" s="11"/>
      <c r="AL126" s="6">
        <v>350</v>
      </c>
      <c r="AM126" s="41">
        <f t="shared" ca="1" si="230"/>
        <v>3.2836836681873476</v>
      </c>
      <c r="AN126" s="41">
        <f t="shared" ca="1" si="231"/>
        <v>3.5201764520906469</v>
      </c>
      <c r="AO126" s="41">
        <f t="shared" ca="1" si="232"/>
        <v>0.17776918976111405</v>
      </c>
      <c r="AP126" s="67">
        <f t="shared" si="250"/>
        <v>0.76652581604383974</v>
      </c>
      <c r="AQ126" s="11">
        <f t="shared" si="233"/>
        <v>1.0242110532183759</v>
      </c>
      <c r="AR126" s="11">
        <f t="shared" si="234"/>
        <v>0.86205751623462168</v>
      </c>
      <c r="AS126" s="11">
        <f t="shared" si="235"/>
        <v>0.8416795674346419</v>
      </c>
      <c r="AT126" s="11">
        <f t="shared" si="236"/>
        <v>531.22754697277503</v>
      </c>
      <c r="AU126" s="11">
        <f t="shared" si="237"/>
        <v>1824.3033570060309</v>
      </c>
      <c r="AV126" s="11">
        <f t="shared" si="238"/>
        <v>2.0005881638354003E-3</v>
      </c>
      <c r="AW126" s="11">
        <f t="shared" si="239"/>
        <v>3.8071298129619079E-7</v>
      </c>
      <c r="AX126" s="41">
        <f t="shared" ca="1" si="240"/>
        <v>1.4373995742523444</v>
      </c>
      <c r="AY126" s="41">
        <f t="shared" ca="1" si="241"/>
        <v>1.9362057841253435</v>
      </c>
      <c r="AZ126" s="41">
        <f t="shared" si="242"/>
        <v>0.22311847456807107</v>
      </c>
      <c r="BA126" s="154">
        <f t="shared" si="251"/>
        <v>0.32581620863209615</v>
      </c>
    </row>
    <row r="127" spans="1:53" ht="14.5">
      <c r="A127" s="41">
        <f t="shared" ca="1" si="243"/>
        <v>15749.93417037883</v>
      </c>
      <c r="B127" s="41">
        <f t="shared" ca="1" si="205"/>
        <v>262.4989028396472</v>
      </c>
      <c r="C127" s="41">
        <f t="shared" ca="1" si="205"/>
        <v>4.3749817139941198</v>
      </c>
      <c r="D127" s="41">
        <f t="shared" ca="1" si="244"/>
        <v>13142.387552917296</v>
      </c>
      <c r="E127" s="41">
        <f t="shared" ca="1" si="245"/>
        <v>896.56506946764262</v>
      </c>
      <c r="F127" s="41">
        <f t="shared" ca="1" si="246"/>
        <v>0.69085966728591863</v>
      </c>
      <c r="G127" s="41"/>
      <c r="H127" s="7">
        <f t="shared" si="247"/>
        <v>4400</v>
      </c>
      <c r="I127" s="6">
        <v>15</v>
      </c>
      <c r="J127" s="41">
        <f t="shared" si="207"/>
        <v>0.31247009207247756</v>
      </c>
      <c r="K127" s="41">
        <f t="shared" si="208"/>
        <v>352.6398345197228</v>
      </c>
      <c r="L127" s="6">
        <f t="shared" si="252"/>
        <v>191</v>
      </c>
      <c r="M127" s="41">
        <f t="shared" si="209"/>
        <v>208.93345971558344</v>
      </c>
      <c r="N127" s="41">
        <f t="shared" si="210"/>
        <v>123.07069507601375</v>
      </c>
      <c r="O127" s="41">
        <f t="shared" si="211"/>
        <v>1836727.5033735516</v>
      </c>
      <c r="P127" s="41">
        <f t="shared" si="212"/>
        <v>11793081.210993303</v>
      </c>
      <c r="Q127" s="41">
        <f t="shared" si="213"/>
        <v>2.8994132507073841E-3</v>
      </c>
      <c r="R127" s="41">
        <f t="shared" si="214"/>
        <v>2.2627375487222944E-2</v>
      </c>
      <c r="S127" s="24">
        <f t="shared" ca="1" si="248"/>
        <v>17.623744523792158</v>
      </c>
      <c r="T127" s="10">
        <f t="shared" ca="1" si="215"/>
        <v>17.623744523792158</v>
      </c>
      <c r="U127" s="41">
        <f t="shared" ca="1" si="216"/>
        <v>0.44250117473747685</v>
      </c>
      <c r="V127" s="41">
        <f t="shared" ca="1" si="217"/>
        <v>3.4993922328602538E-2</v>
      </c>
      <c r="W127" s="41">
        <f t="shared" ca="1" si="218"/>
        <v>12.645086497657203</v>
      </c>
      <c r="X127" s="20">
        <f t="shared" ca="1" si="219"/>
        <v>990.54705921594484</v>
      </c>
      <c r="Y127" s="41">
        <f t="shared" si="220"/>
        <v>0.5985594564180019</v>
      </c>
      <c r="Z127" s="41">
        <f t="shared" ca="1" si="221"/>
        <v>151.41990248997192</v>
      </c>
      <c r="AA127" s="14">
        <f t="shared" ca="1" si="222"/>
        <v>1039.327611982111</v>
      </c>
      <c r="AB127" s="14">
        <f t="shared" si="249"/>
        <v>4969.6005306042962</v>
      </c>
      <c r="AC127" s="25">
        <f t="shared" ca="1" si="223"/>
        <v>366508.31710115029</v>
      </c>
      <c r="AD127" s="41">
        <f t="shared" si="224"/>
        <v>1752479.1087414257</v>
      </c>
      <c r="AE127" s="6">
        <v>100</v>
      </c>
      <c r="AF127" s="41">
        <f t="shared" si="225"/>
        <v>4969.6005306042962</v>
      </c>
      <c r="AG127" s="41">
        <f t="shared" ca="1" si="226"/>
        <v>3930.272918622185</v>
      </c>
      <c r="AH127" s="41">
        <f t="shared" ca="1" si="227"/>
        <v>1385970.7916402754</v>
      </c>
      <c r="AI127" s="41">
        <f t="shared" si="228"/>
        <v>3815.505206149996</v>
      </c>
      <c r="AJ127" s="13">
        <f t="shared" ca="1" si="229"/>
        <v>106.76695935542139</v>
      </c>
      <c r="AK127" s="11"/>
      <c r="AL127" s="6">
        <v>350</v>
      </c>
      <c r="AM127" s="41">
        <f t="shared" ca="1" si="230"/>
        <v>3.2781677226085373</v>
      </c>
      <c r="AN127" s="41">
        <f t="shared" ca="1" si="231"/>
        <v>3.4744072256238194</v>
      </c>
      <c r="AO127" s="41">
        <f t="shared" ca="1" si="232"/>
        <v>0.18132567899409355</v>
      </c>
      <c r="AP127" s="67">
        <f t="shared" si="250"/>
        <v>0.76776899524478204</v>
      </c>
      <c r="AQ127" s="11">
        <f t="shared" si="233"/>
        <v>1.0218046807183758</v>
      </c>
      <c r="AR127" s="11">
        <f t="shared" si="234"/>
        <v>0.85090071409566059</v>
      </c>
      <c r="AS127" s="11">
        <f t="shared" si="235"/>
        <v>0.83274301845773313</v>
      </c>
      <c r="AT127" s="11">
        <f t="shared" si="236"/>
        <v>529.97943374819999</v>
      </c>
      <c r="AU127" s="11">
        <f t="shared" si="237"/>
        <v>1800.6931091835188</v>
      </c>
      <c r="AV127" s="11">
        <f t="shared" si="238"/>
        <v>1.9793468805721858E-3</v>
      </c>
      <c r="AW127" s="11">
        <f t="shared" si="239"/>
        <v>3.8002183510623204E-7</v>
      </c>
      <c r="AX127" s="41">
        <f t="shared" ca="1" si="240"/>
        <v>1.4675433052159699</v>
      </c>
      <c r="AY127" s="41">
        <f t="shared" ca="1" si="241"/>
        <v>1.9768099886154191</v>
      </c>
      <c r="AZ127" s="41">
        <f t="shared" si="242"/>
        <v>0.22746189925892682</v>
      </c>
      <c r="BA127" s="154">
        <f t="shared" si="251"/>
        <v>0.34400864514781482</v>
      </c>
    </row>
    <row r="128" spans="1:53" ht="14.5">
      <c r="A128" s="41">
        <f t="shared" ca="1" si="243"/>
        <v>15753.212338101439</v>
      </c>
      <c r="B128" s="41">
        <f t="shared" ca="1" si="205"/>
        <v>262.55353896835732</v>
      </c>
      <c r="C128" s="41">
        <f t="shared" ca="1" si="205"/>
        <v>4.3758923161392884</v>
      </c>
      <c r="D128" s="41">
        <f t="shared" ca="1" si="244"/>
        <v>13138.913145691673</v>
      </c>
      <c r="E128" s="41">
        <f t="shared" ca="1" si="245"/>
        <v>896.7463951466367</v>
      </c>
      <c r="F128" s="41">
        <f t="shared" ca="1" si="246"/>
        <v>0.87218534628001221</v>
      </c>
      <c r="G128" s="41"/>
      <c r="H128" s="7">
        <f t="shared" si="247"/>
        <v>4750</v>
      </c>
      <c r="I128" s="6">
        <v>15</v>
      </c>
      <c r="J128" s="41">
        <f t="shared" si="207"/>
        <v>0.31897837503200854</v>
      </c>
      <c r="K128" s="41">
        <f t="shared" si="208"/>
        <v>359.56065700186934</v>
      </c>
      <c r="L128" s="6">
        <f t="shared" si="252"/>
        <v>193.75</v>
      </c>
      <c r="M128" s="41">
        <f t="shared" si="209"/>
        <v>213.03393630309557</v>
      </c>
      <c r="N128" s="41">
        <f t="shared" si="210"/>
        <v>126.58691463622566</v>
      </c>
      <c r="O128" s="41">
        <f t="shared" si="211"/>
        <v>1856220.5129371211</v>
      </c>
      <c r="P128" s="41">
        <f t="shared" si="212"/>
        <v>11918240.029820601</v>
      </c>
      <c r="Q128" s="41">
        <f t="shared" si="213"/>
        <v>2.8934714873964369E-3</v>
      </c>
      <c r="R128" s="41">
        <f t="shared" si="214"/>
        <v>2.2591251732558888E-2</v>
      </c>
      <c r="S128" s="24">
        <f t="shared" ca="1" si="248"/>
        <v>17.29460809736613</v>
      </c>
      <c r="T128" s="10">
        <f t="shared" ca="1" si="215"/>
        <v>17.29460809736613</v>
      </c>
      <c r="U128" s="41">
        <f t="shared" ca="1" si="216"/>
        <v>0.43087381095755056</v>
      </c>
      <c r="V128" s="41">
        <f t="shared" ca="1" si="217"/>
        <v>3.4316438973160973E-2</v>
      </c>
      <c r="W128" s="41">
        <f t="shared" ca="1" si="218"/>
        <v>12.555901015677609</v>
      </c>
      <c r="X128" s="20">
        <f t="shared" ca="1" si="219"/>
        <v>999.12279011039834</v>
      </c>
      <c r="Y128" s="41">
        <f t="shared" si="220"/>
        <v>0.59808147673302814</v>
      </c>
      <c r="Z128" s="41">
        <f t="shared" ca="1" si="221"/>
        <v>152.34969651287426</v>
      </c>
      <c r="AA128" s="14">
        <f t="shared" ca="1" si="222"/>
        <v>1046.4333168353351</v>
      </c>
      <c r="AB128" s="14">
        <f t="shared" si="249"/>
        <v>4905.1248948103803</v>
      </c>
      <c r="AC128" s="25">
        <f t="shared" ca="1" si="223"/>
        <v>376256.25090995838</v>
      </c>
      <c r="AD128" s="41">
        <f t="shared" si="224"/>
        <v>1763689.9298542456</v>
      </c>
      <c r="AE128" s="6">
        <v>100</v>
      </c>
      <c r="AF128" s="41">
        <f t="shared" si="225"/>
        <v>4905.1248948103803</v>
      </c>
      <c r="AG128" s="41">
        <f t="shared" ca="1" si="226"/>
        <v>3858.6915779750452</v>
      </c>
      <c r="AH128" s="41">
        <f t="shared" ca="1" si="227"/>
        <v>1387433.6789442874</v>
      </c>
      <c r="AI128" s="41">
        <f t="shared" si="228"/>
        <v>3772.1329121965782</v>
      </c>
      <c r="AJ128" s="13">
        <f t="shared" ca="1" si="229"/>
        <v>106.89199840529702</v>
      </c>
      <c r="AK128" s="11"/>
      <c r="AL128" s="6">
        <v>350</v>
      </c>
      <c r="AM128" s="41">
        <f t="shared" ca="1" si="230"/>
        <v>3.2743330204466998</v>
      </c>
      <c r="AN128" s="41">
        <f t="shared" ca="1" si="231"/>
        <v>3.4308942644219522</v>
      </c>
      <c r="AO128" s="41">
        <f t="shared" ca="1" si="232"/>
        <v>0.18500200961992713</v>
      </c>
      <c r="AP128" s="67">
        <f t="shared" si="250"/>
        <v>0.76901872900066071</v>
      </c>
      <c r="AQ128" s="11">
        <f t="shared" si="233"/>
        <v>1.0193983082183757</v>
      </c>
      <c r="AR128" s="11">
        <f t="shared" si="234"/>
        <v>0.83986112163728166</v>
      </c>
      <c r="AS128" s="11">
        <f t="shared" si="235"/>
        <v>0.8238792578586136</v>
      </c>
      <c r="AT128" s="11">
        <f t="shared" si="236"/>
        <v>528.73132052362485</v>
      </c>
      <c r="AU128" s="11">
        <f t="shared" si="237"/>
        <v>1777.3309028312481</v>
      </c>
      <c r="AV128" s="11">
        <f t="shared" si="238"/>
        <v>1.9582786080041387E-3</v>
      </c>
      <c r="AW128" s="11">
        <f t="shared" si="239"/>
        <v>3.7932990071989691E-7</v>
      </c>
      <c r="AX128" s="41">
        <f t="shared" ca="1" si="240"/>
        <v>1.4983260058814039</v>
      </c>
      <c r="AY128" s="41">
        <f t="shared" ca="1" si="241"/>
        <v>2.0182748979885932</v>
      </c>
      <c r="AZ128" s="41">
        <f t="shared" si="242"/>
        <v>0.2318325888930583</v>
      </c>
      <c r="BA128" s="154">
        <f t="shared" si="251"/>
        <v>0.36120314990113833</v>
      </c>
    </row>
    <row r="129" spans="1:53" ht="14.5">
      <c r="A129" s="41">
        <f t="shared" ca="1" si="243"/>
        <v>15756.486671121886</v>
      </c>
      <c r="B129" s="41">
        <f t="shared" ca="1" si="205"/>
        <v>262.60811118536475</v>
      </c>
      <c r="C129" s="41">
        <f t="shared" ca="1" si="205"/>
        <v>4.3768018530894128</v>
      </c>
      <c r="D129" s="41">
        <f t="shared" ca="1" si="244"/>
        <v>13135.482251427251</v>
      </c>
      <c r="E129" s="41">
        <f t="shared" ca="1" si="245"/>
        <v>896.93139715625659</v>
      </c>
      <c r="F129" s="41">
        <f t="shared" ca="1" si="246"/>
        <v>1.0571873558999394</v>
      </c>
      <c r="G129" s="41"/>
      <c r="H129" s="7">
        <f t="shared" si="247"/>
        <v>5100</v>
      </c>
      <c r="I129" s="6">
        <v>15</v>
      </c>
      <c r="J129" s="41">
        <f t="shared" si="207"/>
        <v>0.32555802514884485</v>
      </c>
      <c r="K129" s="41">
        <f t="shared" si="208"/>
        <v>366.54401252435537</v>
      </c>
      <c r="L129" s="6">
        <f t="shared" si="252"/>
        <v>196.5</v>
      </c>
      <c r="M129" s="41">
        <f t="shared" si="209"/>
        <v>217.17146271648016</v>
      </c>
      <c r="N129" s="41">
        <f t="shared" si="210"/>
        <v>130.14803232366486</v>
      </c>
      <c r="O129" s="41">
        <f t="shared" si="211"/>
        <v>1875504.9734391675</v>
      </c>
      <c r="P129" s="41">
        <f t="shared" si="212"/>
        <v>12042059.817128796</v>
      </c>
      <c r="Q129" s="41">
        <f t="shared" si="213"/>
        <v>2.8876119459091921E-3</v>
      </c>
      <c r="R129" s="41">
        <f t="shared" si="214"/>
        <v>2.2555627856606256E-2</v>
      </c>
      <c r="S129" s="24">
        <f t="shared" ca="1" si="248"/>
        <v>16.966550117160949</v>
      </c>
      <c r="T129" s="10">
        <f t="shared" ca="1" si="215"/>
        <v>16.966550117160949</v>
      </c>
      <c r="U129" s="41">
        <f t="shared" ca="1" si="216"/>
        <v>0.4197148456814776</v>
      </c>
      <c r="V129" s="41">
        <f t="shared" ca="1" si="217"/>
        <v>3.3681351102055043E-2</v>
      </c>
      <c r="W129" s="41">
        <f t="shared" ca="1" si="218"/>
        <v>12.461342314022225</v>
      </c>
      <c r="X129" s="20">
        <f t="shared" ca="1" si="219"/>
        <v>1008.2191615450421</v>
      </c>
      <c r="Y129" s="41">
        <f t="shared" si="220"/>
        <v>0.59760973690859009</v>
      </c>
      <c r="Z129" s="41">
        <f t="shared" ca="1" si="221"/>
        <v>153.2842997772747</v>
      </c>
      <c r="AA129" s="14">
        <f t="shared" ca="1" si="222"/>
        <v>1054.0985008209304</v>
      </c>
      <c r="AB129" s="14">
        <f t="shared" si="249"/>
        <v>4841.32829486429</v>
      </c>
      <c r="AC129" s="25">
        <f t="shared" ca="1" si="223"/>
        <v>386373.49408681132</v>
      </c>
      <c r="AD129" s="41">
        <f t="shared" si="224"/>
        <v>1774559.8991472523</v>
      </c>
      <c r="AE129" s="6">
        <v>100</v>
      </c>
      <c r="AF129" s="41">
        <f t="shared" si="225"/>
        <v>4841.32829486429</v>
      </c>
      <c r="AG129" s="41">
        <f t="shared" ca="1" si="226"/>
        <v>3787.2297940433596</v>
      </c>
      <c r="AH129" s="41">
        <f t="shared" ca="1" si="227"/>
        <v>1388186.405060441</v>
      </c>
      <c r="AI129" s="41">
        <f t="shared" si="228"/>
        <v>3729.1537584355342</v>
      </c>
      <c r="AJ129" s="13">
        <f t="shared" ca="1" si="229"/>
        <v>106.96243771468149</v>
      </c>
      <c r="AK129" s="11"/>
      <c r="AL129" s="6">
        <v>350</v>
      </c>
      <c r="AM129" s="41">
        <f t="shared" ca="1" si="230"/>
        <v>3.2721767330472833</v>
      </c>
      <c r="AN129" s="41">
        <f t="shared" ca="1" si="231"/>
        <v>3.389569489530162</v>
      </c>
      <c r="AO129" s="41">
        <f t="shared" ca="1" si="232"/>
        <v>0.18880381234868185</v>
      </c>
      <c r="AP129" s="67">
        <f t="shared" si="250"/>
        <v>0.77027491863987885</v>
      </c>
      <c r="AQ129" s="11">
        <f t="shared" si="233"/>
        <v>1.0169919357183759</v>
      </c>
      <c r="AR129" s="11">
        <f t="shared" si="234"/>
        <v>0.82893779447714022</v>
      </c>
      <c r="AS129" s="11">
        <f t="shared" si="235"/>
        <v>0.81508787372202784</v>
      </c>
      <c r="AT129" s="11">
        <f t="shared" si="236"/>
        <v>527.48320729904992</v>
      </c>
      <c r="AU129" s="11">
        <f t="shared" si="237"/>
        <v>1754.2147394284136</v>
      </c>
      <c r="AV129" s="11">
        <f t="shared" si="238"/>
        <v>1.937382367049888E-3</v>
      </c>
      <c r="AW129" s="11">
        <f t="shared" si="239"/>
        <v>3.7863717594424859E-7</v>
      </c>
      <c r="AX129" s="41">
        <f t="shared" ca="1" si="240"/>
        <v>1.5297312326965544</v>
      </c>
      <c r="AY129" s="41">
        <f t="shared" ca="1" si="241"/>
        <v>2.0605783624535046</v>
      </c>
      <c r="AZ129" s="41">
        <f t="shared" si="242"/>
        <v>0.23623028000726473</v>
      </c>
      <c r="BA129" s="154">
        <f t="shared" si="251"/>
        <v>0.37745678686669848</v>
      </c>
    </row>
    <row r="130" spans="1:53" ht="14.5">
      <c r="A130" s="41">
        <f t="shared" ca="1" si="243"/>
        <v>15759.758847854933</v>
      </c>
      <c r="B130" s="41">
        <f t="shared" ca="1" si="205"/>
        <v>262.66264746424889</v>
      </c>
      <c r="C130" s="41">
        <f t="shared" ca="1" si="205"/>
        <v>4.3777107910708146</v>
      </c>
      <c r="D130" s="41">
        <f t="shared" ca="1" si="244"/>
        <v>13132.09268193772</v>
      </c>
      <c r="E130" s="41">
        <f t="shared" ca="1" si="245"/>
        <v>897.12020096860533</v>
      </c>
      <c r="F130" s="41">
        <f t="shared" ca="1" si="246"/>
        <v>1.2459911682486213</v>
      </c>
      <c r="G130" s="41"/>
      <c r="H130" s="7">
        <f t="shared" si="247"/>
        <v>5450</v>
      </c>
      <c r="I130" s="6">
        <v>15</v>
      </c>
      <c r="J130" s="41">
        <f t="shared" si="207"/>
        <v>0.33220965111188555</v>
      </c>
      <c r="K130" s="41">
        <f t="shared" si="208"/>
        <v>373.59026772573736</v>
      </c>
      <c r="L130" s="6">
        <f t="shared" si="252"/>
        <v>199.25</v>
      </c>
      <c r="M130" s="41">
        <f t="shared" si="209"/>
        <v>221.34625618321579</v>
      </c>
      <c r="N130" s="41">
        <f t="shared" si="210"/>
        <v>133.75362256149072</v>
      </c>
      <c r="O130" s="41">
        <f t="shared" si="211"/>
        <v>1894579.9285323727</v>
      </c>
      <c r="P130" s="41">
        <f t="shared" si="212"/>
        <v>12164534.432496097</v>
      </c>
      <c r="Q130" s="41">
        <f t="shared" si="213"/>
        <v>2.8818308299564709E-3</v>
      </c>
      <c r="R130" s="41">
        <f t="shared" si="214"/>
        <v>2.2520480779310896E-2</v>
      </c>
      <c r="S130" s="24">
        <f t="shared" ca="1" si="248"/>
        <v>16.639626800564017</v>
      </c>
      <c r="T130" s="10">
        <f t="shared" ca="1" si="215"/>
        <v>16.639626800564017</v>
      </c>
      <c r="U130" s="41">
        <f t="shared" ca="1" si="216"/>
        <v>0.40899934496238799</v>
      </c>
      <c r="V130" s="41">
        <f t="shared" ca="1" si="217"/>
        <v>3.3085366793953762E-2</v>
      </c>
      <c r="W130" s="41">
        <f t="shared" ca="1" si="218"/>
        <v>12.361940779122063</v>
      </c>
      <c r="X130" s="20">
        <f t="shared" ca="1" si="219"/>
        <v>1017.816162367403</v>
      </c>
      <c r="Y130" s="41">
        <f t="shared" si="220"/>
        <v>0.59714394574242313</v>
      </c>
      <c r="Z130" s="41">
        <f t="shared" ca="1" si="221"/>
        <v>154.22374307265201</v>
      </c>
      <c r="AA130" s="14">
        <f t="shared" ca="1" si="222"/>
        <v>1062.3002420555481</v>
      </c>
      <c r="AB130" s="14">
        <f t="shared" si="249"/>
        <v>4778.2052460636796</v>
      </c>
      <c r="AC130" s="25">
        <f t="shared" ca="1" si="223"/>
        <v>396865.03183464782</v>
      </c>
      <c r="AD130" s="41">
        <f t="shared" si="224"/>
        <v>1785090.9771254528</v>
      </c>
      <c r="AE130" s="6">
        <v>100</v>
      </c>
      <c r="AF130" s="41">
        <f t="shared" si="225"/>
        <v>4778.2052460636796</v>
      </c>
      <c r="AG130" s="41">
        <f t="shared" ca="1" si="226"/>
        <v>3715.9050040081315</v>
      </c>
      <c r="AH130" s="41">
        <f t="shared" ca="1" si="227"/>
        <v>1388225.9452908051</v>
      </c>
      <c r="AI130" s="41">
        <f t="shared" si="228"/>
        <v>3686.5643423590964</v>
      </c>
      <c r="AJ130" s="13">
        <f t="shared" ca="1" si="229"/>
        <v>106.9779812370117</v>
      </c>
      <c r="AK130" s="11"/>
      <c r="AL130" s="6">
        <v>350</v>
      </c>
      <c r="AM130" s="41">
        <f t="shared" ca="1" si="230"/>
        <v>3.2717012973405106</v>
      </c>
      <c r="AN130" s="41">
        <f t="shared" ca="1" si="231"/>
        <v>3.3503714837848673</v>
      </c>
      <c r="AO130" s="41">
        <f t="shared" ca="1" si="232"/>
        <v>0.19273713045224747</v>
      </c>
      <c r="AP130" s="67">
        <f t="shared" si="250"/>
        <v>0.77153746072254115</v>
      </c>
      <c r="AQ130" s="11">
        <f t="shared" si="233"/>
        <v>1.0145855632183758</v>
      </c>
      <c r="AR130" s="11">
        <f t="shared" si="234"/>
        <v>0.81812979351819726</v>
      </c>
      <c r="AS130" s="11">
        <f t="shared" si="235"/>
        <v>0.80636845543415825</v>
      </c>
      <c r="AT130" s="11">
        <f t="shared" si="236"/>
        <v>526.23509407447489</v>
      </c>
      <c r="AU130" s="11">
        <f t="shared" si="237"/>
        <v>1731.3426316390792</v>
      </c>
      <c r="AV130" s="11">
        <f t="shared" si="238"/>
        <v>1.9166571817214506E-3</v>
      </c>
      <c r="AW130" s="11">
        <f t="shared" si="239"/>
        <v>3.7794365857789621E-7</v>
      </c>
      <c r="AX130" s="41">
        <f t="shared" ca="1" si="240"/>
        <v>1.5617436164891696</v>
      </c>
      <c r="AY130" s="41">
        <f t="shared" ca="1" si="241"/>
        <v>2.1036996794297824</v>
      </c>
      <c r="AZ130" s="41">
        <f t="shared" si="242"/>
        <v>0.24065469186037858</v>
      </c>
      <c r="BA130" s="154">
        <f t="shared" si="251"/>
        <v>0.392827553519977</v>
      </c>
    </row>
    <row r="131" spans="1:53" ht="14.5">
      <c r="A131" s="41">
        <f t="shared" ca="1" si="243"/>
        <v>15763.030549152274</v>
      </c>
      <c r="B131" s="41">
        <f t="shared" ca="1" si="205"/>
        <v>262.71717581920456</v>
      </c>
      <c r="C131" s="41">
        <f t="shared" ca="1" si="205"/>
        <v>4.3786195969867423</v>
      </c>
      <c r="D131" s="41">
        <f t="shared" ca="1" si="244"/>
        <v>13128.742310453936</v>
      </c>
      <c r="E131" s="41">
        <f t="shared" ca="1" si="245"/>
        <v>897.31293809905753</v>
      </c>
      <c r="F131" s="41">
        <f t="shared" ca="1" si="246"/>
        <v>1.4387282987008687</v>
      </c>
      <c r="G131" s="41"/>
      <c r="H131" s="7">
        <f t="shared" si="247"/>
        <v>5800</v>
      </c>
      <c r="I131" s="6">
        <v>15</v>
      </c>
      <c r="J131" s="41">
        <f t="shared" si="207"/>
        <v>0.33893385812836951</v>
      </c>
      <c r="K131" s="41">
        <f t="shared" si="208"/>
        <v>380.69978125135475</v>
      </c>
      <c r="L131" s="6">
        <f t="shared" si="252"/>
        <v>202</v>
      </c>
      <c r="M131" s="41">
        <f t="shared" si="209"/>
        <v>225.55852919492767</v>
      </c>
      <c r="N131" s="41">
        <f t="shared" si="210"/>
        <v>137.40323990787863</v>
      </c>
      <c r="O131" s="41">
        <f t="shared" si="211"/>
        <v>1913444.3932627013</v>
      </c>
      <c r="P131" s="41">
        <f t="shared" si="212"/>
        <v>12285657.551825486</v>
      </c>
      <c r="Q131" s="41">
        <f t="shared" si="213"/>
        <v>2.8761244826552936E-3</v>
      </c>
      <c r="R131" s="41">
        <f t="shared" si="214"/>
        <v>2.2485788268157541E-2</v>
      </c>
      <c r="S131" s="24">
        <f t="shared" ca="1" si="248"/>
        <v>16.313889298756067</v>
      </c>
      <c r="T131" s="10">
        <f t="shared" ca="1" si="215"/>
        <v>16.313889298756067</v>
      </c>
      <c r="U131" s="41">
        <f t="shared" ca="1" si="216"/>
        <v>0.39870405743925247</v>
      </c>
      <c r="V131" s="41">
        <f t="shared" ca="1" si="217"/>
        <v>3.2525492100932293E-2</v>
      </c>
      <c r="W131" s="41">
        <f t="shared" ca="1" si="218"/>
        <v>12.258202157311072</v>
      </c>
      <c r="X131" s="20">
        <f t="shared" ca="1" si="219"/>
        <v>1027.8948386812285</v>
      </c>
      <c r="Y131" s="41">
        <f t="shared" si="220"/>
        <v>0.59668382218427307</v>
      </c>
      <c r="Z131" s="41">
        <f t="shared" ca="1" si="221"/>
        <v>155.16806132324123</v>
      </c>
      <c r="AA131" s="14">
        <f t="shared" ca="1" si="222"/>
        <v>1071.0169519127774</v>
      </c>
      <c r="AB131" s="14">
        <f t="shared" si="249"/>
        <v>4715.7502944780908</v>
      </c>
      <c r="AC131" s="25">
        <f t="shared" ca="1" si="223"/>
        <v>407735.91930968704</v>
      </c>
      <c r="AD131" s="41">
        <f t="shared" si="224"/>
        <v>1795285.1055438209</v>
      </c>
      <c r="AE131" s="6">
        <v>100</v>
      </c>
      <c r="AF131" s="41">
        <f t="shared" si="225"/>
        <v>4715.7502944780908</v>
      </c>
      <c r="AG131" s="41">
        <f t="shared" ca="1" si="226"/>
        <v>3644.7333425653133</v>
      </c>
      <c r="AH131" s="41">
        <f t="shared" ca="1" si="227"/>
        <v>1387549.1862341338</v>
      </c>
      <c r="AI131" s="41">
        <f t="shared" si="228"/>
        <v>3644.3612866555673</v>
      </c>
      <c r="AJ131" s="13">
        <f t="shared" ca="1" si="229"/>
        <v>106.93832905765501</v>
      </c>
      <c r="AK131" s="11"/>
      <c r="AL131" s="6">
        <v>350</v>
      </c>
      <c r="AM131" s="41">
        <f t="shared" ca="1" si="230"/>
        <v>3.2729144272611563</v>
      </c>
      <c r="AN131" s="41">
        <f t="shared" ca="1" si="231"/>
        <v>3.313245175901955</v>
      </c>
      <c r="AO131" s="41">
        <f t="shared" ca="1" si="232"/>
        <v>0.19680845148712436</v>
      </c>
      <c r="AP131" s="67">
        <f t="shared" si="250"/>
        <v>0.77280624695563993</v>
      </c>
      <c r="AQ131" s="11">
        <f t="shared" si="233"/>
        <v>1.0121791907183759</v>
      </c>
      <c r="AR131" s="11">
        <f t="shared" si="234"/>
        <v>0.80743618493221192</v>
      </c>
      <c r="AS131" s="11">
        <f t="shared" si="235"/>
        <v>0.79772059368178538</v>
      </c>
      <c r="AT131" s="11">
        <f t="shared" si="236"/>
        <v>524.98698084989996</v>
      </c>
      <c r="AU131" s="11">
        <f t="shared" si="237"/>
        <v>1708.7126032772453</v>
      </c>
      <c r="AV131" s="11">
        <f t="shared" si="238"/>
        <v>1.8961020791222357E-3</v>
      </c>
      <c r="AW131" s="11">
        <f t="shared" si="239"/>
        <v>3.7724934641096215E-7</v>
      </c>
      <c r="AX131" s="41">
        <f t="shared" ca="1" si="240"/>
        <v>1.5943487264201675</v>
      </c>
      <c r="AY131" s="41">
        <f t="shared" ca="1" si="241"/>
        <v>2.1476194102904773</v>
      </c>
      <c r="AZ131" s="41">
        <f t="shared" si="242"/>
        <v>0.24510552603075988</v>
      </c>
      <c r="BA131" s="154">
        <f t="shared" si="251"/>
        <v>0.40737344100534223</v>
      </c>
    </row>
    <row r="132" spans="1:53" ht="14.5">
      <c r="A132" s="41">
        <f t="shared" ca="1" si="243"/>
        <v>15766.303463579536</v>
      </c>
      <c r="B132" s="41">
        <f t="shared" ca="1" si="205"/>
        <v>262.77172439299227</v>
      </c>
      <c r="C132" s="41">
        <f t="shared" ca="1" si="205"/>
        <v>4.3795287398832041</v>
      </c>
      <c r="D132" s="41">
        <f t="shared" ca="1" si="244"/>
        <v>13125.429065278035</v>
      </c>
      <c r="E132" s="41">
        <f t="shared" ca="1" si="245"/>
        <v>897.50974655054461</v>
      </c>
      <c r="F132" s="41">
        <f t="shared" ca="1" si="246"/>
        <v>1.6355367501879932</v>
      </c>
      <c r="G132" s="41"/>
      <c r="H132" s="7">
        <f t="shared" si="247"/>
        <v>6150</v>
      </c>
      <c r="I132" s="6">
        <v>15</v>
      </c>
      <c r="J132" s="41">
        <f t="shared" si="207"/>
        <v>0.34573124755136675</v>
      </c>
      <c r="K132" s="41">
        <f t="shared" si="208"/>
        <v>387.87290334381288</v>
      </c>
      <c r="L132" s="6">
        <f t="shared" si="252"/>
        <v>204.75</v>
      </c>
      <c r="M132" s="41">
        <f t="shared" si="209"/>
        <v>229.80848926475562</v>
      </c>
      <c r="N132" s="41">
        <f t="shared" si="210"/>
        <v>141.09641850419857</v>
      </c>
      <c r="O132" s="41">
        <f t="shared" si="211"/>
        <v>1932097.3542170902</v>
      </c>
      <c r="P132" s="41">
        <f t="shared" si="212"/>
        <v>12405422.668292986</v>
      </c>
      <c r="Q132" s="41">
        <f t="shared" si="213"/>
        <v>2.8704893783342645E-3</v>
      </c>
      <c r="R132" s="41">
        <f t="shared" si="214"/>
        <v>2.24515288883495E-2</v>
      </c>
      <c r="S132" s="24">
        <f t="shared" ca="1" si="248"/>
        <v>15.989384218788596</v>
      </c>
      <c r="T132" s="10">
        <f t="shared" ca="1" si="215"/>
        <v>15.989384218788596</v>
      </c>
      <c r="U132" s="41">
        <f t="shared" ca="1" si="216"/>
        <v>0.38880727767422796</v>
      </c>
      <c r="V132" s="41">
        <f t="shared" ca="1" si="217"/>
        <v>3.199900019228983E-2</v>
      </c>
      <c r="W132" s="41">
        <f t="shared" ca="1" si="218"/>
        <v>12.150607060776581</v>
      </c>
      <c r="X132" s="20">
        <f t="shared" ca="1" si="219"/>
        <v>1038.4371942548689</v>
      </c>
      <c r="Y132" s="41">
        <f t="shared" si="220"/>
        <v>0.59622909474143315</v>
      </c>
      <c r="Z132" s="41">
        <f t="shared" ca="1" si="221"/>
        <v>156.11729323574474</v>
      </c>
      <c r="AA132" s="14">
        <f t="shared" ca="1" si="222"/>
        <v>1080.2282552324714</v>
      </c>
      <c r="AB132" s="14">
        <f t="shared" si="249"/>
        <v>4653.958016852589</v>
      </c>
      <c r="AC132" s="25">
        <f t="shared" ca="1" si="223"/>
        <v>418991.26963103999</v>
      </c>
      <c r="AD132" s="41">
        <f t="shared" si="224"/>
        <v>1805144.2080368274</v>
      </c>
      <c r="AE132" s="6">
        <v>100</v>
      </c>
      <c r="AF132" s="41">
        <f t="shared" si="225"/>
        <v>4653.958016852589</v>
      </c>
      <c r="AG132" s="41">
        <f t="shared" ca="1" si="226"/>
        <v>3573.7297616201176</v>
      </c>
      <c r="AH132" s="41">
        <f t="shared" ca="1" si="227"/>
        <v>1386152.9384057873</v>
      </c>
      <c r="AI132" s="41">
        <f t="shared" si="228"/>
        <v>3602.5412394032292</v>
      </c>
      <c r="AJ132" s="13">
        <f t="shared" ca="1" si="229"/>
        <v>106.84317835146385</v>
      </c>
      <c r="AK132" s="11"/>
      <c r="AL132" s="6">
        <v>350</v>
      </c>
      <c r="AM132" s="41">
        <f t="shared" ca="1" si="230"/>
        <v>3.275829167573661</v>
      </c>
      <c r="AN132" s="41">
        <f t="shared" ca="1" si="231"/>
        <v>3.278141574840018</v>
      </c>
      <c r="AO132" s="41">
        <f t="shared" ca="1" si="232"/>
        <v>0.20102474262442188</v>
      </c>
      <c r="AP132" s="67">
        <f t="shared" si="250"/>
        <v>0.7740811641097658</v>
      </c>
      <c r="AQ132" s="11">
        <f t="shared" si="233"/>
        <v>1.0097728182183758</v>
      </c>
      <c r="AR132" s="11">
        <f t="shared" si="234"/>
        <v>0.79685604014324174</v>
      </c>
      <c r="AS132" s="11">
        <f t="shared" si="235"/>
        <v>0.78914388045144601</v>
      </c>
      <c r="AT132" s="11">
        <f t="shared" si="236"/>
        <v>523.73886762532493</v>
      </c>
      <c r="AU132" s="11">
        <f t="shared" si="237"/>
        <v>1686.3226892719308</v>
      </c>
      <c r="AV132" s="11">
        <f t="shared" si="238"/>
        <v>1.875716089445042E-3</v>
      </c>
      <c r="AW132" s="11">
        <f t="shared" si="239"/>
        <v>3.7655423722504886E-7</v>
      </c>
      <c r="AX132" s="41">
        <f t="shared" ca="1" si="240"/>
        <v>1.6275329501371352</v>
      </c>
      <c r="AY132" s="41">
        <f t="shared" ca="1" si="241"/>
        <v>2.1923192189264458</v>
      </c>
      <c r="AZ132" s="41">
        <f t="shared" si="242"/>
        <v>0.24958246601525541</v>
      </c>
      <c r="BA132" s="154">
        <f t="shared" si="251"/>
        <v>0.42115165559486378</v>
      </c>
    </row>
    <row r="133" spans="1:53" ht="14.5">
      <c r="A133" s="41">
        <f t="shared" ca="1" si="243"/>
        <v>15769.57929274711</v>
      </c>
      <c r="B133" s="41">
        <f t="shared" ca="1" si="205"/>
        <v>262.82632154578516</v>
      </c>
      <c r="C133" s="41">
        <f t="shared" ca="1" si="205"/>
        <v>4.3804386924297525</v>
      </c>
      <c r="D133" s="41">
        <f t="shared" ca="1" si="244"/>
        <v>13122.150923703195</v>
      </c>
      <c r="E133" s="41">
        <f t="shared" ca="1" si="245"/>
        <v>897.71077129316905</v>
      </c>
      <c r="F133" s="41">
        <f t="shared" ca="1" si="246"/>
        <v>1.836561492812415</v>
      </c>
      <c r="G133" s="41"/>
      <c r="H133" s="7">
        <f t="shared" si="247"/>
        <v>6500</v>
      </c>
      <c r="I133" s="6">
        <v>15</v>
      </c>
      <c r="J133" s="41">
        <f t="shared" si="207"/>
        <v>0.35260241649905016</v>
      </c>
      <c r="K133" s="41">
        <f t="shared" si="208"/>
        <v>395.10997542721122</v>
      </c>
      <c r="L133" s="6">
        <f t="shared" si="252"/>
        <v>207.5</v>
      </c>
      <c r="M133" s="41">
        <f t="shared" si="209"/>
        <v>234.09633868101582</v>
      </c>
      <c r="N133" s="41">
        <f t="shared" si="210"/>
        <v>144.8326715233427</v>
      </c>
      <c r="O133" s="41">
        <f t="shared" si="211"/>
        <v>1950537.7697079622</v>
      </c>
      <c r="P133" s="41">
        <f t="shared" si="212"/>
        <v>12523823.093532376</v>
      </c>
      <c r="Q133" s="41">
        <f t="shared" si="213"/>
        <v>2.8649221149386521E-3</v>
      </c>
      <c r="R133" s="41">
        <f t="shared" si="214"/>
        <v>2.2417681956634336E-2</v>
      </c>
      <c r="S133" s="24">
        <f t="shared" ca="1" si="248"/>
        <v>15.666154094406735</v>
      </c>
      <c r="T133" s="10">
        <f t="shared" ca="1" si="215"/>
        <v>15.666154094406735</v>
      </c>
      <c r="U133" s="41">
        <f t="shared" ca="1" si="216"/>
        <v>0.37928872243334411</v>
      </c>
      <c r="V133" s="41">
        <f t="shared" ca="1" si="217"/>
        <v>3.1503404084641154E-2</v>
      </c>
      <c r="W133" s="41">
        <f t="shared" ca="1" si="218"/>
        <v>12.039610748549508</v>
      </c>
      <c r="X133" s="20">
        <f t="shared" ca="1" si="219"/>
        <v>1049.426100401332</v>
      </c>
      <c r="Y133" s="41">
        <f t="shared" si="220"/>
        <v>0.59577950092730902</v>
      </c>
      <c r="Z133" s="41">
        <f t="shared" ca="1" si="221"/>
        <v>157.07148098350237</v>
      </c>
      <c r="AA133" s="14">
        <f t="shared" ca="1" si="222"/>
        <v>1089.914881615596</v>
      </c>
      <c r="AB133" s="14">
        <f t="shared" si="249"/>
        <v>4592.8230205114587</v>
      </c>
      <c r="AC133" s="25">
        <f t="shared" ca="1" si="223"/>
        <v>430636.24209288997</v>
      </c>
      <c r="AD133" s="41">
        <f t="shared" si="224"/>
        <v>1814670.1907758124</v>
      </c>
      <c r="AE133" s="6">
        <v>100</v>
      </c>
      <c r="AF133" s="41">
        <f t="shared" si="225"/>
        <v>4592.8230205114587</v>
      </c>
      <c r="AG133" s="41">
        <f t="shared" ca="1" si="226"/>
        <v>3502.908138895863</v>
      </c>
      <c r="AH133" s="41">
        <f t="shared" ca="1" si="227"/>
        <v>1384033.9486829224</v>
      </c>
      <c r="AI133" s="41">
        <f t="shared" si="228"/>
        <v>3561.1008742683102</v>
      </c>
      <c r="AJ133" s="13">
        <f t="shared" ca="1" si="229"/>
        <v>106.69222432921583</v>
      </c>
      <c r="AK133" s="11"/>
      <c r="AL133" s="6">
        <v>350</v>
      </c>
      <c r="AM133" s="41">
        <f t="shared" ca="1" si="230"/>
        <v>3.2804639907030086</v>
      </c>
      <c r="AN133" s="41">
        <f t="shared" ca="1" si="231"/>
        <v>3.2450175514717206</v>
      </c>
      <c r="AO133" s="41">
        <f t="shared" ca="1" si="232"/>
        <v>0.20539348998690232</v>
      </c>
      <c r="AP133" s="67">
        <f t="shared" si="250"/>
        <v>0.77536209393754185</v>
      </c>
      <c r="AQ133" s="11">
        <f t="shared" si="233"/>
        <v>1.0073664457183757</v>
      </c>
      <c r="AR133" s="11">
        <f t="shared" si="234"/>
        <v>0.78638843581115314</v>
      </c>
      <c r="AS133" s="11">
        <f t="shared" si="235"/>
        <v>0.78063790902858765</v>
      </c>
      <c r="AT133" s="11">
        <f t="shared" si="236"/>
        <v>522.49075440074989</v>
      </c>
      <c r="AU133" s="11">
        <f t="shared" si="237"/>
        <v>1664.1709356322783</v>
      </c>
      <c r="AV133" s="11">
        <f t="shared" si="238"/>
        <v>1.85549824597005E-3</v>
      </c>
      <c r="AW133" s="11">
        <f t="shared" si="239"/>
        <v>3.7585832879320501E-7</v>
      </c>
      <c r="AX133" s="41">
        <f t="shared" ca="1" si="240"/>
        <v>1.6612833878390436</v>
      </c>
      <c r="AY133" s="41">
        <f t="shared" ca="1" si="241"/>
        <v>2.2377817290494137</v>
      </c>
      <c r="AZ133" s="41">
        <f t="shared" si="242"/>
        <v>0.25408517683032078</v>
      </c>
      <c r="BA133" s="154">
        <f t="shared" si="251"/>
        <v>0.43421798280182067</v>
      </c>
    </row>
    <row r="134" spans="1:53" ht="14.5">
      <c r="A134" s="41">
        <f t="shared" ca="1" si="243"/>
        <v>15772.859756737813</v>
      </c>
      <c r="B134" s="41">
        <f t="shared" ca="1" si="205"/>
        <v>262.88099594563022</v>
      </c>
      <c r="C134" s="41">
        <f t="shared" ca="1" si="205"/>
        <v>4.3813499324271703</v>
      </c>
      <c r="D134" s="41">
        <f t="shared" ca="1" si="244"/>
        <v>13118.905906151724</v>
      </c>
      <c r="E134" s="41">
        <f t="shared" ca="1" si="245"/>
        <v>897.91616478315598</v>
      </c>
      <c r="F134" s="41">
        <f t="shared" ca="1" si="246"/>
        <v>2.0419549827993171</v>
      </c>
      <c r="G134" s="41"/>
      <c r="H134" s="7">
        <f t="shared" si="247"/>
        <v>6850</v>
      </c>
      <c r="I134" s="6">
        <v>15</v>
      </c>
      <c r="J134" s="41">
        <f t="shared" si="207"/>
        <v>0.35954795746593787</v>
      </c>
      <c r="K134" s="41">
        <f t="shared" si="208"/>
        <v>402.41132968541916</v>
      </c>
      <c r="L134" s="6">
        <f t="shared" si="252"/>
        <v>210.25</v>
      </c>
      <c r="M134" s="41">
        <f t="shared" si="209"/>
        <v>238.42227425733589</v>
      </c>
      <c r="N134" s="41">
        <f t="shared" si="210"/>
        <v>148.61149061913324</v>
      </c>
      <c r="O134" s="41">
        <f t="shared" si="211"/>
        <v>1968764.5699958606</v>
      </c>
      <c r="P134" s="41">
        <f t="shared" si="212"/>
        <v>12640851.959064655</v>
      </c>
      <c r="Q134" s="41">
        <f t="shared" si="213"/>
        <v>2.859419406987656E-3</v>
      </c>
      <c r="R134" s="41">
        <f t="shared" si="214"/>
        <v>2.2384227498486616E-2</v>
      </c>
      <c r="S134" s="24">
        <f t="shared" ca="1" si="248"/>
        <v>15.344237811315812</v>
      </c>
      <c r="T134" s="10">
        <f t="shared" ca="1" si="215"/>
        <v>15.344237811315812</v>
      </c>
      <c r="U134" s="41">
        <f t="shared" ca="1" si="216"/>
        <v>0.37012941851355907</v>
      </c>
      <c r="V134" s="41">
        <f t="shared" ca="1" si="217"/>
        <v>3.1036432496958657E-2</v>
      </c>
      <c r="W134" s="41">
        <f t="shared" ca="1" si="218"/>
        <v>11.925643146963782</v>
      </c>
      <c r="X134" s="20">
        <f t="shared" ca="1" si="219"/>
        <v>1060.8452142808208</v>
      </c>
      <c r="Y134" s="41">
        <f t="shared" si="220"/>
        <v>0.59533478674965912</v>
      </c>
      <c r="Z134" s="41">
        <f t="shared" ca="1" si="221"/>
        <v>158.03066992298375</v>
      </c>
      <c r="AA134" s="14">
        <f t="shared" ca="1" si="222"/>
        <v>1100.0585666100314</v>
      </c>
      <c r="AB134" s="14">
        <f t="shared" si="249"/>
        <v>4532.3399432619817</v>
      </c>
      <c r="AC134" s="25">
        <f t="shared" ca="1" si="223"/>
        <v>442676.03052137903</v>
      </c>
      <c r="AD134" s="41">
        <f t="shared" si="224"/>
        <v>1823864.9431543914</v>
      </c>
      <c r="AE134" s="6">
        <v>100</v>
      </c>
      <c r="AF134" s="41">
        <f t="shared" si="225"/>
        <v>4532.3399432619817</v>
      </c>
      <c r="AG134" s="41">
        <f t="shared" ca="1" si="226"/>
        <v>3432.2813766519503</v>
      </c>
      <c r="AH134" s="41">
        <f t="shared" ca="1" si="227"/>
        <v>1381188.9126330123</v>
      </c>
      <c r="AI134" s="41">
        <f t="shared" si="228"/>
        <v>3520.0368907067541</v>
      </c>
      <c r="AJ134" s="13">
        <f t="shared" ca="1" si="229"/>
        <v>106.48516117721107</v>
      </c>
      <c r="AK134" s="11"/>
      <c r="AL134" s="6">
        <v>350</v>
      </c>
      <c r="AM134" s="41">
        <f t="shared" ca="1" si="230"/>
        <v>3.2868429378393396</v>
      </c>
      <c r="AN134" s="41">
        <f t="shared" ca="1" si="231"/>
        <v>3.2138356653204005</v>
      </c>
      <c r="AO134" s="41">
        <f t="shared" ca="1" si="232"/>
        <v>0.20992274245528308</v>
      </c>
      <c r="AP134" s="67">
        <f t="shared" si="250"/>
        <v>0.776648913093959</v>
      </c>
      <c r="AQ134" s="11">
        <f t="shared" si="233"/>
        <v>1.0049600732183759</v>
      </c>
      <c r="AR134" s="11">
        <f t="shared" si="234"/>
        <v>0.77603245381514641</v>
      </c>
      <c r="AS134" s="11">
        <f t="shared" si="235"/>
        <v>0.77220227399672625</v>
      </c>
      <c r="AT134" s="11">
        <f t="shared" si="236"/>
        <v>521.24264117617497</v>
      </c>
      <c r="AU134" s="11">
        <f t="shared" si="237"/>
        <v>1642.255399412689</v>
      </c>
      <c r="AV134" s="11">
        <f t="shared" si="238"/>
        <v>1.8354475850628185E-3</v>
      </c>
      <c r="AW134" s="11">
        <f t="shared" si="239"/>
        <v>3.7516161887989139E-7</v>
      </c>
      <c r="AX134" s="41">
        <f t="shared" ca="1" si="240"/>
        <v>1.6955877583258423</v>
      </c>
      <c r="AY134" s="41">
        <f t="shared" ca="1" si="241"/>
        <v>2.2839903976389162</v>
      </c>
      <c r="AZ134" s="41">
        <f t="shared" si="242"/>
        <v>0.25861330461594223</v>
      </c>
      <c r="BA134" s="154">
        <f t="shared" si="251"/>
        <v>0.44662627722841552</v>
      </c>
    </row>
    <row r="135" spans="1:53" ht="14.5">
      <c r="A135" s="41">
        <f t="shared" ca="1" si="243"/>
        <v>15776.146599675652</v>
      </c>
      <c r="B135" s="41">
        <f t="shared" ca="1" si="205"/>
        <v>262.93577666126089</v>
      </c>
      <c r="C135" s="41">
        <f t="shared" ca="1" si="205"/>
        <v>4.3822629443543484</v>
      </c>
      <c r="D135" s="41">
        <f t="shared" ca="1" si="244"/>
        <v>13115.692070486404</v>
      </c>
      <c r="E135" s="41">
        <f t="shared" ca="1" si="245"/>
        <v>898.1260875256113</v>
      </c>
      <c r="F135" s="41">
        <f t="shared" ca="1" si="246"/>
        <v>2.2518777252546003</v>
      </c>
      <c r="G135" s="41"/>
      <c r="H135" s="7">
        <f t="shared" si="247"/>
        <v>7200</v>
      </c>
      <c r="I135" s="6">
        <v>15</v>
      </c>
      <c r="J135" s="41">
        <f t="shared" si="207"/>
        <v>0.36656845792646392</v>
      </c>
      <c r="K135" s="41">
        <f t="shared" si="208"/>
        <v>409.77728863488534</v>
      </c>
      <c r="L135" s="6">
        <f t="shared" si="252"/>
        <v>213</v>
      </c>
      <c r="M135" s="41">
        <f t="shared" si="209"/>
        <v>242.78648707955142</v>
      </c>
      <c r="N135" s="41">
        <f t="shared" si="210"/>
        <v>152.43234537790283</v>
      </c>
      <c r="O135" s="41">
        <f t="shared" si="211"/>
        <v>1986776.6575522211</v>
      </c>
      <c r="P135" s="41">
        <f t="shared" si="212"/>
        <v>12756502.217985224</v>
      </c>
      <c r="Q135" s="41">
        <f t="shared" si="213"/>
        <v>2.8539780790406448E-3</v>
      </c>
      <c r="R135" s="41">
        <f t="shared" si="214"/>
        <v>2.2351146208385013E-2</v>
      </c>
      <c r="S135" s="24">
        <f t="shared" ca="1" si="248"/>
        <v>15.023670991877385</v>
      </c>
      <c r="T135" s="10">
        <f t="shared" ca="1" si="215"/>
        <v>15.023670991877385</v>
      </c>
      <c r="U135" s="41">
        <f t="shared" ca="1" si="216"/>
        <v>0.36131160088761766</v>
      </c>
      <c r="V135" s="41">
        <f t="shared" ca="1" si="217"/>
        <v>3.0596008434176768E-2</v>
      </c>
      <c r="W135" s="41">
        <f t="shared" ca="1" si="218"/>
        <v>11.809109075941437</v>
      </c>
      <c r="X135" s="20">
        <f t="shared" ca="1" si="219"/>
        <v>1072.6789047094421</v>
      </c>
      <c r="Y135" s="41">
        <f t="shared" si="220"/>
        <v>0.5948947062354577</v>
      </c>
      <c r="Z135" s="41">
        <f t="shared" ca="1" si="221"/>
        <v>158.99490833894325</v>
      </c>
      <c r="AA135" s="14">
        <f t="shared" ca="1" si="222"/>
        <v>1110.6419617384051</v>
      </c>
      <c r="AB135" s="14">
        <f t="shared" si="249"/>
        <v>4472.5034532982363</v>
      </c>
      <c r="AC135" s="25">
        <f t="shared" ca="1" si="223"/>
        <v>455115.85172529373</v>
      </c>
      <c r="AD135" s="41">
        <f t="shared" si="224"/>
        <v>1832730.3385027128</v>
      </c>
      <c r="AE135" s="6">
        <v>100</v>
      </c>
      <c r="AF135" s="41">
        <f t="shared" si="225"/>
        <v>4472.5034532982363</v>
      </c>
      <c r="AG135" s="41">
        <f t="shared" ca="1" si="226"/>
        <v>3361.8614915598309</v>
      </c>
      <c r="AH135" s="41">
        <f t="shared" ca="1" si="227"/>
        <v>1377614.486777419</v>
      </c>
      <c r="AI135" s="41">
        <f t="shared" si="228"/>
        <v>3479.346014169555</v>
      </c>
      <c r="AJ135" s="13">
        <f t="shared" ca="1" si="229"/>
        <v>106.22168299376462</v>
      </c>
      <c r="AK135" s="11"/>
      <c r="AL135" s="6">
        <v>350</v>
      </c>
      <c r="AM135" s="41">
        <f t="shared" ca="1" si="230"/>
        <v>3.2949958062756881</v>
      </c>
      <c r="AN135" s="41">
        <f t="shared" ca="1" si="231"/>
        <v>3.1845640347974205</v>
      </c>
      <c r="AO135" s="41">
        <f t="shared" ca="1" si="232"/>
        <v>0.21462116047775132</v>
      </c>
      <c r="AP135" s="67">
        <f t="shared" si="250"/>
        <v>0.77794149305881921</v>
      </c>
      <c r="AQ135" s="11">
        <f t="shared" si="233"/>
        <v>1.0025537007183758</v>
      </c>
      <c r="AR135" s="11">
        <f t="shared" si="234"/>
        <v>0.7657871812372844</v>
      </c>
      <c r="AS135" s="11">
        <f t="shared" si="235"/>
        <v>0.76383657123659576</v>
      </c>
      <c r="AT135" s="11">
        <f t="shared" si="236"/>
        <v>519.99452795159993</v>
      </c>
      <c r="AU135" s="11">
        <f t="shared" si="237"/>
        <v>1620.5741486779659</v>
      </c>
      <c r="AV135" s="11">
        <f t="shared" si="238"/>
        <v>1.8155631461722645E-3</v>
      </c>
      <c r="AW135" s="11">
        <f t="shared" si="239"/>
        <v>3.7446410524094736E-7</v>
      </c>
      <c r="AX135" s="41">
        <f t="shared" ca="1" si="240"/>
        <v>1.7304343154087496</v>
      </c>
      <c r="AY135" s="41">
        <f t="shared" ca="1" si="241"/>
        <v>2.330929402345296</v>
      </c>
      <c r="AZ135" s="41">
        <f t="shared" si="242"/>
        <v>0.2631664762431124</v>
      </c>
      <c r="BA135" s="154">
        <f t="shared" si="251"/>
        <v>0.45842806280763604</v>
      </c>
    </row>
    <row r="136" spans="1:53" ht="14.5">
      <c r="A136" s="41">
        <f t="shared" ca="1" si="243"/>
        <v>15779.441595481929</v>
      </c>
      <c r="B136" s="41">
        <f t="shared" ca="1" si="205"/>
        <v>262.99069325803214</v>
      </c>
      <c r="C136" s="41">
        <f t="shared" ca="1" si="205"/>
        <v>4.3831782209672019</v>
      </c>
      <c r="D136" s="41">
        <f t="shared" ca="1" si="244"/>
        <v>13112.507506451606</v>
      </c>
      <c r="E136" s="41">
        <f t="shared" ca="1" si="245"/>
        <v>898.3407086860891</v>
      </c>
      <c r="F136" s="41">
        <f t="shared" ca="1" si="246"/>
        <v>2.4664988857323515</v>
      </c>
      <c r="G136" s="41"/>
      <c r="H136" s="7">
        <f t="shared" si="247"/>
        <v>7550</v>
      </c>
      <c r="I136" s="6">
        <v>15</v>
      </c>
      <c r="J136" s="41">
        <f t="shared" si="207"/>
        <v>0.37366449993115985</v>
      </c>
      <c r="K136" s="41">
        <f t="shared" si="208"/>
        <v>417.208164692384</v>
      </c>
      <c r="L136" s="6">
        <f t="shared" si="252"/>
        <v>215.75</v>
      </c>
      <c r="M136" s="41">
        <f t="shared" si="209"/>
        <v>247.18916224960245</v>
      </c>
      <c r="N136" s="41">
        <f t="shared" si="210"/>
        <v>156.29468277331699</v>
      </c>
      <c r="O136" s="41">
        <f t="shared" si="211"/>
        <v>2004572.9073637347</v>
      </c>
      <c r="P136" s="41">
        <f t="shared" si="212"/>
        <v>12870766.646918111</v>
      </c>
      <c r="Q136" s="41">
        <f t="shared" si="213"/>
        <v>2.8485950596333545E-3</v>
      </c>
      <c r="R136" s="41">
        <f t="shared" si="214"/>
        <v>2.2318419412946603E-2</v>
      </c>
      <c r="S136" s="24">
        <f t="shared" ca="1" si="248"/>
        <v>14.704486343607794</v>
      </c>
      <c r="T136" s="10">
        <f t="shared" ca="1" si="215"/>
        <v>14.704486343607794</v>
      </c>
      <c r="U136" s="41">
        <f t="shared" ca="1" si="216"/>
        <v>0.35281862008459425</v>
      </c>
      <c r="V136" s="41">
        <f t="shared" ca="1" si="217"/>
        <v>3.018023015801952E-2</v>
      </c>
      <c r="W136" s="41">
        <f t="shared" ca="1" si="218"/>
        <v>11.690388649698317</v>
      </c>
      <c r="X136" s="20">
        <f t="shared" ca="1" si="219"/>
        <v>1084.9121846718717</v>
      </c>
      <c r="Y136" s="41">
        <f t="shared" si="220"/>
        <v>0.594459020989624</v>
      </c>
      <c r="Z136" s="41">
        <f t="shared" ca="1" si="221"/>
        <v>159.96424721498198</v>
      </c>
      <c r="AA136" s="14">
        <f t="shared" ca="1" si="222"/>
        <v>1121.6485524448315</v>
      </c>
      <c r="AB136" s="14">
        <f t="shared" si="249"/>
        <v>4413.3082491050009</v>
      </c>
      <c r="AC136" s="25">
        <f t="shared" ca="1" si="223"/>
        <v>467960.93399537739</v>
      </c>
      <c r="AD136" s="41">
        <f t="shared" si="224"/>
        <v>1841268.2348308561</v>
      </c>
      <c r="AE136" s="6">
        <v>100</v>
      </c>
      <c r="AF136" s="41">
        <f t="shared" si="225"/>
        <v>4413.3082491050009</v>
      </c>
      <c r="AG136" s="41">
        <f t="shared" ca="1" si="226"/>
        <v>3291.6596966601692</v>
      </c>
      <c r="AH136" s="41">
        <f t="shared" ca="1" si="227"/>
        <v>1373307.3008354786</v>
      </c>
      <c r="AI136" s="41">
        <f t="shared" si="228"/>
        <v>3439.0249963114429</v>
      </c>
      <c r="AJ136" s="13">
        <f t="shared" ca="1" si="229"/>
        <v>105.90148472580587</v>
      </c>
      <c r="AK136" s="11"/>
      <c r="AL136" s="6">
        <v>350</v>
      </c>
      <c r="AM136" s="41">
        <f t="shared" ca="1" si="230"/>
        <v>3.3049583856751412</v>
      </c>
      <c r="AN136" s="41">
        <f t="shared" ca="1" si="231"/>
        <v>3.1571762500294236</v>
      </c>
      <c r="AO136" s="41">
        <f t="shared" ca="1" si="232"/>
        <v>0.21949807049954334</v>
      </c>
      <c r="AP136" s="67">
        <f t="shared" si="250"/>
        <v>0.77923970006148147</v>
      </c>
      <c r="AQ136" s="11">
        <f t="shared" si="233"/>
        <v>1.0001473282183759</v>
      </c>
      <c r="AR136" s="11">
        <f t="shared" si="234"/>
        <v>0.75565171034603806</v>
      </c>
      <c r="AS136" s="11">
        <f t="shared" si="235"/>
        <v>0.7555403979253007</v>
      </c>
      <c r="AT136" s="11">
        <f t="shared" si="236"/>
        <v>518.74641472702501</v>
      </c>
      <c r="AU136" s="11">
        <f t="shared" si="237"/>
        <v>1599.1252624684926</v>
      </c>
      <c r="AV136" s="11">
        <f t="shared" si="238"/>
        <v>1.7958439718286472E-3</v>
      </c>
      <c r="AW136" s="11">
        <f t="shared" si="239"/>
        <v>3.7376578562356062E-7</v>
      </c>
      <c r="AX136" s="41">
        <f t="shared" ca="1" si="240"/>
        <v>1.7658117733065677</v>
      </c>
      <c r="AY136" s="41">
        <f t="shared" ca="1" si="241"/>
        <v>2.378583540997059</v>
      </c>
      <c r="AZ136" s="41">
        <f t="shared" si="242"/>
        <v>0.26774429892556756</v>
      </c>
      <c r="BA136" s="154">
        <f t="shared" si="251"/>
        <v>0.46967222955606402</v>
      </c>
    </row>
    <row r="137" spans="1:53" ht="14.5">
      <c r="A137" s="41">
        <f t="shared" ca="1" si="243"/>
        <v>15782.746553867604</v>
      </c>
      <c r="B137" s="41">
        <f t="shared" ca="1" si="205"/>
        <v>263.04577589779342</v>
      </c>
      <c r="C137" s="41">
        <f t="shared" ca="1" si="205"/>
        <v>4.3840962649632234</v>
      </c>
      <c r="D137" s="41">
        <f t="shared" ca="1" si="244"/>
        <v>13109.350330201576</v>
      </c>
      <c r="E137" s="41">
        <f t="shared" ca="1" si="245"/>
        <v>898.56020675658863</v>
      </c>
      <c r="F137" s="41">
        <f t="shared" ca="1" si="246"/>
        <v>2.6859969562318948</v>
      </c>
      <c r="G137" s="41"/>
      <c r="H137" s="7">
        <f t="shared" si="247"/>
        <v>7900</v>
      </c>
      <c r="I137" s="6">
        <v>15</v>
      </c>
      <c r="J137" s="41">
        <f t="shared" si="207"/>
        <v>0.38083665969583808</v>
      </c>
      <c r="K137" s="41">
        <f t="shared" si="208"/>
        <v>424.70425973821244</v>
      </c>
      <c r="L137" s="6">
        <f t="shared" si="252"/>
        <v>218.5</v>
      </c>
      <c r="M137" s="41">
        <f t="shared" si="209"/>
        <v>251.63047862673506</v>
      </c>
      <c r="N137" s="41">
        <f t="shared" si="210"/>
        <v>160.19792662562065</v>
      </c>
      <c r="O137" s="41">
        <f t="shared" si="211"/>
        <v>2022152.1672801836</v>
      </c>
      <c r="P137" s="41">
        <f t="shared" si="212"/>
        <v>12983637.848249318</v>
      </c>
      <c r="Q137" s="41">
        <f t="shared" si="213"/>
        <v>2.8432673756484802E-3</v>
      </c>
      <c r="R137" s="41">
        <f t="shared" si="214"/>
        <v>2.2286029036702123E-2</v>
      </c>
      <c r="S137" s="24">
        <f t="shared" ca="1" si="248"/>
        <v>14.386713975318802</v>
      </c>
      <c r="T137" s="10">
        <f t="shared" ca="1" si="215"/>
        <v>14.386713975318802</v>
      </c>
      <c r="U137" s="41">
        <f t="shared" ca="1" si="216"/>
        <v>0.34463485785085485</v>
      </c>
      <c r="V137" s="41">
        <f t="shared" ca="1" si="217"/>
        <v>2.9787354250452525E-2</v>
      </c>
      <c r="W137" s="41">
        <f t="shared" ca="1" si="218"/>
        <v>11.569837822894902</v>
      </c>
      <c r="X137" s="20">
        <f t="shared" ca="1" si="219"/>
        <v>1097.5306498346336</v>
      </c>
      <c r="Y137" s="41">
        <f t="shared" si="220"/>
        <v>0.59402749978509972</v>
      </c>
      <c r="Z137" s="41">
        <f t="shared" ca="1" si="221"/>
        <v>160.93874002661332</v>
      </c>
      <c r="AA137" s="14">
        <f t="shared" ca="1" si="222"/>
        <v>1133.0625831470359</v>
      </c>
      <c r="AB137" s="14">
        <f t="shared" si="249"/>
        <v>4354.7490593616949</v>
      </c>
      <c r="AC137" s="25">
        <f t="shared" ca="1" si="223"/>
        <v>481216.50561252865</v>
      </c>
      <c r="AD137" s="41">
        <f t="shared" si="224"/>
        <v>1849480.4756018855</v>
      </c>
      <c r="AE137" s="6">
        <v>100</v>
      </c>
      <c r="AF137" s="41">
        <f t="shared" si="225"/>
        <v>4354.7490593616949</v>
      </c>
      <c r="AG137" s="41">
        <f t="shared" ca="1" si="226"/>
        <v>3221.6864762146588</v>
      </c>
      <c r="AH137" s="41">
        <f t="shared" ca="1" si="227"/>
        <v>1368263.9699893568</v>
      </c>
      <c r="AI137" s="41">
        <f t="shared" si="228"/>
        <v>3399.0706152025773</v>
      </c>
      <c r="AJ137" s="13">
        <f t="shared" ca="1" si="229"/>
        <v>105.52426310836083</v>
      </c>
      <c r="AK137" s="11"/>
      <c r="AL137" s="6">
        <v>350</v>
      </c>
      <c r="AM137" s="41">
        <f t="shared" ca="1" si="230"/>
        <v>3.3167727467624366</v>
      </c>
      <c r="AN137" s="41">
        <f t="shared" ca="1" si="231"/>
        <v>3.1316513280069271</v>
      </c>
      <c r="AO137" s="41">
        <f t="shared" ca="1" si="232"/>
        <v>0.22456352572577989</v>
      </c>
      <c r="AP137" s="67">
        <f t="shared" si="250"/>
        <v>0.78054339500811609</v>
      </c>
      <c r="AQ137" s="11">
        <f t="shared" si="233"/>
        <v>0.99774095571837584</v>
      </c>
      <c r="AR137" s="11">
        <f t="shared" si="234"/>
        <v>0.74562513857983947</v>
      </c>
      <c r="AS137" s="11">
        <f t="shared" si="235"/>
        <v>0.74731335253546605</v>
      </c>
      <c r="AT137" s="11">
        <f t="shared" si="236"/>
        <v>517.49830150244998</v>
      </c>
      <c r="AU137" s="11">
        <f t="shared" si="237"/>
        <v>1577.9068307654277</v>
      </c>
      <c r="AV137" s="11">
        <f t="shared" si="238"/>
        <v>1.7762891076415492E-3</v>
      </c>
      <c r="AW137" s="11">
        <f t="shared" si="239"/>
        <v>3.730666577662288E-7</v>
      </c>
      <c r="AX137" s="41">
        <f t="shared" ca="1" si="240"/>
        <v>1.8017092398626535</v>
      </c>
      <c r="AY137" s="41">
        <f t="shared" ca="1" si="241"/>
        <v>2.4269381416428062</v>
      </c>
      <c r="AZ137" s="41">
        <f t="shared" si="242"/>
        <v>0.27234635983657346</v>
      </c>
      <c r="BA137" s="154">
        <f t="shared" si="251"/>
        <v>0.4804048142920827</v>
      </c>
    </row>
    <row r="138" spans="1:53" ht="14.5">
      <c r="A138" s="41">
        <f t="shared" ca="1" si="243"/>
        <v>15786.063326614367</v>
      </c>
      <c r="B138" s="41">
        <f t="shared" ca="1" si="205"/>
        <v>263.10105544357276</v>
      </c>
      <c r="C138" s="41">
        <f t="shared" ca="1" si="205"/>
        <v>4.3850175907262123</v>
      </c>
      <c r="D138" s="41">
        <f t="shared" ca="1" si="244"/>
        <v>13106.218678873569</v>
      </c>
      <c r="E138" s="41">
        <f t="shared" ca="1" si="245"/>
        <v>898.78477028231441</v>
      </c>
      <c r="F138" s="41">
        <f t="shared" ca="1" si="246"/>
        <v>2.9105604819576749</v>
      </c>
      <c r="G138" s="41"/>
      <c r="H138" s="7">
        <f t="shared" si="247"/>
        <v>8250</v>
      </c>
      <c r="I138" s="6">
        <v>15</v>
      </c>
      <c r="J138" s="41">
        <f t="shared" si="207"/>
        <v>0.38808550718415225</v>
      </c>
      <c r="K138" s="41">
        <f t="shared" si="208"/>
        <v>432.26586467534122</v>
      </c>
      <c r="L138" s="6">
        <f t="shared" si="252"/>
        <v>221.25</v>
      </c>
      <c r="M138" s="41">
        <f t="shared" si="209"/>
        <v>256.11060856630485</v>
      </c>
      <c r="N138" s="41">
        <f t="shared" si="210"/>
        <v>164.14147706651246</v>
      </c>
      <c r="O138" s="41">
        <f t="shared" si="211"/>
        <v>2039513.2584072396</v>
      </c>
      <c r="P138" s="41">
        <f t="shared" si="212"/>
        <v>13095108.252648868</v>
      </c>
      <c r="Q138" s="41">
        <f t="shared" si="213"/>
        <v>2.8379921470884782E-3</v>
      </c>
      <c r="R138" s="41">
        <f t="shared" si="214"/>
        <v>2.2253957570316504E-2</v>
      </c>
      <c r="S138" s="24">
        <f t="shared" ca="1" si="248"/>
        <v>14.07038168427882</v>
      </c>
      <c r="T138" s="10">
        <f t="shared" ca="1" si="215"/>
        <v>14.07038168427882</v>
      </c>
      <c r="U138" s="41">
        <f t="shared" ca="1" si="216"/>
        <v>0.33674565024680359</v>
      </c>
      <c r="V138" s="41">
        <f t="shared" ca="1" si="217"/>
        <v>2.9415780514970128E-2</v>
      </c>
      <c r="W138" s="41">
        <f t="shared" ca="1" si="218"/>
        <v>11.447789055790265</v>
      </c>
      <c r="X138" s="20">
        <f t="shared" ca="1" si="219"/>
        <v>1110.5204224420527</v>
      </c>
      <c r="Y138" s="41">
        <f t="shared" si="220"/>
        <v>0.59359991818199798</v>
      </c>
      <c r="Z138" s="41">
        <f t="shared" ca="1" si="221"/>
        <v>161.91844255422799</v>
      </c>
      <c r="AA138" s="14">
        <f t="shared" ca="1" si="222"/>
        <v>1144.8689886755446</v>
      </c>
      <c r="AB138" s="14">
        <f t="shared" si="249"/>
        <v>4296.8206428463982</v>
      </c>
      <c r="AC138" s="25">
        <f t="shared" ca="1" si="223"/>
        <v>494887.78332981776</v>
      </c>
      <c r="AD138" s="41">
        <f t="shared" si="224"/>
        <v>1857368.8905348538</v>
      </c>
      <c r="AE138" s="6">
        <v>100</v>
      </c>
      <c r="AF138" s="41">
        <f t="shared" si="225"/>
        <v>4296.8206428463982</v>
      </c>
      <c r="AG138" s="41">
        <f t="shared" ca="1" si="226"/>
        <v>3151.9516541708535</v>
      </c>
      <c r="AH138" s="41">
        <f t="shared" ca="1" si="227"/>
        <v>1362481.1072050361</v>
      </c>
      <c r="AI138" s="41">
        <f t="shared" si="228"/>
        <v>3359.479675542982</v>
      </c>
      <c r="AJ138" s="13">
        <f t="shared" ca="1" si="229"/>
        <v>105.08971760928158</v>
      </c>
      <c r="AK138" s="11"/>
      <c r="AL138" s="6">
        <v>350</v>
      </c>
      <c r="AM138" s="41">
        <f t="shared" ca="1" si="230"/>
        <v>3.3304875868187489</v>
      </c>
      <c r="AN138" s="41">
        <f t="shared" ca="1" si="231"/>
        <v>3.1079737104349388</v>
      </c>
      <c r="AO138" s="41">
        <f t="shared" ca="1" si="232"/>
        <v>0.22982837404312578</v>
      </c>
      <c r="AP138" s="67">
        <f t="shared" si="250"/>
        <v>0.78185243341167687</v>
      </c>
      <c r="AQ138" s="11">
        <f t="shared" si="233"/>
        <v>0.99533458321837587</v>
      </c>
      <c r="AR138" s="11">
        <f t="shared" si="234"/>
        <v>0.73570656853064831</v>
      </c>
      <c r="AS138" s="11">
        <f t="shared" si="235"/>
        <v>0.7391550348343866</v>
      </c>
      <c r="AT138" s="11">
        <f t="shared" si="236"/>
        <v>516.25018827787494</v>
      </c>
      <c r="AU138" s="11">
        <f t="shared" si="237"/>
        <v>1556.9169544559284</v>
      </c>
      <c r="AV138" s="11">
        <f t="shared" si="238"/>
        <v>1.7568976022978534E-3</v>
      </c>
      <c r="AW138" s="11">
        <f t="shared" si="239"/>
        <v>3.7236671939872864E-7</v>
      </c>
      <c r="AX138" s="41">
        <f t="shared" ca="1" si="240"/>
        <v>1.8381161565916762</v>
      </c>
      <c r="AY138" s="41">
        <f t="shared" ca="1" si="241"/>
        <v>2.475978981793026</v>
      </c>
      <c r="AZ138" s="41">
        <f t="shared" si="242"/>
        <v>0.27697222573153507</v>
      </c>
      <c r="BA138" s="154">
        <f t="shared" si="251"/>
        <v>0.49066885400609106</v>
      </c>
    </row>
    <row r="139" spans="1:53" ht="14.5">
      <c r="A139" s="41">
        <f t="shared" ca="1" si="243"/>
        <v>15789.393814201185</v>
      </c>
      <c r="B139" s="41">
        <f t="shared" ref="B139:C143" ca="1" si="253">A139/60</f>
        <v>263.15656357001973</v>
      </c>
      <c r="C139" s="41">
        <f t="shared" ca="1" si="253"/>
        <v>4.3859427261669959</v>
      </c>
      <c r="D139" s="41">
        <f t="shared" ca="1" si="244"/>
        <v>13103.110705163133</v>
      </c>
      <c r="E139" s="41">
        <f t="shared" ca="1" si="245"/>
        <v>899.01459865635752</v>
      </c>
      <c r="F139" s="41">
        <f t="shared" ca="1" si="246"/>
        <v>3.1403888560008006</v>
      </c>
      <c r="G139" s="41"/>
      <c r="H139" s="7">
        <f t="shared" si="247"/>
        <v>8600</v>
      </c>
      <c r="I139" s="6">
        <v>15</v>
      </c>
      <c r="J139" s="41">
        <f t="shared" si="207"/>
        <v>0.39541160568397987</v>
      </c>
      <c r="K139" s="41">
        <f t="shared" si="208"/>
        <v>439.89325898508525</v>
      </c>
      <c r="L139" s="6">
        <f t="shared" si="252"/>
        <v>224</v>
      </c>
      <c r="M139" s="41">
        <f t="shared" si="209"/>
        <v>260.62971765651923</v>
      </c>
      <c r="N139" s="41">
        <f t="shared" si="210"/>
        <v>168.12471001093186</v>
      </c>
      <c r="O139" s="41">
        <f t="shared" si="211"/>
        <v>2056654.9755459696</v>
      </c>
      <c r="P139" s="41">
        <f t="shared" si="212"/>
        <v>13205170.121892737</v>
      </c>
      <c r="Q139" s="41">
        <f t="shared" si="213"/>
        <v>2.8327665822211875E-3</v>
      </c>
      <c r="R139" s="41">
        <f t="shared" si="214"/>
        <v>2.2222188041076032E-2</v>
      </c>
      <c r="S139" s="24">
        <f t="shared" ca="1" si="248"/>
        <v>13.755515217370936</v>
      </c>
      <c r="T139" s="10">
        <f t="shared" ca="1" si="215"/>
        <v>13.755515217370936</v>
      </c>
      <c r="U139" s="41">
        <f t="shared" ca="1" si="216"/>
        <v>0.32913721743111801</v>
      </c>
      <c r="V139" s="41">
        <f t="shared" ca="1" si="217"/>
        <v>2.9064038494895229E-2</v>
      </c>
      <c r="W139" s="41">
        <f t="shared" ca="1" si="218"/>
        <v>11.324552074513914</v>
      </c>
      <c r="X139" s="20">
        <f t="shared" ca="1" si="219"/>
        <v>1123.8681000511888</v>
      </c>
      <c r="Y139" s="41">
        <f t="shared" si="220"/>
        <v>0.59317605817374197</v>
      </c>
      <c r="Z139" s="41">
        <f t="shared" ca="1" si="221"/>
        <v>162.90341271361046</v>
      </c>
      <c r="AA139" s="14">
        <f t="shared" ca="1" si="222"/>
        <v>1157.0533314648173</v>
      </c>
      <c r="AB139" s="14">
        <f t="shared" si="249"/>
        <v>4239.5177883399092</v>
      </c>
      <c r="AC139" s="25">
        <f t="shared" ca="1" si="223"/>
        <v>508979.9607976086</v>
      </c>
      <c r="AD139" s="41">
        <f t="shared" si="224"/>
        <v>1864935.2964380835</v>
      </c>
      <c r="AE139" s="6">
        <v>100</v>
      </c>
      <c r="AF139" s="41">
        <f t="shared" si="225"/>
        <v>4239.5177883399092</v>
      </c>
      <c r="AG139" s="41">
        <f t="shared" ca="1" si="226"/>
        <v>3082.4644568750919</v>
      </c>
      <c r="AH139" s="41">
        <f t="shared" ca="1" si="227"/>
        <v>1355955.3356404749</v>
      </c>
      <c r="AI139" s="41">
        <f t="shared" si="228"/>
        <v>3320.2490088793411</v>
      </c>
      <c r="AJ139" s="13">
        <f t="shared" ca="1" si="229"/>
        <v>104.59755138122577</v>
      </c>
      <c r="AK139" s="11"/>
      <c r="AL139" s="6">
        <v>350</v>
      </c>
      <c r="AM139" s="41">
        <f t="shared" ca="1" si="230"/>
        <v>3.3461586373504875</v>
      </c>
      <c r="AN139" s="41">
        <f t="shared" ca="1" si="231"/>
        <v>3.0861333053377784</v>
      </c>
      <c r="AO139" s="41">
        <f t="shared" ca="1" si="232"/>
        <v>0.23530433405752244</v>
      </c>
      <c r="AP139" s="67">
        <f t="shared" si="250"/>
        <v>0.78316666532480073</v>
      </c>
      <c r="AQ139" s="11">
        <f t="shared" si="233"/>
        <v>0.99292821071837589</v>
      </c>
      <c r="AR139" s="11">
        <f t="shared" si="234"/>
        <v>0.72589510792752365</v>
      </c>
      <c r="AS139" s="11">
        <f t="shared" si="235"/>
        <v>0.73106504588317034</v>
      </c>
      <c r="AT139" s="11">
        <f t="shared" si="236"/>
        <v>515.00207505330002</v>
      </c>
      <c r="AU139" s="11">
        <f t="shared" si="237"/>
        <v>1536.1537452983839</v>
      </c>
      <c r="AV139" s="11">
        <f t="shared" si="238"/>
        <v>1.7376685075597075E-3</v>
      </c>
      <c r="AW139" s="11">
        <f t="shared" si="239"/>
        <v>3.7166596824208236E-7</v>
      </c>
      <c r="AX139" s="41">
        <f t="shared" ca="1" si="240"/>
        <v>1.8750222447125116</v>
      </c>
      <c r="AY139" s="41">
        <f t="shared" ca="1" si="241"/>
        <v>2.5256922157253303</v>
      </c>
      <c r="AZ139" s="41">
        <f t="shared" si="242"/>
        <v>0.28162144257725469</v>
      </c>
      <c r="BA139" s="154">
        <f t="shared" si="251"/>
        <v>0.50050430169883242</v>
      </c>
    </row>
    <row r="140" spans="1:53" ht="14.5">
      <c r="A140" s="41">
        <f t="shared" ca="1" si="243"/>
        <v>15792.739972838535</v>
      </c>
      <c r="B140" s="41">
        <f t="shared" ca="1" si="253"/>
        <v>263.21233288064224</v>
      </c>
      <c r="C140" s="41">
        <f t="shared" ca="1" si="253"/>
        <v>4.3868722146773704</v>
      </c>
      <c r="D140" s="41">
        <f t="shared" ca="1" si="244"/>
        <v>13100.024571857795</v>
      </c>
      <c r="E140" s="41">
        <f t="shared" ca="1" si="245"/>
        <v>899.24990299041508</v>
      </c>
      <c r="F140" s="41">
        <f t="shared" ca="1" si="246"/>
        <v>3.3756931900583229</v>
      </c>
      <c r="G140" s="41"/>
      <c r="H140" s="7">
        <f t="shared" si="247"/>
        <v>8950</v>
      </c>
      <c r="I140" s="6">
        <v>15</v>
      </c>
      <c r="J140" s="41">
        <f t="shared" si="207"/>
        <v>0.40281551137812982</v>
      </c>
      <c r="K140" s="41">
        <f t="shared" si="208"/>
        <v>447.58671027992921</v>
      </c>
      <c r="L140" s="6">
        <f t="shared" si="252"/>
        <v>226.75</v>
      </c>
      <c r="M140" s="41">
        <f t="shared" si="209"/>
        <v>265.18796445349358</v>
      </c>
      <c r="N140" s="41">
        <f t="shared" si="210"/>
        <v>172.14697663712593</v>
      </c>
      <c r="O140" s="41">
        <f t="shared" si="211"/>
        <v>2073576.0876808634</v>
      </c>
      <c r="P140" s="41">
        <f t="shared" si="212"/>
        <v>13313815.551996335</v>
      </c>
      <c r="Q140" s="41">
        <f t="shared" si="213"/>
        <v>2.8275879730714003E-3</v>
      </c>
      <c r="R140" s="41">
        <f t="shared" si="214"/>
        <v>2.2190703985478712E-2</v>
      </c>
      <c r="S140" s="24">
        <f t="shared" ca="1" si="248"/>
        <v>13.442138508873816</v>
      </c>
      <c r="T140" s="10">
        <f t="shared" ca="1" si="215"/>
        <v>13.442138508873816</v>
      </c>
      <c r="U140" s="41">
        <f t="shared" ca="1" si="216"/>
        <v>0.32179659946837924</v>
      </c>
      <c r="V140" s="41">
        <f t="shared" ca="1" si="217"/>
        <v>2.8730775416923263E-2</v>
      </c>
      <c r="W140" s="41">
        <f t="shared" ca="1" si="218"/>
        <v>11.200414705091172</v>
      </c>
      <c r="X140" s="20">
        <f t="shared" ca="1" si="219"/>
        <v>1137.5607086266282</v>
      </c>
      <c r="Y140" s="41">
        <f t="shared" si="220"/>
        <v>0.59275570785828702</v>
      </c>
      <c r="Z140" s="41">
        <f t="shared" ca="1" si="221"/>
        <v>163.89371040187521</v>
      </c>
      <c r="AA140" s="14">
        <f t="shared" ca="1" si="222"/>
        <v>1169.6017439339234</v>
      </c>
      <c r="AB140" s="14">
        <f t="shared" si="249"/>
        <v>4182.8353145298888</v>
      </c>
      <c r="AC140" s="25">
        <f t="shared" ca="1" si="223"/>
        <v>523498.19690505293</v>
      </c>
      <c r="AD140" s="41">
        <f t="shared" si="224"/>
        <v>1872181.498073146</v>
      </c>
      <c r="AE140" s="6">
        <v>100</v>
      </c>
      <c r="AF140" s="41">
        <f t="shared" si="225"/>
        <v>4182.8353145298888</v>
      </c>
      <c r="AG140" s="41">
        <f t="shared" ca="1" si="226"/>
        <v>3013.2335705959654</v>
      </c>
      <c r="AH140" s="41">
        <f t="shared" ca="1" si="227"/>
        <v>1348683.301168093</v>
      </c>
      <c r="AI140" s="41">
        <f t="shared" si="228"/>
        <v>3281.3754738238704</v>
      </c>
      <c r="AJ140" s="13">
        <f t="shared" ca="1" si="229"/>
        <v>104.04747222256158</v>
      </c>
      <c r="AK140" s="11"/>
      <c r="AL140" s="6">
        <v>350</v>
      </c>
      <c r="AM140" s="41">
        <f t="shared" ca="1" si="230"/>
        <v>3.3638491404321331</v>
      </c>
      <c r="AN140" s="41">
        <f t="shared" ca="1" si="231"/>
        <v>3.0661255741826419</v>
      </c>
      <c r="AO140" s="41">
        <f t="shared" ca="1" si="232"/>
        <v>0.24100408036009791</v>
      </c>
      <c r="AP140" s="67">
        <f t="shared" si="250"/>
        <v>0.78448593527585864</v>
      </c>
      <c r="AQ140" s="11">
        <f t="shared" si="233"/>
        <v>0.99052183821837592</v>
      </c>
      <c r="AR140" s="11">
        <f t="shared" si="234"/>
        <v>0.71618986962021247</v>
      </c>
      <c r="AS140" s="11">
        <f t="shared" si="235"/>
        <v>0.72304298803588551</v>
      </c>
      <c r="AT140" s="11">
        <f t="shared" si="236"/>
        <v>513.75396182872498</v>
      </c>
      <c r="AU140" s="11">
        <f t="shared" si="237"/>
        <v>1515.6153258876859</v>
      </c>
      <c r="AV140" s="11">
        <f t="shared" si="238"/>
        <v>1.7186008782624962E-3</v>
      </c>
      <c r="AW140" s="11">
        <f t="shared" si="239"/>
        <v>3.7096440200852477E-7</v>
      </c>
      <c r="AX140" s="41">
        <f t="shared" ca="1" si="240"/>
        <v>1.9124174564478706</v>
      </c>
      <c r="AY140" s="41">
        <f t="shared" ca="1" si="241"/>
        <v>2.5760643088840856</v>
      </c>
      <c r="AZ140" s="41">
        <f t="shared" si="242"/>
        <v>0.28629353518869882</v>
      </c>
      <c r="BA140" s="154">
        <f t="shared" si="251"/>
        <v>0.50994799554071957</v>
      </c>
    </row>
    <row r="141" spans="1:53" ht="14.5">
      <c r="A141" s="41">
        <f t="shared" ca="1" si="243"/>
        <v>15796.103821978968</v>
      </c>
      <c r="B141" s="41">
        <f t="shared" ca="1" si="253"/>
        <v>263.26839703298282</v>
      </c>
      <c r="C141" s="41">
        <f t="shared" ca="1" si="253"/>
        <v>4.3878066172163805</v>
      </c>
      <c r="D141" s="41">
        <f t="shared" ca="1" si="244"/>
        <v>13096.958446283612</v>
      </c>
      <c r="E141" s="41">
        <f t="shared" ca="1" si="245"/>
        <v>899.49090707077517</v>
      </c>
      <c r="F141" s="41">
        <f t="shared" ca="1" si="246"/>
        <v>3.6166972704184208</v>
      </c>
      <c r="G141" s="41"/>
      <c r="H141" s="7">
        <f t="shared" si="247"/>
        <v>9300</v>
      </c>
      <c r="I141" s="6">
        <v>15</v>
      </c>
      <c r="J141" s="41">
        <f t="shared" si="207"/>
        <v>0.41029777290982267</v>
      </c>
      <c r="K141" s="41">
        <f t="shared" si="208"/>
        <v>455.34647385407106</v>
      </c>
      <c r="L141" s="6">
        <f t="shared" si="252"/>
        <v>229.5</v>
      </c>
      <c r="M141" s="41">
        <f t="shared" si="209"/>
        <v>269.78550021495545</v>
      </c>
      <c r="N141" s="41">
        <f t="shared" si="210"/>
        <v>176.2076028763359</v>
      </c>
      <c r="O141" s="41">
        <f t="shared" si="211"/>
        <v>2090275.3385176582</v>
      </c>
      <c r="P141" s="41">
        <f t="shared" si="212"/>
        <v>13421036.476667715</v>
      </c>
      <c r="Q141" s="41">
        <f t="shared" si="213"/>
        <v>2.8224536912341007E-3</v>
      </c>
      <c r="R141" s="41">
        <f t="shared" si="214"/>
        <v>2.2159489423780331E-2</v>
      </c>
      <c r="S141" s="24">
        <f t="shared" ca="1" si="248"/>
        <v>13.130273897186298</v>
      </c>
      <c r="T141" s="10">
        <f t="shared" ca="1" si="215"/>
        <v>13.130273897186298</v>
      </c>
      <c r="U141" s="41">
        <f t="shared" ca="1" si="216"/>
        <v>0.31471159756991407</v>
      </c>
      <c r="V141" s="41">
        <f t="shared" ca="1" si="217"/>
        <v>2.8414745393057949E-2</v>
      </c>
      <c r="W141" s="41">
        <f t="shared" ca="1" si="218"/>
        <v>11.07564376229821</v>
      </c>
      <c r="X141" s="20">
        <f t="shared" ca="1" si="219"/>
        <v>1151.5856595719945</v>
      </c>
      <c r="Y141" s="41">
        <f t="shared" si="220"/>
        <v>0.59233866113270617</v>
      </c>
      <c r="Z141" s="41">
        <f t="shared" ca="1" si="221"/>
        <v>164.8893973568735</v>
      </c>
      <c r="AA141" s="14">
        <f t="shared" ca="1" si="222"/>
        <v>1182.5008755577724</v>
      </c>
      <c r="AB141" s="14">
        <f t="shared" si="249"/>
        <v>4126.7680699150587</v>
      </c>
      <c r="AC141" s="25">
        <f t="shared" ca="1" si="223"/>
        <v>538447.60401458328</v>
      </c>
      <c r="AD141" s="41">
        <f t="shared" si="224"/>
        <v>1879109.2890493926</v>
      </c>
      <c r="AE141" s="6">
        <v>100</v>
      </c>
      <c r="AF141" s="41">
        <f t="shared" si="225"/>
        <v>4126.7680699150587</v>
      </c>
      <c r="AG141" s="41">
        <f t="shared" ca="1" si="226"/>
        <v>2944.2671943572864</v>
      </c>
      <c r="AH141" s="41">
        <f t="shared" ca="1" si="227"/>
        <v>1340661.6850348092</v>
      </c>
      <c r="AI141" s="41">
        <f t="shared" si="228"/>
        <v>3242.8559562747937</v>
      </c>
      <c r="AJ141" s="13">
        <f t="shared" ca="1" si="229"/>
        <v>103.43919354854414</v>
      </c>
      <c r="AK141" s="11"/>
      <c r="AL141" s="6">
        <v>350</v>
      </c>
      <c r="AM141" s="41">
        <f t="shared" ca="1" si="230"/>
        <v>3.3836304015242016</v>
      </c>
      <c r="AN141" s="41">
        <f t="shared" ca="1" si="231"/>
        <v>3.0479516670597859</v>
      </c>
      <c r="AO141" s="41">
        <f t="shared" ca="1" si="232"/>
        <v>0.24694133931616127</v>
      </c>
      <c r="AP141" s="67">
        <f t="shared" si="250"/>
        <v>0.78581008220836157</v>
      </c>
      <c r="AQ141" s="11">
        <f t="shared" si="233"/>
        <v>0.98811546571837594</v>
      </c>
      <c r="AR141" s="11">
        <f t="shared" si="234"/>
        <v>0.70658997156274539</v>
      </c>
      <c r="AS141" s="11">
        <f t="shared" si="235"/>
        <v>0.71508846493870337</v>
      </c>
      <c r="AT141" s="11">
        <f t="shared" si="236"/>
        <v>512.50584860415006</v>
      </c>
      <c r="AU141" s="11">
        <f t="shared" si="237"/>
        <v>1495.2998296205128</v>
      </c>
      <c r="AV141" s="11">
        <f t="shared" si="238"/>
        <v>1.6996937723128039E-3</v>
      </c>
      <c r="AW141" s="11">
        <f t="shared" si="239"/>
        <v>3.7026201840146783E-7</v>
      </c>
      <c r="AX141" s="41">
        <f t="shared" ca="1" si="240"/>
        <v>1.9502919309755515</v>
      </c>
      <c r="AY141" s="41">
        <f t="shared" ca="1" si="241"/>
        <v>2.6270819785458754</v>
      </c>
      <c r="AZ141" s="41">
        <f t="shared" si="242"/>
        <v>0.29098800687409687</v>
      </c>
      <c r="BA141" s="154">
        <f t="shared" si="251"/>
        <v>0.51903367315523052</v>
      </c>
    </row>
    <row r="142" spans="1:53" ht="14.5">
      <c r="A142" s="41">
        <f t="shared" ca="1" si="243"/>
        <v>15799.487452380492</v>
      </c>
      <c r="B142" s="41">
        <f t="shared" ca="1" si="253"/>
        <v>263.32479087300823</v>
      </c>
      <c r="C142" s="41">
        <f t="shared" ca="1" si="253"/>
        <v>4.388746514550137</v>
      </c>
      <c r="D142" s="41">
        <f t="shared" ca="1" si="244"/>
        <v>13093.910494616552</v>
      </c>
      <c r="E142" s="41">
        <f t="shared" ca="1" si="245"/>
        <v>899.73784841009137</v>
      </c>
      <c r="F142" s="41">
        <f t="shared" ca="1" si="246"/>
        <v>3.8636386097345823</v>
      </c>
      <c r="G142" s="41"/>
      <c r="H142" s="7">
        <f t="shared" si="247"/>
        <v>9650</v>
      </c>
      <c r="I142" s="6">
        <v>15</v>
      </c>
      <c r="J142" s="41">
        <f t="shared" si="207"/>
        <v>0.4178589309435688</v>
      </c>
      <c r="K142" s="41">
        <f t="shared" si="208"/>
        <v>463.172792232441</v>
      </c>
      <c r="L142" s="6">
        <f t="shared" si="252"/>
        <v>232.25</v>
      </c>
      <c r="M142" s="41">
        <f t="shared" si="209"/>
        <v>274.42246863304558</v>
      </c>
      <c r="N142" s="41">
        <f t="shared" si="210"/>
        <v>180.30588891362015</v>
      </c>
      <c r="O142" s="41">
        <f t="shared" si="211"/>
        <v>2106751.4470728957</v>
      </c>
      <c r="P142" s="41">
        <f t="shared" si="212"/>
        <v>13526824.671092952</v>
      </c>
      <c r="Q142" s="41">
        <f t="shared" si="213"/>
        <v>2.8173611839868882E-3</v>
      </c>
      <c r="R142" s="41">
        <f t="shared" si="214"/>
        <v>2.2128528836359369E-2</v>
      </c>
      <c r="S142" s="24">
        <f t="shared" ca="1" si="248"/>
        <v>12.819942322547439</v>
      </c>
      <c r="T142" s="10">
        <f t="shared" ca="1" si="215"/>
        <v>12.819942322547439</v>
      </c>
      <c r="U142" s="41">
        <f t="shared" ca="1" si="216"/>
        <v>0.30787072024211021</v>
      </c>
      <c r="V142" s="41">
        <f t="shared" ca="1" si="217"/>
        <v>2.8114799735470777E-2</v>
      </c>
      <c r="W142" s="41">
        <f t="shared" ca="1" si="218"/>
        <v>10.950485976739431</v>
      </c>
      <c r="X142" s="20">
        <f t="shared" ca="1" si="219"/>
        <v>1165.9307103244682</v>
      </c>
      <c r="Y142" s="41">
        <f t="shared" si="220"/>
        <v>0.59192471740954078</v>
      </c>
      <c r="Z142" s="41">
        <f t="shared" ca="1" si="221"/>
        <v>165.89053702827255</v>
      </c>
      <c r="AA142" s="14">
        <f t="shared" ca="1" si="222"/>
        <v>1195.7378441861022</v>
      </c>
      <c r="AB142" s="14">
        <f t="shared" si="249"/>
        <v>4071.3109327094548</v>
      </c>
      <c r="AC142" s="25">
        <f t="shared" ca="1" si="223"/>
        <v>553833.23606967635</v>
      </c>
      <c r="AD142" s="41">
        <f t="shared" si="224"/>
        <v>1885720.4527495019</v>
      </c>
      <c r="AE142" s="6">
        <v>100</v>
      </c>
      <c r="AF142" s="41">
        <f t="shared" si="225"/>
        <v>4071.3109327094548</v>
      </c>
      <c r="AG142" s="41">
        <f t="shared" ca="1" si="226"/>
        <v>2875.5730885233525</v>
      </c>
      <c r="AH142" s="41">
        <f t="shared" ca="1" si="227"/>
        <v>1331887.2166798254</v>
      </c>
      <c r="AI142" s="41">
        <f t="shared" si="228"/>
        <v>3204.6873696380758</v>
      </c>
      <c r="AJ142" s="13">
        <f t="shared" ca="1" si="229"/>
        <v>102.77243537385068</v>
      </c>
      <c r="AK142" s="11"/>
      <c r="AL142" s="6">
        <v>350</v>
      </c>
      <c r="AM142" s="41">
        <f t="shared" ca="1" si="230"/>
        <v>3.405582428078314</v>
      </c>
      <c r="AN142" s="41">
        <f t="shared" ca="1" si="231"/>
        <v>3.0316186093122064</v>
      </c>
      <c r="AO142" s="41">
        <f t="shared" ca="1" si="232"/>
        <v>0.25313099688882174</v>
      </c>
      <c r="AP142" s="67">
        <f t="shared" si="250"/>
        <v>0.78713893942395563</v>
      </c>
      <c r="AQ142" s="11">
        <f t="shared" si="233"/>
        <v>0.98570909321837585</v>
      </c>
      <c r="AR142" s="11">
        <f t="shared" si="234"/>
        <v>0.69709453679704381</v>
      </c>
      <c r="AS142" s="11">
        <f t="shared" si="235"/>
        <v>0.70720108152903904</v>
      </c>
      <c r="AT142" s="11">
        <f t="shared" si="236"/>
        <v>511.25773537957497</v>
      </c>
      <c r="AU142" s="11">
        <f t="shared" si="237"/>
        <v>1475.20540066064</v>
      </c>
      <c r="AV142" s="11">
        <f t="shared" si="238"/>
        <v>1.6809462506863729E-3</v>
      </c>
      <c r="AW142" s="11">
        <f t="shared" si="239"/>
        <v>3.6955881511546951E-7</v>
      </c>
      <c r="AX142" s="41">
        <f t="shared" ca="1" si="240"/>
        <v>1.9886359545067851</v>
      </c>
      <c r="AY142" s="41">
        <f t="shared" ca="1" si="241"/>
        <v>2.678732140044239</v>
      </c>
      <c r="AZ142" s="41">
        <f t="shared" si="242"/>
        <v>0.29570433908930377</v>
      </c>
      <c r="BA142" s="154">
        <f t="shared" si="251"/>
        <v>0.52779202369881473</v>
      </c>
    </row>
    <row r="143" spans="1:53" ht="14.5">
      <c r="A143" s="41">
        <f t="shared" ca="1" si="243"/>
        <v>15802.893034808571</v>
      </c>
      <c r="B143" s="41">
        <f t="shared" ca="1" si="253"/>
        <v>263.38155058014286</v>
      </c>
      <c r="C143" s="41">
        <f t="shared" ca="1" si="253"/>
        <v>4.3896925096690476</v>
      </c>
      <c r="D143" s="41">
        <f t="shared" ca="1" si="244"/>
        <v>13090.87887600724</v>
      </c>
      <c r="E143" s="41">
        <f t="shared" ca="1" si="245"/>
        <v>899.99097940698016</v>
      </c>
      <c r="F143" s="41">
        <f t="shared" ca="1" si="246"/>
        <v>4.1167696066234036</v>
      </c>
      <c r="G143" s="41"/>
      <c r="H143" s="7">
        <f t="shared" si="247"/>
        <v>10000</v>
      </c>
      <c r="I143" s="6">
        <v>15</v>
      </c>
      <c r="J143" s="41">
        <f t="shared" si="207"/>
        <v>0.42549951772196798</v>
      </c>
      <c r="K143" s="41">
        <f t="shared" si="208"/>
        <v>471.06589471883535</v>
      </c>
      <c r="L143" s="6">
        <f t="shared" si="252"/>
        <v>235</v>
      </c>
      <c r="M143" s="41">
        <f t="shared" si="209"/>
        <v>279.09900556659443</v>
      </c>
      <c r="N143" s="41">
        <f t="shared" si="210"/>
        <v>184.44110870126713</v>
      </c>
      <c r="O143" s="41">
        <f t="shared" si="211"/>
        <v>2123003.108316463</v>
      </c>
      <c r="P143" s="41">
        <f t="shared" si="212"/>
        <v>13631171.75606169</v>
      </c>
      <c r="Q143" s="41">
        <f t="shared" si="213"/>
        <v>2.8123079706811947E-3</v>
      </c>
      <c r="R143" s="41">
        <f t="shared" si="214"/>
        <v>2.2097807141776935E-2</v>
      </c>
      <c r="S143" s="24">
        <f t="shared" ca="1" si="248"/>
        <v>12.511163507571037</v>
      </c>
      <c r="T143" s="10">
        <f t="shared" ca="1" si="215"/>
        <v>12.511163507571037</v>
      </c>
      <c r="U143" s="41">
        <f t="shared" ca="1" si="216"/>
        <v>0.30126313387352549</v>
      </c>
      <c r="V143" s="41">
        <f t="shared" ca="1" si="217"/>
        <v>2.7829878257245366E-2</v>
      </c>
      <c r="W143" s="41">
        <f t="shared" ca="1" si="218"/>
        <v>10.825168945720888</v>
      </c>
      <c r="X143" s="20">
        <f t="shared" ca="1" si="219"/>
        <v>1180.5839281811534</v>
      </c>
      <c r="Y143" s="41">
        <f t="shared" si="220"/>
        <v>0.59151368135346993</v>
      </c>
      <c r="Z143" s="41">
        <f t="shared" ca="1" si="221"/>
        <v>166.89719445862792</v>
      </c>
      <c r="AA143" s="14">
        <f t="shared" ca="1" si="222"/>
        <v>1209.3001912161353</v>
      </c>
      <c r="AB143" s="14">
        <f t="shared" si="249"/>
        <v>4016.4588107467653</v>
      </c>
      <c r="AC143" s="25">
        <f t="shared" ca="1" si="223"/>
        <v>569660.07655888749</v>
      </c>
      <c r="AD143" s="41">
        <f t="shared" si="224"/>
        <v>1892016.7632857743</v>
      </c>
      <c r="AE143" s="6">
        <v>100</v>
      </c>
      <c r="AF143" s="41">
        <f t="shared" si="225"/>
        <v>4016.4588107467653</v>
      </c>
      <c r="AG143" s="41">
        <f t="shared" ca="1" si="226"/>
        <v>2807.1586195306299</v>
      </c>
      <c r="AH143" s="41">
        <f t="shared" ca="1" si="227"/>
        <v>1322356.6867268868</v>
      </c>
      <c r="AI143" s="41">
        <f t="shared" si="228"/>
        <v>3166.8666550499343</v>
      </c>
      <c r="AJ143" s="13">
        <f t="shared" ca="1" si="229"/>
        <v>102.04692530727095</v>
      </c>
      <c r="AK143" s="11"/>
      <c r="AL143" s="6">
        <v>0</v>
      </c>
      <c r="AM143" s="41">
        <f t="shared" ca="1" si="230"/>
        <v>0</v>
      </c>
      <c r="AN143" s="41">
        <f t="shared" ca="1" si="231"/>
        <v>0</v>
      </c>
      <c r="AO143" s="41">
        <f t="shared" ca="1" si="232"/>
        <v>0</v>
      </c>
      <c r="AP143" s="67">
        <f>0.701 + 0.301*AZ143 + -0.0328*AZ143^2</f>
        <v>0.78847233452921439</v>
      </c>
      <c r="AQ143" s="11">
        <f t="shared" si="233"/>
        <v>0.98330272071837588</v>
      </c>
      <c r="AR143" s="11">
        <f t="shared" si="234"/>
        <v>0.68770269343653956</v>
      </c>
      <c r="AS143" s="11">
        <f t="shared" si="235"/>
        <v>0.69938044403469313</v>
      </c>
      <c r="AT143" s="11">
        <f t="shared" si="236"/>
        <v>510.00962215499999</v>
      </c>
      <c r="AU143" s="11">
        <f t="shared" si="237"/>
        <v>1455.3301939042735</v>
      </c>
      <c r="AV143" s="11">
        <f t="shared" si="238"/>
        <v>1.6623573774260621E-3</v>
      </c>
      <c r="AW143" s="11">
        <f t="shared" si="239"/>
        <v>3.6885478983619832E-7</v>
      </c>
      <c r="AX143" s="41">
        <f t="shared" ca="1" si="240"/>
        <v>2.027439924042437</v>
      </c>
      <c r="AY143" s="41">
        <f t="shared" ca="1" si="241"/>
        <v>2.7310018579485544</v>
      </c>
      <c r="AZ143" s="41">
        <f t="shared" si="242"/>
        <v>0.30044199110228809</v>
      </c>
      <c r="BA143" s="154">
        <f>2.12 - (0.00251*AF143) + (1.94*10^(-6)*AF143^2) - (7.84*10^(-10)*AF143^3) + (1.7*10^(-13)*AF143^4) - (1.89*10^(-17)*AF143^5) + (8.37*10^(-22)*AF143^6)</f>
        <v>0.53625077120483677</v>
      </c>
    </row>
    <row r="144" spans="1:53" ht="14.5">
      <c r="B144" s="135">
        <f ca="1">B143-B123</f>
        <v>1.1023943572211579</v>
      </c>
      <c r="X144" s="32">
        <f ca="1">AVERAGE(X123:X143)</f>
        <v>1057.3853731307759</v>
      </c>
      <c r="AC144" s="3"/>
      <c r="AD144" s="3"/>
      <c r="AN144" s="32">
        <f ca="1">SUM(AN123:AN143)</f>
        <v>65.887732644832553</v>
      </c>
      <c r="AP144" s="145"/>
    </row>
    <row r="145" spans="1:53" ht="14.5">
      <c r="A145" s="67" t="s">
        <v>236</v>
      </c>
      <c r="B145" s="67" t="s">
        <v>120</v>
      </c>
      <c r="C145" s="67">
        <v>100</v>
      </c>
      <c r="D145" s="67" t="s">
        <v>49</v>
      </c>
      <c r="E145" s="53"/>
      <c r="F145" s="53"/>
      <c r="G145" s="53"/>
      <c r="H145" s="53"/>
      <c r="I145" s="53"/>
      <c r="J145" s="53"/>
      <c r="K145" s="53"/>
      <c r="L145" s="67" t="s">
        <v>60</v>
      </c>
      <c r="M145" s="53"/>
      <c r="N145" s="53"/>
      <c r="O145" s="53"/>
      <c r="P145" s="53"/>
      <c r="Q145" s="67"/>
      <c r="R145" s="53"/>
      <c r="S145" s="53"/>
      <c r="T145" s="53"/>
      <c r="U145" s="67"/>
      <c r="V145" s="67"/>
      <c r="W145" s="67"/>
      <c r="X145" s="67"/>
      <c r="Y145" s="53"/>
      <c r="Z145" s="53"/>
      <c r="AA145" s="67"/>
      <c r="AB145" s="67"/>
      <c r="AC145" s="53"/>
      <c r="AD145" s="53"/>
      <c r="AE145" s="53"/>
      <c r="AF145" s="67"/>
      <c r="AG145" s="53"/>
      <c r="AH145" s="53"/>
      <c r="AI145" s="53"/>
      <c r="AJ145" s="67" t="s">
        <v>61</v>
      </c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</row>
    <row r="146" spans="1:53" ht="14.5">
      <c r="A146" s="41" t="s">
        <v>2</v>
      </c>
      <c r="B146" s="41" t="s">
        <v>2</v>
      </c>
      <c r="C146" s="41" t="s">
        <v>2</v>
      </c>
      <c r="D146" s="41" t="s">
        <v>23</v>
      </c>
      <c r="E146" s="41" t="s">
        <v>24</v>
      </c>
      <c r="F146" s="41" t="s">
        <v>25</v>
      </c>
      <c r="G146" s="41"/>
      <c r="H146" s="41" t="s">
        <v>0</v>
      </c>
      <c r="I146" s="5" t="s">
        <v>26</v>
      </c>
      <c r="J146" s="41" t="s">
        <v>27</v>
      </c>
      <c r="K146" s="41" t="s">
        <v>28</v>
      </c>
      <c r="L146" s="12" t="s">
        <v>29</v>
      </c>
      <c r="M146" s="13" t="s">
        <v>30</v>
      </c>
      <c r="N146" s="41" t="s">
        <v>31</v>
      </c>
      <c r="O146" s="41" t="s">
        <v>32</v>
      </c>
      <c r="P146" s="41" t="s">
        <v>33</v>
      </c>
      <c r="Q146" s="41" t="s">
        <v>34</v>
      </c>
      <c r="R146" s="41" t="s">
        <v>13</v>
      </c>
      <c r="S146" s="24" t="s">
        <v>35</v>
      </c>
      <c r="T146" s="10" t="s">
        <v>35</v>
      </c>
      <c r="U146" s="41" t="s">
        <v>36</v>
      </c>
      <c r="V146" s="41" t="s">
        <v>37</v>
      </c>
      <c r="W146" s="41" t="s">
        <v>38</v>
      </c>
      <c r="X146" s="41" t="s">
        <v>39</v>
      </c>
      <c r="Y146" s="41" t="s">
        <v>40</v>
      </c>
      <c r="Z146" s="35" t="s">
        <v>108</v>
      </c>
      <c r="AA146" s="35" t="s">
        <v>109</v>
      </c>
      <c r="AB146" s="9" t="s">
        <v>110</v>
      </c>
      <c r="AC146" s="7" t="s">
        <v>111</v>
      </c>
      <c r="AD146" s="7" t="s">
        <v>112</v>
      </c>
      <c r="AE146" s="5" t="s">
        <v>41</v>
      </c>
      <c r="AF146" s="7" t="s">
        <v>113</v>
      </c>
      <c r="AG146" s="7" t="s">
        <v>114</v>
      </c>
      <c r="AH146" s="7" t="s">
        <v>115</v>
      </c>
      <c r="AI146" s="41" t="s">
        <v>42</v>
      </c>
      <c r="AJ146" s="41" t="s">
        <v>43</v>
      </c>
      <c r="AK146" s="36"/>
      <c r="AL146" s="5" t="s">
        <v>44</v>
      </c>
      <c r="AM146" s="41" t="s">
        <v>45</v>
      </c>
      <c r="AN146" s="41" t="s">
        <v>46</v>
      </c>
      <c r="AO146" s="5" t="s">
        <v>47</v>
      </c>
      <c r="AP146" s="53"/>
      <c r="AQ146" s="15" t="s">
        <v>62</v>
      </c>
      <c r="AR146" s="16" t="s">
        <v>63</v>
      </c>
      <c r="AS146" s="16" t="s">
        <v>64</v>
      </c>
      <c r="AT146" s="17" t="s">
        <v>65</v>
      </c>
      <c r="AU146" s="18" t="s">
        <v>66</v>
      </c>
      <c r="AV146" s="18" t="s">
        <v>67</v>
      </c>
      <c r="AW146" s="19" t="s">
        <v>68</v>
      </c>
      <c r="AX146" s="7" t="s">
        <v>207</v>
      </c>
      <c r="AY146" s="7" t="s">
        <v>208</v>
      </c>
      <c r="AZ146" s="7" t="s">
        <v>209</v>
      </c>
    </row>
    <row r="147" spans="1:53" ht="14.5">
      <c r="A147" s="41" t="s">
        <v>18</v>
      </c>
      <c r="B147" s="41" t="s">
        <v>21</v>
      </c>
      <c r="C147" s="41" t="s">
        <v>48</v>
      </c>
      <c r="D147" s="41" t="s">
        <v>8</v>
      </c>
      <c r="E147" s="41" t="s">
        <v>49</v>
      </c>
      <c r="F147" s="41" t="s">
        <v>49</v>
      </c>
      <c r="G147" s="41"/>
      <c r="H147" s="41" t="s">
        <v>9</v>
      </c>
      <c r="I147" s="5" t="s">
        <v>50</v>
      </c>
      <c r="J147" s="41"/>
      <c r="K147" s="41" t="s">
        <v>51</v>
      </c>
      <c r="L147" s="5" t="s">
        <v>52</v>
      </c>
      <c r="M147" s="41" t="s">
        <v>52</v>
      </c>
      <c r="N147" s="41" t="s">
        <v>53</v>
      </c>
      <c r="O147" s="41" t="s">
        <v>54</v>
      </c>
      <c r="P147" s="41"/>
      <c r="Q147" s="41"/>
      <c r="R147" s="41"/>
      <c r="S147" s="24" t="s">
        <v>55</v>
      </c>
      <c r="T147" s="10" t="s">
        <v>55</v>
      </c>
      <c r="U147" s="41"/>
      <c r="V147" s="41"/>
      <c r="W147" s="41"/>
      <c r="X147" s="41"/>
      <c r="Y147" s="41"/>
      <c r="Z147" s="41"/>
      <c r="AA147" s="9" t="s">
        <v>118</v>
      </c>
      <c r="AB147" s="9" t="s">
        <v>118</v>
      </c>
      <c r="AC147" s="7" t="s">
        <v>119</v>
      </c>
      <c r="AD147" s="7" t="s">
        <v>119</v>
      </c>
      <c r="AE147" s="5" t="s">
        <v>20</v>
      </c>
      <c r="AF147" s="7" t="s">
        <v>118</v>
      </c>
      <c r="AG147" s="7" t="s">
        <v>118</v>
      </c>
      <c r="AH147" s="7" t="s">
        <v>119</v>
      </c>
      <c r="AI147" s="41" t="s">
        <v>56</v>
      </c>
      <c r="AJ147" s="41" t="s">
        <v>57</v>
      </c>
      <c r="AK147" s="11"/>
      <c r="AL147" s="5" t="s">
        <v>9</v>
      </c>
      <c r="AM147" s="41" t="s">
        <v>18</v>
      </c>
      <c r="AN147" s="41" t="s">
        <v>8</v>
      </c>
      <c r="AO147" s="5" t="s">
        <v>49</v>
      </c>
      <c r="AP147" s="53"/>
      <c r="AQ147" s="11"/>
      <c r="AR147" s="11"/>
      <c r="AS147" s="11"/>
      <c r="AT147" s="11"/>
      <c r="AU147" s="11"/>
      <c r="AV147" s="11"/>
      <c r="AW147" s="11"/>
      <c r="AX147" s="41"/>
      <c r="AY147" s="41"/>
      <c r="AZ147" s="41"/>
    </row>
    <row r="148" spans="1:53" ht="14.5">
      <c r="A148" s="41">
        <f ca="1">A143</f>
        <v>15802.893034808571</v>
      </c>
      <c r="B148" s="41">
        <f t="shared" ref="B148:C148" ca="1" si="254">(A148/60)</f>
        <v>263.38155058014286</v>
      </c>
      <c r="C148" s="41">
        <f t="shared" ca="1" si="254"/>
        <v>4.3896925096690476</v>
      </c>
      <c r="D148" s="41">
        <f t="shared" ref="D148:E148" ca="1" si="255">D143</f>
        <v>13090.87887600724</v>
      </c>
      <c r="E148" s="41">
        <f t="shared" ca="1" si="255"/>
        <v>899.99097940698016</v>
      </c>
      <c r="F148" s="7">
        <v>0</v>
      </c>
      <c r="G148" s="41"/>
      <c r="H148" s="7">
        <f>H143</f>
        <v>10000</v>
      </c>
      <c r="I148" s="6">
        <v>15</v>
      </c>
      <c r="J148" s="41">
        <f t="shared" ref="J148:J168" si="256">SQRT((((((((L148^2)*(0.2))/(661.477)^2) + 1)^(3.5) - 1)*(1/AR148) + 1)^(1/3.5) - 1)*(5))</f>
        <v>0.42549951772196798</v>
      </c>
      <c r="K148" s="41">
        <f t="shared" ref="K148:K168" si="257">SQRT((1.4*2116.22*AR148*(J148)^2)/AV148)</f>
        <v>471.06589471883535</v>
      </c>
      <c r="L148" s="120">
        <v>235</v>
      </c>
      <c r="M148" s="41">
        <f t="shared" ref="M148:M168" si="258">K148*0.592484</f>
        <v>279.09900556659443</v>
      </c>
      <c r="N148" s="41">
        <f t="shared" ref="N148:N168" si="259">0.5*AV148*K148^2</f>
        <v>184.44110870126713</v>
      </c>
      <c r="O148" s="41">
        <f t="shared" ref="O148:O168" si="260">P148/$B$7</f>
        <v>2123003.108316463</v>
      </c>
      <c r="P148" s="41">
        <f t="shared" ref="P148:P168" si="261">(AV148*K148*$B$7)/(AW148)</f>
        <v>13631171.75606169</v>
      </c>
      <c r="Q148" s="41">
        <f t="shared" ref="Q148:Q168" si="262">0.455/(LOG10(P148)^2.58 * (1+0.144*J148*J148)^0.65)</f>
        <v>2.8123079706811947E-3</v>
      </c>
      <c r="R148" s="41">
        <f t="shared" ref="R148:R168" si="263">(((Q148*$B$4)+$B$17)+(0.1*(Q148*$B$4)))</f>
        <v>2.2097807141776935E-2</v>
      </c>
      <c r="S148" s="24">
        <f ca="1">T148</f>
        <v>0</v>
      </c>
      <c r="T148" s="10">
        <f t="shared" ref="T148:T168" ca="1" si="264">DEGREES(ASIN(((AF148-X148)/(D148))))</f>
        <v>0</v>
      </c>
      <c r="U148" s="41">
        <f t="shared" ref="U148:U168" ca="1" si="265">(D148*COS(RADIANS(S148)))/(N148*$B$3)</f>
        <v>0.30859099188391143</v>
      </c>
      <c r="V148" s="41">
        <f t="shared" ref="V148:V168" ca="1" si="266">(X148)/(N148*$B$3)</f>
        <v>2.8112120882255461E-2</v>
      </c>
      <c r="W148" s="41">
        <f t="shared" ref="W148:W168" ca="1" si="267">U148/V148</f>
        <v>10.977150858749186</v>
      </c>
      <c r="X148" s="20">
        <f t="shared" ref="X148:X168" ca="1" si="268">(N148*$B$3*R148)+((N148*$B$3)*((U148^2)/(PI()*$B$6*$B$5)))</f>
        <v>1192.5570709974654</v>
      </c>
      <c r="Y148" s="41">
        <f t="shared" ref="Y148:Y168" si="269">SQRT(PI()*$B$6*$B$5*R148)</f>
        <v>0.59151368135346993</v>
      </c>
      <c r="Z148" s="41">
        <f t="shared" ref="Z148:Z168" ca="1" si="270">SQRT((2*((U148*N148*$B$3)/(D148))*D148)/(AV148*$B$3*$B$18))</f>
        <v>168.91478458719939</v>
      </c>
      <c r="AA148" s="14">
        <f t="shared" ref="AA148:AA168" ca="1" si="271">D148/W148</f>
        <v>1192.5570709974654</v>
      </c>
      <c r="AB148" s="14">
        <f>$B$15*AR148*0.93</f>
        <v>4016.4588107467653</v>
      </c>
      <c r="AC148" s="25">
        <f t="shared" ref="AC148:AC168" ca="1" si="272">AA148*K148</f>
        <v>561772.96365269471</v>
      </c>
      <c r="AD148" s="41">
        <f t="shared" ref="AD148:AD168" si="273">AB148*K148</f>
        <v>1892016.7632857743</v>
      </c>
      <c r="AE148" s="5">
        <f t="shared" ref="AE148:AE168" ca="1" si="274">(AA148/AB148)*100</f>
        <v>29.691754034836915</v>
      </c>
      <c r="AF148" s="7">
        <f t="shared" ref="AF148:AF168" ca="1" si="275">(AB148)*(AE148/100)</f>
        <v>1192.5570709974654</v>
      </c>
      <c r="AG148" s="41">
        <f t="shared" ref="AG148:AG168" ca="1" si="276">AB148-AA148</f>
        <v>2823.9017397492998</v>
      </c>
      <c r="AH148" s="41">
        <f t="shared" ref="AH148:AH168" ca="1" si="277">AD148-AC148</f>
        <v>1330243.7996330797</v>
      </c>
      <c r="AI148" s="41">
        <f t="shared" ref="AI148:AI168" ca="1" si="278">(AP148*AF148)</f>
        <v>928.45806753823626</v>
      </c>
      <c r="AJ148" s="13">
        <f t="shared" ref="AJ148:AJ168" ca="1" si="279">K148*SIN(RADIANS(T148))</f>
        <v>0</v>
      </c>
      <c r="AK148" s="11"/>
      <c r="AL148" s="6">
        <v>0</v>
      </c>
      <c r="AM148" s="41">
        <f t="shared" ref="AM148:AM168" si="280">(AO148/M148)*3600</f>
        <v>64.493243046346549</v>
      </c>
      <c r="AN148" s="41">
        <f t="shared" ref="AN148:AN168" ca="1" si="281">AI148*(AM148/3600)</f>
        <v>16.633131057801307</v>
      </c>
      <c r="AO148" s="6">
        <v>5</v>
      </c>
      <c r="AP148" s="67">
        <f>0.692 + 0.298*AZ148 + -0.0331*AZ148^2</f>
        <v>0.77854392893890234</v>
      </c>
      <c r="AQ148" s="11">
        <f t="shared" ref="AQ148:AQ168" si="282">IF(H148 &lt;= 36089, ((1 - 6.87535*10^(-6)*H148) + ((I148*1.8)/518.67)), 0.75187 + ((I148*1.8)/518.67))</f>
        <v>0.98330272071837588</v>
      </c>
      <c r="AR148" s="11">
        <f t="shared" ref="AR148:AR168" si="283">IF(H148 &lt;= 36089, (1 - 6.87535*10^(-6)*H148)^5.2561, 0.22336*EXP((36089 - H148)/(20806.7)))</f>
        <v>0.68770269343653956</v>
      </c>
      <c r="AS148" s="11">
        <f t="shared" ref="AS148:AS168" si="284">(AR148/AQ148)</f>
        <v>0.69938044403469313</v>
      </c>
      <c r="AT148" s="11">
        <f t="shared" ref="AT148:AT168" si="285">(518.67*AQ148)</f>
        <v>510.00962215499999</v>
      </c>
      <c r="AU148" s="11">
        <f t="shared" ref="AU148:AU168" si="286">2116.22*AR148</f>
        <v>1455.3301939042735</v>
      </c>
      <c r="AV148" s="11">
        <f t="shared" ref="AV148:AV168" si="287">(0.0023769*AS148)</f>
        <v>1.6623573774260621E-3</v>
      </c>
      <c r="AW148" s="11">
        <f t="shared" ref="AW148:AW168" si="288">((2.2697*10^-8)*(AT148^1.5))/(AT148+198.72)</f>
        <v>3.6885478983619832E-7</v>
      </c>
      <c r="AX148" s="41">
        <f t="shared" ref="AX148:AX168" ca="1" si="289">(1/U148)*(((1 + 0.2*(U148)^2)/1.2)^3)</f>
        <v>1.9845131191340279</v>
      </c>
      <c r="AY148" s="41">
        <f t="shared" ref="AY148:AY168" ca="1" si="290">($H$4/$H$3)*AX148</f>
        <v>2.6731785988864987</v>
      </c>
      <c r="AZ148" s="41">
        <f t="shared" ref="AZ148:AZ168" si="291">-6.6*10^(-3) + 0.825*J148 - 0.243*(J148^2)</f>
        <v>0.30044199110228809</v>
      </c>
      <c r="BA148" s="154">
        <f ca="1">2.12-0.00251*AF148+1.94*10^-6*AF148^2-7.84*10^-10*AF148^3+1.7*10^-13*AF148^4-1.89*10^-17*AF148^5+8.37*10^-22*AF148^6</f>
        <v>0.85670145647224372</v>
      </c>
    </row>
    <row r="149" spans="1:53" ht="14.5">
      <c r="A149" s="41">
        <f t="shared" ref="A149:A168" ca="1" si="292">A148+AM148</f>
        <v>15867.386277854917</v>
      </c>
      <c r="B149" s="41">
        <f t="shared" ref="B149:C164" ca="1" si="293">A149/60</f>
        <v>264.45643796424861</v>
      </c>
      <c r="C149" s="41">
        <f t="shared" ca="1" si="293"/>
        <v>4.4076072994041438</v>
      </c>
      <c r="D149" s="41">
        <f t="shared" ref="D149:D168" ca="1" si="294">D148-AN148</f>
        <v>13074.24574494944</v>
      </c>
      <c r="E149" s="41">
        <f t="shared" ref="E149:E168" ca="1" si="295">E148+AO148</f>
        <v>904.99097940698016</v>
      </c>
      <c r="F149" s="7">
        <f t="shared" ref="F149:F168" si="296">F148+AO148</f>
        <v>5</v>
      </c>
      <c r="G149" s="41"/>
      <c r="H149" s="7">
        <f t="shared" ref="H149:H168" si="297">H148+AL148</f>
        <v>10000</v>
      </c>
      <c r="I149" s="6">
        <v>15</v>
      </c>
      <c r="J149" s="41">
        <f t="shared" si="256"/>
        <v>0.42549951772196798</v>
      </c>
      <c r="K149" s="41">
        <f t="shared" si="257"/>
        <v>471.06589471883535</v>
      </c>
      <c r="L149" s="6">
        <f t="shared" ref="L149:L168" si="298">L148</f>
        <v>235</v>
      </c>
      <c r="M149" s="41">
        <f t="shared" si="258"/>
        <v>279.09900556659443</v>
      </c>
      <c r="N149" s="41">
        <f t="shared" si="259"/>
        <v>184.44110870126713</v>
      </c>
      <c r="O149" s="41">
        <f t="shared" si="260"/>
        <v>2123003.108316463</v>
      </c>
      <c r="P149" s="41">
        <f t="shared" si="261"/>
        <v>13631171.75606169</v>
      </c>
      <c r="Q149" s="41">
        <f t="shared" si="262"/>
        <v>2.8123079706811947E-3</v>
      </c>
      <c r="R149" s="41">
        <f t="shared" si="263"/>
        <v>2.2097807141776935E-2</v>
      </c>
      <c r="S149" s="24">
        <f t="shared" ref="S149:S168" ca="1" si="299">T149</f>
        <v>0</v>
      </c>
      <c r="T149" s="10">
        <f t="shared" ca="1" si="264"/>
        <v>0</v>
      </c>
      <c r="U149" s="41">
        <f t="shared" ca="1" si="265"/>
        <v>0.30819889946140272</v>
      </c>
      <c r="V149" s="41">
        <f t="shared" ca="1" si="266"/>
        <v>2.8096847145980625E-2</v>
      </c>
      <c r="W149" s="41">
        <f t="shared" ca="1" si="267"/>
        <v>10.969163118556237</v>
      </c>
      <c r="X149" s="20">
        <f t="shared" ca="1" si="268"/>
        <v>1191.9091368813808</v>
      </c>
      <c r="Y149" s="41">
        <f t="shared" si="269"/>
        <v>0.59151368135346993</v>
      </c>
      <c r="Z149" s="41">
        <f t="shared" ca="1" si="270"/>
        <v>168.8074398168508</v>
      </c>
      <c r="AA149" s="14">
        <f t="shared" ca="1" si="271"/>
        <v>1191.9091368813808</v>
      </c>
      <c r="AB149" s="14">
        <f t="shared" ref="AB149:AB168" si="300">$B$15*AR149*0.93</f>
        <v>4016.4588107467653</v>
      </c>
      <c r="AC149" s="25">
        <f t="shared" ca="1" si="272"/>
        <v>561467.74398858252</v>
      </c>
      <c r="AD149" s="41">
        <f t="shared" si="273"/>
        <v>1892016.7632857743</v>
      </c>
      <c r="AE149" s="5">
        <f t="shared" ca="1" si="274"/>
        <v>29.675622060214124</v>
      </c>
      <c r="AF149" s="7">
        <f t="shared" ca="1" si="275"/>
        <v>1191.9091368813808</v>
      </c>
      <c r="AG149" s="41">
        <f t="shared" ca="1" si="276"/>
        <v>2824.5496738653846</v>
      </c>
      <c r="AH149" s="41">
        <f t="shared" ca="1" si="277"/>
        <v>1330549.0192971919</v>
      </c>
      <c r="AI149" s="41">
        <f t="shared" ca="1" si="278"/>
        <v>927.95362236580615</v>
      </c>
      <c r="AJ149" s="13">
        <f t="shared" ca="1" si="279"/>
        <v>0</v>
      </c>
      <c r="AK149" s="11"/>
      <c r="AL149" s="6">
        <v>0</v>
      </c>
      <c r="AM149" s="41">
        <f t="shared" si="280"/>
        <v>64.493243046346549</v>
      </c>
      <c r="AN149" s="41">
        <f t="shared" ca="1" si="281"/>
        <v>16.624094028604336</v>
      </c>
      <c r="AO149" s="6">
        <v>5</v>
      </c>
      <c r="AP149" s="67">
        <f t="shared" ref="AP149:AP168" si="301">0.692 + 0.298*AZ149 + -0.0331*AZ149^2</f>
        <v>0.77854392893890234</v>
      </c>
      <c r="AQ149" s="11">
        <f t="shared" si="282"/>
        <v>0.98330272071837588</v>
      </c>
      <c r="AR149" s="11">
        <f t="shared" si="283"/>
        <v>0.68770269343653956</v>
      </c>
      <c r="AS149" s="11">
        <f t="shared" si="284"/>
        <v>0.69938044403469313</v>
      </c>
      <c r="AT149" s="11">
        <f t="shared" si="285"/>
        <v>510.00962215499999</v>
      </c>
      <c r="AU149" s="11">
        <f t="shared" si="286"/>
        <v>1455.3301939042735</v>
      </c>
      <c r="AV149" s="11">
        <f t="shared" si="287"/>
        <v>1.6623573774260621E-3</v>
      </c>
      <c r="AW149" s="11">
        <f t="shared" si="288"/>
        <v>3.6885478983619832E-7</v>
      </c>
      <c r="AX149" s="41">
        <f t="shared" ca="1" si="289"/>
        <v>1.9867549048364719</v>
      </c>
      <c r="AY149" s="41">
        <f t="shared" ca="1" si="290"/>
        <v>2.6761983287664797</v>
      </c>
      <c r="AZ149" s="41">
        <f t="shared" si="291"/>
        <v>0.30044199110228809</v>
      </c>
      <c r="BA149" s="154">
        <f t="shared" ref="BA149:BA167" ca="1" si="302">2.12-0.00251*AF149+1.94*10^-6*AF149^2-7.84*10^-10*AF149^3+1.7*10^-13*AF149^4-1.89*10^-17*AF149^5+8.37*10^-22*AF149^6</f>
        <v>0.85686588754534176</v>
      </c>
    </row>
    <row r="150" spans="1:53" ht="14.5">
      <c r="A150" s="41">
        <f t="shared" ca="1" si="292"/>
        <v>15931.879520901264</v>
      </c>
      <c r="B150" s="41">
        <f t="shared" ca="1" si="293"/>
        <v>265.53132534835441</v>
      </c>
      <c r="C150" s="41">
        <f t="shared" ca="1" si="293"/>
        <v>4.4255220891392399</v>
      </c>
      <c r="D150" s="41">
        <f t="shared" ca="1" si="294"/>
        <v>13057.621650920835</v>
      </c>
      <c r="E150" s="41">
        <f t="shared" ca="1" si="295"/>
        <v>909.99097940698016</v>
      </c>
      <c r="F150" s="7">
        <f t="shared" si="296"/>
        <v>10</v>
      </c>
      <c r="G150" s="41"/>
      <c r="H150" s="7">
        <f t="shared" si="297"/>
        <v>10000</v>
      </c>
      <c r="I150" s="6">
        <v>15</v>
      </c>
      <c r="J150" s="41">
        <f t="shared" si="256"/>
        <v>0.42549951772196798</v>
      </c>
      <c r="K150" s="41">
        <f t="shared" si="257"/>
        <v>471.06589471883535</v>
      </c>
      <c r="L150" s="6">
        <f t="shared" si="298"/>
        <v>235</v>
      </c>
      <c r="M150" s="41">
        <f t="shared" si="258"/>
        <v>279.09900556659443</v>
      </c>
      <c r="N150" s="41">
        <f t="shared" si="259"/>
        <v>184.44110870126713</v>
      </c>
      <c r="O150" s="41">
        <f t="shared" si="260"/>
        <v>2123003.108316463</v>
      </c>
      <c r="P150" s="41">
        <f t="shared" si="261"/>
        <v>13631171.75606169</v>
      </c>
      <c r="Q150" s="41">
        <f t="shared" si="262"/>
        <v>2.8123079706811947E-3</v>
      </c>
      <c r="R150" s="41">
        <f t="shared" si="263"/>
        <v>2.2097807141776935E-2</v>
      </c>
      <c r="S150" s="24">
        <f t="shared" ca="1" si="299"/>
        <v>-9.9769715523621803E-16</v>
      </c>
      <c r="T150" s="10">
        <f t="shared" ca="1" si="264"/>
        <v>-9.9769715523621803E-16</v>
      </c>
      <c r="U150" s="41">
        <f t="shared" ca="1" si="265"/>
        <v>0.30780702006857902</v>
      </c>
      <c r="V150" s="41">
        <f t="shared" ca="1" si="266"/>
        <v>2.8081601111315527E-2</v>
      </c>
      <c r="W150" s="41">
        <f t="shared" ca="1" si="267"/>
        <v>10.961163462454699</v>
      </c>
      <c r="X150" s="20">
        <f t="shared" ca="1" si="268"/>
        <v>1191.2623779078874</v>
      </c>
      <c r="Y150" s="41">
        <f t="shared" si="269"/>
        <v>0.59151368135346993</v>
      </c>
      <c r="Z150" s="41">
        <f t="shared" ca="1" si="270"/>
        <v>168.70008512013916</v>
      </c>
      <c r="AA150" s="14">
        <f t="shared" ca="1" si="271"/>
        <v>1191.2623779078872</v>
      </c>
      <c r="AB150" s="14">
        <f t="shared" si="300"/>
        <v>4016.4588107467653</v>
      </c>
      <c r="AC150" s="25">
        <f t="shared" ca="1" si="272"/>
        <v>561163.07789406623</v>
      </c>
      <c r="AD150" s="41">
        <f t="shared" si="273"/>
        <v>1892016.7632857743</v>
      </c>
      <c r="AE150" s="5">
        <f t="shared" ca="1" si="274"/>
        <v>29.659519343767403</v>
      </c>
      <c r="AF150" s="7">
        <f t="shared" ca="1" si="275"/>
        <v>1191.2623779078872</v>
      </c>
      <c r="AG150" s="41">
        <f t="shared" ca="1" si="276"/>
        <v>2825.1964328388781</v>
      </c>
      <c r="AH150" s="41">
        <f t="shared" ca="1" si="277"/>
        <v>1330853.685391708</v>
      </c>
      <c r="AI150" s="41">
        <f t="shared" ca="1" si="278"/>
        <v>927.45009209350599</v>
      </c>
      <c r="AJ150" s="13">
        <f t="shared" ca="1" si="279"/>
        <v>-8.202717671071657E-15</v>
      </c>
      <c r="AK150" s="11"/>
      <c r="AL150" s="6">
        <v>0</v>
      </c>
      <c r="AM150" s="41">
        <f t="shared" si="280"/>
        <v>64.493243046346549</v>
      </c>
      <c r="AN150" s="41">
        <f t="shared" ca="1" si="281"/>
        <v>16.615073389650824</v>
      </c>
      <c r="AO150" s="6">
        <v>5</v>
      </c>
      <c r="AP150" s="67">
        <f t="shared" si="301"/>
        <v>0.77854392893890234</v>
      </c>
      <c r="AQ150" s="11">
        <f t="shared" si="282"/>
        <v>0.98330272071837588</v>
      </c>
      <c r="AR150" s="11">
        <f t="shared" si="283"/>
        <v>0.68770269343653956</v>
      </c>
      <c r="AS150" s="11">
        <f t="shared" si="284"/>
        <v>0.69938044403469313</v>
      </c>
      <c r="AT150" s="11">
        <f t="shared" si="285"/>
        <v>510.00962215499999</v>
      </c>
      <c r="AU150" s="11">
        <f t="shared" si="286"/>
        <v>1455.3301939042735</v>
      </c>
      <c r="AV150" s="11">
        <f t="shared" si="287"/>
        <v>1.6623573774260621E-3</v>
      </c>
      <c r="AW150" s="11">
        <f t="shared" si="288"/>
        <v>3.6885478983619832E-7</v>
      </c>
      <c r="AX150" s="41">
        <f t="shared" ca="1" si="289"/>
        <v>1.9890015658676343</v>
      </c>
      <c r="AY150" s="41">
        <f t="shared" ca="1" si="290"/>
        <v>2.6792246258111048</v>
      </c>
      <c r="AZ150" s="41">
        <f t="shared" si="291"/>
        <v>0.30044199110228809</v>
      </c>
      <c r="BA150" s="154">
        <f t="shared" ca="1" si="302"/>
        <v>0.8570302640625298</v>
      </c>
    </row>
    <row r="151" spans="1:53" ht="14.5">
      <c r="A151" s="41">
        <f t="shared" ca="1" si="292"/>
        <v>15996.372763947611</v>
      </c>
      <c r="B151" s="41">
        <f t="shared" ca="1" si="293"/>
        <v>266.60621273246016</v>
      </c>
      <c r="C151" s="41">
        <f t="shared" ca="1" si="293"/>
        <v>4.4434368788743361</v>
      </c>
      <c r="D151" s="41">
        <f t="shared" ca="1" si="294"/>
        <v>13041.006577531185</v>
      </c>
      <c r="E151" s="41">
        <f t="shared" ca="1" si="295"/>
        <v>914.99097940698016</v>
      </c>
      <c r="F151" s="7">
        <f t="shared" si="296"/>
        <v>15</v>
      </c>
      <c r="G151" s="41"/>
      <c r="H151" s="7">
        <f t="shared" si="297"/>
        <v>10000</v>
      </c>
      <c r="I151" s="6">
        <v>15</v>
      </c>
      <c r="J151" s="41">
        <f t="shared" si="256"/>
        <v>0.42549951772196798</v>
      </c>
      <c r="K151" s="41">
        <f t="shared" si="257"/>
        <v>471.06589471883535</v>
      </c>
      <c r="L151" s="6">
        <f t="shared" si="298"/>
        <v>235</v>
      </c>
      <c r="M151" s="41">
        <f t="shared" si="258"/>
        <v>279.09900556659443</v>
      </c>
      <c r="N151" s="41">
        <f t="shared" si="259"/>
        <v>184.44110870126713</v>
      </c>
      <c r="O151" s="41">
        <f t="shared" si="260"/>
        <v>2123003.108316463</v>
      </c>
      <c r="P151" s="41">
        <f t="shared" si="261"/>
        <v>13631171.75606169</v>
      </c>
      <c r="Q151" s="41">
        <f t="shared" si="262"/>
        <v>2.8123079706811947E-3</v>
      </c>
      <c r="R151" s="41">
        <f t="shared" si="263"/>
        <v>2.2097807141776935E-2</v>
      </c>
      <c r="S151" s="24">
        <f t="shared" ca="1" si="299"/>
        <v>0</v>
      </c>
      <c r="T151" s="10">
        <f t="shared" ca="1" si="264"/>
        <v>0</v>
      </c>
      <c r="U151" s="41">
        <f t="shared" ca="1" si="265"/>
        <v>0.30741535331907349</v>
      </c>
      <c r="V151" s="41">
        <f t="shared" ca="1" si="266"/>
        <v>2.8066382731622607E-2</v>
      </c>
      <c r="W151" s="41">
        <f t="shared" ca="1" si="267"/>
        <v>10.953151899147526</v>
      </c>
      <c r="X151" s="20">
        <f t="shared" ca="1" si="268"/>
        <v>1190.6167920985515</v>
      </c>
      <c r="Y151" s="41">
        <f t="shared" si="269"/>
        <v>0.59151368135346993</v>
      </c>
      <c r="Z151" s="41">
        <f t="shared" ca="1" si="270"/>
        <v>168.59272037215644</v>
      </c>
      <c r="AA151" s="14">
        <f t="shared" ca="1" si="271"/>
        <v>1190.6167920985515</v>
      </c>
      <c r="AB151" s="14">
        <f t="shared" si="300"/>
        <v>4016.4588107467653</v>
      </c>
      <c r="AC151" s="25">
        <f t="shared" ca="1" si="272"/>
        <v>560858.9644371738</v>
      </c>
      <c r="AD151" s="41">
        <f t="shared" si="273"/>
        <v>1892016.7632857743</v>
      </c>
      <c r="AE151" s="5">
        <f t="shared" ca="1" si="274"/>
        <v>29.64344583623863</v>
      </c>
      <c r="AF151" s="7">
        <f t="shared" ca="1" si="275"/>
        <v>1190.6167920985515</v>
      </c>
      <c r="AG151" s="41">
        <f t="shared" ca="1" si="276"/>
        <v>2825.8420186482135</v>
      </c>
      <c r="AH151" s="41">
        <f t="shared" ca="1" si="277"/>
        <v>1331157.7988486006</v>
      </c>
      <c r="AI151" s="41">
        <f t="shared" ca="1" si="278"/>
        <v>926.9474751810385</v>
      </c>
      <c r="AJ151" s="13">
        <f t="shared" ca="1" si="279"/>
        <v>0</v>
      </c>
      <c r="AK151" s="11"/>
      <c r="AL151" s="6">
        <v>0</v>
      </c>
      <c r="AM151" s="41">
        <f t="shared" si="280"/>
        <v>64.493243046346549</v>
      </c>
      <c r="AN151" s="41">
        <f t="shared" ca="1" si="281"/>
        <v>16.606069113346667</v>
      </c>
      <c r="AO151" s="6">
        <v>5</v>
      </c>
      <c r="AP151" s="67">
        <f t="shared" si="301"/>
        <v>0.77854392893890234</v>
      </c>
      <c r="AQ151" s="11">
        <f t="shared" si="282"/>
        <v>0.98330272071837588</v>
      </c>
      <c r="AR151" s="11">
        <f t="shared" si="283"/>
        <v>0.68770269343653956</v>
      </c>
      <c r="AS151" s="11">
        <f t="shared" si="284"/>
        <v>0.69938044403469313</v>
      </c>
      <c r="AT151" s="11">
        <f t="shared" si="285"/>
        <v>510.00962215499999</v>
      </c>
      <c r="AU151" s="11">
        <f t="shared" si="286"/>
        <v>1455.3301939042735</v>
      </c>
      <c r="AV151" s="11">
        <f t="shared" si="287"/>
        <v>1.6623573774260621E-3</v>
      </c>
      <c r="AW151" s="11">
        <f t="shared" si="288"/>
        <v>3.6885478983619832E-7</v>
      </c>
      <c r="AX151" s="41">
        <f t="shared" ca="1" si="289"/>
        <v>1.9912531176907211</v>
      </c>
      <c r="AY151" s="41">
        <f t="shared" ca="1" si="290"/>
        <v>2.6822575108496207</v>
      </c>
      <c r="AZ151" s="41">
        <f t="shared" si="291"/>
        <v>0.30044199110228809</v>
      </c>
      <c r="BA151" s="154">
        <f t="shared" ca="1" si="302"/>
        <v>0.85719458554676753</v>
      </c>
    </row>
    <row r="152" spans="1:53" ht="14.5">
      <c r="A152" s="41">
        <f t="shared" ca="1" si="292"/>
        <v>16060.866006993958</v>
      </c>
      <c r="B152" s="41">
        <f t="shared" ca="1" si="293"/>
        <v>267.68110011656597</v>
      </c>
      <c r="C152" s="41">
        <f t="shared" ca="1" si="293"/>
        <v>4.4613516686094332</v>
      </c>
      <c r="D152" s="41">
        <f t="shared" ca="1" si="294"/>
        <v>13024.400508417839</v>
      </c>
      <c r="E152" s="41">
        <f t="shared" ca="1" si="295"/>
        <v>919.99097940698016</v>
      </c>
      <c r="F152" s="7">
        <f t="shared" si="296"/>
        <v>20</v>
      </c>
      <c r="G152" s="41"/>
      <c r="H152" s="7">
        <f t="shared" si="297"/>
        <v>10000</v>
      </c>
      <c r="I152" s="6">
        <v>15</v>
      </c>
      <c r="J152" s="41">
        <f t="shared" si="256"/>
        <v>0.42549951772196798</v>
      </c>
      <c r="K152" s="41">
        <f t="shared" si="257"/>
        <v>471.06589471883535</v>
      </c>
      <c r="L152" s="6">
        <f t="shared" si="298"/>
        <v>235</v>
      </c>
      <c r="M152" s="41">
        <f t="shared" si="258"/>
        <v>279.09900556659443</v>
      </c>
      <c r="N152" s="41">
        <f t="shared" si="259"/>
        <v>184.44110870126713</v>
      </c>
      <c r="O152" s="41">
        <f t="shared" si="260"/>
        <v>2123003.108316463</v>
      </c>
      <c r="P152" s="41">
        <f t="shared" si="261"/>
        <v>13631171.75606169</v>
      </c>
      <c r="Q152" s="41">
        <f t="shared" si="262"/>
        <v>2.8123079706811947E-3</v>
      </c>
      <c r="R152" s="41">
        <f t="shared" si="263"/>
        <v>2.2097807141776935E-2</v>
      </c>
      <c r="S152" s="24">
        <f t="shared" ca="1" si="299"/>
        <v>0</v>
      </c>
      <c r="T152" s="10">
        <f t="shared" ca="1" si="264"/>
        <v>0</v>
      </c>
      <c r="U152" s="41">
        <f t="shared" ca="1" si="265"/>
        <v>0.30702389882716979</v>
      </c>
      <c r="V152" s="41">
        <f t="shared" ca="1" si="266"/>
        <v>2.8051191960383134E-2</v>
      </c>
      <c r="W152" s="41">
        <f t="shared" ca="1" si="267"/>
        <v>10.945128437350593</v>
      </c>
      <c r="X152" s="20">
        <f t="shared" ca="1" si="268"/>
        <v>1189.9723774799813</v>
      </c>
      <c r="Y152" s="41">
        <f t="shared" si="269"/>
        <v>0.59151368135346993</v>
      </c>
      <c r="Z152" s="41">
        <f t="shared" ca="1" si="270"/>
        <v>168.48534544785284</v>
      </c>
      <c r="AA152" s="14">
        <f t="shared" ca="1" si="271"/>
        <v>1189.9723774799813</v>
      </c>
      <c r="AB152" s="14">
        <f t="shared" si="300"/>
        <v>4016.4588107467653</v>
      </c>
      <c r="AC152" s="25">
        <f t="shared" ca="1" si="272"/>
        <v>560555.40268830711</v>
      </c>
      <c r="AD152" s="41">
        <f t="shared" si="273"/>
        <v>1892016.7632857743</v>
      </c>
      <c r="AE152" s="5">
        <f t="shared" ca="1" si="274"/>
        <v>29.627401488495142</v>
      </c>
      <c r="AF152" s="7">
        <f t="shared" ca="1" si="275"/>
        <v>1189.9723774799813</v>
      </c>
      <c r="AG152" s="41">
        <f t="shared" ca="1" si="276"/>
        <v>2826.4864332667839</v>
      </c>
      <c r="AH152" s="41">
        <f t="shared" ca="1" si="277"/>
        <v>1331461.360597467</v>
      </c>
      <c r="AI152" s="41">
        <f t="shared" ca="1" si="278"/>
        <v>926.44577009203124</v>
      </c>
      <c r="AJ152" s="13">
        <f t="shared" ca="1" si="279"/>
        <v>0</v>
      </c>
      <c r="AK152" s="11"/>
      <c r="AL152" s="6">
        <v>0</v>
      </c>
      <c r="AM152" s="41">
        <f t="shared" si="280"/>
        <v>64.493243046346549</v>
      </c>
      <c r="AN152" s="41">
        <f t="shared" ca="1" si="281"/>
        <v>16.597081172168071</v>
      </c>
      <c r="AO152" s="6">
        <v>5</v>
      </c>
      <c r="AP152" s="67">
        <f t="shared" si="301"/>
        <v>0.77854392893890234</v>
      </c>
      <c r="AQ152" s="11">
        <f t="shared" si="282"/>
        <v>0.98330272071837588</v>
      </c>
      <c r="AR152" s="11">
        <f t="shared" si="283"/>
        <v>0.68770269343653956</v>
      </c>
      <c r="AS152" s="11">
        <f t="shared" si="284"/>
        <v>0.69938044403469313</v>
      </c>
      <c r="AT152" s="11">
        <f t="shared" si="285"/>
        <v>510.00962215499999</v>
      </c>
      <c r="AU152" s="11">
        <f t="shared" si="286"/>
        <v>1455.3301939042735</v>
      </c>
      <c r="AV152" s="11">
        <f t="shared" si="287"/>
        <v>1.6623573774260621E-3</v>
      </c>
      <c r="AW152" s="11">
        <f t="shared" si="288"/>
        <v>3.6885478983619832E-7</v>
      </c>
      <c r="AX152" s="41">
        <f t="shared" ca="1" si="289"/>
        <v>1.9935095758374579</v>
      </c>
      <c r="AY152" s="41">
        <f t="shared" ca="1" si="290"/>
        <v>2.6852970048035694</v>
      </c>
      <c r="AZ152" s="41">
        <f t="shared" si="291"/>
        <v>0.30044199110228809</v>
      </c>
      <c r="BA152" s="154">
        <f t="shared" ca="1" si="302"/>
        <v>0.85735885152166169</v>
      </c>
    </row>
    <row r="153" spans="1:53" ht="14.5">
      <c r="A153" s="41">
        <f t="shared" ca="1" si="292"/>
        <v>16125.359250040305</v>
      </c>
      <c r="B153" s="41">
        <f t="shared" ca="1" si="293"/>
        <v>268.75598750067172</v>
      </c>
      <c r="C153" s="41">
        <f t="shared" ca="1" si="293"/>
        <v>4.4792664583445285</v>
      </c>
      <c r="D153" s="41">
        <f t="shared" ca="1" si="294"/>
        <v>13007.803427245672</v>
      </c>
      <c r="E153" s="41">
        <f t="shared" ca="1" si="295"/>
        <v>924.99097940698016</v>
      </c>
      <c r="F153" s="7">
        <f t="shared" si="296"/>
        <v>25</v>
      </c>
      <c r="G153" s="41"/>
      <c r="H153" s="7">
        <f t="shared" si="297"/>
        <v>10000</v>
      </c>
      <c r="I153" s="6">
        <v>15</v>
      </c>
      <c r="J153" s="41">
        <f t="shared" si="256"/>
        <v>0.42549951772196798</v>
      </c>
      <c r="K153" s="41">
        <f t="shared" si="257"/>
        <v>471.06589471883535</v>
      </c>
      <c r="L153" s="6">
        <f t="shared" si="298"/>
        <v>235</v>
      </c>
      <c r="M153" s="41">
        <f t="shared" si="258"/>
        <v>279.09900556659443</v>
      </c>
      <c r="N153" s="41">
        <f t="shared" si="259"/>
        <v>184.44110870126713</v>
      </c>
      <c r="O153" s="41">
        <f t="shared" si="260"/>
        <v>2123003.108316463</v>
      </c>
      <c r="P153" s="41">
        <f t="shared" si="261"/>
        <v>13631171.75606169</v>
      </c>
      <c r="Q153" s="41">
        <f t="shared" si="262"/>
        <v>2.8123079706811947E-3</v>
      </c>
      <c r="R153" s="41">
        <f t="shared" si="263"/>
        <v>2.2097807141776935E-2</v>
      </c>
      <c r="S153" s="24">
        <f t="shared" ca="1" si="299"/>
        <v>1.0015182077542415E-15</v>
      </c>
      <c r="T153" s="10">
        <f t="shared" ca="1" si="264"/>
        <v>1.0015182077542415E-15</v>
      </c>
      <c r="U153" s="41">
        <f t="shared" ca="1" si="265"/>
        <v>0.30663265620780034</v>
      </c>
      <c r="V153" s="41">
        <f t="shared" ca="1" si="266"/>
        <v>2.8036028751196887E-2</v>
      </c>
      <c r="W153" s="41">
        <f t="shared" ca="1" si="267"/>
        <v>10.937093085792682</v>
      </c>
      <c r="X153" s="20">
        <f t="shared" ca="1" si="268"/>
        <v>1189.3291320838118</v>
      </c>
      <c r="Y153" s="41">
        <f t="shared" si="269"/>
        <v>0.59151368135346993</v>
      </c>
      <c r="Z153" s="41">
        <f t="shared" ca="1" si="270"/>
        <v>168.37796022203597</v>
      </c>
      <c r="AA153" s="14">
        <f t="shared" ca="1" si="271"/>
        <v>1189.3291320838121</v>
      </c>
      <c r="AB153" s="14">
        <f t="shared" si="300"/>
        <v>4016.4588107467653</v>
      </c>
      <c r="AC153" s="25">
        <f t="shared" ca="1" si="272"/>
        <v>560252.39172023686</v>
      </c>
      <c r="AD153" s="41">
        <f t="shared" si="273"/>
        <v>1892016.7632857743</v>
      </c>
      <c r="AE153" s="5">
        <f t="shared" ca="1" si="274"/>
        <v>29.611386251529481</v>
      </c>
      <c r="AF153" s="7">
        <f t="shared" ca="1" si="275"/>
        <v>1189.3291320838121</v>
      </c>
      <c r="AG153" s="41">
        <f t="shared" ca="1" si="276"/>
        <v>2827.1296786629532</v>
      </c>
      <c r="AH153" s="41">
        <f t="shared" ca="1" si="277"/>
        <v>1331764.3715655375</v>
      </c>
      <c r="AI153" s="41">
        <f t="shared" ca="1" si="278"/>
        <v>925.94497529402577</v>
      </c>
      <c r="AJ153" s="13">
        <f t="shared" ca="1" si="279"/>
        <v>8.2341330307799474E-15</v>
      </c>
      <c r="AK153" s="11"/>
      <c r="AL153" s="6">
        <v>0</v>
      </c>
      <c r="AM153" s="41">
        <f t="shared" si="280"/>
        <v>64.493243046346549</v>
      </c>
      <c r="AN153" s="41">
        <f t="shared" ca="1" si="281"/>
        <v>16.588109538661374</v>
      </c>
      <c r="AO153" s="6">
        <v>5</v>
      </c>
      <c r="AP153" s="67">
        <f>0.692 + 0.298*AZ153 + -0.0331*AZ153^2</f>
        <v>0.77854392893890234</v>
      </c>
      <c r="AQ153" s="11">
        <f t="shared" si="282"/>
        <v>0.98330272071837588</v>
      </c>
      <c r="AR153" s="11">
        <f t="shared" si="283"/>
        <v>0.68770269343653956</v>
      </c>
      <c r="AS153" s="11">
        <f t="shared" si="284"/>
        <v>0.69938044403469313</v>
      </c>
      <c r="AT153" s="11">
        <f t="shared" si="285"/>
        <v>510.00962215499999</v>
      </c>
      <c r="AU153" s="11">
        <f t="shared" si="286"/>
        <v>1455.3301939042735</v>
      </c>
      <c r="AV153" s="11">
        <f t="shared" si="287"/>
        <v>1.6623573774260621E-3</v>
      </c>
      <c r="AW153" s="11">
        <f t="shared" si="288"/>
        <v>3.6885478983619832E-7</v>
      </c>
      <c r="AX153" s="41">
        <f t="shared" ca="1" si="289"/>
        <v>1.995770955908456</v>
      </c>
      <c r="AY153" s="41">
        <f t="shared" ca="1" si="290"/>
        <v>2.6883431286872845</v>
      </c>
      <c r="AZ153" s="41">
        <f t="shared" si="291"/>
        <v>0.30044199110228809</v>
      </c>
      <c r="BA153" s="154">
        <f t="shared" ca="1" si="302"/>
        <v>0.85752306151146429</v>
      </c>
    </row>
    <row r="154" spans="1:53" ht="14.5">
      <c r="A154" s="41">
        <f t="shared" ca="1" si="292"/>
        <v>16189.852493086652</v>
      </c>
      <c r="B154" s="41">
        <f t="shared" ca="1" si="293"/>
        <v>269.83087488477753</v>
      </c>
      <c r="C154" s="41">
        <f t="shared" ca="1" si="293"/>
        <v>4.4971812480796256</v>
      </c>
      <c r="D154" s="41">
        <f t="shared" ca="1" si="294"/>
        <v>12991.21531770701</v>
      </c>
      <c r="E154" s="41">
        <f t="shared" ca="1" si="295"/>
        <v>929.99097940698016</v>
      </c>
      <c r="F154" s="7">
        <f t="shared" si="296"/>
        <v>30</v>
      </c>
      <c r="G154" s="41"/>
      <c r="H154" s="7">
        <f t="shared" si="297"/>
        <v>10000</v>
      </c>
      <c r="I154" s="6">
        <v>15</v>
      </c>
      <c r="J154" s="41">
        <f t="shared" si="256"/>
        <v>0.42549951772196798</v>
      </c>
      <c r="K154" s="41">
        <f t="shared" si="257"/>
        <v>471.06589471883535</v>
      </c>
      <c r="L154" s="6">
        <f t="shared" si="298"/>
        <v>235</v>
      </c>
      <c r="M154" s="41">
        <f t="shared" si="258"/>
        <v>279.09900556659443</v>
      </c>
      <c r="N154" s="41">
        <f t="shared" si="259"/>
        <v>184.44110870126713</v>
      </c>
      <c r="O154" s="41">
        <f t="shared" si="260"/>
        <v>2123003.108316463</v>
      </c>
      <c r="P154" s="41">
        <f t="shared" si="261"/>
        <v>13631171.75606169</v>
      </c>
      <c r="Q154" s="41">
        <f t="shared" si="262"/>
        <v>2.8123079706811947E-3</v>
      </c>
      <c r="R154" s="41">
        <f t="shared" si="263"/>
        <v>2.2097807141776935E-2</v>
      </c>
      <c r="S154" s="24">
        <f t="shared" ca="1" si="299"/>
        <v>-1.0027970175752553E-15</v>
      </c>
      <c r="T154" s="10">
        <f t="shared" ca="1" si="264"/>
        <v>-1.0027970175752553E-15</v>
      </c>
      <c r="U154" s="41">
        <f t="shared" ca="1" si="265"/>
        <v>0.30624162507654484</v>
      </c>
      <c r="V154" s="41">
        <f t="shared" ca="1" si="266"/>
        <v>2.8020893057781843E-2</v>
      </c>
      <c r="W154" s="41">
        <f t="shared" ca="1" si="267"/>
        <v>10.929045853215472</v>
      </c>
      <c r="X154" s="20">
        <f t="shared" ca="1" si="268"/>
        <v>1188.6870539466922</v>
      </c>
      <c r="Y154" s="41">
        <f t="shared" si="269"/>
        <v>0.59151368135346993</v>
      </c>
      <c r="Z154" s="41">
        <f t="shared" ca="1" si="270"/>
        <v>168.27056456936981</v>
      </c>
      <c r="AA154" s="14">
        <f t="shared" ca="1" si="271"/>
        <v>1188.687053946692</v>
      </c>
      <c r="AB154" s="14">
        <f t="shared" si="300"/>
        <v>4016.4588107467653</v>
      </c>
      <c r="AC154" s="25">
        <f t="shared" ca="1" si="272"/>
        <v>559949.93060809502</v>
      </c>
      <c r="AD154" s="41">
        <f t="shared" si="273"/>
        <v>1892016.7632857743</v>
      </c>
      <c r="AE154" s="5">
        <f t="shared" ca="1" si="274"/>
        <v>29.59540007645899</v>
      </c>
      <c r="AF154" s="7">
        <f t="shared" ca="1" si="275"/>
        <v>1188.687053946692</v>
      </c>
      <c r="AG154" s="41">
        <f t="shared" ca="1" si="276"/>
        <v>2827.7717568000735</v>
      </c>
      <c r="AH154" s="41">
        <f t="shared" ca="1" si="277"/>
        <v>1332066.8326776791</v>
      </c>
      <c r="AI154" s="41">
        <f t="shared" ca="1" si="278"/>
        <v>925.44508925846651</v>
      </c>
      <c r="AJ154" s="13">
        <f t="shared" ca="1" si="279"/>
        <v>-8.2446469586404386E-15</v>
      </c>
      <c r="AK154" s="11"/>
      <c r="AL154" s="6">
        <v>0</v>
      </c>
      <c r="AM154" s="41">
        <f t="shared" si="280"/>
        <v>64.493243046346549</v>
      </c>
      <c r="AN154" s="41">
        <f t="shared" ca="1" si="281"/>
        <v>16.579154185442821</v>
      </c>
      <c r="AO154" s="6">
        <v>5</v>
      </c>
      <c r="AP154" s="67">
        <f t="shared" si="301"/>
        <v>0.77854392893890234</v>
      </c>
      <c r="AQ154" s="11">
        <f t="shared" si="282"/>
        <v>0.98330272071837588</v>
      </c>
      <c r="AR154" s="11">
        <f t="shared" si="283"/>
        <v>0.68770269343653956</v>
      </c>
      <c r="AS154" s="11">
        <f t="shared" si="284"/>
        <v>0.69938044403469313</v>
      </c>
      <c r="AT154" s="11">
        <f t="shared" si="285"/>
        <v>510.00962215499999</v>
      </c>
      <c r="AU154" s="11">
        <f t="shared" si="286"/>
        <v>1455.3301939042735</v>
      </c>
      <c r="AV154" s="11">
        <f t="shared" si="287"/>
        <v>1.6623573774260621E-3</v>
      </c>
      <c r="AW154" s="11">
        <f t="shared" si="288"/>
        <v>3.6885478983619832E-7</v>
      </c>
      <c r="AX154" s="41">
        <f t="shared" ca="1" si="289"/>
        <v>1.9980372735735803</v>
      </c>
      <c r="AY154" s="41">
        <f t="shared" ca="1" si="290"/>
        <v>2.6913959036083859</v>
      </c>
      <c r="AZ154" s="41">
        <f t="shared" si="291"/>
        <v>0.30044199110228809</v>
      </c>
      <c r="BA154" s="154">
        <f t="shared" ca="1" si="302"/>
        <v>0.85768721504107848</v>
      </c>
    </row>
    <row r="155" spans="1:53" ht="14.5">
      <c r="A155" s="41">
        <f t="shared" ca="1" si="292"/>
        <v>16254.345736132998</v>
      </c>
      <c r="B155" s="41">
        <f t="shared" ca="1" si="293"/>
        <v>270.90576226888328</v>
      </c>
      <c r="C155" s="41">
        <f t="shared" ca="1" si="293"/>
        <v>4.5150960378147209</v>
      </c>
      <c r="D155" s="41">
        <f t="shared" ca="1" si="294"/>
        <v>12974.636163521567</v>
      </c>
      <c r="E155" s="41">
        <f t="shared" ca="1" si="295"/>
        <v>934.99097940698016</v>
      </c>
      <c r="F155" s="7">
        <f t="shared" si="296"/>
        <v>35</v>
      </c>
      <c r="G155" s="41"/>
      <c r="H155" s="7">
        <f t="shared" si="297"/>
        <v>10000</v>
      </c>
      <c r="I155" s="6">
        <v>15</v>
      </c>
      <c r="J155" s="41">
        <f t="shared" si="256"/>
        <v>0.42549951772196798</v>
      </c>
      <c r="K155" s="41">
        <f t="shared" si="257"/>
        <v>471.06589471883535</v>
      </c>
      <c r="L155" s="6">
        <f t="shared" si="298"/>
        <v>235</v>
      </c>
      <c r="M155" s="41">
        <f t="shared" si="258"/>
        <v>279.09900556659443</v>
      </c>
      <c r="N155" s="41">
        <f t="shared" si="259"/>
        <v>184.44110870126713</v>
      </c>
      <c r="O155" s="41">
        <f t="shared" si="260"/>
        <v>2123003.108316463</v>
      </c>
      <c r="P155" s="41">
        <f t="shared" si="261"/>
        <v>13631171.75606169</v>
      </c>
      <c r="Q155" s="41">
        <f t="shared" si="262"/>
        <v>2.8123079706811947E-3</v>
      </c>
      <c r="R155" s="41">
        <f t="shared" si="263"/>
        <v>2.2097807141776935E-2</v>
      </c>
      <c r="S155" s="24">
        <f t="shared" ca="1" si="299"/>
        <v>0</v>
      </c>
      <c r="T155" s="10">
        <f t="shared" ca="1" si="264"/>
        <v>0</v>
      </c>
      <c r="U155" s="41">
        <f t="shared" ca="1" si="265"/>
        <v>0.3058508050496283</v>
      </c>
      <c r="V155" s="41">
        <f t="shared" ca="1" si="266"/>
        <v>2.8005784833973823E-2</v>
      </c>
      <c r="W155" s="41">
        <f t="shared" ca="1" si="267"/>
        <v>10.920986748373522</v>
      </c>
      <c r="X155" s="20">
        <f t="shared" ca="1" si="268"/>
        <v>1188.0461411102708</v>
      </c>
      <c r="Y155" s="41">
        <f t="shared" si="269"/>
        <v>0.59151368135346993</v>
      </c>
      <c r="Z155" s="41">
        <f t="shared" ca="1" si="270"/>
        <v>168.16315836437354</v>
      </c>
      <c r="AA155" s="14">
        <f t="shared" ca="1" si="271"/>
        <v>1188.0461411102708</v>
      </c>
      <c r="AB155" s="14">
        <f t="shared" si="300"/>
        <v>4016.4588107467653</v>
      </c>
      <c r="AC155" s="25">
        <f t="shared" ca="1" si="272"/>
        <v>559648.01842936943</v>
      </c>
      <c r="AD155" s="41">
        <f t="shared" si="273"/>
        <v>1892016.7632857743</v>
      </c>
      <c r="AE155" s="5">
        <f t="shared" ca="1" si="274"/>
        <v>29.57944291452554</v>
      </c>
      <c r="AF155" s="7">
        <f t="shared" ca="1" si="275"/>
        <v>1188.0461411102708</v>
      </c>
      <c r="AG155" s="41">
        <f t="shared" ca="1" si="276"/>
        <v>2828.4126696364947</v>
      </c>
      <c r="AH155" s="41">
        <f t="shared" ca="1" si="277"/>
        <v>1332368.7448564048</v>
      </c>
      <c r="AI155" s="41">
        <f t="shared" ca="1" si="278"/>
        <v>924.94611046069178</v>
      </c>
      <c r="AJ155" s="13">
        <f t="shared" ca="1" si="279"/>
        <v>0</v>
      </c>
      <c r="AK155" s="11"/>
      <c r="AL155" s="6">
        <v>0</v>
      </c>
      <c r="AM155" s="41">
        <f t="shared" si="280"/>
        <v>64.493243046346549</v>
      </c>
      <c r="AN155" s="41">
        <f t="shared" ca="1" si="281"/>
        <v>16.570215085198413</v>
      </c>
      <c r="AO155" s="6">
        <v>5</v>
      </c>
      <c r="AP155" s="67">
        <f t="shared" si="301"/>
        <v>0.77854392893890234</v>
      </c>
      <c r="AQ155" s="11">
        <f t="shared" si="282"/>
        <v>0.98330272071837588</v>
      </c>
      <c r="AR155" s="11">
        <f t="shared" si="283"/>
        <v>0.68770269343653956</v>
      </c>
      <c r="AS155" s="11">
        <f t="shared" si="284"/>
        <v>0.69938044403469313</v>
      </c>
      <c r="AT155" s="11">
        <f t="shared" si="285"/>
        <v>510.00962215499999</v>
      </c>
      <c r="AU155" s="11">
        <f t="shared" si="286"/>
        <v>1455.3301939042735</v>
      </c>
      <c r="AV155" s="11">
        <f t="shared" si="287"/>
        <v>1.6623573774260621E-3</v>
      </c>
      <c r="AW155" s="11">
        <f t="shared" si="288"/>
        <v>3.6885478983619832E-7</v>
      </c>
      <c r="AX155" s="41">
        <f t="shared" ca="1" si="289"/>
        <v>2.0003085445723365</v>
      </c>
      <c r="AY155" s="41">
        <f t="shared" ca="1" si="290"/>
        <v>2.6944553507682998</v>
      </c>
      <c r="AZ155" s="41">
        <f t="shared" si="291"/>
        <v>0.30044199110228809</v>
      </c>
      <c r="BA155" s="154">
        <f t="shared" ca="1" si="302"/>
        <v>0.85785131163605888</v>
      </c>
    </row>
    <row r="156" spans="1:53" ht="14.5">
      <c r="A156" s="41">
        <f t="shared" ca="1" si="292"/>
        <v>16318.838979179345</v>
      </c>
      <c r="B156" s="41">
        <f t="shared" ca="1" si="293"/>
        <v>271.98064965298909</v>
      </c>
      <c r="C156" s="41">
        <f t="shared" ca="1" si="293"/>
        <v>4.533010827549818</v>
      </c>
      <c r="D156" s="41">
        <f t="shared" ca="1" si="294"/>
        <v>12958.06594843637</v>
      </c>
      <c r="E156" s="41">
        <f t="shared" ca="1" si="295"/>
        <v>939.99097940698016</v>
      </c>
      <c r="F156" s="7">
        <f t="shared" si="296"/>
        <v>40</v>
      </c>
      <c r="G156" s="41"/>
      <c r="H156" s="7">
        <f t="shared" si="297"/>
        <v>10000</v>
      </c>
      <c r="I156" s="6">
        <v>15</v>
      </c>
      <c r="J156" s="41">
        <f t="shared" si="256"/>
        <v>0.42549951772196798</v>
      </c>
      <c r="K156" s="41">
        <f t="shared" si="257"/>
        <v>471.06589471883535</v>
      </c>
      <c r="L156" s="6">
        <f t="shared" si="298"/>
        <v>235</v>
      </c>
      <c r="M156" s="41">
        <f t="shared" si="258"/>
        <v>279.09900556659443</v>
      </c>
      <c r="N156" s="41">
        <f t="shared" si="259"/>
        <v>184.44110870126713</v>
      </c>
      <c r="O156" s="41">
        <f t="shared" si="260"/>
        <v>2123003.108316463</v>
      </c>
      <c r="P156" s="41">
        <f t="shared" si="261"/>
        <v>13631171.75606169</v>
      </c>
      <c r="Q156" s="41">
        <f t="shared" si="262"/>
        <v>2.8123079706811947E-3</v>
      </c>
      <c r="R156" s="41">
        <f t="shared" si="263"/>
        <v>2.2097807141776935E-2</v>
      </c>
      <c r="S156" s="24">
        <f t="shared" ca="1" si="299"/>
        <v>0</v>
      </c>
      <c r="T156" s="10">
        <f t="shared" ca="1" si="264"/>
        <v>0</v>
      </c>
      <c r="U156" s="41">
        <f t="shared" ca="1" si="265"/>
        <v>0.3054601957439198</v>
      </c>
      <c r="V156" s="41">
        <f t="shared" ca="1" si="266"/>
        <v>2.7990704033726183E-2</v>
      </c>
      <c r="W156" s="41">
        <f t="shared" ca="1" si="267"/>
        <v>10.912915780034286</v>
      </c>
      <c r="X156" s="20">
        <f t="shared" ca="1" si="268"/>
        <v>1187.4063916211821</v>
      </c>
      <c r="Y156" s="41">
        <f t="shared" si="269"/>
        <v>0.59151368135346993</v>
      </c>
      <c r="Z156" s="41">
        <f t="shared" ca="1" si="270"/>
        <v>168.05574148142094</v>
      </c>
      <c r="AA156" s="14">
        <f t="shared" ca="1" si="271"/>
        <v>1187.4063916211821</v>
      </c>
      <c r="AB156" s="14">
        <f t="shared" si="300"/>
        <v>4016.4588107467653</v>
      </c>
      <c r="AC156" s="25">
        <f t="shared" ca="1" si="272"/>
        <v>559346.65426389594</v>
      </c>
      <c r="AD156" s="41">
        <f t="shared" si="273"/>
        <v>1892016.7632857743</v>
      </c>
      <c r="AE156" s="5">
        <f t="shared" ca="1" si="274"/>
        <v>29.563514717095085</v>
      </c>
      <c r="AF156" s="7">
        <f t="shared" ca="1" si="275"/>
        <v>1187.4063916211821</v>
      </c>
      <c r="AG156" s="41">
        <f t="shared" ca="1" si="276"/>
        <v>2829.0524191255831</v>
      </c>
      <c r="AH156" s="41">
        <f t="shared" ca="1" si="277"/>
        <v>1332670.1090218783</v>
      </c>
      <c r="AI156" s="41">
        <f t="shared" ca="1" si="278"/>
        <v>924.44803737992004</v>
      </c>
      <c r="AJ156" s="13">
        <f t="shared" ca="1" si="279"/>
        <v>0</v>
      </c>
      <c r="AK156" s="11"/>
      <c r="AL156" s="6">
        <v>0</v>
      </c>
      <c r="AM156" s="41">
        <f t="shared" si="280"/>
        <v>64.493243046346549</v>
      </c>
      <c r="AN156" s="41">
        <f t="shared" ca="1" si="281"/>
        <v>16.561292210683678</v>
      </c>
      <c r="AO156" s="6">
        <v>5</v>
      </c>
      <c r="AP156" s="67">
        <f t="shared" si="301"/>
        <v>0.77854392893890234</v>
      </c>
      <c r="AQ156" s="11">
        <f t="shared" si="282"/>
        <v>0.98330272071837588</v>
      </c>
      <c r="AR156" s="11">
        <f t="shared" si="283"/>
        <v>0.68770269343653956</v>
      </c>
      <c r="AS156" s="11">
        <f t="shared" si="284"/>
        <v>0.69938044403469313</v>
      </c>
      <c r="AT156" s="11">
        <f t="shared" si="285"/>
        <v>510.00962215499999</v>
      </c>
      <c r="AU156" s="11">
        <f t="shared" si="286"/>
        <v>1455.3301939042735</v>
      </c>
      <c r="AV156" s="11">
        <f t="shared" si="287"/>
        <v>1.6623573774260621E-3</v>
      </c>
      <c r="AW156" s="11">
        <f t="shared" si="288"/>
        <v>3.6885478983619832E-7</v>
      </c>
      <c r="AX156" s="41">
        <f t="shared" ca="1" si="289"/>
        <v>2.0025847847142342</v>
      </c>
      <c r="AY156" s="41">
        <f t="shared" ca="1" si="290"/>
        <v>2.6975214914627501</v>
      </c>
      <c r="AZ156" s="41">
        <f t="shared" si="291"/>
        <v>0.30044199110228809</v>
      </c>
      <c r="BA156" s="154">
        <f t="shared" ca="1" si="302"/>
        <v>0.85801535082261648</v>
      </c>
    </row>
    <row r="157" spans="1:53" ht="14.5">
      <c r="A157" s="41">
        <f t="shared" ca="1" si="292"/>
        <v>16383.332222225692</v>
      </c>
      <c r="B157" s="41">
        <f t="shared" ca="1" si="293"/>
        <v>273.05553703709489</v>
      </c>
      <c r="C157" s="41">
        <f t="shared" ca="1" si="293"/>
        <v>4.5509256172849151</v>
      </c>
      <c r="D157" s="41">
        <f t="shared" ca="1" si="294"/>
        <v>12941.504656225687</v>
      </c>
      <c r="E157" s="41">
        <f t="shared" ca="1" si="295"/>
        <v>944.99097940698016</v>
      </c>
      <c r="F157" s="7">
        <f t="shared" si="296"/>
        <v>45</v>
      </c>
      <c r="G157" s="41"/>
      <c r="H157" s="7">
        <f t="shared" si="297"/>
        <v>10000</v>
      </c>
      <c r="I157" s="6">
        <v>15</v>
      </c>
      <c r="J157" s="41">
        <f t="shared" si="256"/>
        <v>0.42549951772196798</v>
      </c>
      <c r="K157" s="41">
        <f t="shared" si="257"/>
        <v>471.06589471883535</v>
      </c>
      <c r="L157" s="6">
        <f t="shared" si="298"/>
        <v>235</v>
      </c>
      <c r="M157" s="41">
        <f t="shared" si="258"/>
        <v>279.09900556659443</v>
      </c>
      <c r="N157" s="41">
        <f t="shared" si="259"/>
        <v>184.44110870126713</v>
      </c>
      <c r="O157" s="41">
        <f t="shared" si="260"/>
        <v>2123003.108316463</v>
      </c>
      <c r="P157" s="41">
        <f t="shared" si="261"/>
        <v>13631171.75606169</v>
      </c>
      <c r="Q157" s="41">
        <f t="shared" si="262"/>
        <v>2.8123079706811947E-3</v>
      </c>
      <c r="R157" s="41">
        <f t="shared" si="263"/>
        <v>2.2097807141776935E-2</v>
      </c>
      <c r="S157" s="24">
        <f t="shared" ca="1" si="299"/>
        <v>0</v>
      </c>
      <c r="T157" s="10">
        <f t="shared" ca="1" si="264"/>
        <v>0</v>
      </c>
      <c r="U157" s="41">
        <f t="shared" ca="1" si="265"/>
        <v>0.30506979677693064</v>
      </c>
      <c r="V157" s="41">
        <f t="shared" ca="1" si="266"/>
        <v>2.7975650611109494E-2</v>
      </c>
      <c r="W157" s="41">
        <f t="shared" ca="1" si="267"/>
        <v>10.904832956978074</v>
      </c>
      <c r="X157" s="20">
        <f t="shared" ca="1" si="268"/>
        <v>1186.7678035310328</v>
      </c>
      <c r="Y157" s="41">
        <f t="shared" si="269"/>
        <v>0.59151368135346993</v>
      </c>
      <c r="Z157" s="41">
        <f t="shared" ca="1" si="270"/>
        <v>167.94831379473894</v>
      </c>
      <c r="AA157" s="14">
        <f t="shared" ca="1" si="271"/>
        <v>1186.7678035310328</v>
      </c>
      <c r="AB157" s="14">
        <f t="shared" si="300"/>
        <v>4016.4588107467653</v>
      </c>
      <c r="AC157" s="25">
        <f t="shared" ca="1" si="272"/>
        <v>559045.83719385299</v>
      </c>
      <c r="AD157" s="41">
        <f t="shared" si="273"/>
        <v>1892016.7632857743</v>
      </c>
      <c r="AE157" s="5">
        <f t="shared" ca="1" si="274"/>
        <v>29.547615435657399</v>
      </c>
      <c r="AF157" s="7">
        <f t="shared" ca="1" si="275"/>
        <v>1186.7678035310328</v>
      </c>
      <c r="AG157" s="41">
        <f t="shared" ca="1" si="276"/>
        <v>2829.6910072157325</v>
      </c>
      <c r="AH157" s="41">
        <f t="shared" ca="1" si="277"/>
        <v>1332970.9260919213</v>
      </c>
      <c r="AI157" s="41">
        <f t="shared" ca="1" si="278"/>
        <v>923.95086849924155</v>
      </c>
      <c r="AJ157" s="13">
        <f t="shared" ca="1" si="279"/>
        <v>0</v>
      </c>
      <c r="AK157" s="11"/>
      <c r="AL157" s="6">
        <v>0</v>
      </c>
      <c r="AM157" s="41">
        <f t="shared" si="280"/>
        <v>64.493243046346549</v>
      </c>
      <c r="AN157" s="41">
        <f t="shared" ca="1" si="281"/>
        <v>16.552385534723488</v>
      </c>
      <c r="AO157" s="6">
        <v>5</v>
      </c>
      <c r="AP157" s="67">
        <f t="shared" si="301"/>
        <v>0.77854392893890234</v>
      </c>
      <c r="AQ157" s="11">
        <f t="shared" si="282"/>
        <v>0.98330272071837588</v>
      </c>
      <c r="AR157" s="11">
        <f t="shared" si="283"/>
        <v>0.68770269343653956</v>
      </c>
      <c r="AS157" s="11">
        <f t="shared" si="284"/>
        <v>0.69938044403469313</v>
      </c>
      <c r="AT157" s="11">
        <f t="shared" si="285"/>
        <v>510.00962215499999</v>
      </c>
      <c r="AU157" s="11">
        <f t="shared" si="286"/>
        <v>1455.3301939042735</v>
      </c>
      <c r="AV157" s="11">
        <f t="shared" si="287"/>
        <v>1.6623573774260621E-3</v>
      </c>
      <c r="AW157" s="11">
        <f t="shared" si="288"/>
        <v>3.6885478983619832E-7</v>
      </c>
      <c r="AX157" s="41">
        <f t="shared" ca="1" si="289"/>
        <v>2.004866009879176</v>
      </c>
      <c r="AY157" s="41">
        <f t="shared" ca="1" si="290"/>
        <v>2.7005943470822809</v>
      </c>
      <c r="AZ157" s="41">
        <f t="shared" si="291"/>
        <v>0.30044199110228809</v>
      </c>
      <c r="BA157" s="154">
        <f t="shared" ca="1" si="302"/>
        <v>0.85817933212761721</v>
      </c>
    </row>
    <row r="158" spans="1:53" ht="14.5">
      <c r="A158" s="41">
        <f t="shared" ca="1" si="292"/>
        <v>16447.825465272039</v>
      </c>
      <c r="B158" s="41">
        <f t="shared" ca="1" si="293"/>
        <v>274.13042442120064</v>
      </c>
      <c r="C158" s="41">
        <f t="shared" ca="1" si="293"/>
        <v>4.5688404070200104</v>
      </c>
      <c r="D158" s="41">
        <f t="shared" ca="1" si="294"/>
        <v>12924.952270690963</v>
      </c>
      <c r="E158" s="41">
        <f t="shared" ca="1" si="295"/>
        <v>949.99097940698016</v>
      </c>
      <c r="F158" s="7">
        <f t="shared" si="296"/>
        <v>50</v>
      </c>
      <c r="G158" s="41"/>
      <c r="H158" s="7">
        <f t="shared" si="297"/>
        <v>10000</v>
      </c>
      <c r="I158" s="6">
        <v>15</v>
      </c>
      <c r="J158" s="41">
        <f t="shared" si="256"/>
        <v>0.42549951772196798</v>
      </c>
      <c r="K158" s="41">
        <f t="shared" si="257"/>
        <v>471.06589471883535</v>
      </c>
      <c r="L158" s="6">
        <f t="shared" si="298"/>
        <v>235</v>
      </c>
      <c r="M158" s="41">
        <f t="shared" si="258"/>
        <v>279.09900556659443</v>
      </c>
      <c r="N158" s="41">
        <f t="shared" si="259"/>
        <v>184.44110870126713</v>
      </c>
      <c r="O158" s="41">
        <f t="shared" si="260"/>
        <v>2123003.108316463</v>
      </c>
      <c r="P158" s="41">
        <f t="shared" si="261"/>
        <v>13631171.75606169</v>
      </c>
      <c r="Q158" s="41">
        <f t="shared" si="262"/>
        <v>2.8123079706811947E-3</v>
      </c>
      <c r="R158" s="41">
        <f t="shared" si="263"/>
        <v>2.2097807141776935E-2</v>
      </c>
      <c r="S158" s="24">
        <f t="shared" ca="1" si="299"/>
        <v>0</v>
      </c>
      <c r="T158" s="10">
        <f t="shared" ca="1" si="264"/>
        <v>0</v>
      </c>
      <c r="U158" s="41">
        <f t="shared" ca="1" si="265"/>
        <v>0.30467960776681252</v>
      </c>
      <c r="V158" s="41">
        <f t="shared" ca="1" si="266"/>
        <v>2.79606245203112E-2</v>
      </c>
      <c r="W158" s="41">
        <f t="shared" ca="1" si="267"/>
        <v>10.896738287998062</v>
      </c>
      <c r="X158" s="20">
        <f t="shared" ca="1" si="268"/>
        <v>1186.1303748963876</v>
      </c>
      <c r="Y158" s="41">
        <f t="shared" si="269"/>
        <v>0.59151368135346993</v>
      </c>
      <c r="Z158" s="41">
        <f t="shared" ca="1" si="270"/>
        <v>167.84087517840689</v>
      </c>
      <c r="AA158" s="14">
        <f t="shared" ca="1" si="271"/>
        <v>1186.1303748963876</v>
      </c>
      <c r="AB158" s="14">
        <f t="shared" si="300"/>
        <v>4016.4588107467653</v>
      </c>
      <c r="AC158" s="25">
        <f t="shared" ca="1" si="272"/>
        <v>558745.56630375446</v>
      </c>
      <c r="AD158" s="41">
        <f t="shared" si="273"/>
        <v>1892016.7632857743</v>
      </c>
      <c r="AE158" s="5">
        <f t="shared" ca="1" si="274"/>
        <v>29.531745021825699</v>
      </c>
      <c r="AF158" s="7">
        <f t="shared" ca="1" si="275"/>
        <v>1186.1303748963876</v>
      </c>
      <c r="AG158" s="41">
        <f t="shared" ca="1" si="276"/>
        <v>2830.3284358503779</v>
      </c>
      <c r="AH158" s="41">
        <f t="shared" ca="1" si="277"/>
        <v>1333271.1969820198</v>
      </c>
      <c r="AI158" s="41">
        <f t="shared" ca="1" si="278"/>
        <v>923.45460230560673</v>
      </c>
      <c r="AJ158" s="13">
        <f t="shared" ca="1" si="279"/>
        <v>0</v>
      </c>
      <c r="AK158" s="11"/>
      <c r="AL158" s="6">
        <v>0</v>
      </c>
      <c r="AM158" s="41">
        <f t="shared" si="280"/>
        <v>64.493243046346549</v>
      </c>
      <c r="AN158" s="41">
        <f t="shared" ca="1" si="281"/>
        <v>16.543495030211883</v>
      </c>
      <c r="AO158" s="6">
        <v>5</v>
      </c>
      <c r="AP158" s="67">
        <f t="shared" si="301"/>
        <v>0.77854392893890234</v>
      </c>
      <c r="AQ158" s="11">
        <f t="shared" si="282"/>
        <v>0.98330272071837588</v>
      </c>
      <c r="AR158" s="11">
        <f t="shared" si="283"/>
        <v>0.68770269343653956</v>
      </c>
      <c r="AS158" s="11">
        <f t="shared" si="284"/>
        <v>0.69938044403469313</v>
      </c>
      <c r="AT158" s="11">
        <f t="shared" si="285"/>
        <v>510.00962215499999</v>
      </c>
      <c r="AU158" s="11">
        <f t="shared" si="286"/>
        <v>1455.3301939042735</v>
      </c>
      <c r="AV158" s="11">
        <f t="shared" si="287"/>
        <v>1.6623573774260621E-3</v>
      </c>
      <c r="AW158" s="11">
        <f t="shared" si="288"/>
        <v>3.6885478983619832E-7</v>
      </c>
      <c r="AX158" s="41">
        <f t="shared" ca="1" si="289"/>
        <v>2.0071522360178351</v>
      </c>
      <c r="AY158" s="41">
        <f t="shared" ca="1" si="290"/>
        <v>2.703673939112766</v>
      </c>
      <c r="AZ158" s="41">
        <f t="shared" si="291"/>
        <v>0.30044199110228809</v>
      </c>
      <c r="BA158" s="154">
        <f t="shared" ca="1" si="302"/>
        <v>0.85834325507859099</v>
      </c>
    </row>
    <row r="159" spans="1:53" ht="14.5">
      <c r="A159" s="41">
        <f t="shared" ca="1" si="292"/>
        <v>16512.318708318384</v>
      </c>
      <c r="B159" s="41">
        <f t="shared" ca="1" si="293"/>
        <v>275.20531180530639</v>
      </c>
      <c r="C159" s="41">
        <f t="shared" ca="1" si="293"/>
        <v>4.5867551967551066</v>
      </c>
      <c r="D159" s="41">
        <f t="shared" ca="1" si="294"/>
        <v>12908.408775660751</v>
      </c>
      <c r="E159" s="41">
        <f t="shared" ca="1" si="295"/>
        <v>954.99097940698016</v>
      </c>
      <c r="F159" s="7">
        <f t="shared" si="296"/>
        <v>55</v>
      </c>
      <c r="G159" s="41"/>
      <c r="H159" s="7">
        <f t="shared" si="297"/>
        <v>10000</v>
      </c>
      <c r="I159" s="6">
        <v>15</v>
      </c>
      <c r="J159" s="41">
        <f t="shared" si="256"/>
        <v>0.42549951772196798</v>
      </c>
      <c r="K159" s="41">
        <f t="shared" si="257"/>
        <v>471.06589471883535</v>
      </c>
      <c r="L159" s="6">
        <f t="shared" si="298"/>
        <v>235</v>
      </c>
      <c r="M159" s="41">
        <f t="shared" si="258"/>
        <v>279.09900556659443</v>
      </c>
      <c r="N159" s="41">
        <f t="shared" si="259"/>
        <v>184.44110870126713</v>
      </c>
      <c r="O159" s="41">
        <f t="shared" si="260"/>
        <v>2123003.108316463</v>
      </c>
      <c r="P159" s="41">
        <f t="shared" si="261"/>
        <v>13631171.75606169</v>
      </c>
      <c r="Q159" s="41">
        <f t="shared" si="262"/>
        <v>2.8123079706811947E-3</v>
      </c>
      <c r="R159" s="41">
        <f t="shared" si="263"/>
        <v>2.2097807141776935E-2</v>
      </c>
      <c r="S159" s="24">
        <f t="shared" ca="1" si="299"/>
        <v>0</v>
      </c>
      <c r="T159" s="10">
        <f t="shared" ca="1" si="264"/>
        <v>0</v>
      </c>
      <c r="U159" s="41">
        <f t="shared" ca="1" si="265"/>
        <v>0.30428962833235634</v>
      </c>
      <c r="V159" s="41">
        <f t="shared" ca="1" si="266"/>
        <v>2.794562571563532E-2</v>
      </c>
      <c r="W159" s="41">
        <f t="shared" ca="1" si="267"/>
        <v>10.888631781900274</v>
      </c>
      <c r="X159" s="20">
        <f t="shared" ca="1" si="268"/>
        <v>1185.4941037787567</v>
      </c>
      <c r="Y159" s="41">
        <f t="shared" si="269"/>
        <v>0.59151368135346993</v>
      </c>
      <c r="Z159" s="41">
        <f t="shared" ca="1" si="270"/>
        <v>167.73342550635564</v>
      </c>
      <c r="AA159" s="14">
        <f t="shared" ca="1" si="271"/>
        <v>1185.4941037787567</v>
      </c>
      <c r="AB159" s="14">
        <f t="shared" si="300"/>
        <v>4016.4588107467653</v>
      </c>
      <c r="AC159" s="25">
        <f t="shared" ca="1" si="272"/>
        <v>558445.8406804438</v>
      </c>
      <c r="AD159" s="41">
        <f t="shared" si="273"/>
        <v>1892016.7632857743</v>
      </c>
      <c r="AE159" s="5">
        <f t="shared" ca="1" si="274"/>
        <v>29.515903427336333</v>
      </c>
      <c r="AF159" s="7">
        <f t="shared" ca="1" si="275"/>
        <v>1185.4941037787567</v>
      </c>
      <c r="AG159" s="41">
        <f t="shared" ca="1" si="276"/>
        <v>2830.9647069680086</v>
      </c>
      <c r="AH159" s="41">
        <f t="shared" ca="1" si="277"/>
        <v>1333570.9226053306</v>
      </c>
      <c r="AI159" s="41">
        <f t="shared" ca="1" si="278"/>
        <v>922.95923728981609</v>
      </c>
      <c r="AJ159" s="13">
        <f t="shared" ca="1" si="279"/>
        <v>0</v>
      </c>
      <c r="AK159" s="11"/>
      <c r="AL159" s="6">
        <v>0</v>
      </c>
      <c r="AM159" s="41">
        <f t="shared" si="280"/>
        <v>64.493243046346549</v>
      </c>
      <c r="AN159" s="41">
        <f t="shared" ca="1" si="281"/>
        <v>16.534620670111874</v>
      </c>
      <c r="AO159" s="6">
        <v>5</v>
      </c>
      <c r="AP159" s="67">
        <f t="shared" si="301"/>
        <v>0.77854392893890234</v>
      </c>
      <c r="AQ159" s="11">
        <f t="shared" si="282"/>
        <v>0.98330272071837588</v>
      </c>
      <c r="AR159" s="11">
        <f t="shared" si="283"/>
        <v>0.68770269343653956</v>
      </c>
      <c r="AS159" s="11">
        <f t="shared" si="284"/>
        <v>0.69938044403469313</v>
      </c>
      <c r="AT159" s="11">
        <f t="shared" si="285"/>
        <v>510.00962215499999</v>
      </c>
      <c r="AU159" s="11">
        <f t="shared" si="286"/>
        <v>1455.3301939042735</v>
      </c>
      <c r="AV159" s="11">
        <f t="shared" si="287"/>
        <v>1.6623573774260621E-3</v>
      </c>
      <c r="AW159" s="11">
        <f t="shared" si="288"/>
        <v>3.6885478983619832E-7</v>
      </c>
      <c r="AX159" s="41">
        <f t="shared" ca="1" si="289"/>
        <v>2.0094434791520412</v>
      </c>
      <c r="AY159" s="41">
        <f t="shared" ca="1" si="290"/>
        <v>2.7067602891359286</v>
      </c>
      <c r="AZ159" s="41">
        <f t="shared" si="291"/>
        <v>0.30044199110228809</v>
      </c>
      <c r="BA159" s="154">
        <f t="shared" ca="1" si="302"/>
        <v>0.85850711920372769</v>
      </c>
    </row>
    <row r="160" spans="1:53" ht="14.5">
      <c r="A160" s="41">
        <f t="shared" ca="1" si="292"/>
        <v>16576.811951364729</v>
      </c>
      <c r="B160" s="41">
        <f t="shared" ca="1" si="293"/>
        <v>276.28019918941214</v>
      </c>
      <c r="C160" s="41">
        <f t="shared" ca="1" si="293"/>
        <v>4.6046699864902028</v>
      </c>
      <c r="D160" s="41">
        <f t="shared" ca="1" si="294"/>
        <v>12891.874154990639</v>
      </c>
      <c r="E160" s="41">
        <f t="shared" ca="1" si="295"/>
        <v>959.99097940698016</v>
      </c>
      <c r="F160" s="7">
        <f t="shared" si="296"/>
        <v>60</v>
      </c>
      <c r="G160" s="41"/>
      <c r="H160" s="7">
        <f t="shared" si="297"/>
        <v>10000</v>
      </c>
      <c r="I160" s="6">
        <v>15</v>
      </c>
      <c r="J160" s="41">
        <f t="shared" si="256"/>
        <v>0.42549951772196798</v>
      </c>
      <c r="K160" s="41">
        <f t="shared" si="257"/>
        <v>471.06589471883535</v>
      </c>
      <c r="L160" s="6">
        <f t="shared" si="298"/>
        <v>235</v>
      </c>
      <c r="M160" s="41">
        <f t="shared" si="258"/>
        <v>279.09900556659443</v>
      </c>
      <c r="N160" s="41">
        <f t="shared" si="259"/>
        <v>184.44110870126713</v>
      </c>
      <c r="O160" s="41">
        <f t="shared" si="260"/>
        <v>2123003.108316463</v>
      </c>
      <c r="P160" s="41">
        <f t="shared" si="261"/>
        <v>13631171.75606169</v>
      </c>
      <c r="Q160" s="41">
        <f t="shared" si="262"/>
        <v>2.8123079706811947E-3</v>
      </c>
      <c r="R160" s="41">
        <f t="shared" si="263"/>
        <v>2.2097807141776935E-2</v>
      </c>
      <c r="S160" s="24">
        <f t="shared" ca="1" si="299"/>
        <v>0</v>
      </c>
      <c r="T160" s="10">
        <f t="shared" ca="1" si="264"/>
        <v>0</v>
      </c>
      <c r="U160" s="41">
        <f t="shared" ca="1" si="265"/>
        <v>0.30389985809299019</v>
      </c>
      <c r="V160" s="41">
        <f t="shared" ca="1" si="266"/>
        <v>2.7930654151502105E-2</v>
      </c>
      <c r="W160" s="41">
        <f t="shared" ca="1" si="267"/>
        <v>10.880513447503574</v>
      </c>
      <c r="X160" s="20">
        <f t="shared" ca="1" si="268"/>
        <v>1184.8589882445806</v>
      </c>
      <c r="Y160" s="41">
        <f t="shared" si="269"/>
        <v>0.59151368135346993</v>
      </c>
      <c r="Z160" s="41">
        <f t="shared" ca="1" si="270"/>
        <v>167.62596465236626</v>
      </c>
      <c r="AA160" s="14">
        <f t="shared" ca="1" si="271"/>
        <v>1184.8589882445806</v>
      </c>
      <c r="AB160" s="14">
        <f t="shared" si="300"/>
        <v>4016.4588107467653</v>
      </c>
      <c r="AC160" s="25">
        <f t="shared" ca="1" si="272"/>
        <v>558146.65941308741</v>
      </c>
      <c r="AD160" s="41">
        <f t="shared" si="273"/>
        <v>1892016.7632857743</v>
      </c>
      <c r="AE160" s="5">
        <f t="shared" ca="1" si="274"/>
        <v>29.500090604048403</v>
      </c>
      <c r="AF160" s="7">
        <f t="shared" ca="1" si="275"/>
        <v>1184.8589882445806</v>
      </c>
      <c r="AG160" s="41">
        <f t="shared" ca="1" si="276"/>
        <v>2831.5998225021849</v>
      </c>
      <c r="AH160" s="41">
        <f t="shared" ca="1" si="277"/>
        <v>1333870.1038726869</v>
      </c>
      <c r="AI160" s="41">
        <f t="shared" ca="1" si="278"/>
        <v>922.46477194650845</v>
      </c>
      <c r="AJ160" s="13">
        <f t="shared" ca="1" si="279"/>
        <v>0</v>
      </c>
      <c r="AK160" s="11"/>
      <c r="AL160" s="6">
        <v>0</v>
      </c>
      <c r="AM160" s="41">
        <f t="shared" si="280"/>
        <v>64.493243046346549</v>
      </c>
      <c r="AN160" s="41">
        <f t="shared" ca="1" si="281"/>
        <v>16.525762427455224</v>
      </c>
      <c r="AO160" s="6">
        <v>5</v>
      </c>
      <c r="AP160" s="67">
        <f t="shared" si="301"/>
        <v>0.77854392893890234</v>
      </c>
      <c r="AQ160" s="11">
        <f t="shared" si="282"/>
        <v>0.98330272071837588</v>
      </c>
      <c r="AR160" s="11">
        <f t="shared" si="283"/>
        <v>0.68770269343653956</v>
      </c>
      <c r="AS160" s="11">
        <f t="shared" si="284"/>
        <v>0.69938044403469313</v>
      </c>
      <c r="AT160" s="11">
        <f t="shared" si="285"/>
        <v>510.00962215499999</v>
      </c>
      <c r="AU160" s="11">
        <f t="shared" si="286"/>
        <v>1455.3301939042735</v>
      </c>
      <c r="AV160" s="11">
        <f t="shared" si="287"/>
        <v>1.6623573774260621E-3</v>
      </c>
      <c r="AW160" s="11">
        <f t="shared" si="288"/>
        <v>3.6885478983619832E-7</v>
      </c>
      <c r="AX160" s="41">
        <f t="shared" ca="1" si="289"/>
        <v>2.0117397553751704</v>
      </c>
      <c r="AY160" s="41">
        <f t="shared" ca="1" si="290"/>
        <v>2.7098534188298653</v>
      </c>
      <c r="AZ160" s="41">
        <f t="shared" si="291"/>
        <v>0.30044199110228809</v>
      </c>
      <c r="BA160" s="154">
        <f t="shared" ca="1" si="302"/>
        <v>0.85867092403188217</v>
      </c>
    </row>
    <row r="161" spans="1:53" ht="14.5">
      <c r="A161" s="41">
        <f t="shared" ca="1" si="292"/>
        <v>16641.305194411074</v>
      </c>
      <c r="B161" s="41">
        <f t="shared" ca="1" si="293"/>
        <v>277.35508657351789</v>
      </c>
      <c r="C161" s="41">
        <f t="shared" ca="1" si="293"/>
        <v>4.6225847762252981</v>
      </c>
      <c r="D161" s="41">
        <f t="shared" ca="1" si="294"/>
        <v>12875.348392563184</v>
      </c>
      <c r="E161" s="41">
        <f t="shared" ca="1" si="295"/>
        <v>964.99097940698016</v>
      </c>
      <c r="F161" s="7">
        <f t="shared" si="296"/>
        <v>65</v>
      </c>
      <c r="G161" s="41"/>
      <c r="H161" s="7">
        <f t="shared" si="297"/>
        <v>10000</v>
      </c>
      <c r="I161" s="6">
        <v>15</v>
      </c>
      <c r="J161" s="41">
        <f t="shared" si="256"/>
        <v>0.42549951772196798</v>
      </c>
      <c r="K161" s="41">
        <f t="shared" si="257"/>
        <v>471.06589471883535</v>
      </c>
      <c r="L161" s="6">
        <f t="shared" si="298"/>
        <v>235</v>
      </c>
      <c r="M161" s="41">
        <f t="shared" si="258"/>
        <v>279.09900556659443</v>
      </c>
      <c r="N161" s="41">
        <f t="shared" si="259"/>
        <v>184.44110870126713</v>
      </c>
      <c r="O161" s="41">
        <f t="shared" si="260"/>
        <v>2123003.108316463</v>
      </c>
      <c r="P161" s="41">
        <f t="shared" si="261"/>
        <v>13631171.75606169</v>
      </c>
      <c r="Q161" s="41">
        <f t="shared" si="262"/>
        <v>2.8123079706811947E-3</v>
      </c>
      <c r="R161" s="41">
        <f t="shared" si="263"/>
        <v>2.2097807141776935E-2</v>
      </c>
      <c r="S161" s="24">
        <f t="shared" ca="1" si="299"/>
        <v>0</v>
      </c>
      <c r="T161" s="10">
        <f t="shared" ca="1" si="264"/>
        <v>0</v>
      </c>
      <c r="U161" s="41">
        <f t="shared" ca="1" si="265"/>
        <v>0.3035102966687781</v>
      </c>
      <c r="V161" s="41">
        <f t="shared" ca="1" si="266"/>
        <v>2.7915709782447746E-2</v>
      </c>
      <c r="W161" s="41">
        <f t="shared" ca="1" si="267"/>
        <v>10.872383293639659</v>
      </c>
      <c r="X161" s="20">
        <f t="shared" ca="1" si="268"/>
        <v>1184.2250263652184</v>
      </c>
      <c r="Y161" s="41">
        <f t="shared" si="269"/>
        <v>0.59151368135346993</v>
      </c>
      <c r="Z161" s="41">
        <f t="shared" ca="1" si="270"/>
        <v>167.51849249006921</v>
      </c>
      <c r="AA161" s="14">
        <f t="shared" ca="1" si="271"/>
        <v>1184.2250263652184</v>
      </c>
      <c r="AB161" s="14">
        <f t="shared" si="300"/>
        <v>4016.4588107467653</v>
      </c>
      <c r="AC161" s="25">
        <f t="shared" ca="1" si="272"/>
        <v>557848.02159316791</v>
      </c>
      <c r="AD161" s="41">
        <f t="shared" si="273"/>
        <v>1892016.7632857743</v>
      </c>
      <c r="AE161" s="5">
        <f t="shared" ca="1" si="274"/>
        <v>29.484306503943454</v>
      </c>
      <c r="AF161" s="7">
        <f t="shared" ca="1" si="275"/>
        <v>1184.2250263652184</v>
      </c>
      <c r="AG161" s="41">
        <f t="shared" ca="1" si="276"/>
        <v>2832.2337843815467</v>
      </c>
      <c r="AH161" s="41">
        <f t="shared" ca="1" si="277"/>
        <v>1334168.7416926064</v>
      </c>
      <c r="AI161" s="41">
        <f t="shared" ca="1" si="278"/>
        <v>921.97120477415228</v>
      </c>
      <c r="AJ161" s="13">
        <f t="shared" ca="1" si="279"/>
        <v>0</v>
      </c>
      <c r="AK161" s="11"/>
      <c r="AL161" s="6">
        <v>0</v>
      </c>
      <c r="AM161" s="41">
        <f t="shared" si="280"/>
        <v>64.493243046346549</v>
      </c>
      <c r="AN161" s="41">
        <f t="shared" ca="1" si="281"/>
        <v>16.516920275342319</v>
      </c>
      <c r="AO161" s="6">
        <v>5</v>
      </c>
      <c r="AP161" s="67">
        <f t="shared" si="301"/>
        <v>0.77854392893890234</v>
      </c>
      <c r="AQ161" s="11">
        <f t="shared" si="282"/>
        <v>0.98330272071837588</v>
      </c>
      <c r="AR161" s="11">
        <f t="shared" si="283"/>
        <v>0.68770269343653956</v>
      </c>
      <c r="AS161" s="11">
        <f t="shared" si="284"/>
        <v>0.69938044403469313</v>
      </c>
      <c r="AT161" s="11">
        <f t="shared" si="285"/>
        <v>510.00962215499999</v>
      </c>
      <c r="AU161" s="11">
        <f t="shared" si="286"/>
        <v>1455.3301939042735</v>
      </c>
      <c r="AV161" s="11">
        <f t="shared" si="287"/>
        <v>1.6623573774260621E-3</v>
      </c>
      <c r="AW161" s="11">
        <f t="shared" si="288"/>
        <v>3.6885478983619832E-7</v>
      </c>
      <c r="AX161" s="41">
        <f t="shared" ca="1" si="289"/>
        <v>2.0140410808525275</v>
      </c>
      <c r="AY161" s="41">
        <f t="shared" ca="1" si="290"/>
        <v>2.7129533499695637</v>
      </c>
      <c r="AZ161" s="41">
        <f t="shared" si="291"/>
        <v>0.30044199110228809</v>
      </c>
      <c r="BA161" s="154">
        <f t="shared" ca="1" si="302"/>
        <v>0.85883466909257822</v>
      </c>
    </row>
    <row r="162" spans="1:53" ht="14.5">
      <c r="A162" s="41">
        <f t="shared" ca="1" si="292"/>
        <v>16705.798437457419</v>
      </c>
      <c r="B162" s="41">
        <f t="shared" ca="1" si="293"/>
        <v>278.42997395762364</v>
      </c>
      <c r="C162" s="41">
        <f t="shared" ca="1" si="293"/>
        <v>4.6404995659603943</v>
      </c>
      <c r="D162" s="41">
        <f t="shared" ca="1" si="294"/>
        <v>12858.831472287842</v>
      </c>
      <c r="E162" s="41">
        <f t="shared" ca="1" si="295"/>
        <v>969.99097940698016</v>
      </c>
      <c r="F162" s="7">
        <f t="shared" si="296"/>
        <v>70</v>
      </c>
      <c r="G162" s="41"/>
      <c r="H162" s="7">
        <f t="shared" si="297"/>
        <v>10000</v>
      </c>
      <c r="I162" s="6">
        <v>15</v>
      </c>
      <c r="J162" s="41">
        <f t="shared" si="256"/>
        <v>0.42549951772196798</v>
      </c>
      <c r="K162" s="41">
        <f t="shared" si="257"/>
        <v>471.06589471883535</v>
      </c>
      <c r="L162" s="6">
        <f t="shared" si="298"/>
        <v>235</v>
      </c>
      <c r="M162" s="41">
        <f t="shared" si="258"/>
        <v>279.09900556659443</v>
      </c>
      <c r="N162" s="41">
        <f t="shared" si="259"/>
        <v>184.44110870126713</v>
      </c>
      <c r="O162" s="41">
        <f t="shared" si="260"/>
        <v>2123003.108316463</v>
      </c>
      <c r="P162" s="41">
        <f t="shared" si="261"/>
        <v>13631171.75606169</v>
      </c>
      <c r="Q162" s="41">
        <f t="shared" si="262"/>
        <v>2.8123079706811947E-3</v>
      </c>
      <c r="R162" s="41">
        <f t="shared" si="263"/>
        <v>2.2097807141776935E-2</v>
      </c>
      <c r="S162" s="24">
        <f t="shared" ca="1" si="299"/>
        <v>0</v>
      </c>
      <c r="T162" s="10">
        <f t="shared" ca="1" si="264"/>
        <v>0</v>
      </c>
      <c r="U162" s="41">
        <f t="shared" ca="1" si="265"/>
        <v>0.30312094368041781</v>
      </c>
      <c r="V162" s="41">
        <f t="shared" ca="1" si="266"/>
        <v>2.790079256312402E-2</v>
      </c>
      <c r="W162" s="41">
        <f t="shared" ca="1" si="267"/>
        <v>10.864241329153042</v>
      </c>
      <c r="X162" s="20">
        <f t="shared" ca="1" si="268"/>
        <v>1183.5922162169325</v>
      </c>
      <c r="Y162" s="41">
        <f t="shared" si="269"/>
        <v>0.59151368135346993</v>
      </c>
      <c r="Z162" s="41">
        <f t="shared" ca="1" si="270"/>
        <v>167.41100889294322</v>
      </c>
      <c r="AA162" s="14">
        <f t="shared" ca="1" si="271"/>
        <v>1183.5922162169325</v>
      </c>
      <c r="AB162" s="14">
        <f t="shared" si="300"/>
        <v>4016.4588107467653</v>
      </c>
      <c r="AC162" s="25">
        <f t="shared" ca="1" si="272"/>
        <v>557549.92631447851</v>
      </c>
      <c r="AD162" s="41">
        <f t="shared" si="273"/>
        <v>1892016.7632857743</v>
      </c>
      <c r="AE162" s="5">
        <f t="shared" ca="1" si="274"/>
        <v>29.468551079125131</v>
      </c>
      <c r="AF162" s="7">
        <f t="shared" ca="1" si="275"/>
        <v>1183.5922162169325</v>
      </c>
      <c r="AG162" s="41">
        <f t="shared" ca="1" si="276"/>
        <v>2832.8665945298326</v>
      </c>
      <c r="AH162" s="41">
        <f t="shared" ca="1" si="277"/>
        <v>1334466.8369712958</v>
      </c>
      <c r="AI162" s="41">
        <f t="shared" ca="1" si="278"/>
        <v>921.47853427503344</v>
      </c>
      <c r="AJ162" s="13">
        <f t="shared" ca="1" si="279"/>
        <v>0</v>
      </c>
      <c r="AK162" s="11"/>
      <c r="AL162" s="6">
        <v>0</v>
      </c>
      <c r="AM162" s="41">
        <f t="shared" si="280"/>
        <v>64.493243046346549</v>
      </c>
      <c r="AN162" s="41">
        <f t="shared" ca="1" si="281"/>
        <v>16.508094186941918</v>
      </c>
      <c r="AO162" s="6">
        <v>5</v>
      </c>
      <c r="AP162" s="67">
        <f t="shared" si="301"/>
        <v>0.77854392893890234</v>
      </c>
      <c r="AQ162" s="11">
        <f t="shared" si="282"/>
        <v>0.98330272071837588</v>
      </c>
      <c r="AR162" s="11">
        <f t="shared" si="283"/>
        <v>0.68770269343653956</v>
      </c>
      <c r="AS162" s="11">
        <f t="shared" si="284"/>
        <v>0.69938044403469313</v>
      </c>
      <c r="AT162" s="11">
        <f t="shared" si="285"/>
        <v>510.00962215499999</v>
      </c>
      <c r="AU162" s="11">
        <f t="shared" si="286"/>
        <v>1455.3301939042735</v>
      </c>
      <c r="AV162" s="11">
        <f t="shared" si="287"/>
        <v>1.6623573774260621E-3</v>
      </c>
      <c r="AW162" s="11">
        <f t="shared" si="288"/>
        <v>3.6885478983619832E-7</v>
      </c>
      <c r="AX162" s="41">
        <f t="shared" ca="1" si="289"/>
        <v>2.0163474718217458</v>
      </c>
      <c r="AY162" s="41">
        <f t="shared" ca="1" si="290"/>
        <v>2.7160601044274379</v>
      </c>
      <c r="AZ162" s="41">
        <f t="shared" si="291"/>
        <v>0.30044199110228809</v>
      </c>
      <c r="BA162" s="154">
        <f t="shared" ca="1" si="302"/>
        <v>0.85899835391600954</v>
      </c>
    </row>
    <row r="163" spans="1:53" ht="14.5">
      <c r="A163" s="41">
        <f t="shared" ca="1" si="292"/>
        <v>16770.291680503764</v>
      </c>
      <c r="B163" s="41">
        <f t="shared" ca="1" si="293"/>
        <v>279.5048613417294</v>
      </c>
      <c r="C163" s="41">
        <f t="shared" ca="1" si="293"/>
        <v>4.6584143556954896</v>
      </c>
      <c r="D163" s="41">
        <f t="shared" ca="1" si="294"/>
        <v>12842.3233781009</v>
      </c>
      <c r="E163" s="41">
        <f t="shared" ca="1" si="295"/>
        <v>974.99097940698016</v>
      </c>
      <c r="F163" s="7">
        <f t="shared" si="296"/>
        <v>75</v>
      </c>
      <c r="G163" s="41"/>
      <c r="H163" s="7">
        <f t="shared" si="297"/>
        <v>10000</v>
      </c>
      <c r="I163" s="6">
        <v>15</v>
      </c>
      <c r="J163" s="41">
        <f t="shared" si="256"/>
        <v>0.42549951772196798</v>
      </c>
      <c r="K163" s="41">
        <f t="shared" si="257"/>
        <v>471.06589471883535</v>
      </c>
      <c r="L163" s="6">
        <f t="shared" si="298"/>
        <v>235</v>
      </c>
      <c r="M163" s="41">
        <f t="shared" si="258"/>
        <v>279.09900556659443</v>
      </c>
      <c r="N163" s="41">
        <f t="shared" si="259"/>
        <v>184.44110870126713</v>
      </c>
      <c r="O163" s="41">
        <f t="shared" si="260"/>
        <v>2123003.108316463</v>
      </c>
      <c r="P163" s="41">
        <f t="shared" si="261"/>
        <v>13631171.75606169</v>
      </c>
      <c r="Q163" s="41">
        <f t="shared" si="262"/>
        <v>2.8123079706811947E-3</v>
      </c>
      <c r="R163" s="41">
        <f t="shared" si="263"/>
        <v>2.2097807141776935E-2</v>
      </c>
      <c r="S163" s="24">
        <f t="shared" ca="1" si="299"/>
        <v>0</v>
      </c>
      <c r="T163" s="10">
        <f t="shared" ca="1" si="264"/>
        <v>0</v>
      </c>
      <c r="U163" s="41">
        <f t="shared" ca="1" si="265"/>
        <v>0.30273179874924</v>
      </c>
      <c r="V163" s="41">
        <f t="shared" ca="1" si="266"/>
        <v>2.7885902448297997E-2</v>
      </c>
      <c r="W163" s="41">
        <f t="shared" ca="1" si="267"/>
        <v>10.856087562901056</v>
      </c>
      <c r="X163" s="20">
        <f t="shared" ca="1" si="268"/>
        <v>1182.9605558808762</v>
      </c>
      <c r="Y163" s="41">
        <f t="shared" si="269"/>
        <v>0.59151368135346993</v>
      </c>
      <c r="Z163" s="41">
        <f t="shared" ca="1" si="270"/>
        <v>167.30351373431446</v>
      </c>
      <c r="AA163" s="14">
        <f t="shared" ca="1" si="271"/>
        <v>1182.9605558808762</v>
      </c>
      <c r="AB163" s="14">
        <f t="shared" si="300"/>
        <v>4016.4588107467653</v>
      </c>
      <c r="AC163" s="25">
        <f t="shared" ca="1" si="272"/>
        <v>557252.37267311581</v>
      </c>
      <c r="AD163" s="41">
        <f t="shared" si="273"/>
        <v>1892016.7632857743</v>
      </c>
      <c r="AE163" s="5">
        <f t="shared" ca="1" si="274"/>
        <v>29.452824281818856</v>
      </c>
      <c r="AF163" s="7">
        <f t="shared" ca="1" si="275"/>
        <v>1182.9605558808762</v>
      </c>
      <c r="AG163" s="41">
        <f t="shared" ca="1" si="276"/>
        <v>2833.4982548658891</v>
      </c>
      <c r="AH163" s="41">
        <f t="shared" ca="1" si="277"/>
        <v>1334764.3906126586</v>
      </c>
      <c r="AI163" s="41">
        <f t="shared" ca="1" si="278"/>
        <v>920.98675895524525</v>
      </c>
      <c r="AJ163" s="13">
        <f t="shared" ca="1" si="279"/>
        <v>0</v>
      </c>
      <c r="AK163" s="11"/>
      <c r="AL163" s="6">
        <v>0</v>
      </c>
      <c r="AM163" s="41">
        <f t="shared" si="280"/>
        <v>64.493243046346549</v>
      </c>
      <c r="AN163" s="41">
        <f t="shared" ca="1" si="281"/>
        <v>16.499284135491003</v>
      </c>
      <c r="AO163" s="6">
        <v>5</v>
      </c>
      <c r="AP163" s="67">
        <f t="shared" si="301"/>
        <v>0.77854392893890234</v>
      </c>
      <c r="AQ163" s="11">
        <f t="shared" si="282"/>
        <v>0.98330272071837588</v>
      </c>
      <c r="AR163" s="11">
        <f t="shared" si="283"/>
        <v>0.68770269343653956</v>
      </c>
      <c r="AS163" s="11">
        <f t="shared" si="284"/>
        <v>0.69938044403469313</v>
      </c>
      <c r="AT163" s="11">
        <f t="shared" si="285"/>
        <v>510.00962215499999</v>
      </c>
      <c r="AU163" s="11">
        <f t="shared" si="286"/>
        <v>1455.3301939042735</v>
      </c>
      <c r="AV163" s="11">
        <f t="shared" si="287"/>
        <v>1.6623573774260621E-3</v>
      </c>
      <c r="AW163" s="11">
        <f t="shared" si="288"/>
        <v>3.6885478983619832E-7</v>
      </c>
      <c r="AX163" s="41">
        <f t="shared" ca="1" si="289"/>
        <v>2.0186589445931786</v>
      </c>
      <c r="AY163" s="41">
        <f t="shared" ca="1" si="290"/>
        <v>2.719173704173858</v>
      </c>
      <c r="AZ163" s="41">
        <f t="shared" si="291"/>
        <v>0.30044199110228809</v>
      </c>
      <c r="BA163" s="154">
        <f t="shared" ca="1" si="302"/>
        <v>0.85916197803304095</v>
      </c>
    </row>
    <row r="164" spans="1:53" ht="14.5">
      <c r="A164" s="41">
        <f t="shared" ca="1" si="292"/>
        <v>16834.784923550109</v>
      </c>
      <c r="B164" s="41">
        <f t="shared" ca="1" si="293"/>
        <v>280.57974872583515</v>
      </c>
      <c r="C164" s="41">
        <f t="shared" ca="1" si="293"/>
        <v>4.6763291454305858</v>
      </c>
      <c r="D164" s="41">
        <f t="shared" ca="1" si="294"/>
        <v>12825.82409396541</v>
      </c>
      <c r="E164" s="41">
        <f t="shared" ca="1" si="295"/>
        <v>979.99097940698016</v>
      </c>
      <c r="F164" s="7">
        <f t="shared" si="296"/>
        <v>80</v>
      </c>
      <c r="G164" s="41"/>
      <c r="H164" s="7">
        <f t="shared" si="297"/>
        <v>10000</v>
      </c>
      <c r="I164" s="6">
        <v>15</v>
      </c>
      <c r="J164" s="41">
        <f t="shared" si="256"/>
        <v>0.42549951772196798</v>
      </c>
      <c r="K164" s="41">
        <f t="shared" si="257"/>
        <v>471.06589471883535</v>
      </c>
      <c r="L164" s="6">
        <f t="shared" si="298"/>
        <v>235</v>
      </c>
      <c r="M164" s="41">
        <f t="shared" si="258"/>
        <v>279.09900556659443</v>
      </c>
      <c r="N164" s="41">
        <f t="shared" si="259"/>
        <v>184.44110870126713</v>
      </c>
      <c r="O164" s="41">
        <f t="shared" si="260"/>
        <v>2123003.108316463</v>
      </c>
      <c r="P164" s="41">
        <f t="shared" si="261"/>
        <v>13631171.75606169</v>
      </c>
      <c r="Q164" s="41">
        <f t="shared" si="262"/>
        <v>2.8123079706811947E-3</v>
      </c>
      <c r="R164" s="41">
        <f t="shared" si="263"/>
        <v>2.2097807141776935E-2</v>
      </c>
      <c r="S164" s="24">
        <f t="shared" ca="1" si="299"/>
        <v>-1.0157282588495867E-15</v>
      </c>
      <c r="T164" s="10">
        <f t="shared" ca="1" si="264"/>
        <v>-1.0157282588495867E-15</v>
      </c>
      <c r="U164" s="41">
        <f t="shared" ca="1" si="265"/>
        <v>0.30234286149720591</v>
      </c>
      <c r="V164" s="41">
        <f t="shared" ca="1" si="266"/>
        <v>2.7871039392851706E-2</v>
      </c>
      <c r="W164" s="41">
        <f t="shared" ca="1" si="267"/>
        <v>10.847922003753833</v>
      </c>
      <c r="X164" s="20">
        <f t="shared" ca="1" si="268"/>
        <v>1182.3300434430798</v>
      </c>
      <c r="Y164" s="41">
        <f t="shared" si="269"/>
        <v>0.59151368135346993</v>
      </c>
      <c r="Z164" s="41">
        <f t="shared" ca="1" si="270"/>
        <v>167.19600688735528</v>
      </c>
      <c r="AA164" s="14">
        <f t="shared" ca="1" si="271"/>
        <v>1182.3300434430796</v>
      </c>
      <c r="AB164" s="14">
        <f t="shared" si="300"/>
        <v>4016.4588107467653</v>
      </c>
      <c r="AC164" s="25">
        <f t="shared" ca="1" si="272"/>
        <v>556955.35976747377</v>
      </c>
      <c r="AD164" s="41">
        <f t="shared" si="273"/>
        <v>1892016.7632857743</v>
      </c>
      <c r="AE164" s="5">
        <f t="shared" ca="1" si="274"/>
        <v>29.437126064371448</v>
      </c>
      <c r="AF164" s="7">
        <f t="shared" ca="1" si="275"/>
        <v>1182.3300434430796</v>
      </c>
      <c r="AG164" s="41">
        <f t="shared" ca="1" si="276"/>
        <v>2834.1287673036859</v>
      </c>
      <c r="AH164" s="41">
        <f t="shared" ca="1" si="277"/>
        <v>1335061.4035183005</v>
      </c>
      <c r="AI164" s="41">
        <f t="shared" ca="1" si="278"/>
        <v>920.4958773246783</v>
      </c>
      <c r="AJ164" s="13">
        <f t="shared" ca="1" si="279"/>
        <v>-8.350963109541696E-15</v>
      </c>
      <c r="AK164" s="11"/>
      <c r="AL164" s="6">
        <v>0</v>
      </c>
      <c r="AM164" s="41">
        <f t="shared" si="280"/>
        <v>64.493243046346549</v>
      </c>
      <c r="AN164" s="41">
        <f t="shared" ca="1" si="281"/>
        <v>16.490490094294575</v>
      </c>
      <c r="AO164" s="6">
        <v>5</v>
      </c>
      <c r="AP164" s="67">
        <f t="shared" si="301"/>
        <v>0.77854392893890234</v>
      </c>
      <c r="AQ164" s="11">
        <f t="shared" si="282"/>
        <v>0.98330272071837588</v>
      </c>
      <c r="AR164" s="11">
        <f t="shared" si="283"/>
        <v>0.68770269343653956</v>
      </c>
      <c r="AS164" s="11">
        <f t="shared" si="284"/>
        <v>0.69938044403469313</v>
      </c>
      <c r="AT164" s="11">
        <f t="shared" si="285"/>
        <v>510.00962215499999</v>
      </c>
      <c r="AU164" s="11">
        <f t="shared" si="286"/>
        <v>1455.3301939042735</v>
      </c>
      <c r="AV164" s="11">
        <f t="shared" si="287"/>
        <v>1.6623573774260621E-3</v>
      </c>
      <c r="AW164" s="11">
        <f t="shared" si="288"/>
        <v>3.6885478983619832E-7</v>
      </c>
      <c r="AX164" s="41">
        <f t="shared" ca="1" si="289"/>
        <v>2.0209755155502998</v>
      </c>
      <c r="AY164" s="41">
        <f t="shared" ca="1" si="290"/>
        <v>2.7222941712776887</v>
      </c>
      <c r="AZ164" s="41">
        <f t="shared" si="291"/>
        <v>0.30044199110228809</v>
      </c>
      <c r="BA164" s="154">
        <f t="shared" ca="1" si="302"/>
        <v>0.85932554097521319</v>
      </c>
    </row>
    <row r="165" spans="1:53" ht="14.5">
      <c r="A165" s="41">
        <f t="shared" ca="1" si="292"/>
        <v>16899.278166596454</v>
      </c>
      <c r="B165" s="41">
        <f t="shared" ref="B165:C168" ca="1" si="303">A165/60</f>
        <v>281.6546361099409</v>
      </c>
      <c r="C165" s="41">
        <f t="shared" ca="1" si="303"/>
        <v>4.6942439351656819</v>
      </c>
      <c r="D165" s="41">
        <f t="shared" ca="1" si="294"/>
        <v>12809.333603871115</v>
      </c>
      <c r="E165" s="41">
        <f t="shared" ca="1" si="295"/>
        <v>984.99097940698016</v>
      </c>
      <c r="F165" s="7">
        <f t="shared" si="296"/>
        <v>85</v>
      </c>
      <c r="G165" s="41"/>
      <c r="H165" s="7">
        <f t="shared" si="297"/>
        <v>10000</v>
      </c>
      <c r="I165" s="6">
        <v>15</v>
      </c>
      <c r="J165" s="41">
        <f t="shared" si="256"/>
        <v>0.42549951772196798</v>
      </c>
      <c r="K165" s="41">
        <f t="shared" si="257"/>
        <v>471.06589471883535</v>
      </c>
      <c r="L165" s="6">
        <f t="shared" si="298"/>
        <v>235</v>
      </c>
      <c r="M165" s="41">
        <f t="shared" si="258"/>
        <v>279.09900556659443</v>
      </c>
      <c r="N165" s="41">
        <f t="shared" si="259"/>
        <v>184.44110870126713</v>
      </c>
      <c r="O165" s="41">
        <f t="shared" si="260"/>
        <v>2123003.108316463</v>
      </c>
      <c r="P165" s="41">
        <f t="shared" si="261"/>
        <v>13631171.75606169</v>
      </c>
      <c r="Q165" s="41">
        <f t="shared" si="262"/>
        <v>2.8123079706811947E-3</v>
      </c>
      <c r="R165" s="41">
        <f t="shared" si="263"/>
        <v>2.2097807141776935E-2</v>
      </c>
      <c r="S165" s="24">
        <f t="shared" ca="1" si="299"/>
        <v>0</v>
      </c>
      <c r="T165" s="10">
        <f t="shared" ca="1" si="264"/>
        <v>0</v>
      </c>
      <c r="U165" s="41">
        <f t="shared" ca="1" si="265"/>
        <v>0.30195413154690615</v>
      </c>
      <c r="V165" s="41">
        <f t="shared" ca="1" si="266"/>
        <v>2.7856203351781857E-2</v>
      </c>
      <c r="W165" s="41">
        <f t="shared" ca="1" si="267"/>
        <v>10.83974466059429</v>
      </c>
      <c r="X165" s="20">
        <f t="shared" ca="1" si="268"/>
        <v>1181.7006769944378</v>
      </c>
      <c r="Y165" s="41">
        <f t="shared" si="269"/>
        <v>0.59151368135346993</v>
      </c>
      <c r="Z165" s="41">
        <f t="shared" ca="1" si="270"/>
        <v>167.08848822508332</v>
      </c>
      <c r="AA165" s="14">
        <f t="shared" ca="1" si="271"/>
        <v>1181.7006769944378</v>
      </c>
      <c r="AB165" s="14">
        <f t="shared" si="300"/>
        <v>4016.4588107467653</v>
      </c>
      <c r="AC165" s="25">
        <f t="shared" ca="1" si="272"/>
        <v>556658.88669823832</v>
      </c>
      <c r="AD165" s="41">
        <f t="shared" si="273"/>
        <v>1892016.7632857743</v>
      </c>
      <c r="AE165" s="5">
        <f t="shared" ca="1" si="274"/>
        <v>29.42145637925087</v>
      </c>
      <c r="AF165" s="7">
        <f t="shared" ca="1" si="275"/>
        <v>1181.7006769944378</v>
      </c>
      <c r="AG165" s="41">
        <f t="shared" ca="1" si="276"/>
        <v>2834.7581337523275</v>
      </c>
      <c r="AH165" s="41">
        <f t="shared" ca="1" si="277"/>
        <v>1335357.876587536</v>
      </c>
      <c r="AI165" s="41">
        <f t="shared" ca="1" si="278"/>
        <v>920.00588789701033</v>
      </c>
      <c r="AJ165" s="13">
        <f t="shared" ca="1" si="279"/>
        <v>0</v>
      </c>
      <c r="AK165" s="11"/>
      <c r="AL165" s="6">
        <v>0</v>
      </c>
      <c r="AM165" s="41">
        <f t="shared" si="280"/>
        <v>64.493243046346549</v>
      </c>
      <c r="AN165" s="41">
        <f t="shared" ca="1" si="281"/>
        <v>16.481712036725483</v>
      </c>
      <c r="AO165" s="6">
        <v>5</v>
      </c>
      <c r="AP165" s="67">
        <f t="shared" si="301"/>
        <v>0.77854392893890234</v>
      </c>
      <c r="AQ165" s="11">
        <f t="shared" si="282"/>
        <v>0.98330272071837588</v>
      </c>
      <c r="AR165" s="11">
        <f t="shared" si="283"/>
        <v>0.68770269343653956</v>
      </c>
      <c r="AS165" s="11">
        <f t="shared" si="284"/>
        <v>0.69938044403469313</v>
      </c>
      <c r="AT165" s="11">
        <f t="shared" si="285"/>
        <v>510.00962215499999</v>
      </c>
      <c r="AU165" s="11">
        <f t="shared" si="286"/>
        <v>1455.3301939042735</v>
      </c>
      <c r="AV165" s="11">
        <f t="shared" si="287"/>
        <v>1.6623573774260621E-3</v>
      </c>
      <c r="AW165" s="11">
        <f t="shared" si="288"/>
        <v>3.6885478983619832E-7</v>
      </c>
      <c r="AX165" s="41">
        <f t="shared" ca="1" si="289"/>
        <v>2.0232972011500974</v>
      </c>
      <c r="AY165" s="41">
        <f t="shared" ca="1" si="290"/>
        <v>2.7254215279068199</v>
      </c>
      <c r="AZ165" s="41">
        <f t="shared" si="291"/>
        <v>0.30044199110228809</v>
      </c>
      <c r="BA165" s="154">
        <f t="shared" ca="1" si="302"/>
        <v>0.85948904227474432</v>
      </c>
    </row>
    <row r="166" spans="1:53" ht="14.5">
      <c r="A166" s="41">
        <f t="shared" ca="1" si="292"/>
        <v>16963.771409642799</v>
      </c>
      <c r="B166" s="41">
        <f t="shared" ca="1" si="303"/>
        <v>282.72952349404665</v>
      </c>
      <c r="C166" s="41">
        <f t="shared" ca="1" si="303"/>
        <v>4.7121587249007773</v>
      </c>
      <c r="D166" s="41">
        <f t="shared" ca="1" si="294"/>
        <v>12792.851891834389</v>
      </c>
      <c r="E166" s="41">
        <f t="shared" ca="1" si="295"/>
        <v>989.99097940698016</v>
      </c>
      <c r="F166" s="7">
        <f t="shared" si="296"/>
        <v>90</v>
      </c>
      <c r="G166" s="41"/>
      <c r="H166" s="7">
        <f t="shared" si="297"/>
        <v>10000</v>
      </c>
      <c r="I166" s="6">
        <v>15</v>
      </c>
      <c r="J166" s="41">
        <f t="shared" si="256"/>
        <v>0.42549951772196798</v>
      </c>
      <c r="K166" s="41">
        <f t="shared" si="257"/>
        <v>471.06589471883535</v>
      </c>
      <c r="L166" s="6">
        <f t="shared" si="298"/>
        <v>235</v>
      </c>
      <c r="M166" s="41">
        <f t="shared" si="258"/>
        <v>279.09900556659443</v>
      </c>
      <c r="N166" s="41">
        <f t="shared" si="259"/>
        <v>184.44110870126713</v>
      </c>
      <c r="O166" s="41">
        <f t="shared" si="260"/>
        <v>2123003.108316463</v>
      </c>
      <c r="P166" s="41">
        <f t="shared" si="261"/>
        <v>13631171.75606169</v>
      </c>
      <c r="Q166" s="41">
        <f t="shared" si="262"/>
        <v>2.8123079706811947E-3</v>
      </c>
      <c r="R166" s="41">
        <f t="shared" si="263"/>
        <v>2.2097807141776935E-2</v>
      </c>
      <c r="S166" s="24">
        <f t="shared" ca="1" si="299"/>
        <v>0</v>
      </c>
      <c r="T166" s="10">
        <f t="shared" ca="1" si="264"/>
        <v>0</v>
      </c>
      <c r="U166" s="41">
        <f t="shared" ca="1" si="265"/>
        <v>0.30156560852155906</v>
      </c>
      <c r="V166" s="41">
        <f t="shared" ca="1" si="266"/>
        <v>2.7841394280199473E-2</v>
      </c>
      <c r="W166" s="41">
        <f t="shared" ca="1" si="267"/>
        <v>10.831555542318137</v>
      </c>
      <c r="X166" s="20">
        <f t="shared" ca="1" si="268"/>
        <v>1181.0724546306949</v>
      </c>
      <c r="Y166" s="41">
        <f t="shared" si="269"/>
        <v>0.59151368135346993</v>
      </c>
      <c r="Z166" s="41">
        <f t="shared" ca="1" si="270"/>
        <v>166.98095762036047</v>
      </c>
      <c r="AA166" s="14">
        <f t="shared" ca="1" si="271"/>
        <v>1181.0724546306949</v>
      </c>
      <c r="AB166" s="14">
        <f t="shared" si="300"/>
        <v>4016.4588107467653</v>
      </c>
      <c r="AC166" s="25">
        <f t="shared" ca="1" si="272"/>
        <v>556362.95256837935</v>
      </c>
      <c r="AD166" s="41">
        <f t="shared" si="273"/>
        <v>1892016.7632857743</v>
      </c>
      <c r="AE166" s="5">
        <f t="shared" ca="1" si="274"/>
        <v>29.405815179045803</v>
      </c>
      <c r="AF166" s="7">
        <f t="shared" ca="1" si="275"/>
        <v>1181.0724546306949</v>
      </c>
      <c r="AG166" s="41">
        <f t="shared" ca="1" si="276"/>
        <v>2835.3863561160706</v>
      </c>
      <c r="AH166" s="41">
        <f t="shared" ca="1" si="277"/>
        <v>1335653.810717395</v>
      </c>
      <c r="AI166" s="41">
        <f t="shared" ca="1" si="278"/>
        <v>919.51678918969469</v>
      </c>
      <c r="AJ166" s="13">
        <f t="shared" ca="1" si="279"/>
        <v>0</v>
      </c>
      <c r="AK166" s="11"/>
      <c r="AL166" s="6">
        <v>0</v>
      </c>
      <c r="AM166" s="41">
        <f t="shared" si="280"/>
        <v>64.493243046346549</v>
      </c>
      <c r="AN166" s="41">
        <f t="shared" ca="1" si="281"/>
        <v>16.472949936224214</v>
      </c>
      <c r="AO166" s="6">
        <v>5</v>
      </c>
      <c r="AP166" s="67">
        <f t="shared" si="301"/>
        <v>0.77854392893890234</v>
      </c>
      <c r="AQ166" s="11">
        <f t="shared" si="282"/>
        <v>0.98330272071837588</v>
      </c>
      <c r="AR166" s="11">
        <f t="shared" si="283"/>
        <v>0.68770269343653956</v>
      </c>
      <c r="AS166" s="11">
        <f t="shared" si="284"/>
        <v>0.69938044403469313</v>
      </c>
      <c r="AT166" s="11">
        <f t="shared" si="285"/>
        <v>510.00962215499999</v>
      </c>
      <c r="AU166" s="11">
        <f t="shared" si="286"/>
        <v>1455.3301939042735</v>
      </c>
      <c r="AV166" s="11">
        <f t="shared" si="287"/>
        <v>1.6623573774260621E-3</v>
      </c>
      <c r="AW166" s="11">
        <f t="shared" si="288"/>
        <v>3.6885478983619832E-7</v>
      </c>
      <c r="AX166" s="41">
        <f t="shared" ca="1" si="289"/>
        <v>2.025624017923485</v>
      </c>
      <c r="AY166" s="41">
        <f t="shared" ca="1" si="290"/>
        <v>2.7285557963287213</v>
      </c>
      <c r="AZ166" s="41">
        <f t="shared" si="291"/>
        <v>0.30044199110228809</v>
      </c>
      <c r="BA166" s="154">
        <f t="shared" ca="1" si="302"/>
        <v>0.8596524814645301</v>
      </c>
    </row>
    <row r="167" spans="1:53" ht="14.5">
      <c r="A167" s="41">
        <f t="shared" ca="1" si="292"/>
        <v>17028.264652689144</v>
      </c>
      <c r="B167" s="41">
        <f t="shared" ca="1" si="303"/>
        <v>283.8044108781524</v>
      </c>
      <c r="C167" s="41">
        <f t="shared" ca="1" si="303"/>
        <v>4.7300735146358734</v>
      </c>
      <c r="D167" s="41">
        <f t="shared" ca="1" si="294"/>
        <v>12776.378941898165</v>
      </c>
      <c r="E167" s="41">
        <f t="shared" ca="1" si="295"/>
        <v>994.99097940698016</v>
      </c>
      <c r="F167" s="7">
        <f t="shared" si="296"/>
        <v>95</v>
      </c>
      <c r="G167" s="41"/>
      <c r="H167" s="7">
        <f t="shared" si="297"/>
        <v>10000</v>
      </c>
      <c r="I167" s="6">
        <v>15</v>
      </c>
      <c r="J167" s="41">
        <f t="shared" si="256"/>
        <v>0.42549951772196798</v>
      </c>
      <c r="K167" s="41">
        <f t="shared" si="257"/>
        <v>471.06589471883535</v>
      </c>
      <c r="L167" s="6">
        <f t="shared" si="298"/>
        <v>235</v>
      </c>
      <c r="M167" s="41">
        <f t="shared" si="258"/>
        <v>279.09900556659443</v>
      </c>
      <c r="N167" s="41">
        <f t="shared" si="259"/>
        <v>184.44110870126713</v>
      </c>
      <c r="O167" s="41">
        <f t="shared" si="260"/>
        <v>2123003.108316463</v>
      </c>
      <c r="P167" s="41">
        <f t="shared" si="261"/>
        <v>13631171.75606169</v>
      </c>
      <c r="Q167" s="41">
        <f t="shared" si="262"/>
        <v>2.8123079706811947E-3</v>
      </c>
      <c r="R167" s="41">
        <f t="shared" si="263"/>
        <v>2.2097807141776935E-2</v>
      </c>
      <c r="S167" s="24">
        <f t="shared" ca="1" si="299"/>
        <v>0</v>
      </c>
      <c r="T167" s="10">
        <f t="shared" ca="1" si="264"/>
        <v>0</v>
      </c>
      <c r="U167" s="41">
        <f t="shared" ca="1" si="265"/>
        <v>0.30117729204500915</v>
      </c>
      <c r="V167" s="41">
        <f t="shared" ca="1" si="266"/>
        <v>2.7826612133329622E-2</v>
      </c>
      <c r="W167" s="41">
        <f t="shared" ca="1" si="267"/>
        <v>10.823354657833852</v>
      </c>
      <c r="X167" s="20">
        <f t="shared" ca="1" si="268"/>
        <v>1180.445374452433</v>
      </c>
      <c r="Y167" s="41">
        <f t="shared" si="269"/>
        <v>0.59151368135346993</v>
      </c>
      <c r="Z167" s="41">
        <f t="shared" ca="1" si="270"/>
        <v>166.87341494589185</v>
      </c>
      <c r="AA167" s="14">
        <f t="shared" ca="1" si="271"/>
        <v>1180.445374452433</v>
      </c>
      <c r="AB167" s="14">
        <f t="shared" si="300"/>
        <v>4016.4588107467653</v>
      </c>
      <c r="AC167" s="25">
        <f t="shared" ca="1" si="272"/>
        <v>556067.55648314604</v>
      </c>
      <c r="AD167" s="41">
        <f t="shared" si="273"/>
        <v>1892016.7632857743</v>
      </c>
      <c r="AE167" s="5">
        <f t="shared" ca="1" si="274"/>
        <v>29.390202416465392</v>
      </c>
      <c r="AF167" s="7">
        <f t="shared" ca="1" si="275"/>
        <v>1180.445374452433</v>
      </c>
      <c r="AG167" s="41">
        <f t="shared" ca="1" si="276"/>
        <v>2836.0134362943322</v>
      </c>
      <c r="AH167" s="41">
        <f t="shared" ca="1" si="277"/>
        <v>1335949.2068026282</v>
      </c>
      <c r="AI167" s="41">
        <f t="shared" ca="1" si="278"/>
        <v>919.028579723951</v>
      </c>
      <c r="AJ167" s="13">
        <f t="shared" ca="1" si="279"/>
        <v>0</v>
      </c>
      <c r="AK167" s="11"/>
      <c r="AL167" s="6">
        <v>0</v>
      </c>
      <c r="AM167" s="41">
        <f t="shared" si="280"/>
        <v>64.493243046346549</v>
      </c>
      <c r="AN167" s="41">
        <f t="shared" ca="1" si="281"/>
        <v>16.464203766298734</v>
      </c>
      <c r="AO167" s="6">
        <v>5</v>
      </c>
      <c r="AP167" s="67">
        <f t="shared" si="301"/>
        <v>0.77854392893890234</v>
      </c>
      <c r="AQ167" s="11">
        <f t="shared" si="282"/>
        <v>0.98330272071837588</v>
      </c>
      <c r="AR167" s="11">
        <f t="shared" si="283"/>
        <v>0.68770269343653956</v>
      </c>
      <c r="AS167" s="11">
        <f t="shared" si="284"/>
        <v>0.69938044403469313</v>
      </c>
      <c r="AT167" s="11">
        <f t="shared" si="285"/>
        <v>510.00962215499999</v>
      </c>
      <c r="AU167" s="11">
        <f t="shared" si="286"/>
        <v>1455.3301939042735</v>
      </c>
      <c r="AV167" s="11">
        <f t="shared" si="287"/>
        <v>1.6623573774260621E-3</v>
      </c>
      <c r="AW167" s="11">
        <f t="shared" si="288"/>
        <v>3.6885478983619832E-7</v>
      </c>
      <c r="AX167" s="41">
        <f t="shared" ca="1" si="289"/>
        <v>2.0279559824756972</v>
      </c>
      <c r="AY167" s="41">
        <f t="shared" ca="1" si="290"/>
        <v>2.7316969989109725</v>
      </c>
      <c r="AZ167" s="41">
        <f t="shared" si="291"/>
        <v>0.30044199110228809</v>
      </c>
      <c r="BA167" s="154">
        <f t="shared" ca="1" si="302"/>
        <v>0.85981585807814964</v>
      </c>
    </row>
    <row r="168" spans="1:53" ht="14.5">
      <c r="A168" s="41">
        <f t="shared" ca="1" si="292"/>
        <v>17092.757895735489</v>
      </c>
      <c r="B168" s="41">
        <f t="shared" ca="1" si="303"/>
        <v>284.87929826225815</v>
      </c>
      <c r="C168" s="41">
        <f t="shared" ca="1" si="303"/>
        <v>4.7479883043709687</v>
      </c>
      <c r="D168" s="41">
        <f t="shared" ca="1" si="294"/>
        <v>12759.914738131867</v>
      </c>
      <c r="E168" s="41">
        <f t="shared" ca="1" si="295"/>
        <v>999.99097940698016</v>
      </c>
      <c r="F168" s="7">
        <f t="shared" si="296"/>
        <v>100</v>
      </c>
      <c r="G168" s="41"/>
      <c r="H168" s="7">
        <f t="shared" si="297"/>
        <v>10000</v>
      </c>
      <c r="I168" s="6">
        <v>15</v>
      </c>
      <c r="J168" s="41">
        <f t="shared" si="256"/>
        <v>0.42549951772196798</v>
      </c>
      <c r="K168" s="41">
        <f t="shared" si="257"/>
        <v>471.06589471883535</v>
      </c>
      <c r="L168" s="6">
        <f t="shared" si="298"/>
        <v>235</v>
      </c>
      <c r="M168" s="41">
        <f t="shared" si="258"/>
        <v>279.09900556659443</v>
      </c>
      <c r="N168" s="41">
        <f t="shared" si="259"/>
        <v>184.44110870126713</v>
      </c>
      <c r="O168" s="41">
        <f t="shared" si="260"/>
        <v>2123003.108316463</v>
      </c>
      <c r="P168" s="41">
        <f t="shared" si="261"/>
        <v>13631171.75606169</v>
      </c>
      <c r="Q168" s="41">
        <f t="shared" si="262"/>
        <v>2.8123079706811947E-3</v>
      </c>
      <c r="R168" s="41">
        <f t="shared" si="263"/>
        <v>2.2097807141776935E-2</v>
      </c>
      <c r="S168" s="24">
        <f t="shared" ca="1" si="299"/>
        <v>1.0209748452584005E-15</v>
      </c>
      <c r="T168" s="10">
        <f t="shared" ca="1" si="264"/>
        <v>1.0209748452584005E-15</v>
      </c>
      <c r="U168" s="41">
        <f t="shared" ca="1" si="265"/>
        <v>0.30078918174172514</v>
      </c>
      <c r="V168" s="41">
        <f t="shared" ca="1" si="266"/>
        <v>2.7811856866511071E-2</v>
      </c>
      <c r="W168" s="41">
        <f t="shared" ca="1" si="267"/>
        <v>10.815142016062676</v>
      </c>
      <c r="X168" s="20">
        <f t="shared" ca="1" si="268"/>
        <v>1179.8194345650577</v>
      </c>
      <c r="Y168" s="41">
        <f t="shared" si="269"/>
        <v>0.59151368135346993</v>
      </c>
      <c r="Z168" s="41">
        <f t="shared" ca="1" si="270"/>
        <v>166.76586007422463</v>
      </c>
      <c r="AA168" s="14">
        <f t="shared" ca="1" si="271"/>
        <v>1179.8194345650579</v>
      </c>
      <c r="AB168" s="14">
        <f t="shared" si="300"/>
        <v>4016.4588107467653</v>
      </c>
      <c r="AC168" s="25">
        <f t="shared" ca="1" si="272"/>
        <v>555772.69755005941</v>
      </c>
      <c r="AD168" s="41">
        <f t="shared" si="273"/>
        <v>1892016.7632857743</v>
      </c>
      <c r="AE168" s="5">
        <f t="shared" ca="1" si="274"/>
        <v>29.374618044338874</v>
      </c>
      <c r="AF168" s="7">
        <f t="shared" ca="1" si="275"/>
        <v>1179.8194345650579</v>
      </c>
      <c r="AG168" s="41">
        <f t="shared" ca="1" si="276"/>
        <v>2836.6393761817071</v>
      </c>
      <c r="AH168" s="41">
        <f t="shared" ca="1" si="277"/>
        <v>1336244.065735715</v>
      </c>
      <c r="AI168" s="41">
        <f t="shared" ca="1" si="278"/>
        <v>918.54125802475437</v>
      </c>
      <c r="AJ168" s="13">
        <f t="shared" ca="1" si="279"/>
        <v>8.394098711184454E-15</v>
      </c>
      <c r="AK168" s="11"/>
      <c r="AL168" s="6">
        <v>0</v>
      </c>
      <c r="AM168" s="41">
        <f t="shared" si="280"/>
        <v>0</v>
      </c>
      <c r="AN168" s="41">
        <f t="shared" ca="1" si="281"/>
        <v>0</v>
      </c>
      <c r="AO168" s="6">
        <v>0</v>
      </c>
      <c r="AP168" s="67">
        <f t="shared" si="301"/>
        <v>0.77854392893890234</v>
      </c>
      <c r="AQ168" s="11">
        <f t="shared" si="282"/>
        <v>0.98330272071837588</v>
      </c>
      <c r="AR168" s="11">
        <f t="shared" si="283"/>
        <v>0.68770269343653956</v>
      </c>
      <c r="AS168" s="11">
        <f t="shared" si="284"/>
        <v>0.69938044403469313</v>
      </c>
      <c r="AT168" s="11">
        <f t="shared" si="285"/>
        <v>510.00962215499999</v>
      </c>
      <c r="AU168" s="11">
        <f t="shared" si="286"/>
        <v>1455.3301939042735</v>
      </c>
      <c r="AV168" s="11">
        <f t="shared" si="287"/>
        <v>1.6623573774260621E-3</v>
      </c>
      <c r="AW168" s="11">
        <f t="shared" si="288"/>
        <v>3.6885478983619832E-7</v>
      </c>
      <c r="AX168" s="41">
        <f t="shared" ca="1" si="289"/>
        <v>2.0302931114867131</v>
      </c>
      <c r="AY168" s="41">
        <f t="shared" ca="1" si="290"/>
        <v>2.7348451581218374</v>
      </c>
      <c r="AZ168" s="41">
        <f t="shared" si="291"/>
        <v>0.30044199110228809</v>
      </c>
      <c r="BA168" s="154">
        <f ca="1">2.12 - (0.00251*AF168) + (1.94*10^(-6)*AF168^2) - (7.84*10^(-10)*AF168^3) + (1.7*10^(-13)*AF168^4) - (1.89*10^(-17)*AF168^5) + (8.37*10^(-22)*AF168^6)</f>
        <v>0.85997917164986515</v>
      </c>
    </row>
    <row r="169" spans="1:53" ht="14.5">
      <c r="B169" s="135">
        <f ca="1">B168-B148</f>
        <v>21.497747682115289</v>
      </c>
      <c r="X169" s="32">
        <f ca="1">AVERAGE(X148:X168)</f>
        <v>1186.1515965298433</v>
      </c>
      <c r="AC169" s="3"/>
      <c r="AD169" s="3"/>
      <c r="AN169" s="32">
        <f ca="1">SUM(AN148:AN168)</f>
        <v>330.96413787537819</v>
      </c>
      <c r="AP169" s="145"/>
    </row>
    <row r="170" spans="1:53" s="89" customFormat="1" ht="14.5">
      <c r="A170" s="126" t="s">
        <v>241</v>
      </c>
      <c r="B170" s="82" t="s">
        <v>22</v>
      </c>
      <c r="C170" s="81">
        <v>0</v>
      </c>
      <c r="D170" s="82" t="s">
        <v>9</v>
      </c>
      <c r="E170" s="82"/>
      <c r="F170" s="82"/>
      <c r="G170" s="82"/>
      <c r="H170" s="82"/>
      <c r="I170" s="83"/>
      <c r="J170" s="82"/>
      <c r="K170" s="82"/>
      <c r="L170" s="84" t="s">
        <v>60</v>
      </c>
      <c r="M170" s="82"/>
      <c r="N170" s="82"/>
      <c r="O170" s="82"/>
      <c r="P170" s="82"/>
      <c r="Q170" s="81"/>
      <c r="R170" s="82"/>
      <c r="S170" s="85"/>
      <c r="T170" s="86"/>
      <c r="U170" s="81"/>
      <c r="V170" s="81"/>
      <c r="W170" s="81"/>
      <c r="X170" s="81"/>
      <c r="Y170" s="82"/>
      <c r="Z170" s="82"/>
      <c r="AA170" s="87"/>
      <c r="AB170" s="87"/>
      <c r="AC170" s="82"/>
      <c r="AD170" s="82"/>
      <c r="AE170" s="83"/>
      <c r="AF170" s="81"/>
      <c r="AG170" s="82"/>
      <c r="AH170" s="82"/>
      <c r="AI170" s="82"/>
      <c r="AJ170" s="81" t="s">
        <v>61</v>
      </c>
      <c r="AK170" s="88"/>
      <c r="AL170" s="83"/>
      <c r="AM170" s="82"/>
      <c r="AN170" s="82"/>
      <c r="AO170" s="82"/>
      <c r="AP170" s="53"/>
      <c r="AQ170" s="88"/>
      <c r="AR170" s="88"/>
      <c r="AS170" s="88"/>
      <c r="AT170" s="88"/>
      <c r="AU170" s="88"/>
      <c r="AV170" s="88"/>
      <c r="AW170" s="88"/>
      <c r="AX170" s="82"/>
      <c r="AY170" s="82"/>
      <c r="AZ170" s="82"/>
    </row>
    <row r="171" spans="1:53" ht="14.5">
      <c r="A171" s="41" t="s">
        <v>2</v>
      </c>
      <c r="B171" s="41" t="s">
        <v>2</v>
      </c>
      <c r="C171" s="41" t="s">
        <v>2</v>
      </c>
      <c r="D171" s="41" t="s">
        <v>23</v>
      </c>
      <c r="E171" s="41" t="s">
        <v>24</v>
      </c>
      <c r="F171" s="41" t="s">
        <v>25</v>
      </c>
      <c r="G171" s="41"/>
      <c r="H171" s="41" t="s">
        <v>0</v>
      </c>
      <c r="I171" s="5" t="s">
        <v>26</v>
      </c>
      <c r="J171" s="41" t="s">
        <v>27</v>
      </c>
      <c r="K171" s="41" t="s">
        <v>28</v>
      </c>
      <c r="L171" s="12" t="s">
        <v>29</v>
      </c>
      <c r="M171" s="13" t="s">
        <v>30</v>
      </c>
      <c r="N171" s="41" t="s">
        <v>31</v>
      </c>
      <c r="O171" s="41" t="s">
        <v>32</v>
      </c>
      <c r="P171" s="41" t="s">
        <v>33</v>
      </c>
      <c r="Q171" s="41" t="s">
        <v>34</v>
      </c>
      <c r="R171" s="41" t="s">
        <v>13</v>
      </c>
      <c r="S171" s="24" t="s">
        <v>35</v>
      </c>
      <c r="T171" s="10" t="s">
        <v>35</v>
      </c>
      <c r="U171" s="41" t="s">
        <v>36</v>
      </c>
      <c r="V171" s="41" t="s">
        <v>37</v>
      </c>
      <c r="W171" s="41" t="s">
        <v>38</v>
      </c>
      <c r="X171" s="41" t="s">
        <v>39</v>
      </c>
      <c r="Y171" s="41" t="s">
        <v>40</v>
      </c>
      <c r="Z171" s="35" t="s">
        <v>108</v>
      </c>
      <c r="AA171" s="35" t="s">
        <v>109</v>
      </c>
      <c r="AB171" s="9" t="s">
        <v>110</v>
      </c>
      <c r="AC171" s="7" t="s">
        <v>111</v>
      </c>
      <c r="AD171" s="7" t="s">
        <v>112</v>
      </c>
      <c r="AE171" s="5" t="s">
        <v>41</v>
      </c>
      <c r="AF171" s="7" t="s">
        <v>113</v>
      </c>
      <c r="AG171" s="7" t="s">
        <v>114</v>
      </c>
      <c r="AH171" s="7" t="s">
        <v>115</v>
      </c>
      <c r="AI171" s="41" t="s">
        <v>42</v>
      </c>
      <c r="AJ171" s="41" t="s">
        <v>43</v>
      </c>
      <c r="AK171" s="36"/>
      <c r="AL171" s="5" t="s">
        <v>44</v>
      </c>
      <c r="AM171" s="41" t="s">
        <v>45</v>
      </c>
      <c r="AN171" s="41" t="s">
        <v>46</v>
      </c>
      <c r="AO171" s="41" t="s">
        <v>47</v>
      </c>
      <c r="AP171" s="53"/>
      <c r="AQ171" s="15" t="s">
        <v>62</v>
      </c>
      <c r="AR171" s="16" t="s">
        <v>63</v>
      </c>
      <c r="AS171" s="16" t="s">
        <v>64</v>
      </c>
      <c r="AT171" s="17" t="s">
        <v>65</v>
      </c>
      <c r="AU171" s="18" t="s">
        <v>66</v>
      </c>
      <c r="AV171" s="18" t="s">
        <v>67</v>
      </c>
      <c r="AW171" s="19" t="s">
        <v>68</v>
      </c>
      <c r="AX171" s="7" t="s">
        <v>207</v>
      </c>
      <c r="AY171" s="7" t="s">
        <v>208</v>
      </c>
      <c r="AZ171" s="7" t="s">
        <v>209</v>
      </c>
    </row>
    <row r="172" spans="1:53" ht="14.5">
      <c r="A172" s="41" t="s">
        <v>18</v>
      </c>
      <c r="B172" s="41" t="s">
        <v>21</v>
      </c>
      <c r="C172" s="41" t="s">
        <v>48</v>
      </c>
      <c r="D172" s="41" t="s">
        <v>8</v>
      </c>
      <c r="E172" s="41" t="s">
        <v>49</v>
      </c>
      <c r="F172" s="41" t="s">
        <v>49</v>
      </c>
      <c r="G172" s="41"/>
      <c r="H172" s="41" t="s">
        <v>9</v>
      </c>
      <c r="I172" s="5" t="s">
        <v>50</v>
      </c>
      <c r="J172" s="41"/>
      <c r="K172" s="41" t="s">
        <v>51</v>
      </c>
      <c r="L172" s="5" t="s">
        <v>52</v>
      </c>
      <c r="M172" s="41" t="s">
        <v>52</v>
      </c>
      <c r="N172" s="41" t="s">
        <v>53</v>
      </c>
      <c r="O172" s="41" t="s">
        <v>54</v>
      </c>
      <c r="P172" s="41"/>
      <c r="Q172" s="41"/>
      <c r="R172" s="41"/>
      <c r="S172" s="24" t="s">
        <v>55</v>
      </c>
      <c r="T172" s="10" t="s">
        <v>55</v>
      </c>
      <c r="U172" s="41"/>
      <c r="V172" s="41"/>
      <c r="W172" s="41"/>
      <c r="X172" s="41"/>
      <c r="Y172" s="41"/>
      <c r="Z172" s="41"/>
      <c r="AA172" s="9" t="s">
        <v>118</v>
      </c>
      <c r="AB172" s="9" t="s">
        <v>118</v>
      </c>
      <c r="AC172" s="7" t="s">
        <v>119</v>
      </c>
      <c r="AD172" s="7" t="s">
        <v>119</v>
      </c>
      <c r="AE172" s="5" t="s">
        <v>20</v>
      </c>
      <c r="AF172" s="7" t="s">
        <v>118</v>
      </c>
      <c r="AG172" s="7" t="s">
        <v>118</v>
      </c>
      <c r="AH172" s="7" t="s">
        <v>119</v>
      </c>
      <c r="AI172" s="41" t="s">
        <v>56</v>
      </c>
      <c r="AJ172" s="41" t="s">
        <v>57</v>
      </c>
      <c r="AK172" s="11"/>
      <c r="AL172" s="5" t="s">
        <v>9</v>
      </c>
      <c r="AM172" s="41" t="s">
        <v>18</v>
      </c>
      <c r="AN172" s="41" t="s">
        <v>8</v>
      </c>
      <c r="AO172" s="41" t="s">
        <v>49</v>
      </c>
      <c r="AP172" s="53"/>
      <c r="AQ172" s="11"/>
      <c r="AR172" s="11"/>
      <c r="AS172" s="11"/>
      <c r="AT172" s="11"/>
      <c r="AU172" s="11"/>
      <c r="AV172" s="11"/>
      <c r="AW172" s="11"/>
      <c r="AX172" s="41"/>
      <c r="AY172" s="41"/>
      <c r="AZ172" s="41"/>
    </row>
    <row r="173" spans="1:53" ht="14.5">
      <c r="A173" s="41">
        <f ca="1">A168</f>
        <v>17092.757895735489</v>
      </c>
      <c r="B173" s="41">
        <f t="shared" ref="B173:C188" ca="1" si="304">A173/60</f>
        <v>284.87929826225815</v>
      </c>
      <c r="C173" s="41">
        <f t="shared" ca="1" si="304"/>
        <v>4.7479883043709687</v>
      </c>
      <c r="D173" s="41">
        <f t="shared" ref="D173:E173" ca="1" si="305">D168</f>
        <v>12759.914738131867</v>
      </c>
      <c r="E173" s="7">
        <f t="shared" ca="1" si="305"/>
        <v>999.99097940698016</v>
      </c>
      <c r="F173" s="7">
        <v>0</v>
      </c>
      <c r="G173" s="41"/>
      <c r="H173" s="7">
        <f>H168</f>
        <v>10000</v>
      </c>
      <c r="I173" s="6">
        <v>15</v>
      </c>
      <c r="J173" s="41">
        <f t="shared" ref="J173:J193" si="306">SQRT((((((((L173^2)*(0.2))/(661.477)^2) + 1)^(3.5) - 1)*(1/AR173) + 1)^(1/3.5) - 1)*(5))</f>
        <v>0.42549951772196798</v>
      </c>
      <c r="K173" s="41">
        <f t="shared" ref="K173:K193" si="307">SQRT((1.4*2116.22*AR173*(J173)^2)/AV173)</f>
        <v>471.06589471883535</v>
      </c>
      <c r="L173" s="6">
        <f t="shared" ref="L173:L192" si="308">L174+($L$168-$L$193)/20</f>
        <v>235</v>
      </c>
      <c r="M173" s="41">
        <f t="shared" ref="M173:M193" si="309">K173*0.592484</f>
        <v>279.09900556659443</v>
      </c>
      <c r="N173" s="41">
        <f t="shared" ref="N173:N193" si="310">0.5*AV173*K173^2</f>
        <v>184.44110870126713</v>
      </c>
      <c r="O173" s="41">
        <f t="shared" ref="O173:O193" si="311">P173/$B$7</f>
        <v>2123003.108316463</v>
      </c>
      <c r="P173" s="41">
        <f t="shared" ref="P173:P193" si="312">(AV173*K173*$B$7)/(AW173)</f>
        <v>13631171.75606169</v>
      </c>
      <c r="Q173" s="41">
        <f t="shared" ref="Q173:Q193" si="313">0.455/(LOG10(P173)^2.58 * (1+0.144*J173*J173)^0.65)</f>
        <v>2.8123079706811947E-3</v>
      </c>
      <c r="R173" s="41">
        <f t="shared" ref="R173:R193" si="314">(((Q173*$B$4)+$B$17)+(0.1*(Q173*$B$4)))</f>
        <v>2.2097807141776935E-2</v>
      </c>
      <c r="S173" s="24">
        <f ca="1">T173</f>
        <v>-4.3938998144996519</v>
      </c>
      <c r="T173" s="10">
        <f t="shared" ref="T173:T193" ca="1" si="315">DEGREES(ASIN(((AF173-X173)/(D173))))</f>
        <v>-4.3938998144996519</v>
      </c>
      <c r="U173" s="41">
        <f t="shared" ref="U173:U193" ca="1" si="316">(D173*COS(RADIANS(S173)))/(N173*$B$3)</f>
        <v>0.2999051366858998</v>
      </c>
      <c r="V173" s="41">
        <f t="shared" ref="V173:V193" ca="1" si="317">(X173)/(N173*$B$3)</f>
        <v>2.7778318066895721E-2</v>
      </c>
      <c r="W173" s="41">
        <f t="shared" ref="W173:W193" ca="1" si="318">U173/V173</f>
        <v>10.79637492679249</v>
      </c>
      <c r="X173" s="20">
        <f t="shared" ref="X173:X193" ca="1" si="319">(N173*$B$3*R173)+((N173*$B$3)*((U173^2)/(PI()*$B$6*$B$5)))</f>
        <v>1178.3966698863778</v>
      </c>
      <c r="Y173" s="41">
        <f t="shared" ref="Y173:Y193" si="320">SQRT(PI()*$B$6*$B$5*R173)</f>
        <v>0.59151368135346993</v>
      </c>
      <c r="Z173" s="41">
        <f t="shared" ref="Z173:Z193" ca="1" si="321">SQRT((2*((U173*N173*$B$3)/(D173))*D173)/(AV173*$B$3*$B$18))</f>
        <v>166.52061019694122</v>
      </c>
      <c r="AA173" s="14">
        <f t="shared" ref="AA173:AA193" ca="1" si="322">D173/W173</f>
        <v>1181.8702874486712</v>
      </c>
      <c r="AB173" s="14">
        <f>$B$15*AR173*0.93</f>
        <v>4016.4588107467653</v>
      </c>
      <c r="AC173" s="25">
        <f t="shared" ref="AC173:AC193" ca="1" si="323">AA173*K173</f>
        <v>556738.78439861548</v>
      </c>
      <c r="AD173" s="41">
        <f t="shared" ref="AD173:AD193" si="324">AB173*K173</f>
        <v>1892016.7632857743</v>
      </c>
      <c r="AE173" s="6">
        <v>5</v>
      </c>
      <c r="AF173" s="41">
        <f t="shared" ref="AF173:AF193" si="325">AB173*(AE173/100)</f>
        <v>200.82294053733827</v>
      </c>
      <c r="AG173" s="41">
        <f t="shared" ref="AG173:AG193" ca="1" si="326">AB173-AA173</f>
        <v>2834.5885232980941</v>
      </c>
      <c r="AH173" s="41">
        <f t="shared" ref="AH173:AH193" ca="1" si="327">AD173-AC173</f>
        <v>1335277.9788871589</v>
      </c>
      <c r="AI173" s="41">
        <f t="shared" ref="AI173:AI193" si="328">(AP173*AF173)</f>
        <v>159.20877289486532</v>
      </c>
      <c r="AJ173" s="13">
        <f t="shared" ref="AJ173:AJ193" ca="1" si="329">K173*SIN(RADIANS(T173))</f>
        <v>-36.089711641510092</v>
      </c>
      <c r="AK173" s="11"/>
      <c r="AL173" s="6">
        <v>-500</v>
      </c>
      <c r="AM173" s="41">
        <f t="shared" ref="AM173:AM192" ca="1" si="330">AL173/AJ173</f>
        <v>13.854363951883286</v>
      </c>
      <c r="AN173" s="41">
        <f t="shared" ref="AN173:AN193" ca="1" si="331">AI173*(AM173/3600)</f>
        <v>0.61270452333838743</v>
      </c>
      <c r="AO173" s="41">
        <f t="shared" ref="AO173:AO193" ca="1" si="332">M173*COS(RADIANS(T173))*(AM173/3600)</f>
        <v>1.0709373681852239</v>
      </c>
      <c r="AP173" s="67">
        <f>0.705 + 0.302*AZ173 + -0.0327*AZ173^2</f>
        <v>0.79278180305931845</v>
      </c>
      <c r="AQ173" s="11">
        <f t="shared" ref="AQ173:AQ193" si="333">IF(H173 &lt;= 36089, ((1 - 6.87535*10^(-6)*H173) + ((I173*1.8)/518.67)), 0.75187 + ((I173*1.8)/518.67))</f>
        <v>0.98330272071837588</v>
      </c>
      <c r="AR173" s="11">
        <f t="shared" ref="AR173:AR193" si="334">IF(H173 &lt;= 36089, (1 - 6.87535*10^(-6)*H173)^5.2561, 0.22336*EXP((36089 - H173)/(20806.7)))</f>
        <v>0.68770269343653956</v>
      </c>
      <c r="AS173" s="11">
        <f t="shared" ref="AS173:AS193" si="335">(AR173/AQ173)</f>
        <v>0.69938044403469313</v>
      </c>
      <c r="AT173" s="11">
        <f t="shared" ref="AT173:AT193" si="336">(518.67*AQ173)</f>
        <v>510.00962215499999</v>
      </c>
      <c r="AU173" s="11">
        <f t="shared" ref="AU173:AU193" si="337">2116.22*AR173</f>
        <v>1455.3301939042735</v>
      </c>
      <c r="AV173" s="11">
        <f t="shared" ref="AV173:AV193" si="338">(0.0023769*AS173)</f>
        <v>1.6623573774260621E-3</v>
      </c>
      <c r="AW173" s="11">
        <f t="shared" ref="AW173:AW193" si="339">((2.2697*10^-8)*(AT173^1.5))/(AT173+198.72)</f>
        <v>3.6885478983619832E-7</v>
      </c>
      <c r="AX173" s="41">
        <f t="shared" ref="AX173:AX193" ca="1" si="340">(1/U173)*(((1 + 0.2*(U173)^2)/1.2)^3)</f>
        <v>2.0356406957499176</v>
      </c>
      <c r="AY173" s="41">
        <f t="shared" ref="AY173:AY193" ca="1" si="341">($H$4/$H$3)*AX173</f>
        <v>2.7420484603677697</v>
      </c>
      <c r="AZ173" s="41">
        <f t="shared" ref="AZ173:AZ193" si="342">-6.6*10^(-3) + 0.825*J173 - 0.243*(J173^2)</f>
        <v>0.30044199110228809</v>
      </c>
      <c r="BA173" s="154">
        <f>2.12-0.00251*AF173+1.94*10^-6*AF173^2-7.84*10^-10*AF173^3+1.7*10^-13*AF173^4-1.89*10^-17*AF173^5+8.37*10^-22*AF173^6</f>
        <v>1.6880949796352283</v>
      </c>
    </row>
    <row r="174" spans="1:53" ht="14.5">
      <c r="A174" s="41">
        <f t="shared" ref="A174:A192" ca="1" si="343">A173+AM173</f>
        <v>17106.612259687372</v>
      </c>
      <c r="B174" s="41">
        <f t="shared" ca="1" si="304"/>
        <v>285.11020432812285</v>
      </c>
      <c r="C174" s="41">
        <f t="shared" ca="1" si="304"/>
        <v>4.751836738802047</v>
      </c>
      <c r="D174" s="41">
        <f t="shared" ref="D174:D192" ca="1" si="344">D173-AN173</f>
        <v>12759.302033608528</v>
      </c>
      <c r="E174" s="41">
        <f t="shared" ref="E174:E192" ca="1" si="345">E173+AO173</f>
        <v>1001.0619167751654</v>
      </c>
      <c r="F174" s="41">
        <f t="shared" ref="F174:F192" ca="1" si="346">F173+AO173</f>
        <v>1.0709373681852239</v>
      </c>
      <c r="G174" s="41"/>
      <c r="H174" s="7">
        <f t="shared" ref="H174:H192" si="347">H173+AL173</f>
        <v>9500</v>
      </c>
      <c r="I174" s="6">
        <v>15</v>
      </c>
      <c r="J174" s="41">
        <f t="shared" si="306"/>
        <v>0.40960489908887399</v>
      </c>
      <c r="K174" s="41">
        <f t="shared" si="307"/>
        <v>454.26111873690741</v>
      </c>
      <c r="L174" s="6">
        <f t="shared" si="308"/>
        <v>228.25</v>
      </c>
      <c r="M174" s="41">
        <f t="shared" si="309"/>
        <v>269.14244467371788</v>
      </c>
      <c r="N174" s="41">
        <f t="shared" si="310"/>
        <v>174.26126664614998</v>
      </c>
      <c r="O174" s="41">
        <f t="shared" si="311"/>
        <v>2074376.5388431523</v>
      </c>
      <c r="P174" s="41">
        <f t="shared" si="312"/>
        <v>13318955.010922588</v>
      </c>
      <c r="Q174" s="41">
        <f t="shared" si="313"/>
        <v>2.8259908405931736E-3</v>
      </c>
      <c r="R174" s="41">
        <f t="shared" si="314"/>
        <v>2.2180994002298608E-2</v>
      </c>
      <c r="S174" s="24">
        <f t="shared" ref="S174:S193" ca="1" si="348">T174</f>
        <v>-4.2222480128076132</v>
      </c>
      <c r="T174" s="10">
        <f t="shared" ca="1" si="315"/>
        <v>-4.2222480128076132</v>
      </c>
      <c r="U174" s="41">
        <f t="shared" ca="1" si="316"/>
        <v>0.31748113343141449</v>
      </c>
      <c r="V174" s="41">
        <f t="shared" ca="1" si="317"/>
        <v>2.8546829843310789E-2</v>
      </c>
      <c r="W174" s="41">
        <f t="shared" ca="1" si="318"/>
        <v>11.12141471308794</v>
      </c>
      <c r="X174" s="20">
        <f t="shared" ca="1" si="319"/>
        <v>1144.1595472623142</v>
      </c>
      <c r="Y174" s="41">
        <f t="shared" si="320"/>
        <v>0.59262600765320828</v>
      </c>
      <c r="Z174" s="41">
        <f t="shared" ca="1" si="321"/>
        <v>165.2185880289131</v>
      </c>
      <c r="AA174" s="14">
        <f t="shared" ca="1" si="322"/>
        <v>1147.2732887654197</v>
      </c>
      <c r="AB174" s="14">
        <f t="shared" ref="AB174:AB193" si="349">$B$15*AR174*0.93</f>
        <v>4095.0038974850663</v>
      </c>
      <c r="AC174" s="25">
        <f t="shared" ca="1" si="323"/>
        <v>521161.64765155059</v>
      </c>
      <c r="AD174" s="41">
        <f t="shared" si="324"/>
        <v>1860201.0517035623</v>
      </c>
      <c r="AE174" s="6">
        <v>5</v>
      </c>
      <c r="AF174" s="41">
        <f t="shared" si="325"/>
        <v>204.75019487425334</v>
      </c>
      <c r="AG174" s="41">
        <f t="shared" ca="1" si="326"/>
        <v>2947.7306087196466</v>
      </c>
      <c r="AH174" s="41">
        <f t="shared" ca="1" si="327"/>
        <v>1339039.4040520117</v>
      </c>
      <c r="AI174" s="41">
        <f t="shared" si="328"/>
        <v>161.7499600417039</v>
      </c>
      <c r="AJ174" s="13">
        <f t="shared" ca="1" si="329"/>
        <v>-33.445179230311417</v>
      </c>
      <c r="AK174" s="11"/>
      <c r="AL174" s="6">
        <v>-500</v>
      </c>
      <c r="AM174" s="41">
        <f t="shared" ca="1" si="330"/>
        <v>14.949837659917494</v>
      </c>
      <c r="AN174" s="41">
        <f t="shared" ca="1" si="331"/>
        <v>0.67170434558933734</v>
      </c>
      <c r="AO174" s="41">
        <f t="shared" ca="1" si="332"/>
        <v>1.1146432113792613</v>
      </c>
      <c r="AP174" s="67">
        <f t="shared" ref="AP174:AP193" si="350">0.705 + 0.302*AZ174 + -0.0327*AZ174^2</f>
        <v>0.78998684294802313</v>
      </c>
      <c r="AQ174" s="11">
        <f t="shared" si="333"/>
        <v>0.98674039571837591</v>
      </c>
      <c r="AR174" s="11">
        <f t="shared" si="334"/>
        <v>0.70115127345474038</v>
      </c>
      <c r="AS174" s="11">
        <f t="shared" si="335"/>
        <v>0.71057319280445763</v>
      </c>
      <c r="AT174" s="11">
        <f t="shared" si="336"/>
        <v>511.79264104725002</v>
      </c>
      <c r="AU174" s="11">
        <f t="shared" si="337"/>
        <v>1483.7903479103904</v>
      </c>
      <c r="AV174" s="11">
        <f t="shared" si="338"/>
        <v>1.6889614219769153E-3</v>
      </c>
      <c r="AW174" s="11">
        <f t="shared" si="339"/>
        <v>3.6986028846941337E-7</v>
      </c>
      <c r="AX174" s="41">
        <f t="shared" ca="1" si="340"/>
        <v>1.9352708241779302</v>
      </c>
      <c r="AY174" s="41">
        <f t="shared" ca="1" si="341"/>
        <v>2.6068482492568941</v>
      </c>
      <c r="AZ174" s="41">
        <f t="shared" si="342"/>
        <v>0.29055443162242262</v>
      </c>
      <c r="BA174" s="154">
        <f t="shared" ref="BA174:BA192" si="351">2.12-0.00251*AF174+1.94*10^-6*AF174^2-7.84*10^-10*AF174^3+1.7*10^-13*AF174^4-1.89*10^-17*AF174^5+8.37*10^-22*AF174^6</f>
        <v>1.6809693771441789</v>
      </c>
    </row>
    <row r="175" spans="1:53" ht="14.5">
      <c r="A175" s="41">
        <f t="shared" ca="1" si="343"/>
        <v>17121.562097347291</v>
      </c>
      <c r="B175" s="41">
        <f t="shared" ca="1" si="304"/>
        <v>285.35936828912151</v>
      </c>
      <c r="C175" s="41">
        <f t="shared" ca="1" si="304"/>
        <v>4.7559894714853588</v>
      </c>
      <c r="D175" s="41">
        <f t="shared" ca="1" si="344"/>
        <v>12758.630329262938</v>
      </c>
      <c r="E175" s="41">
        <f t="shared" ca="1" si="345"/>
        <v>1002.1765599865447</v>
      </c>
      <c r="F175" s="41">
        <f t="shared" ca="1" si="346"/>
        <v>2.1855805795644851</v>
      </c>
      <c r="G175" s="41"/>
      <c r="H175" s="7">
        <f t="shared" si="347"/>
        <v>9000</v>
      </c>
      <c r="I175" s="6">
        <v>15</v>
      </c>
      <c r="J175" s="41">
        <f t="shared" si="306"/>
        <v>0.39394980444815314</v>
      </c>
      <c r="K175" s="41">
        <f t="shared" si="307"/>
        <v>437.65965224645907</v>
      </c>
      <c r="L175" s="6">
        <f t="shared" si="308"/>
        <v>221.5</v>
      </c>
      <c r="M175" s="41">
        <f t="shared" si="309"/>
        <v>259.30634140159106</v>
      </c>
      <c r="N175" s="41">
        <f t="shared" si="310"/>
        <v>164.33591373381282</v>
      </c>
      <c r="O175" s="41">
        <f t="shared" si="311"/>
        <v>2024935.3394270418</v>
      </c>
      <c r="P175" s="41">
        <f t="shared" si="312"/>
        <v>13001507.769123148</v>
      </c>
      <c r="Q175" s="41">
        <f t="shared" si="313"/>
        <v>2.840006647023649E-3</v>
      </c>
      <c r="R175" s="41">
        <f t="shared" si="314"/>
        <v>2.2266204995469708E-2</v>
      </c>
      <c r="S175" s="24">
        <f t="shared" ca="1" si="348"/>
        <v>-4.0607759434927644</v>
      </c>
      <c r="T175" s="10">
        <f t="shared" ca="1" si="315"/>
        <v>-4.0607759434927644</v>
      </c>
      <c r="U175" s="41">
        <f t="shared" ca="1" si="316"/>
        <v>0.3367069379538758</v>
      </c>
      <c r="V175" s="41">
        <f t="shared" ca="1" si="317"/>
        <v>2.9426381387889278E-2</v>
      </c>
      <c r="W175" s="41">
        <f t="shared" ca="1" si="318"/>
        <v>11.442349418214599</v>
      </c>
      <c r="X175" s="20">
        <f t="shared" ca="1" si="319"/>
        <v>1112.2365928494428</v>
      </c>
      <c r="Y175" s="41">
        <f t="shared" si="320"/>
        <v>0.59376323903298667</v>
      </c>
      <c r="Z175" s="41">
        <f t="shared" ca="1" si="321"/>
        <v>163.9294277039991</v>
      </c>
      <c r="AA175" s="14">
        <f t="shared" ca="1" si="322"/>
        <v>1115.0358954213552</v>
      </c>
      <c r="AB175" s="14">
        <f t="shared" si="349"/>
        <v>4174.7881608426615</v>
      </c>
      <c r="AC175" s="25">
        <f t="shared" ca="1" si="323"/>
        <v>488006.22223242943</v>
      </c>
      <c r="AD175" s="41">
        <f t="shared" si="324"/>
        <v>1827136.3346770336</v>
      </c>
      <c r="AE175" s="6">
        <v>5</v>
      </c>
      <c r="AF175" s="41">
        <f t="shared" si="325"/>
        <v>208.73940804213308</v>
      </c>
      <c r="AG175" s="41">
        <f t="shared" ca="1" si="326"/>
        <v>3059.7522654213062</v>
      </c>
      <c r="AH175" s="41">
        <f t="shared" ca="1" si="327"/>
        <v>1339130.1124446043</v>
      </c>
      <c r="AI175" s="41">
        <f t="shared" si="328"/>
        <v>164.31834881948879</v>
      </c>
      <c r="AJ175" s="13">
        <f t="shared" ca="1" si="329"/>
        <v>-30.992689144812413</v>
      </c>
      <c r="AK175" s="11"/>
      <c r="AL175" s="6">
        <v>-500</v>
      </c>
      <c r="AM175" s="41">
        <f t="shared" ca="1" si="330"/>
        <v>16.132836930147139</v>
      </c>
      <c r="AN175" s="41">
        <f t="shared" ca="1" si="331"/>
        <v>0.73636697948218011</v>
      </c>
      <c r="AO175" s="41">
        <f t="shared" ca="1" si="332"/>
        <v>1.1591235027069065</v>
      </c>
      <c r="AP175" s="67">
        <f t="shared" si="350"/>
        <v>0.78719370894412943</v>
      </c>
      <c r="AQ175" s="11">
        <f t="shared" si="333"/>
        <v>0.99017807071837594</v>
      </c>
      <c r="AR175" s="11">
        <f t="shared" si="334"/>
        <v>0.71481202671780375</v>
      </c>
      <c r="AS175" s="11">
        <f t="shared" si="335"/>
        <v>0.72190250204107864</v>
      </c>
      <c r="AT175" s="11">
        <f t="shared" si="336"/>
        <v>513.57565993950004</v>
      </c>
      <c r="AU175" s="11">
        <f t="shared" si="337"/>
        <v>1512.6995071807505</v>
      </c>
      <c r="AV175" s="11">
        <f t="shared" si="338"/>
        <v>1.7158900571014398E-3</v>
      </c>
      <c r="AW175" s="11">
        <f t="shared" si="339"/>
        <v>3.7086411159018176E-7</v>
      </c>
      <c r="AX175" s="41">
        <f t="shared" ca="1" si="340"/>
        <v>1.838299372541506</v>
      </c>
      <c r="AY175" s="41">
        <f t="shared" ca="1" si="341"/>
        <v>2.4762257773174992</v>
      </c>
      <c r="AZ175" s="41">
        <f t="shared" si="342"/>
        <v>0.28069585170251499</v>
      </c>
      <c r="BA175" s="154">
        <f t="shared" si="351"/>
        <v>1.6737787131866557</v>
      </c>
    </row>
    <row r="176" spans="1:53" ht="14.5">
      <c r="A176" s="41">
        <f t="shared" ca="1" si="343"/>
        <v>17137.694934277439</v>
      </c>
      <c r="B176" s="41">
        <f t="shared" ca="1" si="304"/>
        <v>285.628248904624</v>
      </c>
      <c r="C176" s="41">
        <f t="shared" ca="1" si="304"/>
        <v>4.7604708150770669</v>
      </c>
      <c r="D176" s="41">
        <f t="shared" ca="1" si="344"/>
        <v>12757.893962283457</v>
      </c>
      <c r="E176" s="41">
        <f t="shared" ca="1" si="345"/>
        <v>1003.3356834892517</v>
      </c>
      <c r="F176" s="41">
        <f t="shared" ca="1" si="346"/>
        <v>3.3447040822713916</v>
      </c>
      <c r="G176" s="41"/>
      <c r="H176" s="7">
        <f t="shared" si="347"/>
        <v>8500</v>
      </c>
      <c r="I176" s="6">
        <v>15</v>
      </c>
      <c r="J176" s="41">
        <f t="shared" si="306"/>
        <v>0.37853311039951137</v>
      </c>
      <c r="K176" s="41">
        <f t="shared" si="307"/>
        <v>421.26179667477817</v>
      </c>
      <c r="L176" s="6">
        <f t="shared" si="308"/>
        <v>214.75</v>
      </c>
      <c r="M176" s="41">
        <f t="shared" si="309"/>
        <v>249.59087434105928</v>
      </c>
      <c r="N176" s="41">
        <f t="shared" si="310"/>
        <v>154.67065463918735</v>
      </c>
      <c r="O176" s="41">
        <f t="shared" si="311"/>
        <v>1974690.6089307365</v>
      </c>
      <c r="P176" s="41">
        <f t="shared" si="312"/>
        <v>12678901.29316029</v>
      </c>
      <c r="Q176" s="41">
        <f t="shared" si="313"/>
        <v>2.8543898742884838E-3</v>
      </c>
      <c r="R176" s="41">
        <f t="shared" si="314"/>
        <v>2.2353649773358283E-2</v>
      </c>
      <c r="S176" s="24">
        <f t="shared" ca="1" si="348"/>
        <v>-3.9103982313167447</v>
      </c>
      <c r="T176" s="10">
        <f t="shared" ca="1" si="315"/>
        <v>-3.9103982313167447</v>
      </c>
      <c r="U176" s="41">
        <f t="shared" ca="1" si="316"/>
        <v>0.35779228924944889</v>
      </c>
      <c r="V176" s="41">
        <f t="shared" ca="1" si="317"/>
        <v>3.0438678077727443E-2</v>
      </c>
      <c r="W176" s="41">
        <f t="shared" ca="1" si="318"/>
        <v>11.754527852221424</v>
      </c>
      <c r="X176" s="20">
        <f t="shared" ca="1" si="319"/>
        <v>1082.8331608657245</v>
      </c>
      <c r="Y176" s="41">
        <f t="shared" si="320"/>
        <v>0.59492802255471522</v>
      </c>
      <c r="Z176" s="41">
        <f t="shared" ca="1" si="321"/>
        <v>162.65294958034406</v>
      </c>
      <c r="AA176" s="14">
        <f t="shared" ca="1" si="322"/>
        <v>1085.3599670421822</v>
      </c>
      <c r="AB176" s="14">
        <f t="shared" si="349"/>
        <v>4255.8265023034601</v>
      </c>
      <c r="AC176" s="25">
        <f t="shared" ca="1" si="323"/>
        <v>457220.68975506769</v>
      </c>
      <c r="AD176" s="41">
        <f t="shared" si="324"/>
        <v>1792817.1186964926</v>
      </c>
      <c r="AE176" s="6">
        <v>5</v>
      </c>
      <c r="AF176" s="41">
        <f t="shared" si="325"/>
        <v>212.79132511517301</v>
      </c>
      <c r="AG176" s="41">
        <f t="shared" ca="1" si="326"/>
        <v>3170.4665352612778</v>
      </c>
      <c r="AH176" s="41">
        <f t="shared" ca="1" si="327"/>
        <v>1335596.4289414249</v>
      </c>
      <c r="AI176" s="41">
        <f t="shared" si="328"/>
        <v>166.91432543427899</v>
      </c>
      <c r="AJ176" s="13">
        <f t="shared" ca="1" si="329"/>
        <v>-28.72851804490929</v>
      </c>
      <c r="AK176" s="11"/>
      <c r="AL176" s="6">
        <v>-500</v>
      </c>
      <c r="AM176" s="41">
        <f t="shared" ca="1" si="330"/>
        <v>17.404308820189918</v>
      </c>
      <c r="AN176" s="41">
        <f t="shared" ca="1" si="331"/>
        <v>0.8069523517699646</v>
      </c>
      <c r="AO176" s="41">
        <f t="shared" ca="1" si="332"/>
        <v>1.2038454365947973</v>
      </c>
      <c r="AP176" s="67">
        <f t="shared" si="350"/>
        <v>0.78440380661165043</v>
      </c>
      <c r="AQ176" s="11">
        <f t="shared" si="333"/>
        <v>0.99361574571837585</v>
      </c>
      <c r="AR176" s="11">
        <f t="shared" si="334"/>
        <v>0.72868750467492982</v>
      </c>
      <c r="AS176" s="11">
        <f t="shared" si="335"/>
        <v>0.73336952218696461</v>
      </c>
      <c r="AT176" s="11">
        <f t="shared" si="336"/>
        <v>515.35867883175001</v>
      </c>
      <c r="AU176" s="11">
        <f t="shared" si="337"/>
        <v>1542.0630711431797</v>
      </c>
      <c r="AV176" s="11">
        <f t="shared" si="338"/>
        <v>1.743146017286196E-3</v>
      </c>
      <c r="AW176" s="11">
        <f t="shared" si="339"/>
        <v>3.7186626592916741E-7</v>
      </c>
      <c r="AX176" s="41">
        <f t="shared" ca="1" si="340"/>
        <v>1.7448705571489049</v>
      </c>
      <c r="AY176" s="41">
        <f t="shared" ca="1" si="341"/>
        <v>2.350375306782035</v>
      </c>
      <c r="AZ176" s="41">
        <f t="shared" si="342"/>
        <v>0.27087099837209583</v>
      </c>
      <c r="BA176" s="154">
        <f t="shared" si="351"/>
        <v>1.6665236281057692</v>
      </c>
    </row>
    <row r="177" spans="1:53" ht="14.5">
      <c r="A177" s="41">
        <f t="shared" ca="1" si="343"/>
        <v>17155.099243097629</v>
      </c>
      <c r="B177" s="41">
        <f t="shared" ca="1" si="304"/>
        <v>285.91832071829384</v>
      </c>
      <c r="C177" s="41">
        <f t="shared" ca="1" si="304"/>
        <v>4.7653053453048972</v>
      </c>
      <c r="D177" s="41">
        <f t="shared" ca="1" si="344"/>
        <v>12757.087009931687</v>
      </c>
      <c r="E177" s="41">
        <f t="shared" ca="1" si="345"/>
        <v>1004.5395289258464</v>
      </c>
      <c r="F177" s="41">
        <f t="shared" ca="1" si="346"/>
        <v>4.5485495188661886</v>
      </c>
      <c r="G177" s="41"/>
      <c r="H177" s="7">
        <f t="shared" si="347"/>
        <v>8000</v>
      </c>
      <c r="I177" s="6">
        <v>15</v>
      </c>
      <c r="J177" s="41">
        <f t="shared" si="306"/>
        <v>0.36335353483672472</v>
      </c>
      <c r="K177" s="41">
        <f t="shared" si="307"/>
        <v>405.06766192579414</v>
      </c>
      <c r="L177" s="6">
        <f t="shared" si="308"/>
        <v>208</v>
      </c>
      <c r="M177" s="41">
        <f t="shared" si="309"/>
        <v>239.99610860844223</v>
      </c>
      <c r="N177" s="41">
        <f t="shared" si="310"/>
        <v>145.27068979942126</v>
      </c>
      <c r="O177" s="41">
        <f t="shared" si="311"/>
        <v>1923653.0894040815</v>
      </c>
      <c r="P177" s="41">
        <f t="shared" si="312"/>
        <v>12351204.554542286</v>
      </c>
      <c r="Q177" s="41">
        <f t="shared" si="313"/>
        <v>2.8691783391758797E-3</v>
      </c>
      <c r="R177" s="41">
        <f t="shared" si="314"/>
        <v>2.2443558248249246E-2</v>
      </c>
      <c r="S177" s="24">
        <f t="shared" ca="1" si="348"/>
        <v>-3.7721448574607317</v>
      </c>
      <c r="T177" s="10">
        <f t="shared" ca="1" si="315"/>
        <v>-3.7721448574607317</v>
      </c>
      <c r="U177" s="41">
        <f t="shared" ca="1" si="316"/>
        <v>0.38098141793732654</v>
      </c>
      <c r="V177" s="41">
        <f t="shared" ca="1" si="317"/>
        <v>3.1610557133029682E-2</v>
      </c>
      <c r="W177" s="41">
        <f t="shared" ca="1" si="318"/>
        <v>12.052347458920341</v>
      </c>
      <c r="X177" s="20">
        <f t="shared" ca="1" si="319"/>
        <v>1056.1801111216248</v>
      </c>
      <c r="Y177" s="41">
        <f t="shared" si="320"/>
        <v>0.59612325007006461</v>
      </c>
      <c r="Z177" s="41">
        <f t="shared" ca="1" si="321"/>
        <v>161.38896976696631</v>
      </c>
      <c r="AA177" s="14">
        <f t="shared" ca="1" si="322"/>
        <v>1058.4732188823302</v>
      </c>
      <c r="AB177" s="14">
        <f t="shared" si="349"/>
        <v>4338.1339470567436</v>
      </c>
      <c r="AC177" s="25">
        <f t="shared" ca="1" si="323"/>
        <v>428753.27198373486</v>
      </c>
      <c r="AD177" s="41">
        <f t="shared" si="324"/>
        <v>1757237.7750551919</v>
      </c>
      <c r="AE177" s="6">
        <v>5</v>
      </c>
      <c r="AF177" s="41">
        <f t="shared" si="325"/>
        <v>216.9066973528372</v>
      </c>
      <c r="AG177" s="41">
        <f t="shared" ca="1" si="326"/>
        <v>3279.6607281744136</v>
      </c>
      <c r="AH177" s="41">
        <f t="shared" ca="1" si="327"/>
        <v>1328484.5030714571</v>
      </c>
      <c r="AI177" s="41">
        <f t="shared" si="328"/>
        <v>169.53828545390974</v>
      </c>
      <c r="AJ177" s="13">
        <f t="shared" ca="1" si="329"/>
        <v>-26.648914377328751</v>
      </c>
      <c r="AK177" s="11"/>
      <c r="AL177" s="6">
        <v>-500</v>
      </c>
      <c r="AM177" s="41">
        <f t="shared" ca="1" si="330"/>
        <v>18.76249039343115</v>
      </c>
      <c r="AN177" s="41">
        <f t="shared" ca="1" si="331"/>
        <v>0.88360012559660261</v>
      </c>
      <c r="AO177" s="41">
        <f t="shared" ca="1" si="332"/>
        <v>1.2481026146395093</v>
      </c>
      <c r="AP177" s="67">
        <f t="shared" si="350"/>
        <v>0.78161849091328728</v>
      </c>
      <c r="AQ177" s="11">
        <f t="shared" si="333"/>
        <v>0.99705342071837588</v>
      </c>
      <c r="AR177" s="11">
        <f t="shared" si="334"/>
        <v>0.7427802799562947</v>
      </c>
      <c r="AS177" s="11">
        <f t="shared" si="335"/>
        <v>0.74497540906195614</v>
      </c>
      <c r="AT177" s="11">
        <f t="shared" si="336"/>
        <v>517.14169772399998</v>
      </c>
      <c r="AU177" s="11">
        <f t="shared" si="337"/>
        <v>1571.8864840491099</v>
      </c>
      <c r="AV177" s="11">
        <f t="shared" si="338"/>
        <v>1.7707320497993635E-3</v>
      </c>
      <c r="AW177" s="11">
        <f t="shared" si="339"/>
        <v>3.7286675818013285E-7</v>
      </c>
      <c r="AX177" s="41">
        <f t="shared" ca="1" si="340"/>
        <v>1.6551439721491168</v>
      </c>
      <c r="AY177" s="41">
        <f t="shared" ca="1" si="341"/>
        <v>2.2295118141399364</v>
      </c>
      <c r="AZ177" s="41">
        <f t="shared" si="342"/>
        <v>0.26108439895966057</v>
      </c>
      <c r="BA177" s="154">
        <f t="shared" si="351"/>
        <v>1.6592047994433585</v>
      </c>
    </row>
    <row r="178" spans="1:53" ht="14.5">
      <c r="A178" s="41">
        <f t="shared" ca="1" si="343"/>
        <v>17173.86173349106</v>
      </c>
      <c r="B178" s="41">
        <f t="shared" ca="1" si="304"/>
        <v>286.23102889151767</v>
      </c>
      <c r="C178" s="41">
        <f t="shared" ca="1" si="304"/>
        <v>4.7705171481919608</v>
      </c>
      <c r="D178" s="41">
        <f t="shared" ca="1" si="344"/>
        <v>12756.20340980609</v>
      </c>
      <c r="E178" s="41">
        <f t="shared" ca="1" si="345"/>
        <v>1005.7876315404859</v>
      </c>
      <c r="F178" s="41">
        <f t="shared" ca="1" si="346"/>
        <v>5.796652133505698</v>
      </c>
      <c r="G178" s="41"/>
      <c r="H178" s="7">
        <f t="shared" si="347"/>
        <v>7500</v>
      </c>
      <c r="I178" s="6">
        <v>15</v>
      </c>
      <c r="J178" s="41">
        <f t="shared" si="306"/>
        <v>0.34840964357819415</v>
      </c>
      <c r="K178" s="41">
        <f t="shared" si="307"/>
        <v>389.07717235195258</v>
      </c>
      <c r="L178" s="6">
        <f t="shared" si="308"/>
        <v>201.25</v>
      </c>
      <c r="M178" s="41">
        <f t="shared" si="309"/>
        <v>230.52199938377427</v>
      </c>
      <c r="N178" s="41">
        <f t="shared" si="310"/>
        <v>136.14082846911029</v>
      </c>
      <c r="O178" s="41">
        <f t="shared" si="311"/>
        <v>1871833.1435140141</v>
      </c>
      <c r="P178" s="41">
        <f t="shared" si="312"/>
        <v>12018484.088872559</v>
      </c>
      <c r="Q178" s="41">
        <f t="shared" si="313"/>
        <v>2.8844136438311925E-3</v>
      </c>
      <c r="R178" s="41">
        <f t="shared" si="314"/>
        <v>2.2536183346018909E-2</v>
      </c>
      <c r="S178" s="24">
        <f t="shared" ca="1" si="348"/>
        <v>-3.6471867271109457</v>
      </c>
      <c r="T178" s="10">
        <f t="shared" ca="1" si="315"/>
        <v>-3.6471867271109457</v>
      </c>
      <c r="U178" s="41">
        <f t="shared" ca="1" si="316"/>
        <v>0.40656007948872919</v>
      </c>
      <c r="V178" s="41">
        <f t="shared" ca="1" si="317"/>
        <v>3.2975427525784917E-2</v>
      </c>
      <c r="W178" s="41">
        <f t="shared" ca="1" si="318"/>
        <v>12.329182970283622</v>
      </c>
      <c r="X178" s="20">
        <f t="shared" ca="1" si="319"/>
        <v>1032.5394651711963</v>
      </c>
      <c r="Y178" s="41">
        <f t="shared" si="320"/>
        <v>0.59735209091508201</v>
      </c>
      <c r="Z178" s="41">
        <f t="shared" ca="1" si="321"/>
        <v>160.13729800978746</v>
      </c>
      <c r="AA178" s="14">
        <f t="shared" ca="1" si="322"/>
        <v>1034.6349340870108</v>
      </c>
      <c r="AB178" s="14">
        <f t="shared" si="349"/>
        <v>4421.7256445668172</v>
      </c>
      <c r="AC178" s="25">
        <f t="shared" ca="1" si="323"/>
        <v>402552.83457112301</v>
      </c>
      <c r="AD178" s="41">
        <f t="shared" si="324"/>
        <v>1720392.5107041721</v>
      </c>
      <c r="AE178" s="6">
        <v>5</v>
      </c>
      <c r="AF178" s="41">
        <f t="shared" si="325"/>
        <v>221.08628222834088</v>
      </c>
      <c r="AG178" s="41">
        <f t="shared" ca="1" si="326"/>
        <v>3387.0907104798061</v>
      </c>
      <c r="AH178" s="41">
        <f t="shared" ca="1" si="327"/>
        <v>1317839.6761330492</v>
      </c>
      <c r="AI178" s="41">
        <f t="shared" si="328"/>
        <v>172.19063341572669</v>
      </c>
      <c r="AJ178" s="13">
        <f t="shared" ca="1" si="329"/>
        <v>-24.750147028283955</v>
      </c>
      <c r="AK178" s="11"/>
      <c r="AL178" s="6">
        <v>-500</v>
      </c>
      <c r="AM178" s="41">
        <f t="shared" ca="1" si="330"/>
        <v>20.201900191890189</v>
      </c>
      <c r="AN178" s="41">
        <f t="shared" ca="1" si="331"/>
        <v>0.96627166395635067</v>
      </c>
      <c r="AO178" s="41">
        <f t="shared" ca="1" si="332"/>
        <v>1.2909862595921047</v>
      </c>
      <c r="AP178" s="67">
        <f t="shared" si="350"/>
        <v>0.77883906536492342</v>
      </c>
      <c r="AQ178" s="11">
        <f t="shared" si="333"/>
        <v>1.0004910957183759</v>
      </c>
      <c r="AR178" s="11">
        <f t="shared" si="334"/>
        <v>0.75709294647058711</v>
      </c>
      <c r="AS178" s="11">
        <f t="shared" si="335"/>
        <v>0.75672132386843161</v>
      </c>
      <c r="AT178" s="11">
        <f t="shared" si="336"/>
        <v>518.92471661624995</v>
      </c>
      <c r="AU178" s="11">
        <f t="shared" si="337"/>
        <v>1602.1752351799857</v>
      </c>
      <c r="AV178" s="11">
        <f t="shared" si="338"/>
        <v>1.798650914702875E-3</v>
      </c>
      <c r="AW178" s="11">
        <f t="shared" si="339"/>
        <v>3.7386559500013913E-7</v>
      </c>
      <c r="AX178" s="41">
        <f t="shared" ca="1" si="340"/>
        <v>1.5692998092064907</v>
      </c>
      <c r="AY178" s="41">
        <f t="shared" ca="1" si="341"/>
        <v>2.1138780211430479</v>
      </c>
      <c r="AZ178" s="41">
        <f t="shared" si="342"/>
        <v>0.25134036097560708</v>
      </c>
      <c r="BA178" s="154">
        <f t="shared" si="351"/>
        <v>1.6518229424002391</v>
      </c>
    </row>
    <row r="179" spans="1:53" ht="14.5">
      <c r="A179" s="41">
        <f t="shared" ca="1" si="343"/>
        <v>17194.063633682948</v>
      </c>
      <c r="B179" s="41">
        <f t="shared" ca="1" si="304"/>
        <v>286.56772722804914</v>
      </c>
      <c r="C179" s="41">
        <f t="shared" ca="1" si="304"/>
        <v>4.7761287871341525</v>
      </c>
      <c r="D179" s="41">
        <f t="shared" ca="1" si="344"/>
        <v>12755.237138142134</v>
      </c>
      <c r="E179" s="41">
        <f t="shared" ca="1" si="345"/>
        <v>1007.0786178000781</v>
      </c>
      <c r="F179" s="41">
        <f t="shared" ca="1" si="346"/>
        <v>7.0876383930978024</v>
      </c>
      <c r="G179" s="41"/>
      <c r="H179" s="7">
        <f t="shared" si="347"/>
        <v>7000</v>
      </c>
      <c r="I179" s="6">
        <v>15</v>
      </c>
      <c r="J179" s="41">
        <f t="shared" si="306"/>
        <v>0.33369985727986495</v>
      </c>
      <c r="K179" s="41">
        <f t="shared" si="307"/>
        <v>373.29007312496356</v>
      </c>
      <c r="L179" s="6">
        <f t="shared" si="308"/>
        <v>194.5</v>
      </c>
      <c r="M179" s="41">
        <f t="shared" si="309"/>
        <v>221.16839568537091</v>
      </c>
      <c r="N179" s="41">
        <f t="shared" si="310"/>
        <v>127.28550269096864</v>
      </c>
      <c r="O179" s="41">
        <f t="shared" si="311"/>
        <v>1819240.7345242924</v>
      </c>
      <c r="P179" s="41">
        <f t="shared" si="312"/>
        <v>11680803.867305463</v>
      </c>
      <c r="Q179" s="41">
        <f t="shared" si="313"/>
        <v>2.9001417123174374E-3</v>
      </c>
      <c r="R179" s="41">
        <f t="shared" si="314"/>
        <v>2.2631804268227276E-2</v>
      </c>
      <c r="S179" s="24">
        <f t="shared" ca="1" si="348"/>
        <v>-3.5368674816328189</v>
      </c>
      <c r="T179" s="10">
        <f t="shared" ca="1" si="315"/>
        <v>-3.5368674816328189</v>
      </c>
      <c r="U179" s="41">
        <f t="shared" ca="1" si="316"/>
        <v>0.43486431788272717</v>
      </c>
      <c r="V179" s="41">
        <f t="shared" ca="1" si="317"/>
        <v>3.457518118856473E-2</v>
      </c>
      <c r="W179" s="41">
        <f t="shared" ca="1" si="318"/>
        <v>12.577354707444096</v>
      </c>
      <c r="X179" s="20">
        <f t="shared" ca="1" si="319"/>
        <v>1012.2114431900903</v>
      </c>
      <c r="Y179" s="41">
        <f t="shared" si="320"/>
        <v>0.59861803057858731</v>
      </c>
      <c r="Z179" s="41">
        <f t="shared" ca="1" si="321"/>
        <v>158.89773511883899</v>
      </c>
      <c r="AA179" s="14">
        <f t="shared" ca="1" si="322"/>
        <v>1014.1430718013189</v>
      </c>
      <c r="AB179" s="14">
        <f t="shared" si="349"/>
        <v>4506.6168691432204</v>
      </c>
      <c r="AC179" s="25">
        <f t="shared" ca="1" si="323"/>
        <v>378569.54143188952</v>
      </c>
      <c r="AD179" s="41">
        <f t="shared" si="324"/>
        <v>1682275.340628667</v>
      </c>
      <c r="AE179" s="6">
        <v>5</v>
      </c>
      <c r="AF179" s="41">
        <f t="shared" si="325"/>
        <v>225.33084345716102</v>
      </c>
      <c r="AG179" s="41">
        <f t="shared" ca="1" si="326"/>
        <v>3492.4737973419014</v>
      </c>
      <c r="AH179" s="41">
        <f t="shared" ca="1" si="327"/>
        <v>1303705.7991967774</v>
      </c>
      <c r="AI179" s="41">
        <f t="shared" si="328"/>
        <v>174.87178243104577</v>
      </c>
      <c r="AJ179" s="13">
        <f t="shared" ca="1" si="329"/>
        <v>-23.028557872637428</v>
      </c>
      <c r="AK179" s="11"/>
      <c r="AL179" s="6">
        <v>-500</v>
      </c>
      <c r="AM179" s="41">
        <f t="shared" ca="1" si="330"/>
        <v>21.712171589958782</v>
      </c>
      <c r="AN179" s="41">
        <f t="shared" ca="1" si="331"/>
        <v>1.0546794851068904</v>
      </c>
      <c r="AO179" s="41">
        <f t="shared" ca="1" si="332"/>
        <v>1.331361040555477</v>
      </c>
      <c r="AP179" s="67">
        <f t="shared" si="350"/>
        <v>0.77606678139600394</v>
      </c>
      <c r="AQ179" s="11">
        <f t="shared" si="333"/>
        <v>1.0039287707183759</v>
      </c>
      <c r="AR179" s="11">
        <f t="shared" si="334"/>
        <v>0.77162811950264032</v>
      </c>
      <c r="AS179" s="11">
        <f t="shared" si="335"/>
        <v>0.76860843319640149</v>
      </c>
      <c r="AT179" s="11">
        <f t="shared" si="336"/>
        <v>520.70773550850004</v>
      </c>
      <c r="AU179" s="11">
        <f t="shared" si="337"/>
        <v>1632.9348590538773</v>
      </c>
      <c r="AV179" s="11">
        <f t="shared" si="338"/>
        <v>1.8269053848645267E-3</v>
      </c>
      <c r="AW179" s="11">
        <f t="shared" si="339"/>
        <v>3.7486278300974495E-7</v>
      </c>
      <c r="AX179" s="41">
        <f t="shared" ca="1" si="340"/>
        <v>1.4875458023431722</v>
      </c>
      <c r="AY179" s="41">
        <f t="shared" ca="1" si="341"/>
        <v>2.003753749646366</v>
      </c>
      <c r="AZ179" s="41">
        <f t="shared" si="342"/>
        <v>0.24164297273197821</v>
      </c>
      <c r="BA179" s="154">
        <f t="shared" si="351"/>
        <v>1.644378810280454</v>
      </c>
    </row>
    <row r="180" spans="1:53" ht="14.5">
      <c r="A180" s="41">
        <f t="shared" ca="1" si="343"/>
        <v>17215.775805272908</v>
      </c>
      <c r="B180" s="41">
        <f t="shared" ca="1" si="304"/>
        <v>286.92959675454847</v>
      </c>
      <c r="C180" s="41">
        <f t="shared" ca="1" si="304"/>
        <v>4.7821599459091413</v>
      </c>
      <c r="D180" s="41">
        <f t="shared" ca="1" si="344"/>
        <v>12754.182458657027</v>
      </c>
      <c r="E180" s="41">
        <f t="shared" ca="1" si="345"/>
        <v>1008.4099788406336</v>
      </c>
      <c r="F180" s="41">
        <f t="shared" ca="1" si="346"/>
        <v>8.4189994336532799</v>
      </c>
      <c r="G180" s="41"/>
      <c r="H180" s="7">
        <f t="shared" si="347"/>
        <v>6500</v>
      </c>
      <c r="I180" s="6">
        <v>15</v>
      </c>
      <c r="J180" s="41">
        <f t="shared" si="306"/>
        <v>0.31922245857466119</v>
      </c>
      <c r="K180" s="41">
        <f t="shared" si="307"/>
        <v>357.70593694609045</v>
      </c>
      <c r="L180" s="6">
        <f t="shared" si="308"/>
        <v>187.75</v>
      </c>
      <c r="M180" s="41">
        <f t="shared" si="309"/>
        <v>211.93504434556746</v>
      </c>
      <c r="N180" s="41">
        <f t="shared" si="310"/>
        <v>118.70878203747388</v>
      </c>
      <c r="O180" s="41">
        <f t="shared" si="311"/>
        <v>1765885.4087592149</v>
      </c>
      <c r="P180" s="41">
        <f t="shared" si="312"/>
        <v>11338225.183951043</v>
      </c>
      <c r="Q180" s="41">
        <f t="shared" si="313"/>
        <v>2.9164134293559268E-3</v>
      </c>
      <c r="R180" s="41">
        <f t="shared" si="314"/>
        <v>2.273073037542821E-2</v>
      </c>
      <c r="S180" s="24">
        <f t="shared" ca="1" si="348"/>
        <v>-3.4427433504839402</v>
      </c>
      <c r="T180" s="10">
        <f t="shared" ca="1" si="315"/>
        <v>-3.4427433504839402</v>
      </c>
      <c r="U180" s="41">
        <f t="shared" ca="1" si="316"/>
        <v>0.46629146279376898</v>
      </c>
      <c r="V180" s="41">
        <f t="shared" ca="1" si="317"/>
        <v>3.6462753280231665E-2</v>
      </c>
      <c r="W180" s="41">
        <f t="shared" ca="1" si="318"/>
        <v>12.788158349154878</v>
      </c>
      <c r="X180" s="20">
        <f t="shared" ca="1" si="319"/>
        <v>995.54327727471752</v>
      </c>
      <c r="Y180" s="41">
        <f t="shared" si="320"/>
        <v>0.59992491664641256</v>
      </c>
      <c r="Z180" s="41">
        <f t="shared" ca="1" si="321"/>
        <v>157.67006967293244</v>
      </c>
      <c r="AA180" s="14">
        <f t="shared" ca="1" si="322"/>
        <v>997.34317564967466</v>
      </c>
      <c r="AB180" s="14">
        <f t="shared" si="349"/>
        <v>4592.8230205114587</v>
      </c>
      <c r="AC180" s="25">
        <f t="shared" ca="1" si="323"/>
        <v>356755.57510255615</v>
      </c>
      <c r="AD180" s="41">
        <f t="shared" si="324"/>
        <v>1642880.0617796245</v>
      </c>
      <c r="AE180" s="6">
        <v>5</v>
      </c>
      <c r="AF180" s="41">
        <f t="shared" si="325"/>
        <v>229.64115102557295</v>
      </c>
      <c r="AG180" s="41">
        <f t="shared" ca="1" si="326"/>
        <v>3595.4798448617839</v>
      </c>
      <c r="AH180" s="41">
        <f t="shared" ca="1" si="327"/>
        <v>1286124.4866770683</v>
      </c>
      <c r="AI180" s="41">
        <f t="shared" si="328"/>
        <v>177.58215378873271</v>
      </c>
      <c r="AJ180" s="13">
        <f t="shared" ca="1" si="329"/>
        <v>-21.480619284460275</v>
      </c>
      <c r="AK180" s="11"/>
      <c r="AL180" s="6">
        <v>-500</v>
      </c>
      <c r="AM180" s="41">
        <f t="shared" ca="1" si="330"/>
        <v>23.276796324103888</v>
      </c>
      <c r="AN180" s="41">
        <f t="shared" ca="1" si="331"/>
        <v>1.148206562371118</v>
      </c>
      <c r="AO180" s="41">
        <f t="shared" ca="1" si="332"/>
        <v>1.3678516681196209</v>
      </c>
      <c r="AP180" s="67">
        <f t="shared" si="350"/>
        <v>0.77330283790886012</v>
      </c>
      <c r="AQ180" s="11">
        <f t="shared" si="333"/>
        <v>1.0073664457183757</v>
      </c>
      <c r="AR180" s="11">
        <f t="shared" si="334"/>
        <v>0.78638843581115314</v>
      </c>
      <c r="AS180" s="11">
        <f t="shared" si="335"/>
        <v>0.78063790902858765</v>
      </c>
      <c r="AT180" s="11">
        <f t="shared" si="336"/>
        <v>522.49075440074989</v>
      </c>
      <c r="AU180" s="11">
        <f t="shared" si="337"/>
        <v>1664.1709356322783</v>
      </c>
      <c r="AV180" s="11">
        <f t="shared" si="338"/>
        <v>1.85549824597005E-3</v>
      </c>
      <c r="AW180" s="11">
        <f t="shared" si="339"/>
        <v>3.7585832879320501E-7</v>
      </c>
      <c r="AX180" s="41">
        <f t="shared" ca="1" si="340"/>
        <v>1.4101266179081411</v>
      </c>
      <c r="AY180" s="41">
        <f t="shared" ca="1" si="341"/>
        <v>1.8994685700828868</v>
      </c>
      <c r="AZ180" s="41">
        <f t="shared" si="342"/>
        <v>0.23199610465589179</v>
      </c>
      <c r="BA180" s="154">
        <f t="shared" si="351"/>
        <v>1.6368731949185307</v>
      </c>
    </row>
    <row r="181" spans="1:53" ht="14.5">
      <c r="A181" s="41">
        <f t="shared" ca="1" si="343"/>
        <v>17239.05260159701</v>
      </c>
      <c r="B181" s="41">
        <f t="shared" ca="1" si="304"/>
        <v>287.31754335995015</v>
      </c>
      <c r="C181" s="41">
        <f t="shared" ca="1" si="304"/>
        <v>4.7886257226658362</v>
      </c>
      <c r="D181" s="41">
        <f t="shared" ca="1" si="344"/>
        <v>12753.034252094656</v>
      </c>
      <c r="E181" s="41">
        <f t="shared" ca="1" si="345"/>
        <v>1009.7778305087533</v>
      </c>
      <c r="F181" s="41">
        <f t="shared" ca="1" si="346"/>
        <v>9.7868511017728999</v>
      </c>
      <c r="G181" s="41"/>
      <c r="H181" s="7">
        <f t="shared" si="347"/>
        <v>6000</v>
      </c>
      <c r="I181" s="6">
        <v>15</v>
      </c>
      <c r="J181" s="41">
        <f t="shared" si="306"/>
        <v>0.30497559938464891</v>
      </c>
      <c r="K181" s="41">
        <f t="shared" si="307"/>
        <v>342.3241710380907</v>
      </c>
      <c r="L181" s="6">
        <f t="shared" si="308"/>
        <v>181</v>
      </c>
      <c r="M181" s="41">
        <f t="shared" si="309"/>
        <v>202.82159415333214</v>
      </c>
      <c r="N181" s="41">
        <f t="shared" si="310"/>
        <v>110.41438898433971</v>
      </c>
      <c r="O181" s="41">
        <f t="shared" si="311"/>
        <v>1711776.2804701226</v>
      </c>
      <c r="P181" s="41">
        <f t="shared" si="312"/>
        <v>10990806.558707349</v>
      </c>
      <c r="Q181" s="41">
        <f t="shared" si="313"/>
        <v>2.9332854046753374E-3</v>
      </c>
      <c r="R181" s="41">
        <f t="shared" si="314"/>
        <v>2.2833305834133122E-2</v>
      </c>
      <c r="S181" s="24">
        <f t="shared" ca="1" si="348"/>
        <v>-3.3666334397430293</v>
      </c>
      <c r="T181" s="10">
        <f t="shared" ca="1" si="315"/>
        <v>-3.3666334397430293</v>
      </c>
      <c r="U181" s="41">
        <f t="shared" ca="1" si="316"/>
        <v>0.50131403331016866</v>
      </c>
      <c r="V181" s="41">
        <f t="shared" ca="1" si="317"/>
        <v>3.8705585786472478E-2</v>
      </c>
      <c r="W181" s="41">
        <f t="shared" ca="1" si="318"/>
        <v>12.951981558314946</v>
      </c>
      <c r="X181" s="20">
        <f t="shared" ca="1" si="319"/>
        <v>982.94032912568946</v>
      </c>
      <c r="Y181" s="41">
        <f t="shared" si="320"/>
        <v>0.60127701366594344</v>
      </c>
      <c r="Z181" s="41">
        <f t="shared" ca="1" si="321"/>
        <v>156.4540735769487</v>
      </c>
      <c r="AA181" s="14">
        <f t="shared" ca="1" si="322"/>
        <v>984.63962403555388</v>
      </c>
      <c r="AB181" s="14">
        <f t="shared" si="349"/>
        <v>4680.3596243842703</v>
      </c>
      <c r="AC181" s="25">
        <f t="shared" ca="1" si="323"/>
        <v>337065.94306922826</v>
      </c>
      <c r="AD181" s="41">
        <f t="shared" si="324"/>
        <v>1602200.2285774949</v>
      </c>
      <c r="AE181" s="6">
        <v>5</v>
      </c>
      <c r="AF181" s="41">
        <f t="shared" si="325"/>
        <v>234.01798121921354</v>
      </c>
      <c r="AG181" s="41">
        <f t="shared" ca="1" si="326"/>
        <v>3695.7200003487164</v>
      </c>
      <c r="AH181" s="41">
        <f t="shared" ca="1" si="327"/>
        <v>1265134.2855082667</v>
      </c>
      <c r="AI181" s="41">
        <f t="shared" si="328"/>
        <v>180.32217656011053</v>
      </c>
      <c r="AJ181" s="13">
        <f t="shared" ca="1" si="329"/>
        <v>-20.102997988645409</v>
      </c>
      <c r="AK181" s="11"/>
      <c r="AL181" s="6">
        <v>-500</v>
      </c>
      <c r="AM181" s="41">
        <f t="shared" ca="1" si="330"/>
        <v>24.871912153720075</v>
      </c>
      <c r="AN181" s="41">
        <f t="shared" ca="1" si="331"/>
        <v>1.2458214818807418</v>
      </c>
      <c r="AO181" s="41">
        <f t="shared" ca="1" si="332"/>
        <v>1.3988485971659606</v>
      </c>
      <c r="AP181" s="67">
        <f t="shared" si="350"/>
        <v>0.77054838102887446</v>
      </c>
      <c r="AQ181" s="11">
        <f t="shared" si="333"/>
        <v>1.0108041207183758</v>
      </c>
      <c r="AR181" s="11">
        <f t="shared" si="334"/>
        <v>0.80137655372650329</v>
      </c>
      <c r="AS181" s="11">
        <f t="shared" si="335"/>
        <v>0.79281092874548942</v>
      </c>
      <c r="AT181" s="11">
        <f t="shared" si="336"/>
        <v>524.27377329299998</v>
      </c>
      <c r="AU181" s="11">
        <f t="shared" si="337"/>
        <v>1695.8890905271007</v>
      </c>
      <c r="AV181" s="11">
        <f t="shared" si="338"/>
        <v>1.8844322965351538E-3</v>
      </c>
      <c r="AW181" s="11">
        <f t="shared" si="339"/>
        <v>3.7685223889866925E-7</v>
      </c>
      <c r="AX181" s="41">
        <f t="shared" ca="1" si="340"/>
        <v>1.3373367711081952</v>
      </c>
      <c r="AY181" s="41">
        <f t="shared" ca="1" si="341"/>
        <v>1.8014192002874629</v>
      </c>
      <c r="AZ181" s="41">
        <f t="shared" si="342"/>
        <v>0.22240341125086907</v>
      </c>
      <c r="BA181" s="154">
        <f t="shared" si="351"/>
        <v>1.6293069270887282</v>
      </c>
    </row>
    <row r="182" spans="1:53" ht="14.5">
      <c r="A182" s="41">
        <f t="shared" ca="1" si="343"/>
        <v>17263.924513750731</v>
      </c>
      <c r="B182" s="41">
        <f t="shared" ca="1" si="304"/>
        <v>287.73207522917886</v>
      </c>
      <c r="C182" s="41">
        <f t="shared" ca="1" si="304"/>
        <v>4.7955345871529813</v>
      </c>
      <c r="D182" s="41">
        <f t="shared" ca="1" si="344"/>
        <v>12751.788430612774</v>
      </c>
      <c r="E182" s="41">
        <f t="shared" ca="1" si="345"/>
        <v>1011.1766791059192</v>
      </c>
      <c r="F182" s="41">
        <f t="shared" ca="1" si="346"/>
        <v>11.18569969893886</v>
      </c>
      <c r="G182" s="41"/>
      <c r="H182" s="7">
        <f t="shared" si="347"/>
        <v>5500</v>
      </c>
      <c r="I182" s="6">
        <v>15</v>
      </c>
      <c r="J182" s="41">
        <f t="shared" si="306"/>
        <v>0.29095730835485312</v>
      </c>
      <c r="K182" s="41">
        <f t="shared" si="307"/>
        <v>327.1440243631352</v>
      </c>
      <c r="L182" s="6">
        <f t="shared" si="308"/>
        <v>174.25</v>
      </c>
      <c r="M182" s="41">
        <f t="shared" si="309"/>
        <v>193.82760013076779</v>
      </c>
      <c r="N182" s="41">
        <f t="shared" si="310"/>
        <v>102.40571478320543</v>
      </c>
      <c r="O182" s="41">
        <f t="shared" si="311"/>
        <v>1656922.0190116777</v>
      </c>
      <c r="P182" s="41">
        <f t="shared" si="312"/>
        <v>10638603.654923132</v>
      </c>
      <c r="Q182" s="41">
        <f t="shared" si="313"/>
        <v>2.9508208928764601E-3</v>
      </c>
      <c r="R182" s="41">
        <f t="shared" si="314"/>
        <v>2.2939915209253262E-2</v>
      </c>
      <c r="S182" s="24">
        <f t="shared" ca="1" si="348"/>
        <v>-3.310683684702366</v>
      </c>
      <c r="T182" s="10">
        <f t="shared" ca="1" si="315"/>
        <v>-3.310683684702366</v>
      </c>
      <c r="U182" s="41">
        <f t="shared" ca="1" si="316"/>
        <v>0.54049745676501537</v>
      </c>
      <c r="V182" s="41">
        <f t="shared" ca="1" si="317"/>
        <v>4.1390362554479566E-2</v>
      </c>
      <c r="W182" s="41">
        <f t="shared" ca="1" si="318"/>
        <v>13.058534001812429</v>
      </c>
      <c r="X182" s="20">
        <f t="shared" ca="1" si="319"/>
        <v>974.88022238132521</v>
      </c>
      <c r="Y182" s="41">
        <f t="shared" si="320"/>
        <v>0.60267906902482393</v>
      </c>
      <c r="Z182" s="41">
        <f t="shared" ca="1" si="321"/>
        <v>155.24949579423455</v>
      </c>
      <c r="AA182" s="14">
        <f t="shared" ca="1" si="322"/>
        <v>976.50995347892183</v>
      </c>
      <c r="AB182" s="14">
        <f t="shared" si="349"/>
        <v>4769.2423330334022</v>
      </c>
      <c r="AC182" s="25">
        <f t="shared" ca="1" si="323"/>
        <v>319459.39601175243</v>
      </c>
      <c r="AD182" s="41">
        <f t="shared" si="324"/>
        <v>1560229.1299915751</v>
      </c>
      <c r="AE182" s="6">
        <v>5</v>
      </c>
      <c r="AF182" s="41">
        <f t="shared" si="325"/>
        <v>238.46211665167013</v>
      </c>
      <c r="AG182" s="41">
        <f t="shared" ca="1" si="326"/>
        <v>3792.7323795544803</v>
      </c>
      <c r="AH182" s="41">
        <f t="shared" ca="1" si="327"/>
        <v>1240769.7339798226</v>
      </c>
      <c r="AI182" s="41">
        <f t="shared" si="328"/>
        <v>183.09228720721572</v>
      </c>
      <c r="AJ182" s="13">
        <f t="shared" ca="1" si="329"/>
        <v>-18.892627025078333</v>
      </c>
      <c r="AK182" s="11"/>
      <c r="AL182" s="6">
        <v>-500</v>
      </c>
      <c r="AM182" s="41">
        <f t="shared" ca="1" si="330"/>
        <v>26.46535070725173</v>
      </c>
      <c r="AN182" s="41">
        <f t="shared" ca="1" si="331"/>
        <v>1.3460004424255065</v>
      </c>
      <c r="AO182" s="41">
        <f t="shared" ca="1" si="332"/>
        <v>1.422542848737796</v>
      </c>
      <c r="AP182" s="67">
        <f t="shared" si="350"/>
        <v>0.76780450403644185</v>
      </c>
      <c r="AQ182" s="11">
        <f t="shared" si="333"/>
        <v>1.0142417957183758</v>
      </c>
      <c r="AR182" s="11">
        <f t="shared" si="334"/>
        <v>0.81659515324864762</v>
      </c>
      <c r="AS182" s="11">
        <f t="shared" si="335"/>
        <v>0.8051286751304334</v>
      </c>
      <c r="AT182" s="11">
        <f t="shared" si="336"/>
        <v>526.05679218524995</v>
      </c>
      <c r="AU182" s="11">
        <f t="shared" si="337"/>
        <v>1728.0949952078529</v>
      </c>
      <c r="AV182" s="11">
        <f t="shared" si="338"/>
        <v>1.9137103479175271E-3</v>
      </c>
      <c r="AW182" s="11">
        <f t="shared" si="339"/>
        <v>3.7784451983838536E-7</v>
      </c>
      <c r="AX182" s="41">
        <f t="shared" ca="1" si="340"/>
        <v>1.2695387246979142</v>
      </c>
      <c r="AY182" s="41">
        <f t="shared" ca="1" si="341"/>
        <v>1.7100938847917599</v>
      </c>
      <c r="AZ182" s="41">
        <f t="shared" si="342"/>
        <v>0.21286833365847424</v>
      </c>
      <c r="BA182" s="154">
        <f t="shared" si="351"/>
        <v>1.6216808768952329</v>
      </c>
    </row>
    <row r="183" spans="1:53" ht="14.5">
      <c r="A183" s="41">
        <f t="shared" ca="1" si="343"/>
        <v>17290.389864457982</v>
      </c>
      <c r="B183" s="41">
        <f t="shared" ca="1" si="304"/>
        <v>288.17316440763301</v>
      </c>
      <c r="C183" s="41">
        <f t="shared" ca="1" si="304"/>
        <v>4.8028860734605505</v>
      </c>
      <c r="D183" s="41">
        <f t="shared" ca="1" si="344"/>
        <v>12750.442430170349</v>
      </c>
      <c r="E183" s="41">
        <f t="shared" ca="1" si="345"/>
        <v>1012.599221954657</v>
      </c>
      <c r="F183" s="41">
        <f t="shared" ca="1" si="346"/>
        <v>12.608242547676657</v>
      </c>
      <c r="G183" s="41"/>
      <c r="H183" s="7">
        <f t="shared" si="347"/>
        <v>5000</v>
      </c>
      <c r="I183" s="6">
        <v>15</v>
      </c>
      <c r="J183" s="41">
        <f t="shared" si="306"/>
        <v>0.2771654983604106</v>
      </c>
      <c r="K183" s="41">
        <f t="shared" si="307"/>
        <v>312.16459501335117</v>
      </c>
      <c r="L183" s="6">
        <f t="shared" si="308"/>
        <v>167.5</v>
      </c>
      <c r="M183" s="41">
        <f t="shared" si="309"/>
        <v>184.95252791189037</v>
      </c>
      <c r="N183" s="41">
        <f t="shared" si="310"/>
        <v>94.685835708087794</v>
      </c>
      <c r="O183" s="41">
        <f t="shared" si="311"/>
        <v>1601330.8382238974</v>
      </c>
      <c r="P183" s="41">
        <f t="shared" si="312"/>
        <v>10281669.211223036</v>
      </c>
      <c r="Q183" s="41">
        <f t="shared" si="313"/>
        <v>2.9690909073270301E-3</v>
      </c>
      <c r="R183" s="41">
        <f t="shared" si="314"/>
        <v>2.3050990236174178E-2</v>
      </c>
      <c r="S183" s="24">
        <f t="shared" ca="1" si="348"/>
        <v>-3.2774488512283733</v>
      </c>
      <c r="T183" s="10">
        <f t="shared" ca="1" si="315"/>
        <v>-3.2774488512283733</v>
      </c>
      <c r="U183" s="41">
        <f t="shared" ca="1" si="316"/>
        <v>0.58452284131564103</v>
      </c>
      <c r="V183" s="41">
        <f t="shared" ca="1" si="317"/>
        <v>4.4629555436602068E-2</v>
      </c>
      <c r="W183" s="41">
        <f t="shared" ca="1" si="318"/>
        <v>13.097214068062527</v>
      </c>
      <c r="X183" s="20">
        <f t="shared" ca="1" si="319"/>
        <v>971.93095337287309</v>
      </c>
      <c r="Y183" s="41">
        <f t="shared" si="320"/>
        <v>0.60413639253320239</v>
      </c>
      <c r="Z183" s="41">
        <f t="shared" ca="1" si="321"/>
        <v>154.05605318714385</v>
      </c>
      <c r="AA183" s="14">
        <f t="shared" ca="1" si="322"/>
        <v>973.52325188470593</v>
      </c>
      <c r="AB183" s="14">
        <f t="shared" si="349"/>
        <v>4859.4869258619374</v>
      </c>
      <c r="AC183" s="25">
        <f t="shared" ca="1" si="323"/>
        <v>303899.49166066991</v>
      </c>
      <c r="AD183" s="41">
        <f t="shared" si="324"/>
        <v>1516959.7681843666</v>
      </c>
      <c r="AE183" s="6">
        <v>5</v>
      </c>
      <c r="AF183" s="41">
        <f t="shared" si="325"/>
        <v>242.97434629309689</v>
      </c>
      <c r="AG183" s="41">
        <f t="shared" ca="1" si="326"/>
        <v>3885.9636739772313</v>
      </c>
      <c r="AH183" s="41">
        <f t="shared" ca="1" si="327"/>
        <v>1213060.2765236967</v>
      </c>
      <c r="AI183" s="41">
        <f t="shared" si="328"/>
        <v>185.89292919622585</v>
      </c>
      <c r="AJ183" s="13">
        <f t="shared" ca="1" si="329"/>
        <v>-17.846788084225306</v>
      </c>
      <c r="AK183" s="11"/>
      <c r="AL183" s="6">
        <v>-500</v>
      </c>
      <c r="AM183" s="41">
        <f t="shared" ca="1" si="330"/>
        <v>28.016245704287133</v>
      </c>
      <c r="AN183" s="41">
        <f t="shared" ca="1" si="331"/>
        <v>1.446672771958643</v>
      </c>
      <c r="AO183" s="41">
        <f t="shared" ca="1" si="332"/>
        <v>1.4370000823776987</v>
      </c>
      <c r="AP183" s="67">
        <f t="shared" si="350"/>
        <v>0.7650722474708731</v>
      </c>
      <c r="AQ183" s="11">
        <f t="shared" si="333"/>
        <v>1.0176794707183758</v>
      </c>
      <c r="AR183" s="11">
        <f t="shared" si="334"/>
        <v>0.83204693614511627</v>
      </c>
      <c r="AS183" s="11">
        <f t="shared" si="335"/>
        <v>0.81759233637461282</v>
      </c>
      <c r="AT183" s="11">
        <f t="shared" si="336"/>
        <v>527.83981107749992</v>
      </c>
      <c r="AU183" s="11">
        <f t="shared" si="337"/>
        <v>1760.7943672090178</v>
      </c>
      <c r="AV183" s="11">
        <f t="shared" si="338"/>
        <v>1.9433352243288171E-3</v>
      </c>
      <c r="AW183" s="11">
        <f t="shared" si="339"/>
        <v>3.7883517808889214E-7</v>
      </c>
      <c r="AX183" s="41">
        <f t="shared" ca="1" si="340"/>
        <v>1.2071887573626614</v>
      </c>
      <c r="AY183" s="41">
        <f t="shared" ca="1" si="341"/>
        <v>1.6261072400501015</v>
      </c>
      <c r="AZ183" s="41">
        <f t="shared" si="342"/>
        <v>0.20339410277136466</v>
      </c>
      <c r="BA183" s="154">
        <f t="shared" si="351"/>
        <v>1.6139959541422353</v>
      </c>
    </row>
    <row r="184" spans="1:53" ht="14.5">
      <c r="A184" s="41">
        <f t="shared" ca="1" si="343"/>
        <v>17318.406110162268</v>
      </c>
      <c r="B184" s="41">
        <f t="shared" ca="1" si="304"/>
        <v>288.64010183603779</v>
      </c>
      <c r="C184" s="41">
        <f t="shared" ca="1" si="304"/>
        <v>4.8106683639339627</v>
      </c>
      <c r="D184" s="41">
        <f t="shared" ca="1" si="344"/>
        <v>12748.99575739839</v>
      </c>
      <c r="E184" s="41">
        <f t="shared" ca="1" si="345"/>
        <v>1014.0362220370347</v>
      </c>
      <c r="F184" s="41">
        <f t="shared" ca="1" si="346"/>
        <v>14.045242630054355</v>
      </c>
      <c r="G184" s="41"/>
      <c r="H184" s="7">
        <f t="shared" si="347"/>
        <v>4500</v>
      </c>
      <c r="I184" s="6">
        <v>15</v>
      </c>
      <c r="J184" s="41">
        <f t="shared" si="306"/>
        <v>0.2635979740419741</v>
      </c>
      <c r="K184" s="41">
        <f t="shared" si="307"/>
        <v>297.38483772354522</v>
      </c>
      <c r="L184" s="6">
        <f t="shared" si="308"/>
        <v>160.75</v>
      </c>
      <c r="M184" s="41">
        <f t="shared" si="309"/>
        <v>176.19575819379696</v>
      </c>
      <c r="N184" s="41">
        <f t="shared" si="310"/>
        <v>87.257529558111074</v>
      </c>
      <c r="O184" s="41">
        <f t="shared" si="311"/>
        <v>1545010.4879079929</v>
      </c>
      <c r="P184" s="41">
        <f t="shared" si="312"/>
        <v>9920052.9867765009</v>
      </c>
      <c r="Q184" s="41">
        <f t="shared" si="313"/>
        <v>2.9881755781504607E-3</v>
      </c>
      <c r="R184" s="41">
        <f t="shared" si="314"/>
        <v>2.3167018076832142E-2</v>
      </c>
      <c r="S184" s="24">
        <f t="shared" ca="1" si="348"/>
        <v>-3.2699985992335319</v>
      </c>
      <c r="T184" s="10">
        <f t="shared" ca="1" si="315"/>
        <v>-3.2699985992335319</v>
      </c>
      <c r="U184" s="41">
        <f t="shared" ca="1" si="316"/>
        <v>0.63421650842945787</v>
      </c>
      <c r="V184" s="41">
        <f t="shared" ca="1" si="317"/>
        <v>4.8570583553181564E-2</v>
      </c>
      <c r="W184" s="41">
        <f t="shared" ca="1" si="318"/>
        <v>13.057625872150227</v>
      </c>
      <c r="X184" s="20">
        <f t="shared" ca="1" si="319"/>
        <v>974.7742999106822</v>
      </c>
      <c r="Y184" s="41">
        <f t="shared" si="320"/>
        <v>0.60565495319581042</v>
      </c>
      <c r="Z184" s="41">
        <f t="shared" ca="1" si="321"/>
        <v>152.87341680748048</v>
      </c>
      <c r="AA184" s="14">
        <f t="shared" ca="1" si="322"/>
        <v>976.36399466689465</v>
      </c>
      <c r="AB184" s="14">
        <f t="shared" si="349"/>
        <v>4951.1093099771379</v>
      </c>
      <c r="AC184" s="25">
        <f t="shared" ca="1" si="323"/>
        <v>290355.84811312682</v>
      </c>
      <c r="AD184" s="41">
        <f t="shared" si="324"/>
        <v>1472384.8386990852</v>
      </c>
      <c r="AE184" s="6">
        <v>5</v>
      </c>
      <c r="AF184" s="41">
        <f t="shared" si="325"/>
        <v>247.5554654988569</v>
      </c>
      <c r="AG184" s="41">
        <f t="shared" ca="1" si="326"/>
        <v>3974.7453153102433</v>
      </c>
      <c r="AH184" s="41">
        <f t="shared" ca="1" si="327"/>
        <v>1182028.9905859584</v>
      </c>
      <c r="AI184" s="41">
        <f t="shared" si="328"/>
        <v>188.72455261768667</v>
      </c>
      <c r="AJ184" s="13">
        <f t="shared" ca="1" si="329"/>
        <v>-16.963207077354777</v>
      </c>
      <c r="AK184" s="11"/>
      <c r="AL184" s="6">
        <v>-500</v>
      </c>
      <c r="AM184" s="41">
        <f t="shared" ca="1" si="330"/>
        <v>29.475558349310052</v>
      </c>
      <c r="AN184" s="41">
        <f t="shared" ca="1" si="331"/>
        <v>1.5452115451750161</v>
      </c>
      <c r="AO184" s="41">
        <f t="shared" ca="1" si="332"/>
        <v>1.4402812385018511</v>
      </c>
      <c r="AP184" s="67">
        <f t="shared" si="350"/>
        <v>0.76235259939578315</v>
      </c>
      <c r="AQ184" s="11">
        <f t="shared" si="333"/>
        <v>1.0211171457183759</v>
      </c>
      <c r="AR184" s="11">
        <f t="shared" si="334"/>
        <v>0.84773462604909555</v>
      </c>
      <c r="AS184" s="11">
        <f t="shared" si="335"/>
        <v>0.83020310608211134</v>
      </c>
      <c r="AT184" s="11">
        <f t="shared" si="336"/>
        <v>529.62282996975</v>
      </c>
      <c r="AU184" s="11">
        <f t="shared" si="337"/>
        <v>1793.9929703376167</v>
      </c>
      <c r="AV184" s="11">
        <f t="shared" si="338"/>
        <v>1.9733097628465705E-3</v>
      </c>
      <c r="AW184" s="11">
        <f t="shared" si="339"/>
        <v>3.79824220091224E-7</v>
      </c>
      <c r="AX184" s="41">
        <f t="shared" ca="1" si="340"/>
        <v>1.1508747379406299</v>
      </c>
      <c r="AY184" s="41">
        <f t="shared" ca="1" si="341"/>
        <v>1.5502511370670473</v>
      </c>
      <c r="AZ184" s="41">
        <f t="shared" si="342"/>
        <v>0.19398374284830353</v>
      </c>
      <c r="BA184" s="154">
        <f t="shared" si="351"/>
        <v>1.6062531086828136</v>
      </c>
    </row>
    <row r="185" spans="1:53" ht="14.5">
      <c r="A185" s="41">
        <f t="shared" ca="1" si="343"/>
        <v>17347.881668511578</v>
      </c>
      <c r="B185" s="41">
        <f t="shared" ca="1" si="304"/>
        <v>289.13136114185966</v>
      </c>
      <c r="C185" s="41">
        <f t="shared" ca="1" si="304"/>
        <v>4.8188560190309939</v>
      </c>
      <c r="D185" s="41">
        <f t="shared" ca="1" si="344"/>
        <v>12747.450545853215</v>
      </c>
      <c r="E185" s="41">
        <f t="shared" ca="1" si="345"/>
        <v>1015.4765032755365</v>
      </c>
      <c r="F185" s="41">
        <f t="shared" ca="1" si="346"/>
        <v>15.485523868556207</v>
      </c>
      <c r="G185" s="41"/>
      <c r="H185" s="7">
        <f t="shared" si="347"/>
        <v>4000</v>
      </c>
      <c r="I185" s="6">
        <v>15</v>
      </c>
      <c r="J185" s="41">
        <f t="shared" si="306"/>
        <v>0.25025243932749375</v>
      </c>
      <c r="K185" s="41">
        <f t="shared" si="307"/>
        <v>282.80357145860535</v>
      </c>
      <c r="L185" s="6">
        <f t="shared" si="308"/>
        <v>154</v>
      </c>
      <c r="M185" s="41">
        <f t="shared" si="309"/>
        <v>167.55659123208034</v>
      </c>
      <c r="N185" s="41">
        <f t="shared" si="310"/>
        <v>80.123292307317826</v>
      </c>
      <c r="O185" s="41">
        <f t="shared" si="311"/>
        <v>1487968.2472773101</v>
      </c>
      <c r="P185" s="41">
        <f t="shared" si="312"/>
        <v>9553801.7192481961</v>
      </c>
      <c r="Q185" s="41">
        <f t="shared" si="313"/>
        <v>3.0081658200408774E-3</v>
      </c>
      <c r="R185" s="41">
        <f t="shared" si="314"/>
        <v>2.3288551459421467E-2</v>
      </c>
      <c r="S185" s="24">
        <f t="shared" ca="1" si="348"/>
        <v>-3.292055938039077</v>
      </c>
      <c r="T185" s="10">
        <f t="shared" ca="1" si="315"/>
        <v>-3.292055938039077</v>
      </c>
      <c r="U185" s="41">
        <f t="shared" ca="1" si="316"/>
        <v>0.69058866149378584</v>
      </c>
      <c r="V185" s="41">
        <f t="shared" ca="1" si="317"/>
        <v>5.3408794923797458E-2</v>
      </c>
      <c r="W185" s="41">
        <f t="shared" ca="1" si="318"/>
        <v>12.930242340781199</v>
      </c>
      <c r="X185" s="20">
        <f t="shared" ca="1" si="319"/>
        <v>984.2363521160338</v>
      </c>
      <c r="Y185" s="41">
        <f t="shared" si="320"/>
        <v>0.60724149773828728</v>
      </c>
      <c r="Z185" s="41">
        <f t="shared" ca="1" si="321"/>
        <v>151.7011910894204</v>
      </c>
      <c r="AA185" s="14">
        <f t="shared" ca="1" si="322"/>
        <v>985.86323518844893</v>
      </c>
      <c r="AB185" s="14">
        <f t="shared" si="349"/>
        <v>5044.1255207638187</v>
      </c>
      <c r="AC185" s="25">
        <f t="shared" ca="1" si="323"/>
        <v>278805.64388102834</v>
      </c>
      <c r="AD185" s="41">
        <f t="shared" si="324"/>
        <v>1426496.7121575056</v>
      </c>
      <c r="AE185" s="6">
        <v>5</v>
      </c>
      <c r="AF185" s="41">
        <f t="shared" si="325"/>
        <v>252.20627603819094</v>
      </c>
      <c r="AG185" s="41">
        <f t="shared" ca="1" si="326"/>
        <v>4058.2622855753698</v>
      </c>
      <c r="AH185" s="41">
        <f t="shared" ca="1" si="327"/>
        <v>1147691.0682764773</v>
      </c>
      <c r="AI185" s="41">
        <f t="shared" si="328"/>
        <v>191.58761381497024</v>
      </c>
      <c r="AJ185" s="13">
        <f t="shared" ca="1" si="329"/>
        <v>-16.240166548225833</v>
      </c>
      <c r="AK185" s="11"/>
      <c r="AL185" s="6">
        <v>-500</v>
      </c>
      <c r="AM185" s="41">
        <f t="shared" ca="1" si="330"/>
        <v>30.787861597061195</v>
      </c>
      <c r="AN185" s="41">
        <f t="shared" ca="1" si="331"/>
        <v>1.6384924827351426</v>
      </c>
      <c r="AO185" s="41">
        <f t="shared" ca="1" si="332"/>
        <v>1.4306100495017238</v>
      </c>
      <c r="AP185" s="67">
        <f t="shared" si="350"/>
        <v>0.7596464958150313</v>
      </c>
      <c r="AQ185" s="11">
        <f t="shared" si="333"/>
        <v>1.0245548207183759</v>
      </c>
      <c r="AR185" s="11">
        <f t="shared" si="334"/>
        <v>0.86366096855760188</v>
      </c>
      <c r="AS185" s="11">
        <f t="shared" si="335"/>
        <v>0.84296218327491557</v>
      </c>
      <c r="AT185" s="11">
        <f t="shared" si="336"/>
        <v>531.40584886199997</v>
      </c>
      <c r="AU185" s="11">
        <f t="shared" si="337"/>
        <v>1827.6966148809681</v>
      </c>
      <c r="AV185" s="11">
        <f t="shared" si="338"/>
        <v>2.0036368134261468E-3</v>
      </c>
      <c r="AW185" s="11">
        <f t="shared" si="339"/>
        <v>3.8081165225110524E-7</v>
      </c>
      <c r="AX185" s="41">
        <f t="shared" ca="1" si="340"/>
        <v>1.1013725815488939</v>
      </c>
      <c r="AY185" s="41">
        <f t="shared" ca="1" si="341"/>
        <v>1.4835707489208281</v>
      </c>
      <c r="AZ185" s="41">
        <f t="shared" si="342"/>
        <v>0.18464007558156764</v>
      </c>
      <c r="BA185" s="154">
        <f t="shared" si="351"/>
        <v>1.5984533307455222</v>
      </c>
    </row>
    <row r="186" spans="1:53" ht="14.5">
      <c r="A186" s="41">
        <f t="shared" ca="1" si="343"/>
        <v>17378.66953010864</v>
      </c>
      <c r="B186" s="41">
        <f t="shared" ca="1" si="304"/>
        <v>289.64449216847731</v>
      </c>
      <c r="C186" s="41">
        <f t="shared" ca="1" si="304"/>
        <v>4.8274082028079555</v>
      </c>
      <c r="D186" s="41">
        <f t="shared" ca="1" si="344"/>
        <v>12745.81205337048</v>
      </c>
      <c r="E186" s="41">
        <f t="shared" ca="1" si="345"/>
        <v>1016.9071133250383</v>
      </c>
      <c r="F186" s="41">
        <f t="shared" ca="1" si="346"/>
        <v>16.91613391805793</v>
      </c>
      <c r="G186" s="41"/>
      <c r="H186" s="7">
        <f t="shared" si="347"/>
        <v>3500</v>
      </c>
      <c r="I186" s="6">
        <v>15</v>
      </c>
      <c r="J186" s="41">
        <f t="shared" si="306"/>
        <v>0.23712650490201512</v>
      </c>
      <c r="K186" s="41">
        <f t="shared" si="307"/>
        <v>268.41948703143061</v>
      </c>
      <c r="L186" s="6">
        <f t="shared" si="308"/>
        <v>147.25</v>
      </c>
      <c r="M186" s="41">
        <f t="shared" si="309"/>
        <v>159.03425135433014</v>
      </c>
      <c r="N186" s="41">
        <f t="shared" si="310"/>
        <v>73.285354801087564</v>
      </c>
      <c r="O186" s="41">
        <f t="shared" si="311"/>
        <v>1430210.9202603926</v>
      </c>
      <c r="P186" s="41">
        <f t="shared" si="312"/>
        <v>9182959.0946403816</v>
      </c>
      <c r="Q186" s="41">
        <f t="shared" si="313"/>
        <v>3.0291653971443984E-3</v>
      </c>
      <c r="R186" s="41">
        <f t="shared" si="314"/>
        <v>2.3416221232119908E-2</v>
      </c>
      <c r="S186" s="24">
        <f t="shared" ca="1" si="348"/>
        <v>-3.3481797348544453</v>
      </c>
      <c r="T186" s="10">
        <f t="shared" ca="1" si="315"/>
        <v>-3.3481797348544453</v>
      </c>
      <c r="U186" s="41">
        <f t="shared" ca="1" si="316"/>
        <v>0.75488453916600917</v>
      </c>
      <c r="V186" s="41">
        <f t="shared" ca="1" si="317"/>
        <v>5.9406122244963291E-2</v>
      </c>
      <c r="W186" s="41">
        <f t="shared" ca="1" si="318"/>
        <v>12.707184220057581</v>
      </c>
      <c r="X186" s="20">
        <f t="shared" ca="1" si="319"/>
        <v>1001.3277115981505</v>
      </c>
      <c r="Y186" s="41">
        <f t="shared" si="320"/>
        <v>0.60890369692769364</v>
      </c>
      <c r="Z186" s="41">
        <f t="shared" ca="1" si="321"/>
        <v>150.53888206027588</v>
      </c>
      <c r="AA186" s="14">
        <f t="shared" ca="1" si="322"/>
        <v>1003.0398420801934</v>
      </c>
      <c r="AB186" s="14">
        <f t="shared" si="349"/>
        <v>5138.55172245822</v>
      </c>
      <c r="AC186" s="25">
        <f t="shared" ca="1" si="323"/>
        <v>269235.43988325266</v>
      </c>
      <c r="AD186" s="41">
        <f t="shared" si="324"/>
        <v>1379287.4174267096</v>
      </c>
      <c r="AE186" s="6">
        <v>5</v>
      </c>
      <c r="AF186" s="41">
        <f t="shared" si="325"/>
        <v>256.92758612291101</v>
      </c>
      <c r="AG186" s="41">
        <f t="shared" ca="1" si="326"/>
        <v>4135.5118803780269</v>
      </c>
      <c r="AH186" s="41">
        <f t="shared" ca="1" si="327"/>
        <v>1110051.9775434569</v>
      </c>
      <c r="AI186" s="41">
        <f t="shared" si="328"/>
        <v>194.48257502220824</v>
      </c>
      <c r="AJ186" s="13">
        <f t="shared" ca="1" si="329"/>
        <v>-15.676639431801332</v>
      </c>
      <c r="AK186" s="11"/>
      <c r="AL186" s="6">
        <v>-500</v>
      </c>
      <c r="AM186" s="41">
        <f t="shared" ca="1" si="330"/>
        <v>31.894590812984415</v>
      </c>
      <c r="AN186" s="41">
        <f t="shared" ca="1" si="331"/>
        <v>1.7230394862746876</v>
      </c>
      <c r="AO186" s="41">
        <f t="shared" ca="1" si="332"/>
        <v>1.4065761657811255</v>
      </c>
      <c r="AP186" s="67">
        <f t="shared" si="350"/>
        <v>0.7569548212279944</v>
      </c>
      <c r="AQ186" s="11">
        <f t="shared" si="333"/>
        <v>1.0279924957183759</v>
      </c>
      <c r="AR186" s="11">
        <f t="shared" si="334"/>
        <v>0.87982873132974104</v>
      </c>
      <c r="AS186" s="11">
        <f t="shared" si="335"/>
        <v>0.85587077239790943</v>
      </c>
      <c r="AT186" s="11">
        <f t="shared" si="336"/>
        <v>533.18886775424994</v>
      </c>
      <c r="AU186" s="11">
        <f t="shared" si="337"/>
        <v>1861.9111578146244</v>
      </c>
      <c r="AV186" s="11">
        <f t="shared" si="338"/>
        <v>2.0343192389125908E-3</v>
      </c>
      <c r="AW186" s="11">
        <f t="shared" si="339"/>
        <v>3.8179748093915456E-7</v>
      </c>
      <c r="AX186" s="41">
        <f t="shared" ca="1" si="340"/>
        <v>1.0597327909054242</v>
      </c>
      <c r="AY186" s="41">
        <f t="shared" ca="1" si="341"/>
        <v>1.4274811236434655</v>
      </c>
      <c r="AZ186" s="41">
        <f t="shared" si="342"/>
        <v>0.17536572456769045</v>
      </c>
      <c r="BA186" s="154">
        <f t="shared" si="351"/>
        <v>1.5905976512375601</v>
      </c>
    </row>
    <row r="187" spans="1:53" ht="14.5">
      <c r="A187" s="41">
        <f t="shared" ca="1" si="343"/>
        <v>17410.564120921623</v>
      </c>
      <c r="B187" s="41">
        <f t="shared" ca="1" si="304"/>
        <v>290.17606868202705</v>
      </c>
      <c r="C187" s="41">
        <f t="shared" ca="1" si="304"/>
        <v>4.8362678113671178</v>
      </c>
      <c r="D187" s="41">
        <f t="shared" ca="1" si="344"/>
        <v>12744.089013884206</v>
      </c>
      <c r="E187" s="41">
        <f t="shared" ca="1" si="345"/>
        <v>1018.3136894908193</v>
      </c>
      <c r="F187" s="41">
        <f t="shared" ca="1" si="346"/>
        <v>18.322710083839056</v>
      </c>
      <c r="G187" s="41"/>
      <c r="H187" s="7">
        <f t="shared" si="347"/>
        <v>3000</v>
      </c>
      <c r="I187" s="6">
        <v>15</v>
      </c>
      <c r="J187" s="41">
        <f t="shared" si="306"/>
        <v>0.22421769559052301</v>
      </c>
      <c r="K187" s="41">
        <f t="shared" si="307"/>
        <v>254.23115471050798</v>
      </c>
      <c r="L187" s="6">
        <f t="shared" si="308"/>
        <v>140.5</v>
      </c>
      <c r="M187" s="41">
        <f t="shared" si="309"/>
        <v>150.6278914675006</v>
      </c>
      <c r="N187" s="41">
        <f t="shared" si="310"/>
        <v>66.745699407442785</v>
      </c>
      <c r="O187" s="41">
        <f t="shared" si="311"/>
        <v>1371744.832529926</v>
      </c>
      <c r="P187" s="41">
        <f t="shared" si="312"/>
        <v>8807565.72821665</v>
      </c>
      <c r="Q187" s="41">
        <f t="shared" si="313"/>
        <v>3.0512935021484249E-3</v>
      </c>
      <c r="R187" s="41">
        <f t="shared" si="314"/>
        <v>2.3550752043011217E-2</v>
      </c>
      <c r="S187" s="24">
        <f t="shared" ca="1" si="348"/>
        <v>-3.4440077833663931</v>
      </c>
      <c r="T187" s="10">
        <f t="shared" ca="1" si="315"/>
        <v>-3.4440077833663931</v>
      </c>
      <c r="U187" s="41">
        <f t="shared" ca="1" si="316"/>
        <v>0.82865283195336858</v>
      </c>
      <c r="V187" s="41">
        <f t="shared" ca="1" si="317"/>
        <v>6.6918296133059565E-2</v>
      </c>
      <c r="W187" s="41">
        <f t="shared" ca="1" si="318"/>
        <v>12.383053362651149</v>
      </c>
      <c r="X187" s="20">
        <f t="shared" ca="1" si="319"/>
        <v>1027.29695006775</v>
      </c>
      <c r="Y187" s="41">
        <f t="shared" si="320"/>
        <v>0.61065032777227568</v>
      </c>
      <c r="Z187" s="41">
        <f t="shared" ca="1" si="321"/>
        <v>149.3858486466072</v>
      </c>
      <c r="AA187" s="14">
        <f t="shared" ca="1" si="322"/>
        <v>1029.1556242761569</v>
      </c>
      <c r="AB187" s="14">
        <f t="shared" si="349"/>
        <v>5234.4042087224379</v>
      </c>
      <c r="AC187" s="25">
        <f t="shared" ca="1" si="323"/>
        <v>261643.42273654108</v>
      </c>
      <c r="AD187" s="41">
        <f t="shared" si="324"/>
        <v>1330748.6262050483</v>
      </c>
      <c r="AE187" s="6">
        <v>5</v>
      </c>
      <c r="AF187" s="41">
        <f t="shared" si="325"/>
        <v>261.72021043612193</v>
      </c>
      <c r="AG187" s="41">
        <f t="shared" ca="1" si="326"/>
        <v>4205.2485844462808</v>
      </c>
      <c r="AH187" s="41">
        <f t="shared" ca="1" si="327"/>
        <v>1069105.2034685072</v>
      </c>
      <c r="AI187" s="41">
        <f t="shared" si="328"/>
        <v>197.4099040127582</v>
      </c>
      <c r="AJ187" s="13">
        <f t="shared" ca="1" si="329"/>
        <v>-15.272449707782869</v>
      </c>
      <c r="AK187" s="11"/>
      <c r="AL187" s="6">
        <v>-500</v>
      </c>
      <c r="AM187" s="41">
        <f t="shared" ca="1" si="330"/>
        <v>32.738690227619415</v>
      </c>
      <c r="AN187" s="41">
        <f t="shared" ca="1" si="331"/>
        <v>1.7952615820382707</v>
      </c>
      <c r="AO187" s="41">
        <f t="shared" ca="1" si="332"/>
        <v>1.3673482640802124</v>
      </c>
      <c r="AP187" s="67">
        <f t="shared" si="350"/>
        <v>0.75427840931275747</v>
      </c>
      <c r="AQ187" s="11">
        <f t="shared" si="333"/>
        <v>1.0314301707183759</v>
      </c>
      <c r="AR187" s="11">
        <f t="shared" si="334"/>
        <v>0.8962407041850623</v>
      </c>
      <c r="AS187" s="11">
        <f t="shared" si="335"/>
        <v>0.86893008332386068</v>
      </c>
      <c r="AT187" s="11">
        <f t="shared" si="336"/>
        <v>534.97188664650002</v>
      </c>
      <c r="AU187" s="11">
        <f t="shared" si="337"/>
        <v>1896.6425030105124</v>
      </c>
      <c r="AV187" s="11">
        <f t="shared" si="338"/>
        <v>2.0653599150524844E-3</v>
      </c>
      <c r="AW187" s="11">
        <f t="shared" si="339"/>
        <v>3.8278171249107636E-7</v>
      </c>
      <c r="AX187" s="41">
        <f t="shared" ca="1" si="340"/>
        <v>1.0274168466566345</v>
      </c>
      <c r="AY187" s="41">
        <f t="shared" ca="1" si="341"/>
        <v>1.3839509047017182</v>
      </c>
      <c r="AZ187" s="41">
        <f t="shared" si="342"/>
        <v>0.16616312013331186</v>
      </c>
      <c r="BA187" s="154">
        <f t="shared" si="351"/>
        <v>1.582687142023385</v>
      </c>
    </row>
    <row r="188" spans="1:53" ht="14.5">
      <c r="A188" s="41">
        <f t="shared" ca="1" si="343"/>
        <v>17443.302811149242</v>
      </c>
      <c r="B188" s="41">
        <f t="shared" ca="1" si="304"/>
        <v>290.72171351915404</v>
      </c>
      <c r="C188" s="41">
        <f t="shared" ca="1" si="304"/>
        <v>4.8453618919859007</v>
      </c>
      <c r="D188" s="41">
        <f t="shared" ca="1" si="344"/>
        <v>12742.293752302168</v>
      </c>
      <c r="E188" s="41">
        <f t="shared" ca="1" si="345"/>
        <v>1019.6810377548995</v>
      </c>
      <c r="F188" s="41">
        <f t="shared" ca="1" si="346"/>
        <v>19.690058347919269</v>
      </c>
      <c r="G188" s="41"/>
      <c r="H188" s="7">
        <f t="shared" si="347"/>
        <v>2500</v>
      </c>
      <c r="I188" s="6">
        <v>15</v>
      </c>
      <c r="J188" s="41">
        <f t="shared" si="306"/>
        <v>0.21152345762246658</v>
      </c>
      <c r="K188" s="41">
        <f t="shared" si="307"/>
        <v>240.23703177983501</v>
      </c>
      <c r="L188" s="6">
        <f t="shared" si="308"/>
        <v>133.75</v>
      </c>
      <c r="M188" s="41">
        <f t="shared" si="309"/>
        <v>142.33659753704376</v>
      </c>
      <c r="N188" s="41">
        <f t="shared" si="310"/>
        <v>60.506076540433355</v>
      </c>
      <c r="O188" s="41">
        <f t="shared" si="311"/>
        <v>1312575.8301303519</v>
      </c>
      <c r="P188" s="41">
        <f t="shared" si="312"/>
        <v>8427659.1556902416</v>
      </c>
      <c r="Q188" s="41">
        <f t="shared" si="313"/>
        <v>3.0746880088716958E-3</v>
      </c>
      <c r="R188" s="41">
        <f t="shared" si="314"/>
        <v>2.3692982114646866E-2</v>
      </c>
      <c r="S188" s="24">
        <f t="shared" ca="1" si="348"/>
        <v>-3.5865840666606439</v>
      </c>
      <c r="T188" s="10">
        <f t="shared" ca="1" si="315"/>
        <v>-3.5865840666606439</v>
      </c>
      <c r="U188" s="41">
        <f t="shared" ca="1" si="316"/>
        <v>0.91383827218309432</v>
      </c>
      <c r="V188" s="41">
        <f t="shared" ca="1" si="317"/>
        <v>7.6435186353321874E-2</v>
      </c>
      <c r="W188" s="41">
        <f t="shared" ca="1" si="318"/>
        <v>11.955727666560191</v>
      </c>
      <c r="X188" s="20">
        <f t="shared" ca="1" si="319"/>
        <v>1063.7024442515674</v>
      </c>
      <c r="Y188" s="41">
        <f t="shared" si="320"/>
        <v>0.61249150255914986</v>
      </c>
      <c r="Z188" s="41">
        <f t="shared" ca="1" si="321"/>
        <v>148.2412279623999</v>
      </c>
      <c r="AA188" s="14">
        <f t="shared" ca="1" si="322"/>
        <v>1065.7898964980591</v>
      </c>
      <c r="AB188" s="14">
        <f t="shared" si="349"/>
        <v>5331.6994032193461</v>
      </c>
      <c r="AC188" s="25">
        <f t="shared" ca="1" si="323"/>
        <v>256042.20123563128</v>
      </c>
      <c r="AD188" s="41">
        <f t="shared" si="324"/>
        <v>1280871.6389717334</v>
      </c>
      <c r="AE188" s="6">
        <v>5</v>
      </c>
      <c r="AF188" s="41">
        <f t="shared" si="325"/>
        <v>266.58497016096732</v>
      </c>
      <c r="AG188" s="41">
        <f t="shared" ca="1" si="326"/>
        <v>4265.9095067212875</v>
      </c>
      <c r="AH188" s="41">
        <f t="shared" ca="1" si="327"/>
        <v>1024829.4377361021</v>
      </c>
      <c r="AI188" s="41">
        <f t="shared" si="328"/>
        <v>200.37007375908635</v>
      </c>
      <c r="AJ188" s="13">
        <f t="shared" ca="1" si="329"/>
        <v>-15.028466591485323</v>
      </c>
      <c r="AK188" s="11"/>
      <c r="AL188" s="6">
        <v>-500</v>
      </c>
      <c r="AM188" s="41">
        <f t="shared" ca="1" si="330"/>
        <v>33.270194065127377</v>
      </c>
      <c r="AN188" s="41">
        <f t="shared" ca="1" si="331"/>
        <v>1.8517642330024138</v>
      </c>
      <c r="AO188" s="41">
        <f t="shared" ca="1" si="332"/>
        <v>1.3128586554741899</v>
      </c>
      <c r="AP188" s="67">
        <f t="shared" si="350"/>
        <v>0.75161804372579755</v>
      </c>
      <c r="AQ188" s="11">
        <f t="shared" si="333"/>
        <v>1.0348678457183758</v>
      </c>
      <c r="AR188" s="11">
        <f t="shared" si="334"/>
        <v>0.91289969920199743</v>
      </c>
      <c r="AS188" s="11">
        <f t="shared" si="335"/>
        <v>0.88214133135839046</v>
      </c>
      <c r="AT188" s="11">
        <f t="shared" si="336"/>
        <v>536.75490553874988</v>
      </c>
      <c r="AU188" s="11">
        <f t="shared" si="337"/>
        <v>1931.8966014452508</v>
      </c>
      <c r="AV188" s="11">
        <f t="shared" si="338"/>
        <v>2.0967617305057583E-3</v>
      </c>
      <c r="AW188" s="11">
        <f t="shared" si="339"/>
        <v>3.8376435320786708E-7</v>
      </c>
      <c r="AX188" s="41">
        <f t="shared" ca="1" si="340"/>
        <v>1.0065188262413813</v>
      </c>
      <c r="AY188" s="41">
        <f t="shared" ca="1" si="341"/>
        <v>1.3558008560099137</v>
      </c>
      <c r="AZ188" s="41">
        <f t="shared" si="342"/>
        <v>0.15703450446926603</v>
      </c>
      <c r="BA188" s="154">
        <f t="shared" si="351"/>
        <v>1.5747229161776151</v>
      </c>
    </row>
    <row r="189" spans="1:53" ht="14.5">
      <c r="A189" s="41">
        <f t="shared" ca="1" si="343"/>
        <v>17476.57300521437</v>
      </c>
      <c r="B189" s="41">
        <f t="shared" ref="B189:C193" ca="1" si="352">A189/60</f>
        <v>291.27621675357284</v>
      </c>
      <c r="C189" s="41">
        <f t="shared" ca="1" si="352"/>
        <v>4.8546036125595471</v>
      </c>
      <c r="D189" s="41">
        <f t="shared" ca="1" si="344"/>
        <v>12740.441988069166</v>
      </c>
      <c r="E189" s="41">
        <f t="shared" ca="1" si="345"/>
        <v>1020.9938964103737</v>
      </c>
      <c r="F189" s="41">
        <f t="shared" ca="1" si="346"/>
        <v>21.00291700339346</v>
      </c>
      <c r="G189" s="41"/>
      <c r="H189" s="7">
        <f t="shared" si="347"/>
        <v>2000</v>
      </c>
      <c r="I189" s="6">
        <v>15</v>
      </c>
      <c r="J189" s="41">
        <f t="shared" si="306"/>
        <v>0.19904116574996886</v>
      </c>
      <c r="K189" s="41">
        <f t="shared" si="307"/>
        <v>226.43547001726137</v>
      </c>
      <c r="L189" s="6">
        <f t="shared" si="308"/>
        <v>127</v>
      </c>
      <c r="M189" s="41">
        <f t="shared" si="309"/>
        <v>134.15939301770709</v>
      </c>
      <c r="N189" s="41">
        <f t="shared" si="310"/>
        <v>54.568020981478966</v>
      </c>
      <c r="O189" s="41">
        <f t="shared" si="311"/>
        <v>1252709.279576628</v>
      </c>
      <c r="P189" s="41">
        <f t="shared" si="312"/>
        <v>8043273.8338581463</v>
      </c>
      <c r="Q189" s="41">
        <f t="shared" si="313"/>
        <v>3.0995096179692295E-3</v>
      </c>
      <c r="R189" s="41">
        <f t="shared" si="314"/>
        <v>2.3843888448420621E-2</v>
      </c>
      <c r="S189" s="24">
        <f t="shared" ca="1" si="348"/>
        <v>-3.7848044401065697</v>
      </c>
      <c r="T189" s="10">
        <f t="shared" ca="1" si="315"/>
        <v>-3.7848044401065697</v>
      </c>
      <c r="U189" s="41">
        <f t="shared" ca="1" si="316"/>
        <v>1.0129085307056136</v>
      </c>
      <c r="V189" s="41">
        <f t="shared" ca="1" si="317"/>
        <v>8.8641656720652232E-2</v>
      </c>
      <c r="W189" s="41">
        <f t="shared" ca="1" si="318"/>
        <v>11.427003602806314</v>
      </c>
      <c r="X189" s="20">
        <f t="shared" ca="1" si="319"/>
        <v>1112.5099502660896</v>
      </c>
      <c r="Y189" s="41">
        <f t="shared" si="320"/>
        <v>0.61443895978702934</v>
      </c>
      <c r="Z189" s="41">
        <f t="shared" ca="1" si="321"/>
        <v>147.1038202849895</v>
      </c>
      <c r="AA189" s="14">
        <f t="shared" ca="1" si="322"/>
        <v>1114.9416269493684</v>
      </c>
      <c r="AB189" s="14">
        <f t="shared" si="349"/>
        <v>5430.4538601880595</v>
      </c>
      <c r="AC189" s="25">
        <f t="shared" ca="1" si="323"/>
        <v>252462.33134009031</v>
      </c>
      <c r="AD189" s="41">
        <f t="shared" si="324"/>
        <v>1229647.3722387345</v>
      </c>
      <c r="AE189" s="6">
        <v>5</v>
      </c>
      <c r="AF189" s="41">
        <f t="shared" si="325"/>
        <v>271.52269300940299</v>
      </c>
      <c r="AG189" s="41">
        <f t="shared" ca="1" si="326"/>
        <v>4315.5122332386909</v>
      </c>
      <c r="AH189" s="41">
        <f t="shared" ca="1" si="327"/>
        <v>977185.04089864413</v>
      </c>
      <c r="AI189" s="41">
        <f t="shared" si="328"/>
        <v>203.36356210478311</v>
      </c>
      <c r="AJ189" s="13">
        <f t="shared" ca="1" si="329"/>
        <v>-14.946839760643597</v>
      </c>
      <c r="AK189" s="11"/>
      <c r="AL189" s="6">
        <v>-500</v>
      </c>
      <c r="AM189" s="41">
        <f t="shared" ca="1" si="330"/>
        <v>33.451887355917599</v>
      </c>
      <c r="AN189" s="41">
        <f t="shared" ca="1" si="331"/>
        <v>1.8896930477298213</v>
      </c>
      <c r="AO189" s="41">
        <f t="shared" ca="1" si="332"/>
        <v>1.2439157973031056</v>
      </c>
      <c r="AP189" s="67">
        <f t="shared" si="350"/>
        <v>0.7489744590067855</v>
      </c>
      <c r="AQ189" s="11">
        <f t="shared" si="333"/>
        <v>1.0383055207183758</v>
      </c>
      <c r="AR189" s="11">
        <f t="shared" si="334"/>
        <v>0.92980855081639258</v>
      </c>
      <c r="AS189" s="11">
        <f t="shared" si="335"/>
        <v>0.89550573724493243</v>
      </c>
      <c r="AT189" s="11">
        <f t="shared" si="336"/>
        <v>538.53792443099996</v>
      </c>
      <c r="AU189" s="11">
        <f t="shared" si="337"/>
        <v>1967.6794514086662</v>
      </c>
      <c r="AV189" s="11">
        <f t="shared" si="338"/>
        <v>2.12852758685748E-3</v>
      </c>
      <c r="AW189" s="11">
        <f t="shared" si="339"/>
        <v>3.8474540935600882E-7</v>
      </c>
      <c r="AX189" s="41">
        <f t="shared" ca="1" si="340"/>
        <v>1.0001378791680242</v>
      </c>
      <c r="AY189" s="41">
        <f t="shared" ca="1" si="341"/>
        <v>1.3472055935283187</v>
      </c>
      <c r="AZ189" s="41">
        <f t="shared" si="342"/>
        <v>0.14798193702758941</v>
      </c>
      <c r="BA189" s="154">
        <f t="shared" si="351"/>
        <v>1.5667061282110448</v>
      </c>
    </row>
    <row r="190" spans="1:53" ht="14.5">
      <c r="A190" s="41">
        <f t="shared" ca="1" si="343"/>
        <v>17510.024892570287</v>
      </c>
      <c r="B190" s="41">
        <f t="shared" ca="1" si="352"/>
        <v>291.83374820950479</v>
      </c>
      <c r="C190" s="41">
        <f t="shared" ca="1" si="352"/>
        <v>4.8638958034917463</v>
      </c>
      <c r="D190" s="41">
        <f t="shared" ca="1" si="344"/>
        <v>12738.552295021436</v>
      </c>
      <c r="E190" s="41">
        <f t="shared" ca="1" si="345"/>
        <v>1022.2378122076768</v>
      </c>
      <c r="F190" s="41">
        <f t="shared" ca="1" si="346"/>
        <v>22.246832800696566</v>
      </c>
      <c r="G190" s="41"/>
      <c r="H190" s="7">
        <f t="shared" si="347"/>
        <v>1500</v>
      </c>
      <c r="I190" s="6">
        <v>15</v>
      </c>
      <c r="J190" s="41">
        <f t="shared" si="306"/>
        <v>0.18676813019515714</v>
      </c>
      <c r="K190" s="41">
        <f t="shared" si="307"/>
        <v>212.82472306082803</v>
      </c>
      <c r="L190" s="6">
        <f t="shared" si="308"/>
        <v>120.25</v>
      </c>
      <c r="M190" s="41">
        <f t="shared" si="309"/>
        <v>126.09524321797164</v>
      </c>
      <c r="N190" s="41">
        <f t="shared" si="310"/>
        <v>48.932867933134631</v>
      </c>
      <c r="O190" s="41">
        <f t="shared" si="311"/>
        <v>1192150.0692978653</v>
      </c>
      <c r="P190" s="41">
        <f t="shared" si="312"/>
        <v>7654441.149870282</v>
      </c>
      <c r="Q190" s="41">
        <f t="shared" si="313"/>
        <v>3.1259472031251599E-3</v>
      </c>
      <c r="R190" s="41">
        <f t="shared" si="314"/>
        <v>2.400461932747186E-2</v>
      </c>
      <c r="S190" s="24">
        <f t="shared" ca="1" si="348"/>
        <v>-4.0500308362613815</v>
      </c>
      <c r="T190" s="10">
        <f t="shared" ca="1" si="315"/>
        <v>-4.0500308362613815</v>
      </c>
      <c r="U190" s="41">
        <f t="shared" ca="1" si="316"/>
        <v>1.1290304975215104</v>
      </c>
      <c r="V190" s="41">
        <f t="shared" ca="1" si="317"/>
        <v>0.10451111770711581</v>
      </c>
      <c r="W190" s="41">
        <f t="shared" ca="1" si="318"/>
        <v>10.802970270450361</v>
      </c>
      <c r="X190" s="20">
        <f t="shared" ca="1" si="319"/>
        <v>1176.2266056705148</v>
      </c>
      <c r="Y190" s="41">
        <f t="shared" si="320"/>
        <v>0.61650643799256633</v>
      </c>
      <c r="Z190" s="41">
        <f t="shared" ca="1" si="321"/>
        <v>145.971910691098</v>
      </c>
      <c r="AA190" s="14">
        <f t="shared" ca="1" si="322"/>
        <v>1179.1712812415601</v>
      </c>
      <c r="AB190" s="14">
        <f t="shared" si="349"/>
        <v>5530.6842650198869</v>
      </c>
      <c r="AC190" s="25">
        <f t="shared" ca="1" si="323"/>
        <v>250956.80137151681</v>
      </c>
      <c r="AD190" s="41">
        <f t="shared" si="324"/>
        <v>1177066.3470397366</v>
      </c>
      <c r="AE190" s="6">
        <v>5</v>
      </c>
      <c r="AF190" s="41">
        <f t="shared" si="325"/>
        <v>276.53421325099436</v>
      </c>
      <c r="AG190" s="41">
        <f t="shared" ca="1" si="326"/>
        <v>4351.512983778327</v>
      </c>
      <c r="AH190" s="41">
        <f t="shared" ca="1" si="327"/>
        <v>926109.5456682198</v>
      </c>
      <c r="AI190" s="41">
        <f t="shared" si="328"/>
        <v>206.39085144926693</v>
      </c>
      <c r="AJ190" s="13">
        <f t="shared" ca="1" si="329"/>
        <v>-15.031282976437792</v>
      </c>
      <c r="AK190" s="11"/>
      <c r="AL190" s="6">
        <v>-500</v>
      </c>
      <c r="AM190" s="41">
        <f t="shared" ca="1" si="330"/>
        <v>33.263960287606345</v>
      </c>
      <c r="AN190" s="41">
        <f t="shared" ca="1" si="331"/>
        <v>1.9070491906482432</v>
      </c>
      <c r="AO190" s="41">
        <f t="shared" ca="1" si="332"/>
        <v>1.1622090735779833</v>
      </c>
      <c r="AP190" s="67">
        <f t="shared" si="350"/>
        <v>0.746348341577314</v>
      </c>
      <c r="AQ190" s="11">
        <f t="shared" si="333"/>
        <v>1.0417431957183758</v>
      </c>
      <c r="AR190" s="11">
        <f t="shared" si="334"/>
        <v>0.94697011592012315</v>
      </c>
      <c r="AS190" s="11">
        <f t="shared" si="335"/>
        <v>0.9090245271696753</v>
      </c>
      <c r="AT190" s="11">
        <f t="shared" si="336"/>
        <v>540.32094332324994</v>
      </c>
      <c r="AU190" s="11">
        <f t="shared" si="337"/>
        <v>2003.9970987124827</v>
      </c>
      <c r="AV190" s="11">
        <f t="shared" si="338"/>
        <v>2.1606603986296011E-3</v>
      </c>
      <c r="AW190" s="11">
        <f t="shared" si="339"/>
        <v>3.8572488716766502E-7</v>
      </c>
      <c r="AX190" s="41">
        <f t="shared" ca="1" si="340"/>
        <v>1.0130281728864263</v>
      </c>
      <c r="AY190" s="41">
        <f t="shared" ca="1" si="341"/>
        <v>1.364569075265557</v>
      </c>
      <c r="AZ190" s="41">
        <f t="shared" si="342"/>
        <v>0.13900730013805201</v>
      </c>
      <c r="BA190" s="154">
        <f t="shared" si="351"/>
        <v>1.5586379742685881</v>
      </c>
    </row>
    <row r="191" spans="1:53" ht="14.5">
      <c r="A191" s="41">
        <f t="shared" ca="1" si="343"/>
        <v>17543.288852857895</v>
      </c>
      <c r="B191" s="41">
        <f t="shared" ca="1" si="352"/>
        <v>292.3881475476316</v>
      </c>
      <c r="C191" s="41">
        <f t="shared" ca="1" si="352"/>
        <v>4.873135792460527</v>
      </c>
      <c r="D191" s="41">
        <f t="shared" ca="1" si="344"/>
        <v>12736.645245830789</v>
      </c>
      <c r="E191" s="41">
        <f t="shared" ca="1" si="345"/>
        <v>1023.4000212812548</v>
      </c>
      <c r="F191" s="41">
        <f t="shared" ca="1" si="346"/>
        <v>23.40904187427455</v>
      </c>
      <c r="G191" s="41"/>
      <c r="H191" s="7">
        <f t="shared" si="347"/>
        <v>1000</v>
      </c>
      <c r="I191" s="6">
        <v>15</v>
      </c>
      <c r="J191" s="41">
        <f t="shared" si="306"/>
        <v>0.17470160340537047</v>
      </c>
      <c r="K191" s="41">
        <f t="shared" si="307"/>
        <v>199.40295363612486</v>
      </c>
      <c r="L191" s="6">
        <f t="shared" si="308"/>
        <v>113.5</v>
      </c>
      <c r="M191" s="41">
        <f t="shared" si="309"/>
        <v>118.14305958214581</v>
      </c>
      <c r="N191" s="41">
        <f t="shared" si="310"/>
        <v>43.601768748046453</v>
      </c>
      <c r="O191" s="41">
        <f t="shared" si="311"/>
        <v>1130902.6123021718</v>
      </c>
      <c r="P191" s="41">
        <f t="shared" si="312"/>
        <v>7261189.4383396497</v>
      </c>
      <c r="Q191" s="41">
        <f t="shared" si="313"/>
        <v>3.1542247951163475E-3</v>
      </c>
      <c r="R191" s="41">
        <f t="shared" si="314"/>
        <v>2.4176536777246068E-2</v>
      </c>
      <c r="S191" s="24">
        <f t="shared" ca="1" si="348"/>
        <v>-4.396948032024329</v>
      </c>
      <c r="T191" s="10">
        <f t="shared" ca="1" si="315"/>
        <v>-4.396948032024329</v>
      </c>
      <c r="U191" s="41">
        <f t="shared" ca="1" si="316"/>
        <v>1.2663187150114839</v>
      </c>
      <c r="V191" s="41">
        <f t="shared" ca="1" si="317"/>
        <v>0.12545232725861413</v>
      </c>
      <c r="W191" s="41">
        <f t="shared" ca="1" si="318"/>
        <v>10.094023304972469</v>
      </c>
      <c r="X191" s="20">
        <f t="shared" ca="1" si="319"/>
        <v>1258.0869732678975</v>
      </c>
      <c r="Y191" s="41">
        <f t="shared" si="320"/>
        <v>0.61871016223781561</v>
      </c>
      <c r="Z191" s="41">
        <f t="shared" ca="1" si="321"/>
        <v>144.84298913569103</v>
      </c>
      <c r="AA191" s="14">
        <f t="shared" ca="1" si="322"/>
        <v>1261.8006577770159</v>
      </c>
      <c r="AB191" s="14">
        <f t="shared" si="349"/>
        <v>5632.4074348348286</v>
      </c>
      <c r="AC191" s="25">
        <f t="shared" ca="1" si="323"/>
        <v>251606.77806074216</v>
      </c>
      <c r="AD191" s="41">
        <f t="shared" si="324"/>
        <v>1123118.6785881342</v>
      </c>
      <c r="AE191" s="6">
        <v>5</v>
      </c>
      <c r="AF191" s="41">
        <f t="shared" si="325"/>
        <v>281.62037174174145</v>
      </c>
      <c r="AG191" s="41">
        <f t="shared" ca="1" si="326"/>
        <v>4370.6067770578129</v>
      </c>
      <c r="AH191" s="41">
        <f t="shared" ca="1" si="327"/>
        <v>871511.90052739205</v>
      </c>
      <c r="AI191" s="41">
        <f t="shared" si="328"/>
        <v>209.45242844559579</v>
      </c>
      <c r="AJ191" s="13">
        <f t="shared" ca="1" si="329"/>
        <v>-15.287410516131075</v>
      </c>
      <c r="AK191" s="11"/>
      <c r="AL191" s="6">
        <v>-500</v>
      </c>
      <c r="AM191" s="41">
        <f t="shared" ca="1" si="330"/>
        <v>32.706650970902267</v>
      </c>
      <c r="AN191" s="41">
        <f t="shared" ca="1" si="331"/>
        <v>1.9029131867161064</v>
      </c>
      <c r="AO191" s="41">
        <f t="shared" ca="1" si="332"/>
        <v>1.070192012853187</v>
      </c>
      <c r="AP191" s="67">
        <f t="shared" si="350"/>
        <v>0.74374033082263336</v>
      </c>
      <c r="AQ191" s="11">
        <f t="shared" si="333"/>
        <v>1.0451808707183758</v>
      </c>
      <c r="AR191" s="11">
        <f t="shared" si="334"/>
        <v>0.96438727395980217</v>
      </c>
      <c r="AS191" s="11">
        <f t="shared" si="335"/>
        <v>0.92269893276649573</v>
      </c>
      <c r="AT191" s="11">
        <f t="shared" si="336"/>
        <v>542.10396221549991</v>
      </c>
      <c r="AU191" s="11">
        <f t="shared" si="337"/>
        <v>2040.8556368992124</v>
      </c>
      <c r="AV191" s="11">
        <f t="shared" si="338"/>
        <v>2.1931630932926836E-3</v>
      </c>
      <c r="AW191" s="11">
        <f t="shared" si="339"/>
        <v>3.8670279284088386E-7</v>
      </c>
      <c r="AX191" s="41">
        <f t="shared" ca="1" si="340"/>
        <v>1.052781433616611</v>
      </c>
      <c r="AY191" s="41">
        <f t="shared" ca="1" si="341"/>
        <v>1.418117507268998</v>
      </c>
      <c r="AZ191" s="41">
        <f t="shared" si="342"/>
        <v>0.13011230480295563</v>
      </c>
      <c r="BA191" s="154">
        <f t="shared" si="351"/>
        <v>1.5505196922979385</v>
      </c>
    </row>
    <row r="192" spans="1:53" ht="14.5">
      <c r="A192" s="41">
        <f t="shared" ca="1" si="343"/>
        <v>17575.995503828799</v>
      </c>
      <c r="B192" s="41">
        <f t="shared" ca="1" si="352"/>
        <v>292.93325839714663</v>
      </c>
      <c r="C192" s="41">
        <f t="shared" ca="1" si="352"/>
        <v>4.8822209732857775</v>
      </c>
      <c r="D192" s="41">
        <f t="shared" ca="1" si="344"/>
        <v>12734.742332644073</v>
      </c>
      <c r="E192" s="41">
        <f t="shared" ca="1" si="345"/>
        <v>1024.4702132941079</v>
      </c>
      <c r="F192" s="41">
        <f t="shared" ca="1" si="346"/>
        <v>24.479233887127737</v>
      </c>
      <c r="G192" s="41"/>
      <c r="H192" s="7">
        <f t="shared" si="347"/>
        <v>500</v>
      </c>
      <c r="I192" s="6">
        <v>15</v>
      </c>
      <c r="J192" s="41">
        <f t="shared" si="306"/>
        <v>0.16283878659808471</v>
      </c>
      <c r="K192" s="41">
        <f t="shared" si="307"/>
        <v>186.16824062091425</v>
      </c>
      <c r="L192" s="6">
        <f t="shared" si="308"/>
        <v>106.75</v>
      </c>
      <c r="M192" s="41">
        <f t="shared" si="309"/>
        <v>110.30170387604176</v>
      </c>
      <c r="N192" s="41">
        <f t="shared" si="310"/>
        <v>38.575706283761228</v>
      </c>
      <c r="O192" s="41">
        <f t="shared" si="311"/>
        <v>1068970.8499418306</v>
      </c>
      <c r="P192" s="41">
        <f t="shared" si="312"/>
        <v>6863544.0055174343</v>
      </c>
      <c r="Q192" s="41">
        <f t="shared" si="313"/>
        <v>3.1846108376180683E-3</v>
      </c>
      <c r="R192" s="41">
        <f t="shared" si="314"/>
        <v>2.4361272837418887E-2</v>
      </c>
      <c r="S192" s="24">
        <f t="shared" ca="1" si="348"/>
        <v>-4.8447731473437816</v>
      </c>
      <c r="T192" s="10">
        <f t="shared" ca="1" si="315"/>
        <v>-4.8447731473437816</v>
      </c>
      <c r="U192" s="41">
        <f t="shared" ca="1" si="316"/>
        <v>1.4301908628684123</v>
      </c>
      <c r="V192" s="41">
        <f t="shared" ca="1" si="317"/>
        <v>0.15354493414124476</v>
      </c>
      <c r="W192" s="41">
        <f t="shared" ca="1" si="318"/>
        <v>9.3144776860745608</v>
      </c>
      <c r="X192" s="20">
        <f t="shared" ca="1" si="319"/>
        <v>1362.3139845821875</v>
      </c>
      <c r="Y192" s="41">
        <f t="shared" si="320"/>
        <v>0.62106948622660896</v>
      </c>
      <c r="Z192" s="41">
        <f t="shared" ca="1" si="321"/>
        <v>143.71330372070344</v>
      </c>
      <c r="AA192" s="14">
        <f t="shared" ca="1" si="322"/>
        <v>1367.1987589473661</v>
      </c>
      <c r="AB192" s="14">
        <f t="shared" si="349"/>
        <v>5735.6403190585688</v>
      </c>
      <c r="AC192" s="25">
        <f t="shared" ca="1" si="323"/>
        <v>254528.98753232858</v>
      </c>
      <c r="AD192" s="41">
        <f t="shared" si="324"/>
        <v>1067794.067033513</v>
      </c>
      <c r="AE192" s="6">
        <v>5</v>
      </c>
      <c r="AF192" s="41">
        <f t="shared" si="325"/>
        <v>286.78201595292848</v>
      </c>
      <c r="AG192" s="41">
        <f t="shared" ca="1" si="326"/>
        <v>4368.4415601112032</v>
      </c>
      <c r="AH192" s="41">
        <f t="shared" ca="1" si="327"/>
        <v>813265.0795011844</v>
      </c>
      <c r="AI192" s="41">
        <f t="shared" si="328"/>
        <v>212.54878371165955</v>
      </c>
      <c r="AJ192" s="13">
        <f t="shared" ca="1" si="329"/>
        <v>-15.723120978898077</v>
      </c>
      <c r="AK192" s="11"/>
      <c r="AL192" s="6">
        <v>-500</v>
      </c>
      <c r="AM192" s="41">
        <f t="shared" ca="1" si="330"/>
        <v>31.800302285471666</v>
      </c>
      <c r="AN192" s="41">
        <f t="shared" ca="1" si="331"/>
        <v>1.8775321034555863</v>
      </c>
      <c r="AO192" s="41">
        <f t="shared" ca="1" si="332"/>
        <v>0.97085982071686638</v>
      </c>
      <c r="AP192" s="67">
        <f t="shared" si="350"/>
        <v>0.7411510202457976</v>
      </c>
      <c r="AQ192" s="11">
        <f t="shared" si="333"/>
        <v>1.0486185457183759</v>
      </c>
      <c r="AR192" s="11">
        <f t="shared" si="334"/>
        <v>0.9820629270355743</v>
      </c>
      <c r="AS192" s="11">
        <f t="shared" si="335"/>
        <v>0.93653019112187608</v>
      </c>
      <c r="AT192" s="11">
        <f t="shared" si="336"/>
        <v>543.88698110774999</v>
      </c>
      <c r="AU192" s="11">
        <f t="shared" si="337"/>
        <v>2078.2612074512226</v>
      </c>
      <c r="AV192" s="11">
        <f t="shared" si="338"/>
        <v>2.2260386112775872E-3</v>
      </c>
      <c r="AW192" s="11">
        <f t="shared" si="339"/>
        <v>3.8767913253979071E-7</v>
      </c>
      <c r="AX192" s="41">
        <f t="shared" ca="1" si="340"/>
        <v>1.1320815271129194</v>
      </c>
      <c r="AY192" s="41">
        <f t="shared" ca="1" si="341"/>
        <v>1.5249363087070718</v>
      </c>
      <c r="AZ192" s="41">
        <f t="shared" si="342"/>
        <v>0.1212984966311809</v>
      </c>
      <c r="BA192" s="154">
        <f t="shared" si="351"/>
        <v>1.5423525621877379</v>
      </c>
    </row>
    <row r="193" spans="1:53" ht="14.5">
      <c r="A193" s="41">
        <f ca="1">A192+AM192</f>
        <v>17607.795806114271</v>
      </c>
      <c r="B193" s="41">
        <f t="shared" ca="1" si="352"/>
        <v>293.46326343523782</v>
      </c>
      <c r="C193" s="41">
        <f t="shared" ca="1" si="352"/>
        <v>4.8910543905872972</v>
      </c>
      <c r="D193" s="41">
        <f ca="1">D192-AN192</f>
        <v>12732.864800540618</v>
      </c>
      <c r="E193" s="41">
        <f ca="1">E192+AO192</f>
        <v>1025.4410731148248</v>
      </c>
      <c r="F193" s="41">
        <f ca="1">F192+AO192</f>
        <v>25.450093707844605</v>
      </c>
      <c r="G193" s="41"/>
      <c r="H193" s="7">
        <f>H192+AL192</f>
        <v>0</v>
      </c>
      <c r="I193" s="6">
        <v>15</v>
      </c>
      <c r="J193" s="41">
        <f t="shared" si="306"/>
        <v>0.15117683608046922</v>
      </c>
      <c r="K193" s="41">
        <f t="shared" si="307"/>
        <v>173.1185859265388</v>
      </c>
      <c r="L193" s="120">
        <v>100</v>
      </c>
      <c r="M193" s="41">
        <f t="shared" si="309"/>
        <v>102.56999226409941</v>
      </c>
      <c r="N193" s="41">
        <f t="shared" si="310"/>
        <v>33.855509841634493</v>
      </c>
      <c r="O193" s="41">
        <f t="shared" si="311"/>
        <v>1006358.2566622874</v>
      </c>
      <c r="P193" s="41">
        <f t="shared" si="312"/>
        <v>6461527.1597848358</v>
      </c>
      <c r="Q193" s="41">
        <f t="shared" si="313"/>
        <v>3.217430652235113E-3</v>
      </c>
      <c r="R193" s="41">
        <f t="shared" si="314"/>
        <v>2.4560805344740685E-2</v>
      </c>
      <c r="S193" s="24">
        <f t="shared" ca="1" si="348"/>
        <v>-5.4189821485783431</v>
      </c>
      <c r="T193" s="10">
        <f t="shared" ca="1" si="315"/>
        <v>-5.4189821485783431</v>
      </c>
      <c r="U193" s="41">
        <f t="shared" ca="1" si="316"/>
        <v>1.6278845615372544</v>
      </c>
      <c r="V193" s="41">
        <f t="shared" ca="1" si="317"/>
        <v>0.19192663694020262</v>
      </c>
      <c r="W193" s="41">
        <f t="shared" ca="1" si="318"/>
        <v>8.4818063166731985</v>
      </c>
      <c r="X193" s="20">
        <f t="shared" ca="1" si="319"/>
        <v>1494.4880535341933</v>
      </c>
      <c r="Y193" s="41">
        <f t="shared" si="320"/>
        <v>0.62360775332890361</v>
      </c>
      <c r="Z193" s="41">
        <f t="shared" ca="1" si="321"/>
        <v>142.57713296586374</v>
      </c>
      <c r="AA193" s="14">
        <f t="shared" ca="1" si="322"/>
        <v>1501.1973069357712</v>
      </c>
      <c r="AB193" s="14">
        <f t="shared" si="349"/>
        <v>5840.4000000000005</v>
      </c>
      <c r="AC193" s="25">
        <f t="shared" ca="1" si="323"/>
        <v>259885.15497344895</v>
      </c>
      <c r="AD193" s="41">
        <f t="shared" si="324"/>
        <v>1011081.7892453573</v>
      </c>
      <c r="AE193" s="6">
        <v>5</v>
      </c>
      <c r="AF193" s="41">
        <f t="shared" si="325"/>
        <v>292.02000000000004</v>
      </c>
      <c r="AG193" s="41">
        <f t="shared" ca="1" si="326"/>
        <v>4339.2026930642296</v>
      </c>
      <c r="AH193" s="41">
        <f t="shared" ca="1" si="327"/>
        <v>751196.63427190832</v>
      </c>
      <c r="AI193" s="41">
        <f t="shared" si="328"/>
        <v>215.6804115549148</v>
      </c>
      <c r="AJ193" s="13">
        <f t="shared" ca="1" si="329"/>
        <v>-16.348997049025336</v>
      </c>
      <c r="AK193" s="11"/>
      <c r="AL193" s="6">
        <v>0</v>
      </c>
      <c r="AM193" s="7">
        <v>0</v>
      </c>
      <c r="AN193" s="41">
        <f t="shared" si="331"/>
        <v>0</v>
      </c>
      <c r="AO193" s="41">
        <f t="shared" ca="1" si="332"/>
        <v>0</v>
      </c>
      <c r="AP193" s="67">
        <f t="shared" si="350"/>
        <v>0.73858095868404483</v>
      </c>
      <c r="AQ193" s="11">
        <f t="shared" si="333"/>
        <v>1.0520562207183759</v>
      </c>
      <c r="AR193" s="11">
        <f t="shared" si="334"/>
        <v>1</v>
      </c>
      <c r="AS193" s="11">
        <f t="shared" si="335"/>
        <v>0.95051954477981193</v>
      </c>
      <c r="AT193" s="11">
        <f t="shared" si="336"/>
        <v>545.66999999999996</v>
      </c>
      <c r="AU193" s="11">
        <f t="shared" si="337"/>
        <v>2116.2199999999998</v>
      </c>
      <c r="AV193" s="11">
        <f t="shared" si="338"/>
        <v>2.259289905987135E-3</v>
      </c>
      <c r="AW193" s="11">
        <f t="shared" si="339"/>
        <v>3.8865391239478742E-7</v>
      </c>
      <c r="AX193" s="41">
        <f t="shared" ca="1" si="340"/>
        <v>1.2732343219530906</v>
      </c>
      <c r="AY193" s="41">
        <f t="shared" ca="1" si="341"/>
        <v>1.7150719277169446</v>
      </c>
      <c r="AZ193" s="41">
        <f t="shared" si="342"/>
        <v>0.11256726187493296</v>
      </c>
      <c r="BA193" s="154">
        <f>2.12 - (0.00251*AF193) + (1.94*10^(-6)*AF193^2) - (7.84*10^(-10)*AF193^3) + (1.7*10^(-13)*AF193^4) - (1.89*10^(-17)*AF193^5) + (8.37*10^(-22)*AF193^6)</f>
        <v>1.5341379058740074</v>
      </c>
    </row>
    <row r="194" spans="1:53" s="148" customFormat="1" ht="14.5">
      <c r="A194" s="145"/>
      <c r="B194" s="135">
        <f ca="1">B193-B173</f>
        <v>8.5839651729796742</v>
      </c>
      <c r="C194" s="145"/>
      <c r="D194" s="145"/>
      <c r="E194" s="145"/>
      <c r="F194" s="145"/>
      <c r="G194" s="145"/>
      <c r="H194" s="135"/>
      <c r="I194" s="135"/>
      <c r="J194" s="145"/>
      <c r="K194" s="145"/>
      <c r="L194" s="13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32">
        <f ca="1">AVERAGE(X173:X193)</f>
        <v>1095.1816713222117</v>
      </c>
      <c r="Y194" s="145"/>
      <c r="Z194" s="145"/>
      <c r="AA194" s="145"/>
      <c r="AB194" s="145"/>
      <c r="AC194" s="146"/>
      <c r="AD194" s="145"/>
      <c r="AE194" s="135"/>
      <c r="AF194" s="145"/>
      <c r="AG194" s="145"/>
      <c r="AH194" s="145"/>
      <c r="AI194" s="145"/>
      <c r="AJ194" s="147"/>
      <c r="AK194" s="145"/>
      <c r="AL194" s="135"/>
      <c r="AM194" s="135"/>
      <c r="AN194" s="32">
        <f ca="1">SUM(AN173:AN193)</f>
        <v>27.049937591251009</v>
      </c>
      <c r="AO194" s="145"/>
      <c r="AP194" s="135"/>
      <c r="AQ194" s="145"/>
      <c r="AR194" s="145"/>
      <c r="AS194" s="145"/>
      <c r="AT194" s="145"/>
      <c r="AU194" s="145"/>
      <c r="AV194" s="145"/>
      <c r="AW194" s="145"/>
      <c r="AX194" s="145"/>
      <c r="AY194" s="145"/>
      <c r="AZ194" s="145"/>
    </row>
    <row r="195" spans="1:53" s="101" customFormat="1" ht="14.5">
      <c r="A195" s="90">
        <f ca="1">A193+AM193</f>
        <v>17607.795806114271</v>
      </c>
      <c r="B195" s="90">
        <f t="shared" ref="B195:C195" ca="1" si="353">A195/60</f>
        <v>293.46326343523782</v>
      </c>
      <c r="C195" s="90">
        <f t="shared" ca="1" si="353"/>
        <v>4.8910543905872972</v>
      </c>
      <c r="D195" s="90">
        <f ca="1">0.85*$B$12</f>
        <v>14642.396172934503</v>
      </c>
      <c r="E195" s="90">
        <f ca="1">E193+AO193</f>
        <v>1025.4410731148248</v>
      </c>
      <c r="F195" s="90">
        <f ca="1">F193+AO193</f>
        <v>25.450093707844605</v>
      </c>
      <c r="G195" s="90"/>
      <c r="H195" s="91">
        <f>H193+AL193</f>
        <v>0</v>
      </c>
      <c r="I195" s="92">
        <v>15</v>
      </c>
      <c r="J195" s="90">
        <f t="shared" ref="J195" si="354">SQRT((((((((L195^2)*(0.2))/(661.477)^2) + 1)^(3.5) - 1)*(1/AR195) + 1)^(1/3.5) - 1)*(5))</f>
        <v>0.15117683608046922</v>
      </c>
      <c r="K195" s="90">
        <f t="shared" ref="K195" si="355">SQRT((1.4*2116.22*AR195*(J195)^2)/AV195)</f>
        <v>173.1185859265388</v>
      </c>
      <c r="L195" s="92">
        <v>100</v>
      </c>
      <c r="M195" s="90">
        <f t="shared" ref="M195" si="356">K195*0.592484</f>
        <v>102.56999226409941</v>
      </c>
      <c r="N195" s="90">
        <f t="shared" ref="N195" si="357">0.5*AV195*K195^2</f>
        <v>33.855509841634493</v>
      </c>
      <c r="O195" s="90">
        <f t="shared" ref="O195" si="358">P195/$B$7</f>
        <v>1006358.2566622874</v>
      </c>
      <c r="P195" s="90">
        <f t="shared" ref="P195" si="359">(AV195*K195*$B$7)/(AW195)</f>
        <v>6461527.1597848358</v>
      </c>
      <c r="Q195" s="90">
        <f t="shared" ref="Q195" si="360">0.455/(LOG10(P195)^2.58 * (1+0.144*J195*J195)^0.65)</f>
        <v>3.217430652235113E-3</v>
      </c>
      <c r="R195" s="90">
        <f t="shared" ref="R195" si="361">(((Q195*$B$4)+$B$17)+(0.1*(Q195*$B$4)))</f>
        <v>2.4560805344740685E-2</v>
      </c>
      <c r="S195" s="93">
        <f t="shared" ref="S195" ca="1" si="362">T195</f>
        <v>-6.3401490163599616</v>
      </c>
      <c r="T195" s="94">
        <f t="shared" ref="T195" ca="1" si="363">DEGREES(ASIN(((AF195-X195)/(D195))))</f>
        <v>-6.3401490163599616</v>
      </c>
      <c r="U195" s="90">
        <f t="shared" ref="U195" ca="1" si="364">(D195*COS(RADIANS(S195)))/(N195*$B$3)</f>
        <v>1.8689194252530681</v>
      </c>
      <c r="V195" s="90">
        <f t="shared" ref="V195" ca="1" si="365">(X195)/(N195*$B$3)</f>
        <v>0.24515838692244096</v>
      </c>
      <c r="W195" s="90">
        <f t="shared" ref="W195" ca="1" si="366">U195/V195</f>
        <v>7.6233142529377345</v>
      </c>
      <c r="X195" s="95">
        <f t="shared" ref="X195" ca="1" si="367">(N195*$B$3*R195)+((N195*$B$3)*((U195^2)/(PI()*$B$6*$B$5)))</f>
        <v>1908.9913016787455</v>
      </c>
      <c r="Y195" s="90">
        <f t="shared" ref="Y195" si="368">SQRT(PI()*$B$6*$B$5*R195)</f>
        <v>0.62360775332890361</v>
      </c>
      <c r="Z195" s="90">
        <f t="shared" ref="Z195" ca="1" si="369">SQRT((2*((U195*N195*$B$3)/(D195))*D195)/(AV195*$B$3*$B$18))</f>
        <v>152.76834162892445</v>
      </c>
      <c r="AA195" s="96">
        <f t="shared" ref="AA195" ca="1" si="370">D195/W195</f>
        <v>1920.7388921809018</v>
      </c>
      <c r="AB195" s="96">
        <f>$B$15*AR195*0.93</f>
        <v>5840.4000000000005</v>
      </c>
      <c r="AC195" s="97">
        <f t="shared" ref="AC195" ca="1" si="371">AA195*K195</f>
        <v>332515.60094846436</v>
      </c>
      <c r="AD195" s="90">
        <f t="shared" ref="AD195" si="372">AB195*K195</f>
        <v>1011081.7892453573</v>
      </c>
      <c r="AE195" s="92">
        <v>5</v>
      </c>
      <c r="AF195" s="90">
        <f t="shared" ref="AF195" si="373">AB195*(AE195/100)</f>
        <v>292.02000000000004</v>
      </c>
      <c r="AG195" s="90">
        <f t="shared" ref="AG195" ca="1" si="374">AB195-AA195</f>
        <v>3919.661107819099</v>
      </c>
      <c r="AH195" s="90">
        <f t="shared" ref="AH195" ca="1" si="375">AD195-AC195</f>
        <v>678566.18829689291</v>
      </c>
      <c r="AI195" s="90">
        <f t="shared" ref="AI195" si="376">(AP195*AF195)</f>
        <v>233.1870821058659</v>
      </c>
      <c r="AJ195" s="98">
        <f t="shared" ref="AJ195" ca="1" si="377">K195*SIN(RADIANS(T195))</f>
        <v>-19.117621318554889</v>
      </c>
      <c r="AK195" s="99"/>
      <c r="AL195" s="92">
        <v>0</v>
      </c>
      <c r="AM195" s="91">
        <v>0</v>
      </c>
      <c r="AN195" s="90">
        <f t="shared" ref="AN195" si="378">AI195*(AM195/3600)</f>
        <v>0</v>
      </c>
      <c r="AO195" s="90">
        <f t="shared" ref="AO195" ca="1" si="379">M195*COS(RADIANS(T195))*(AM195/3600)</f>
        <v>0</v>
      </c>
      <c r="AP195" s="100">
        <f t="shared" ref="AP195" si="380">-18.066*(AZ195^6) + 34.325*(AZ195^5) - 25.292*(AZ195^4) + 8.7618*(AZ195^3) - 1.317*(AZ195^2) + 0.358*(AZ195^1) + 0.7659</f>
        <v>0.79853120370476638</v>
      </c>
      <c r="AQ195" s="99">
        <f t="shared" ref="AQ195" si="381">IF(H195 &lt;= 36089, ((1 - 6.87535*10^(-6)*H195) + ((I195*1.8)/518.67)), 0.75187 + ((I195*1.8)/518.67))</f>
        <v>1.0520562207183759</v>
      </c>
      <c r="AR195" s="99">
        <f t="shared" ref="AR195" si="382">IF(H195 &lt;= 36089, (1 - 6.87535*10^(-6)*H195)^5.2561, 0.22336*EXP((36089 - H195)/(20806.7)))</f>
        <v>1</v>
      </c>
      <c r="AS195" s="99">
        <f t="shared" ref="AS195" si="383">(AR195/AQ195)</f>
        <v>0.95051954477981193</v>
      </c>
      <c r="AT195" s="99">
        <f t="shared" ref="AT195" si="384">(518.67*AQ195)</f>
        <v>545.66999999999996</v>
      </c>
      <c r="AU195" s="99">
        <f t="shared" ref="AU195" si="385">2116.22*AR195</f>
        <v>2116.2199999999998</v>
      </c>
      <c r="AV195" s="99">
        <f t="shared" ref="AV195" si="386">(0.0023769*AS195)</f>
        <v>2.259289905987135E-3</v>
      </c>
      <c r="AW195" s="99">
        <f t="shared" ref="AW195" si="387">((2.2697*10^-8)*(AT195^1.5))/(AT195+198.72)</f>
        <v>3.8865391239478742E-7</v>
      </c>
      <c r="AX195" s="90">
        <f t="shared" ref="AX195" ca="1" si="388">(1/U195)*(((1 + 0.2*(U195)^2)/1.2)^3)</f>
        <v>1.517460999555194</v>
      </c>
      <c r="AY195" s="90">
        <f t="shared" ref="AY195" ca="1" si="389">($H$4/$H$3)*AX195</f>
        <v>2.0440501146326255</v>
      </c>
      <c r="AZ195" s="90">
        <f t="shared" ref="AZ195" si="390">-6.6*10^(-3) + 0.825*J195 - 0.243*(J195^2)</f>
        <v>0.11256726187493296</v>
      </c>
    </row>
    <row r="196" spans="1:53" ht="14.5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3"/>
      <c r="AD196" s="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5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</row>
    <row r="197" spans="1:53" ht="14.5">
      <c r="B197" s="75" t="s">
        <v>218</v>
      </c>
      <c r="C197" s="154">
        <f ca="1">C198+C199+C201</f>
        <v>12710.599159378238</v>
      </c>
      <c r="F197" s="154" t="s">
        <v>229</v>
      </c>
      <c r="G197" s="154">
        <f ca="1">1.2*Z193</f>
        <v>171.09255955903649</v>
      </c>
      <c r="AC197" s="3"/>
      <c r="AD197" s="3"/>
      <c r="AP197" s="53"/>
    </row>
    <row r="198" spans="1:53" ht="14.5">
      <c r="B198" s="132" t="s">
        <v>58</v>
      </c>
      <c r="C198" s="21">
        <f>K6</f>
        <v>9120</v>
      </c>
      <c r="AC198" s="3"/>
      <c r="AD198" s="3"/>
      <c r="AP198" s="53"/>
    </row>
    <row r="199" spans="1:53" ht="14.5">
      <c r="B199" s="132" t="s">
        <v>59</v>
      </c>
      <c r="C199" s="21">
        <f>K7</f>
        <v>3000</v>
      </c>
      <c r="AC199" s="3"/>
      <c r="AD199" s="3"/>
      <c r="AP199" s="53"/>
    </row>
    <row r="200" spans="1:53" ht="14.5">
      <c r="B200" s="70" t="s">
        <v>125</v>
      </c>
      <c r="C200" s="32">
        <f ca="1">C201</f>
        <v>590.59915937823882</v>
      </c>
      <c r="AC200" s="3"/>
      <c r="AD200" s="3"/>
      <c r="AP200" s="53"/>
    </row>
    <row r="201" spans="1:53" ht="14.5">
      <c r="B201" s="70" t="s">
        <v>126</v>
      </c>
      <c r="C201" s="32">
        <f ca="1">SUM(AN207:AN227)+SUM(AN232:AN252)</f>
        <v>590.59915937823882</v>
      </c>
      <c r="AC201" s="3"/>
      <c r="AD201" s="3"/>
      <c r="AP201" s="53"/>
    </row>
    <row r="202" spans="1:53" ht="14.5">
      <c r="F202" s="154" t="s">
        <v>222</v>
      </c>
      <c r="G202" s="154">
        <f ca="1">1.1*Z207</f>
        <v>152.14551954890277</v>
      </c>
      <c r="AC202" s="3"/>
      <c r="AD202" s="3"/>
      <c r="AP202" s="53"/>
    </row>
    <row r="203" spans="1:53" ht="14.5">
      <c r="AC203" s="3"/>
      <c r="AD203" s="3"/>
      <c r="AP203" s="53"/>
    </row>
    <row r="204" spans="1:53" s="89" customFormat="1" ht="14.5">
      <c r="A204" s="124" t="s">
        <v>3</v>
      </c>
      <c r="B204" s="82" t="s">
        <v>22</v>
      </c>
      <c r="C204" s="81">
        <v>3000</v>
      </c>
      <c r="D204" s="82" t="s">
        <v>9</v>
      </c>
      <c r="E204" s="82"/>
      <c r="F204" s="82"/>
      <c r="G204" s="82"/>
      <c r="H204" s="82"/>
      <c r="I204" s="83"/>
      <c r="J204" s="82"/>
      <c r="K204" s="82"/>
      <c r="L204" s="84" t="s">
        <v>60</v>
      </c>
      <c r="M204" s="82"/>
      <c r="N204" s="82"/>
      <c r="O204" s="82"/>
      <c r="P204" s="82"/>
      <c r="Q204" s="81"/>
      <c r="R204" s="82"/>
      <c r="S204" s="85"/>
      <c r="T204" s="86"/>
      <c r="U204" s="81"/>
      <c r="V204" s="81"/>
      <c r="W204" s="81"/>
      <c r="X204" s="81"/>
      <c r="Y204" s="82"/>
      <c r="Z204" s="82"/>
      <c r="AA204" s="87"/>
      <c r="AB204" s="87"/>
      <c r="AC204" s="82"/>
      <c r="AD204" s="82"/>
      <c r="AE204" s="83"/>
      <c r="AF204" s="81"/>
      <c r="AG204" s="82"/>
      <c r="AH204" s="82"/>
      <c r="AI204" s="82"/>
      <c r="AJ204" s="81" t="s">
        <v>61</v>
      </c>
      <c r="AK204" s="88"/>
      <c r="AL204" s="83"/>
      <c r="AM204" s="82"/>
      <c r="AN204" s="82"/>
      <c r="AO204" s="82"/>
      <c r="AP204" s="53"/>
      <c r="AQ204" s="88"/>
      <c r="AR204" s="88"/>
      <c r="AS204" s="88"/>
      <c r="AT204" s="88"/>
      <c r="AU204" s="88"/>
      <c r="AV204" s="88"/>
      <c r="AW204" s="88"/>
      <c r="AX204" s="82"/>
      <c r="AY204" s="82"/>
      <c r="AZ204" s="82"/>
    </row>
    <row r="205" spans="1:53" ht="14.5">
      <c r="A205" s="41" t="s">
        <v>2</v>
      </c>
      <c r="B205" s="41" t="s">
        <v>2</v>
      </c>
      <c r="C205" s="41" t="s">
        <v>2</v>
      </c>
      <c r="D205" s="41" t="s">
        <v>23</v>
      </c>
      <c r="E205" s="41" t="s">
        <v>24</v>
      </c>
      <c r="F205" s="41" t="s">
        <v>25</v>
      </c>
      <c r="G205" s="41"/>
      <c r="H205" s="41" t="s">
        <v>0</v>
      </c>
      <c r="I205" s="5" t="s">
        <v>26</v>
      </c>
      <c r="J205" s="41" t="s">
        <v>27</v>
      </c>
      <c r="K205" s="41" t="s">
        <v>28</v>
      </c>
      <c r="L205" s="12" t="s">
        <v>29</v>
      </c>
      <c r="M205" s="13" t="s">
        <v>30</v>
      </c>
      <c r="N205" s="41" t="s">
        <v>31</v>
      </c>
      <c r="O205" s="41" t="s">
        <v>32</v>
      </c>
      <c r="P205" s="41" t="s">
        <v>33</v>
      </c>
      <c r="Q205" s="41" t="s">
        <v>34</v>
      </c>
      <c r="R205" s="41" t="s">
        <v>13</v>
      </c>
      <c r="S205" s="24" t="s">
        <v>35</v>
      </c>
      <c r="T205" s="10" t="s">
        <v>35</v>
      </c>
      <c r="U205" s="41" t="s">
        <v>36</v>
      </c>
      <c r="V205" s="41" t="s">
        <v>37</v>
      </c>
      <c r="W205" s="41" t="s">
        <v>38</v>
      </c>
      <c r="X205" s="41" t="s">
        <v>39</v>
      </c>
      <c r="Y205" s="41" t="s">
        <v>40</v>
      </c>
      <c r="Z205" s="35" t="s">
        <v>108</v>
      </c>
      <c r="AA205" s="35" t="s">
        <v>109</v>
      </c>
      <c r="AB205" s="9" t="s">
        <v>110</v>
      </c>
      <c r="AC205" s="7" t="s">
        <v>111</v>
      </c>
      <c r="AD205" s="7" t="s">
        <v>112</v>
      </c>
      <c r="AE205" s="5" t="s">
        <v>41</v>
      </c>
      <c r="AF205" s="7" t="s">
        <v>113</v>
      </c>
      <c r="AG205" s="41"/>
      <c r="AH205" s="41"/>
      <c r="AI205" s="41" t="s">
        <v>42</v>
      </c>
      <c r="AJ205" s="41" t="s">
        <v>43</v>
      </c>
      <c r="AK205" s="11"/>
      <c r="AL205" s="5" t="s">
        <v>44</v>
      </c>
      <c r="AM205" s="41" t="s">
        <v>45</v>
      </c>
      <c r="AN205" s="41" t="s">
        <v>46</v>
      </c>
      <c r="AO205" s="41" t="s">
        <v>47</v>
      </c>
      <c r="AP205" s="53"/>
      <c r="AQ205" s="15" t="s">
        <v>62</v>
      </c>
      <c r="AR205" s="16" t="s">
        <v>63</v>
      </c>
      <c r="AS205" s="16" t="s">
        <v>64</v>
      </c>
      <c r="AT205" s="17" t="s">
        <v>65</v>
      </c>
      <c r="AU205" s="18" t="s">
        <v>66</v>
      </c>
      <c r="AV205" s="18" t="s">
        <v>67</v>
      </c>
      <c r="AW205" s="19" t="s">
        <v>68</v>
      </c>
      <c r="AX205" s="7" t="s">
        <v>207</v>
      </c>
      <c r="AY205" s="7" t="s">
        <v>208</v>
      </c>
      <c r="AZ205" s="7" t="s">
        <v>209</v>
      </c>
    </row>
    <row r="206" spans="1:53" ht="14.5">
      <c r="A206" s="41" t="s">
        <v>18</v>
      </c>
      <c r="B206" s="41" t="s">
        <v>21</v>
      </c>
      <c r="C206" s="41" t="s">
        <v>48</v>
      </c>
      <c r="D206" s="41" t="s">
        <v>8</v>
      </c>
      <c r="E206" s="41" t="s">
        <v>49</v>
      </c>
      <c r="F206" s="41" t="s">
        <v>49</v>
      </c>
      <c r="G206" s="41"/>
      <c r="H206" s="41" t="s">
        <v>9</v>
      </c>
      <c r="I206" s="5" t="s">
        <v>50</v>
      </c>
      <c r="J206" s="41"/>
      <c r="K206" s="41" t="s">
        <v>51</v>
      </c>
      <c r="L206" s="5" t="s">
        <v>52</v>
      </c>
      <c r="M206" s="41" t="s">
        <v>52</v>
      </c>
      <c r="N206" s="41" t="s">
        <v>53</v>
      </c>
      <c r="O206" s="41" t="s">
        <v>54</v>
      </c>
      <c r="P206" s="41"/>
      <c r="Q206" s="41"/>
      <c r="R206" s="41"/>
      <c r="S206" s="24" t="s">
        <v>55</v>
      </c>
      <c r="T206" s="10" t="s">
        <v>55</v>
      </c>
      <c r="U206" s="41"/>
      <c r="V206" s="41"/>
      <c r="W206" s="41"/>
      <c r="X206" s="41"/>
      <c r="Y206" s="41"/>
      <c r="Z206" s="41"/>
      <c r="AA206" s="9" t="s">
        <v>118</v>
      </c>
      <c r="AB206" s="9" t="s">
        <v>118</v>
      </c>
      <c r="AC206" s="7" t="s">
        <v>119</v>
      </c>
      <c r="AD206" s="7" t="s">
        <v>119</v>
      </c>
      <c r="AE206" s="5" t="s">
        <v>20</v>
      </c>
      <c r="AF206" s="7" t="s">
        <v>118</v>
      </c>
      <c r="AG206" s="41"/>
      <c r="AH206" s="41"/>
      <c r="AI206" s="41" t="s">
        <v>56</v>
      </c>
      <c r="AJ206" s="41" t="s">
        <v>57</v>
      </c>
      <c r="AK206" s="11"/>
      <c r="AL206" s="5" t="s">
        <v>9</v>
      </c>
      <c r="AM206" s="41" t="s">
        <v>18</v>
      </c>
      <c r="AN206" s="41" t="s">
        <v>8</v>
      </c>
      <c r="AO206" s="41" t="s">
        <v>49</v>
      </c>
      <c r="AP206" s="53"/>
      <c r="AQ206" s="11"/>
      <c r="AR206" s="11"/>
      <c r="AS206" s="11"/>
      <c r="AT206" s="11"/>
      <c r="AU206" s="11"/>
      <c r="AV206" s="11"/>
      <c r="AW206" s="11"/>
      <c r="AX206" s="41"/>
      <c r="AY206" s="41"/>
      <c r="AZ206" s="41"/>
    </row>
    <row r="207" spans="1:53" ht="14.5">
      <c r="A207" s="41">
        <f ca="1">H207/(K207*SIN(RADIANS(T207)))</f>
        <v>0</v>
      </c>
      <c r="B207" s="41">
        <v>0</v>
      </c>
      <c r="C207" s="41">
        <v>0</v>
      </c>
      <c r="D207" s="41">
        <f ca="1">C198+C199+C200</f>
        <v>12710.599159378238</v>
      </c>
      <c r="E207" s="7">
        <v>0</v>
      </c>
      <c r="F207" s="7">
        <v>0</v>
      </c>
      <c r="G207" s="41"/>
      <c r="H207" s="41">
        <v>0</v>
      </c>
      <c r="I207" s="6">
        <v>15</v>
      </c>
      <c r="J207" s="41">
        <f t="shared" ref="J207:J227" si="391">SQRT((((((((L207^2)*(0.2))/(661.477)^2) + 1)^(3.5) - 1)*(1/AR207) + 1)^(1/3.5) - 1)*(5))</f>
        <v>0.14361799427644542</v>
      </c>
      <c r="K207" s="41">
        <f t="shared" ref="K207:K227" si="392">SQRT((1.4*2116.22*AR207*(J207)^2)/AV207)</f>
        <v>164.46265663021146</v>
      </c>
      <c r="L207" s="120">
        <v>95</v>
      </c>
      <c r="M207" s="41">
        <f t="shared" ref="M207:M227" si="393">K207*0.592484</f>
        <v>97.441492650894205</v>
      </c>
      <c r="N207" s="41">
        <f t="shared" ref="N207:N227" si="394">0.5*AV207*K207^2</f>
        <v>30.55459763207498</v>
      </c>
      <c r="O207" s="41">
        <f t="shared" ref="O207:O227" si="395">P207/$B$7</f>
        <v>956040.34382917057</v>
      </c>
      <c r="P207" s="41">
        <f t="shared" ref="P207:P227" si="396">(AV207*K207*$B$7)/(AW207)</f>
        <v>6138450.8017955786</v>
      </c>
      <c r="Q207" s="41">
        <f t="shared" ref="Q207:Q227" si="397">0.455/(LOG10(P207)^2.58 * (1+0.144*J207*J207)^0.65)</f>
        <v>3.2454173580935435E-3</v>
      </c>
      <c r="R207" s="41">
        <f t="shared" ref="R207:R227" si="398">(((Q207*$B$4)+$B$17)+(0.1*(Q207*$B$4)))</f>
        <v>2.4730954312879899E-2</v>
      </c>
      <c r="S207" s="24">
        <f ca="1">T207</f>
        <v>20.193925659563664</v>
      </c>
      <c r="T207" s="10">
        <f t="shared" ref="T207:T227" ca="1" si="399">DEGREES(ASIN(((AF207-X207)/(D207))))</f>
        <v>20.193925659563664</v>
      </c>
      <c r="U207" s="41">
        <f t="shared" ref="U207:U227" ca="1" si="400">(D207*COS(RADIANS(S207)))/(N207*$B$3)</f>
        <v>1.6974993002800407</v>
      </c>
      <c r="V207" s="41">
        <f t="shared" ref="V207:V227" ca="1" si="401">(X207)/(N207*$B$3)</f>
        <v>0.20671729762929306</v>
      </c>
      <c r="W207" s="41">
        <f t="shared" ref="W207:W227" ca="1" si="402">U207/V207</f>
        <v>8.2116945207177245</v>
      </c>
      <c r="X207" s="20">
        <f t="shared" ref="X207:X227" ca="1" si="403">(N207*$B$3*R207)+((N207*$B$3)*((U207^2)/(PI()*$B$6*$B$5)))</f>
        <v>1452.7176861101755</v>
      </c>
      <c r="Y207" s="41">
        <f t="shared" ref="Y207:Y227" si="404">SQRT(PI()*$B$6*$B$5*R207)</f>
        <v>0.62576409716718795</v>
      </c>
      <c r="Z207" s="41">
        <f t="shared" ref="Z207:Z227" ca="1" si="405">SQRT((2*((U207*N207*$B$3)/(D207))*D207)/(AV207*$B$3*$B$18))</f>
        <v>138.31410868082068</v>
      </c>
      <c r="AA207" s="14">
        <f t="shared" ref="AA207:AA227" ca="1" si="406">D207/W207</f>
        <v>1547.8655626204782</v>
      </c>
      <c r="AB207" s="14">
        <f>$B$15*AR207*0.93</f>
        <v>5840.4000000000005</v>
      </c>
      <c r="AC207" s="25">
        <f t="shared" ref="AC207:AC227" ca="1" si="407">AA207*K207</f>
        <v>254566.08253498076</v>
      </c>
      <c r="AD207" s="41">
        <f t="shared" ref="AD207:AD227" si="408">AB207*K207</f>
        <v>960527.69978308713</v>
      </c>
      <c r="AE207" s="6">
        <v>100</v>
      </c>
      <c r="AF207" s="41">
        <f t="shared" ref="AF207:AF227" si="409">AB207*(AE207/100)</f>
        <v>5840.4000000000005</v>
      </c>
      <c r="AG207" s="41"/>
      <c r="AH207" s="41"/>
      <c r="AI207" s="41">
        <f t="shared" ref="AI207:AI227" si="410">(AP207*AF207)</f>
        <v>4303.8028043138838</v>
      </c>
      <c r="AJ207" s="13">
        <f t="shared" ref="AJ207:AJ227" ca="1" si="411">K207*SIN(RADIANS(T207))</f>
        <v>56.772295368884322</v>
      </c>
      <c r="AK207" s="11"/>
      <c r="AL207" s="6">
        <v>150</v>
      </c>
      <c r="AM207" s="41">
        <f t="shared" ref="AM207:AM227" ca="1" si="412">AL207/AJ207</f>
        <v>2.6421337912331757</v>
      </c>
      <c r="AN207" s="41">
        <f t="shared" ref="AN207:AN227" ca="1" si="413">AI207*(AM207/3600)</f>
        <v>3.1586730055782821</v>
      </c>
      <c r="AO207" s="41">
        <f t="shared" ref="AO207:AO227" ca="1" si="414">M207*COS(RADIANS(T207))*(AM207/3600)</f>
        <v>6.7118805460404884E-2</v>
      </c>
      <c r="AP207" s="67">
        <f>0.705 + 0.302*AZ207 + -0.0327*AZ207^2</f>
        <v>0.73690206224126487</v>
      </c>
      <c r="AQ207" s="11">
        <f t="shared" ref="AQ207:AQ227" si="415">IF(H207 &lt;= 36089, ((1 - 6.87535*10^(-6)*H207) + ((I207*1.8)/518.67)), 0.75187 + ((I207*1.8)/518.67))</f>
        <v>1.0520562207183759</v>
      </c>
      <c r="AR207" s="11">
        <f t="shared" ref="AR207:AR227" si="416">IF(H207 &lt;= 36089, (1 - 6.87535*10^(-6)*H207)^5.2561, 0.22336*EXP((36089 - H207)/(20806.7)))</f>
        <v>1</v>
      </c>
      <c r="AS207" s="11">
        <f t="shared" ref="AS207:AS227" si="417">(AR207/AQ207)</f>
        <v>0.95051954477981193</v>
      </c>
      <c r="AT207" s="11">
        <f t="shared" ref="AT207:AT227" si="418">(518.67*AQ207)</f>
        <v>545.66999999999996</v>
      </c>
      <c r="AU207" s="11">
        <f t="shared" ref="AU207:AU227" si="419">2116.22*AR207</f>
        <v>2116.2199999999998</v>
      </c>
      <c r="AV207" s="11">
        <f t="shared" ref="AV207:AV227" si="420">(0.0023769*AS207)</f>
        <v>2.259289905987135E-3</v>
      </c>
      <c r="AW207" s="11">
        <f t="shared" ref="AW207:AW227" si="421">((2.2697*10^-8)*(AT207^1.5))/(AT207+198.72)</f>
        <v>3.8865391239478742E-7</v>
      </c>
      <c r="AX207" s="41">
        <f t="shared" ref="AX207:AX227" ca="1" si="422">(1/U207)*(((1 + 0.2*(U207)^2)/1.2)^3)</f>
        <v>1.3352541150476174</v>
      </c>
      <c r="AY207" s="41">
        <f t="shared" ref="AY207:AY227" ca="1" si="423">($H$4/$H$3)*AX207</f>
        <v>1.7986138211965921</v>
      </c>
      <c r="AZ207" s="41">
        <f t="shared" ref="AZ207:AZ227" si="424">-6.6*10^(-3) + 0.825*J207 - 0.243*(J207^2)</f>
        <v>0.10687269610603012</v>
      </c>
    </row>
    <row r="208" spans="1:53" ht="14.5">
      <c r="A208" s="41">
        <f t="shared" ref="A208:A227" ca="1" si="425">A207+AM207</f>
        <v>2.6421337912331757</v>
      </c>
      <c r="B208" s="41">
        <f t="shared" ref="B208:C223" ca="1" si="426">A208/60</f>
        <v>4.4035563187219594E-2</v>
      </c>
      <c r="C208" s="41">
        <f t="shared" ca="1" si="426"/>
        <v>7.3392605312032658E-4</v>
      </c>
      <c r="D208" s="41">
        <f t="shared" ref="D208:D227" ca="1" si="427">D207-AN207</f>
        <v>12707.44048637266</v>
      </c>
      <c r="E208" s="41">
        <f t="shared" ref="E208:E227" ca="1" si="428">E207+AO207</f>
        <v>6.7118805460404884E-2</v>
      </c>
      <c r="F208" s="41">
        <f t="shared" ref="F208:F227" ca="1" si="429">F207+AO207</f>
        <v>6.7118805460404884E-2</v>
      </c>
      <c r="G208" s="41"/>
      <c r="H208" s="7">
        <f t="shared" ref="H208:H227" si="430">H207+AL207</f>
        <v>150</v>
      </c>
      <c r="I208" s="6">
        <v>15</v>
      </c>
      <c r="J208" s="41">
        <f t="shared" si="391"/>
        <v>0.14931129484890579</v>
      </c>
      <c r="K208" s="41">
        <f t="shared" si="392"/>
        <v>170.89845551322179</v>
      </c>
      <c r="L208" s="6">
        <f>L207+($L$232-$L$207)/20</f>
        <v>98.5</v>
      </c>
      <c r="M208" s="41">
        <f t="shared" si="393"/>
        <v>101.2546005162957</v>
      </c>
      <c r="N208" s="41">
        <f t="shared" si="394"/>
        <v>32.846478398916183</v>
      </c>
      <c r="O208" s="41">
        <f t="shared" si="395"/>
        <v>989792.92082567269</v>
      </c>
      <c r="P208" s="41">
        <f t="shared" si="396"/>
        <v>6355166.0635145614</v>
      </c>
      <c r="Q208" s="41">
        <f t="shared" si="397"/>
        <v>3.226402066500733E-3</v>
      </c>
      <c r="R208" s="41">
        <f t="shared" si="398"/>
        <v>2.461534827264961E-2</v>
      </c>
      <c r="S208" s="24">
        <f t="shared" ref="S208:S227" ca="1" si="431">T208</f>
        <v>20.438760833174829</v>
      </c>
      <c r="T208" s="10">
        <f t="shared" ca="1" si="399"/>
        <v>20.438760833174829</v>
      </c>
      <c r="U208" s="41">
        <f t="shared" ca="1" si="400"/>
        <v>1.5761673580269409</v>
      </c>
      <c r="V208" s="41">
        <f t="shared" ca="1" si="401"/>
        <v>0.18151581994439714</v>
      </c>
      <c r="W208" s="41">
        <f t="shared" ca="1" si="402"/>
        <v>8.6833608140037626</v>
      </c>
      <c r="X208" s="20">
        <f t="shared" ca="1" si="403"/>
        <v>1371.295755538996</v>
      </c>
      <c r="Y208" s="41">
        <f t="shared" si="404"/>
        <v>0.624299801687064</v>
      </c>
      <c r="Z208" s="41">
        <f t="shared" ca="1" si="405"/>
        <v>138.49486827182162</v>
      </c>
      <c r="AA208" s="14">
        <f t="shared" ca="1" si="406"/>
        <v>1463.4242154119881</v>
      </c>
      <c r="AB208" s="14">
        <f t="shared" ref="AB208:AB227" si="432">$B$15*AR208*0.93</f>
        <v>5808.8107603107364</v>
      </c>
      <c r="AC208" s="25">
        <f t="shared" ca="1" si="407"/>
        <v>250096.93817455714</v>
      </c>
      <c r="AD208" s="41">
        <f t="shared" si="408"/>
        <v>992716.78730568849</v>
      </c>
      <c r="AE208" s="6">
        <v>100</v>
      </c>
      <c r="AF208" s="41">
        <f t="shared" si="409"/>
        <v>5808.8107603107364</v>
      </c>
      <c r="AG208" s="41"/>
      <c r="AH208" s="41"/>
      <c r="AI208" s="41">
        <f t="shared" si="410"/>
        <v>4287.8756689225665</v>
      </c>
      <c r="AJ208" s="13">
        <f t="shared" ca="1" si="411"/>
        <v>59.678773349007656</v>
      </c>
      <c r="AK208" s="11"/>
      <c r="AL208" s="6">
        <v>150</v>
      </c>
      <c r="AM208" s="41">
        <f t="shared" ca="1" si="412"/>
        <v>2.513456486827979</v>
      </c>
      <c r="AN208" s="41">
        <f t="shared" ca="1" si="413"/>
        <v>2.9937191429903569</v>
      </c>
      <c r="AO208" s="41">
        <f t="shared" ca="1" si="414"/>
        <v>6.6243692051784417E-2</v>
      </c>
      <c r="AP208" s="67">
        <f t="shared" ref="AP208:AP227" si="433">0.705 + 0.302*AZ208 + -0.0327*AZ208^2</f>
        <v>0.73816756059947641</v>
      </c>
      <c r="AQ208" s="11">
        <f t="shared" si="415"/>
        <v>1.0510249182183757</v>
      </c>
      <c r="AR208" s="11">
        <f t="shared" si="416"/>
        <v>0.99459125407690152</v>
      </c>
      <c r="AS208" s="11">
        <f t="shared" si="417"/>
        <v>0.94630606452496235</v>
      </c>
      <c r="AT208" s="11">
        <f t="shared" si="418"/>
        <v>545.13509433232491</v>
      </c>
      <c r="AU208" s="11">
        <f t="shared" si="419"/>
        <v>2104.7739037026204</v>
      </c>
      <c r="AV208" s="11">
        <f t="shared" si="420"/>
        <v>2.2492748847693831E-3</v>
      </c>
      <c r="AW208" s="11">
        <f t="shared" si="421"/>
        <v>3.8836164185848879E-7</v>
      </c>
      <c r="AX208" s="41">
        <f t="shared" ca="1" si="422"/>
        <v>1.2313970199276734</v>
      </c>
      <c r="AY208" s="41">
        <f t="shared" ca="1" si="423"/>
        <v>1.6587162506840316</v>
      </c>
      <c r="AZ208" s="41">
        <f t="shared" si="424"/>
        <v>0.11116440959736926</v>
      </c>
    </row>
    <row r="209" spans="1:52" ht="14.5">
      <c r="A209" s="41">
        <f t="shared" ca="1" si="425"/>
        <v>5.1555902780611547</v>
      </c>
      <c r="B209" s="41">
        <f t="shared" ca="1" si="426"/>
        <v>8.5926504634352571E-2</v>
      </c>
      <c r="C209" s="41">
        <f t="shared" ca="1" si="426"/>
        <v>1.4321084105725428E-3</v>
      </c>
      <c r="D209" s="41">
        <f t="shared" ca="1" si="427"/>
        <v>12704.446767229669</v>
      </c>
      <c r="E209" s="41">
        <f t="shared" ca="1" si="428"/>
        <v>0.13336249751218932</v>
      </c>
      <c r="F209" s="41">
        <f t="shared" ca="1" si="429"/>
        <v>0.13336249751218932</v>
      </c>
      <c r="G209" s="41"/>
      <c r="H209" s="7">
        <f t="shared" si="430"/>
        <v>300</v>
      </c>
      <c r="I209" s="6">
        <v>15</v>
      </c>
      <c r="J209" s="41">
        <f t="shared" si="391"/>
        <v>0.15503438118767573</v>
      </c>
      <c r="K209" s="41">
        <f t="shared" si="392"/>
        <v>177.36189452076079</v>
      </c>
      <c r="L209" s="6">
        <f t="shared" ref="L209:L227" si="434">L208+($L$232-$L$207)/20</f>
        <v>102</v>
      </c>
      <c r="M209" s="41">
        <f t="shared" si="393"/>
        <v>105.08408471323844</v>
      </c>
      <c r="N209" s="41">
        <f t="shared" si="394"/>
        <v>35.221004174346916</v>
      </c>
      <c r="O209" s="41">
        <f t="shared" si="395"/>
        <v>1023439.559592862</v>
      </c>
      <c r="P209" s="41">
        <f t="shared" si="396"/>
        <v>6571201.1273602406</v>
      </c>
      <c r="Q209" s="41">
        <f t="shared" si="397"/>
        <v>3.2081847133082803E-3</v>
      </c>
      <c r="R209" s="41">
        <f t="shared" si="398"/>
        <v>2.450459340697864E-2</v>
      </c>
      <c r="S209" s="24">
        <f t="shared" ca="1" si="431"/>
        <v>20.632752204818061</v>
      </c>
      <c r="T209" s="10">
        <f t="shared" ca="1" si="399"/>
        <v>20.632752204818061</v>
      </c>
      <c r="U209" s="41">
        <f t="shared" ca="1" si="400"/>
        <v>1.4676965217441471</v>
      </c>
      <c r="V209" s="41">
        <f t="shared" ca="1" si="401"/>
        <v>0.1605525806094385</v>
      </c>
      <c r="W209" s="41">
        <f t="shared" ca="1" si="402"/>
        <v>9.1415318033067159</v>
      </c>
      <c r="X209" s="20">
        <f t="shared" ca="1" si="403"/>
        <v>1300.6093157248567</v>
      </c>
      <c r="Y209" s="41">
        <f t="shared" si="404"/>
        <v>0.62289372380680452</v>
      </c>
      <c r="Z209" s="41">
        <f t="shared" ca="1" si="405"/>
        <v>138.69884059998364</v>
      </c>
      <c r="AA209" s="14">
        <f t="shared" ca="1" si="406"/>
        <v>1389.7503220011945</v>
      </c>
      <c r="AB209" s="14">
        <f t="shared" si="432"/>
        <v>5777.3600147416428</v>
      </c>
      <c r="AC209" s="25">
        <f t="shared" ca="1" si="407"/>
        <v>246488.75002096919</v>
      </c>
      <c r="AD209" s="41">
        <f t="shared" si="408"/>
        <v>1024683.5175430683</v>
      </c>
      <c r="AE209" s="6">
        <v>100</v>
      </c>
      <c r="AF209" s="41">
        <f t="shared" si="409"/>
        <v>5777.3600147416428</v>
      </c>
      <c r="AG209" s="41"/>
      <c r="AH209" s="41"/>
      <c r="AI209" s="41">
        <f t="shared" si="410"/>
        <v>4271.9752160196276</v>
      </c>
      <c r="AJ209" s="13">
        <f t="shared" ca="1" si="411"/>
        <v>62.498194515863837</v>
      </c>
      <c r="AK209" s="11"/>
      <c r="AL209" s="6">
        <v>150</v>
      </c>
      <c r="AM209" s="41">
        <f t="shared" ca="1" si="412"/>
        <v>2.400069332593691</v>
      </c>
      <c r="AN209" s="41">
        <f t="shared" ca="1" si="413"/>
        <v>2.8480657515469492</v>
      </c>
      <c r="AO209" s="41">
        <f t="shared" ca="1" si="414"/>
        <v>6.5564433000428357E-2</v>
      </c>
      <c r="AP209" s="67">
        <f t="shared" si="433"/>
        <v>0.73943379071395221</v>
      </c>
      <c r="AQ209" s="11">
        <f t="shared" si="415"/>
        <v>1.0499936157183758</v>
      </c>
      <c r="AR209" s="11">
        <f t="shared" si="416"/>
        <v>0.98920622127622115</v>
      </c>
      <c r="AS209" s="11">
        <f t="shared" si="417"/>
        <v>0.94210689138279602</v>
      </c>
      <c r="AT209" s="11">
        <f t="shared" si="418"/>
        <v>544.60018866464998</v>
      </c>
      <c r="AU209" s="11">
        <f t="shared" si="419"/>
        <v>2093.3779895891644</v>
      </c>
      <c r="AV209" s="11">
        <f t="shared" si="420"/>
        <v>2.2392938701277679E-3</v>
      </c>
      <c r="AW209" s="11">
        <f t="shared" si="421"/>
        <v>3.8806923132088533E-7</v>
      </c>
      <c r="AX209" s="41">
        <f t="shared" ca="1" si="422"/>
        <v>1.1549974556374483</v>
      </c>
      <c r="AY209" s="41">
        <f t="shared" ca="1" si="423"/>
        <v>1.5558045197129602</v>
      </c>
      <c r="AZ209" s="41">
        <f t="shared" si="424"/>
        <v>0.1154626992577228</v>
      </c>
    </row>
    <row r="210" spans="1:52" ht="14.5">
      <c r="A210" s="41">
        <f t="shared" ca="1" si="425"/>
        <v>7.5556596106548461</v>
      </c>
      <c r="B210" s="41">
        <f t="shared" ca="1" si="426"/>
        <v>0.12592766017758078</v>
      </c>
      <c r="C210" s="41">
        <f t="shared" ca="1" si="426"/>
        <v>2.0987943362930131E-3</v>
      </c>
      <c r="D210" s="41">
        <f t="shared" ca="1" si="427"/>
        <v>12701.598701478122</v>
      </c>
      <c r="E210" s="41">
        <f t="shared" ca="1" si="428"/>
        <v>0.19892693051261767</v>
      </c>
      <c r="F210" s="41">
        <f t="shared" ca="1" si="429"/>
        <v>0.19892693051261767</v>
      </c>
      <c r="G210" s="41"/>
      <c r="H210" s="7">
        <f t="shared" si="430"/>
        <v>450</v>
      </c>
      <c r="I210" s="6">
        <v>15</v>
      </c>
      <c r="J210" s="41">
        <f t="shared" si="391"/>
        <v>0.16078736145654363</v>
      </c>
      <c r="K210" s="41">
        <f t="shared" si="392"/>
        <v>183.85304234676579</v>
      </c>
      <c r="L210" s="6">
        <f t="shared" si="434"/>
        <v>105.5</v>
      </c>
      <c r="M210" s="41">
        <f t="shared" si="393"/>
        <v>108.92998594178118</v>
      </c>
      <c r="N210" s="41">
        <f t="shared" si="394"/>
        <v>37.678124396868071</v>
      </c>
      <c r="O210" s="41">
        <f t="shared" si="395"/>
        <v>1056979.9804756858</v>
      </c>
      <c r="P210" s="41">
        <f t="shared" si="396"/>
        <v>6786554.1977506671</v>
      </c>
      <c r="Q210" s="41">
        <f t="shared" si="397"/>
        <v>3.1907037534728076E-3</v>
      </c>
      <c r="R210" s="41">
        <f t="shared" si="398"/>
        <v>2.4398315544441537E-2</v>
      </c>
      <c r="S210" s="24">
        <f t="shared" ca="1" si="431"/>
        <v>20.782901446518636</v>
      </c>
      <c r="T210" s="10">
        <f t="shared" ca="1" si="399"/>
        <v>20.782901446518636</v>
      </c>
      <c r="U210" s="41">
        <f t="shared" ca="1" si="400"/>
        <v>1.3703172293856267</v>
      </c>
      <c r="V210" s="41">
        <f t="shared" ca="1" si="401"/>
        <v>0.14299207250382684</v>
      </c>
      <c r="W210" s="41">
        <f t="shared" ca="1" si="402"/>
        <v>9.5831692302309524</v>
      </c>
      <c r="X210" s="20">
        <f t="shared" ca="1" si="403"/>
        <v>1239.1648119799884</v>
      </c>
      <c r="Y210" s="41">
        <f t="shared" si="404"/>
        <v>0.62154149268322478</v>
      </c>
      <c r="Z210" s="41">
        <f t="shared" ca="1" si="405"/>
        <v>138.92351370726604</v>
      </c>
      <c r="AA210" s="14">
        <f t="shared" ca="1" si="406"/>
        <v>1325.406908333603</v>
      </c>
      <c r="AB210" s="14">
        <f t="shared" si="432"/>
        <v>5746.0472982881147</v>
      </c>
      <c r="AC210" s="25">
        <f t="shared" ca="1" si="407"/>
        <v>243680.09244455385</v>
      </c>
      <c r="AD210" s="41">
        <f t="shared" si="408"/>
        <v>1056428.2772586839</v>
      </c>
      <c r="AE210" s="6">
        <v>100</v>
      </c>
      <c r="AF210" s="41">
        <f t="shared" si="409"/>
        <v>5746.0472982881147</v>
      </c>
      <c r="AG210" s="41"/>
      <c r="AH210" s="41"/>
      <c r="AI210" s="41">
        <f t="shared" si="410"/>
        <v>4256.1012428026979</v>
      </c>
      <c r="AJ210" s="13">
        <f t="shared" ca="1" si="411"/>
        <v>65.236201842109693</v>
      </c>
      <c r="AK210" s="11"/>
      <c r="AL210" s="6">
        <v>150</v>
      </c>
      <c r="AM210" s="41">
        <f t="shared" ca="1" si="412"/>
        <v>2.2993368063187214</v>
      </c>
      <c r="AN210" s="41">
        <f t="shared" ca="1" si="413"/>
        <v>2.7183917330541933</v>
      </c>
      <c r="AO210" s="41">
        <f t="shared" ca="1" si="414"/>
        <v>6.5047016350714762E-2</v>
      </c>
      <c r="AP210" s="67">
        <f t="shared" si="433"/>
        <v>0.74070069769016567</v>
      </c>
      <c r="AQ210" s="11">
        <f t="shared" si="415"/>
        <v>1.0489623132183759</v>
      </c>
      <c r="AR210" s="11">
        <f t="shared" si="416"/>
        <v>0.98384482197933598</v>
      </c>
      <c r="AS210" s="11">
        <f t="shared" si="417"/>
        <v>0.93792199164977674</v>
      </c>
      <c r="AT210" s="11">
        <f t="shared" si="418"/>
        <v>544.06528299697493</v>
      </c>
      <c r="AU210" s="11">
        <f t="shared" si="419"/>
        <v>2082.0320891691103</v>
      </c>
      <c r="AV210" s="11">
        <f t="shared" si="420"/>
        <v>2.2293467819523541E-3</v>
      </c>
      <c r="AW210" s="11">
        <f t="shared" si="421"/>
        <v>3.8777668061740615E-7</v>
      </c>
      <c r="AX210" s="41">
        <f t="shared" ca="1" si="422"/>
        <v>1.0991777916037235</v>
      </c>
      <c r="AY210" s="41">
        <f t="shared" ca="1" si="423"/>
        <v>1.4806143232595852</v>
      </c>
      <c r="AZ210" s="41">
        <f t="shared" si="424"/>
        <v>0.11976739732983829</v>
      </c>
    </row>
    <row r="211" spans="1:52" ht="14.5">
      <c r="A211" s="41">
        <f t="shared" ca="1" si="425"/>
        <v>9.8549964169735667</v>
      </c>
      <c r="B211" s="41">
        <f t="shared" ca="1" si="426"/>
        <v>0.16424994028289278</v>
      </c>
      <c r="C211" s="41">
        <f t="shared" ca="1" si="426"/>
        <v>2.7374990047148795E-3</v>
      </c>
      <c r="D211" s="41">
        <f t="shared" ca="1" si="427"/>
        <v>12698.880309745067</v>
      </c>
      <c r="E211" s="41">
        <f t="shared" ca="1" si="428"/>
        <v>0.26397394686333242</v>
      </c>
      <c r="F211" s="41">
        <f t="shared" ca="1" si="429"/>
        <v>0.26397394686333242</v>
      </c>
      <c r="G211" s="41"/>
      <c r="H211" s="7">
        <f t="shared" si="430"/>
        <v>600</v>
      </c>
      <c r="I211" s="6">
        <v>15</v>
      </c>
      <c r="J211" s="41">
        <f t="shared" si="391"/>
        <v>0.16657034126224995</v>
      </c>
      <c r="K211" s="41">
        <f t="shared" si="392"/>
        <v>190.37196446069328</v>
      </c>
      <c r="L211" s="6">
        <f t="shared" si="434"/>
        <v>109</v>
      </c>
      <c r="M211" s="41">
        <f t="shared" si="393"/>
        <v>112.7923429915294</v>
      </c>
      <c r="N211" s="41">
        <f t="shared" si="394"/>
        <v>40.217783514977498</v>
      </c>
      <c r="O211" s="41">
        <f t="shared" si="395"/>
        <v>1090413.8865185396</v>
      </c>
      <c r="P211" s="41">
        <f t="shared" si="396"/>
        <v>7001223.3680221951</v>
      </c>
      <c r="Q211" s="41">
        <f t="shared" si="397"/>
        <v>3.1739041282071493E-3</v>
      </c>
      <c r="R211" s="41">
        <f t="shared" si="398"/>
        <v>2.4296179947685834E-2</v>
      </c>
      <c r="S211" s="24">
        <f t="shared" ca="1" si="431"/>
        <v>20.895030244503303</v>
      </c>
      <c r="T211" s="10">
        <f t="shared" ca="1" si="399"/>
        <v>20.895030244503303</v>
      </c>
      <c r="U211" s="41">
        <f t="shared" ca="1" si="400"/>
        <v>1.2825543787273848</v>
      </c>
      <c r="V211" s="41">
        <f t="shared" ca="1" si="401"/>
        <v>0.12818556278361445</v>
      </c>
      <c r="W211" s="41">
        <f t="shared" ca="1" si="402"/>
        <v>10.005451088843911</v>
      </c>
      <c r="X211" s="20">
        <f t="shared" ca="1" si="403"/>
        <v>1185.7280191687014</v>
      </c>
      <c r="Y211" s="41">
        <f t="shared" si="404"/>
        <v>0.62023918788406551</v>
      </c>
      <c r="Z211" s="41">
        <f t="shared" ca="1" si="405"/>
        <v>139.16667927542019</v>
      </c>
      <c r="AA211" s="14">
        <f t="shared" ca="1" si="406"/>
        <v>1269.1961808602846</v>
      </c>
      <c r="AB211" s="14">
        <f t="shared" si="432"/>
        <v>5714.8721470284681</v>
      </c>
      <c r="AC211" s="25">
        <f t="shared" ca="1" si="407"/>
        <v>241619.37023638174</v>
      </c>
      <c r="AD211" s="41">
        <f t="shared" si="408"/>
        <v>1087951.4372715093</v>
      </c>
      <c r="AE211" s="6">
        <v>100</v>
      </c>
      <c r="AF211" s="41">
        <f t="shared" si="409"/>
        <v>5714.8721470284681</v>
      </c>
      <c r="AG211" s="41"/>
      <c r="AH211" s="41"/>
      <c r="AI211" s="41">
        <f t="shared" si="410"/>
        <v>4240.2535459910605</v>
      </c>
      <c r="AJ211" s="13">
        <f t="shared" ca="1" si="411"/>
        <v>67.897487330801241</v>
      </c>
      <c r="AK211" s="11"/>
      <c r="AL211" s="6">
        <v>150</v>
      </c>
      <c r="AM211" s="41">
        <f t="shared" ca="1" si="412"/>
        <v>2.2092128279974435</v>
      </c>
      <c r="AN211" s="41">
        <f t="shared" ca="1" si="413"/>
        <v>2.6021173688236385</v>
      </c>
      <c r="AO211" s="41">
        <f t="shared" ca="1" si="414"/>
        <v>6.4665255769005989E-2</v>
      </c>
      <c r="AP211" s="67">
        <f t="shared" si="433"/>
        <v>0.7419682255176685</v>
      </c>
      <c r="AQ211" s="11">
        <f t="shared" si="415"/>
        <v>1.0479310107183759</v>
      </c>
      <c r="AR211" s="11">
        <f t="shared" si="416"/>
        <v>0.97850697675304221</v>
      </c>
      <c r="AS211" s="11">
        <f t="shared" si="417"/>
        <v>0.93375133166663116</v>
      </c>
      <c r="AT211" s="11">
        <f t="shared" si="418"/>
        <v>543.53037732929999</v>
      </c>
      <c r="AU211" s="11">
        <f t="shared" si="419"/>
        <v>2070.7360343443229</v>
      </c>
      <c r="AV211" s="11">
        <f t="shared" si="420"/>
        <v>2.2194335402384155E-3</v>
      </c>
      <c r="AW211" s="11">
        <f t="shared" si="421"/>
        <v>3.8748398958321087E-7</v>
      </c>
      <c r="AX211" s="41">
        <f t="shared" ca="1" si="422"/>
        <v>1.0591190438137865</v>
      </c>
      <c r="AY211" s="41">
        <f t="shared" ca="1" si="423"/>
        <v>1.4266543941173788</v>
      </c>
      <c r="AZ211" s="41">
        <f t="shared" si="424"/>
        <v>0.12407833164441816</v>
      </c>
    </row>
    <row r="212" spans="1:52" ht="14.5">
      <c r="A212" s="41">
        <f t="shared" ca="1" si="425"/>
        <v>12.064209244971011</v>
      </c>
      <c r="B212" s="41">
        <f t="shared" ca="1" si="426"/>
        <v>0.20107015408285017</v>
      </c>
      <c r="C212" s="41">
        <f t="shared" ca="1" si="426"/>
        <v>3.3511692347141697E-3</v>
      </c>
      <c r="D212" s="41">
        <f t="shared" ca="1" si="427"/>
        <v>12696.278192376243</v>
      </c>
      <c r="E212" s="41">
        <f t="shared" ca="1" si="428"/>
        <v>0.32863920263233842</v>
      </c>
      <c r="F212" s="41">
        <f t="shared" ca="1" si="429"/>
        <v>0.32863920263233842</v>
      </c>
      <c r="G212" s="41"/>
      <c r="H212" s="7">
        <f t="shared" si="430"/>
        <v>750</v>
      </c>
      <c r="I212" s="6">
        <v>15</v>
      </c>
      <c r="J212" s="41">
        <f t="shared" si="391"/>
        <v>0.17238342359095954</v>
      </c>
      <c r="K212" s="41">
        <f t="shared" si="392"/>
        <v>196.91872304169127</v>
      </c>
      <c r="L212" s="6">
        <f t="shared" si="434"/>
        <v>112.5</v>
      </c>
      <c r="M212" s="41">
        <f t="shared" si="393"/>
        <v>116.67119270263341</v>
      </c>
      <c r="N212" s="41">
        <f t="shared" si="394"/>
        <v>42.839920744839262</v>
      </c>
      <c r="O212" s="41">
        <f t="shared" si="395"/>
        <v>1123740.963445819</v>
      </c>
      <c r="P212" s="41">
        <f t="shared" si="396"/>
        <v>7215206.6203046059</v>
      </c>
      <c r="Q212" s="41">
        <f t="shared" si="397"/>
        <v>3.157736396219136E-3</v>
      </c>
      <c r="R212" s="41">
        <f t="shared" si="398"/>
        <v>2.4197886031680597E-2</v>
      </c>
      <c r="S212" s="24">
        <f t="shared" ca="1" si="431"/>
        <v>20.974009121402961</v>
      </c>
      <c r="T212" s="10">
        <f t="shared" ca="1" si="399"/>
        <v>20.974009121402961</v>
      </c>
      <c r="U212" s="41">
        <f t="shared" ca="1" si="400"/>
        <v>1.2031706953014141</v>
      </c>
      <c r="V212" s="41">
        <f t="shared" ca="1" si="401"/>
        <v>0.11562480447561804</v>
      </c>
      <c r="W212" s="41">
        <f t="shared" ca="1" si="402"/>
        <v>10.40581820447643</v>
      </c>
      <c r="X212" s="20">
        <f t="shared" ca="1" si="403"/>
        <v>1139.2722157707929</v>
      </c>
      <c r="Y212" s="41">
        <f t="shared" si="404"/>
        <v>0.61898328005466785</v>
      </c>
      <c r="Z212" s="41">
        <f t="shared" ca="1" si="405"/>
        <v>139.42639961132014</v>
      </c>
      <c r="AA212" s="14">
        <f t="shared" ca="1" si="406"/>
        <v>1220.1133964568485</v>
      </c>
      <c r="AB212" s="14">
        <f t="shared" si="432"/>
        <v>5683.8340981225128</v>
      </c>
      <c r="AC212" s="25">
        <f t="shared" ca="1" si="407"/>
        <v>240263.17199634339</v>
      </c>
      <c r="AD212" s="41">
        <f t="shared" si="408"/>
        <v>1119253.3525831082</v>
      </c>
      <c r="AE212" s="6">
        <v>100</v>
      </c>
      <c r="AF212" s="41">
        <f t="shared" si="409"/>
        <v>5683.8340981225128</v>
      </c>
      <c r="AG212" s="41"/>
      <c r="AH212" s="41"/>
      <c r="AI212" s="41">
        <f t="shared" si="410"/>
        <v>4224.4319219207437</v>
      </c>
      <c r="AJ212" s="13">
        <f t="shared" ca="1" si="411"/>
        <v>70.485957309443108</v>
      </c>
      <c r="AK212" s="11"/>
      <c r="AL212" s="6">
        <v>150</v>
      </c>
      <c r="AM212" s="41">
        <f t="shared" ca="1" si="412"/>
        <v>2.1280834612414958</v>
      </c>
      <c r="AN212" s="41">
        <f t="shared" ca="1" si="413"/>
        <v>2.4972065850500447</v>
      </c>
      <c r="AO212" s="41">
        <f t="shared" ca="1" si="414"/>
        <v>6.4398700503602302E-2</v>
      </c>
      <c r="AP212" s="67">
        <f t="shared" si="433"/>
        <v>0.74323631706916993</v>
      </c>
      <c r="AQ212" s="11">
        <f t="shared" si="415"/>
        <v>1.0468997082183757</v>
      </c>
      <c r="AR212" s="11">
        <f t="shared" si="416"/>
        <v>0.97319260634931037</v>
      </c>
      <c r="AS212" s="11">
        <f t="shared" si="417"/>
        <v>0.92959487781833383</v>
      </c>
      <c r="AT212" s="11">
        <f t="shared" si="418"/>
        <v>542.99547166162495</v>
      </c>
      <c r="AU212" s="11">
        <f t="shared" si="419"/>
        <v>2059.4896574085374</v>
      </c>
      <c r="AV212" s="11">
        <f t="shared" si="420"/>
        <v>2.2095540650863975E-3</v>
      </c>
      <c r="AW212" s="11">
        <f t="shared" si="421"/>
        <v>3.8719115805318761E-7</v>
      </c>
      <c r="AX212" s="41">
        <f t="shared" ca="1" si="422"/>
        <v>1.0313765394840588</v>
      </c>
      <c r="AY212" s="41">
        <f t="shared" ca="1" si="423"/>
        <v>1.3892846896096529</v>
      </c>
      <c r="AZ212" s="41">
        <f t="shared" si="424"/>
        <v>0.12839532559340916</v>
      </c>
    </row>
    <row r="213" spans="1:52" ht="14.5">
      <c r="A213" s="41">
        <f t="shared" ca="1" si="425"/>
        <v>14.192292706212505</v>
      </c>
      <c r="B213" s="41">
        <f t="shared" ca="1" si="426"/>
        <v>0.23653821177020842</v>
      </c>
      <c r="C213" s="41">
        <f t="shared" ca="1" si="426"/>
        <v>3.9423035295034735E-3</v>
      </c>
      <c r="D213" s="41">
        <f t="shared" ca="1" si="427"/>
        <v>12693.780985791193</v>
      </c>
      <c r="E213" s="41">
        <f t="shared" ca="1" si="428"/>
        <v>0.39303790313594072</v>
      </c>
      <c r="F213" s="41">
        <f t="shared" ca="1" si="429"/>
        <v>0.39303790313594072</v>
      </c>
      <c r="G213" s="41"/>
      <c r="H213" s="7">
        <f t="shared" si="430"/>
        <v>900</v>
      </c>
      <c r="I213" s="6">
        <v>15</v>
      </c>
      <c r="J213" s="41">
        <f t="shared" si="391"/>
        <v>0.1782267087448241</v>
      </c>
      <c r="K213" s="41">
        <f t="shared" si="392"/>
        <v>203.49337691309842</v>
      </c>
      <c r="L213" s="6">
        <f t="shared" si="434"/>
        <v>116</v>
      </c>
      <c r="M213" s="41">
        <f t="shared" si="393"/>
        <v>120.56656992698021</v>
      </c>
      <c r="N213" s="41">
        <f t="shared" si="394"/>
        <v>45.5444698263478</v>
      </c>
      <c r="O213" s="41">
        <f t="shared" si="395"/>
        <v>1156960.8796498121</v>
      </c>
      <c r="P213" s="41">
        <f t="shared" si="396"/>
        <v>7428501.8254433768</v>
      </c>
      <c r="Q213" s="41">
        <f t="shared" si="397"/>
        <v>3.1421560043766736E-3</v>
      </c>
      <c r="R213" s="41">
        <f t="shared" si="398"/>
        <v>2.4103162929626019E-2</v>
      </c>
      <c r="S213" s="24">
        <f t="shared" ca="1" si="431"/>
        <v>21.023936988202895</v>
      </c>
      <c r="T213" s="10">
        <f t="shared" ca="1" si="399"/>
        <v>21.023936988202895</v>
      </c>
      <c r="U213" s="41">
        <f t="shared" ca="1" si="400"/>
        <v>1.1311222885228995</v>
      </c>
      <c r="V213" s="41">
        <f t="shared" ca="1" si="401"/>
        <v>0.1049082515986173</v>
      </c>
      <c r="W213" s="41">
        <f t="shared" ca="1" si="402"/>
        <v>10.782014486816667</v>
      </c>
      <c r="X213" s="20">
        <f t="shared" ca="1" si="403"/>
        <v>1098.9378608776697</v>
      </c>
      <c r="Y213" s="41">
        <f t="shared" si="404"/>
        <v>0.61777058097927773</v>
      </c>
      <c r="Z213" s="41">
        <f t="shared" ca="1" si="405"/>
        <v>139.70097529092519</v>
      </c>
      <c r="AA213" s="14">
        <f t="shared" ca="1" si="406"/>
        <v>1177.3106965597265</v>
      </c>
      <c r="AB213" s="14">
        <f t="shared" si="432"/>
        <v>5652.9326898101672</v>
      </c>
      <c r="AC213" s="25">
        <f t="shared" ca="1" si="407"/>
        <v>239574.92931885086</v>
      </c>
      <c r="AD213" s="41">
        <f t="shared" si="408"/>
        <v>1150334.3625119156</v>
      </c>
      <c r="AE213" s="6">
        <v>100</v>
      </c>
      <c r="AF213" s="41">
        <f t="shared" si="409"/>
        <v>5652.9326898101672</v>
      </c>
      <c r="AG213" s="41"/>
      <c r="AH213" s="41"/>
      <c r="AI213" s="41">
        <f t="shared" si="410"/>
        <v>4208.6361666410767</v>
      </c>
      <c r="AJ213" s="13">
        <f t="shared" ca="1" si="411"/>
        <v>73.004866494984753</v>
      </c>
      <c r="AK213" s="11"/>
      <c r="AL213" s="6">
        <v>150</v>
      </c>
      <c r="AM213" s="41">
        <f t="shared" ca="1" si="412"/>
        <v>2.0546575482102227</v>
      </c>
      <c r="AN213" s="41">
        <f t="shared" ca="1" si="413"/>
        <v>2.4020294631832293</v>
      </c>
      <c r="AO213" s="41">
        <f t="shared" ca="1" si="414"/>
        <v>6.4231179762876206E-2</v>
      </c>
      <c r="AP213" s="67">
        <f t="shared" si="433"/>
        <v>0.74450491410015496</v>
      </c>
      <c r="AQ213" s="11">
        <f t="shared" si="415"/>
        <v>1.0458684057183758</v>
      </c>
      <c r="AR213" s="11">
        <f t="shared" si="416"/>
        <v>0.96790163170504873</v>
      </c>
      <c r="AS213" s="11">
        <f t="shared" si="417"/>
        <v>0.92545259653409839</v>
      </c>
      <c r="AT213" s="11">
        <f t="shared" si="418"/>
        <v>542.4605659939499</v>
      </c>
      <c r="AU213" s="11">
        <f t="shared" si="419"/>
        <v>2048.2927910468579</v>
      </c>
      <c r="AV213" s="11">
        <f t="shared" si="420"/>
        <v>2.1997082767018982E-3</v>
      </c>
      <c r="AW213" s="11">
        <f t="shared" si="421"/>
        <v>3.8689818586195294E-7</v>
      </c>
      <c r="AX213" s="41">
        <f t="shared" ca="1" si="422"/>
        <v>1.0134421023785076</v>
      </c>
      <c r="AY213" s="41">
        <f t="shared" ca="1" si="423"/>
        <v>1.3651266465151555</v>
      </c>
      <c r="AZ213" s="41">
        <f t="shared" si="424"/>
        <v>0.13271819810494687</v>
      </c>
    </row>
    <row r="214" spans="1:52" ht="14.5">
      <c r="A214" s="41">
        <f t="shared" ca="1" si="425"/>
        <v>16.246950254422728</v>
      </c>
      <c r="B214" s="41">
        <f t="shared" ca="1" si="426"/>
        <v>0.27078250424037881</v>
      </c>
      <c r="C214" s="41">
        <f t="shared" ca="1" si="426"/>
        <v>4.5130417373396466E-3</v>
      </c>
      <c r="D214" s="41">
        <f t="shared" ca="1" si="427"/>
        <v>12691.37895632801</v>
      </c>
      <c r="E214" s="41">
        <f t="shared" ca="1" si="428"/>
        <v>0.45726908289881696</v>
      </c>
      <c r="F214" s="41">
        <f t="shared" ca="1" si="429"/>
        <v>0.45726908289881696</v>
      </c>
      <c r="G214" s="41"/>
      <c r="H214" s="7">
        <f t="shared" si="430"/>
        <v>1050</v>
      </c>
      <c r="I214" s="6">
        <v>15</v>
      </c>
      <c r="J214" s="41">
        <f t="shared" si="391"/>
        <v>0.18410029427866442</v>
      </c>
      <c r="K214" s="41">
        <f t="shared" si="392"/>
        <v>210.09598147730367</v>
      </c>
      <c r="L214" s="6">
        <f t="shared" si="434"/>
        <v>119.5</v>
      </c>
      <c r="M214" s="41">
        <f t="shared" si="393"/>
        <v>124.47850748959878</v>
      </c>
      <c r="N214" s="41">
        <f t="shared" si="394"/>
        <v>48.331358777720524</v>
      </c>
      <c r="O214" s="41">
        <f t="shared" si="395"/>
        <v>1190073.2861860069</v>
      </c>
      <c r="P214" s="41">
        <f t="shared" si="396"/>
        <v>7641106.7429695399</v>
      </c>
      <c r="Q214" s="41">
        <f t="shared" si="397"/>
        <v>3.1271226719461337E-3</v>
      </c>
      <c r="R214" s="41">
        <f t="shared" si="398"/>
        <v>2.4011765749347314E-2</v>
      </c>
      <c r="S214" s="24">
        <f t="shared" ca="1" si="431"/>
        <v>21.048282883215528</v>
      </c>
      <c r="T214" s="10">
        <f t="shared" ca="1" si="399"/>
        <v>21.048282883215528</v>
      </c>
      <c r="U214" s="41">
        <f t="shared" ca="1" si="400"/>
        <v>1.0655235332615827</v>
      </c>
      <c r="V214" s="41">
        <f t="shared" ca="1" si="401"/>
        <v>9.5716145408658734E-2</v>
      </c>
      <c r="W214" s="41">
        <f t="shared" ca="1" si="402"/>
        <v>11.132119129038731</v>
      </c>
      <c r="X214" s="20">
        <f t="shared" ca="1" si="403"/>
        <v>1064.001013850261</v>
      </c>
      <c r="Y214" s="41">
        <f t="shared" si="404"/>
        <v>0.6165982013146466</v>
      </c>
      <c r="Z214" s="41">
        <f t="shared" ca="1" si="405"/>
        <v>139.98891511547419</v>
      </c>
      <c r="AA214" s="14">
        <f t="shared" ca="1" si="406"/>
        <v>1140.0685538139694</v>
      </c>
      <c r="AB214" s="14">
        <f t="shared" si="432"/>
        <v>5622.1674614100302</v>
      </c>
      <c r="AC214" s="25">
        <f t="shared" ca="1" si="407"/>
        <v>239523.82176495608</v>
      </c>
      <c r="AD214" s="41">
        <f t="shared" si="408"/>
        <v>1181194.7908347012</v>
      </c>
      <c r="AE214" s="6">
        <v>100</v>
      </c>
      <c r="AF214" s="41">
        <f t="shared" si="409"/>
        <v>5622.1674614100302</v>
      </c>
      <c r="AG214" s="41"/>
      <c r="AH214" s="41"/>
      <c r="AI214" s="41">
        <f t="shared" si="410"/>
        <v>4192.8660760125922</v>
      </c>
      <c r="AJ214" s="13">
        <f t="shared" ca="1" si="411"/>
        <v>75.456926850292504</v>
      </c>
      <c r="AK214" s="11"/>
      <c r="AL214" s="6">
        <v>150</v>
      </c>
      <c r="AM214" s="41">
        <f t="shared" ca="1" si="412"/>
        <v>1.9878890681249435</v>
      </c>
      <c r="AN214" s="41">
        <f t="shared" ca="1" si="413"/>
        <v>2.3152646212826</v>
      </c>
      <c r="AO214" s="41">
        <f t="shared" ca="1" si="414"/>
        <v>6.4149768295199014E-2</v>
      </c>
      <c r="AP214" s="67">
        <f t="shared" si="433"/>
        <v>0.74577395724904794</v>
      </c>
      <c r="AQ214" s="11">
        <f t="shared" si="415"/>
        <v>1.0448371032183759</v>
      </c>
      <c r="AR214" s="11">
        <f t="shared" si="416"/>
        <v>0.96263397394185846</v>
      </c>
      <c r="AS214" s="11">
        <f t="shared" si="417"/>
        <v>0.9213244542873622</v>
      </c>
      <c r="AT214" s="11">
        <f t="shared" si="418"/>
        <v>541.92566032627496</v>
      </c>
      <c r="AU214" s="11">
        <f t="shared" si="419"/>
        <v>2037.1452683352395</v>
      </c>
      <c r="AV214" s="11">
        <f t="shared" si="420"/>
        <v>2.1898960953956313E-3</v>
      </c>
      <c r="AW214" s="11">
        <f t="shared" si="421"/>
        <v>3.8660507284384917E-7</v>
      </c>
      <c r="AX214" s="41">
        <f t="shared" ca="1" si="422"/>
        <v>1.0034579830958485</v>
      </c>
      <c r="AY214" s="41">
        <f t="shared" ca="1" si="423"/>
        <v>1.3516778394814279</v>
      </c>
      <c r="AZ214" s="41">
        <f t="shared" si="424"/>
        <v>0.13704676361999987</v>
      </c>
    </row>
    <row r="215" spans="1:52" ht="14.5">
      <c r="A215" s="41">
        <f t="shared" ca="1" si="425"/>
        <v>18.234839322547671</v>
      </c>
      <c r="B215" s="41">
        <f t="shared" ca="1" si="426"/>
        <v>0.30391398870912784</v>
      </c>
      <c r="C215" s="41">
        <f t="shared" ca="1" si="426"/>
        <v>5.0652331451521305E-3</v>
      </c>
      <c r="D215" s="41">
        <f t="shared" ca="1" si="427"/>
        <v>12689.063691706728</v>
      </c>
      <c r="E215" s="41">
        <f t="shared" ca="1" si="428"/>
        <v>0.52141885119401599</v>
      </c>
      <c r="F215" s="41">
        <f t="shared" ca="1" si="429"/>
        <v>0.52141885119401599</v>
      </c>
      <c r="G215" s="41"/>
      <c r="H215" s="7">
        <f t="shared" si="430"/>
        <v>1200</v>
      </c>
      <c r="I215" s="6">
        <v>15</v>
      </c>
      <c r="J215" s="41">
        <f t="shared" si="391"/>
        <v>0.19000427493684688</v>
      </c>
      <c r="K215" s="41">
        <f t="shared" si="392"/>
        <v>216.72658865105112</v>
      </c>
      <c r="L215" s="6">
        <f t="shared" si="434"/>
        <v>123</v>
      </c>
      <c r="M215" s="41">
        <f t="shared" si="393"/>
        <v>128.40703615032936</v>
      </c>
      <c r="N215" s="41">
        <f t="shared" si="394"/>
        <v>51.200509648781015</v>
      </c>
      <c r="O215" s="41">
        <f t="shared" si="395"/>
        <v>1223077.8167761604</v>
      </c>
      <c r="P215" s="41">
        <f t="shared" si="396"/>
        <v>7853019.021119399</v>
      </c>
      <c r="Q215" s="41">
        <f t="shared" si="397"/>
        <v>3.1125998679524267E-3</v>
      </c>
      <c r="R215" s="41">
        <f t="shared" si="398"/>
        <v>2.3923472395834512E-2</v>
      </c>
      <c r="S215" s="24">
        <f t="shared" ca="1" si="431"/>
        <v>21.0499985507521</v>
      </c>
      <c r="T215" s="10">
        <f t="shared" ca="1" si="399"/>
        <v>21.0499985507521</v>
      </c>
      <c r="U215" s="41">
        <f t="shared" ca="1" si="400"/>
        <v>1.0056191326070425</v>
      </c>
      <c r="V215" s="41">
        <f t="shared" ca="1" si="401"/>
        <v>8.7791962004691027E-2</v>
      </c>
      <c r="W215" s="41">
        <f t="shared" ca="1" si="402"/>
        <v>11.454569526004088</v>
      </c>
      <c r="X215" s="20">
        <f t="shared" ca="1" si="403"/>
        <v>1033.8484354725178</v>
      </c>
      <c r="Y215" s="41">
        <f t="shared" si="404"/>
        <v>0.61546351462994453</v>
      </c>
      <c r="Z215" s="41">
        <f t="shared" ca="1" si="405"/>
        <v>140.28890906280776</v>
      </c>
      <c r="AA215" s="14">
        <f t="shared" ca="1" si="406"/>
        <v>1107.7730736978024</v>
      </c>
      <c r="AB215" s="14">
        <f t="shared" si="432"/>
        <v>5591.5379533180067</v>
      </c>
      <c r="AC215" s="25">
        <f t="shared" ca="1" si="407"/>
        <v>240083.87926201415</v>
      </c>
      <c r="AD215" s="41">
        <f t="shared" si="408"/>
        <v>1211834.9459354919</v>
      </c>
      <c r="AE215" s="6">
        <v>100</v>
      </c>
      <c r="AF215" s="41">
        <f t="shared" si="409"/>
        <v>5591.5379533180067</v>
      </c>
      <c r="AG215" s="41"/>
      <c r="AH215" s="41"/>
      <c r="AI215" s="41">
        <f t="shared" si="410"/>
        <v>4177.1214458063341</v>
      </c>
      <c r="AJ215" s="13">
        <f t="shared" ca="1" si="411"/>
        <v>77.84439619283269</v>
      </c>
      <c r="AK215" s="11"/>
      <c r="AL215" s="6">
        <v>150</v>
      </c>
      <c r="AM215" s="41">
        <f t="shared" ca="1" si="412"/>
        <v>1.9269209774384612</v>
      </c>
      <c r="AN215" s="41">
        <f t="shared" ca="1" si="413"/>
        <v>2.2358285942311946</v>
      </c>
      <c r="AO215" s="41">
        <f t="shared" ca="1" si="414"/>
        <v>6.4144037968812351E-2</v>
      </c>
      <c r="AP215" s="67">
        <f t="shared" si="433"/>
        <v>0.74704338603793952</v>
      </c>
      <c r="AQ215" s="11">
        <f t="shared" si="415"/>
        <v>1.0438058007183759</v>
      </c>
      <c r="AR215" s="11">
        <f t="shared" si="416"/>
        <v>0.95738955436579787</v>
      </c>
      <c r="AS215" s="11">
        <f t="shared" si="417"/>
        <v>0.91721041759577882</v>
      </c>
      <c r="AT215" s="11">
        <f t="shared" si="418"/>
        <v>541.39075465860003</v>
      </c>
      <c r="AU215" s="11">
        <f t="shared" si="419"/>
        <v>2026.0469227399885</v>
      </c>
      <c r="AV215" s="11">
        <f t="shared" si="420"/>
        <v>2.1801174415834066E-3</v>
      </c>
      <c r="AW215" s="11">
        <f t="shared" si="421"/>
        <v>3.8631181883294748E-7</v>
      </c>
      <c r="AX215" s="41">
        <f t="shared" ca="1" si="422"/>
        <v>1.0000262306663181</v>
      </c>
      <c r="AY215" s="41">
        <f t="shared" ca="1" si="423"/>
        <v>1.3470552007783385</v>
      </c>
      <c r="AZ215" s="41">
        <f t="shared" si="424"/>
        <v>0.14138083207078939</v>
      </c>
    </row>
    <row r="216" spans="1:52" ht="14.5">
      <c r="A216" s="41">
        <f t="shared" ca="1" si="425"/>
        <v>20.161760299986131</v>
      </c>
      <c r="B216" s="41">
        <f t="shared" ca="1" si="426"/>
        <v>0.33602933833310217</v>
      </c>
      <c r="C216" s="41">
        <f t="shared" ca="1" si="426"/>
        <v>5.6004889722183699E-3</v>
      </c>
      <c r="D216" s="41">
        <f t="shared" ca="1" si="427"/>
        <v>12686.827863112496</v>
      </c>
      <c r="E216" s="41">
        <f t="shared" ca="1" si="428"/>
        <v>0.58556288916282839</v>
      </c>
      <c r="F216" s="41">
        <f t="shared" ca="1" si="429"/>
        <v>0.58556288916282839</v>
      </c>
      <c r="G216" s="41"/>
      <c r="H216" s="7">
        <f t="shared" si="430"/>
        <v>1350</v>
      </c>
      <c r="I216" s="6">
        <v>15</v>
      </c>
      <c r="J216" s="41">
        <f t="shared" si="391"/>
        <v>0.19593874259034583</v>
      </c>
      <c r="K216" s="41">
        <f t="shared" si="392"/>
        <v>223.38524680118053</v>
      </c>
      <c r="L216" s="6">
        <f t="shared" si="434"/>
        <v>126.5</v>
      </c>
      <c r="M216" s="41">
        <f t="shared" si="393"/>
        <v>132.35218456575063</v>
      </c>
      <c r="N216" s="41">
        <f t="shared" si="394"/>
        <v>54.15183827305647</v>
      </c>
      <c r="O216" s="41">
        <f t="shared" si="395"/>
        <v>1255974.0878189618</v>
      </c>
      <c r="P216" s="41">
        <f t="shared" si="396"/>
        <v>8064236.1969029885</v>
      </c>
      <c r="Q216" s="41">
        <f t="shared" si="397"/>
        <v>3.0985543653626458E-3</v>
      </c>
      <c r="R216" s="41">
        <f t="shared" si="398"/>
        <v>2.3838080860841552E-2</v>
      </c>
      <c r="S216" s="24">
        <f t="shared" ca="1" si="431"/>
        <v>21.031608410093188</v>
      </c>
      <c r="T216" s="10">
        <f t="shared" ca="1" si="399"/>
        <v>21.031608410093188</v>
      </c>
      <c r="U216" s="41">
        <f t="shared" ca="1" si="400"/>
        <v>0.95076174716221218</v>
      </c>
      <c r="V216" s="41">
        <f t="shared" ca="1" si="401"/>
        <v>8.0928468385191354E-2</v>
      </c>
      <c r="W216" s="41">
        <f t="shared" ca="1" si="402"/>
        <v>11.748174235016002</v>
      </c>
      <c r="X216" s="20">
        <f t="shared" ca="1" si="403"/>
        <v>1007.9578262866405</v>
      </c>
      <c r="Y216" s="41">
        <f t="shared" si="404"/>
        <v>0.61436412666172191</v>
      </c>
      <c r="Z216" s="41">
        <f t="shared" ca="1" si="405"/>
        <v>140.59980438751921</v>
      </c>
      <c r="AA216" s="14">
        <f t="shared" ca="1" si="406"/>
        <v>1079.8978300218591</v>
      </c>
      <c r="AB216" s="14">
        <f t="shared" si="432"/>
        <v>5561.0437070058688</v>
      </c>
      <c r="AC216" s="25">
        <f t="shared" ca="1" si="407"/>
        <v>241233.24327949231</v>
      </c>
      <c r="AD216" s="41">
        <f t="shared" si="408"/>
        <v>1242255.120961658</v>
      </c>
      <c r="AE216" s="6">
        <v>100</v>
      </c>
      <c r="AF216" s="41">
        <f t="shared" si="409"/>
        <v>5561.0437070058688</v>
      </c>
      <c r="AG216" s="41"/>
      <c r="AH216" s="41"/>
      <c r="AI216" s="41">
        <f t="shared" si="410"/>
        <v>4161.4020718043803</v>
      </c>
      <c r="AJ216" s="13">
        <f t="shared" ca="1" si="411"/>
        <v>80.169150566681452</v>
      </c>
      <c r="AK216" s="11"/>
      <c r="AL216" s="6">
        <v>150</v>
      </c>
      <c r="AM216" s="41">
        <f t="shared" ca="1" si="412"/>
        <v>1.8710438983039501</v>
      </c>
      <c r="AN216" s="41">
        <f t="shared" ca="1" si="413"/>
        <v>2.1628238763441674</v>
      </c>
      <c r="AO216" s="41">
        <f t="shared" ca="1" si="414"/>
        <v>6.4205507491688837E-2</v>
      </c>
      <c r="AP216" s="67">
        <f t="shared" si="433"/>
        <v>0.74831313887387663</v>
      </c>
      <c r="AQ216" s="11">
        <f t="shared" si="415"/>
        <v>1.0427744982183758</v>
      </c>
      <c r="AR216" s="11">
        <f t="shared" si="416"/>
        <v>0.95216829446713724</v>
      </c>
      <c r="AS216" s="11">
        <f t="shared" si="417"/>
        <v>0.91311045302120153</v>
      </c>
      <c r="AT216" s="11">
        <f t="shared" si="418"/>
        <v>540.85584899092487</v>
      </c>
      <c r="AU216" s="11">
        <f t="shared" si="419"/>
        <v>2014.997588117245</v>
      </c>
      <c r="AV216" s="11">
        <f t="shared" si="420"/>
        <v>2.170372235786094E-3</v>
      </c>
      <c r="AW216" s="11">
        <f t="shared" si="421"/>
        <v>3.8601842366304506E-7</v>
      </c>
      <c r="AX216" s="41">
        <f t="shared" ca="1" si="422"/>
        <v>1.002079315804463</v>
      </c>
      <c r="AY216" s="41">
        <f t="shared" ca="1" si="423"/>
        <v>1.3498207472491905</v>
      </c>
      <c r="AZ216" s="41">
        <f t="shared" si="424"/>
        <v>0.14572020886099907</v>
      </c>
    </row>
    <row r="217" spans="1:52" ht="14.5">
      <c r="A217" s="41">
        <f t="shared" ca="1" si="425"/>
        <v>22.03280419829008</v>
      </c>
      <c r="B217" s="41">
        <f t="shared" ca="1" si="426"/>
        <v>0.36721340330483465</v>
      </c>
      <c r="C217" s="41">
        <f t="shared" ca="1" si="426"/>
        <v>6.1202233884139106E-3</v>
      </c>
      <c r="D217" s="41">
        <f t="shared" ca="1" si="427"/>
        <v>12684.665039236152</v>
      </c>
      <c r="E217" s="41">
        <f t="shared" ca="1" si="428"/>
        <v>0.64976839665451724</v>
      </c>
      <c r="F217" s="41">
        <f t="shared" ca="1" si="429"/>
        <v>0.64976839665451724</v>
      </c>
      <c r="G217" s="41"/>
      <c r="H217" s="7">
        <f t="shared" si="430"/>
        <v>1500</v>
      </c>
      <c r="I217" s="6">
        <v>15</v>
      </c>
      <c r="J217" s="41">
        <f t="shared" si="391"/>
        <v>0.20190378617420238</v>
      </c>
      <c r="K217" s="41">
        <f t="shared" si="392"/>
        <v>230.07200068104268</v>
      </c>
      <c r="L217" s="6">
        <f t="shared" si="434"/>
        <v>130</v>
      </c>
      <c r="M217" s="41">
        <f t="shared" si="393"/>
        <v>136.31397925150691</v>
      </c>
      <c r="N217" s="41">
        <f t="shared" si="394"/>
        <v>57.185254018937407</v>
      </c>
      <c r="O217" s="41">
        <f t="shared" si="395"/>
        <v>1288761.698409497</v>
      </c>
      <c r="P217" s="41">
        <f t="shared" si="396"/>
        <v>8274755.6962290499</v>
      </c>
      <c r="Q217" s="41">
        <f t="shared" si="397"/>
        <v>3.0849558590139515E-3</v>
      </c>
      <c r="R217" s="41">
        <f t="shared" si="398"/>
        <v>2.3755406900027122E-2</v>
      </c>
      <c r="S217" s="24">
        <f t="shared" ca="1" si="431"/>
        <v>20.995281892908924</v>
      </c>
      <c r="T217" s="10">
        <f t="shared" ca="1" si="399"/>
        <v>20.995281892908924</v>
      </c>
      <c r="U217" s="41">
        <f t="shared" ca="1" si="400"/>
        <v>0.90039396779249836</v>
      </c>
      <c r="V217" s="41">
        <f t="shared" ca="1" si="401"/>
        <v>7.4957149783298593E-2</v>
      </c>
      <c r="W217" s="41">
        <f t="shared" ca="1" si="402"/>
        <v>12.012115860802348</v>
      </c>
      <c r="X217" s="20">
        <f t="shared" ca="1" si="403"/>
        <v>985.88203970549785</v>
      </c>
      <c r="Y217" s="41">
        <f t="shared" si="404"/>
        <v>0.61329784890607097</v>
      </c>
      <c r="Z217" s="41">
        <f t="shared" ca="1" si="405"/>
        <v>140.92058474876634</v>
      </c>
      <c r="AA217" s="14">
        <f t="shared" ca="1" si="406"/>
        <v>1055.9892350546211</v>
      </c>
      <c r="AB217" s="14">
        <f t="shared" si="432"/>
        <v>5530.6842650198869</v>
      </c>
      <c r="AC217" s="25">
        <f t="shared" ca="1" si="407"/>
        <v>242953.55600666051</v>
      </c>
      <c r="AD217" s="41">
        <f t="shared" si="408"/>
        <v>1272455.5939882875</v>
      </c>
      <c r="AE217" s="6">
        <v>100</v>
      </c>
      <c r="AF217" s="41">
        <f t="shared" si="409"/>
        <v>5530.6842650198869</v>
      </c>
      <c r="AG217" s="41"/>
      <c r="AH217" s="41"/>
      <c r="AI217" s="41">
        <f t="shared" si="410"/>
        <v>4145.7077499018233</v>
      </c>
      <c r="AJ217" s="13">
        <f t="shared" ca="1" si="411"/>
        <v>82.432743587898671</v>
      </c>
      <c r="AK217" s="11"/>
      <c r="AL217" s="6">
        <v>150</v>
      </c>
      <c r="AM217" s="41">
        <f t="shared" ca="1" si="412"/>
        <v>1.8196652625064438</v>
      </c>
      <c r="AN217" s="41">
        <f t="shared" ca="1" si="413"/>
        <v>2.0955001058333611</v>
      </c>
      <c r="AO217" s="41">
        <f t="shared" ca="1" si="414"/>
        <v>6.4327231909202282E-2</v>
      </c>
      <c r="AP217" s="67">
        <f t="shared" si="433"/>
        <v>0.74958315305075851</v>
      </c>
      <c r="AQ217" s="11">
        <f t="shared" si="415"/>
        <v>1.0417431957183758</v>
      </c>
      <c r="AR217" s="11">
        <f t="shared" si="416"/>
        <v>0.94697011592012315</v>
      </c>
      <c r="AS217" s="11">
        <f t="shared" si="417"/>
        <v>0.9090245271696753</v>
      </c>
      <c r="AT217" s="11">
        <f t="shared" si="418"/>
        <v>540.32094332324994</v>
      </c>
      <c r="AU217" s="11">
        <f t="shared" si="419"/>
        <v>2003.9970987124827</v>
      </c>
      <c r="AV217" s="11">
        <f t="shared" si="420"/>
        <v>2.1606603986296011E-3</v>
      </c>
      <c r="AW217" s="11">
        <f t="shared" si="421"/>
        <v>3.8572488716766502E-7</v>
      </c>
      <c r="AX217" s="41">
        <f t="shared" ca="1" si="422"/>
        <v>1.008790812651692</v>
      </c>
      <c r="AY217" s="41">
        <f t="shared" ca="1" si="423"/>
        <v>1.358861266843405</v>
      </c>
      <c r="AZ217" s="41">
        <f t="shared" si="424"/>
        <v>0.15006469484794782</v>
      </c>
    </row>
    <row r="218" spans="1:52" ht="14.5">
      <c r="A218" s="41">
        <f t="shared" ca="1" si="425"/>
        <v>23.852469460796524</v>
      </c>
      <c r="B218" s="41">
        <f t="shared" ca="1" si="426"/>
        <v>0.39754115767994208</v>
      </c>
      <c r="C218" s="41">
        <f t="shared" ca="1" si="426"/>
        <v>6.625685961332368E-3</v>
      </c>
      <c r="D218" s="41">
        <f t="shared" ca="1" si="427"/>
        <v>12682.569539130318</v>
      </c>
      <c r="E218" s="41">
        <f t="shared" ca="1" si="428"/>
        <v>0.71409562856371955</v>
      </c>
      <c r="F218" s="41">
        <f t="shared" ca="1" si="429"/>
        <v>0.71409562856371955</v>
      </c>
      <c r="G218" s="41"/>
      <c r="H218" s="7">
        <f t="shared" si="430"/>
        <v>1650</v>
      </c>
      <c r="I218" s="6">
        <v>15</v>
      </c>
      <c r="J218" s="41">
        <f t="shared" si="391"/>
        <v>0.20789949162524371</v>
      </c>
      <c r="K218" s="41">
        <f t="shared" si="392"/>
        <v>236.78689136743398</v>
      </c>
      <c r="L218" s="6">
        <f t="shared" si="434"/>
        <v>133.5</v>
      </c>
      <c r="M218" s="41">
        <f t="shared" si="393"/>
        <v>140.29244454494275</v>
      </c>
      <c r="N218" s="41">
        <f t="shared" si="394"/>
        <v>60.300659539968223</v>
      </c>
      <c r="O218" s="41">
        <f t="shared" si="395"/>
        <v>1321440.2303664624</v>
      </c>
      <c r="P218" s="41">
        <f t="shared" si="396"/>
        <v>8484574.8340797629</v>
      </c>
      <c r="Q218" s="41">
        <f t="shared" si="397"/>
        <v>3.0717766367223441E-3</v>
      </c>
      <c r="R218" s="41">
        <f t="shared" si="398"/>
        <v>2.3675282033415897E-2</v>
      </c>
      <c r="S218" s="24">
        <f t="shared" ca="1" si="431"/>
        <v>20.942891950008171</v>
      </c>
      <c r="T218" s="10">
        <f t="shared" ca="1" si="399"/>
        <v>20.942891950008171</v>
      </c>
      <c r="U218" s="41">
        <f t="shared" ca="1" si="400"/>
        <v>0.85403369961933351</v>
      </c>
      <c r="V218" s="41">
        <f t="shared" ca="1" si="401"/>
        <v>6.9740126258867746E-2</v>
      </c>
      <c r="W218" s="41">
        <f t="shared" ca="1" si="402"/>
        <v>12.245944271010545</v>
      </c>
      <c r="X218" s="20">
        <f t="shared" ca="1" si="403"/>
        <v>967.23639025638772</v>
      </c>
      <c r="Y218" s="41">
        <f t="shared" si="404"/>
        <v>0.61226267583737526</v>
      </c>
      <c r="Z218" s="41">
        <f t="shared" ca="1" si="405"/>
        <v>141.25035211454849</v>
      </c>
      <c r="AA218" s="14">
        <f t="shared" ca="1" si="406"/>
        <v>1035.6546835798838</v>
      </c>
      <c r="AB218" s="14">
        <f t="shared" si="432"/>
        <v>5500.4591709793976</v>
      </c>
      <c r="AC218" s="25">
        <f t="shared" ca="1" si="407"/>
        <v>245229.45305500415</v>
      </c>
      <c r="AD218" s="41">
        <f t="shared" si="408"/>
        <v>1302436.6281897046</v>
      </c>
      <c r="AE218" s="6">
        <v>100</v>
      </c>
      <c r="AF218" s="41">
        <f t="shared" si="409"/>
        <v>5500.4591709793976</v>
      </c>
      <c r="AG218" s="41"/>
      <c r="AH218" s="41"/>
      <c r="AI218" s="41">
        <f t="shared" si="410"/>
        <v>4130.0382762098434</v>
      </c>
      <c r="AJ218" s="13">
        <f t="shared" ca="1" si="411"/>
        <v>84.636455318583899</v>
      </c>
      <c r="AK218" s="11"/>
      <c r="AL218" s="6">
        <v>150</v>
      </c>
      <c r="AM218" s="41">
        <f t="shared" ca="1" si="412"/>
        <v>1.7722859426872053</v>
      </c>
      <c r="AN218" s="41">
        <f t="shared" ca="1" si="413"/>
        <v>2.0332246610241116</v>
      </c>
      <c r="AO218" s="41">
        <f t="shared" ca="1" si="414"/>
        <v>6.4503492337629018E-2</v>
      </c>
      <c r="AP218" s="67">
        <f t="shared" si="433"/>
        <v>0.75085336475181208</v>
      </c>
      <c r="AQ218" s="11">
        <f t="shared" si="415"/>
        <v>1.0407118932183759</v>
      </c>
      <c r="AR218" s="11">
        <f t="shared" si="416"/>
        <v>0.94179494058273361</v>
      </c>
      <c r="AS218" s="11">
        <f t="shared" si="417"/>
        <v>0.90495260669142152</v>
      </c>
      <c r="AT218" s="11">
        <f t="shared" si="418"/>
        <v>539.786037655575</v>
      </c>
      <c r="AU218" s="11">
        <f t="shared" si="419"/>
        <v>1993.0452891599923</v>
      </c>
      <c r="AV218" s="11">
        <f t="shared" si="420"/>
        <v>2.1509818508448396E-3</v>
      </c>
      <c r="AW218" s="11">
        <f t="shared" si="421"/>
        <v>3.8543120918005736E-7</v>
      </c>
      <c r="AX218" s="41">
        <f t="shared" ca="1" si="422"/>
        <v>1.0195127454409412</v>
      </c>
      <c r="AY218" s="41">
        <f t="shared" ca="1" si="423"/>
        <v>1.373303923329056</v>
      </c>
      <c r="AZ218" s="41">
        <f t="shared" si="424"/>
        <v>0.15441408632664361</v>
      </c>
    </row>
    <row r="219" spans="1:52" ht="14.5">
      <c r="A219" s="41">
        <f t="shared" ca="1" si="425"/>
        <v>25.624755403483729</v>
      </c>
      <c r="B219" s="41">
        <f t="shared" ca="1" si="426"/>
        <v>0.4270792567247288</v>
      </c>
      <c r="C219" s="41">
        <f t="shared" ca="1" si="426"/>
        <v>7.1179876120788131E-3</v>
      </c>
      <c r="D219" s="41">
        <f t="shared" ca="1" si="427"/>
        <v>12680.536314469295</v>
      </c>
      <c r="E219" s="41">
        <f t="shared" ca="1" si="428"/>
        <v>0.77859912090134853</v>
      </c>
      <c r="F219" s="41">
        <f t="shared" ca="1" si="429"/>
        <v>0.77859912090134853</v>
      </c>
      <c r="G219" s="41"/>
      <c r="H219" s="7">
        <f t="shared" si="430"/>
        <v>1800</v>
      </c>
      <c r="I219" s="6">
        <v>15</v>
      </c>
      <c r="J219" s="41">
        <f t="shared" si="391"/>
        <v>0.2139259418202894</v>
      </c>
      <c r="K219" s="41">
        <f t="shared" si="392"/>
        <v>243.52995619830716</v>
      </c>
      <c r="L219" s="6">
        <f t="shared" si="434"/>
        <v>137</v>
      </c>
      <c r="M219" s="41">
        <f t="shared" si="393"/>
        <v>144.28760256819783</v>
      </c>
      <c r="N219" s="41">
        <f t="shared" si="394"/>
        <v>63.497950524538595</v>
      </c>
      <c r="O219" s="41">
        <f t="shared" si="395"/>
        <v>1354009.2482684581</v>
      </c>
      <c r="P219" s="41">
        <f t="shared" si="396"/>
        <v>8693690.8147437796</v>
      </c>
      <c r="Q219" s="41">
        <f t="shared" si="397"/>
        <v>3.0589912949866324E-3</v>
      </c>
      <c r="R219" s="41">
        <f t="shared" si="398"/>
        <v>2.3597551816982323E-2</v>
      </c>
      <c r="S219" s="24">
        <f t="shared" ca="1" si="431"/>
        <v>20.876062644594175</v>
      </c>
      <c r="T219" s="10">
        <f t="shared" ca="1" si="399"/>
        <v>20.876062644594175</v>
      </c>
      <c r="U219" s="41">
        <f t="shared" ca="1" si="400"/>
        <v>0.81126224221551502</v>
      </c>
      <c r="V219" s="41">
        <f t="shared" ca="1" si="401"/>
        <v>6.5163923610471158E-2</v>
      </c>
      <c r="W219" s="41">
        <f t="shared" ca="1" si="402"/>
        <v>12.449561003492946</v>
      </c>
      <c r="X219" s="20">
        <f t="shared" ca="1" si="403"/>
        <v>951.6883874025774</v>
      </c>
      <c r="Y219" s="41">
        <f t="shared" si="404"/>
        <v>0.61125676517476524</v>
      </c>
      <c r="Z219" s="41">
        <f t="shared" ca="1" si="405"/>
        <v>141.58831114212185</v>
      </c>
      <c r="AA219" s="14">
        <f t="shared" ca="1" si="406"/>
        <v>1018.5528880023596</v>
      </c>
      <c r="AB219" s="14">
        <f t="shared" si="432"/>
        <v>5470.3679695754226</v>
      </c>
      <c r="AC219" s="25">
        <f t="shared" ca="1" si="407"/>
        <v>248048.1402008739</v>
      </c>
      <c r="AD219" s="41">
        <f t="shared" si="408"/>
        <v>1332198.4720193252</v>
      </c>
      <c r="AE219" s="6">
        <v>100</v>
      </c>
      <c r="AF219" s="41">
        <f t="shared" si="409"/>
        <v>5470.3679695754226</v>
      </c>
      <c r="AG219" s="41"/>
      <c r="AH219" s="41"/>
      <c r="AI219" s="41">
        <f t="shared" si="410"/>
        <v>4114.393447160106</v>
      </c>
      <c r="AJ219" s="13">
        <f t="shared" ca="1" si="411"/>
        <v>86.781332700027306</v>
      </c>
      <c r="AK219" s="11"/>
      <c r="AL219" s="6">
        <v>150</v>
      </c>
      <c r="AM219" s="41">
        <f t="shared" ca="1" si="412"/>
        <v>1.7284823283193576</v>
      </c>
      <c r="AN219" s="41">
        <f t="shared" ca="1" si="413"/>
        <v>1.975460101435891</v>
      </c>
      <c r="AO219" s="41">
        <f t="shared" ca="1" si="414"/>
        <v>6.4729558658558728E-2</v>
      </c>
      <c r="AP219" s="67">
        <f t="shared" si="433"/>
        <v>0.75212370905269121</v>
      </c>
      <c r="AQ219" s="11">
        <f t="shared" si="415"/>
        <v>1.0396805907183759</v>
      </c>
      <c r="AR219" s="11">
        <f t="shared" si="416"/>
        <v>0.93664269049644233</v>
      </c>
      <c r="AS219" s="11">
        <f t="shared" si="417"/>
        <v>0.9008946582808296</v>
      </c>
      <c r="AT219" s="11">
        <f t="shared" si="418"/>
        <v>539.25113198789995</v>
      </c>
      <c r="AU219" s="11">
        <f t="shared" si="419"/>
        <v>1982.1419944823811</v>
      </c>
      <c r="AV219" s="11">
        <f t="shared" si="420"/>
        <v>2.1413365132677037E-3</v>
      </c>
      <c r="AW219" s="11">
        <f t="shared" si="421"/>
        <v>3.8513738953319646E-7</v>
      </c>
      <c r="AX219" s="41">
        <f t="shared" ca="1" si="422"/>
        <v>1.0337309805318002</v>
      </c>
      <c r="AY219" s="41">
        <f t="shared" ca="1" si="423"/>
        <v>1.3924561684779351</v>
      </c>
      <c r="AZ219" s="41">
        <f t="shared" si="424"/>
        <v>0.15876817501590018</v>
      </c>
    </row>
    <row r="220" spans="1:52" ht="14.5">
      <c r="A220" s="41">
        <f t="shared" ca="1" si="425"/>
        <v>27.353237731803087</v>
      </c>
      <c r="B220" s="41">
        <f t="shared" ca="1" si="426"/>
        <v>0.45588729553005147</v>
      </c>
      <c r="C220" s="41">
        <f t="shared" ca="1" si="426"/>
        <v>7.5981215921675244E-3</v>
      </c>
      <c r="D220" s="41">
        <f t="shared" ca="1" si="427"/>
        <v>12678.560854367859</v>
      </c>
      <c r="E220" s="41">
        <f t="shared" ca="1" si="428"/>
        <v>0.84332867955990731</v>
      </c>
      <c r="F220" s="41">
        <f t="shared" ca="1" si="429"/>
        <v>0.84332867955990731</v>
      </c>
      <c r="G220" s="41"/>
      <c r="H220" s="7">
        <f t="shared" si="430"/>
        <v>1950</v>
      </c>
      <c r="I220" s="6">
        <v>15</v>
      </c>
      <c r="J220" s="41">
        <f t="shared" si="391"/>
        <v>0.21998321651480485</v>
      </c>
      <c r="K220" s="41">
        <f t="shared" si="392"/>
        <v>250.30122871121151</v>
      </c>
      <c r="L220" s="6">
        <f t="shared" si="434"/>
        <v>140.5</v>
      </c>
      <c r="M220" s="41">
        <f t="shared" si="393"/>
        <v>148.29947319173345</v>
      </c>
      <c r="N220" s="41">
        <f t="shared" si="394"/>
        <v>66.777015445106656</v>
      </c>
      <c r="O220" s="41">
        <f t="shared" si="395"/>
        <v>1386468.2994988817</v>
      </c>
      <c r="P220" s="41">
        <f t="shared" si="396"/>
        <v>8902100.7321044635</v>
      </c>
      <c r="Q220" s="41">
        <f t="shared" si="397"/>
        <v>3.0465764922702854E-3</v>
      </c>
      <c r="R220" s="41">
        <f t="shared" si="398"/>
        <v>2.3522074342694224E-2</v>
      </c>
      <c r="S220" s="24">
        <f t="shared" ca="1" si="431"/>
        <v>20.796208083306844</v>
      </c>
      <c r="T220" s="10">
        <f t="shared" ca="1" si="399"/>
        <v>20.796208083306844</v>
      </c>
      <c r="U220" s="41">
        <f t="shared" ca="1" si="400"/>
        <v>0.77171451404905256</v>
      </c>
      <c r="V220" s="41">
        <f t="shared" ca="1" si="401"/>
        <v>6.1134637286636935E-2</v>
      </c>
      <c r="W220" s="41">
        <f t="shared" ca="1" si="402"/>
        <v>12.623196084909743</v>
      </c>
      <c r="X220" s="20">
        <f t="shared" ca="1" si="403"/>
        <v>938.94938221377197</v>
      </c>
      <c r="Y220" s="41">
        <f t="shared" si="404"/>
        <v>0.61027842072212724</v>
      </c>
      <c r="Z220" s="41">
        <f t="shared" ca="1" si="405"/>
        <v>141.93375572884756</v>
      </c>
      <c r="AA220" s="14">
        <f t="shared" ca="1" si="406"/>
        <v>1004.385954958293</v>
      </c>
      <c r="AB220" s="14">
        <f t="shared" si="432"/>
        <v>5440.4102065692432</v>
      </c>
      <c r="AC220" s="25">
        <f t="shared" ca="1" si="407"/>
        <v>251399.03862634429</v>
      </c>
      <c r="AD220" s="41">
        <f t="shared" si="408"/>
        <v>1361741.3593972975</v>
      </c>
      <c r="AE220" s="6">
        <v>100</v>
      </c>
      <c r="AF220" s="41">
        <f t="shared" si="409"/>
        <v>5440.4102065692432</v>
      </c>
      <c r="AG220" s="41"/>
      <c r="AH220" s="41"/>
      <c r="AI220" s="41">
        <f t="shared" si="410"/>
        <v>4098.7730596102583</v>
      </c>
      <c r="AJ220" s="13">
        <f t="shared" ca="1" si="411"/>
        <v>88.868223158261188</v>
      </c>
      <c r="AK220" s="11"/>
      <c r="AL220" s="6">
        <v>150</v>
      </c>
      <c r="AM220" s="41">
        <f t="shared" ca="1" si="412"/>
        <v>1.687892417212755</v>
      </c>
      <c r="AN220" s="41">
        <f t="shared" ca="1" si="413"/>
        <v>1.9217466575533551</v>
      </c>
      <c r="AO220" s="41">
        <f t="shared" ca="1" si="414"/>
        <v>6.5001506051679508E-2</v>
      </c>
      <c r="AP220" s="67">
        <f t="shared" si="433"/>
        <v>0.75339411992519045</v>
      </c>
      <c r="AQ220" s="11">
        <f t="shared" si="415"/>
        <v>1.0386492882183758</v>
      </c>
      <c r="AR220" s="11">
        <f t="shared" si="416"/>
        <v>0.9315132878859741</v>
      </c>
      <c r="AS220" s="11">
        <f t="shared" si="417"/>
        <v>0.89685064867644104</v>
      </c>
      <c r="AT220" s="11">
        <f t="shared" si="418"/>
        <v>538.71622632022491</v>
      </c>
      <c r="AU220" s="11">
        <f t="shared" si="419"/>
        <v>1971.2870500900558</v>
      </c>
      <c r="AV220" s="11">
        <f t="shared" si="420"/>
        <v>2.1317243068390327E-3</v>
      </c>
      <c r="AW220" s="11">
        <f t="shared" si="421"/>
        <v>3.8484342805978156E-7</v>
      </c>
      <c r="AX220" s="41">
        <f t="shared" ca="1" si="422"/>
        <v>1.0510330211796861</v>
      </c>
      <c r="AY220" s="41">
        <f t="shared" ca="1" si="423"/>
        <v>1.4157623609797891</v>
      </c>
      <c r="AZ220" s="41">
        <f t="shared" si="424"/>
        <v>0.16312674804650151</v>
      </c>
    </row>
    <row r="221" spans="1:52" ht="14.5">
      <c r="A221" s="41">
        <f t="shared" ca="1" si="425"/>
        <v>29.041130149015842</v>
      </c>
      <c r="B221" s="41">
        <f t="shared" ca="1" si="426"/>
        <v>0.48401883581693073</v>
      </c>
      <c r="C221" s="41">
        <f t="shared" ca="1" si="426"/>
        <v>8.0669805969488459E-3</v>
      </c>
      <c r="D221" s="41">
        <f t="shared" ca="1" si="427"/>
        <v>12676.639107710305</v>
      </c>
      <c r="E221" s="41">
        <f t="shared" ca="1" si="428"/>
        <v>0.90833018561158685</v>
      </c>
      <c r="F221" s="41">
        <f t="shared" ca="1" si="429"/>
        <v>0.90833018561158685</v>
      </c>
      <c r="G221" s="41"/>
      <c r="H221" s="7">
        <f t="shared" si="430"/>
        <v>2100</v>
      </c>
      <c r="I221" s="6">
        <v>15</v>
      </c>
      <c r="J221" s="41">
        <f t="shared" si="391"/>
        <v>0.22607139228212392</v>
      </c>
      <c r="K221" s="41">
        <f t="shared" si="392"/>
        <v>257.10073858260012</v>
      </c>
      <c r="L221" s="6">
        <f t="shared" si="434"/>
        <v>144</v>
      </c>
      <c r="M221" s="41">
        <f t="shared" si="393"/>
        <v>152.32807399837324</v>
      </c>
      <c r="N221" s="41">
        <f t="shared" si="394"/>
        <v>70.137735307182368</v>
      </c>
      <c r="O221" s="41">
        <f t="shared" si="395"/>
        <v>1418816.9143000515</v>
      </c>
      <c r="P221" s="41">
        <f t="shared" si="396"/>
        <v>9109801.5699874088</v>
      </c>
      <c r="Q221" s="41">
        <f t="shared" si="397"/>
        <v>3.0345107340932079E-3</v>
      </c>
      <c r="R221" s="41">
        <f t="shared" si="398"/>
        <v>2.344871893194914E-2</v>
      </c>
      <c r="S221" s="24">
        <f t="shared" ca="1" si="431"/>
        <v>20.704564432290226</v>
      </c>
      <c r="T221" s="10">
        <f t="shared" ca="1" si="399"/>
        <v>20.704564432290226</v>
      </c>
      <c r="U221" s="41">
        <f t="shared" ca="1" si="400"/>
        <v>0.7350709924267852</v>
      </c>
      <c r="V221" s="41">
        <f t="shared" ca="1" si="401"/>
        <v>5.7574151139705564E-2</v>
      </c>
      <c r="W221" s="41">
        <f t="shared" ca="1" si="402"/>
        <v>12.767378725968731</v>
      </c>
      <c r="X221" s="20">
        <f t="shared" ca="1" si="403"/>
        <v>928.76773182964757</v>
      </c>
      <c r="Y221" s="41">
        <f t="shared" si="404"/>
        <v>0.6093260773910999</v>
      </c>
      <c r="Z221" s="41">
        <f t="shared" ca="1" si="405"/>
        <v>142.28605744469479</v>
      </c>
      <c r="AA221" s="14">
        <f t="shared" ca="1" si="406"/>
        <v>992.89285450005002</v>
      </c>
      <c r="AB221" s="14">
        <f t="shared" si="432"/>
        <v>5410.5854287910297</v>
      </c>
      <c r="AC221" s="25">
        <f t="shared" ca="1" si="407"/>
        <v>255273.48622534898</v>
      </c>
      <c r="AD221" s="41">
        <f t="shared" si="408"/>
        <v>1391065.5099064279</v>
      </c>
      <c r="AE221" s="6">
        <v>100</v>
      </c>
      <c r="AF221" s="41">
        <f t="shared" si="409"/>
        <v>5410.5854287910297</v>
      </c>
      <c r="AG221" s="41"/>
      <c r="AH221" s="41"/>
      <c r="AI221" s="41">
        <f t="shared" si="410"/>
        <v>4083.1769109506172</v>
      </c>
      <c r="AJ221" s="13">
        <f t="shared" ca="1" si="411"/>
        <v>90.897802666046502</v>
      </c>
      <c r="AK221" s="11"/>
      <c r="AL221" s="6">
        <v>150</v>
      </c>
      <c r="AM221" s="41">
        <f t="shared" ca="1" si="412"/>
        <v>1.6502049070547029</v>
      </c>
      <c r="AN221" s="41">
        <f t="shared" ca="1" si="413"/>
        <v>1.8716884930064368</v>
      </c>
      <c r="AO221" s="41">
        <f t="shared" ca="1" si="414"/>
        <v>6.5316071757880984E-2</v>
      </c>
      <c r="AP221" s="67">
        <f t="shared" si="433"/>
        <v>0.75466453024159796</v>
      </c>
      <c r="AQ221" s="11">
        <f t="shared" si="415"/>
        <v>1.0376179857183758</v>
      </c>
      <c r="AR221" s="11">
        <f t="shared" si="416"/>
        <v>0.9264066551590695</v>
      </c>
      <c r="AS221" s="11">
        <f t="shared" si="417"/>
        <v>0.89282054466094163</v>
      </c>
      <c r="AT221" s="11">
        <f t="shared" si="418"/>
        <v>538.18132065254997</v>
      </c>
      <c r="AU221" s="11">
        <f t="shared" si="419"/>
        <v>1960.4802917807258</v>
      </c>
      <c r="AV221" s="11">
        <f t="shared" si="420"/>
        <v>2.1221451526045919E-3</v>
      </c>
      <c r="AW221" s="11">
        <f t="shared" si="421"/>
        <v>3.8454932459223593E-7</v>
      </c>
      <c r="AX221" s="41">
        <f t="shared" ca="1" si="422"/>
        <v>1.0710844514979971</v>
      </c>
      <c r="AY221" s="41">
        <f t="shared" ca="1" si="423"/>
        <v>1.4427720359913419</v>
      </c>
      <c r="AZ221" s="41">
        <f t="shared" si="424"/>
        <v>0.16748958795151639</v>
      </c>
    </row>
    <row r="222" spans="1:52" ht="14.5">
      <c r="A222" s="41">
        <f t="shared" ca="1" si="425"/>
        <v>30.691335056070546</v>
      </c>
      <c r="B222" s="41">
        <f t="shared" ca="1" si="426"/>
        <v>0.51152225093450909</v>
      </c>
      <c r="C222" s="41">
        <f t="shared" ca="1" si="426"/>
        <v>8.5253708489084843E-3</v>
      </c>
      <c r="D222" s="41">
        <f t="shared" ca="1" si="427"/>
        <v>12674.767419217298</v>
      </c>
      <c r="E222" s="41">
        <f t="shared" ca="1" si="428"/>
        <v>0.97364625736946786</v>
      </c>
      <c r="F222" s="41">
        <f t="shared" ca="1" si="429"/>
        <v>0.97364625736946786</v>
      </c>
      <c r="G222" s="41"/>
      <c r="H222" s="7">
        <f t="shared" si="430"/>
        <v>2250</v>
      </c>
      <c r="I222" s="6">
        <v>15</v>
      </c>
      <c r="J222" s="41">
        <f t="shared" si="391"/>
        <v>0.23219054245327941</v>
      </c>
      <c r="K222" s="41">
        <f t="shared" si="392"/>
        <v>263.92851156804522</v>
      </c>
      <c r="L222" s="6">
        <f t="shared" si="434"/>
        <v>147.5</v>
      </c>
      <c r="M222" s="41">
        <f t="shared" si="393"/>
        <v>156.37342024788171</v>
      </c>
      <c r="N222" s="41">
        <f t="shared" si="394"/>
        <v>73.579983398256417</v>
      </c>
      <c r="O222" s="41">
        <f t="shared" si="395"/>
        <v>1451054.6058365745</v>
      </c>
      <c r="P222" s="41">
        <f t="shared" si="396"/>
        <v>9316790.202567298</v>
      </c>
      <c r="Q222" s="41">
        <f t="shared" si="397"/>
        <v>3.0227741851682876E-3</v>
      </c>
      <c r="R222" s="41">
        <f t="shared" si="398"/>
        <v>2.3377364993433042E-2</v>
      </c>
      <c r="S222" s="24">
        <f t="shared" ca="1" si="431"/>
        <v>20.602216382061439</v>
      </c>
      <c r="T222" s="10">
        <f t="shared" ca="1" si="399"/>
        <v>20.602216382061439</v>
      </c>
      <c r="U222" s="41">
        <f t="shared" ca="1" si="400"/>
        <v>0.70105103383772893</v>
      </c>
      <c r="V222" s="41">
        <f t="shared" ca="1" si="401"/>
        <v>5.441716104579112E-2</v>
      </c>
      <c r="W222" s="41">
        <f t="shared" ca="1" si="402"/>
        <v>12.882903487886962</v>
      </c>
      <c r="X222" s="20">
        <f t="shared" ca="1" si="403"/>
        <v>920.92317545579795</v>
      </c>
      <c r="Y222" s="41">
        <f t="shared" si="404"/>
        <v>0.60839828808374252</v>
      </c>
      <c r="Z222" s="41">
        <f t="shared" ca="1" si="405"/>
        <v>142.6446555846652</v>
      </c>
      <c r="AA222" s="14">
        <f t="shared" ca="1" si="406"/>
        <v>983.84400932092979</v>
      </c>
      <c r="AB222" s="14">
        <f t="shared" si="432"/>
        <v>5380.8931841384037</v>
      </c>
      <c r="AC222" s="25">
        <f t="shared" ca="1" si="407"/>
        <v>259664.48499521101</v>
      </c>
      <c r="AD222" s="41">
        <f t="shared" si="408"/>
        <v>1420171.1289962884</v>
      </c>
      <c r="AE222" s="6">
        <v>100</v>
      </c>
      <c r="AF222" s="41">
        <f t="shared" si="409"/>
        <v>5380.8931841384037</v>
      </c>
      <c r="AG222" s="41"/>
      <c r="AH222" s="41"/>
      <c r="AI222" s="41">
        <f t="shared" si="410"/>
        <v>4067.6047992118752</v>
      </c>
      <c r="AJ222" s="13">
        <f t="shared" ca="1" si="411"/>
        <v>92.870599285711563</v>
      </c>
      <c r="AK222" s="11"/>
      <c r="AL222" s="6">
        <v>150</v>
      </c>
      <c r="AM222" s="41">
        <f t="shared" ca="1" si="412"/>
        <v>1.6151505552207412</v>
      </c>
      <c r="AN222" s="41">
        <f t="shared" ca="1" si="413"/>
        <v>1.8249428194071144</v>
      </c>
      <c r="AO222" s="41">
        <f t="shared" ca="1" si="414"/>
        <v>6.5670542255700654E-2</v>
      </c>
      <c r="AP222" s="67">
        <f t="shared" si="433"/>
        <v>0.75593487177969054</v>
      </c>
      <c r="AQ222" s="11">
        <f t="shared" si="415"/>
        <v>1.0365866832183759</v>
      </c>
      <c r="AR222" s="11">
        <f t="shared" si="416"/>
        <v>0.92132271490623985</v>
      </c>
      <c r="AS222" s="11">
        <f t="shared" si="417"/>
        <v>0.88880431306114549</v>
      </c>
      <c r="AT222" s="11">
        <f t="shared" si="418"/>
        <v>537.64641498487492</v>
      </c>
      <c r="AU222" s="11">
        <f t="shared" si="419"/>
        <v>1949.7215557388827</v>
      </c>
      <c r="AV222" s="11">
        <f t="shared" si="420"/>
        <v>2.1125989717150368E-3</v>
      </c>
      <c r="AW222" s="11">
        <f t="shared" si="421"/>
        <v>3.8425507896270701E-7</v>
      </c>
      <c r="AX222" s="41">
        <f t="shared" ca="1" si="422"/>
        <v>1.0936114948036533</v>
      </c>
      <c r="AY222" s="41">
        <f t="shared" ca="1" si="423"/>
        <v>1.4731164108812125</v>
      </c>
      <c r="AZ222" s="41">
        <f t="shared" si="424"/>
        <v>0.17185647265880172</v>
      </c>
    </row>
    <row r="223" spans="1:52" ht="14.5">
      <c r="A223" s="41">
        <f t="shared" ca="1" si="425"/>
        <v>32.306485611291286</v>
      </c>
      <c r="B223" s="41">
        <f t="shared" ca="1" si="426"/>
        <v>0.53844142685485474</v>
      </c>
      <c r="C223" s="41">
        <f t="shared" ca="1" si="426"/>
        <v>8.9740237809142458E-3</v>
      </c>
      <c r="D223" s="41">
        <f t="shared" ca="1" si="427"/>
        <v>12672.942476397891</v>
      </c>
      <c r="E223" s="41">
        <f t="shared" ca="1" si="428"/>
        <v>1.0393167996251684</v>
      </c>
      <c r="F223" s="41">
        <f t="shared" ca="1" si="429"/>
        <v>1.0393167996251684</v>
      </c>
      <c r="G223" s="41"/>
      <c r="H223" s="7">
        <f t="shared" si="430"/>
        <v>2400</v>
      </c>
      <c r="I223" s="6">
        <v>15</v>
      </c>
      <c r="J223" s="41">
        <f t="shared" si="391"/>
        <v>0.2383407370575244</v>
      </c>
      <c r="K223" s="41">
        <f t="shared" si="392"/>
        <v>270.78456944345629</v>
      </c>
      <c r="L223" s="6">
        <f t="shared" si="434"/>
        <v>151</v>
      </c>
      <c r="M223" s="41">
        <f t="shared" si="393"/>
        <v>160.43552484213677</v>
      </c>
      <c r="N223" s="41">
        <f t="shared" si="394"/>
        <v>77.10362503689548</v>
      </c>
      <c r="O223" s="41">
        <f t="shared" si="395"/>
        <v>1483180.8702683016</v>
      </c>
      <c r="P223" s="41">
        <f t="shared" si="396"/>
        <v>9523063.3948363364</v>
      </c>
      <c r="Q223" s="41">
        <f t="shared" si="397"/>
        <v>3.0113485046262692E-3</v>
      </c>
      <c r="R223" s="41">
        <f t="shared" si="398"/>
        <v>2.3307901021347631E-2</v>
      </c>
      <c r="S223" s="24">
        <f t="shared" ca="1" si="431"/>
        <v>20.490119131689617</v>
      </c>
      <c r="T223" s="10">
        <f t="shared" ca="1" si="399"/>
        <v>20.490119131689617</v>
      </c>
      <c r="U223" s="41">
        <f t="shared" ca="1" si="400"/>
        <v>0.66940731121318087</v>
      </c>
      <c r="V223" s="41">
        <f t="shared" ca="1" si="401"/>
        <v>5.1608817105758667E-2</v>
      </c>
      <c r="W223" s="41">
        <f t="shared" ca="1" si="402"/>
        <v>12.970793534008095</v>
      </c>
      <c r="X223" s="20">
        <f t="shared" ca="1" si="403"/>
        <v>915.22218302563078</v>
      </c>
      <c r="Y223" s="41">
        <f t="shared" si="404"/>
        <v>0.60749371216588677</v>
      </c>
      <c r="Z223" s="41">
        <f t="shared" ca="1" si="405"/>
        <v>143.00904860976709</v>
      </c>
      <c r="AA223" s="14">
        <f t="shared" ca="1" si="406"/>
        <v>977.03678985952024</v>
      </c>
      <c r="AB223" s="14">
        <f t="shared" si="432"/>
        <v>5351.3330215750666</v>
      </c>
      <c r="AC223" s="25">
        <f t="shared" ca="1" si="407"/>
        <v>264566.48647252686</v>
      </c>
      <c r="AD223" s="41">
        <f t="shared" si="408"/>
        <v>1449058.4081957545</v>
      </c>
      <c r="AE223" s="6">
        <v>100</v>
      </c>
      <c r="AF223" s="41">
        <f t="shared" si="409"/>
        <v>5351.3330215750666</v>
      </c>
      <c r="AG223" s="41"/>
      <c r="AH223" s="41"/>
      <c r="AI223" s="41">
        <f t="shared" si="410"/>
        <v>4052.0565231738883</v>
      </c>
      <c r="AJ223" s="13">
        <f t="shared" ca="1" si="411"/>
        <v>94.787013012742065</v>
      </c>
      <c r="AK223" s="11"/>
      <c r="AL223" s="6">
        <v>150</v>
      </c>
      <c r="AM223" s="41">
        <f t="shared" ca="1" si="412"/>
        <v>1.5824952726365134</v>
      </c>
      <c r="AN223" s="41">
        <f t="shared" ca="1" si="413"/>
        <v>1.7812111923273959</v>
      </c>
      <c r="AO223" s="41">
        <f t="shared" ca="1" si="414"/>
        <v>6.6062663679510303E-2</v>
      </c>
      <c r="AP223" s="67">
        <f t="shared" si="433"/>
        <v>0.75720507522838487</v>
      </c>
      <c r="AQ223" s="11">
        <f t="shared" si="415"/>
        <v>1.0355553807183759</v>
      </c>
      <c r="AR223" s="11">
        <f t="shared" si="416"/>
        <v>0.91626138990053196</v>
      </c>
      <c r="AS223" s="11">
        <f t="shared" si="417"/>
        <v>0.88480192074798703</v>
      </c>
      <c r="AT223" s="11">
        <f t="shared" si="418"/>
        <v>537.11150931719999</v>
      </c>
      <c r="AU223" s="11">
        <f t="shared" si="419"/>
        <v>1939.0106785353037</v>
      </c>
      <c r="AV223" s="11">
        <f t="shared" si="420"/>
        <v>2.1030856854258903E-3</v>
      </c>
      <c r="AW223" s="11">
        <f t="shared" si="421"/>
        <v>3.8396069100306597E-7</v>
      </c>
      <c r="AX223" s="41">
        <f t="shared" ca="1" si="422"/>
        <v>1.1183879501168119</v>
      </c>
      <c r="AY223" s="41">
        <f t="shared" ca="1" si="423"/>
        <v>1.5064907884354937</v>
      </c>
      <c r="AZ223" s="41">
        <f t="shared" si="424"/>
        <v>0.1762271754857645</v>
      </c>
    </row>
    <row r="224" spans="1:52" ht="14.5">
      <c r="A224" s="41">
        <f t="shared" ca="1" si="425"/>
        <v>33.8889808839278</v>
      </c>
      <c r="B224" s="41">
        <f t="shared" ref="B224:C227" ca="1" si="435">A224/60</f>
        <v>0.56481634806546333</v>
      </c>
      <c r="C224" s="41">
        <f t="shared" ca="1" si="435"/>
        <v>9.4136058010910548E-3</v>
      </c>
      <c r="D224" s="41">
        <f t="shared" ca="1" si="427"/>
        <v>12671.161265205565</v>
      </c>
      <c r="E224" s="41">
        <f t="shared" ca="1" si="428"/>
        <v>1.1053794633046787</v>
      </c>
      <c r="F224" s="41">
        <f t="shared" ca="1" si="429"/>
        <v>1.1053794633046787</v>
      </c>
      <c r="G224" s="41"/>
      <c r="H224" s="7">
        <f t="shared" si="430"/>
        <v>2550</v>
      </c>
      <c r="I224" s="6">
        <v>15</v>
      </c>
      <c r="J224" s="41">
        <f t="shared" si="391"/>
        <v>0.24452204276357467</v>
      </c>
      <c r="K224" s="41">
        <f t="shared" si="392"/>
        <v>277.66892994732956</v>
      </c>
      <c r="L224" s="6">
        <f t="shared" si="434"/>
        <v>154.5</v>
      </c>
      <c r="M224" s="41">
        <f t="shared" si="393"/>
        <v>164.51439829091362</v>
      </c>
      <c r="N224" s="41">
        <f t="shared" si="394"/>
        <v>80.708517322193202</v>
      </c>
      <c r="O224" s="41">
        <f t="shared" si="395"/>
        <v>1515195.1868328373</v>
      </c>
      <c r="P224" s="41">
        <f t="shared" si="396"/>
        <v>9728617.803134013</v>
      </c>
      <c r="Q224" s="41">
        <f t="shared" si="397"/>
        <v>3.0002167010289311E-3</v>
      </c>
      <c r="R224" s="41">
        <f t="shared" si="398"/>
        <v>2.3240223713943305E-2</v>
      </c>
      <c r="S224" s="24">
        <f t="shared" ca="1" si="431"/>
        <v>20.369116737277615</v>
      </c>
      <c r="T224" s="10">
        <f t="shared" ca="1" si="399"/>
        <v>20.369116737277615</v>
      </c>
      <c r="U224" s="41">
        <f t="shared" ca="1" si="400"/>
        <v>0.63992115972345054</v>
      </c>
      <c r="V224" s="41">
        <f t="shared" ca="1" si="401"/>
        <v>4.9102844535555461E-2</v>
      </c>
      <c r="W224" s="41">
        <f t="shared" ca="1" si="402"/>
        <v>13.032262504875506</v>
      </c>
      <c r="X224" s="20">
        <f t="shared" ca="1" si="403"/>
        <v>911.49408911637261</v>
      </c>
      <c r="Y224" s="41">
        <f t="shared" si="404"/>
        <v>0.6066111053063884</v>
      </c>
      <c r="Z224" s="41">
        <f t="shared" ca="1" si="405"/>
        <v>143.37878677522696</v>
      </c>
      <c r="AA224" s="14">
        <f t="shared" ca="1" si="406"/>
        <v>972.29174600075396</v>
      </c>
      <c r="AB224" s="14">
        <f t="shared" si="432"/>
        <v>5321.9044911293786</v>
      </c>
      <c r="AC224" s="25">
        <f t="shared" ca="1" si="407"/>
        <v>269975.20870865008</v>
      </c>
      <c r="AD224" s="41">
        <f t="shared" si="408"/>
        <v>1477727.525333782</v>
      </c>
      <c r="AE224" s="6">
        <v>100</v>
      </c>
      <c r="AF224" s="41">
        <f t="shared" si="409"/>
        <v>5321.9044911293786</v>
      </c>
      <c r="AG224" s="41"/>
      <c r="AH224" s="41"/>
      <c r="AI224" s="41">
        <f t="shared" si="410"/>
        <v>4036.5318824753767</v>
      </c>
      <c r="AJ224" s="13">
        <f t="shared" ca="1" si="411"/>
        <v>96.647332578610005</v>
      </c>
      <c r="AK224" s="11"/>
      <c r="AL224" s="6">
        <v>150</v>
      </c>
      <c r="AM224" s="41">
        <f t="shared" ca="1" si="412"/>
        <v>1.5520345569599094</v>
      </c>
      <c r="AN224" s="41">
        <f t="shared" ca="1" si="413"/>
        <v>1.740232492186728</v>
      </c>
      <c r="AO224" s="41">
        <f t="shared" ca="1" si="414"/>
        <v>6.6490570179331313E-2</v>
      </c>
      <c r="AP224" s="67">
        <f t="shared" si="433"/>
        <v>0.75847507019404836</v>
      </c>
      <c r="AQ224" s="11">
        <f t="shared" si="415"/>
        <v>1.0345240782183758</v>
      </c>
      <c r="AR224" s="11">
        <f t="shared" si="416"/>
        <v>0.91122260309728409</v>
      </c>
      <c r="AS224" s="11">
        <f t="shared" si="417"/>
        <v>0.88081333463650502</v>
      </c>
      <c r="AT224" s="11">
        <f t="shared" si="418"/>
        <v>536.57660364952494</v>
      </c>
      <c r="AU224" s="11">
        <f t="shared" si="419"/>
        <v>1928.3474971265343</v>
      </c>
      <c r="AV224" s="11">
        <f t="shared" si="420"/>
        <v>2.0936052150975089E-3</v>
      </c>
      <c r="AW224" s="11">
        <f t="shared" si="421"/>
        <v>3.8366616054490459E-7</v>
      </c>
      <c r="AX224" s="41">
        <f t="shared" ca="1" si="422"/>
        <v>1.1452253015936944</v>
      </c>
      <c r="AY224" s="41">
        <f t="shared" ca="1" si="423"/>
        <v>1.5426412340672679</v>
      </c>
      <c r="AZ224" s="41">
        <f t="shared" si="424"/>
        <v>0.18060146513641212</v>
      </c>
    </row>
    <row r="225" spans="1:52" ht="14.5">
      <c r="A225" s="41">
        <f t="shared" ca="1" si="425"/>
        <v>35.44101544088771</v>
      </c>
      <c r="B225" s="41">
        <f t="shared" ca="1" si="435"/>
        <v>0.59068359068146181</v>
      </c>
      <c r="C225" s="41">
        <f t="shared" ca="1" si="435"/>
        <v>9.8447265113576973E-3</v>
      </c>
      <c r="D225" s="41">
        <f t="shared" ca="1" si="427"/>
        <v>12669.421032713379</v>
      </c>
      <c r="E225" s="41">
        <f t="shared" ca="1" si="428"/>
        <v>1.17187003348401</v>
      </c>
      <c r="F225" s="41">
        <f t="shared" ca="1" si="429"/>
        <v>1.17187003348401</v>
      </c>
      <c r="G225" s="41"/>
      <c r="H225" s="7">
        <f t="shared" si="430"/>
        <v>2700</v>
      </c>
      <c r="I225" s="6">
        <v>15</v>
      </c>
      <c r="J225" s="41">
        <f t="shared" si="391"/>
        <v>0.25073452282170561</v>
      </c>
      <c r="K225" s="41">
        <f t="shared" si="392"/>
        <v>284.58160672418126</v>
      </c>
      <c r="L225" s="6">
        <f t="shared" si="434"/>
        <v>158</v>
      </c>
      <c r="M225" s="41">
        <f t="shared" si="393"/>
        <v>168.61004867836982</v>
      </c>
      <c r="N225" s="41">
        <f t="shared" si="394"/>
        <v>84.394508883842306</v>
      </c>
      <c r="O225" s="41">
        <f t="shared" si="395"/>
        <v>1547097.0179381738</v>
      </c>
      <c r="P225" s="41">
        <f t="shared" si="396"/>
        <v>9933449.9757418782</v>
      </c>
      <c r="Q225" s="41">
        <f t="shared" si="397"/>
        <v>2.9893630044052853E-3</v>
      </c>
      <c r="R225" s="41">
        <f t="shared" si="398"/>
        <v>2.3174237195545927E-2</v>
      </c>
      <c r="S225" s="24">
        <f t="shared" ca="1" si="431"/>
        <v>20.239957495375997</v>
      </c>
      <c r="T225" s="10">
        <f t="shared" ca="1" si="399"/>
        <v>20.239957495375997</v>
      </c>
      <c r="U225" s="41">
        <f t="shared" ca="1" si="400"/>
        <v>0.61239866537927778</v>
      </c>
      <c r="V225" s="41">
        <f t="shared" ca="1" si="401"/>
        <v>4.6860037421353896E-2</v>
      </c>
      <c r="W225" s="41">
        <f t="shared" ca="1" si="402"/>
        <v>13.068676404859435</v>
      </c>
      <c r="X225" s="20">
        <f t="shared" ca="1" si="403"/>
        <v>909.58786422433593</v>
      </c>
      <c r="Y225" s="41">
        <f t="shared" si="404"/>
        <v>0.60574931049355307</v>
      </c>
      <c r="Z225" s="41">
        <f t="shared" ca="1" si="405"/>
        <v>143.75346577256397</v>
      </c>
      <c r="AA225" s="14">
        <f t="shared" ca="1" si="406"/>
        <v>969.44944080200821</v>
      </c>
      <c r="AB225" s="14">
        <f t="shared" si="432"/>
        <v>5292.6071438929721</v>
      </c>
      <c r="AC225" s="25">
        <f t="shared" ca="1" si="407"/>
        <v>275887.47950129455</v>
      </c>
      <c r="AD225" s="41">
        <f t="shared" si="408"/>
        <v>1506178.6447689419</v>
      </c>
      <c r="AE225" s="6">
        <v>100</v>
      </c>
      <c r="AF225" s="41">
        <f t="shared" si="409"/>
        <v>5292.6071438929721</v>
      </c>
      <c r="AG225" s="41"/>
      <c r="AH225" s="41"/>
      <c r="AI225" s="41">
        <f t="shared" si="410"/>
        <v>4021.0306777245901</v>
      </c>
      <c r="AJ225" s="13">
        <f t="shared" ca="1" si="411"/>
        <v>98.451749743770833</v>
      </c>
      <c r="AK225" s="11"/>
      <c r="AL225" s="6">
        <v>150</v>
      </c>
      <c r="AM225" s="41">
        <f t="shared" ca="1" si="412"/>
        <v>1.5235889701339786</v>
      </c>
      <c r="AN225" s="41">
        <f t="shared" ca="1" si="413"/>
        <v>1.7017772192087617</v>
      </c>
      <c r="AO225" s="41">
        <f t="shared" ca="1" si="414"/>
        <v>6.6952726263134421E-2</v>
      </c>
      <c r="AP225" s="67">
        <f t="shared" si="433"/>
        <v>0.75974478520748945</v>
      </c>
      <c r="AQ225" s="11">
        <f t="shared" si="415"/>
        <v>1.0334927757183758</v>
      </c>
      <c r="AR225" s="11">
        <f t="shared" si="416"/>
        <v>0.90620627763389017</v>
      </c>
      <c r="AS225" s="11">
        <f t="shared" si="417"/>
        <v>0.87683852168583432</v>
      </c>
      <c r="AT225" s="11">
        <f t="shared" si="418"/>
        <v>536.04169798185001</v>
      </c>
      <c r="AU225" s="11">
        <f t="shared" si="419"/>
        <v>1917.7318488543908</v>
      </c>
      <c r="AV225" s="11">
        <f t="shared" si="420"/>
        <v>2.0841574821950596E-3</v>
      </c>
      <c r="AW225" s="11">
        <f t="shared" si="421"/>
        <v>3.8337148741954121E-7</v>
      </c>
      <c r="AX225" s="41">
        <f t="shared" ca="1" si="422"/>
        <v>1.1739651536841857</v>
      </c>
      <c r="AY225" s="41">
        <f t="shared" ca="1" si="423"/>
        <v>1.5813543858235986</v>
      </c>
      <c r="AZ225" s="41">
        <f t="shared" si="424"/>
        <v>0.18497910570079243</v>
      </c>
    </row>
    <row r="226" spans="1:52" ht="14.5">
      <c r="A226" s="41">
        <f t="shared" ca="1" si="425"/>
        <v>36.964604411021689</v>
      </c>
      <c r="B226" s="41">
        <f t="shared" ca="1" si="435"/>
        <v>0.61607674018369485</v>
      </c>
      <c r="C226" s="41">
        <f t="shared" ca="1" si="435"/>
        <v>1.0267945669728247E-2</v>
      </c>
      <c r="D226" s="41">
        <f t="shared" ca="1" si="427"/>
        <v>12667.71925549417</v>
      </c>
      <c r="E226" s="41">
        <f t="shared" ca="1" si="428"/>
        <v>1.2388227597471444</v>
      </c>
      <c r="F226" s="41">
        <f t="shared" ca="1" si="429"/>
        <v>1.2388227597471444</v>
      </c>
      <c r="G226" s="41"/>
      <c r="H226" s="7">
        <f t="shared" si="430"/>
        <v>2850</v>
      </c>
      <c r="I226" s="6">
        <v>15</v>
      </c>
      <c r="J226" s="41">
        <f t="shared" si="391"/>
        <v>0.25697823700672945</v>
      </c>
      <c r="K226" s="41">
        <f t="shared" si="392"/>
        <v>291.52260926918837</v>
      </c>
      <c r="L226" s="6">
        <f t="shared" si="434"/>
        <v>161.5</v>
      </c>
      <c r="M226" s="41">
        <f t="shared" si="393"/>
        <v>172.7224816302458</v>
      </c>
      <c r="N226" s="41">
        <f t="shared" si="394"/>
        <v>88.161439633028053</v>
      </c>
      <c r="O226" s="41">
        <f t="shared" si="395"/>
        <v>1578885.8092654536</v>
      </c>
      <c r="P226" s="41">
        <f t="shared" si="396"/>
        <v>10137556.353543358</v>
      </c>
      <c r="Q226" s="41">
        <f t="shared" si="397"/>
        <v>2.9787727529843469E-3</v>
      </c>
      <c r="R226" s="41">
        <f t="shared" si="398"/>
        <v>2.310985232793334E-2</v>
      </c>
      <c r="S226" s="24">
        <f t="shared" ca="1" si="431"/>
        <v>20.103306896404611</v>
      </c>
      <c r="T226" s="10">
        <f t="shared" ca="1" si="399"/>
        <v>20.103306896404611</v>
      </c>
      <c r="U226" s="41">
        <f t="shared" ca="1" si="400"/>
        <v>0.5866673639090948</v>
      </c>
      <c r="V226" s="41">
        <f t="shared" ca="1" si="401"/>
        <v>4.4847044724798654E-2</v>
      </c>
      <c r="W226" s="41">
        <f t="shared" ca="1" si="402"/>
        <v>13.081516686531872</v>
      </c>
      <c r="X226" s="20">
        <f t="shared" ca="1" si="403"/>
        <v>909.36940603176049</v>
      </c>
      <c r="Y226" s="41">
        <f t="shared" si="404"/>
        <v>0.60490725006967883</v>
      </c>
      <c r="Z226" s="41">
        <f t="shared" ca="1" si="405"/>
        <v>144.13272123720932</v>
      </c>
      <c r="AA226" s="14">
        <f t="shared" ca="1" si="406"/>
        <v>968.3677786793844</v>
      </c>
      <c r="AB226" s="14">
        <f t="shared" si="432"/>
        <v>5263.4405320193364</v>
      </c>
      <c r="AC226" s="25">
        <f t="shared" ca="1" si="407"/>
        <v>282301.10157282208</v>
      </c>
      <c r="AD226" s="41">
        <f t="shared" si="408"/>
        <v>1534411.917627482</v>
      </c>
      <c r="AE226" s="6">
        <v>100</v>
      </c>
      <c r="AF226" s="41">
        <f t="shared" si="409"/>
        <v>5263.4405320193364</v>
      </c>
      <c r="AG226" s="41"/>
      <c r="AH226" s="41"/>
      <c r="AI226" s="41">
        <f t="shared" si="410"/>
        <v>4005.5527106108066</v>
      </c>
      <c r="AJ226" s="13">
        <f t="shared" ca="1" si="411"/>
        <v>100.20037151052375</v>
      </c>
      <c r="AK226" s="11"/>
      <c r="AL226" s="6">
        <v>150</v>
      </c>
      <c r="AM226" s="41">
        <f t="shared" ca="1" si="412"/>
        <v>1.4970004376106125</v>
      </c>
      <c r="AN226" s="41">
        <f t="shared" ca="1" si="413"/>
        <v>1.6656428224046536</v>
      </c>
      <c r="AO226" s="41">
        <f t="shared" ca="1" si="414"/>
        <v>6.7447880134784671E-2</v>
      </c>
      <c r="AP226" s="67">
        <f t="shared" si="433"/>
        <v>0.7610141477316289</v>
      </c>
      <c r="AQ226" s="11">
        <f t="shared" si="415"/>
        <v>1.0324614732183759</v>
      </c>
      <c r="AR226" s="11">
        <f t="shared" si="416"/>
        <v>0.90121233682955559</v>
      </c>
      <c r="AS226" s="11">
        <f t="shared" si="417"/>
        <v>0.87287744889919028</v>
      </c>
      <c r="AT226" s="11">
        <f t="shared" si="418"/>
        <v>535.50679231417496</v>
      </c>
      <c r="AU226" s="11">
        <f t="shared" si="419"/>
        <v>1907.1635714454419</v>
      </c>
      <c r="AV226" s="11">
        <f t="shared" si="420"/>
        <v>2.0747424082884851E-3</v>
      </c>
      <c r="AW226" s="11">
        <f t="shared" si="421"/>
        <v>3.8307667145801163E-7</v>
      </c>
      <c r="AX226" s="41">
        <f t="shared" ca="1" si="422"/>
        <v>1.2044733893586634</v>
      </c>
      <c r="AY226" s="41">
        <f t="shared" ca="1" si="423"/>
        <v>1.6224495854010077</v>
      </c>
      <c r="AZ226" s="41">
        <f t="shared" si="424"/>
        <v>0.18935985665684568</v>
      </c>
    </row>
    <row r="227" spans="1:52" ht="14.5">
      <c r="A227" s="41">
        <f t="shared" ca="1" si="425"/>
        <v>38.461604848632305</v>
      </c>
      <c r="B227" s="41">
        <f t="shared" ca="1" si="435"/>
        <v>0.64102674747720512</v>
      </c>
      <c r="C227" s="41">
        <f t="shared" ca="1" si="435"/>
        <v>1.0683779124620086E-2</v>
      </c>
      <c r="D227" s="41">
        <f t="shared" ca="1" si="427"/>
        <v>12666.053612671765</v>
      </c>
      <c r="E227" s="41">
        <f t="shared" ca="1" si="428"/>
        <v>1.306270639881929</v>
      </c>
      <c r="F227" s="41">
        <f t="shared" ca="1" si="429"/>
        <v>1.306270639881929</v>
      </c>
      <c r="G227" s="41"/>
      <c r="H227" s="7">
        <f t="shared" si="430"/>
        <v>3000</v>
      </c>
      <c r="I227" s="6">
        <v>15</v>
      </c>
      <c r="J227" s="41">
        <f t="shared" si="391"/>
        <v>0.2632532415619146</v>
      </c>
      <c r="K227" s="41">
        <f t="shared" si="392"/>
        <v>298.49194287410489</v>
      </c>
      <c r="L227" s="6">
        <f t="shared" si="434"/>
        <v>165</v>
      </c>
      <c r="M227" s="41">
        <f t="shared" si="393"/>
        <v>176.85170028182117</v>
      </c>
      <c r="N227" s="41">
        <f t="shared" si="394"/>
        <v>92.009140514372376</v>
      </c>
      <c r="O227" s="41">
        <f t="shared" si="395"/>
        <v>1610560.9898818883</v>
      </c>
      <c r="P227" s="41">
        <f t="shared" si="396"/>
        <v>10340933.270748764</v>
      </c>
      <c r="Q227" s="41">
        <f t="shared" si="397"/>
        <v>2.9684322926589999E-3</v>
      </c>
      <c r="R227" s="41">
        <f t="shared" si="398"/>
        <v>2.3046986099112335E-2</v>
      </c>
      <c r="S227" s="24">
        <f t="shared" ca="1" si="431"/>
        <v>19.959758577207637</v>
      </c>
      <c r="T227" s="10">
        <f t="shared" ca="1" si="399"/>
        <v>19.959758577207637</v>
      </c>
      <c r="U227" s="41">
        <f t="shared" ca="1" si="400"/>
        <v>0.56257344337783199</v>
      </c>
      <c r="V227" s="41">
        <f t="shared" ca="1" si="401"/>
        <v>4.3035386717103344E-2</v>
      </c>
      <c r="W227" s="41">
        <f t="shared" ca="1" si="402"/>
        <v>13.072345488050447</v>
      </c>
      <c r="X227" s="20">
        <f t="shared" ca="1" si="403"/>
        <v>910.71925701519262</v>
      </c>
      <c r="Y227" s="41">
        <f t="shared" si="404"/>
        <v>0.60408391864909072</v>
      </c>
      <c r="Z227" s="41">
        <f t="shared" ca="1" si="405"/>
        <v>144.51622399531425</v>
      </c>
      <c r="AA227" s="14">
        <f t="shared" ca="1" si="406"/>
        <v>968.91974162172528</v>
      </c>
      <c r="AB227" s="14">
        <f t="shared" si="432"/>
        <v>5234.4042087224379</v>
      </c>
      <c r="AC227" s="25">
        <f t="shared" ca="1" si="407"/>
        <v>289214.73616574449</v>
      </c>
      <c r="AD227" s="41">
        <f t="shared" si="408"/>
        <v>1562427.4820499523</v>
      </c>
      <c r="AE227" s="6">
        <v>100</v>
      </c>
      <c r="AF227" s="41">
        <f t="shared" si="409"/>
        <v>5234.4042087224379</v>
      </c>
      <c r="AG227" s="41"/>
      <c r="AH227" s="41"/>
      <c r="AI227" s="41">
        <f t="shared" si="410"/>
        <v>3990.0977840166211</v>
      </c>
      <c r="AJ227" s="13">
        <f t="shared" ca="1" si="411"/>
        <v>101.89323060495015</v>
      </c>
      <c r="AK227" s="11"/>
      <c r="AL227" s="6">
        <v>0</v>
      </c>
      <c r="AM227" s="41">
        <f t="shared" ca="1" si="412"/>
        <v>0</v>
      </c>
      <c r="AN227" s="41">
        <f t="shared" ca="1" si="413"/>
        <v>0</v>
      </c>
      <c r="AO227" s="41">
        <f t="shared" ca="1" si="414"/>
        <v>0</v>
      </c>
      <c r="AP227" s="67">
        <f t="shared" si="433"/>
        <v>0.76228308416985724</v>
      </c>
      <c r="AQ227" s="11">
        <f t="shared" si="415"/>
        <v>1.0314301707183759</v>
      </c>
      <c r="AR227" s="11">
        <f t="shared" si="416"/>
        <v>0.8962407041850623</v>
      </c>
      <c r="AS227" s="11">
        <f t="shared" si="417"/>
        <v>0.86893008332386068</v>
      </c>
      <c r="AT227" s="11">
        <f t="shared" si="418"/>
        <v>534.97188664650002</v>
      </c>
      <c r="AU227" s="11">
        <f t="shared" si="419"/>
        <v>1896.6425030105124</v>
      </c>
      <c r="AV227" s="11">
        <f t="shared" si="420"/>
        <v>2.0653599150524844E-3</v>
      </c>
      <c r="AW227" s="11">
        <f t="shared" si="421"/>
        <v>3.8278171249107636E-7</v>
      </c>
      <c r="AX227" s="41">
        <f t="shared" ca="1" si="422"/>
        <v>1.2366356178771167</v>
      </c>
      <c r="AY227" s="41">
        <f t="shared" ca="1" si="423"/>
        <v>1.6657727462000369</v>
      </c>
      <c r="AZ227" s="41">
        <f t="shared" si="424"/>
        <v>0.19374347287471558</v>
      </c>
    </row>
    <row r="228" spans="1:52" ht="14.5">
      <c r="AC228" s="3"/>
      <c r="AD228" s="3"/>
      <c r="AP228" s="53"/>
    </row>
    <row r="229" spans="1:52" s="89" customFormat="1" ht="14.5">
      <c r="A229" s="123" t="s">
        <v>5</v>
      </c>
      <c r="B229" s="81" t="s">
        <v>122</v>
      </c>
      <c r="C229" s="81">
        <v>45</v>
      </c>
      <c r="D229" s="81" t="s">
        <v>21</v>
      </c>
      <c r="E229" s="82"/>
      <c r="F229" s="82"/>
      <c r="G229" s="82"/>
      <c r="H229" s="82"/>
      <c r="I229" s="83"/>
      <c r="J229" s="82"/>
      <c r="K229" s="82"/>
      <c r="L229" s="84" t="s">
        <v>60</v>
      </c>
      <c r="M229" s="82"/>
      <c r="N229" s="82"/>
      <c r="O229" s="82"/>
      <c r="P229" s="82"/>
      <c r="Q229" s="81"/>
      <c r="R229" s="82"/>
      <c r="S229" s="85"/>
      <c r="T229" s="86"/>
      <c r="U229" s="81"/>
      <c r="V229" s="81"/>
      <c r="W229" s="81"/>
      <c r="X229" s="81"/>
      <c r="Y229" s="82"/>
      <c r="Z229" s="82"/>
      <c r="AA229" s="87"/>
      <c r="AB229" s="87"/>
      <c r="AC229" s="82"/>
      <c r="AD229" s="82"/>
      <c r="AE229" s="83"/>
      <c r="AF229" s="81"/>
      <c r="AG229" s="82"/>
      <c r="AH229" s="82"/>
      <c r="AI229" s="82"/>
      <c r="AJ229" s="81" t="s">
        <v>61</v>
      </c>
      <c r="AK229" s="88"/>
      <c r="AL229" s="83"/>
      <c r="AM229" s="83"/>
      <c r="AN229" s="82"/>
      <c r="AO229" s="82"/>
      <c r="AP229" s="53"/>
      <c r="AQ229" s="88"/>
      <c r="AR229" s="88"/>
      <c r="AS229" s="88"/>
      <c r="AT229" s="88"/>
      <c r="AU229" s="88"/>
      <c r="AV229" s="88"/>
      <c r="AW229" s="88"/>
      <c r="AX229" s="82"/>
      <c r="AY229" s="82"/>
      <c r="AZ229" s="82"/>
    </row>
    <row r="230" spans="1:52" ht="14.5">
      <c r="A230" s="41" t="s">
        <v>2</v>
      </c>
      <c r="B230" s="41" t="s">
        <v>2</v>
      </c>
      <c r="C230" s="41" t="s">
        <v>2</v>
      </c>
      <c r="D230" s="41" t="s">
        <v>23</v>
      </c>
      <c r="E230" s="41" t="s">
        <v>24</v>
      </c>
      <c r="F230" s="41" t="s">
        <v>25</v>
      </c>
      <c r="G230" s="41"/>
      <c r="H230" s="41" t="s">
        <v>0</v>
      </c>
      <c r="I230" s="5" t="s">
        <v>26</v>
      </c>
      <c r="J230" s="41" t="s">
        <v>27</v>
      </c>
      <c r="K230" s="41" t="s">
        <v>28</v>
      </c>
      <c r="L230" s="12" t="s">
        <v>29</v>
      </c>
      <c r="M230" s="13" t="s">
        <v>30</v>
      </c>
      <c r="N230" s="41" t="s">
        <v>31</v>
      </c>
      <c r="O230" s="41" t="s">
        <v>32</v>
      </c>
      <c r="P230" s="41" t="s">
        <v>33</v>
      </c>
      <c r="Q230" s="41" t="s">
        <v>34</v>
      </c>
      <c r="R230" s="41" t="s">
        <v>13</v>
      </c>
      <c r="S230" s="24" t="s">
        <v>35</v>
      </c>
      <c r="T230" s="10" t="s">
        <v>35</v>
      </c>
      <c r="U230" s="41" t="s">
        <v>36</v>
      </c>
      <c r="V230" s="41" t="s">
        <v>37</v>
      </c>
      <c r="W230" s="41" t="s">
        <v>38</v>
      </c>
      <c r="X230" s="41" t="s">
        <v>39</v>
      </c>
      <c r="Y230" s="41" t="s">
        <v>40</v>
      </c>
      <c r="Z230" s="35" t="s">
        <v>108</v>
      </c>
      <c r="AA230" s="35" t="s">
        <v>109</v>
      </c>
      <c r="AB230" s="9" t="s">
        <v>110</v>
      </c>
      <c r="AC230" s="7" t="s">
        <v>111</v>
      </c>
      <c r="AD230" s="7" t="s">
        <v>112</v>
      </c>
      <c r="AE230" s="5" t="s">
        <v>41</v>
      </c>
      <c r="AF230" s="7" t="s">
        <v>113</v>
      </c>
      <c r="AG230" s="41"/>
      <c r="AH230" s="41"/>
      <c r="AI230" s="41" t="s">
        <v>42</v>
      </c>
      <c r="AJ230" s="41" t="s">
        <v>43</v>
      </c>
      <c r="AK230" s="11"/>
      <c r="AL230" s="5" t="s">
        <v>44</v>
      </c>
      <c r="AM230" s="5" t="s">
        <v>45</v>
      </c>
      <c r="AN230" s="41" t="s">
        <v>46</v>
      </c>
      <c r="AO230" s="41" t="s">
        <v>47</v>
      </c>
      <c r="AP230" s="53"/>
      <c r="AQ230" s="15" t="s">
        <v>62</v>
      </c>
      <c r="AR230" s="16" t="s">
        <v>63</v>
      </c>
      <c r="AS230" s="16" t="s">
        <v>64</v>
      </c>
      <c r="AT230" s="17" t="s">
        <v>65</v>
      </c>
      <c r="AU230" s="18" t="s">
        <v>66</v>
      </c>
      <c r="AV230" s="18" t="s">
        <v>67</v>
      </c>
      <c r="AW230" s="19" t="s">
        <v>68</v>
      </c>
      <c r="AX230" s="7" t="s">
        <v>207</v>
      </c>
      <c r="AY230" s="7" t="s">
        <v>208</v>
      </c>
      <c r="AZ230" s="7" t="s">
        <v>209</v>
      </c>
    </row>
    <row r="231" spans="1:52" ht="14.5">
      <c r="A231" s="41" t="s">
        <v>18</v>
      </c>
      <c r="B231" s="41" t="s">
        <v>21</v>
      </c>
      <c r="C231" s="41" t="s">
        <v>48</v>
      </c>
      <c r="D231" s="41" t="s">
        <v>8</v>
      </c>
      <c r="E231" s="41" t="s">
        <v>49</v>
      </c>
      <c r="F231" s="41" t="s">
        <v>49</v>
      </c>
      <c r="G231" s="41"/>
      <c r="H231" s="41" t="s">
        <v>9</v>
      </c>
      <c r="I231" s="5" t="s">
        <v>50</v>
      </c>
      <c r="J231" s="41"/>
      <c r="K231" s="41" t="s">
        <v>51</v>
      </c>
      <c r="L231" s="5" t="s">
        <v>52</v>
      </c>
      <c r="M231" s="41" t="s">
        <v>52</v>
      </c>
      <c r="N231" s="41" t="s">
        <v>53</v>
      </c>
      <c r="O231" s="41" t="s">
        <v>54</v>
      </c>
      <c r="P231" s="41"/>
      <c r="Q231" s="41"/>
      <c r="R231" s="41"/>
      <c r="S231" s="24" t="s">
        <v>55</v>
      </c>
      <c r="T231" s="10" t="s">
        <v>55</v>
      </c>
      <c r="U231" s="41"/>
      <c r="V231" s="41"/>
      <c r="W231" s="41"/>
      <c r="X231" s="41"/>
      <c r="Y231" s="41"/>
      <c r="Z231" s="41"/>
      <c r="AA231" s="9" t="s">
        <v>118</v>
      </c>
      <c r="AB231" s="9" t="s">
        <v>118</v>
      </c>
      <c r="AC231" s="7" t="s">
        <v>119</v>
      </c>
      <c r="AD231" s="7" t="s">
        <v>119</v>
      </c>
      <c r="AE231" s="5" t="s">
        <v>20</v>
      </c>
      <c r="AF231" s="7" t="s">
        <v>118</v>
      </c>
      <c r="AG231" s="41"/>
      <c r="AH231" s="41"/>
      <c r="AI231" s="41" t="s">
        <v>56</v>
      </c>
      <c r="AJ231" s="41" t="s">
        <v>57</v>
      </c>
      <c r="AK231" s="11"/>
      <c r="AL231" s="5" t="s">
        <v>9</v>
      </c>
      <c r="AM231" s="5" t="s">
        <v>18</v>
      </c>
      <c r="AN231" s="41" t="s">
        <v>8</v>
      </c>
      <c r="AO231" s="41" t="s">
        <v>49</v>
      </c>
      <c r="AP231" s="53"/>
      <c r="AQ231" s="11"/>
      <c r="AR231" s="11"/>
      <c r="AS231" s="11"/>
      <c r="AT231" s="11"/>
      <c r="AU231" s="11"/>
      <c r="AV231" s="11"/>
      <c r="AW231" s="11"/>
      <c r="AX231" s="41"/>
      <c r="AY231" s="41"/>
      <c r="AZ231" s="41"/>
    </row>
    <row r="232" spans="1:52" ht="14.5">
      <c r="A232" s="41">
        <f ca="1">A227</f>
        <v>38.461604848632305</v>
      </c>
      <c r="B232" s="41">
        <f t="shared" ref="B232:C232" ca="1" si="436">(A232/60)</f>
        <v>0.64102674747720512</v>
      </c>
      <c r="C232" s="41">
        <f t="shared" ca="1" si="436"/>
        <v>1.0683779124620086E-2</v>
      </c>
      <c r="D232" s="41">
        <f t="shared" ref="D232:E232" ca="1" si="437">D217</f>
        <v>12684.665039236152</v>
      </c>
      <c r="E232" s="41">
        <f t="shared" ca="1" si="437"/>
        <v>0.64976839665451724</v>
      </c>
      <c r="F232" s="7">
        <v>0</v>
      </c>
      <c r="G232" s="41"/>
      <c r="H232" s="7">
        <f>H227</f>
        <v>3000</v>
      </c>
      <c r="I232" s="6">
        <v>15</v>
      </c>
      <c r="J232" s="41">
        <f t="shared" ref="J232:J252" si="438">SQRT((((((((L232^2)*(0.2))/(661.477)^2) + 1)^(3.5) - 1)*(1/AR232) + 1)^(1/3.5) - 1)*(5))</f>
        <v>0.2632532415619146</v>
      </c>
      <c r="K232" s="41">
        <f t="shared" ref="K232:K252" si="439">SQRT((1.4*2116.22*AR232*(J232)^2)/AV232)</f>
        <v>298.49194287410489</v>
      </c>
      <c r="L232" s="120">
        <v>165</v>
      </c>
      <c r="M232" s="41">
        <f t="shared" ref="M232:M252" si="440">K232*0.592484</f>
        <v>176.85170028182117</v>
      </c>
      <c r="N232" s="41">
        <f t="shared" ref="N232:N252" si="441">0.5*AV232*K232^2</f>
        <v>92.009140514372376</v>
      </c>
      <c r="O232" s="41">
        <f t="shared" ref="O232:O252" si="442">P232/$B$7</f>
        <v>1610560.9898818883</v>
      </c>
      <c r="P232" s="41">
        <f t="shared" ref="P232:P252" si="443">(AV232*K232*$B$7)/(AW232)</f>
        <v>10340933.270748764</v>
      </c>
      <c r="Q232" s="41">
        <f t="shared" ref="Q232:Q252" si="444">0.455/(LOG10(P232)^2.58 * (1+0.144*J232*J232)^0.65)</f>
        <v>2.9684322926589999E-3</v>
      </c>
      <c r="R232" s="41">
        <f t="shared" ref="R232:R252" si="445">(((Q232*$B$4)+$B$17)+(0.1*(Q232*$B$4)))</f>
        <v>2.3046986099112335E-2</v>
      </c>
      <c r="S232" s="24">
        <f ca="1">T232</f>
        <v>1.5405474170951061E-15</v>
      </c>
      <c r="T232" s="10">
        <f t="shared" ref="T232:T252" ca="1" si="446">DEGREES(ASIN(((AF232-X232)/(D232))))</f>
        <v>1.5405474170951061E-15</v>
      </c>
      <c r="U232" s="41">
        <f t="shared" ref="U232:U252" ca="1" si="447">(D232*COS(RADIANS(S232)))/(N232*$B$3)</f>
        <v>0.59940476841299739</v>
      </c>
      <c r="V232" s="41">
        <f t="shared" ref="V232:V252" ca="1" si="448">(X232)/(N232*$B$3)</f>
        <v>4.5738317465205111E-2</v>
      </c>
      <c r="W232" s="41">
        <f t="shared" ref="W232:W252" ca="1" si="449">U232/V232</f>
        <v>13.105090034608018</v>
      </c>
      <c r="X232" s="20">
        <f t="shared" ref="X232:X252" ca="1" si="450">(N232*$B$3*R232)+((N232*$B$3)*((U232^2)/(PI()*$B$6*$B$5)))</f>
        <v>967.91895406581671</v>
      </c>
      <c r="Y232" s="41">
        <f t="shared" ref="Y232:Y252" si="451">SQRT(PI()*$B$6*$B$5*R232)</f>
        <v>0.60408391864909072</v>
      </c>
      <c r="Z232" s="41">
        <f t="shared" ref="Z232:Z252" ca="1" si="452">SQRT((2*((U232*N232*$B$3)/(D232))*D232)/(AV232*$B$3*$B$18))</f>
        <v>149.17192313718229</v>
      </c>
      <c r="AA232" s="14">
        <f t="shared" ref="AA232:AA252" ca="1" si="453">D232/W232</f>
        <v>967.91895406581682</v>
      </c>
      <c r="AB232" s="14">
        <f>$B$15*AR232*0.93</f>
        <v>5234.4042087224379</v>
      </c>
      <c r="AC232" s="25">
        <f t="shared" ref="AC232:AC252" ca="1" si="454">AA232*K232</f>
        <v>288916.00914377713</v>
      </c>
      <c r="AD232" s="41">
        <f t="shared" ref="AD232:AD252" si="455">AB232*K232</f>
        <v>1562427.4820499523</v>
      </c>
      <c r="AE232" s="5">
        <f t="shared" ref="AE232:AE252" ca="1" si="456">(AA232/AB232)*100</f>
        <v>18.491482802434493</v>
      </c>
      <c r="AF232" s="7">
        <f t="shared" ref="AF232:AF252" ca="1" si="457">(AB232)*(AE232/100)</f>
        <v>967.91895406581705</v>
      </c>
      <c r="AG232" s="41"/>
      <c r="AH232" s="41"/>
      <c r="AI232" s="41">
        <f t="shared" ref="AI232:AI252" ca="1" si="458">(AP232*AF232)</f>
        <v>743.04652949352965</v>
      </c>
      <c r="AJ232" s="13">
        <f t="shared" ref="AJ232:AJ252" ca="1" si="459">K232*SIN(RADIANS(T232))</f>
        <v>8.0257393393767686E-15</v>
      </c>
      <c r="AK232" s="11"/>
      <c r="AL232" s="6">
        <v>0</v>
      </c>
      <c r="AM232" s="6">
        <v>135</v>
      </c>
      <c r="AN232" s="41">
        <f t="shared" ref="AN232:AN252" ca="1" si="460">AI232*(AM232/3600)</f>
        <v>27.86424485600736</v>
      </c>
      <c r="AO232" s="41">
        <f t="shared" ref="AO232:AO252" ca="1" si="461">M232*COS(RADIANS(T232))*(AM232/3600)</f>
        <v>6.6319387605682936</v>
      </c>
      <c r="AP232" s="67">
        <f>0.71 + 0.304*AZ232 + -0.0326*AZ232^2</f>
        <v>0.76767432476893471</v>
      </c>
      <c r="AQ232" s="11">
        <f t="shared" ref="AQ232:AQ252" si="462">IF(H232 &lt;= 36089, ((1 - 6.87535*10^(-6)*H232) + ((I232*1.8)/518.67)), 0.75187 + ((I232*1.8)/518.67))</f>
        <v>1.0314301707183759</v>
      </c>
      <c r="AR232" s="11">
        <f t="shared" ref="AR232:AR252" si="463">IF(H232 &lt;= 36089, (1 - 6.87535*10^(-6)*H232)^5.2561, 0.22336*EXP((36089 - H232)/(20806.7)))</f>
        <v>0.8962407041850623</v>
      </c>
      <c r="AS232" s="11">
        <f t="shared" ref="AS232:AS252" si="464">(AR232/AQ232)</f>
        <v>0.86893008332386068</v>
      </c>
      <c r="AT232" s="11">
        <f t="shared" ref="AT232:AT252" si="465">(518.67*AQ232)</f>
        <v>534.97188664650002</v>
      </c>
      <c r="AU232" s="11">
        <f t="shared" ref="AU232:AU252" si="466">2116.22*AR232</f>
        <v>1896.6425030105124</v>
      </c>
      <c r="AV232" s="11">
        <f t="shared" ref="AV232:AV252" si="467">(0.0023769*AS232)</f>
        <v>2.0653599150524844E-3</v>
      </c>
      <c r="AW232" s="11">
        <f t="shared" ref="AW232:AW252" si="468">((2.2697*10^-8)*(AT232^1.5))/(AT232+198.72)</f>
        <v>3.8278171249107636E-7</v>
      </c>
      <c r="AX232" s="41">
        <f t="shared" ref="AX232:AX252" ca="1" si="469">(1/U232)*(((1 + 0.2*(U232)^2)/1.2)^3)</f>
        <v>1.1889042393661677</v>
      </c>
      <c r="AY232" s="41">
        <f t="shared" ref="AY232:AY252" ca="1" si="470">($H$4/$H$3)*AX232</f>
        <v>1.6014776310402552</v>
      </c>
      <c r="AZ232" s="41">
        <f t="shared" ref="AZ232:AZ252" si="471">-6.6*10^(-3) + 0.825*J232 - 0.243*(J232^2)</f>
        <v>0.19374347287471558</v>
      </c>
    </row>
    <row r="233" spans="1:52" ht="14.5">
      <c r="A233" s="41">
        <f t="shared" ref="A233:A252" ca="1" si="472">A232+AM232</f>
        <v>173.46160484863231</v>
      </c>
      <c r="B233" s="41">
        <f t="shared" ref="B233:C248" ca="1" si="473">A233/60</f>
        <v>2.8910267474772051</v>
      </c>
      <c r="C233" s="41">
        <f t="shared" ca="1" si="473"/>
        <v>4.8183779124620088E-2</v>
      </c>
      <c r="D233" s="41">
        <f t="shared" ref="D233:D252" ca="1" si="474">D232-AN232</f>
        <v>12656.800794380144</v>
      </c>
      <c r="E233" s="41">
        <f t="shared" ref="E233:E252" ca="1" si="475">E232+AO232</f>
        <v>7.2817071572228107</v>
      </c>
      <c r="F233" s="41">
        <f t="shared" ref="F233:F252" ca="1" si="476">F232+AO232</f>
        <v>6.6319387605682936</v>
      </c>
      <c r="G233" s="41"/>
      <c r="H233" s="7">
        <f t="shared" ref="H233:H252" si="477">H232+AL232</f>
        <v>3000</v>
      </c>
      <c r="I233" s="6">
        <v>15</v>
      </c>
      <c r="J233" s="41">
        <f t="shared" si="438"/>
        <v>0.2632532415619146</v>
      </c>
      <c r="K233" s="41">
        <f t="shared" si="439"/>
        <v>298.49194287410489</v>
      </c>
      <c r="L233" s="6">
        <f t="shared" ref="L233:L252" si="478">L232</f>
        <v>165</v>
      </c>
      <c r="M233" s="41">
        <f t="shared" si="440"/>
        <v>176.85170028182117</v>
      </c>
      <c r="N233" s="41">
        <f t="shared" si="441"/>
        <v>92.009140514372376</v>
      </c>
      <c r="O233" s="41">
        <f t="shared" si="442"/>
        <v>1610560.9898818883</v>
      </c>
      <c r="P233" s="41">
        <f t="shared" si="443"/>
        <v>10340933.270748764</v>
      </c>
      <c r="Q233" s="41">
        <f t="shared" si="444"/>
        <v>2.9684322926589999E-3</v>
      </c>
      <c r="R233" s="41">
        <f t="shared" si="445"/>
        <v>2.3046986099112335E-2</v>
      </c>
      <c r="S233" s="24">
        <f t="shared" ref="S233:S252" ca="1" si="479">T233</f>
        <v>-5.1464632283139994E-16</v>
      </c>
      <c r="T233" s="10">
        <f t="shared" ca="1" si="446"/>
        <v>-5.1464632283139994E-16</v>
      </c>
      <c r="U233" s="41">
        <f t="shared" ca="1" si="447"/>
        <v>0.5980880634638911</v>
      </c>
      <c r="V233" s="41">
        <f t="shared" ca="1" si="448"/>
        <v>4.5638735433821423E-2</v>
      </c>
      <c r="W233" s="41">
        <f t="shared" ca="1" si="449"/>
        <v>13.104834254909415</v>
      </c>
      <c r="X233" s="20">
        <f t="shared" ca="1" si="450"/>
        <v>965.81158892861038</v>
      </c>
      <c r="Y233" s="41">
        <f t="shared" si="451"/>
        <v>0.60408391864909072</v>
      </c>
      <c r="Z233" s="41">
        <f t="shared" ca="1" si="452"/>
        <v>149.00799101295428</v>
      </c>
      <c r="AA233" s="14">
        <f t="shared" ca="1" si="453"/>
        <v>965.81158892861038</v>
      </c>
      <c r="AB233" s="14">
        <f t="shared" ref="AB233:AB252" si="480">$B$15*AR233*0.93</f>
        <v>5234.4042087224379</v>
      </c>
      <c r="AC233" s="25">
        <f t="shared" ca="1" si="454"/>
        <v>288286.97762962722</v>
      </c>
      <c r="AD233" s="41">
        <f t="shared" si="455"/>
        <v>1562427.4820499523</v>
      </c>
      <c r="AE233" s="5">
        <f t="shared" ca="1" si="456"/>
        <v>18.451222917007705</v>
      </c>
      <c r="AF233" s="7">
        <f t="shared" ca="1" si="457"/>
        <v>965.81158892861026</v>
      </c>
      <c r="AG233" s="41"/>
      <c r="AH233" s="41"/>
      <c r="AI233" s="41">
        <f t="shared" ca="1" si="458"/>
        <v>741.42875938478278</v>
      </c>
      <c r="AJ233" s="13">
        <f t="shared" ca="1" si="459"/>
        <v>-2.6811360644789356E-15</v>
      </c>
      <c r="AK233" s="11"/>
      <c r="AL233" s="6">
        <v>0</v>
      </c>
      <c r="AM233" s="6">
        <v>135</v>
      </c>
      <c r="AN233" s="41">
        <f t="shared" ca="1" si="460"/>
        <v>27.803578476929353</v>
      </c>
      <c r="AO233" s="41">
        <f t="shared" ca="1" si="461"/>
        <v>6.6319387605682936</v>
      </c>
      <c r="AP233" s="67">
        <f t="shared" ref="AP233:AP252" si="481">0.71 + 0.304*AZ233 + -0.0326*AZ233^2</f>
        <v>0.76767432476893471</v>
      </c>
      <c r="AQ233" s="11">
        <f t="shared" si="462"/>
        <v>1.0314301707183759</v>
      </c>
      <c r="AR233" s="11">
        <f t="shared" si="463"/>
        <v>0.8962407041850623</v>
      </c>
      <c r="AS233" s="11">
        <f t="shared" si="464"/>
        <v>0.86893008332386068</v>
      </c>
      <c r="AT233" s="11">
        <f t="shared" si="465"/>
        <v>534.97188664650002</v>
      </c>
      <c r="AU233" s="11">
        <f t="shared" si="466"/>
        <v>1896.6425030105124</v>
      </c>
      <c r="AV233" s="11">
        <f t="shared" si="467"/>
        <v>2.0653599150524844E-3</v>
      </c>
      <c r="AW233" s="11">
        <f t="shared" si="468"/>
        <v>3.8278171249107636E-7</v>
      </c>
      <c r="AX233" s="41">
        <f t="shared" ca="1" si="469"/>
        <v>1.1904702838812962</v>
      </c>
      <c r="AY233" s="41">
        <f t="shared" ca="1" si="470"/>
        <v>1.6035871241156003</v>
      </c>
      <c r="AZ233" s="41">
        <f t="shared" si="471"/>
        <v>0.19374347287471558</v>
      </c>
    </row>
    <row r="234" spans="1:52" ht="14.5">
      <c r="A234" s="41">
        <f t="shared" ca="1" si="472"/>
        <v>308.46160484863231</v>
      </c>
      <c r="B234" s="41">
        <f t="shared" ca="1" si="473"/>
        <v>5.1410267474772047</v>
      </c>
      <c r="C234" s="41">
        <f t="shared" ca="1" si="473"/>
        <v>8.568377912462008E-2</v>
      </c>
      <c r="D234" s="41">
        <f t="shared" ca="1" si="474"/>
        <v>12628.997215903215</v>
      </c>
      <c r="E234" s="41">
        <f t="shared" ca="1" si="475"/>
        <v>13.913645917791104</v>
      </c>
      <c r="F234" s="41">
        <f t="shared" ca="1" si="476"/>
        <v>13.263877521136587</v>
      </c>
      <c r="G234" s="41"/>
      <c r="H234" s="7">
        <f t="shared" si="477"/>
        <v>3000</v>
      </c>
      <c r="I234" s="6">
        <v>15</v>
      </c>
      <c r="J234" s="41">
        <f t="shared" si="438"/>
        <v>0.2632532415619146</v>
      </c>
      <c r="K234" s="41">
        <f t="shared" si="439"/>
        <v>298.49194287410489</v>
      </c>
      <c r="L234" s="6">
        <f t="shared" si="478"/>
        <v>165</v>
      </c>
      <c r="M234" s="41">
        <f t="shared" si="440"/>
        <v>176.85170028182117</v>
      </c>
      <c r="N234" s="41">
        <f t="shared" si="441"/>
        <v>92.009140514372376</v>
      </c>
      <c r="O234" s="41">
        <f t="shared" si="442"/>
        <v>1610560.9898818883</v>
      </c>
      <c r="P234" s="41">
        <f t="shared" si="443"/>
        <v>10340933.270748764</v>
      </c>
      <c r="Q234" s="41">
        <f t="shared" si="444"/>
        <v>2.9684322926589999E-3</v>
      </c>
      <c r="R234" s="41">
        <f t="shared" si="445"/>
        <v>2.3046986099112335E-2</v>
      </c>
      <c r="S234" s="24">
        <f t="shared" ca="1" si="479"/>
        <v>-5.1577935098716564E-16</v>
      </c>
      <c r="T234" s="10">
        <f t="shared" ca="1" si="446"/>
        <v>-5.1577935098716564E-16</v>
      </c>
      <c r="U234" s="41">
        <f t="shared" ca="1" si="447"/>
        <v>0.59677422526111112</v>
      </c>
      <c r="V234" s="41">
        <f t="shared" ca="1" si="448"/>
        <v>4.5539588490132732E-2</v>
      </c>
      <c r="W234" s="41">
        <f t="shared" ca="1" si="449"/>
        <v>13.104515105366332</v>
      </c>
      <c r="X234" s="20">
        <f t="shared" ca="1" si="450"/>
        <v>963.71343116172307</v>
      </c>
      <c r="Y234" s="41">
        <f t="shared" si="451"/>
        <v>0.60408391864909072</v>
      </c>
      <c r="Z234" s="41">
        <f t="shared" ca="1" si="452"/>
        <v>148.8442358436744</v>
      </c>
      <c r="AA234" s="14">
        <f t="shared" ca="1" si="453"/>
        <v>963.71343116172295</v>
      </c>
      <c r="AB234" s="14">
        <f t="shared" si="480"/>
        <v>5234.4042087224379</v>
      </c>
      <c r="AC234" s="25">
        <f t="shared" ca="1" si="454"/>
        <v>287660.6944413326</v>
      </c>
      <c r="AD234" s="41">
        <f t="shared" si="455"/>
        <v>1562427.4820499523</v>
      </c>
      <c r="AE234" s="5">
        <f t="shared" ca="1" si="456"/>
        <v>18.411138932599489</v>
      </c>
      <c r="AF234" s="7">
        <f t="shared" ca="1" si="457"/>
        <v>963.71343116172295</v>
      </c>
      <c r="AG234" s="41"/>
      <c r="AH234" s="41"/>
      <c r="AI234" s="41">
        <f t="shared" ca="1" si="458"/>
        <v>739.81805753782896</v>
      </c>
      <c r="AJ234" s="13">
        <f t="shared" ca="1" si="459"/>
        <v>-2.6870387640917121E-15</v>
      </c>
      <c r="AK234" s="11"/>
      <c r="AL234" s="6">
        <v>0</v>
      </c>
      <c r="AM234" s="6">
        <v>135</v>
      </c>
      <c r="AN234" s="41">
        <f t="shared" ca="1" si="460"/>
        <v>27.743177157668587</v>
      </c>
      <c r="AO234" s="41">
        <f t="shared" ca="1" si="461"/>
        <v>6.6319387605682936</v>
      </c>
      <c r="AP234" s="67">
        <f t="shared" si="481"/>
        <v>0.76767432476893471</v>
      </c>
      <c r="AQ234" s="11">
        <f t="shared" si="462"/>
        <v>1.0314301707183759</v>
      </c>
      <c r="AR234" s="11">
        <f t="shared" si="463"/>
        <v>0.8962407041850623</v>
      </c>
      <c r="AS234" s="11">
        <f t="shared" si="464"/>
        <v>0.86893008332386068</v>
      </c>
      <c r="AT234" s="11">
        <f t="shared" si="465"/>
        <v>534.97188664650002</v>
      </c>
      <c r="AU234" s="11">
        <f t="shared" si="466"/>
        <v>1896.6425030105124</v>
      </c>
      <c r="AV234" s="11">
        <f t="shared" si="467"/>
        <v>2.0653599150524844E-3</v>
      </c>
      <c r="AW234" s="11">
        <f t="shared" si="468"/>
        <v>3.8278171249107636E-7</v>
      </c>
      <c r="AX234" s="41">
        <f t="shared" ca="1" si="469"/>
        <v>1.1920427322891984</v>
      </c>
      <c r="AY234" s="41">
        <f t="shared" ca="1" si="470"/>
        <v>1.6057052433617416</v>
      </c>
      <c r="AZ234" s="41">
        <f t="shared" si="471"/>
        <v>0.19374347287471558</v>
      </c>
    </row>
    <row r="235" spans="1:52" ht="14.5">
      <c r="A235" s="41">
        <f t="shared" ca="1" si="472"/>
        <v>443.46160484863231</v>
      </c>
      <c r="B235" s="41">
        <f t="shared" ca="1" si="473"/>
        <v>7.3910267474772047</v>
      </c>
      <c r="C235" s="41">
        <f t="shared" ca="1" si="473"/>
        <v>0.12318377912462007</v>
      </c>
      <c r="D235" s="41">
        <f t="shared" ca="1" si="474"/>
        <v>12601.254038745546</v>
      </c>
      <c r="E235" s="41">
        <f t="shared" ca="1" si="475"/>
        <v>20.545584678359397</v>
      </c>
      <c r="F235" s="41">
        <f t="shared" ca="1" si="476"/>
        <v>19.895816281704882</v>
      </c>
      <c r="G235" s="41"/>
      <c r="H235" s="7">
        <f t="shared" si="477"/>
        <v>3000</v>
      </c>
      <c r="I235" s="6">
        <v>15</v>
      </c>
      <c r="J235" s="41">
        <f t="shared" si="438"/>
        <v>0.2632532415619146</v>
      </c>
      <c r="K235" s="41">
        <f t="shared" si="439"/>
        <v>298.49194287410489</v>
      </c>
      <c r="L235" s="6">
        <f t="shared" si="478"/>
        <v>165</v>
      </c>
      <c r="M235" s="41">
        <f t="shared" si="440"/>
        <v>176.85170028182117</v>
      </c>
      <c r="N235" s="41">
        <f t="shared" si="441"/>
        <v>92.009140514372376</v>
      </c>
      <c r="O235" s="41">
        <f t="shared" si="442"/>
        <v>1610560.9898818883</v>
      </c>
      <c r="P235" s="41">
        <f t="shared" si="443"/>
        <v>10340933.270748764</v>
      </c>
      <c r="Q235" s="41">
        <f t="shared" si="444"/>
        <v>2.9684322926589999E-3</v>
      </c>
      <c r="R235" s="41">
        <f t="shared" si="445"/>
        <v>2.3046986099112335E-2</v>
      </c>
      <c r="S235" s="24">
        <f t="shared" ca="1" si="479"/>
        <v>0</v>
      </c>
      <c r="T235" s="10">
        <f t="shared" ca="1" si="446"/>
        <v>0</v>
      </c>
      <c r="U235" s="41">
        <f t="shared" ca="1" si="447"/>
        <v>0.59546324127944539</v>
      </c>
      <c r="V235" s="41">
        <f t="shared" ca="1" si="448"/>
        <v>4.5440874264798654E-2</v>
      </c>
      <c r="W235" s="41">
        <f t="shared" ca="1" si="449"/>
        <v>13.104132587975503</v>
      </c>
      <c r="X235" s="20">
        <f t="shared" ca="1" si="450"/>
        <v>961.62443062493094</v>
      </c>
      <c r="Y235" s="41">
        <f t="shared" si="451"/>
        <v>0.60408391864909072</v>
      </c>
      <c r="Z235" s="41">
        <f t="shared" ca="1" si="452"/>
        <v>148.6806566503268</v>
      </c>
      <c r="AA235" s="14">
        <f t="shared" ca="1" si="453"/>
        <v>961.62443062493105</v>
      </c>
      <c r="AB235" s="14">
        <f t="shared" si="480"/>
        <v>5234.4042087224379</v>
      </c>
      <c r="AC235" s="25">
        <f t="shared" ca="1" si="454"/>
        <v>287037.14461244055</v>
      </c>
      <c r="AD235" s="41">
        <f t="shared" si="455"/>
        <v>1562427.4820499523</v>
      </c>
      <c r="AE235" s="5">
        <f t="shared" ca="1" si="456"/>
        <v>18.371229891312403</v>
      </c>
      <c r="AF235" s="7">
        <f t="shared" ca="1" si="457"/>
        <v>961.62443062493094</v>
      </c>
      <c r="AG235" s="41"/>
      <c r="AH235" s="41"/>
      <c r="AI235" s="41">
        <f t="shared" ca="1" si="458"/>
        <v>738.21438546130514</v>
      </c>
      <c r="AJ235" s="13">
        <f t="shared" ca="1" si="459"/>
        <v>0</v>
      </c>
      <c r="AK235" s="11"/>
      <c r="AL235" s="6">
        <v>0</v>
      </c>
      <c r="AM235" s="6">
        <v>135</v>
      </c>
      <c r="AN235" s="41">
        <f t="shared" ca="1" si="460"/>
        <v>27.683039454798941</v>
      </c>
      <c r="AO235" s="41">
        <f t="shared" ca="1" si="461"/>
        <v>6.6319387605682936</v>
      </c>
      <c r="AP235" s="67">
        <f t="shared" si="481"/>
        <v>0.76767432476893471</v>
      </c>
      <c r="AQ235" s="11">
        <f t="shared" si="462"/>
        <v>1.0314301707183759</v>
      </c>
      <c r="AR235" s="11">
        <f t="shared" si="463"/>
        <v>0.8962407041850623</v>
      </c>
      <c r="AS235" s="11">
        <f t="shared" si="464"/>
        <v>0.86893008332386068</v>
      </c>
      <c r="AT235" s="11">
        <f t="shared" si="465"/>
        <v>534.97188664650002</v>
      </c>
      <c r="AU235" s="11">
        <f t="shared" si="466"/>
        <v>1896.6425030105124</v>
      </c>
      <c r="AV235" s="11">
        <f t="shared" si="467"/>
        <v>2.0653599150524844E-3</v>
      </c>
      <c r="AW235" s="11">
        <f t="shared" si="468"/>
        <v>3.8278171249107636E-7</v>
      </c>
      <c r="AX235" s="41">
        <f t="shared" ca="1" si="469"/>
        <v>1.1936215959986971</v>
      </c>
      <c r="AY235" s="41">
        <f t="shared" ca="1" si="470"/>
        <v>1.6078320041465894</v>
      </c>
      <c r="AZ235" s="41">
        <f t="shared" si="471"/>
        <v>0.19374347287471558</v>
      </c>
    </row>
    <row r="236" spans="1:52" ht="14.5">
      <c r="A236" s="41">
        <f t="shared" ca="1" si="472"/>
        <v>578.46160484863231</v>
      </c>
      <c r="B236" s="41">
        <f t="shared" ca="1" si="473"/>
        <v>9.6410267474772056</v>
      </c>
      <c r="C236" s="41">
        <f t="shared" ca="1" si="473"/>
        <v>0.16068377912462009</v>
      </c>
      <c r="D236" s="41">
        <f t="shared" ca="1" si="474"/>
        <v>12573.570999290747</v>
      </c>
      <c r="E236" s="41">
        <f t="shared" ca="1" si="475"/>
        <v>27.17752343892769</v>
      </c>
      <c r="F236" s="41">
        <f t="shared" ca="1" si="476"/>
        <v>26.527755042273174</v>
      </c>
      <c r="G236" s="41"/>
      <c r="H236" s="7">
        <f t="shared" si="477"/>
        <v>3000</v>
      </c>
      <c r="I236" s="6">
        <v>15</v>
      </c>
      <c r="J236" s="41">
        <f t="shared" si="438"/>
        <v>0.2632532415619146</v>
      </c>
      <c r="K236" s="41">
        <f t="shared" si="439"/>
        <v>298.49194287410489</v>
      </c>
      <c r="L236" s="6">
        <f t="shared" si="478"/>
        <v>165</v>
      </c>
      <c r="M236" s="41">
        <f t="shared" si="440"/>
        <v>176.85170028182117</v>
      </c>
      <c r="N236" s="41">
        <f t="shared" si="441"/>
        <v>92.009140514372376</v>
      </c>
      <c r="O236" s="41">
        <f t="shared" si="442"/>
        <v>1610560.9898818883</v>
      </c>
      <c r="P236" s="41">
        <f t="shared" si="443"/>
        <v>10340933.270748764</v>
      </c>
      <c r="Q236" s="41">
        <f t="shared" si="444"/>
        <v>2.9684322926589999E-3</v>
      </c>
      <c r="R236" s="41">
        <f t="shared" si="445"/>
        <v>2.3046986099112335E-2</v>
      </c>
      <c r="S236" s="24">
        <f t="shared" ca="1" si="479"/>
        <v>1.0361059698958575E-15</v>
      </c>
      <c r="T236" s="10">
        <f t="shared" ca="1" si="446"/>
        <v>1.0361059698958575E-15</v>
      </c>
      <c r="U236" s="41">
        <f t="shared" ca="1" si="447"/>
        <v>0.59415509906189012</v>
      </c>
      <c r="V236" s="41">
        <f t="shared" ca="1" si="448"/>
        <v>4.5342590404990363E-2</v>
      </c>
      <c r="W236" s="41">
        <f t="shared" ca="1" si="449"/>
        <v>13.103686705038758</v>
      </c>
      <c r="X236" s="20">
        <f t="shared" ca="1" si="450"/>
        <v>959.54453752742984</v>
      </c>
      <c r="Y236" s="41">
        <f t="shared" si="451"/>
        <v>0.60408391864909072</v>
      </c>
      <c r="Z236" s="41">
        <f t="shared" ca="1" si="452"/>
        <v>148.51725245747954</v>
      </c>
      <c r="AA236" s="14">
        <f t="shared" ca="1" si="453"/>
        <v>959.54453752742995</v>
      </c>
      <c r="AB236" s="14">
        <f t="shared" si="480"/>
        <v>5234.4042087224379</v>
      </c>
      <c r="AC236" s="25">
        <f t="shared" ca="1" si="454"/>
        <v>286416.31328079704</v>
      </c>
      <c r="AD236" s="41">
        <f t="shared" si="455"/>
        <v>1562427.4820499523</v>
      </c>
      <c r="AE236" s="5">
        <f t="shared" ca="1" si="456"/>
        <v>18.331494841924449</v>
      </c>
      <c r="AF236" s="7">
        <f t="shared" ca="1" si="457"/>
        <v>959.54453752743007</v>
      </c>
      <c r="AG236" s="41"/>
      <c r="AH236" s="41"/>
      <c r="AI236" s="41">
        <f t="shared" ca="1" si="458"/>
        <v>736.61770493208962</v>
      </c>
      <c r="AJ236" s="13">
        <f t="shared" ca="1" si="459"/>
        <v>5.3977672806957452E-15</v>
      </c>
      <c r="AK236" s="11"/>
      <c r="AL236" s="6">
        <v>0</v>
      </c>
      <c r="AM236" s="6">
        <v>135</v>
      </c>
      <c r="AN236" s="41">
        <f t="shared" ca="1" si="460"/>
        <v>27.623163934953361</v>
      </c>
      <c r="AO236" s="41">
        <f t="shared" ca="1" si="461"/>
        <v>6.6319387605682936</v>
      </c>
      <c r="AP236" s="67">
        <f t="shared" si="481"/>
        <v>0.76767432476893471</v>
      </c>
      <c r="AQ236" s="11">
        <f t="shared" si="462"/>
        <v>1.0314301707183759</v>
      </c>
      <c r="AR236" s="11">
        <f t="shared" si="463"/>
        <v>0.8962407041850623</v>
      </c>
      <c r="AS236" s="11">
        <f t="shared" si="464"/>
        <v>0.86893008332386068</v>
      </c>
      <c r="AT236" s="11">
        <f t="shared" si="465"/>
        <v>534.97188664650002</v>
      </c>
      <c r="AU236" s="11">
        <f t="shared" si="466"/>
        <v>1896.6425030105124</v>
      </c>
      <c r="AV236" s="11">
        <f t="shared" si="467"/>
        <v>2.0653599150524844E-3</v>
      </c>
      <c r="AW236" s="11">
        <f t="shared" si="468"/>
        <v>3.8278171249107636E-7</v>
      </c>
      <c r="AX236" s="41">
        <f t="shared" ca="1" si="469"/>
        <v>1.1952068866041281</v>
      </c>
      <c r="AY236" s="41">
        <f t="shared" ca="1" si="470"/>
        <v>1.6099674220879447</v>
      </c>
      <c r="AZ236" s="41">
        <f t="shared" si="471"/>
        <v>0.19374347287471558</v>
      </c>
    </row>
    <row r="237" spans="1:52" ht="14.5">
      <c r="A237" s="41">
        <f t="shared" ca="1" si="472"/>
        <v>713.46160484863231</v>
      </c>
      <c r="B237" s="41">
        <f t="shared" ca="1" si="473"/>
        <v>11.891026747477206</v>
      </c>
      <c r="C237" s="41">
        <f t="shared" ca="1" si="473"/>
        <v>0.1981837791246201</v>
      </c>
      <c r="D237" s="41">
        <f t="shared" ca="1" si="474"/>
        <v>12545.947835355793</v>
      </c>
      <c r="E237" s="41">
        <f t="shared" ca="1" si="475"/>
        <v>33.809462199495982</v>
      </c>
      <c r="F237" s="41">
        <f t="shared" ca="1" si="476"/>
        <v>33.159693802841467</v>
      </c>
      <c r="G237" s="41"/>
      <c r="H237" s="7">
        <f t="shared" si="477"/>
        <v>3000</v>
      </c>
      <c r="I237" s="6">
        <v>15</v>
      </c>
      <c r="J237" s="41">
        <f t="shared" si="438"/>
        <v>0.2632532415619146</v>
      </c>
      <c r="K237" s="41">
        <f t="shared" si="439"/>
        <v>298.49194287410489</v>
      </c>
      <c r="L237" s="6">
        <f t="shared" si="478"/>
        <v>165</v>
      </c>
      <c r="M237" s="41">
        <f t="shared" si="440"/>
        <v>176.85170028182117</v>
      </c>
      <c r="N237" s="41">
        <f t="shared" si="441"/>
        <v>92.009140514372376</v>
      </c>
      <c r="O237" s="41">
        <f t="shared" si="442"/>
        <v>1610560.9898818883</v>
      </c>
      <c r="P237" s="41">
        <f t="shared" si="443"/>
        <v>10340933.270748764</v>
      </c>
      <c r="Q237" s="41">
        <f t="shared" si="444"/>
        <v>2.9684322926589999E-3</v>
      </c>
      <c r="R237" s="41">
        <f t="shared" si="445"/>
        <v>2.3046986099112335E-2</v>
      </c>
      <c r="S237" s="24">
        <f t="shared" ca="1" si="479"/>
        <v>0</v>
      </c>
      <c r="T237" s="10">
        <f t="shared" ca="1" si="446"/>
        <v>0</v>
      </c>
      <c r="U237" s="41">
        <f t="shared" ca="1" si="447"/>
        <v>0.59284978621917417</v>
      </c>
      <c r="V237" s="41">
        <f t="shared" ca="1" si="448"/>
        <v>4.5244734574253716E-2</v>
      </c>
      <c r="W237" s="41">
        <f t="shared" ca="1" si="449"/>
        <v>13.103177459163001</v>
      </c>
      <c r="X237" s="20">
        <f t="shared" ca="1" si="450"/>
        <v>957.47370242493821</v>
      </c>
      <c r="Y237" s="41">
        <f t="shared" si="451"/>
        <v>0.60408391864909072</v>
      </c>
      <c r="Z237" s="41">
        <f t="shared" ca="1" si="452"/>
        <v>148.35402229325609</v>
      </c>
      <c r="AA237" s="14">
        <f t="shared" ca="1" si="453"/>
        <v>957.47370242493821</v>
      </c>
      <c r="AB237" s="14">
        <f t="shared" si="480"/>
        <v>5234.4042087224379</v>
      </c>
      <c r="AC237" s="25">
        <f t="shared" ca="1" si="454"/>
        <v>285798.18568768236</v>
      </c>
      <c r="AD237" s="41">
        <f t="shared" si="455"/>
        <v>1562427.4820499523</v>
      </c>
      <c r="AE237" s="5">
        <f t="shared" ca="1" si="456"/>
        <v>18.291932839833724</v>
      </c>
      <c r="AF237" s="7">
        <f t="shared" ca="1" si="457"/>
        <v>957.47370242493821</v>
      </c>
      <c r="AG237" s="41"/>
      <c r="AH237" s="41"/>
      <c r="AI237" s="41">
        <f t="shared" ca="1" si="458"/>
        <v>735.02797799307632</v>
      </c>
      <c r="AJ237" s="13">
        <f t="shared" ca="1" si="459"/>
        <v>0</v>
      </c>
      <c r="AK237" s="11"/>
      <c r="AL237" s="6">
        <v>0</v>
      </c>
      <c r="AM237" s="6">
        <v>135</v>
      </c>
      <c r="AN237" s="41">
        <f t="shared" ca="1" si="460"/>
        <v>27.563549174740363</v>
      </c>
      <c r="AO237" s="41">
        <f t="shared" ca="1" si="461"/>
        <v>6.6319387605682936</v>
      </c>
      <c r="AP237" s="67">
        <f t="shared" si="481"/>
        <v>0.76767432476893471</v>
      </c>
      <c r="AQ237" s="11">
        <f t="shared" si="462"/>
        <v>1.0314301707183759</v>
      </c>
      <c r="AR237" s="11">
        <f t="shared" si="463"/>
        <v>0.8962407041850623</v>
      </c>
      <c r="AS237" s="11">
        <f t="shared" si="464"/>
        <v>0.86893008332386068</v>
      </c>
      <c r="AT237" s="11">
        <f t="shared" si="465"/>
        <v>534.97188664650002</v>
      </c>
      <c r="AU237" s="11">
        <f t="shared" si="466"/>
        <v>1896.6425030105124</v>
      </c>
      <c r="AV237" s="11">
        <f t="shared" si="467"/>
        <v>2.0653599150524844E-3</v>
      </c>
      <c r="AW237" s="11">
        <f t="shared" si="468"/>
        <v>3.8278171249107636E-7</v>
      </c>
      <c r="AX237" s="41">
        <f t="shared" ca="1" si="469"/>
        <v>1.1967986158855359</v>
      </c>
      <c r="AY237" s="41">
        <f t="shared" ca="1" si="470"/>
        <v>1.6121115130537618</v>
      </c>
      <c r="AZ237" s="41">
        <f t="shared" si="471"/>
        <v>0.19374347287471558</v>
      </c>
    </row>
    <row r="238" spans="1:52" ht="14.5">
      <c r="A238" s="41">
        <f t="shared" ca="1" si="472"/>
        <v>848.46160484863231</v>
      </c>
      <c r="B238" s="41">
        <f t="shared" ca="1" si="473"/>
        <v>14.141026747477206</v>
      </c>
      <c r="C238" s="41">
        <f t="shared" ca="1" si="473"/>
        <v>0.2356837791246201</v>
      </c>
      <c r="D238" s="41">
        <f t="shared" ca="1" si="474"/>
        <v>12518.384286181054</v>
      </c>
      <c r="E238" s="41">
        <f t="shared" ca="1" si="475"/>
        <v>40.441400960064279</v>
      </c>
      <c r="F238" s="41">
        <f t="shared" ca="1" si="476"/>
        <v>39.791632563409763</v>
      </c>
      <c r="G238" s="41"/>
      <c r="H238" s="7">
        <f t="shared" si="477"/>
        <v>3000</v>
      </c>
      <c r="I238" s="6">
        <v>15</v>
      </c>
      <c r="J238" s="41">
        <f t="shared" si="438"/>
        <v>0.2632532415619146</v>
      </c>
      <c r="K238" s="41">
        <f t="shared" si="439"/>
        <v>298.49194287410489</v>
      </c>
      <c r="L238" s="6">
        <f t="shared" si="478"/>
        <v>165</v>
      </c>
      <c r="M238" s="41">
        <f t="shared" si="440"/>
        <v>176.85170028182117</v>
      </c>
      <c r="N238" s="41">
        <f t="shared" si="441"/>
        <v>92.009140514372376</v>
      </c>
      <c r="O238" s="41">
        <f t="shared" si="442"/>
        <v>1610560.9898818883</v>
      </c>
      <c r="P238" s="41">
        <f t="shared" si="443"/>
        <v>10340933.270748764</v>
      </c>
      <c r="Q238" s="41">
        <f t="shared" si="444"/>
        <v>2.9684322926589999E-3</v>
      </c>
      <c r="R238" s="41">
        <f t="shared" si="445"/>
        <v>2.3046986099112335E-2</v>
      </c>
      <c r="S238" s="24">
        <f t="shared" ca="1" si="479"/>
        <v>5.2033679736352152E-16</v>
      </c>
      <c r="T238" s="10">
        <f t="shared" ca="1" si="446"/>
        <v>5.2033679736352152E-16</v>
      </c>
      <c r="U238" s="41">
        <f t="shared" ca="1" si="447"/>
        <v>0.59154729042928778</v>
      </c>
      <c r="V238" s="41">
        <f t="shared" ca="1" si="448"/>
        <v>4.5147304452373721E-2</v>
      </c>
      <c r="W238" s="41">
        <f t="shared" ca="1" si="449"/>
        <v>13.1026048532602</v>
      </c>
      <c r="X238" s="20">
        <f t="shared" ca="1" si="450"/>
        <v>955.41187621682866</v>
      </c>
      <c r="Y238" s="41">
        <f t="shared" si="451"/>
        <v>0.60408391864909072</v>
      </c>
      <c r="Z238" s="41">
        <f t="shared" ca="1" si="452"/>
        <v>148.19096518930746</v>
      </c>
      <c r="AA238" s="14">
        <f t="shared" ca="1" si="453"/>
        <v>955.41187621682877</v>
      </c>
      <c r="AB238" s="14">
        <f t="shared" si="480"/>
        <v>5234.4042087224379</v>
      </c>
      <c r="AC238" s="25">
        <f t="shared" ca="1" si="454"/>
        <v>285182.74717695505</v>
      </c>
      <c r="AD238" s="41">
        <f t="shared" si="455"/>
        <v>1562427.4820499523</v>
      </c>
      <c r="AE238" s="5">
        <f t="shared" ca="1" si="456"/>
        <v>18.252542947003636</v>
      </c>
      <c r="AF238" s="7">
        <f t="shared" ca="1" si="457"/>
        <v>955.41187621682877</v>
      </c>
      <c r="AG238" s="41"/>
      <c r="AH238" s="41"/>
      <c r="AI238" s="41">
        <f t="shared" ca="1" si="458"/>
        <v>733.44516695097502</v>
      </c>
      <c r="AJ238" s="13">
        <f t="shared" ca="1" si="459"/>
        <v>2.7107815429662428E-15</v>
      </c>
      <c r="AK238" s="11"/>
      <c r="AL238" s="6">
        <v>0</v>
      </c>
      <c r="AM238" s="6">
        <v>135</v>
      </c>
      <c r="AN238" s="41">
        <f t="shared" ca="1" si="460"/>
        <v>27.504193760661561</v>
      </c>
      <c r="AO238" s="41">
        <f t="shared" ca="1" si="461"/>
        <v>6.6319387605682936</v>
      </c>
      <c r="AP238" s="67">
        <f t="shared" si="481"/>
        <v>0.76767432476893471</v>
      </c>
      <c r="AQ238" s="11">
        <f t="shared" si="462"/>
        <v>1.0314301707183759</v>
      </c>
      <c r="AR238" s="11">
        <f t="shared" si="463"/>
        <v>0.8962407041850623</v>
      </c>
      <c r="AS238" s="11">
        <f t="shared" si="464"/>
        <v>0.86893008332386068</v>
      </c>
      <c r="AT238" s="11">
        <f t="shared" si="465"/>
        <v>534.97188664650002</v>
      </c>
      <c r="AU238" s="11">
        <f t="shared" si="466"/>
        <v>1896.6425030105124</v>
      </c>
      <c r="AV238" s="11">
        <f t="shared" si="467"/>
        <v>2.0653599150524844E-3</v>
      </c>
      <c r="AW238" s="11">
        <f t="shared" si="468"/>
        <v>3.8278171249107636E-7</v>
      </c>
      <c r="AX238" s="41">
        <f t="shared" ca="1" si="469"/>
        <v>1.1983967958088788</v>
      </c>
      <c r="AY238" s="41">
        <f t="shared" ca="1" si="470"/>
        <v>1.6142642931624236</v>
      </c>
      <c r="AZ238" s="41">
        <f t="shared" si="471"/>
        <v>0.19374347287471558</v>
      </c>
    </row>
    <row r="239" spans="1:52" ht="14.5">
      <c r="A239" s="41">
        <f t="shared" ca="1" si="472"/>
        <v>983.46160484863231</v>
      </c>
      <c r="B239" s="41">
        <f t="shared" ca="1" si="473"/>
        <v>16.391026747477206</v>
      </c>
      <c r="C239" s="41">
        <f t="shared" ca="1" si="473"/>
        <v>0.27318377912462011</v>
      </c>
      <c r="D239" s="41">
        <f t="shared" ca="1" si="474"/>
        <v>12490.880092420392</v>
      </c>
      <c r="E239" s="41">
        <f t="shared" ca="1" si="475"/>
        <v>47.073339720632575</v>
      </c>
      <c r="F239" s="41">
        <f t="shared" ca="1" si="476"/>
        <v>46.423571323978059</v>
      </c>
      <c r="G239" s="41"/>
      <c r="H239" s="7">
        <f t="shared" si="477"/>
        <v>3000</v>
      </c>
      <c r="I239" s="6">
        <v>15</v>
      </c>
      <c r="J239" s="41">
        <f t="shared" si="438"/>
        <v>0.2632532415619146</v>
      </c>
      <c r="K239" s="41">
        <f t="shared" si="439"/>
        <v>298.49194287410489</v>
      </c>
      <c r="L239" s="6">
        <f t="shared" si="478"/>
        <v>165</v>
      </c>
      <c r="M239" s="41">
        <f t="shared" si="440"/>
        <v>176.85170028182117</v>
      </c>
      <c r="N239" s="41">
        <f t="shared" si="441"/>
        <v>92.009140514372376</v>
      </c>
      <c r="O239" s="41">
        <f t="shared" si="442"/>
        <v>1610560.9898818883</v>
      </c>
      <c r="P239" s="41">
        <f t="shared" si="443"/>
        <v>10340933.270748764</v>
      </c>
      <c r="Q239" s="41">
        <f t="shared" si="444"/>
        <v>2.9684322926589999E-3</v>
      </c>
      <c r="R239" s="41">
        <f t="shared" si="445"/>
        <v>2.3046986099112335E-2</v>
      </c>
      <c r="S239" s="24">
        <f t="shared" ca="1" si="479"/>
        <v>0</v>
      </c>
      <c r="T239" s="10">
        <f t="shared" ca="1" si="446"/>
        <v>0</v>
      </c>
      <c r="U239" s="41">
        <f t="shared" ca="1" si="447"/>
        <v>0.59024759943701477</v>
      </c>
      <c r="V239" s="41">
        <f t="shared" ca="1" si="448"/>
        <v>4.5050297735240191E-2</v>
      </c>
      <c r="W239" s="41">
        <f t="shared" ca="1" si="449"/>
        <v>13.101968890547395</v>
      </c>
      <c r="X239" s="20">
        <f t="shared" ca="1" si="450"/>
        <v>953.35901014328601</v>
      </c>
      <c r="Y239" s="41">
        <f t="shared" si="451"/>
        <v>0.60408391864909072</v>
      </c>
      <c r="Z239" s="41">
        <f t="shared" ca="1" si="452"/>
        <v>148.02808018078431</v>
      </c>
      <c r="AA239" s="14">
        <f t="shared" ca="1" si="453"/>
        <v>953.35901014328601</v>
      </c>
      <c r="AB239" s="14">
        <f t="shared" si="480"/>
        <v>5234.4042087224379</v>
      </c>
      <c r="AC239" s="25">
        <f t="shared" ca="1" si="454"/>
        <v>284569.98319420294</v>
      </c>
      <c r="AD239" s="41">
        <f t="shared" si="455"/>
        <v>1562427.4820499523</v>
      </c>
      <c r="AE239" s="5">
        <f t="shared" ca="1" si="456"/>
        <v>18.213324231908572</v>
      </c>
      <c r="AF239" s="7">
        <f t="shared" ca="1" si="457"/>
        <v>953.35901014328601</v>
      </c>
      <c r="AG239" s="41"/>
      <c r="AH239" s="41"/>
      <c r="AI239" s="41">
        <f t="shared" ca="1" si="458"/>
        <v>731.86923437412702</v>
      </c>
      <c r="AJ239" s="13">
        <f t="shared" ca="1" si="459"/>
        <v>0</v>
      </c>
      <c r="AK239" s="11"/>
      <c r="AL239" s="6">
        <v>0</v>
      </c>
      <c r="AM239" s="6">
        <v>135</v>
      </c>
      <c r="AN239" s="41">
        <f t="shared" ca="1" si="460"/>
        <v>27.445096289029763</v>
      </c>
      <c r="AO239" s="41">
        <f t="shared" ca="1" si="461"/>
        <v>6.6319387605682936</v>
      </c>
      <c r="AP239" s="67">
        <f t="shared" si="481"/>
        <v>0.76767432476893471</v>
      </c>
      <c r="AQ239" s="11">
        <f t="shared" si="462"/>
        <v>1.0314301707183759</v>
      </c>
      <c r="AR239" s="11">
        <f t="shared" si="463"/>
        <v>0.8962407041850623</v>
      </c>
      <c r="AS239" s="11">
        <f t="shared" si="464"/>
        <v>0.86893008332386068</v>
      </c>
      <c r="AT239" s="11">
        <f t="shared" si="465"/>
        <v>534.97188664650002</v>
      </c>
      <c r="AU239" s="11">
        <f t="shared" si="466"/>
        <v>1896.6425030105124</v>
      </c>
      <c r="AV239" s="11">
        <f t="shared" si="467"/>
        <v>2.0653599150524844E-3</v>
      </c>
      <c r="AW239" s="11">
        <f t="shared" si="468"/>
        <v>3.8278171249107636E-7</v>
      </c>
      <c r="AX239" s="41">
        <f t="shared" ca="1" si="469"/>
        <v>1.2000014385262583</v>
      </c>
      <c r="AY239" s="41">
        <f t="shared" ca="1" si="470"/>
        <v>1.6164257787830527</v>
      </c>
      <c r="AZ239" s="41">
        <f t="shared" si="471"/>
        <v>0.19374347287471558</v>
      </c>
    </row>
    <row r="240" spans="1:52" ht="14.5">
      <c r="A240" s="41">
        <f t="shared" ca="1" si="472"/>
        <v>1118.4616048486323</v>
      </c>
      <c r="B240" s="41">
        <f t="shared" ca="1" si="473"/>
        <v>18.641026747477206</v>
      </c>
      <c r="C240" s="41">
        <f t="shared" ca="1" si="473"/>
        <v>0.31068377912462009</v>
      </c>
      <c r="D240" s="41">
        <f t="shared" ca="1" si="474"/>
        <v>12463.434996131362</v>
      </c>
      <c r="E240" s="41">
        <f t="shared" ca="1" si="475"/>
        <v>53.705278481200871</v>
      </c>
      <c r="F240" s="41">
        <f t="shared" ca="1" si="476"/>
        <v>53.055510084546356</v>
      </c>
      <c r="G240" s="41"/>
      <c r="H240" s="7">
        <f t="shared" si="477"/>
        <v>3000</v>
      </c>
      <c r="I240" s="6">
        <v>15</v>
      </c>
      <c r="J240" s="41">
        <f t="shared" si="438"/>
        <v>0.2632532415619146</v>
      </c>
      <c r="K240" s="41">
        <f t="shared" si="439"/>
        <v>298.49194287410489</v>
      </c>
      <c r="L240" s="6">
        <f t="shared" si="478"/>
        <v>165</v>
      </c>
      <c r="M240" s="41">
        <f t="shared" si="440"/>
        <v>176.85170028182117</v>
      </c>
      <c r="N240" s="41">
        <f t="shared" si="441"/>
        <v>92.009140514372376</v>
      </c>
      <c r="O240" s="41">
        <f t="shared" si="442"/>
        <v>1610560.9898818883</v>
      </c>
      <c r="P240" s="41">
        <f t="shared" si="443"/>
        <v>10340933.270748764</v>
      </c>
      <c r="Q240" s="41">
        <f t="shared" si="444"/>
        <v>2.9684322926589999E-3</v>
      </c>
      <c r="R240" s="41">
        <f t="shared" si="445"/>
        <v>2.3046986099112335E-2</v>
      </c>
      <c r="S240" s="24">
        <f t="shared" ca="1" si="479"/>
        <v>-5.226308790200416E-16</v>
      </c>
      <c r="T240" s="10">
        <f t="shared" ca="1" si="446"/>
        <v>-5.226308790200416E-16</v>
      </c>
      <c r="U240" s="41">
        <f t="shared" ca="1" si="447"/>
        <v>0.58895070105346947</v>
      </c>
      <c r="V240" s="41">
        <f t="shared" ca="1" si="448"/>
        <v>4.495371213471494E-2</v>
      </c>
      <c r="W240" s="41">
        <f t="shared" ca="1" si="449"/>
        <v>13.101269574546652</v>
      </c>
      <c r="X240" s="20">
        <f t="shared" ca="1" si="450"/>
        <v>951.31505578249573</v>
      </c>
      <c r="Y240" s="41">
        <f t="shared" si="451"/>
        <v>0.60408391864909072</v>
      </c>
      <c r="Z240" s="41">
        <f t="shared" ca="1" si="452"/>
        <v>147.86536630630943</v>
      </c>
      <c r="AA240" s="14">
        <f t="shared" ca="1" si="453"/>
        <v>951.31505578249562</v>
      </c>
      <c r="AB240" s="14">
        <f t="shared" si="480"/>
        <v>5234.4042087224379</v>
      </c>
      <c r="AC240" s="25">
        <f t="shared" ca="1" si="454"/>
        <v>283959.87928590458</v>
      </c>
      <c r="AD240" s="41">
        <f t="shared" si="455"/>
        <v>1562427.4820499523</v>
      </c>
      <c r="AE240" s="5">
        <f t="shared" ca="1" si="456"/>
        <v>18.174275769480232</v>
      </c>
      <c r="AF240" s="7">
        <f t="shared" ca="1" si="457"/>
        <v>951.31505578249562</v>
      </c>
      <c r="AG240" s="41"/>
      <c r="AH240" s="41"/>
      <c r="AI240" s="41">
        <f t="shared" ca="1" si="458"/>
        <v>730.3001430903488</v>
      </c>
      <c r="AJ240" s="13">
        <f t="shared" ca="1" si="459"/>
        <v>-2.7227329449121779E-15</v>
      </c>
      <c r="AK240" s="11"/>
      <c r="AL240" s="6">
        <v>0</v>
      </c>
      <c r="AM240" s="6">
        <v>135</v>
      </c>
      <c r="AN240" s="41">
        <f t="shared" ca="1" si="460"/>
        <v>27.386255365888079</v>
      </c>
      <c r="AO240" s="41">
        <f t="shared" ca="1" si="461"/>
        <v>6.6319387605682936</v>
      </c>
      <c r="AP240" s="67">
        <f t="shared" si="481"/>
        <v>0.76767432476893471</v>
      </c>
      <c r="AQ240" s="11">
        <f t="shared" si="462"/>
        <v>1.0314301707183759</v>
      </c>
      <c r="AR240" s="11">
        <f t="shared" si="463"/>
        <v>0.8962407041850623</v>
      </c>
      <c r="AS240" s="11">
        <f t="shared" si="464"/>
        <v>0.86893008332386068</v>
      </c>
      <c r="AT240" s="11">
        <f t="shared" si="465"/>
        <v>534.97188664650002</v>
      </c>
      <c r="AU240" s="11">
        <f t="shared" si="466"/>
        <v>1896.6425030105124</v>
      </c>
      <c r="AV240" s="11">
        <f t="shared" si="467"/>
        <v>2.0653599150524844E-3</v>
      </c>
      <c r="AW240" s="11">
        <f t="shared" si="468"/>
        <v>3.8278171249107636E-7</v>
      </c>
      <c r="AX240" s="41">
        <f t="shared" ca="1" si="469"/>
        <v>1.2016125563761482</v>
      </c>
      <c r="AY240" s="41">
        <f t="shared" ca="1" si="470"/>
        <v>1.6185959865358182</v>
      </c>
      <c r="AZ240" s="41">
        <f t="shared" si="471"/>
        <v>0.19374347287471558</v>
      </c>
    </row>
    <row r="241" spans="1:52" ht="14.5">
      <c r="A241" s="41">
        <f t="shared" ca="1" si="472"/>
        <v>1253.4616048486323</v>
      </c>
      <c r="B241" s="41">
        <f t="shared" ca="1" si="473"/>
        <v>20.891026747477206</v>
      </c>
      <c r="C241" s="41">
        <f t="shared" ca="1" si="473"/>
        <v>0.34818377912462012</v>
      </c>
      <c r="D241" s="41">
        <f t="shared" ca="1" si="474"/>
        <v>12436.048740765475</v>
      </c>
      <c r="E241" s="41">
        <f t="shared" ca="1" si="475"/>
        <v>60.337217241769167</v>
      </c>
      <c r="F241" s="41">
        <f t="shared" ca="1" si="476"/>
        <v>59.687448845114652</v>
      </c>
      <c r="G241" s="41"/>
      <c r="H241" s="7">
        <f t="shared" si="477"/>
        <v>3000</v>
      </c>
      <c r="I241" s="6">
        <v>15</v>
      </c>
      <c r="J241" s="41">
        <f t="shared" si="438"/>
        <v>0.2632532415619146</v>
      </c>
      <c r="K241" s="41">
        <f t="shared" si="439"/>
        <v>298.49194287410489</v>
      </c>
      <c r="L241" s="6">
        <f t="shared" si="478"/>
        <v>165</v>
      </c>
      <c r="M241" s="41">
        <f t="shared" si="440"/>
        <v>176.85170028182117</v>
      </c>
      <c r="N241" s="41">
        <f t="shared" si="441"/>
        <v>92.009140514372376</v>
      </c>
      <c r="O241" s="41">
        <f t="shared" si="442"/>
        <v>1610560.9898818883</v>
      </c>
      <c r="P241" s="41">
        <f t="shared" si="443"/>
        <v>10340933.270748764</v>
      </c>
      <c r="Q241" s="41">
        <f t="shared" si="444"/>
        <v>2.9684322926589999E-3</v>
      </c>
      <c r="R241" s="41">
        <f t="shared" si="445"/>
        <v>2.3046986099112335E-2</v>
      </c>
      <c r="S241" s="24">
        <f t="shared" ca="1" si="479"/>
        <v>0</v>
      </c>
      <c r="T241" s="10">
        <f t="shared" ca="1" si="446"/>
        <v>0</v>
      </c>
      <c r="U241" s="41">
        <f t="shared" ca="1" si="447"/>
        <v>0.58765658315563674</v>
      </c>
      <c r="V241" s="41">
        <f t="shared" ca="1" si="448"/>
        <v>4.4857545378500036E-2</v>
      </c>
      <c r="W241" s="41">
        <f t="shared" ca="1" si="449"/>
        <v>13.10050690908507</v>
      </c>
      <c r="X241" s="20">
        <f t="shared" ca="1" si="450"/>
        <v>949.27996504785631</v>
      </c>
      <c r="Y241" s="41">
        <f t="shared" si="451"/>
        <v>0.60408391864909072</v>
      </c>
      <c r="Z241" s="41">
        <f t="shared" ca="1" si="452"/>
        <v>147.70282260795022</v>
      </c>
      <c r="AA241" s="14">
        <f t="shared" ca="1" si="453"/>
        <v>949.27996504785631</v>
      </c>
      <c r="AB241" s="14">
        <f t="shared" si="480"/>
        <v>5234.4042087224379</v>
      </c>
      <c r="AC241" s="25">
        <f t="shared" ca="1" si="454"/>
        <v>283352.421098597</v>
      </c>
      <c r="AD241" s="41">
        <f t="shared" si="455"/>
        <v>1562427.4820499523</v>
      </c>
      <c r="AE241" s="5">
        <f t="shared" ca="1" si="456"/>
        <v>18.135396641054346</v>
      </c>
      <c r="AF241" s="7">
        <f t="shared" ca="1" si="457"/>
        <v>949.27996504785631</v>
      </c>
      <c r="AG241" s="41"/>
      <c r="AH241" s="41"/>
      <c r="AI241" s="41">
        <f t="shared" ca="1" si="458"/>
        <v>728.73785618479099</v>
      </c>
      <c r="AJ241" s="13">
        <f t="shared" ca="1" si="459"/>
        <v>0</v>
      </c>
      <c r="AK241" s="11"/>
      <c r="AL241" s="6">
        <v>0</v>
      </c>
      <c r="AM241" s="6">
        <v>135</v>
      </c>
      <c r="AN241" s="41">
        <f t="shared" ca="1" si="460"/>
        <v>27.327669606929661</v>
      </c>
      <c r="AO241" s="41">
        <f t="shared" ca="1" si="461"/>
        <v>6.6319387605682936</v>
      </c>
      <c r="AP241" s="67">
        <f t="shared" si="481"/>
        <v>0.76767432476893471</v>
      </c>
      <c r="AQ241" s="11">
        <f t="shared" si="462"/>
        <v>1.0314301707183759</v>
      </c>
      <c r="AR241" s="11">
        <f t="shared" si="463"/>
        <v>0.8962407041850623</v>
      </c>
      <c r="AS241" s="11">
        <f t="shared" si="464"/>
        <v>0.86893008332386068</v>
      </c>
      <c r="AT241" s="11">
        <f t="shared" si="465"/>
        <v>534.97188664650002</v>
      </c>
      <c r="AU241" s="11">
        <f t="shared" si="466"/>
        <v>1896.6425030105124</v>
      </c>
      <c r="AV241" s="11">
        <f t="shared" si="467"/>
        <v>2.0653599150524844E-3</v>
      </c>
      <c r="AW241" s="11">
        <f t="shared" si="468"/>
        <v>3.8278171249107636E-7</v>
      </c>
      <c r="AX241" s="41">
        <f t="shared" ca="1" si="469"/>
        <v>1.2032301618836525</v>
      </c>
      <c r="AY241" s="41">
        <f t="shared" ca="1" si="470"/>
        <v>1.6207749332922843</v>
      </c>
      <c r="AZ241" s="41">
        <f t="shared" si="471"/>
        <v>0.19374347287471558</v>
      </c>
    </row>
    <row r="242" spans="1:52" ht="14.5">
      <c r="A242" s="41">
        <f t="shared" ca="1" si="472"/>
        <v>1388.4616048486323</v>
      </c>
      <c r="B242" s="41">
        <f t="shared" ca="1" si="473"/>
        <v>23.141026747477206</v>
      </c>
      <c r="C242" s="41">
        <f t="shared" ca="1" si="473"/>
        <v>0.3856837791246201</v>
      </c>
      <c r="D242" s="41">
        <f t="shared" ca="1" si="474"/>
        <v>12408.721071158545</v>
      </c>
      <c r="E242" s="41">
        <f t="shared" ca="1" si="475"/>
        <v>66.969156002337456</v>
      </c>
      <c r="F242" s="41">
        <f t="shared" ca="1" si="476"/>
        <v>66.319387605682948</v>
      </c>
      <c r="G242" s="41"/>
      <c r="H242" s="7">
        <f t="shared" si="477"/>
        <v>3000</v>
      </c>
      <c r="I242" s="6">
        <v>15</v>
      </c>
      <c r="J242" s="41">
        <f t="shared" si="438"/>
        <v>0.2632532415619146</v>
      </c>
      <c r="K242" s="41">
        <f t="shared" si="439"/>
        <v>298.49194287410489</v>
      </c>
      <c r="L242" s="6">
        <f t="shared" si="478"/>
        <v>165</v>
      </c>
      <c r="M242" s="41">
        <f t="shared" si="440"/>
        <v>176.85170028182117</v>
      </c>
      <c r="N242" s="41">
        <f t="shared" si="441"/>
        <v>92.009140514372376</v>
      </c>
      <c r="O242" s="41">
        <f t="shared" si="442"/>
        <v>1610560.9898818883</v>
      </c>
      <c r="P242" s="41">
        <f t="shared" si="443"/>
        <v>10340933.270748764</v>
      </c>
      <c r="Q242" s="41">
        <f t="shared" si="444"/>
        <v>2.9684322926589999E-3</v>
      </c>
      <c r="R242" s="41">
        <f t="shared" si="445"/>
        <v>2.3046986099112335E-2</v>
      </c>
      <c r="S242" s="24">
        <f t="shared" ca="1" si="479"/>
        <v>0</v>
      </c>
      <c r="T242" s="10">
        <f t="shared" ca="1" si="446"/>
        <v>0</v>
      </c>
      <c r="U242" s="41">
        <f t="shared" ca="1" si="447"/>
        <v>0.58636523368591553</v>
      </c>
      <c r="V242" s="41">
        <f t="shared" ca="1" si="448"/>
        <v>4.4761795210007359E-2</v>
      </c>
      <c r="W242" s="41">
        <f t="shared" ca="1" si="449"/>
        <v>13.099680898294766</v>
      </c>
      <c r="X242" s="20">
        <f t="shared" ca="1" si="450"/>
        <v>947.25369018521928</v>
      </c>
      <c r="Y242" s="41">
        <f t="shared" si="451"/>
        <v>0.60408391864909072</v>
      </c>
      <c r="Z242" s="41">
        <f t="shared" ca="1" si="452"/>
        <v>147.54044813119134</v>
      </c>
      <c r="AA242" s="14">
        <f t="shared" ca="1" si="453"/>
        <v>947.25369018521928</v>
      </c>
      <c r="AB242" s="14">
        <f t="shared" si="480"/>
        <v>5234.4042087224379</v>
      </c>
      <c r="AC242" s="25">
        <f t="shared" ca="1" si="454"/>
        <v>282747.59437805152</v>
      </c>
      <c r="AD242" s="41">
        <f t="shared" si="455"/>
        <v>1562427.4820499523</v>
      </c>
      <c r="AE242" s="5">
        <f t="shared" ca="1" si="456"/>
        <v>18.096685934317932</v>
      </c>
      <c r="AF242" s="7">
        <f t="shared" ca="1" si="457"/>
        <v>947.25369018521928</v>
      </c>
      <c r="AG242" s="41"/>
      <c r="AH242" s="41"/>
      <c r="AI242" s="41">
        <f t="shared" ca="1" si="458"/>
        <v>727.1823369978199</v>
      </c>
      <c r="AJ242" s="13">
        <f t="shared" ca="1" si="459"/>
        <v>0</v>
      </c>
      <c r="AK242" s="11"/>
      <c r="AL242" s="6">
        <v>0</v>
      </c>
      <c r="AM242" s="6">
        <v>135</v>
      </c>
      <c r="AN242" s="41">
        <f t="shared" ca="1" si="460"/>
        <v>27.269337637418246</v>
      </c>
      <c r="AO242" s="41">
        <f t="shared" ca="1" si="461"/>
        <v>6.6319387605682936</v>
      </c>
      <c r="AP242" s="67">
        <f t="shared" si="481"/>
        <v>0.76767432476893471</v>
      </c>
      <c r="AQ242" s="11">
        <f t="shared" si="462"/>
        <v>1.0314301707183759</v>
      </c>
      <c r="AR242" s="11">
        <f t="shared" si="463"/>
        <v>0.8962407041850623</v>
      </c>
      <c r="AS242" s="11">
        <f t="shared" si="464"/>
        <v>0.86893008332386068</v>
      </c>
      <c r="AT242" s="11">
        <f t="shared" si="465"/>
        <v>534.97188664650002</v>
      </c>
      <c r="AU242" s="11">
        <f t="shared" si="466"/>
        <v>1896.6425030105124</v>
      </c>
      <c r="AV242" s="11">
        <f t="shared" si="467"/>
        <v>2.0653599150524844E-3</v>
      </c>
      <c r="AW242" s="11">
        <f t="shared" si="468"/>
        <v>3.8278171249107636E-7</v>
      </c>
      <c r="AX242" s="41">
        <f t="shared" ca="1" si="469"/>
        <v>1.2048542677607639</v>
      </c>
      <c r="AY242" s="41">
        <f t="shared" ca="1" si="470"/>
        <v>1.6229626361757576</v>
      </c>
      <c r="AZ242" s="41">
        <f t="shared" si="471"/>
        <v>0.19374347287471558</v>
      </c>
    </row>
    <row r="243" spans="1:52" ht="14.5">
      <c r="A243" s="41">
        <f t="shared" ca="1" si="472"/>
        <v>1523.4616048486323</v>
      </c>
      <c r="B243" s="41">
        <f t="shared" ca="1" si="473"/>
        <v>25.391026747477206</v>
      </c>
      <c r="C243" s="41">
        <f t="shared" ca="1" si="473"/>
        <v>0.42318377912462007</v>
      </c>
      <c r="D243" s="41">
        <f t="shared" ca="1" si="474"/>
        <v>12381.451733521126</v>
      </c>
      <c r="E243" s="41">
        <f t="shared" ca="1" si="475"/>
        <v>73.601094762905745</v>
      </c>
      <c r="F243" s="41">
        <f t="shared" ca="1" si="476"/>
        <v>72.951326366251237</v>
      </c>
      <c r="G243" s="41"/>
      <c r="H243" s="7">
        <f t="shared" si="477"/>
        <v>3000</v>
      </c>
      <c r="I243" s="6">
        <v>15</v>
      </c>
      <c r="J243" s="41">
        <f t="shared" si="438"/>
        <v>0.2632532415619146</v>
      </c>
      <c r="K243" s="41">
        <f t="shared" si="439"/>
        <v>298.49194287410489</v>
      </c>
      <c r="L243" s="6">
        <f t="shared" si="478"/>
        <v>165</v>
      </c>
      <c r="M243" s="41">
        <f t="shared" si="440"/>
        <v>176.85170028182117</v>
      </c>
      <c r="N243" s="41">
        <f t="shared" si="441"/>
        <v>92.009140514372376</v>
      </c>
      <c r="O243" s="41">
        <f t="shared" si="442"/>
        <v>1610560.9898818883</v>
      </c>
      <c r="P243" s="41">
        <f t="shared" si="443"/>
        <v>10340933.270748764</v>
      </c>
      <c r="Q243" s="41">
        <f t="shared" si="444"/>
        <v>2.9684322926589999E-3</v>
      </c>
      <c r="R243" s="41">
        <f t="shared" si="445"/>
        <v>2.3046986099112335E-2</v>
      </c>
      <c r="S243" s="24">
        <f t="shared" ca="1" si="479"/>
        <v>1.0521829148680691E-15</v>
      </c>
      <c r="T243" s="10">
        <f t="shared" ca="1" si="446"/>
        <v>1.0521829148680691E-15</v>
      </c>
      <c r="U243" s="41">
        <f t="shared" ca="1" si="447"/>
        <v>0.5850766406516672</v>
      </c>
      <c r="V243" s="41">
        <f t="shared" ca="1" si="448"/>
        <v>4.4666459388229565E-2</v>
      </c>
      <c r="W243" s="41">
        <f t="shared" ca="1" si="449"/>
        <v>13.098791546612841</v>
      </c>
      <c r="X243" s="20">
        <f t="shared" ca="1" si="450"/>
        <v>945.23618377015782</v>
      </c>
      <c r="Y243" s="41">
        <f t="shared" si="451"/>
        <v>0.60408391864909072</v>
      </c>
      <c r="Z243" s="41">
        <f t="shared" ca="1" si="452"/>
        <v>147.37824192490763</v>
      </c>
      <c r="AA243" s="14">
        <f t="shared" ca="1" si="453"/>
        <v>945.23618377015794</v>
      </c>
      <c r="AB243" s="14">
        <f t="shared" si="480"/>
        <v>5234.4042087224379</v>
      </c>
      <c r="AC243" s="25">
        <f t="shared" ca="1" si="454"/>
        <v>282145.38496845891</v>
      </c>
      <c r="AD243" s="41">
        <f t="shared" si="455"/>
        <v>1562427.4820499523</v>
      </c>
      <c r="AE243" s="5">
        <f t="shared" ca="1" si="456"/>
        <v>18.058142743257154</v>
      </c>
      <c r="AF243" s="7">
        <f t="shared" ca="1" si="457"/>
        <v>945.23618377015805</v>
      </c>
      <c r="AG243" s="41"/>
      <c r="AH243" s="41"/>
      <c r="AI243" s="41">
        <f t="shared" ca="1" si="458"/>
        <v>725.63354912292073</v>
      </c>
      <c r="AJ243" s="13">
        <f t="shared" ca="1" si="459"/>
        <v>5.4815228134944521E-15</v>
      </c>
      <c r="AK243" s="11"/>
      <c r="AL243" s="6">
        <v>0</v>
      </c>
      <c r="AM243" s="6">
        <v>135</v>
      </c>
      <c r="AN243" s="41">
        <f t="shared" ca="1" si="460"/>
        <v>27.211258092109528</v>
      </c>
      <c r="AO243" s="41">
        <f t="shared" ca="1" si="461"/>
        <v>6.6319387605682936</v>
      </c>
      <c r="AP243" s="67">
        <f t="shared" si="481"/>
        <v>0.76767432476893471</v>
      </c>
      <c r="AQ243" s="11">
        <f t="shared" si="462"/>
        <v>1.0314301707183759</v>
      </c>
      <c r="AR243" s="11">
        <f t="shared" si="463"/>
        <v>0.8962407041850623</v>
      </c>
      <c r="AS243" s="11">
        <f t="shared" si="464"/>
        <v>0.86893008332386068</v>
      </c>
      <c r="AT243" s="11">
        <f t="shared" si="465"/>
        <v>534.97188664650002</v>
      </c>
      <c r="AU243" s="11">
        <f t="shared" si="466"/>
        <v>1896.6425030105124</v>
      </c>
      <c r="AV243" s="11">
        <f t="shared" si="467"/>
        <v>2.0653599150524844E-3</v>
      </c>
      <c r="AW243" s="11">
        <f t="shared" si="468"/>
        <v>3.8278171249107636E-7</v>
      </c>
      <c r="AX243" s="41">
        <f t="shared" ca="1" si="469"/>
        <v>1.2064848869066449</v>
      </c>
      <c r="AY243" s="41">
        <f t="shared" ca="1" si="470"/>
        <v>1.6251591125616662</v>
      </c>
      <c r="AZ243" s="41">
        <f t="shared" si="471"/>
        <v>0.19374347287471558</v>
      </c>
    </row>
    <row r="244" spans="1:52" ht="14.5">
      <c r="A244" s="41">
        <f t="shared" ca="1" si="472"/>
        <v>1658.4616048486323</v>
      </c>
      <c r="B244" s="41">
        <f t="shared" ca="1" si="473"/>
        <v>27.641026747477206</v>
      </c>
      <c r="C244" s="41">
        <f t="shared" ca="1" si="473"/>
        <v>0.46068377912462011</v>
      </c>
      <c r="D244" s="41">
        <f t="shared" ca="1" si="474"/>
        <v>12354.240475429016</v>
      </c>
      <c r="E244" s="41">
        <f t="shared" ca="1" si="475"/>
        <v>80.233033523474035</v>
      </c>
      <c r="F244" s="41">
        <f t="shared" ca="1" si="476"/>
        <v>79.583265126819526</v>
      </c>
      <c r="G244" s="41"/>
      <c r="H244" s="7">
        <f t="shared" si="477"/>
        <v>3000</v>
      </c>
      <c r="I244" s="6">
        <v>15</v>
      </c>
      <c r="J244" s="41">
        <f t="shared" si="438"/>
        <v>0.2632532415619146</v>
      </c>
      <c r="K244" s="41">
        <f t="shared" si="439"/>
        <v>298.49194287410489</v>
      </c>
      <c r="L244" s="6">
        <f t="shared" si="478"/>
        <v>165</v>
      </c>
      <c r="M244" s="41">
        <f t="shared" si="440"/>
        <v>176.85170028182117</v>
      </c>
      <c r="N244" s="41">
        <f t="shared" si="441"/>
        <v>92.009140514372376</v>
      </c>
      <c r="O244" s="41">
        <f t="shared" si="442"/>
        <v>1610560.9898818883</v>
      </c>
      <c r="P244" s="41">
        <f t="shared" si="443"/>
        <v>10340933.270748764</v>
      </c>
      <c r="Q244" s="41">
        <f t="shared" si="444"/>
        <v>2.9684322926589999E-3</v>
      </c>
      <c r="R244" s="41">
        <f t="shared" si="445"/>
        <v>2.3046986099112335E-2</v>
      </c>
      <c r="S244" s="24">
        <f t="shared" ca="1" si="479"/>
        <v>0</v>
      </c>
      <c r="T244" s="10">
        <f t="shared" ca="1" si="446"/>
        <v>0</v>
      </c>
      <c r="U244" s="41">
        <f t="shared" ca="1" si="447"/>
        <v>0.58379079212476681</v>
      </c>
      <c r="V244" s="41">
        <f t="shared" ca="1" si="448"/>
        <v>4.4571535687612095E-2</v>
      </c>
      <c r="W244" s="41">
        <f t="shared" ca="1" si="449"/>
        <v>13.097838858781381</v>
      </c>
      <c r="X244" s="20">
        <f t="shared" ca="1" si="450"/>
        <v>943.22739870525879</v>
      </c>
      <c r="Y244" s="41">
        <f t="shared" si="451"/>
        <v>0.60408391864909072</v>
      </c>
      <c r="Z244" s="41">
        <f t="shared" ca="1" si="452"/>
        <v>147.21620304133717</v>
      </c>
      <c r="AA244" s="14">
        <f t="shared" ca="1" si="453"/>
        <v>943.22739870525868</v>
      </c>
      <c r="AB244" s="14">
        <f t="shared" si="480"/>
        <v>5234.4042087224379</v>
      </c>
      <c r="AC244" s="25">
        <f t="shared" ca="1" si="454"/>
        <v>281545.77881162061</v>
      </c>
      <c r="AD244" s="41">
        <f t="shared" si="455"/>
        <v>1562427.4820499523</v>
      </c>
      <c r="AE244" s="5">
        <f t="shared" ca="1" si="456"/>
        <v>18.019766168105548</v>
      </c>
      <c r="AF244" s="7">
        <f t="shared" ca="1" si="457"/>
        <v>943.22739870525879</v>
      </c>
      <c r="AG244" s="41"/>
      <c r="AH244" s="41"/>
      <c r="AI244" s="41">
        <f t="shared" ca="1" si="458"/>
        <v>724.09145640461827</v>
      </c>
      <c r="AJ244" s="13">
        <f t="shared" ca="1" si="459"/>
        <v>0</v>
      </c>
      <c r="AK244" s="11"/>
      <c r="AL244" s="6">
        <v>0</v>
      </c>
      <c r="AM244" s="6">
        <v>135</v>
      </c>
      <c r="AN244" s="41">
        <f t="shared" ca="1" si="460"/>
        <v>27.153429615173184</v>
      </c>
      <c r="AO244" s="41">
        <f t="shared" ca="1" si="461"/>
        <v>6.6319387605682936</v>
      </c>
      <c r="AP244" s="67">
        <f t="shared" si="481"/>
        <v>0.76767432476893471</v>
      </c>
      <c r="AQ244" s="11">
        <f t="shared" si="462"/>
        <v>1.0314301707183759</v>
      </c>
      <c r="AR244" s="11">
        <f t="shared" si="463"/>
        <v>0.8962407041850623</v>
      </c>
      <c r="AS244" s="11">
        <f t="shared" si="464"/>
        <v>0.86893008332386068</v>
      </c>
      <c r="AT244" s="11">
        <f t="shared" si="465"/>
        <v>534.97188664650002</v>
      </c>
      <c r="AU244" s="11">
        <f t="shared" si="466"/>
        <v>1896.6425030105124</v>
      </c>
      <c r="AV244" s="11">
        <f t="shared" si="467"/>
        <v>2.0653599150524844E-3</v>
      </c>
      <c r="AW244" s="11">
        <f t="shared" si="468"/>
        <v>3.8278171249107636E-7</v>
      </c>
      <c r="AX244" s="41">
        <f t="shared" ca="1" si="469"/>
        <v>1.208122032407918</v>
      </c>
      <c r="AY244" s="41">
        <f t="shared" ca="1" si="470"/>
        <v>1.6273643800779507</v>
      </c>
      <c r="AZ244" s="41">
        <f t="shared" si="471"/>
        <v>0.19374347287471558</v>
      </c>
    </row>
    <row r="245" spans="1:52" ht="14.5">
      <c r="A245" s="41">
        <f t="shared" ca="1" si="472"/>
        <v>1793.4616048486323</v>
      </c>
      <c r="B245" s="41">
        <f t="shared" ca="1" si="473"/>
        <v>29.891026747477206</v>
      </c>
      <c r="C245" s="41">
        <f t="shared" ca="1" si="473"/>
        <v>0.49818377912462009</v>
      </c>
      <c r="D245" s="41">
        <f t="shared" ca="1" si="474"/>
        <v>12327.087045813843</v>
      </c>
      <c r="E245" s="41">
        <f t="shared" ca="1" si="475"/>
        <v>86.864972284042324</v>
      </c>
      <c r="F245" s="41">
        <f t="shared" ca="1" si="476"/>
        <v>86.215203887387815</v>
      </c>
      <c r="G245" s="41"/>
      <c r="H245" s="7">
        <f t="shared" si="477"/>
        <v>3000</v>
      </c>
      <c r="I245" s="6">
        <v>15</v>
      </c>
      <c r="J245" s="41">
        <f t="shared" si="438"/>
        <v>0.2632532415619146</v>
      </c>
      <c r="K245" s="41">
        <f t="shared" si="439"/>
        <v>298.49194287410489</v>
      </c>
      <c r="L245" s="6">
        <f t="shared" si="478"/>
        <v>165</v>
      </c>
      <c r="M245" s="41">
        <f t="shared" si="440"/>
        <v>176.85170028182117</v>
      </c>
      <c r="N245" s="41">
        <f t="shared" si="441"/>
        <v>92.009140514372376</v>
      </c>
      <c r="O245" s="41">
        <f t="shared" si="442"/>
        <v>1610560.9898818883</v>
      </c>
      <c r="P245" s="41">
        <f t="shared" si="443"/>
        <v>10340933.270748764</v>
      </c>
      <c r="Q245" s="41">
        <f t="shared" si="444"/>
        <v>2.9684322926589999E-3</v>
      </c>
      <c r="R245" s="41">
        <f t="shared" si="445"/>
        <v>2.3046986099112335E-2</v>
      </c>
      <c r="S245" s="24">
        <f t="shared" ca="1" si="479"/>
        <v>0</v>
      </c>
      <c r="T245" s="10">
        <f t="shared" ca="1" si="446"/>
        <v>0</v>
      </c>
      <c r="U245" s="41">
        <f t="shared" ca="1" si="447"/>
        <v>0.58250767624115796</v>
      </c>
      <c r="V245" s="41">
        <f t="shared" ca="1" si="448"/>
        <v>4.4477021897926544E-2</v>
      </c>
      <c r="W245" s="41">
        <f t="shared" ca="1" si="449"/>
        <v>13.096822839847414</v>
      </c>
      <c r="X245" s="20">
        <f t="shared" ca="1" si="450"/>
        <v>941.22728821744226</v>
      </c>
      <c r="Y245" s="41">
        <f t="shared" si="451"/>
        <v>0.60408391864909072</v>
      </c>
      <c r="Z245" s="41">
        <f t="shared" ca="1" si="452"/>
        <v>147.05433053605444</v>
      </c>
      <c r="AA245" s="14">
        <f t="shared" ca="1" si="453"/>
        <v>941.22728821744226</v>
      </c>
      <c r="AB245" s="14">
        <f t="shared" si="480"/>
        <v>5234.4042087224379</v>
      </c>
      <c r="AC245" s="25">
        <f t="shared" ca="1" si="454"/>
        <v>280948.76194614946</v>
      </c>
      <c r="AD245" s="41">
        <f t="shared" si="455"/>
        <v>1562427.4820499523</v>
      </c>
      <c r="AE245" s="5">
        <f t="shared" ca="1" si="456"/>
        <v>17.981555315292852</v>
      </c>
      <c r="AF245" s="7">
        <f t="shared" ca="1" si="457"/>
        <v>941.22728821744226</v>
      </c>
      <c r="AG245" s="41"/>
      <c r="AH245" s="41"/>
      <c r="AI245" s="41">
        <f t="shared" ca="1" si="458"/>
        <v>722.5560229364205</v>
      </c>
      <c r="AJ245" s="13">
        <f t="shared" ca="1" si="459"/>
        <v>0</v>
      </c>
      <c r="AK245" s="11"/>
      <c r="AL245" s="6">
        <v>0</v>
      </c>
      <c r="AM245" s="6">
        <v>135</v>
      </c>
      <c r="AN245" s="41">
        <f t="shared" ca="1" si="460"/>
        <v>27.095850860115767</v>
      </c>
      <c r="AO245" s="41">
        <f t="shared" ca="1" si="461"/>
        <v>6.6319387605682936</v>
      </c>
      <c r="AP245" s="67">
        <f t="shared" si="481"/>
        <v>0.76767432476893471</v>
      </c>
      <c r="AQ245" s="11">
        <f t="shared" si="462"/>
        <v>1.0314301707183759</v>
      </c>
      <c r="AR245" s="11">
        <f t="shared" si="463"/>
        <v>0.8962407041850623</v>
      </c>
      <c r="AS245" s="11">
        <f t="shared" si="464"/>
        <v>0.86893008332386068</v>
      </c>
      <c r="AT245" s="11">
        <f t="shared" si="465"/>
        <v>534.97188664650002</v>
      </c>
      <c r="AU245" s="11">
        <f t="shared" si="466"/>
        <v>1896.6425030105124</v>
      </c>
      <c r="AV245" s="11">
        <f t="shared" si="467"/>
        <v>2.0653599150524844E-3</v>
      </c>
      <c r="AW245" s="11">
        <f t="shared" si="468"/>
        <v>3.8278171249107636E-7</v>
      </c>
      <c r="AX245" s="41">
        <f t="shared" ca="1" si="469"/>
        <v>1.2097657175389758</v>
      </c>
      <c r="AY245" s="41">
        <f t="shared" ca="1" si="470"/>
        <v>1.6295784566054814</v>
      </c>
      <c r="AZ245" s="41">
        <f t="shared" si="471"/>
        <v>0.19374347287471558</v>
      </c>
    </row>
    <row r="246" spans="1:52" ht="14.5">
      <c r="A246" s="41">
        <f t="shared" ca="1" si="472"/>
        <v>1928.4616048486323</v>
      </c>
      <c r="B246" s="41">
        <f t="shared" ca="1" si="473"/>
        <v>32.141026747477206</v>
      </c>
      <c r="C246" s="41">
        <f t="shared" ca="1" si="473"/>
        <v>0.53568377912462006</v>
      </c>
      <c r="D246" s="41">
        <f t="shared" ca="1" si="474"/>
        <v>12299.991194953727</v>
      </c>
      <c r="E246" s="41">
        <f t="shared" ca="1" si="475"/>
        <v>93.496911044610613</v>
      </c>
      <c r="F246" s="41">
        <f t="shared" ca="1" si="476"/>
        <v>92.847142647956105</v>
      </c>
      <c r="G246" s="41"/>
      <c r="H246" s="7">
        <f t="shared" si="477"/>
        <v>3000</v>
      </c>
      <c r="I246" s="6">
        <v>15</v>
      </c>
      <c r="J246" s="41">
        <f t="shared" si="438"/>
        <v>0.2632532415619146</v>
      </c>
      <c r="K246" s="41">
        <f t="shared" si="439"/>
        <v>298.49194287410489</v>
      </c>
      <c r="L246" s="6">
        <f t="shared" si="478"/>
        <v>165</v>
      </c>
      <c r="M246" s="41">
        <f t="shared" si="440"/>
        <v>176.85170028182117</v>
      </c>
      <c r="N246" s="41">
        <f t="shared" si="441"/>
        <v>92.009140514372376</v>
      </c>
      <c r="O246" s="41">
        <f t="shared" si="442"/>
        <v>1610560.9898818883</v>
      </c>
      <c r="P246" s="41">
        <f t="shared" si="443"/>
        <v>10340933.270748764</v>
      </c>
      <c r="Q246" s="41">
        <f t="shared" si="444"/>
        <v>2.9684322926589999E-3</v>
      </c>
      <c r="R246" s="41">
        <f t="shared" si="445"/>
        <v>2.3046986099112335E-2</v>
      </c>
      <c r="S246" s="24">
        <f t="shared" ca="1" si="479"/>
        <v>0</v>
      </c>
      <c r="T246" s="10">
        <f t="shared" ca="1" si="446"/>
        <v>0</v>
      </c>
      <c r="U246" s="41">
        <f t="shared" ca="1" si="447"/>
        <v>0.581227281200412</v>
      </c>
      <c r="V246" s="41">
        <f t="shared" ca="1" si="448"/>
        <v>4.438291582414515E-2</v>
      </c>
      <c r="W246" s="41">
        <f t="shared" ca="1" si="449"/>
        <v>13.095743495162914</v>
      </c>
      <c r="X246" s="20">
        <f t="shared" ca="1" si="450"/>
        <v>939.23580585530647</v>
      </c>
      <c r="Y246" s="41">
        <f t="shared" si="451"/>
        <v>0.60408391864909072</v>
      </c>
      <c r="Z246" s="41">
        <f t="shared" ca="1" si="452"/>
        <v>146.89262346794376</v>
      </c>
      <c r="AA246" s="14">
        <f t="shared" ca="1" si="453"/>
        <v>939.23580585530647</v>
      </c>
      <c r="AB246" s="14">
        <f t="shared" si="480"/>
        <v>5234.4042087224379</v>
      </c>
      <c r="AC246" s="25">
        <f t="shared" ca="1" si="454"/>
        <v>280354.32050667598</v>
      </c>
      <c r="AD246" s="41">
        <f t="shared" si="455"/>
        <v>1562427.4820499523</v>
      </c>
      <c r="AE246" s="5">
        <f t="shared" ca="1" si="456"/>
        <v>17.943509297394247</v>
      </c>
      <c r="AF246" s="7">
        <f t="shared" ca="1" si="457"/>
        <v>939.23580585530647</v>
      </c>
      <c r="AG246" s="41"/>
      <c r="AH246" s="41"/>
      <c r="AI246" s="41">
        <f t="shared" ca="1" si="458"/>
        <v>721.02721305877867</v>
      </c>
      <c r="AJ246" s="13">
        <f t="shared" ca="1" si="459"/>
        <v>0</v>
      </c>
      <c r="AK246" s="11"/>
      <c r="AL246" s="6">
        <v>0</v>
      </c>
      <c r="AM246" s="6">
        <v>135</v>
      </c>
      <c r="AN246" s="41">
        <f t="shared" ca="1" si="460"/>
        <v>27.038520489704201</v>
      </c>
      <c r="AO246" s="41">
        <f t="shared" ca="1" si="461"/>
        <v>6.6319387605682936</v>
      </c>
      <c r="AP246" s="67">
        <f t="shared" si="481"/>
        <v>0.76767432476893471</v>
      </c>
      <c r="AQ246" s="11">
        <f t="shared" si="462"/>
        <v>1.0314301707183759</v>
      </c>
      <c r="AR246" s="11">
        <f t="shared" si="463"/>
        <v>0.8962407041850623</v>
      </c>
      <c r="AS246" s="11">
        <f t="shared" si="464"/>
        <v>0.86893008332386068</v>
      </c>
      <c r="AT246" s="11">
        <f t="shared" si="465"/>
        <v>534.97188664650002</v>
      </c>
      <c r="AU246" s="11">
        <f t="shared" si="466"/>
        <v>1896.6425030105124</v>
      </c>
      <c r="AV246" s="11">
        <f t="shared" si="467"/>
        <v>2.0653599150524844E-3</v>
      </c>
      <c r="AW246" s="11">
        <f t="shared" si="468"/>
        <v>3.8278171249107636E-7</v>
      </c>
      <c r="AX246" s="41">
        <f t="shared" ca="1" si="469"/>
        <v>1.2114159557622928</v>
      </c>
      <c r="AY246" s="41">
        <f t="shared" ca="1" si="470"/>
        <v>1.6318013602784793</v>
      </c>
      <c r="AZ246" s="41">
        <f t="shared" si="471"/>
        <v>0.19374347287471558</v>
      </c>
    </row>
    <row r="247" spans="1:52" ht="14.5">
      <c r="A247" s="41">
        <f t="shared" ca="1" si="472"/>
        <v>2063.4616048486323</v>
      </c>
      <c r="B247" s="41">
        <f t="shared" ca="1" si="473"/>
        <v>34.391026747477206</v>
      </c>
      <c r="C247" s="41">
        <f t="shared" ca="1" si="473"/>
        <v>0.57318377912462004</v>
      </c>
      <c r="D247" s="41">
        <f t="shared" ca="1" si="474"/>
        <v>12272.952674464022</v>
      </c>
      <c r="E247" s="41">
        <f t="shared" ca="1" si="475"/>
        <v>100.1288498051789</v>
      </c>
      <c r="F247" s="41">
        <f t="shared" ca="1" si="476"/>
        <v>99.479081408524394</v>
      </c>
      <c r="G247" s="41"/>
      <c r="H247" s="7">
        <f t="shared" si="477"/>
        <v>3000</v>
      </c>
      <c r="I247" s="6">
        <v>15</v>
      </c>
      <c r="J247" s="41">
        <f t="shared" si="438"/>
        <v>0.2632532415619146</v>
      </c>
      <c r="K247" s="41">
        <f t="shared" si="439"/>
        <v>298.49194287410489</v>
      </c>
      <c r="L247" s="6">
        <f t="shared" si="478"/>
        <v>165</v>
      </c>
      <c r="M247" s="41">
        <f t="shared" si="440"/>
        <v>176.85170028182117</v>
      </c>
      <c r="N247" s="41">
        <f t="shared" si="441"/>
        <v>92.009140514372376</v>
      </c>
      <c r="O247" s="41">
        <f t="shared" si="442"/>
        <v>1610560.9898818883</v>
      </c>
      <c r="P247" s="41">
        <f t="shared" si="443"/>
        <v>10340933.270748764</v>
      </c>
      <c r="Q247" s="41">
        <f t="shared" si="444"/>
        <v>2.9684322926589999E-3</v>
      </c>
      <c r="R247" s="41">
        <f t="shared" si="445"/>
        <v>2.3046986099112335E-2</v>
      </c>
      <c r="S247" s="24">
        <f t="shared" ca="1" si="479"/>
        <v>1.0614847397220569E-15</v>
      </c>
      <c r="T247" s="10">
        <f t="shared" ca="1" si="446"/>
        <v>1.0614847397220569E-15</v>
      </c>
      <c r="U247" s="41">
        <f t="shared" ca="1" si="447"/>
        <v>0.57994959526529033</v>
      </c>
      <c r="V247" s="41">
        <f t="shared" ca="1" si="448"/>
        <v>4.428921528631663E-2</v>
      </c>
      <c r="W247" s="41">
        <f t="shared" ca="1" si="449"/>
        <v>13.094600830384742</v>
      </c>
      <c r="X247" s="20">
        <f t="shared" ca="1" si="450"/>
        <v>937.252905486499</v>
      </c>
      <c r="Y247" s="41">
        <f t="shared" si="451"/>
        <v>0.60408391864909072</v>
      </c>
      <c r="Z247" s="41">
        <f t="shared" ca="1" si="452"/>
        <v>146.73108089917284</v>
      </c>
      <c r="AA247" s="14">
        <f t="shared" ca="1" si="453"/>
        <v>937.252905486499</v>
      </c>
      <c r="AB247" s="14">
        <f t="shared" si="480"/>
        <v>5234.4042087224379</v>
      </c>
      <c r="AC247" s="25">
        <f t="shared" ca="1" si="454"/>
        <v>279762.44072306488</v>
      </c>
      <c r="AD247" s="41">
        <f t="shared" si="455"/>
        <v>1562427.4820499523</v>
      </c>
      <c r="AE247" s="5">
        <f t="shared" ca="1" si="456"/>
        <v>17.905627233080164</v>
      </c>
      <c r="AF247" s="7">
        <f t="shared" ca="1" si="457"/>
        <v>937.25290548649923</v>
      </c>
      <c r="AG247" s="41"/>
      <c r="AH247" s="41"/>
      <c r="AI247" s="41">
        <f t="shared" ca="1" si="458"/>
        <v>719.50499135707048</v>
      </c>
      <c r="AJ247" s="13">
        <f t="shared" ca="1" si="459"/>
        <v>5.5299822252790071E-15</v>
      </c>
      <c r="AK247" s="11"/>
      <c r="AL247" s="6">
        <v>0</v>
      </c>
      <c r="AM247" s="6">
        <v>135</v>
      </c>
      <c r="AN247" s="41">
        <f t="shared" ca="1" si="460"/>
        <v>26.981437175890143</v>
      </c>
      <c r="AO247" s="41">
        <f t="shared" ca="1" si="461"/>
        <v>6.6319387605682936</v>
      </c>
      <c r="AP247" s="67">
        <f t="shared" si="481"/>
        <v>0.76767432476893471</v>
      </c>
      <c r="AQ247" s="11">
        <f t="shared" si="462"/>
        <v>1.0314301707183759</v>
      </c>
      <c r="AR247" s="11">
        <f t="shared" si="463"/>
        <v>0.8962407041850623</v>
      </c>
      <c r="AS247" s="11">
        <f t="shared" si="464"/>
        <v>0.86893008332386068</v>
      </c>
      <c r="AT247" s="11">
        <f t="shared" si="465"/>
        <v>534.97188664650002</v>
      </c>
      <c r="AU247" s="11">
        <f t="shared" si="466"/>
        <v>1896.6425030105124</v>
      </c>
      <c r="AV247" s="11">
        <f t="shared" si="467"/>
        <v>2.0653599150524844E-3</v>
      </c>
      <c r="AW247" s="11">
        <f t="shared" si="468"/>
        <v>3.8278171249107636E-7</v>
      </c>
      <c r="AX247" s="41">
        <f t="shared" ca="1" si="469"/>
        <v>1.2130727607287641</v>
      </c>
      <c r="AY247" s="41">
        <f t="shared" ca="1" si="470"/>
        <v>1.6340331094849712</v>
      </c>
      <c r="AZ247" s="41">
        <f t="shared" si="471"/>
        <v>0.19374347287471558</v>
      </c>
    </row>
    <row r="248" spans="1:52" ht="14.5">
      <c r="A248" s="41">
        <f t="shared" ca="1" si="472"/>
        <v>2198.4616048486323</v>
      </c>
      <c r="B248" s="41">
        <f t="shared" ca="1" si="473"/>
        <v>36.641026747477206</v>
      </c>
      <c r="C248" s="41">
        <f t="shared" ca="1" si="473"/>
        <v>0.61068377912462013</v>
      </c>
      <c r="D248" s="41">
        <f t="shared" ca="1" si="474"/>
        <v>12245.971237288133</v>
      </c>
      <c r="E248" s="41">
        <f t="shared" ca="1" si="475"/>
        <v>106.76078856574719</v>
      </c>
      <c r="F248" s="41">
        <f t="shared" ca="1" si="476"/>
        <v>106.11102016909268</v>
      </c>
      <c r="G248" s="41"/>
      <c r="H248" s="7">
        <f t="shared" si="477"/>
        <v>3000</v>
      </c>
      <c r="I248" s="6">
        <v>15</v>
      </c>
      <c r="J248" s="41">
        <f t="shared" si="438"/>
        <v>0.2632532415619146</v>
      </c>
      <c r="K248" s="41">
        <f t="shared" si="439"/>
        <v>298.49194287410489</v>
      </c>
      <c r="L248" s="6">
        <f t="shared" si="478"/>
        <v>165</v>
      </c>
      <c r="M248" s="41">
        <f t="shared" si="440"/>
        <v>176.85170028182117</v>
      </c>
      <c r="N248" s="41">
        <f t="shared" si="441"/>
        <v>92.009140514372376</v>
      </c>
      <c r="O248" s="41">
        <f t="shared" si="442"/>
        <v>1610560.9898818883</v>
      </c>
      <c r="P248" s="41">
        <f t="shared" si="443"/>
        <v>10340933.270748764</v>
      </c>
      <c r="Q248" s="41">
        <f t="shared" si="444"/>
        <v>2.9684322926589999E-3</v>
      </c>
      <c r="R248" s="41">
        <f t="shared" si="445"/>
        <v>2.3046986099112335E-2</v>
      </c>
      <c r="S248" s="24">
        <f t="shared" ca="1" si="479"/>
        <v>-5.3191174970289702E-16</v>
      </c>
      <c r="T248" s="10">
        <f t="shared" ca="1" si="446"/>
        <v>-5.3191174970289702E-16</v>
      </c>
      <c r="U248" s="41">
        <f t="shared" ca="1" si="447"/>
        <v>0.57867460676131033</v>
      </c>
      <c r="V248" s="41">
        <f t="shared" ca="1" si="448"/>
        <v>4.4195918119442984E-2</v>
      </c>
      <c r="W248" s="41">
        <f t="shared" ca="1" si="449"/>
        <v>13.093394851474658</v>
      </c>
      <c r="X248" s="20">
        <f t="shared" ca="1" si="450"/>
        <v>935.27854129511093</v>
      </c>
      <c r="Y248" s="41">
        <f t="shared" si="451"/>
        <v>0.60408391864909072</v>
      </c>
      <c r="Z248" s="41">
        <f t="shared" ca="1" si="452"/>
        <v>146.56970189516636</v>
      </c>
      <c r="AA248" s="14">
        <f t="shared" ca="1" si="453"/>
        <v>935.27854129511093</v>
      </c>
      <c r="AB248" s="14">
        <f t="shared" si="480"/>
        <v>5234.4042087224379</v>
      </c>
      <c r="AC248" s="25">
        <f t="shared" ca="1" si="454"/>
        <v>279173.1089196364</v>
      </c>
      <c r="AD248" s="41">
        <f t="shared" si="455"/>
        <v>1562427.4820499523</v>
      </c>
      <c r="AE248" s="5">
        <f t="shared" ca="1" si="456"/>
        <v>17.86790824706647</v>
      </c>
      <c r="AF248" s="7">
        <f t="shared" ca="1" si="457"/>
        <v>935.27854129511081</v>
      </c>
      <c r="AG248" s="41"/>
      <c r="AH248" s="41"/>
      <c r="AI248" s="41">
        <f t="shared" ca="1" si="458"/>
        <v>717.98932265959843</v>
      </c>
      <c r="AJ248" s="13">
        <f t="shared" ca="1" si="459"/>
        <v>-2.7710831924388099E-15</v>
      </c>
      <c r="AK248" s="11"/>
      <c r="AL248" s="6">
        <v>0</v>
      </c>
      <c r="AM248" s="6">
        <v>135</v>
      </c>
      <c r="AN248" s="41">
        <f t="shared" ca="1" si="460"/>
        <v>26.92459959973494</v>
      </c>
      <c r="AO248" s="41">
        <f t="shared" ca="1" si="461"/>
        <v>6.6319387605682936</v>
      </c>
      <c r="AP248" s="67">
        <f t="shared" si="481"/>
        <v>0.76767432476893471</v>
      </c>
      <c r="AQ248" s="11">
        <f t="shared" si="462"/>
        <v>1.0314301707183759</v>
      </c>
      <c r="AR248" s="11">
        <f t="shared" si="463"/>
        <v>0.8962407041850623</v>
      </c>
      <c r="AS248" s="11">
        <f t="shared" si="464"/>
        <v>0.86893008332386068</v>
      </c>
      <c r="AT248" s="11">
        <f t="shared" si="465"/>
        <v>534.97188664650002</v>
      </c>
      <c r="AU248" s="11">
        <f t="shared" si="466"/>
        <v>1896.6425030105124</v>
      </c>
      <c r="AV248" s="11">
        <f t="shared" si="467"/>
        <v>2.0653599150524844E-3</v>
      </c>
      <c r="AW248" s="11">
        <f t="shared" si="468"/>
        <v>3.8278171249107636E-7</v>
      </c>
      <c r="AX248" s="41">
        <f t="shared" ca="1" si="469"/>
        <v>1.214736146278051</v>
      </c>
      <c r="AY248" s="41">
        <f t="shared" ca="1" si="470"/>
        <v>1.6362737228672557</v>
      </c>
      <c r="AZ248" s="41">
        <f t="shared" si="471"/>
        <v>0.19374347287471558</v>
      </c>
    </row>
    <row r="249" spans="1:52" ht="14.5">
      <c r="A249" s="41">
        <f t="shared" ca="1" si="472"/>
        <v>2333.4616048486323</v>
      </c>
      <c r="B249" s="41">
        <f t="shared" ref="B249:C252" ca="1" si="482">A249/60</f>
        <v>38.891026747477206</v>
      </c>
      <c r="C249" s="41">
        <f t="shared" ca="1" si="482"/>
        <v>0.64818377912462011</v>
      </c>
      <c r="D249" s="41">
        <f t="shared" ca="1" si="474"/>
        <v>12219.046637688398</v>
      </c>
      <c r="E249" s="41">
        <f t="shared" ca="1" si="475"/>
        <v>113.39272732631548</v>
      </c>
      <c r="F249" s="41">
        <f t="shared" ca="1" si="476"/>
        <v>112.74295892966097</v>
      </c>
      <c r="G249" s="41"/>
      <c r="H249" s="7">
        <f t="shared" si="477"/>
        <v>3000</v>
      </c>
      <c r="I249" s="6">
        <v>15</v>
      </c>
      <c r="J249" s="41">
        <f t="shared" si="438"/>
        <v>0.2632532415619146</v>
      </c>
      <c r="K249" s="41">
        <f t="shared" si="439"/>
        <v>298.49194287410489</v>
      </c>
      <c r="L249" s="6">
        <f t="shared" si="478"/>
        <v>165</v>
      </c>
      <c r="M249" s="41">
        <f t="shared" si="440"/>
        <v>176.85170028182117</v>
      </c>
      <c r="N249" s="41">
        <f t="shared" si="441"/>
        <v>92.009140514372376</v>
      </c>
      <c r="O249" s="41">
        <f t="shared" si="442"/>
        <v>1610560.9898818883</v>
      </c>
      <c r="P249" s="41">
        <f t="shared" si="443"/>
        <v>10340933.270748764</v>
      </c>
      <c r="Q249" s="41">
        <f t="shared" si="444"/>
        <v>2.9684322926589999E-3</v>
      </c>
      <c r="R249" s="41">
        <f t="shared" si="445"/>
        <v>2.3046986099112335E-2</v>
      </c>
      <c r="S249" s="24">
        <f t="shared" ca="1" si="479"/>
        <v>5.3308381421069357E-16</v>
      </c>
      <c r="T249" s="10">
        <f t="shared" ca="1" si="446"/>
        <v>5.3308381421069357E-16</v>
      </c>
      <c r="U249" s="41">
        <f t="shared" ca="1" si="447"/>
        <v>0.57740230407631454</v>
      </c>
      <c r="V249" s="41">
        <f t="shared" ca="1" si="448"/>
        <v>4.4103022173357667E-2</v>
      </c>
      <c r="W249" s="41">
        <f t="shared" ca="1" si="449"/>
        <v>13.092125564699266</v>
      </c>
      <c r="X249" s="20">
        <f t="shared" ca="1" si="450"/>
        <v>933.31266777909752</v>
      </c>
      <c r="Y249" s="41">
        <f t="shared" si="451"/>
        <v>0.60408391864909072</v>
      </c>
      <c r="Z249" s="41">
        <f t="shared" ca="1" si="452"/>
        <v>146.40848552457993</v>
      </c>
      <c r="AA249" s="14">
        <f t="shared" ca="1" si="453"/>
        <v>933.31266777909764</v>
      </c>
      <c r="AB249" s="14">
        <f t="shared" si="480"/>
        <v>5234.4042087224379</v>
      </c>
      <c r="AC249" s="25">
        <f t="shared" ca="1" si="454"/>
        <v>278586.31151439686</v>
      </c>
      <c r="AD249" s="41">
        <f t="shared" si="455"/>
        <v>1562427.4820499523</v>
      </c>
      <c r="AE249" s="5">
        <f t="shared" ca="1" si="456"/>
        <v>17.830351470065235</v>
      </c>
      <c r="AF249" s="7">
        <f t="shared" ca="1" si="457"/>
        <v>933.31266777909764</v>
      </c>
      <c r="AG249" s="41"/>
      <c r="AH249" s="41"/>
      <c r="AI249" s="41">
        <f t="shared" ca="1" si="458"/>
        <v>716.48017203561187</v>
      </c>
      <c r="AJ249" s="13">
        <f t="shared" ca="1" si="459"/>
        <v>2.7771892584541279E-15</v>
      </c>
      <c r="AK249" s="11"/>
      <c r="AL249" s="6">
        <v>0</v>
      </c>
      <c r="AM249" s="6">
        <v>135</v>
      </c>
      <c r="AN249" s="41">
        <f t="shared" ca="1" si="460"/>
        <v>26.868006451335443</v>
      </c>
      <c r="AO249" s="41">
        <f t="shared" ca="1" si="461"/>
        <v>6.6319387605682936</v>
      </c>
      <c r="AP249" s="67">
        <f t="shared" si="481"/>
        <v>0.76767432476893471</v>
      </c>
      <c r="AQ249" s="11">
        <f t="shared" si="462"/>
        <v>1.0314301707183759</v>
      </c>
      <c r="AR249" s="11">
        <f t="shared" si="463"/>
        <v>0.8962407041850623</v>
      </c>
      <c r="AS249" s="11">
        <f t="shared" si="464"/>
        <v>0.86893008332386068</v>
      </c>
      <c r="AT249" s="11">
        <f t="shared" si="465"/>
        <v>534.97188664650002</v>
      </c>
      <c r="AU249" s="11">
        <f t="shared" si="466"/>
        <v>1896.6425030105124</v>
      </c>
      <c r="AV249" s="11">
        <f t="shared" si="467"/>
        <v>2.0653599150524844E-3</v>
      </c>
      <c r="AW249" s="11">
        <f t="shared" si="468"/>
        <v>3.8278171249107636E-7</v>
      </c>
      <c r="AX249" s="41">
        <f t="shared" ca="1" si="469"/>
        <v>1.2164061264389443</v>
      </c>
      <c r="AY249" s="41">
        <f t="shared" ca="1" si="470"/>
        <v>1.6385232193223926</v>
      </c>
      <c r="AZ249" s="41">
        <f t="shared" si="471"/>
        <v>0.19374347287471558</v>
      </c>
    </row>
    <row r="250" spans="1:52" ht="14.5">
      <c r="A250" s="41">
        <f t="shared" ca="1" si="472"/>
        <v>2468.4616048486323</v>
      </c>
      <c r="B250" s="41">
        <f t="shared" ca="1" si="482"/>
        <v>41.141026747477206</v>
      </c>
      <c r="C250" s="41">
        <f t="shared" ca="1" si="482"/>
        <v>0.68568377912462009</v>
      </c>
      <c r="D250" s="41">
        <f t="shared" ca="1" si="474"/>
        <v>12192.178631237062</v>
      </c>
      <c r="E250" s="41">
        <f t="shared" ca="1" si="475"/>
        <v>120.02466608688377</v>
      </c>
      <c r="F250" s="41">
        <f t="shared" ca="1" si="476"/>
        <v>119.37489769022926</v>
      </c>
      <c r="G250" s="41"/>
      <c r="H250" s="7">
        <f t="shared" si="477"/>
        <v>3000</v>
      </c>
      <c r="I250" s="6">
        <v>15</v>
      </c>
      <c r="J250" s="41">
        <f t="shared" si="438"/>
        <v>0.2632532415619146</v>
      </c>
      <c r="K250" s="41">
        <f t="shared" si="439"/>
        <v>298.49194287410489</v>
      </c>
      <c r="L250" s="6">
        <f t="shared" si="478"/>
        <v>165</v>
      </c>
      <c r="M250" s="41">
        <f t="shared" si="440"/>
        <v>176.85170028182117</v>
      </c>
      <c r="N250" s="41">
        <f t="shared" si="441"/>
        <v>92.009140514372376</v>
      </c>
      <c r="O250" s="41">
        <f t="shared" si="442"/>
        <v>1610560.9898818883</v>
      </c>
      <c r="P250" s="41">
        <f t="shared" si="443"/>
        <v>10340933.270748764</v>
      </c>
      <c r="Q250" s="41">
        <f t="shared" si="444"/>
        <v>2.9684322926589999E-3</v>
      </c>
      <c r="R250" s="41">
        <f t="shared" si="445"/>
        <v>2.3046986099112335E-2</v>
      </c>
      <c r="S250" s="24">
        <f t="shared" ca="1" si="479"/>
        <v>5.3425857548942192E-16</v>
      </c>
      <c r="T250" s="10">
        <f t="shared" ca="1" si="446"/>
        <v>5.3425857548942192E-16</v>
      </c>
      <c r="U250" s="41">
        <f t="shared" ca="1" si="447"/>
        <v>0.57613267566004445</v>
      </c>
      <c r="V250" s="41">
        <f t="shared" ca="1" si="448"/>
        <v>4.401052531260484E-2</v>
      </c>
      <c r="W250" s="41">
        <f t="shared" ca="1" si="449"/>
        <v>13.090792976630004</v>
      </c>
      <c r="X250" s="20">
        <f t="shared" ca="1" si="450"/>
        <v>931.35523974772423</v>
      </c>
      <c r="Y250" s="41">
        <f t="shared" si="451"/>
        <v>0.60408391864909072</v>
      </c>
      <c r="Z250" s="41">
        <f t="shared" ca="1" si="452"/>
        <v>146.24743085927415</v>
      </c>
      <c r="AA250" s="14">
        <f t="shared" ca="1" si="453"/>
        <v>931.35523974772423</v>
      </c>
      <c r="AB250" s="14">
        <f t="shared" si="480"/>
        <v>5234.4042087224379</v>
      </c>
      <c r="AC250" s="25">
        <f t="shared" ca="1" si="454"/>
        <v>278002.03501827596</v>
      </c>
      <c r="AD250" s="41">
        <f t="shared" si="455"/>
        <v>1562427.4820499523</v>
      </c>
      <c r="AE250" s="5">
        <f t="shared" ca="1" si="456"/>
        <v>17.792956038735884</v>
      </c>
      <c r="AF250" s="7">
        <f t="shared" ca="1" si="457"/>
        <v>931.35523974772434</v>
      </c>
      <c r="AG250" s="41"/>
      <c r="AH250" s="41"/>
      <c r="AI250" s="41">
        <f t="shared" ca="1" si="458"/>
        <v>714.97750479334354</v>
      </c>
      <c r="AJ250" s="13">
        <f t="shared" ca="1" si="459"/>
        <v>2.7833093737484978E-15</v>
      </c>
      <c r="AK250" s="11"/>
      <c r="AL250" s="6">
        <v>0</v>
      </c>
      <c r="AM250" s="6">
        <v>135</v>
      </c>
      <c r="AN250" s="41">
        <f t="shared" ca="1" si="460"/>
        <v>26.811656429750382</v>
      </c>
      <c r="AO250" s="41">
        <f t="shared" ca="1" si="461"/>
        <v>6.6319387605682936</v>
      </c>
      <c r="AP250" s="67">
        <f t="shared" si="481"/>
        <v>0.76767432476893471</v>
      </c>
      <c r="AQ250" s="11">
        <f t="shared" si="462"/>
        <v>1.0314301707183759</v>
      </c>
      <c r="AR250" s="11">
        <f t="shared" si="463"/>
        <v>0.8962407041850623</v>
      </c>
      <c r="AS250" s="11">
        <f t="shared" si="464"/>
        <v>0.86893008332386068</v>
      </c>
      <c r="AT250" s="11">
        <f t="shared" si="465"/>
        <v>534.97188664650002</v>
      </c>
      <c r="AU250" s="11">
        <f t="shared" si="466"/>
        <v>1896.6425030105124</v>
      </c>
      <c r="AV250" s="11">
        <f t="shared" si="467"/>
        <v>2.0653599150524844E-3</v>
      </c>
      <c r="AW250" s="11">
        <f t="shared" si="468"/>
        <v>3.8278171249107636E-7</v>
      </c>
      <c r="AX250" s="41">
        <f t="shared" ca="1" si="469"/>
        <v>1.2180827154297313</v>
      </c>
      <c r="AY250" s="41">
        <f t="shared" ca="1" si="470"/>
        <v>1.6407816180026977</v>
      </c>
      <c r="AZ250" s="41">
        <f t="shared" si="471"/>
        <v>0.19374347287471558</v>
      </c>
    </row>
    <row r="251" spans="1:52" ht="14.5">
      <c r="A251" s="41">
        <f t="shared" ca="1" si="472"/>
        <v>2603.4616048486323</v>
      </c>
      <c r="B251" s="41">
        <f t="shared" ca="1" si="482"/>
        <v>43.391026747477206</v>
      </c>
      <c r="C251" s="41">
        <f t="shared" ca="1" si="482"/>
        <v>0.72318377912462006</v>
      </c>
      <c r="D251" s="41">
        <f t="shared" ca="1" si="474"/>
        <v>12165.366974807312</v>
      </c>
      <c r="E251" s="41">
        <f t="shared" ca="1" si="475"/>
        <v>126.65660484745206</v>
      </c>
      <c r="F251" s="41">
        <f t="shared" ca="1" si="476"/>
        <v>126.00683645079755</v>
      </c>
      <c r="G251" s="41"/>
      <c r="H251" s="7">
        <f t="shared" si="477"/>
        <v>3000</v>
      </c>
      <c r="I251" s="6">
        <v>15</v>
      </c>
      <c r="J251" s="41">
        <f t="shared" si="438"/>
        <v>0.2632532415619146</v>
      </c>
      <c r="K251" s="41">
        <f t="shared" si="439"/>
        <v>298.49194287410489</v>
      </c>
      <c r="L251" s="6">
        <f t="shared" si="478"/>
        <v>165</v>
      </c>
      <c r="M251" s="41">
        <f t="shared" si="440"/>
        <v>176.85170028182117</v>
      </c>
      <c r="N251" s="41">
        <f t="shared" si="441"/>
        <v>92.009140514372376</v>
      </c>
      <c r="O251" s="41">
        <f t="shared" si="442"/>
        <v>1610560.9898818883</v>
      </c>
      <c r="P251" s="41">
        <f t="shared" si="443"/>
        <v>10340933.270748764</v>
      </c>
      <c r="Q251" s="41">
        <f t="shared" si="444"/>
        <v>2.9684322926589999E-3</v>
      </c>
      <c r="R251" s="41">
        <f t="shared" si="445"/>
        <v>2.3046986099112335E-2</v>
      </c>
      <c r="S251" s="24">
        <f t="shared" ca="1" si="479"/>
        <v>5.3543604571291234E-16</v>
      </c>
      <c r="T251" s="10">
        <f t="shared" ca="1" si="446"/>
        <v>5.3543604571291234E-16</v>
      </c>
      <c r="U251" s="41">
        <f t="shared" ca="1" si="447"/>
        <v>0.57486571002371645</v>
      </c>
      <c r="V251" s="41">
        <f t="shared" ca="1" si="448"/>
        <v>4.3918425416319774E-2</v>
      </c>
      <c r="W251" s="41">
        <f t="shared" ca="1" si="449"/>
        <v>13.089397094143099</v>
      </c>
      <c r="X251" s="20">
        <f t="shared" ca="1" si="450"/>
        <v>929.40621231903424</v>
      </c>
      <c r="Y251" s="41">
        <f t="shared" si="451"/>
        <v>0.60408391864909072</v>
      </c>
      <c r="Z251" s="41">
        <f t="shared" ca="1" si="452"/>
        <v>146.08653697428872</v>
      </c>
      <c r="AA251" s="14">
        <f t="shared" ca="1" si="453"/>
        <v>929.40621231903435</v>
      </c>
      <c r="AB251" s="14">
        <f t="shared" si="480"/>
        <v>5234.4042087224379</v>
      </c>
      <c r="AC251" s="25">
        <f t="shared" ca="1" si="454"/>
        <v>277420.26603437139</v>
      </c>
      <c r="AD251" s="41">
        <f t="shared" si="455"/>
        <v>1562427.4820499523</v>
      </c>
      <c r="AE251" s="5">
        <f t="shared" ca="1" si="456"/>
        <v>17.755721095636876</v>
      </c>
      <c r="AF251" s="7">
        <f t="shared" ca="1" si="457"/>
        <v>929.40621231903435</v>
      </c>
      <c r="AG251" s="41"/>
      <c r="AH251" s="41"/>
      <c r="AI251" s="41">
        <f t="shared" ca="1" si="458"/>
        <v>713.48128647806789</v>
      </c>
      <c r="AJ251" s="13">
        <f t="shared" ca="1" si="459"/>
        <v>2.7894436017435254E-15</v>
      </c>
      <c r="AK251" s="11"/>
      <c r="AL251" s="6">
        <v>0</v>
      </c>
      <c r="AM251" s="6">
        <v>135</v>
      </c>
      <c r="AN251" s="41">
        <f t="shared" ca="1" si="460"/>
        <v>26.755548242927546</v>
      </c>
      <c r="AO251" s="41">
        <f t="shared" ca="1" si="461"/>
        <v>6.6319387605682936</v>
      </c>
      <c r="AP251" s="67">
        <f t="shared" si="481"/>
        <v>0.76767432476893471</v>
      </c>
      <c r="AQ251" s="11">
        <f t="shared" si="462"/>
        <v>1.0314301707183759</v>
      </c>
      <c r="AR251" s="11">
        <f t="shared" si="463"/>
        <v>0.8962407041850623</v>
      </c>
      <c r="AS251" s="11">
        <f t="shared" si="464"/>
        <v>0.86893008332386068</v>
      </c>
      <c r="AT251" s="11">
        <f t="shared" si="465"/>
        <v>534.97188664650002</v>
      </c>
      <c r="AU251" s="11">
        <f t="shared" si="466"/>
        <v>1896.6425030105124</v>
      </c>
      <c r="AV251" s="11">
        <f t="shared" si="467"/>
        <v>2.0653599150524844E-3</v>
      </c>
      <c r="AW251" s="11">
        <f t="shared" si="468"/>
        <v>3.8278171249107636E-7</v>
      </c>
      <c r="AX251" s="41">
        <f t="shared" ca="1" si="469"/>
        <v>1.2197659276585935</v>
      </c>
      <c r="AY251" s="41">
        <f t="shared" ca="1" si="470"/>
        <v>1.6430489383162776</v>
      </c>
      <c r="AZ251" s="41">
        <f t="shared" si="471"/>
        <v>0.19374347287471558</v>
      </c>
    </row>
    <row r="252" spans="1:52" ht="14.5">
      <c r="A252" s="41">
        <f t="shared" ca="1" si="472"/>
        <v>2738.4616048486323</v>
      </c>
      <c r="B252" s="41">
        <f t="shared" ca="1" si="482"/>
        <v>45.641026747477206</v>
      </c>
      <c r="C252" s="41">
        <f t="shared" ca="1" si="482"/>
        <v>0.76068377912462004</v>
      </c>
      <c r="D252" s="41">
        <f t="shared" ca="1" si="474"/>
        <v>12138.611426564385</v>
      </c>
      <c r="E252" s="41">
        <f t="shared" ca="1" si="475"/>
        <v>133.28854360802035</v>
      </c>
      <c r="F252" s="41">
        <f t="shared" ca="1" si="476"/>
        <v>132.63877521136584</v>
      </c>
      <c r="G252" s="41"/>
      <c r="H252" s="7">
        <f t="shared" si="477"/>
        <v>3000</v>
      </c>
      <c r="I252" s="6">
        <v>15</v>
      </c>
      <c r="J252" s="41">
        <f t="shared" si="438"/>
        <v>0.2632532415619146</v>
      </c>
      <c r="K252" s="41">
        <f t="shared" si="439"/>
        <v>298.49194287410489</v>
      </c>
      <c r="L252" s="6">
        <f t="shared" si="478"/>
        <v>165</v>
      </c>
      <c r="M252" s="41">
        <f t="shared" si="440"/>
        <v>176.85170028182117</v>
      </c>
      <c r="N252" s="41">
        <f t="shared" si="441"/>
        <v>92.009140514372376</v>
      </c>
      <c r="O252" s="41">
        <f t="shared" si="442"/>
        <v>1610560.9898818883</v>
      </c>
      <c r="P252" s="41">
        <f t="shared" si="443"/>
        <v>10340933.270748764</v>
      </c>
      <c r="Q252" s="41">
        <f t="shared" si="444"/>
        <v>2.9684322926589999E-3</v>
      </c>
      <c r="R252" s="41">
        <f t="shared" si="445"/>
        <v>2.3046986099112335E-2</v>
      </c>
      <c r="S252" s="24">
        <f t="shared" ca="1" si="479"/>
        <v>5.3661623712432237E-16</v>
      </c>
      <c r="T252" s="10">
        <f t="shared" ca="1" si="446"/>
        <v>5.3661623712432237E-16</v>
      </c>
      <c r="U252" s="41">
        <f t="shared" ca="1" si="447"/>
        <v>0.57360139573960189</v>
      </c>
      <c r="V252" s="41">
        <f t="shared" ca="1" si="448"/>
        <v>4.382672037811039E-2</v>
      </c>
      <c r="W252" s="41">
        <f t="shared" ca="1" si="449"/>
        <v>13.087937924419546</v>
      </c>
      <c r="X252" s="20">
        <f t="shared" ca="1" si="450"/>
        <v>927.46554091734311</v>
      </c>
      <c r="Y252" s="41">
        <f t="shared" si="451"/>
        <v>0.60408391864909072</v>
      </c>
      <c r="Z252" s="41">
        <f t="shared" ca="1" si="452"/>
        <v>145.92580294781675</v>
      </c>
      <c r="AA252" s="14">
        <f t="shared" ca="1" si="453"/>
        <v>927.46554091734322</v>
      </c>
      <c r="AB252" s="14">
        <f t="shared" si="480"/>
        <v>5234.4042087224379</v>
      </c>
      <c r="AC252" s="25">
        <f t="shared" ca="1" si="454"/>
        <v>276840.99125720043</v>
      </c>
      <c r="AD252" s="41">
        <f t="shared" si="455"/>
        <v>1562427.4820499523</v>
      </c>
      <c r="AE252" s="5">
        <f t="shared" ca="1" si="456"/>
        <v>17.718645789177788</v>
      </c>
      <c r="AF252" s="7">
        <f t="shared" ca="1" si="457"/>
        <v>927.46554091734322</v>
      </c>
      <c r="AG252" s="41"/>
      <c r="AH252" s="41"/>
      <c r="AI252" s="41">
        <f t="shared" ca="1" si="458"/>
        <v>711.99148287017624</v>
      </c>
      <c r="AJ252" s="13">
        <f t="shared" ca="1" si="459"/>
        <v>2.7955920062219855E-15</v>
      </c>
      <c r="AK252" s="11"/>
      <c r="AL252" s="6">
        <v>0</v>
      </c>
      <c r="AM252" s="6">
        <v>0</v>
      </c>
      <c r="AN252" s="41">
        <f t="shared" ca="1" si="460"/>
        <v>0</v>
      </c>
      <c r="AO252" s="41">
        <f t="shared" ca="1" si="461"/>
        <v>0</v>
      </c>
      <c r="AP252" s="67">
        <f t="shared" si="481"/>
        <v>0.76767432476893471</v>
      </c>
      <c r="AQ252" s="11">
        <f t="shared" si="462"/>
        <v>1.0314301707183759</v>
      </c>
      <c r="AR252" s="11">
        <f t="shared" si="463"/>
        <v>0.8962407041850623</v>
      </c>
      <c r="AS252" s="11">
        <f t="shared" si="464"/>
        <v>0.86893008332386068</v>
      </c>
      <c r="AT252" s="11">
        <f t="shared" si="465"/>
        <v>534.97188664650002</v>
      </c>
      <c r="AU252" s="11">
        <f t="shared" si="466"/>
        <v>1896.6425030105124</v>
      </c>
      <c r="AV252" s="11">
        <f t="shared" si="467"/>
        <v>2.0653599150524844E-3</v>
      </c>
      <c r="AW252" s="11">
        <f t="shared" si="468"/>
        <v>3.8278171249107636E-7</v>
      </c>
      <c r="AX252" s="41">
        <f t="shared" ca="1" si="469"/>
        <v>1.2214557777240043</v>
      </c>
      <c r="AY252" s="41">
        <f t="shared" ca="1" si="470"/>
        <v>1.6453251999275662</v>
      </c>
      <c r="AZ252" s="41">
        <f t="shared" si="471"/>
        <v>0.19374347287471558</v>
      </c>
    </row>
    <row r="253" spans="1:52" ht="14.5">
      <c r="AC253" s="3"/>
      <c r="AD253" s="3"/>
      <c r="AP253" s="53"/>
    </row>
    <row r="254" spans="1:52" ht="14.5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5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</row>
    <row r="255" spans="1:52" thickBot="1">
      <c r="A255" s="26" t="s">
        <v>186</v>
      </c>
      <c r="B255" s="29"/>
      <c r="H255" s="21"/>
      <c r="K255" s="26" t="s">
        <v>127</v>
      </c>
      <c r="L255" s="26"/>
      <c r="S255" s="32"/>
      <c r="AC255" s="38"/>
      <c r="AJ255" s="2"/>
      <c r="AL255" s="21"/>
      <c r="AN255" s="48"/>
      <c r="AP255" s="53"/>
    </row>
    <row r="256" spans="1:52" ht="26.5" thickBot="1">
      <c r="D256" s="39" t="s">
        <v>131</v>
      </c>
      <c r="E256" s="39" t="s">
        <v>132</v>
      </c>
      <c r="F256" s="39" t="s">
        <v>133</v>
      </c>
      <c r="G256" s="39" t="s">
        <v>134</v>
      </c>
      <c r="H256" s="39" t="s">
        <v>135</v>
      </c>
      <c r="I256" s="7" t="s">
        <v>170</v>
      </c>
      <c r="J256" s="21" t="s">
        <v>197</v>
      </c>
      <c r="K256" s="7" t="s">
        <v>138</v>
      </c>
      <c r="N256" s="152" t="s">
        <v>297</v>
      </c>
      <c r="O256" s="152" t="s">
        <v>27</v>
      </c>
      <c r="P256" s="152" t="s">
        <v>298</v>
      </c>
      <c r="Q256" s="152" t="s">
        <v>299</v>
      </c>
      <c r="R256" s="152" t="s">
        <v>300</v>
      </c>
      <c r="S256" s="152" t="s">
        <v>301</v>
      </c>
      <c r="T256" s="152" t="s">
        <v>302</v>
      </c>
      <c r="U256" s="152" t="s">
        <v>303</v>
      </c>
      <c r="V256" s="152" t="s">
        <v>304</v>
      </c>
      <c r="W256" s="152"/>
      <c r="X256" s="158" t="s">
        <v>305</v>
      </c>
      <c r="Y256" s="158" t="s">
        <v>300</v>
      </c>
      <c r="Z256" s="158" t="s">
        <v>305</v>
      </c>
      <c r="AA256" s="158" t="s">
        <v>301</v>
      </c>
      <c r="AB256" s="158" t="s">
        <v>302</v>
      </c>
      <c r="AC256" s="158" t="s">
        <v>303</v>
      </c>
      <c r="AD256" s="158" t="s">
        <v>304</v>
      </c>
      <c r="AF256" s="159" t="s">
        <v>27</v>
      </c>
      <c r="AG256" s="165" t="s">
        <v>307</v>
      </c>
      <c r="AH256" s="160" t="s">
        <v>306</v>
      </c>
      <c r="AR256" s="53"/>
    </row>
    <row r="257" spans="1:44" thickBot="1">
      <c r="A257" s="73" t="s">
        <v>128</v>
      </c>
      <c r="B257" s="46" t="s">
        <v>129</v>
      </c>
      <c r="C257" s="46" t="s">
        <v>130</v>
      </c>
      <c r="D257" s="21">
        <v>0</v>
      </c>
      <c r="E257" s="32">
        <f>D257*1125.33</f>
        <v>0</v>
      </c>
      <c r="F257" s="21">
        <f>AG257*0.95</f>
        <v>5965.9999990499991</v>
      </c>
      <c r="G257" s="32">
        <f t="shared" ref="G257:G283" ca="1" si="483">(F257/$B$10)-$B$258</f>
        <v>0.30286662783243296</v>
      </c>
      <c r="H257" s="32">
        <f t="shared" ref="H257:H283" ca="1" si="484">((($B$260)/(2*($B$10/$B$3)))*(($B$258*$B$18)-$B$261-($B$268*$B$18^2)))</f>
        <v>-2.1845583565217311E-6</v>
      </c>
      <c r="I257" s="21">
        <v>0</v>
      </c>
      <c r="J257" s="21">
        <v>0</v>
      </c>
      <c r="K257" s="32">
        <f ca="1">SQRT(B266^2-(B266-50)^2)</f>
        <v>743.75145327047403</v>
      </c>
      <c r="L257" s="21" t="s">
        <v>9</v>
      </c>
      <c r="N257" s="153">
        <v>0</v>
      </c>
      <c r="O257" s="153">
        <v>0</v>
      </c>
      <c r="P257" s="153">
        <v>70</v>
      </c>
      <c r="Q257" s="153">
        <v>298</v>
      </c>
      <c r="R257" s="153">
        <v>20244.56522</v>
      </c>
      <c r="S257" s="153">
        <v>13994.56522</v>
      </c>
      <c r="T257" s="153">
        <v>9442.9347830000006</v>
      </c>
      <c r="U257" s="153">
        <v>6046.1956520000003</v>
      </c>
      <c r="V257" s="153">
        <v>4687.5</v>
      </c>
      <c r="W257" s="153"/>
      <c r="X257" s="153">
        <v>5116.7248319999999</v>
      </c>
      <c r="Y257" s="153">
        <v>6279.9999989999997</v>
      </c>
      <c r="Z257" s="153">
        <v>5116.7248319999999</v>
      </c>
      <c r="AA257" s="153">
        <v>4341.2080530000003</v>
      </c>
      <c r="AB257" s="153">
        <v>2929.2617449999998</v>
      </c>
      <c r="AC257" s="153">
        <v>1875.5704699999999</v>
      </c>
      <c r="AD257" s="153">
        <v>1454.0939599999999</v>
      </c>
      <c r="AF257" s="161">
        <v>0</v>
      </c>
      <c r="AG257" s="141">
        <f t="shared" ref="AG257:AG262" si="485">$Y$257+(AF257-$O$257)*(($Y$258-$Y$257)/($O$258-$O$257))</f>
        <v>6279.9999989999997</v>
      </c>
      <c r="AH257" s="141">
        <f t="shared" ref="AH257:AH262" si="486">$Z$257+(AF257-$O$257)*(($Z$258-$Z$257)/($O$258-$O$257))</f>
        <v>5116.7248319999999</v>
      </c>
      <c r="AR257" s="53"/>
    </row>
    <row r="258" spans="1:44" thickBot="1">
      <c r="A258" s="73" t="s">
        <v>141</v>
      </c>
      <c r="B258" s="46">
        <v>0.04</v>
      </c>
      <c r="C258" s="46">
        <v>0.3</v>
      </c>
      <c r="D258" s="32">
        <v>0.01</v>
      </c>
      <c r="E258" s="32">
        <f t="shared" ref="E258:E283" si="487">D258*1125.33</f>
        <v>11.253299999999999</v>
      </c>
      <c r="F258" s="21">
        <f t="shared" ref="F258:F277" si="488">AG258*0.95</f>
        <v>5953.9879186099997</v>
      </c>
      <c r="G258" s="32">
        <f t="shared" ca="1" si="483"/>
        <v>0.30217629234561255</v>
      </c>
      <c r="H258" s="32">
        <f t="shared" ca="1" si="484"/>
        <v>-2.1845583565217311E-6</v>
      </c>
      <c r="I258" s="32">
        <f ca="1">(((1)/(2*$B$262*$H$257))*LN(($G$257+($H$257*$E$258^2))/($G$257+($H$257*$E$257^2))))</f>
        <v>6.5016822049246956</v>
      </c>
      <c r="J258" s="32">
        <f t="shared" ref="J258:J283" ca="1" si="489">I258/E258</f>
        <v>0.57775783147385174</v>
      </c>
      <c r="N258" s="153">
        <v>0</v>
      </c>
      <c r="O258" s="153">
        <v>0.05</v>
      </c>
      <c r="P258" s="153">
        <v>73</v>
      </c>
      <c r="Q258" s="153">
        <v>295</v>
      </c>
      <c r="R258" s="153">
        <v>20040.760869999998</v>
      </c>
      <c r="S258" s="153">
        <v>13790.76087</v>
      </c>
      <c r="T258" s="153">
        <v>9307.0652169999994</v>
      </c>
      <c r="U258" s="153">
        <v>5978.2608700000001</v>
      </c>
      <c r="V258" s="153">
        <v>4619.5652170000003</v>
      </c>
      <c r="W258" s="153"/>
      <c r="X258" s="153">
        <v>5053.5033549999998</v>
      </c>
      <c r="Y258" s="153">
        <v>6216.778523</v>
      </c>
      <c r="Z258" s="153">
        <v>5053.5033549999998</v>
      </c>
      <c r="AA258" s="153">
        <v>4277.9865769999997</v>
      </c>
      <c r="AB258" s="153">
        <v>2887.114094</v>
      </c>
      <c r="AC258" s="153">
        <v>1854.4966440000001</v>
      </c>
      <c r="AD258" s="153">
        <v>1433.0201340000001</v>
      </c>
      <c r="AF258" s="161">
        <v>0.01</v>
      </c>
      <c r="AG258" s="141">
        <f t="shared" si="485"/>
        <v>6267.3557037999999</v>
      </c>
      <c r="AH258" s="141">
        <f t="shared" si="486"/>
        <v>5104.0805365999995</v>
      </c>
      <c r="AR258" s="53"/>
    </row>
    <row r="259" spans="1:44" thickBot="1">
      <c r="A259" s="73" t="s">
        <v>145</v>
      </c>
      <c r="B259" s="46">
        <v>0.08</v>
      </c>
      <c r="C259" s="46">
        <v>0.2</v>
      </c>
      <c r="D259" s="21">
        <v>0.02</v>
      </c>
      <c r="E259" s="32">
        <f t="shared" si="487"/>
        <v>22.506599999999999</v>
      </c>
      <c r="F259" s="21">
        <f t="shared" si="488"/>
        <v>5941.9758381699994</v>
      </c>
      <c r="G259" s="32">
        <f t="shared" ca="1" si="483"/>
        <v>0.30148595685879215</v>
      </c>
      <c r="H259" s="32">
        <f t="shared" ca="1" si="484"/>
        <v>-2.1845583565217311E-6</v>
      </c>
      <c r="I259" s="32">
        <f ca="1">(((1)/(2*$B$262*$H$258))*LN(($G$258+($H$258*$E$259^2))/($G$258+($H$258*$E$258^2))))</f>
        <v>19.585516065221089</v>
      </c>
      <c r="J259" s="32">
        <f t="shared" ca="1" si="489"/>
        <v>0.8702121184550794</v>
      </c>
      <c r="K259" s="7" t="s">
        <v>148</v>
      </c>
      <c r="N259" s="153">
        <v>0</v>
      </c>
      <c r="O259" s="153">
        <v>0.1</v>
      </c>
      <c r="P259" s="153">
        <v>76</v>
      </c>
      <c r="Q259" s="153">
        <v>292</v>
      </c>
      <c r="R259" s="153">
        <v>19836.95652</v>
      </c>
      <c r="S259" s="153">
        <v>13586.95652</v>
      </c>
      <c r="T259" s="153">
        <v>9103.2608700000001</v>
      </c>
      <c r="U259" s="153">
        <v>5978.2608700000001</v>
      </c>
      <c r="V259" s="153">
        <v>4619.5652170000003</v>
      </c>
      <c r="W259" s="153"/>
      <c r="X259" s="153">
        <v>4990.2818790000001</v>
      </c>
      <c r="Y259" s="153">
        <v>6153.5570459999999</v>
      </c>
      <c r="Z259" s="153">
        <v>4990.2818790000001</v>
      </c>
      <c r="AA259" s="153">
        <v>4214.7650999999996</v>
      </c>
      <c r="AB259" s="153">
        <v>2823.892617</v>
      </c>
      <c r="AC259" s="153">
        <v>1854.4966440000001</v>
      </c>
      <c r="AD259" s="153">
        <v>1433.0201340000001</v>
      </c>
      <c r="AF259" s="161">
        <v>0.02</v>
      </c>
      <c r="AG259" s="141">
        <f t="shared" si="485"/>
        <v>6254.7114086000001</v>
      </c>
      <c r="AH259" s="141">
        <f t="shared" si="486"/>
        <v>5091.4362412</v>
      </c>
      <c r="AR259" s="53"/>
    </row>
    <row r="260" spans="1:44" thickBot="1">
      <c r="A260" s="74" t="s">
        <v>147</v>
      </c>
      <c r="B260" s="46">
        <f>$AV$292</f>
        <v>2.259289905987135E-3</v>
      </c>
      <c r="D260" s="32">
        <v>0.03</v>
      </c>
      <c r="E260" s="32">
        <f t="shared" si="487"/>
        <v>33.759899999999995</v>
      </c>
      <c r="F260" s="21">
        <f t="shared" si="488"/>
        <v>5929.9637577299991</v>
      </c>
      <c r="G260" s="32">
        <f t="shared" ca="1" si="483"/>
        <v>0.30079562137197174</v>
      </c>
      <c r="H260" s="32">
        <f t="shared" ca="1" si="484"/>
        <v>-2.1845583565217311E-6</v>
      </c>
      <c r="I260" s="32">
        <f ca="1">(((1)/(2*$B$262*$H$259))*LN(($G$259+($H$259*$E$260^2))/($G$259+($H$259*$E$259^2))))</f>
        <v>32.838287754131997</v>
      </c>
      <c r="J260" s="32">
        <f t="shared" ca="1" si="489"/>
        <v>0.97270097820585966</v>
      </c>
      <c r="K260" s="32">
        <f ca="1">(50-K263)/TAN(RADIANS(B267))</f>
        <v>-328.48243345454205</v>
      </c>
      <c r="N260" s="153">
        <v>0</v>
      </c>
      <c r="O260" s="153">
        <v>0.15</v>
      </c>
      <c r="P260" s="153">
        <v>79</v>
      </c>
      <c r="Q260" s="153">
        <v>289</v>
      </c>
      <c r="R260" s="153">
        <v>19633.152170000001</v>
      </c>
      <c r="S260" s="153">
        <v>13451.086960000001</v>
      </c>
      <c r="T260" s="153">
        <v>9035.3260869999995</v>
      </c>
      <c r="U260" s="153">
        <v>5978.2608700000001</v>
      </c>
      <c r="V260" s="153">
        <v>4619.5652170000003</v>
      </c>
      <c r="W260" s="153"/>
      <c r="X260" s="153">
        <v>4939.7046970000001</v>
      </c>
      <c r="Y260" s="153">
        <v>6090.3355700000002</v>
      </c>
      <c r="Z260" s="153">
        <v>4939.7046970000001</v>
      </c>
      <c r="AA260" s="153">
        <v>4172.6174490000003</v>
      </c>
      <c r="AB260" s="153">
        <v>2802.818792</v>
      </c>
      <c r="AC260" s="153">
        <v>1854.4966440000001</v>
      </c>
      <c r="AD260" s="153">
        <v>1433.0201340000001</v>
      </c>
      <c r="AF260" s="161">
        <v>0.03</v>
      </c>
      <c r="AG260" s="141">
        <f t="shared" si="485"/>
        <v>6242.0671133999995</v>
      </c>
      <c r="AH260" s="141">
        <f t="shared" si="486"/>
        <v>5078.7919457999997</v>
      </c>
      <c r="AR260" s="53"/>
    </row>
    <row r="261" spans="1:44" thickBot="1">
      <c r="A261" s="74" t="s">
        <v>150</v>
      </c>
      <c r="B261" s="46">
        <f>$R$292</f>
        <v>2.351857911765097E-2</v>
      </c>
      <c r="D261" s="21">
        <v>0.04</v>
      </c>
      <c r="E261" s="32">
        <f t="shared" si="487"/>
        <v>45.013199999999998</v>
      </c>
      <c r="F261" s="21">
        <f t="shared" si="488"/>
        <v>5917.9516772899997</v>
      </c>
      <c r="G261" s="32">
        <f t="shared" ca="1" si="483"/>
        <v>0.30010528588515134</v>
      </c>
      <c r="H261" s="32">
        <f t="shared" ca="1" si="484"/>
        <v>-2.1845583565217311E-6</v>
      </c>
      <c r="I261" s="32">
        <f ca="1">(((1)/(2*$B$262*$H$260))*LN(($G$260+($H$260*$E$261^2))/($G$260+($H$260*$E$260^2))))</f>
        <v>46.337067756294203</v>
      </c>
      <c r="J261" s="32">
        <f t="shared" ca="1" si="489"/>
        <v>1.0294106563473426</v>
      </c>
      <c r="N261" s="153">
        <v>0</v>
      </c>
      <c r="O261" s="153">
        <v>0.2</v>
      </c>
      <c r="P261" s="153">
        <v>81</v>
      </c>
      <c r="Q261" s="153">
        <v>287</v>
      </c>
      <c r="R261" s="153">
        <v>19497.282609999998</v>
      </c>
      <c r="S261" s="153">
        <v>13383.152169999999</v>
      </c>
      <c r="T261" s="153">
        <v>9035.3260869999995</v>
      </c>
      <c r="U261" s="153">
        <v>5978.2608700000001</v>
      </c>
      <c r="V261" s="153">
        <v>4619.5652170000003</v>
      </c>
      <c r="W261" s="153"/>
      <c r="X261" s="153">
        <v>4910.2013420000003</v>
      </c>
      <c r="Y261" s="153">
        <v>6048.187919</v>
      </c>
      <c r="Z261" s="153">
        <v>4910.2013420000003</v>
      </c>
      <c r="AA261" s="153">
        <v>4151.5436239999999</v>
      </c>
      <c r="AB261" s="153">
        <v>2802.818792</v>
      </c>
      <c r="AC261" s="153">
        <v>1854.4966440000001</v>
      </c>
      <c r="AD261" s="153">
        <v>1433.0201340000001</v>
      </c>
      <c r="AF261" s="161">
        <v>0.04</v>
      </c>
      <c r="AG261" s="141">
        <f t="shared" si="485"/>
        <v>6229.4228181999997</v>
      </c>
      <c r="AH261" s="141">
        <f t="shared" si="486"/>
        <v>5066.1476504000002</v>
      </c>
      <c r="AR261" s="53"/>
    </row>
    <row r="262" spans="1:44" thickBot="1">
      <c r="A262" s="74" t="s">
        <v>152</v>
      </c>
      <c r="B262" s="47">
        <v>32.17</v>
      </c>
      <c r="D262" s="32">
        <v>0.05</v>
      </c>
      <c r="E262" s="32">
        <f t="shared" si="487"/>
        <v>56.266500000000001</v>
      </c>
      <c r="F262" s="21">
        <f t="shared" si="488"/>
        <v>5905.9395968499994</v>
      </c>
      <c r="G262" s="32">
        <f t="shared" ca="1" si="483"/>
        <v>0.29941495039833094</v>
      </c>
      <c r="H262" s="32">
        <f t="shared" ca="1" si="484"/>
        <v>-2.1845583565217311E-6</v>
      </c>
      <c r="I262" s="32">
        <f ca="1">(((1)/(2*$B$262*$H$261))*LN(($G$261+($H$261*$E$262^2))/($G$261+($H$261*$E$261^2))))</f>
        <v>60.16387411126874</v>
      </c>
      <c r="J262" s="32">
        <f t="shared" ca="1" si="489"/>
        <v>1.0692663327427285</v>
      </c>
      <c r="K262" s="136" t="s">
        <v>139</v>
      </c>
      <c r="N262" s="153">
        <v>0</v>
      </c>
      <c r="O262" s="153">
        <v>0.25</v>
      </c>
      <c r="P262" s="153">
        <v>82</v>
      </c>
      <c r="Q262" s="153">
        <v>286</v>
      </c>
      <c r="R262" s="153">
        <v>19429.347829999999</v>
      </c>
      <c r="S262" s="153">
        <v>13349.18478</v>
      </c>
      <c r="T262" s="153">
        <v>8967.3913040000007</v>
      </c>
      <c r="U262" s="153">
        <v>5910.3260870000004</v>
      </c>
      <c r="V262" s="153">
        <v>4619.5652170000003</v>
      </c>
      <c r="W262" s="153"/>
      <c r="X262" s="153">
        <v>4895.4496639999998</v>
      </c>
      <c r="Y262" s="153">
        <v>6027.1140930000001</v>
      </c>
      <c r="Z262" s="153">
        <v>4895.4496639999998</v>
      </c>
      <c r="AA262" s="153">
        <v>4141.006711</v>
      </c>
      <c r="AB262" s="153">
        <v>2781.7449660000002</v>
      </c>
      <c r="AC262" s="153">
        <v>1833.4228189999999</v>
      </c>
      <c r="AD262" s="153">
        <v>1433.0201340000001</v>
      </c>
      <c r="AF262" s="161">
        <v>0.05</v>
      </c>
      <c r="AG262" s="141">
        <f t="shared" si="485"/>
        <v>6216.778523</v>
      </c>
      <c r="AH262" s="141">
        <f t="shared" si="486"/>
        <v>5053.5033549999998</v>
      </c>
      <c r="AR262" s="53"/>
    </row>
    <row r="263" spans="1:44" thickBot="1">
      <c r="A263" s="133" t="s">
        <v>154</v>
      </c>
      <c r="B263" s="32">
        <f ca="1">$E$1</f>
        <v>180.85993596848581</v>
      </c>
      <c r="C263" s="21" t="s">
        <v>9</v>
      </c>
      <c r="D263" s="21">
        <v>0.06</v>
      </c>
      <c r="E263" s="32">
        <f t="shared" si="487"/>
        <v>67.519799999999989</v>
      </c>
      <c r="F263" s="21">
        <f t="shared" si="488"/>
        <v>5893.9275162199992</v>
      </c>
      <c r="G263" s="32">
        <f t="shared" ca="1" si="483"/>
        <v>0.29872461490059121</v>
      </c>
      <c r="H263" s="32">
        <f t="shared" ca="1" si="484"/>
        <v>-2.1845583565217311E-6</v>
      </c>
      <c r="I263" s="32">
        <f ca="1">(((1)/(2*$B$262*$H$262))*LN(($G$262+($H$262*$E$263^2))/($G$262+($H$262*$E$262^2))))</f>
        <v>74.407432983697589</v>
      </c>
      <c r="J263" s="32">
        <f t="shared" ca="1" si="489"/>
        <v>1.1020090845011035</v>
      </c>
      <c r="K263" s="32">
        <f ca="1">B266*(1-COS(RADIANS(B267)))</f>
        <v>119.13818939884648</v>
      </c>
      <c r="L263" s="21" t="s">
        <v>9</v>
      </c>
      <c r="N263" s="153">
        <v>0</v>
      </c>
      <c r="O263" s="153">
        <v>0.3</v>
      </c>
      <c r="P263" s="153">
        <v>82</v>
      </c>
      <c r="Q263" s="153">
        <v>286</v>
      </c>
      <c r="R263" s="153">
        <v>19429.347829999999</v>
      </c>
      <c r="S263" s="153">
        <v>13349.18478</v>
      </c>
      <c r="T263" s="153">
        <v>8967.3913040000007</v>
      </c>
      <c r="U263" s="153">
        <v>5910.3260870000004</v>
      </c>
      <c r="V263" s="153">
        <v>4619.5652170000003</v>
      </c>
      <c r="W263" s="153"/>
      <c r="X263" s="153">
        <v>4895.4496639999998</v>
      </c>
      <c r="Y263" s="153">
        <v>6027.1140930000001</v>
      </c>
      <c r="Z263" s="153">
        <v>4895.4496639999998</v>
      </c>
      <c r="AA263" s="153">
        <v>4141.006711</v>
      </c>
      <c r="AB263" s="153">
        <v>2781.7449660000002</v>
      </c>
      <c r="AC263" s="153">
        <v>1833.4228189999999</v>
      </c>
      <c r="AD263" s="153">
        <v>1433.0201340000001</v>
      </c>
      <c r="AF263" s="161">
        <v>0.06</v>
      </c>
      <c r="AG263" s="141">
        <f>$Y$258+(AF263-$O$258)*(($Y$259-$Y$258)/($O$259-$O$258))</f>
        <v>6204.1342275999996</v>
      </c>
      <c r="AH263" s="141">
        <f>$Z$258+(AF263-$O$258)*(($Z$259-$Z$258)/($O$259-$O$258))</f>
        <v>5040.8590598000001</v>
      </c>
      <c r="AR263" s="53"/>
    </row>
    <row r="264" spans="1:44" thickBot="1">
      <c r="A264" s="70" t="s">
        <v>155</v>
      </c>
      <c r="B264" s="32">
        <f>0.9*B18</f>
        <v>2.16</v>
      </c>
      <c r="D264" s="32">
        <v>7.0000000000000007E-2</v>
      </c>
      <c r="E264" s="32">
        <f t="shared" si="487"/>
        <v>78.773099999999999</v>
      </c>
      <c r="F264" s="21">
        <f t="shared" si="488"/>
        <v>5881.91543559</v>
      </c>
      <c r="G264" s="32">
        <f t="shared" ca="1" si="483"/>
        <v>0.29803427940285149</v>
      </c>
      <c r="H264" s="32">
        <f t="shared" ca="1" si="484"/>
        <v>-2.1845583565217311E-6</v>
      </c>
      <c r="I264" s="32">
        <f ca="1">(((1)/(2*$B$262*$H$263))*LN(($G$263+($H$263*$E$264^2))/($G$263+($H$263*$E$263^2))))</f>
        <v>89.165230209948533</v>
      </c>
      <c r="J264" s="32">
        <f t="shared" ca="1" si="489"/>
        <v>1.1319248602625582</v>
      </c>
      <c r="N264" s="153">
        <v>0</v>
      </c>
      <c r="O264" s="153">
        <v>0.35</v>
      </c>
      <c r="P264" s="153">
        <v>81</v>
      </c>
      <c r="Q264" s="153">
        <v>287</v>
      </c>
      <c r="R264" s="153">
        <v>19497.282609999998</v>
      </c>
      <c r="S264" s="153">
        <v>13383.152169999999</v>
      </c>
      <c r="T264" s="153">
        <v>9035.3260869999995</v>
      </c>
      <c r="U264" s="153">
        <v>5978.2608700000001</v>
      </c>
      <c r="V264" s="153">
        <v>4619.5652170000003</v>
      </c>
      <c r="W264" s="153"/>
      <c r="X264" s="153">
        <v>4910.2013420000003</v>
      </c>
      <c r="Y264" s="153">
        <v>6048.187919</v>
      </c>
      <c r="Z264" s="153">
        <v>4910.2013420000003</v>
      </c>
      <c r="AA264" s="153">
        <v>4151.5436239999999</v>
      </c>
      <c r="AB264" s="153">
        <v>2802.818792</v>
      </c>
      <c r="AC264" s="153">
        <v>1854.4966440000001</v>
      </c>
      <c r="AD264" s="153">
        <v>1433.0201340000001</v>
      </c>
      <c r="AF264" s="161">
        <v>7.0000000000000007E-2</v>
      </c>
      <c r="AG264" s="141">
        <f>$Y$258+(AF264-$O$258)*(($Y$259-$Y$258)/($O$259-$O$258))</f>
        <v>6191.4899322000001</v>
      </c>
      <c r="AH264" s="141">
        <f>$Z$258+(AF264-$O$258)*(($Z$259-$Z$258)/($O$259-$O$258))</f>
        <v>5028.2147646000003</v>
      </c>
      <c r="AR264" s="53"/>
    </row>
    <row r="265" spans="1:44" thickBot="1">
      <c r="A265" s="70" t="s">
        <v>156</v>
      </c>
      <c r="B265" s="32">
        <v>1.2</v>
      </c>
      <c r="D265" s="21">
        <v>0.08</v>
      </c>
      <c r="E265" s="32">
        <f t="shared" si="487"/>
        <v>90.026399999999995</v>
      </c>
      <c r="F265" s="21">
        <f t="shared" si="488"/>
        <v>5869.9033549599999</v>
      </c>
      <c r="G265" s="32">
        <f t="shared" ca="1" si="483"/>
        <v>0.29734394390511176</v>
      </c>
      <c r="H265" s="32">
        <f t="shared" ca="1" si="484"/>
        <v>-2.1845583565217311E-6</v>
      </c>
      <c r="I265" s="32">
        <f ca="1">(((1)/(2*$B$262*$H$264))*LN(($G$264+($H$264*$E$265^2))/($G$264+($H$264*$E$264^2))))</f>
        <v>104.54595927136725</v>
      </c>
      <c r="J265" s="32">
        <f t="shared" ca="1" si="489"/>
        <v>1.1612811272178745</v>
      </c>
      <c r="N265" s="153">
        <v>0</v>
      </c>
      <c r="O265" s="153">
        <v>0.4</v>
      </c>
      <c r="P265" s="153">
        <v>78</v>
      </c>
      <c r="Q265" s="153">
        <v>290</v>
      </c>
      <c r="R265" s="153">
        <v>19701.086960000001</v>
      </c>
      <c r="S265" s="153">
        <v>13519.02174</v>
      </c>
      <c r="T265" s="153">
        <v>9171.1956520000003</v>
      </c>
      <c r="U265" s="153">
        <v>5978.2608700000001</v>
      </c>
      <c r="V265" s="153">
        <v>4619.5652170000003</v>
      </c>
      <c r="W265" s="153"/>
      <c r="X265" s="153">
        <v>4960.778523</v>
      </c>
      <c r="Y265" s="153">
        <v>6111.4093949999997</v>
      </c>
      <c r="Z265" s="153">
        <v>4960.778523</v>
      </c>
      <c r="AA265" s="153">
        <v>4193.6912750000001</v>
      </c>
      <c r="AB265" s="153">
        <v>2844.9664429999998</v>
      </c>
      <c r="AC265" s="153">
        <v>1854.4966440000001</v>
      </c>
      <c r="AD265" s="153">
        <v>1433.0201340000001</v>
      </c>
      <c r="AF265" s="161">
        <v>0.08</v>
      </c>
      <c r="AG265" s="141">
        <f>$Y$258+(AF265-$O$258)*(($Y$259-$Y$258)/($O$259-$O$258))</f>
        <v>6178.8456367999997</v>
      </c>
      <c r="AH265" s="141">
        <f>$Z$258+(AF265-$O$258)*(($Z$259-$Z$258)/($O$259-$O$258))</f>
        <v>5015.5704693999996</v>
      </c>
      <c r="AR265" s="53"/>
    </row>
    <row r="266" spans="1:44" thickBot="1">
      <c r="A266" s="70" t="s">
        <v>157</v>
      </c>
      <c r="B266" s="32">
        <f ca="1">((H1)^2)/((B262)*((B265-1)))</f>
        <v>5556.6622424194084</v>
      </c>
      <c r="C266" s="21" t="s">
        <v>9</v>
      </c>
      <c r="D266" s="32">
        <v>0.09</v>
      </c>
      <c r="E266" s="32">
        <f t="shared" si="487"/>
        <v>101.27969999999999</v>
      </c>
      <c r="F266" s="21">
        <f t="shared" si="488"/>
        <v>5857.8912743299998</v>
      </c>
      <c r="G266" s="32">
        <f t="shared" ca="1" si="483"/>
        <v>0.29665360840737204</v>
      </c>
      <c r="H266" s="32">
        <f t="shared" ca="1" si="484"/>
        <v>-2.1845583565217311E-6</v>
      </c>
      <c r="I266" s="32">
        <f ca="1">(((1)/(2*$B$262*$H$265))*LN(($G$265+($H$265*$E$266^2))/($G$265+($H$265*$E$265^2))))</f>
        <v>120.6725030585889</v>
      </c>
      <c r="J266" s="32">
        <f t="shared" ca="1" si="489"/>
        <v>1.1914776905795428</v>
      </c>
      <c r="N266" s="153">
        <v>0</v>
      </c>
      <c r="O266" s="153">
        <v>0.45</v>
      </c>
      <c r="P266" s="153">
        <v>74</v>
      </c>
      <c r="Q266" s="153">
        <v>294</v>
      </c>
      <c r="R266" s="153">
        <v>19972.826089999999</v>
      </c>
      <c r="S266" s="153">
        <v>13790.76087</v>
      </c>
      <c r="T266" s="153">
        <v>9307.0652169999994</v>
      </c>
      <c r="U266" s="153">
        <v>5978.2608700000001</v>
      </c>
      <c r="V266" s="153">
        <v>4687.5</v>
      </c>
      <c r="W266" s="153"/>
      <c r="X266" s="153">
        <v>5045.0738250000004</v>
      </c>
      <c r="Y266" s="153">
        <v>6195.7046970000001</v>
      </c>
      <c r="Z266" s="153">
        <v>5045.0738250000004</v>
      </c>
      <c r="AA266" s="153">
        <v>4277.9865769999997</v>
      </c>
      <c r="AB266" s="153">
        <v>2887.114094</v>
      </c>
      <c r="AC266" s="153">
        <v>1854.4966440000001</v>
      </c>
      <c r="AD266" s="153">
        <v>1454.0939599999999</v>
      </c>
      <c r="AF266" s="161">
        <v>0.09</v>
      </c>
      <c r="AG266" s="141">
        <f>$Y$258+(AF266-$O$258)*(($Y$259-$Y$258)/($O$259-$O$258))</f>
        <v>6166.2013414000003</v>
      </c>
      <c r="AH266" s="141">
        <f>$Z$258+(AF266-$O$258)*(($Z$259-$Z$258)/($O$259-$O$258))</f>
        <v>5002.9261741999999</v>
      </c>
      <c r="AR266" s="53"/>
    </row>
    <row r="267" spans="1:44" thickBot="1">
      <c r="A267" s="70" t="s">
        <v>158</v>
      </c>
      <c r="B267" s="32">
        <f ca="1">$T$23</f>
        <v>11.885984456175924</v>
      </c>
      <c r="C267" s="154">
        <f ca="1">DEGREES(ASIN((AF292/D292)-(1/W292)))</f>
        <v>13.253729281804272</v>
      </c>
      <c r="D267" s="21">
        <v>0.1</v>
      </c>
      <c r="E267" s="32">
        <f t="shared" si="487"/>
        <v>112.533</v>
      </c>
      <c r="F267" s="21">
        <f t="shared" si="488"/>
        <v>5845.8791936999996</v>
      </c>
      <c r="G267" s="32">
        <f t="shared" ca="1" si="483"/>
        <v>0.29596327290963231</v>
      </c>
      <c r="H267" s="32">
        <f t="shared" ca="1" si="484"/>
        <v>-2.1845583565217311E-6</v>
      </c>
      <c r="I267" s="32">
        <f ca="1">(((1)/(2*$B$262*$H$266))*LN(($G$266+($H$266*$E$267^2))/($G$266+($H$266*$E$266^2))))</f>
        <v>137.68563234909649</v>
      </c>
      <c r="J267" s="32">
        <f t="shared" ca="1" si="489"/>
        <v>1.2235133902863737</v>
      </c>
      <c r="N267" s="153">
        <v>0</v>
      </c>
      <c r="O267" s="153">
        <v>0.5</v>
      </c>
      <c r="P267" s="153">
        <v>70</v>
      </c>
      <c r="Q267" s="153">
        <v>298</v>
      </c>
      <c r="R267" s="153">
        <v>20244.56522</v>
      </c>
      <c r="S267" s="153">
        <v>14062.5</v>
      </c>
      <c r="T267" s="153">
        <v>9510.8695650000009</v>
      </c>
      <c r="U267" s="153">
        <v>6046.1956520000003</v>
      </c>
      <c r="V267" s="153">
        <v>4755.4347829999997</v>
      </c>
      <c r="W267" s="153"/>
      <c r="X267" s="153">
        <v>5129.3691269999999</v>
      </c>
      <c r="Y267" s="153">
        <v>6279.9999989999997</v>
      </c>
      <c r="Z267" s="153">
        <v>5129.3691269999999</v>
      </c>
      <c r="AA267" s="153">
        <v>4362.2818790000001</v>
      </c>
      <c r="AB267" s="153">
        <v>2950.3355700000002</v>
      </c>
      <c r="AC267" s="153">
        <v>1875.5704699999999</v>
      </c>
      <c r="AD267" s="153">
        <v>1475.1677850000001</v>
      </c>
      <c r="AF267" s="161">
        <v>0.1</v>
      </c>
      <c r="AG267" s="141">
        <f>$Y$258+(AF267-$O$258)*(($Y$259-$Y$258)/($O$259-$O$258))</f>
        <v>6153.5570459999999</v>
      </c>
      <c r="AH267" s="141">
        <f>$Z$258+(AF267-$O$258)*(($Z$259-$Z$258)/($O$259-$O$258))</f>
        <v>4990.2818790000001</v>
      </c>
      <c r="AR267" s="53"/>
    </row>
    <row r="268" spans="1:44" thickBot="1">
      <c r="A268" s="70" t="s">
        <v>159</v>
      </c>
      <c r="B268" s="32">
        <f>($B$8*((33*($B$269/$B$270)^1.5)))/(1+33*($B$269/$B$270)^1.5)</f>
        <v>3.7983327420844509E-2</v>
      </c>
      <c r="D268" s="32">
        <v>0.11</v>
      </c>
      <c r="E268" s="32">
        <f t="shared" si="487"/>
        <v>123.7863</v>
      </c>
      <c r="F268" s="21">
        <f t="shared" si="488"/>
        <v>5833.8671132600002</v>
      </c>
      <c r="G268" s="32">
        <f t="shared" ca="1" si="483"/>
        <v>0.29527293742281197</v>
      </c>
      <c r="H268" s="32">
        <f t="shared" ca="1" si="484"/>
        <v>-2.1845583565217311E-6</v>
      </c>
      <c r="I268" s="32">
        <f ca="1">(((1)/(2*$B$262*$H$267))*LN(($G$267+($H$267*$E$268^2))/($G$267+($H$267*$E$267^2))))</f>
        <v>155.74866954089595</v>
      </c>
      <c r="J268" s="32">
        <f t="shared" ca="1" si="489"/>
        <v>1.2582060336313141</v>
      </c>
      <c r="L268" s="154">
        <f ca="1">SUM(I257:I268)</f>
        <v>847.65185530543545</v>
      </c>
      <c r="N268" s="153">
        <v>0</v>
      </c>
      <c r="O268" s="153">
        <v>0.55000000000000004</v>
      </c>
      <c r="P268" s="153">
        <v>67</v>
      </c>
      <c r="Q268" s="153">
        <v>301</v>
      </c>
      <c r="R268" s="153">
        <v>20448.369569999999</v>
      </c>
      <c r="S268" s="153">
        <v>14402.17391</v>
      </c>
      <c r="T268" s="153">
        <v>9714.6739130000005</v>
      </c>
      <c r="U268" s="153">
        <v>6250</v>
      </c>
      <c r="V268" s="153">
        <v>4891.3043479999997</v>
      </c>
      <c r="W268" s="153"/>
      <c r="X268" s="153">
        <v>5217.8791940000001</v>
      </c>
      <c r="Y268" s="153">
        <v>6343.2214759999997</v>
      </c>
      <c r="Z268" s="153">
        <v>5217.8791940000001</v>
      </c>
      <c r="AA268" s="153">
        <v>4467.6510060000001</v>
      </c>
      <c r="AB268" s="153">
        <v>3013.5570469999998</v>
      </c>
      <c r="AC268" s="153">
        <v>1938.7919460000001</v>
      </c>
      <c r="AD268" s="153">
        <v>1517.3154360000001</v>
      </c>
      <c r="AF268" s="161">
        <v>0.11</v>
      </c>
      <c r="AG268" s="141">
        <f>$Y$259+(AF268-$O$259)*(($Y$260-$Y$259)/($O$260-$O$259))</f>
        <v>6140.9127508000001</v>
      </c>
      <c r="AH268" s="141">
        <f>$Z$259+(AF268-$O$259)*(($Z$260-$Z$259)/($O$260-$O$259))</f>
        <v>4980.1664425999998</v>
      </c>
      <c r="AR268" s="53"/>
    </row>
    <row r="269" spans="1:44" thickBot="1">
      <c r="A269" s="134" t="s">
        <v>210</v>
      </c>
      <c r="B269" s="135">
        <v>4.75</v>
      </c>
      <c r="C269" s="21" t="s">
        <v>9</v>
      </c>
      <c r="D269" s="21">
        <v>0.12</v>
      </c>
      <c r="E269" s="32">
        <f t="shared" si="487"/>
        <v>135.03959999999998</v>
      </c>
      <c r="F269" s="21">
        <f t="shared" si="488"/>
        <v>5821.8550328199999</v>
      </c>
      <c r="G269" s="32">
        <f t="shared" ca="1" si="483"/>
        <v>0.29458260193599151</v>
      </c>
      <c r="H269" s="32">
        <f t="shared" ca="1" si="484"/>
        <v>-2.1845583565217311E-6</v>
      </c>
      <c r="I269" s="32">
        <f ca="1">(((1)/(2*$B$262*$H$268))*LN(($G$268+($H$268*$E$269^2))/($G$268+($H$268*$E$268^2))))</f>
        <v>175.05346135672531</v>
      </c>
      <c r="J269" s="32">
        <f t="shared" ca="1" si="489"/>
        <v>1.296312054810036</v>
      </c>
      <c r="N269" s="153">
        <v>0</v>
      </c>
      <c r="O269" s="153">
        <v>0.6</v>
      </c>
      <c r="P269" s="153">
        <v>68</v>
      </c>
      <c r="Q269" s="153">
        <v>300</v>
      </c>
      <c r="R269" s="153">
        <v>20380.43478</v>
      </c>
      <c r="S269" s="153">
        <v>14809.78261</v>
      </c>
      <c r="T269" s="153">
        <v>9918.4782610000002</v>
      </c>
      <c r="U269" s="153">
        <v>6453.8043479999997</v>
      </c>
      <c r="V269" s="153">
        <v>5027.1739129999996</v>
      </c>
      <c r="W269" s="153"/>
      <c r="X269" s="153">
        <v>5285.3154359999999</v>
      </c>
      <c r="Y269" s="153">
        <v>6322.1476499999999</v>
      </c>
      <c r="Z269" s="153">
        <v>5285.3154359999999</v>
      </c>
      <c r="AA269" s="153">
        <v>4594.0939589999998</v>
      </c>
      <c r="AB269" s="153">
        <v>3076.778523</v>
      </c>
      <c r="AC269" s="153">
        <v>2002.0134230000001</v>
      </c>
      <c r="AD269" s="153">
        <v>1559.4630870000001</v>
      </c>
      <c r="AF269" s="161">
        <v>0.12</v>
      </c>
      <c r="AG269" s="141">
        <f>$Y$259+(AF269-$O$259)*(($Y$260-$Y$259)/($O$260-$O$259))</f>
        <v>6128.2684556000004</v>
      </c>
      <c r="AH269" s="141">
        <f>$Z$259+(AF269-$O$259)*(($Z$260-$Z$259)/($O$260-$O$259))</f>
        <v>4970.0510062000003</v>
      </c>
      <c r="AR269" s="53"/>
    </row>
    <row r="270" spans="1:44" thickBot="1">
      <c r="A270" s="134" t="s">
        <v>211</v>
      </c>
      <c r="B270" s="135">
        <v>37.148000000000003</v>
      </c>
      <c r="C270" s="21" t="s">
        <v>9</v>
      </c>
      <c r="D270" s="32">
        <v>0.13</v>
      </c>
      <c r="E270" s="32">
        <f t="shared" si="487"/>
        <v>146.2929</v>
      </c>
      <c r="F270" s="21">
        <f t="shared" si="488"/>
        <v>5809.8429523799996</v>
      </c>
      <c r="G270" s="32">
        <f t="shared" ca="1" si="483"/>
        <v>0.2938922664491711</v>
      </c>
      <c r="H270" s="32">
        <f t="shared" ca="1" si="484"/>
        <v>-2.1845583565217311E-6</v>
      </c>
      <c r="I270" s="32">
        <f ca="1">(((1)/(2*$B$262*$H$269))*LN(($G$269+($H$269*$E$270^2))/($G$269+($H$269*$E$269^2))))</f>
        <v>195.82814425214494</v>
      </c>
      <c r="J270" s="32">
        <f t="shared" ca="1" si="489"/>
        <v>1.3386032011953071</v>
      </c>
      <c r="N270" s="153">
        <v>0</v>
      </c>
      <c r="O270" s="153">
        <v>0.65</v>
      </c>
      <c r="P270" s="153">
        <v>70</v>
      </c>
      <c r="Q270" s="153">
        <v>298</v>
      </c>
      <c r="R270" s="153">
        <v>20244.56522</v>
      </c>
      <c r="S270" s="153">
        <v>15285.32609</v>
      </c>
      <c r="T270" s="153">
        <v>10258.152169999999</v>
      </c>
      <c r="U270" s="153">
        <v>6657.6086960000002</v>
      </c>
      <c r="V270" s="153">
        <v>5163.0434779999996</v>
      </c>
      <c r="W270" s="153"/>
      <c r="X270" s="153">
        <v>5356.9664419999999</v>
      </c>
      <c r="Y270" s="153">
        <v>6279.9999989999997</v>
      </c>
      <c r="Z270" s="153">
        <v>5356.9664419999999</v>
      </c>
      <c r="AA270" s="153">
        <v>4741.6107380000003</v>
      </c>
      <c r="AB270" s="153">
        <v>3182.1476510000002</v>
      </c>
      <c r="AC270" s="153">
        <v>2065.234899</v>
      </c>
      <c r="AD270" s="153">
        <v>1601.6107380000001</v>
      </c>
      <c r="AF270" s="161">
        <v>0.13</v>
      </c>
      <c r="AG270" s="141">
        <f>$Y$259+(AF270-$O$259)*(($Y$260-$Y$259)/($O$260-$O$259))</f>
        <v>6115.6241603999997</v>
      </c>
      <c r="AH270" s="141">
        <f>$Z$259+(AF270-$O$259)*(($Z$260-$Z$259)/($O$260-$O$259))</f>
        <v>4959.9355697999999</v>
      </c>
      <c r="AR270" s="53"/>
    </row>
    <row r="271" spans="1:44" thickBot="1">
      <c r="D271" s="21">
        <v>0.14000000000000001</v>
      </c>
      <c r="E271" s="32">
        <f t="shared" si="487"/>
        <v>157.5462</v>
      </c>
      <c r="F271" s="21">
        <f t="shared" si="488"/>
        <v>5797.8308719399993</v>
      </c>
      <c r="G271" s="32">
        <f t="shared" ca="1" si="483"/>
        <v>0.29320193096235064</v>
      </c>
      <c r="H271" s="32">
        <f t="shared" ca="1" si="484"/>
        <v>-2.1845583565217311E-6</v>
      </c>
      <c r="I271" s="32">
        <f ca="1">(((1)/(2*$B$262*$H$270))*LN(($G$270+($H$270*$E$271^2))/($G$270+($H$270*$E$270^2))))</f>
        <v>218.34739521498253</v>
      </c>
      <c r="J271" s="32">
        <f t="shared" ca="1" si="489"/>
        <v>1.3859261297002563</v>
      </c>
      <c r="N271" s="153">
        <v>0</v>
      </c>
      <c r="O271" s="153">
        <v>0.7</v>
      </c>
      <c r="P271" s="153">
        <v>71</v>
      </c>
      <c r="Q271" s="153">
        <v>297</v>
      </c>
      <c r="R271" s="153">
        <v>20176.630430000001</v>
      </c>
      <c r="S271" s="153">
        <v>15760.869570000001</v>
      </c>
      <c r="T271" s="153">
        <v>10597.82609</v>
      </c>
      <c r="U271" s="153">
        <v>6929.3478260000002</v>
      </c>
      <c r="V271" s="153">
        <v>5366.8478260000002</v>
      </c>
      <c r="W271" s="153"/>
      <c r="X271" s="153">
        <v>5437.0469789999997</v>
      </c>
      <c r="Y271" s="153">
        <v>6258.9261740000002</v>
      </c>
      <c r="Z271" s="153">
        <v>5437.0469789999997</v>
      </c>
      <c r="AA271" s="153">
        <v>4889.1275159999996</v>
      </c>
      <c r="AB271" s="153">
        <v>3287.5167780000002</v>
      </c>
      <c r="AC271" s="153">
        <v>2149.530201</v>
      </c>
      <c r="AD271" s="153">
        <v>1664.8322149999999</v>
      </c>
      <c r="AF271" s="161">
        <v>0.14000000000000001</v>
      </c>
      <c r="AG271" s="141">
        <f>$Y$259+(AF271-$O$259)*(($Y$260-$Y$259)/($O$260-$O$259))</f>
        <v>6102.9798651999999</v>
      </c>
      <c r="AH271" s="141">
        <f>$Z$259+(AF271-$O$259)*(($Z$260-$Z$259)/($O$260-$O$259))</f>
        <v>4949.8201334000005</v>
      </c>
      <c r="AR271" s="53"/>
    </row>
    <row r="272" spans="1:44" thickBot="1">
      <c r="D272" s="32">
        <v>0.15</v>
      </c>
      <c r="E272" s="32">
        <f t="shared" si="487"/>
        <v>168.79949999999999</v>
      </c>
      <c r="F272" s="21">
        <f t="shared" si="488"/>
        <v>5785.8187914999999</v>
      </c>
      <c r="G272" s="32">
        <f t="shared" ca="1" si="483"/>
        <v>0.29251159547553029</v>
      </c>
      <c r="H272" s="32">
        <f t="shared" ca="1" si="484"/>
        <v>-2.1845583565217311E-6</v>
      </c>
      <c r="I272" s="32">
        <f ca="1">(((1)/(2*$B$262*$H$271))*LN(($G$271+($H$271*$E$272^2))/($G$271+($H$271*$E$271^2))))</f>
        <v>242.94617864488373</v>
      </c>
      <c r="J272" s="32">
        <f t="shared" ca="1" si="489"/>
        <v>1.4392588760327119</v>
      </c>
      <c r="N272" s="153">
        <v>0</v>
      </c>
      <c r="O272" s="153">
        <v>0.75</v>
      </c>
      <c r="P272" s="153">
        <v>71</v>
      </c>
      <c r="Q272" s="153">
        <v>297</v>
      </c>
      <c r="R272" s="153">
        <v>20176.630430000001</v>
      </c>
      <c r="S272" s="153">
        <v>16372.28261</v>
      </c>
      <c r="T272" s="153">
        <v>10937.5</v>
      </c>
      <c r="U272" s="153">
        <v>7201.0869570000004</v>
      </c>
      <c r="V272" s="153">
        <v>5502.7173910000001</v>
      </c>
      <c r="W272" s="153"/>
      <c r="X272" s="153">
        <v>5550.8456370000004</v>
      </c>
      <c r="Y272" s="153">
        <v>6258.9261740000002</v>
      </c>
      <c r="Z272" s="153">
        <v>5550.8456370000004</v>
      </c>
      <c r="AA272" s="153">
        <v>5078.7919460000003</v>
      </c>
      <c r="AB272" s="153">
        <v>3392.885906</v>
      </c>
      <c r="AC272" s="153">
        <v>2233.825503</v>
      </c>
      <c r="AD272" s="153">
        <v>1706.9798659999999</v>
      </c>
      <c r="AF272" s="161">
        <v>0.15</v>
      </c>
      <c r="AG272" s="141">
        <f>$Y$259+(AF272-$O$259)*(($Y$260-$Y$259)/($O$260-$O$259))</f>
        <v>6090.3355700000002</v>
      </c>
      <c r="AH272" s="141">
        <f>$Z$259+(AF272-$O$259)*(($Z$260-$Z$259)/($O$260-$O$259))</f>
        <v>4939.7046970000001</v>
      </c>
      <c r="AR272" s="53"/>
    </row>
    <row r="273" spans="3:44" thickBot="1">
      <c r="D273" s="21">
        <v>0.16</v>
      </c>
      <c r="E273" s="32">
        <f t="shared" si="487"/>
        <v>180.05279999999999</v>
      </c>
      <c r="F273" s="21">
        <f t="shared" si="488"/>
        <v>5777.8107378100003</v>
      </c>
      <c r="G273" s="32">
        <f t="shared" ca="1" si="483"/>
        <v>0.29205137181401025</v>
      </c>
      <c r="H273" s="32">
        <f t="shared" ca="1" si="484"/>
        <v>-2.1845583565217311E-6</v>
      </c>
      <c r="I273" s="32">
        <f ca="1">(((1)/(2*$B$262*$H$272))*LN(($G$272+($H$272*$E$273^2))/($G$272+($H$272*$E$272^2))))</f>
        <v>270.0384931186793</v>
      </c>
      <c r="J273" s="32">
        <f t="shared" ca="1" si="489"/>
        <v>1.4997739169770163</v>
      </c>
      <c r="N273" s="153">
        <v>0</v>
      </c>
      <c r="O273" s="153">
        <v>0.8</v>
      </c>
      <c r="P273" s="153">
        <v>71</v>
      </c>
      <c r="Q273" s="153">
        <v>297</v>
      </c>
      <c r="R273" s="153">
        <v>20176.630430000001</v>
      </c>
      <c r="S273" s="153">
        <v>17119.56522</v>
      </c>
      <c r="T273" s="153">
        <v>11480.97826</v>
      </c>
      <c r="U273" s="153">
        <v>7472.8260870000004</v>
      </c>
      <c r="V273" s="153">
        <v>5706.5217389999998</v>
      </c>
      <c r="W273" s="153"/>
      <c r="X273" s="153">
        <v>5689.9328850000002</v>
      </c>
      <c r="Y273" s="153">
        <v>6258.9261740000002</v>
      </c>
      <c r="Z273" s="153">
        <v>5689.9328850000002</v>
      </c>
      <c r="AA273" s="153">
        <v>5310.604026</v>
      </c>
      <c r="AB273" s="153">
        <v>3561.47651</v>
      </c>
      <c r="AC273" s="153">
        <v>2318.120805</v>
      </c>
      <c r="AD273" s="153">
        <v>1770.2013420000001</v>
      </c>
      <c r="AF273" s="161">
        <v>0.16</v>
      </c>
      <c r="AG273" s="141">
        <f>$Y$260+(AF273-$O$260)*(($Y$261-$Y$260)/($O$261-$O$260))</f>
        <v>6081.9060398000001</v>
      </c>
      <c r="AH273" s="141">
        <f>$Z$260+(AF273-$O$260)*(($Z$261-$Z$260)/($O$261-$O$260))</f>
        <v>4933.8040259999998</v>
      </c>
      <c r="AR273" s="53"/>
    </row>
    <row r="274" spans="3:44" thickBot="1">
      <c r="D274" s="32">
        <v>0.17</v>
      </c>
      <c r="E274" s="32">
        <f t="shared" si="487"/>
        <v>191.30610000000001</v>
      </c>
      <c r="F274" s="21">
        <f t="shared" si="488"/>
        <v>5769.8026841199999</v>
      </c>
      <c r="G274" s="32">
        <f t="shared" ca="1" si="483"/>
        <v>0.29159114815249021</v>
      </c>
      <c r="H274" s="32">
        <f t="shared" ca="1" si="484"/>
        <v>-2.1845583565217311E-6</v>
      </c>
      <c r="I274" s="32">
        <f ca="1">(((1)/(2*$B$262*$H$273))*LN(($G$273+($H$273*$E$274^2))/($G$273+($H$273*$E$273^2))))</f>
        <v>299.82453986194832</v>
      </c>
      <c r="J274" s="32">
        <f t="shared" ca="1" si="489"/>
        <v>1.567250285599614</v>
      </c>
      <c r="N274" s="153">
        <v>0</v>
      </c>
      <c r="O274" s="153">
        <v>0.85</v>
      </c>
      <c r="P274" s="153">
        <v>71</v>
      </c>
      <c r="Q274" s="153">
        <v>297</v>
      </c>
      <c r="R274" s="153">
        <v>20176.630430000001</v>
      </c>
      <c r="S274" s="153">
        <v>17187.5</v>
      </c>
      <c r="T274" s="153">
        <v>11956.52174</v>
      </c>
      <c r="U274" s="153">
        <v>7812.5</v>
      </c>
      <c r="V274" s="153">
        <v>5978.2608700000001</v>
      </c>
      <c r="W274" s="153"/>
      <c r="X274" s="153">
        <v>5702.5771800000002</v>
      </c>
      <c r="Y274" s="153">
        <v>6258.9261740000002</v>
      </c>
      <c r="Z274" s="153">
        <v>5702.5771800000002</v>
      </c>
      <c r="AA274" s="153">
        <v>5331.6778519999998</v>
      </c>
      <c r="AB274" s="153">
        <v>3708.9932880000001</v>
      </c>
      <c r="AC274" s="153">
        <v>2423.4899329999998</v>
      </c>
      <c r="AD274" s="153">
        <v>1854.4966440000001</v>
      </c>
      <c r="AF274" s="161">
        <v>0.17</v>
      </c>
      <c r="AG274" s="141">
        <f>$Y$260+(AF274-$O$260)*(($Y$261-$Y$260)/($O$261-$O$260))</f>
        <v>6073.4765096000001</v>
      </c>
      <c r="AH274" s="141">
        <f>$Z$260+(AF274-$O$260)*(($Z$261-$Z$260)/($O$261-$O$260))</f>
        <v>4927.9033550000004</v>
      </c>
      <c r="AR274" s="53"/>
    </row>
    <row r="275" spans="3:44" thickBot="1">
      <c r="D275" s="21">
        <v>0.18</v>
      </c>
      <c r="E275" s="32">
        <f t="shared" si="487"/>
        <v>202.55939999999998</v>
      </c>
      <c r="F275" s="21">
        <f t="shared" si="488"/>
        <v>5761.7946304299994</v>
      </c>
      <c r="G275" s="32">
        <f t="shared" ca="1" si="483"/>
        <v>0.29113092449097011</v>
      </c>
      <c r="H275" s="32">
        <f t="shared" ca="1" si="484"/>
        <v>-2.1845583565217311E-6</v>
      </c>
      <c r="I275" s="32">
        <f ca="1">(((1)/(2*$B$262*$H$274))*LN(($G$274+($H$274*$E$275^2))/($G$274+($H$274*$E$274^2))))</f>
        <v>333.17852557652935</v>
      </c>
      <c r="J275" s="32">
        <f t="shared" ca="1" si="489"/>
        <v>1.6448435647841047</v>
      </c>
      <c r="N275" s="153">
        <v>0</v>
      </c>
      <c r="O275" s="153">
        <v>0.9</v>
      </c>
      <c r="P275" s="153">
        <v>71</v>
      </c>
      <c r="Q275" s="153">
        <v>297</v>
      </c>
      <c r="R275" s="153">
        <v>20176.630430000001</v>
      </c>
      <c r="S275" s="153">
        <v>17255.43478</v>
      </c>
      <c r="T275" s="153">
        <v>12567.93478</v>
      </c>
      <c r="U275" s="153">
        <v>8152.1739129999996</v>
      </c>
      <c r="V275" s="153">
        <v>6250</v>
      </c>
      <c r="W275" s="153"/>
      <c r="X275" s="153">
        <v>5715.2214759999997</v>
      </c>
      <c r="Y275" s="153">
        <v>6258.9261740000002</v>
      </c>
      <c r="Z275" s="153">
        <v>5715.2214759999997</v>
      </c>
      <c r="AA275" s="153">
        <v>5352.7516770000002</v>
      </c>
      <c r="AB275" s="153">
        <v>3898.6577179999999</v>
      </c>
      <c r="AC275" s="153">
        <v>2528.8590600000002</v>
      </c>
      <c r="AD275" s="153">
        <v>1938.7919460000001</v>
      </c>
      <c r="AF275" s="161">
        <v>0.18</v>
      </c>
      <c r="AG275" s="141">
        <f>$Y$260+(AF275-$O$260)*(($Y$261-$Y$260)/($O$261-$O$260))</f>
        <v>6065.0469794000001</v>
      </c>
      <c r="AH275" s="141">
        <f>$Z$260+(AF275-$O$260)*(($Z$261-$Z$260)/($O$261-$O$260))</f>
        <v>4922.002684</v>
      </c>
      <c r="AR275" s="53"/>
    </row>
    <row r="276" spans="3:44" thickBot="1">
      <c r="D276" s="32">
        <v>0.19</v>
      </c>
      <c r="E276" s="32">
        <f t="shared" si="487"/>
        <v>213.81269999999998</v>
      </c>
      <c r="F276" s="21">
        <f t="shared" si="488"/>
        <v>5753.7865767399999</v>
      </c>
      <c r="G276" s="32">
        <f t="shared" ca="1" si="483"/>
        <v>0.29067070082945012</v>
      </c>
      <c r="H276" s="32">
        <f t="shared" ca="1" si="484"/>
        <v>-2.1845583565217311E-6</v>
      </c>
      <c r="I276" s="32">
        <f ca="1">(((1)/(2*$B$262*$H$275))*LN(($G$275+($H$275*$E$276^2))/($G$275+($H$275*$E$275^2))))</f>
        <v>370.92134888886909</v>
      </c>
      <c r="J276" s="32">
        <f t="shared" ca="1" si="489"/>
        <v>1.7347956828049462</v>
      </c>
      <c r="N276" s="153">
        <v>0</v>
      </c>
      <c r="O276" s="153">
        <v>0.95</v>
      </c>
      <c r="P276" s="153">
        <v>70</v>
      </c>
      <c r="Q276" s="153">
        <v>298</v>
      </c>
      <c r="R276" s="153">
        <v>20244.56522</v>
      </c>
      <c r="S276" s="153">
        <v>17255.43478</v>
      </c>
      <c r="T276" s="153">
        <v>13179.347830000001</v>
      </c>
      <c r="U276" s="153">
        <v>8559.7826089999999</v>
      </c>
      <c r="V276" s="153">
        <v>6589.6739129999996</v>
      </c>
      <c r="W276" s="153"/>
      <c r="X276" s="153">
        <v>5723.6510060000001</v>
      </c>
      <c r="Y276" s="153">
        <v>6279.9999989999997</v>
      </c>
      <c r="Z276" s="153">
        <v>5723.6510060000001</v>
      </c>
      <c r="AA276" s="153">
        <v>5352.7516770000002</v>
      </c>
      <c r="AB276" s="153">
        <v>4088.3221469999999</v>
      </c>
      <c r="AC276" s="153">
        <v>2655.302013</v>
      </c>
      <c r="AD276" s="153">
        <v>2044.1610740000001</v>
      </c>
      <c r="AF276" s="161">
        <v>0.19</v>
      </c>
      <c r="AG276" s="141">
        <f>$Y$260+(AF276-$O$260)*(($Y$261-$Y$260)/($O$261-$O$260))</f>
        <v>6056.6174492</v>
      </c>
      <c r="AH276" s="141">
        <f>$Z$260+(AF276-$O$260)*(($Z$261-$Z$260)/($O$261-$O$260))</f>
        <v>4916.1020130000006</v>
      </c>
      <c r="AR276" s="53"/>
    </row>
    <row r="277" spans="3:44" thickBot="1">
      <c r="D277" s="162">
        <v>0.2</v>
      </c>
      <c r="E277" s="163">
        <f t="shared" si="487"/>
        <v>225.066</v>
      </c>
      <c r="F277" s="21">
        <f t="shared" si="488"/>
        <v>5745.7785230499994</v>
      </c>
      <c r="G277" s="163">
        <f t="shared" ca="1" si="483"/>
        <v>0.29021047716793003</v>
      </c>
      <c r="H277" s="163">
        <f t="shared" ca="1" si="484"/>
        <v>-2.1845583565217311E-6</v>
      </c>
      <c r="I277" s="163">
        <f ca="1">(((1)/(2*$B$262*$H$276))*LN(($G$276+($H$276*$E$277^2))/($G$276+($H$276*$E$276^2))))</f>
        <v>414.1326919162596</v>
      </c>
      <c r="J277" s="163">
        <f t="shared" ca="1" si="489"/>
        <v>1.8400499938518462</v>
      </c>
      <c r="N277" s="153">
        <v>0</v>
      </c>
      <c r="O277" s="153">
        <v>1</v>
      </c>
      <c r="P277" s="153">
        <v>68</v>
      </c>
      <c r="Q277" s="153">
        <v>300</v>
      </c>
      <c r="R277" s="153">
        <v>20380.43478</v>
      </c>
      <c r="S277" s="153">
        <v>17323.369569999999</v>
      </c>
      <c r="T277" s="153">
        <v>13926.630429999999</v>
      </c>
      <c r="U277" s="153">
        <v>9103.2608700000001</v>
      </c>
      <c r="V277" s="153">
        <v>6929.3478260000002</v>
      </c>
      <c r="W277" s="153"/>
      <c r="X277" s="153">
        <v>5753.1543620000002</v>
      </c>
      <c r="Y277" s="153">
        <v>6322.1476499999999</v>
      </c>
      <c r="Z277" s="153">
        <v>5753.1543620000002</v>
      </c>
      <c r="AA277" s="153">
        <v>5373.825503</v>
      </c>
      <c r="AB277" s="153">
        <v>4320.1342279999999</v>
      </c>
      <c r="AC277" s="153">
        <v>2823.892617</v>
      </c>
      <c r="AD277" s="153">
        <v>2149.530201</v>
      </c>
      <c r="AF277" s="161">
        <v>0.2</v>
      </c>
      <c r="AG277" s="141">
        <f>$Y$260+(AF277-$O$260)*(($Y$261-$Y$260)/($O$261-$O$260))</f>
        <v>6048.187919</v>
      </c>
      <c r="AH277" s="141">
        <f>$Z$260+(AF277-$O$260)*(($Z$261-$Z$260)/($O$261-$O$260))</f>
        <v>4910.2013420000003</v>
      </c>
      <c r="AR277" s="53"/>
    </row>
    <row r="278" spans="3:44" ht="14.5">
      <c r="D278" s="32">
        <v>0.21</v>
      </c>
      <c r="E278" s="32">
        <f t="shared" si="487"/>
        <v>236.31929999999997</v>
      </c>
      <c r="F278" s="21">
        <f t="shared" ref="F278:F283" si="490">AG278</f>
        <v>0</v>
      </c>
      <c r="G278" s="32">
        <f t="shared" ca="1" si="483"/>
        <v>-0.04</v>
      </c>
      <c r="H278" s="32">
        <f t="shared" ca="1" si="484"/>
        <v>-2.1845583565217311E-6</v>
      </c>
      <c r="I278" s="32">
        <f ca="1">(((1)/(2*$B$262*$H$277))*LN(($G$277+($H$277*$E$278^2))/($G$277+($H$277*$E$277^2))))</f>
        <v>464.26325383995277</v>
      </c>
      <c r="J278" s="32">
        <f t="shared" ca="1" si="489"/>
        <v>1.9645591952919326</v>
      </c>
      <c r="AP278" s="53"/>
    </row>
    <row r="279" spans="3:44" ht="14.5">
      <c r="D279" s="21">
        <v>0.22</v>
      </c>
      <c r="E279" s="32">
        <f t="shared" si="487"/>
        <v>247.57259999999999</v>
      </c>
      <c r="F279" s="21">
        <f t="shared" si="490"/>
        <v>0</v>
      </c>
      <c r="G279" s="77">
        <f t="shared" ca="1" si="483"/>
        <v>-0.04</v>
      </c>
      <c r="H279" s="77">
        <f t="shared" ca="1" si="484"/>
        <v>-2.1845583565217311E-6</v>
      </c>
      <c r="I279" s="77">
        <f ca="1">(((1)/(2*$B$262*$H$278))*LN(($G$278+($H$278*$E$279^2))/($G$278+($H$278*$E$278^2))))</f>
        <v>-504.14183917395735</v>
      </c>
      <c r="J279" s="77">
        <f t="shared" ca="1" si="489"/>
        <v>-2.0363393977118522</v>
      </c>
      <c r="AN279" s="53"/>
    </row>
    <row r="280" spans="3:44" ht="14.5">
      <c r="D280" s="32">
        <v>0.23</v>
      </c>
      <c r="E280" s="32">
        <f t="shared" si="487"/>
        <v>258.82589999999999</v>
      </c>
      <c r="F280" s="21">
        <f t="shared" si="490"/>
        <v>0</v>
      </c>
      <c r="G280" s="2">
        <f t="shared" ca="1" si="483"/>
        <v>-0.04</v>
      </c>
      <c r="H280" s="2">
        <f t="shared" ca="1" si="484"/>
        <v>-2.1845583565217311E-6</v>
      </c>
      <c r="I280" s="2">
        <f ca="1">(((1)/(2*$B$262*$H$279))*LN(($G$279+($H$279*$E$280^2))/($G$279+($H$279*$E$279^2))))</f>
        <v>-491.92640162936107</v>
      </c>
      <c r="J280" s="2">
        <f t="shared" ca="1" si="489"/>
        <v>-1.9006073257327072</v>
      </c>
      <c r="Q280" s="32"/>
      <c r="AN280" s="53"/>
    </row>
    <row r="281" spans="3:44" ht="14.5">
      <c r="D281" s="21">
        <v>0.24</v>
      </c>
      <c r="E281" s="32">
        <f t="shared" si="487"/>
        <v>270.07919999999996</v>
      </c>
      <c r="F281" s="21">
        <f t="shared" si="490"/>
        <v>0</v>
      </c>
      <c r="G281" s="2">
        <f t="shared" ca="1" si="483"/>
        <v>-0.04</v>
      </c>
      <c r="H281" s="2">
        <f t="shared" ca="1" si="484"/>
        <v>-2.1845583565217311E-6</v>
      </c>
      <c r="I281" s="2">
        <f ca="1">(((1)/(2*$B$262*$H$280))*LN(($G$280+($H$280*$E$281^2))/($G$280+($H$280*$E$280^2))))</f>
        <v>-479.87624864211091</v>
      </c>
      <c r="J281" s="2">
        <f t="shared" ca="1" si="489"/>
        <v>-1.776798245263282</v>
      </c>
      <c r="L281" s="21"/>
      <c r="Q281" s="32"/>
      <c r="AA281" s="38"/>
      <c r="AH281" s="2"/>
      <c r="AJ281" s="21"/>
      <c r="AN281" s="53"/>
    </row>
    <row r="282" spans="3:44" ht="14.5">
      <c r="D282" s="32">
        <v>0.25</v>
      </c>
      <c r="E282" s="32">
        <f t="shared" si="487"/>
        <v>281.33249999999998</v>
      </c>
      <c r="F282" s="21">
        <f t="shared" si="490"/>
        <v>0</v>
      </c>
      <c r="G282" s="2">
        <f t="shared" ca="1" si="483"/>
        <v>-0.04</v>
      </c>
      <c r="H282" s="2">
        <f t="shared" ca="1" si="484"/>
        <v>-2.1845583565217311E-6</v>
      </c>
      <c r="I282" s="2">
        <f ca="1">(((1)/(2*$B$262*$H$281))*LN(($G$281+($H$281*$E$282^2))/($G$281+($H$281*$E$281^2))))</f>
        <v>-468.05788582433644</v>
      </c>
      <c r="J282" s="2">
        <f t="shared" ca="1" si="489"/>
        <v>-1.6637177923785431</v>
      </c>
      <c r="L282" s="21"/>
      <c r="Q282" s="32"/>
      <c r="AA282" s="38"/>
      <c r="AH282" s="2"/>
      <c r="AJ282" s="21"/>
      <c r="AN282" s="53"/>
    </row>
    <row r="283" spans="3:44" ht="14.5">
      <c r="C283" s="21" t="s">
        <v>212</v>
      </c>
      <c r="D283" s="21">
        <v>0.26</v>
      </c>
      <c r="E283" s="32">
        <f t="shared" si="487"/>
        <v>292.58580000000001</v>
      </c>
      <c r="F283" s="21">
        <f t="shared" si="490"/>
        <v>0</v>
      </c>
      <c r="G283" s="68">
        <f t="shared" ca="1" si="483"/>
        <v>-0.04</v>
      </c>
      <c r="H283" s="68">
        <f t="shared" ca="1" si="484"/>
        <v>-2.1845583565217311E-6</v>
      </c>
      <c r="I283" s="68">
        <f ca="1">(((1)/(2*$B$262*$H$282))*LN(($G$282+($H$282*$E$283^2))/($G$282+($H$282*$E$282^2))))</f>
        <v>-456.51858333272935</v>
      </c>
      <c r="J283" s="68">
        <f t="shared" ca="1" si="489"/>
        <v>-1.5602896084934037</v>
      </c>
      <c r="L283" s="21"/>
      <c r="S283" s="32"/>
      <c r="AA283" s="38"/>
      <c r="AH283" s="2"/>
      <c r="AJ283" s="21"/>
      <c r="AN283" s="53"/>
    </row>
    <row r="284" spans="3:44" ht="14.5">
      <c r="H284" s="21"/>
      <c r="L284" s="21"/>
      <c r="S284" s="32"/>
      <c r="AC284" s="38"/>
      <c r="AJ284" s="2"/>
      <c r="AL284" s="21"/>
      <c r="AP284" s="53"/>
    </row>
    <row r="285" spans="3:44" ht="14.5">
      <c r="H285" s="34" t="s">
        <v>160</v>
      </c>
      <c r="I285" s="32">
        <f ca="1">SUM(I257:I273)</f>
        <v>1949.8655278928511</v>
      </c>
      <c r="J285" s="21" t="s">
        <v>9</v>
      </c>
      <c r="K285" s="21" t="s">
        <v>161</v>
      </c>
      <c r="L285" s="32">
        <f ca="1">SUM(J257:J282)</f>
        <v>19.921670243665016</v>
      </c>
      <c r="M285" s="21" t="s">
        <v>18</v>
      </c>
      <c r="S285" s="32"/>
      <c r="AC285" s="38"/>
      <c r="AJ285" s="2"/>
      <c r="AL285" s="21"/>
      <c r="AP285" s="53"/>
    </row>
    <row r="286" spans="3:44" ht="14.5">
      <c r="H286" s="7" t="s">
        <v>154</v>
      </c>
      <c r="I286" s="32">
        <f ca="1">B263</f>
        <v>180.85993596848581</v>
      </c>
      <c r="K286" s="21" t="s">
        <v>162</v>
      </c>
      <c r="L286" s="21">
        <v>1</v>
      </c>
      <c r="M286" s="21" t="s">
        <v>18</v>
      </c>
      <c r="S286" s="32"/>
      <c r="AC286" s="38"/>
      <c r="AJ286" s="2"/>
      <c r="AL286" s="21"/>
      <c r="AP286" s="53"/>
    </row>
    <row r="287" spans="3:44" ht="14.5">
      <c r="H287" s="7" t="s">
        <v>138</v>
      </c>
      <c r="I287" s="32">
        <f ca="1">K257</f>
        <v>743.75145327047403</v>
      </c>
      <c r="K287" s="21" t="s">
        <v>163</v>
      </c>
      <c r="L287" s="21">
        <f ca="1">(K257/H1)</f>
        <v>3.9335103695216587</v>
      </c>
      <c r="M287" s="21" t="s">
        <v>18</v>
      </c>
      <c r="S287" s="32"/>
      <c r="AC287" s="38"/>
      <c r="AJ287" s="2"/>
      <c r="AL287" s="21"/>
      <c r="AP287" s="53"/>
    </row>
    <row r="288" spans="3:44" ht="14.5">
      <c r="H288" s="7" t="s">
        <v>148</v>
      </c>
      <c r="I288" s="68">
        <f ca="1">K260</f>
        <v>-328.48243345454205</v>
      </c>
      <c r="K288" s="21" t="s">
        <v>164</v>
      </c>
      <c r="L288" s="49">
        <f ca="1">I288/K1</f>
        <v>-1.6648734044990339</v>
      </c>
      <c r="M288" s="21" t="s">
        <v>18</v>
      </c>
      <c r="S288" s="32"/>
      <c r="AC288" s="38"/>
      <c r="AJ288" s="2"/>
      <c r="AL288" s="21"/>
      <c r="AP288" s="53"/>
    </row>
    <row r="289" spans="1:56" ht="14.5">
      <c r="B289" s="154" t="s">
        <v>222</v>
      </c>
      <c r="C289" s="154">
        <f ca="1">1.1*Z292</f>
        <v>180.29724026455625</v>
      </c>
      <c r="H289" s="6" t="s">
        <v>165</v>
      </c>
      <c r="I289" s="5">
        <f ca="1">SUM(I285:I287)</f>
        <v>2874.4769171318108</v>
      </c>
      <c r="J289" s="6" t="s">
        <v>9</v>
      </c>
      <c r="K289" s="51" t="s">
        <v>166</v>
      </c>
      <c r="L289" s="51">
        <f ca="1">SUM(L285:L288)</f>
        <v>23.190307208687642</v>
      </c>
      <c r="M289" s="51" t="s">
        <v>18</v>
      </c>
      <c r="N289" s="148"/>
      <c r="O289" s="148"/>
      <c r="P289" s="148"/>
      <c r="Q289" s="148"/>
      <c r="R289" s="148"/>
      <c r="S289" s="145"/>
      <c r="T289" s="148"/>
      <c r="U289" s="148"/>
      <c r="V289" s="148"/>
      <c r="AC289" s="38"/>
      <c r="AJ289" s="2"/>
      <c r="AL289" s="21"/>
      <c r="AP289" s="53"/>
    </row>
    <row r="290" spans="1:56" s="148" customFormat="1" thickBot="1">
      <c r="H290" s="135"/>
      <c r="I290" s="145"/>
      <c r="J290" s="135"/>
      <c r="K290" s="157"/>
      <c r="L290" s="157"/>
      <c r="M290" s="157"/>
      <c r="S290" s="145"/>
      <c r="AC290" s="146"/>
      <c r="AJ290" s="147"/>
      <c r="AL290" s="135"/>
      <c r="AP290" s="145"/>
    </row>
    <row r="291" spans="1:56" s="155" customFormat="1" ht="26.5" thickBot="1">
      <c r="A291" s="41" t="s">
        <v>2</v>
      </c>
      <c r="B291" s="41" t="s">
        <v>2</v>
      </c>
      <c r="C291" s="41" t="s">
        <v>2</v>
      </c>
      <c r="D291" s="41" t="s">
        <v>23</v>
      </c>
      <c r="E291" s="41" t="s">
        <v>24</v>
      </c>
      <c r="F291" s="41" t="s">
        <v>25</v>
      </c>
      <c r="G291" s="41"/>
      <c r="H291" s="41" t="s">
        <v>0</v>
      </c>
      <c r="I291" s="5" t="s">
        <v>26</v>
      </c>
      <c r="J291" s="41" t="s">
        <v>27</v>
      </c>
      <c r="K291" s="41" t="s">
        <v>28</v>
      </c>
      <c r="L291" s="12" t="s">
        <v>29</v>
      </c>
      <c r="M291" s="13" t="s">
        <v>30</v>
      </c>
      <c r="N291" s="41" t="s">
        <v>31</v>
      </c>
      <c r="O291" s="41" t="s">
        <v>32</v>
      </c>
      <c r="P291" s="41" t="s">
        <v>33</v>
      </c>
      <c r="Q291" s="41" t="s">
        <v>34</v>
      </c>
      <c r="R291" s="41" t="s">
        <v>13</v>
      </c>
      <c r="S291" s="24" t="s">
        <v>35</v>
      </c>
      <c r="T291" s="10" t="s">
        <v>35</v>
      </c>
      <c r="U291" s="41" t="s">
        <v>36</v>
      </c>
      <c r="V291" s="41" t="s">
        <v>37</v>
      </c>
      <c r="W291" s="41" t="s">
        <v>38</v>
      </c>
      <c r="X291" s="41" t="s">
        <v>39</v>
      </c>
      <c r="Y291" s="41" t="s">
        <v>40</v>
      </c>
      <c r="Z291" s="35" t="s">
        <v>108</v>
      </c>
      <c r="AA291" s="35" t="s">
        <v>109</v>
      </c>
      <c r="AB291" s="9" t="s">
        <v>110</v>
      </c>
      <c r="AC291" s="7" t="s">
        <v>111</v>
      </c>
      <c r="AD291" s="7" t="s">
        <v>112</v>
      </c>
      <c r="AE291" s="5" t="s">
        <v>41</v>
      </c>
      <c r="AF291" s="7" t="s">
        <v>113</v>
      </c>
      <c r="AG291" s="7" t="s">
        <v>114</v>
      </c>
      <c r="AH291" s="7" t="s">
        <v>115</v>
      </c>
      <c r="AI291" s="41" t="s">
        <v>42</v>
      </c>
      <c r="AJ291" s="41" t="s">
        <v>43</v>
      </c>
      <c r="AK291" s="36" t="s">
        <v>116</v>
      </c>
      <c r="AL291" s="5" t="s">
        <v>44</v>
      </c>
      <c r="AM291" s="41" t="s">
        <v>45</v>
      </c>
      <c r="AN291" s="41" t="s">
        <v>46</v>
      </c>
      <c r="AO291" s="41" t="s">
        <v>47</v>
      </c>
      <c r="AP291" s="67" t="s">
        <v>85</v>
      </c>
      <c r="AQ291" s="15" t="s">
        <v>62</v>
      </c>
      <c r="AR291" s="16" t="s">
        <v>63</v>
      </c>
      <c r="AS291" s="16" t="s">
        <v>64</v>
      </c>
      <c r="AT291" s="17" t="s">
        <v>65</v>
      </c>
      <c r="AU291" s="18" t="s">
        <v>66</v>
      </c>
      <c r="AV291" s="18" t="s">
        <v>67</v>
      </c>
      <c r="AW291" s="19" t="s">
        <v>68</v>
      </c>
      <c r="AX291" s="7" t="s">
        <v>207</v>
      </c>
      <c r="AY291" s="7" t="s">
        <v>208</v>
      </c>
      <c r="AZ291" s="7" t="s">
        <v>209</v>
      </c>
      <c r="BA291" s="152" t="s">
        <v>293</v>
      </c>
      <c r="BB291" s="152" t="s">
        <v>294</v>
      </c>
      <c r="BC291" s="152" t="s">
        <v>295</v>
      </c>
      <c r="BD291" s="152" t="s">
        <v>296</v>
      </c>
    </row>
    <row r="292" spans="1:56" s="155" customFormat="1" ht="14.5">
      <c r="A292" s="41">
        <f ca="1">H292/(K292*SIN(RADIANS(T292)))</f>
        <v>0</v>
      </c>
      <c r="B292" s="41">
        <v>0</v>
      </c>
      <c r="C292" s="41">
        <v>0</v>
      </c>
      <c r="D292" s="41">
        <f ca="1">$B$12</f>
        <v>17226.348438746474</v>
      </c>
      <c r="E292" s="7">
        <v>0</v>
      </c>
      <c r="F292" s="7">
        <v>0</v>
      </c>
      <c r="G292" s="41"/>
      <c r="H292" s="65">
        <v>0</v>
      </c>
      <c r="I292" s="6">
        <v>15</v>
      </c>
      <c r="J292" s="41">
        <f t="shared" ref="J292" si="491">SQRT((((((((L292^2)*(0.2))/(661.477)^2) + 1)^(3.5) - 1)*(1/AR292) + 1)^(1/3.5) - 1)*(5))</f>
        <v>0.15873567788449167</v>
      </c>
      <c r="K292" s="41">
        <f t="shared" ref="K292" si="492">SQRT((1.4*2116.22*AR292*(J292)^2)/AV292)</f>
        <v>181.77451522286458</v>
      </c>
      <c r="L292" s="120">
        <v>105</v>
      </c>
      <c r="M292" s="41">
        <f t="shared" ref="M292" si="493">K292*0.592484</f>
        <v>107.6984918773037</v>
      </c>
      <c r="N292" s="41">
        <f>0.5*AV292*K292^2</f>
        <v>37.325699600401549</v>
      </c>
      <c r="O292" s="41">
        <f t="shared" ref="O292" si="494">P292/$B$7</f>
        <v>1056676.1694953949</v>
      </c>
      <c r="P292" s="41">
        <f>(AV292*K292*$B$7)/(AW292)</f>
        <v>6784603.5177740334</v>
      </c>
      <c r="Q292" s="41">
        <f>0.455/(LOG10(P292)^2.58 * (1+0.144*J292*J292)^0.65)</f>
        <v>3.191049279792382E-3</v>
      </c>
      <c r="R292" s="41">
        <f>(((Q292*$B$4)+$B$17)+(0.05*(Q292*$B$4)))</f>
        <v>2.351857911765097E-2</v>
      </c>
      <c r="S292" s="24">
        <f ca="1">T292</f>
        <v>13.472996568721891</v>
      </c>
      <c r="T292" s="10">
        <f ca="1">DEGREES(ASIN(((AF292-X292)/(D292))))</f>
        <v>13.472996568721891</v>
      </c>
      <c r="U292" s="41">
        <f ca="1">(D292*COS(RADIANS(S292)))/(N292*$B$3)</f>
        <v>1.9513628813724482</v>
      </c>
      <c r="V292" s="41">
        <f ca="1">(X292)/(N292*$B$3)</f>
        <v>0.26400783031882202</v>
      </c>
      <c r="W292" s="41">
        <f ca="1">U292/V292</f>
        <v>7.3913068374371198</v>
      </c>
      <c r="X292" s="20">
        <f ca="1">(N292*$B$3*R292)+((N292*$B$3)*((U292^2)/(PI()*$B$6*$B$5)))</f>
        <v>2266.483702325851</v>
      </c>
      <c r="Y292" s="41">
        <f>SQRT(PI()*$B$6*$B$5*R292)</f>
        <v>0.61023307736435284</v>
      </c>
      <c r="Z292" s="41">
        <f ca="1">SQRT((2*((U292*N292*$B$3)/(D292))*D292)/(AV292*$B$3*$B$18))</f>
        <v>163.90658205868749</v>
      </c>
      <c r="AA292" s="14">
        <f t="shared" ref="AA292" ca="1" si="495">D292/W292</f>
        <v>2330.6228272779408</v>
      </c>
      <c r="AB292" s="9">
        <v>6280</v>
      </c>
      <c r="AC292" s="25">
        <f t="shared" ref="AC292" ca="1" si="496">AA292*K292</f>
        <v>423647.83459578973</v>
      </c>
      <c r="AD292" s="41">
        <f t="shared" ref="AD292" si="497">AB292*K292</f>
        <v>1141543.9555995895</v>
      </c>
      <c r="AE292" s="6">
        <v>100</v>
      </c>
      <c r="AF292" s="41">
        <f t="shared" ref="AF292" si="498">AB292*(AE292/100)</f>
        <v>6280</v>
      </c>
      <c r="AG292" s="41">
        <f t="shared" ref="AG292" ca="1" si="499">AB292-AA292</f>
        <v>3949.3771727220592</v>
      </c>
      <c r="AH292" s="41">
        <f t="shared" ref="AH292" ca="1" si="500">AD292-AC292</f>
        <v>717896.12100379984</v>
      </c>
      <c r="AI292" s="41">
        <f t="shared" ref="AI292" si="501">(AP292*AF292)</f>
        <v>5024.6278601802715</v>
      </c>
      <c r="AJ292" s="13">
        <f ca="1">K292*SIN(RADIANS(T292))</f>
        <v>42.35111009991116</v>
      </c>
      <c r="AK292" s="11">
        <f t="shared" ref="AK292" ca="1" si="502">(AH292/D292)*60</f>
        <v>2500.4583770837958</v>
      </c>
      <c r="AL292" s="6">
        <v>500</v>
      </c>
      <c r="AM292" s="41">
        <f t="shared" ref="AM292" ca="1" si="503">AL292/AJ292</f>
        <v>11.806065976085213</v>
      </c>
      <c r="AN292" s="41">
        <f t="shared" ref="AN292" ca="1" si="504">AI292*(AM292/3600)</f>
        <v>16.47808000626782</v>
      </c>
      <c r="AO292" s="41">
        <f ca="1">M292*COS(RADIANS(T292))*(AM292/3600)</f>
        <v>0.34347325959699504</v>
      </c>
      <c r="AP292" s="67">
        <f t="shared" ref="AP292" si="505">-18.066*(AZ292^6) + 34.325*(AZ292^5) - 25.292*(AZ292^4) + 8.7618*(AZ292^3) - 1.317*(AZ292^2) + 0.358*(AZ292^1) + 0.7659</f>
        <v>0.80009997773571206</v>
      </c>
      <c r="AQ292" s="11">
        <f t="shared" ref="AQ292" si="506">IF(H292 &lt;= 36089, ((1 - 6.87535*10^(-6)*H292) + ((I292*1.8)/518.67)), 0.75187 + ((I292*1.8)/518.67))</f>
        <v>1.0520562207183759</v>
      </c>
      <c r="AR292" s="11">
        <f t="shared" ref="AR292" si="507">IF(H292 &lt;= 36089, (1 - 6.87535*10^(-6)*H292)^5.2561, 0.22336*EXP((36089 - H292)/(20806.7)))</f>
        <v>1</v>
      </c>
      <c r="AS292" s="11">
        <f t="shared" ref="AS292" si="508">(AR292/AQ292)</f>
        <v>0.95051954477981193</v>
      </c>
      <c r="AT292" s="11">
        <f t="shared" ref="AT292" si="509">(518.67*AQ292)</f>
        <v>545.66999999999996</v>
      </c>
      <c r="AU292" s="11">
        <f t="shared" ref="AU292" si="510">2116.22*AR292</f>
        <v>2116.2199999999998</v>
      </c>
      <c r="AV292" s="11">
        <f t="shared" ref="AV292" si="511">(0.0023769*AS292)</f>
        <v>2.259289905987135E-3</v>
      </c>
      <c r="AW292" s="11">
        <f t="shared" ref="AW292" si="512">((2.2697*10^-8)*(AT292^1.5))/(AT292+198.72)</f>
        <v>3.8865391239478742E-7</v>
      </c>
      <c r="AX292" s="41">
        <f ca="1">(1/U292)*(((1 + 0.2*(U292)^2)/1.2)^3)</f>
        <v>1.6211121897111402</v>
      </c>
      <c r="AY292" s="41">
        <f t="shared" ref="AY292" ca="1" si="513">($H$4/$H$3)*AX292</f>
        <v>2.1836703270678539</v>
      </c>
      <c r="AZ292" s="41">
        <f t="shared" ref="AZ292" si="514">-6.6*10^(-3) + 0.825*J292 - 0.243*(J292^2)</f>
        <v>0.11823405950437749</v>
      </c>
      <c r="BA292" s="155">
        <f>2.12-0.00251*AF292+1.94*10^-6*AF292^2-7.84*10^-10*AF292^3+1.7*10^-13*AF292^4-1.89*10^-17*AF292^5+8.37*10^-22*AF292^6</f>
        <v>-0.16099291242367997</v>
      </c>
      <c r="BB292" s="156">
        <f>2.18-0.00461*AF292+6.03*10^-6*AF292^2-4.1*10^-9*AF292^3+1.5*10^-12*AF292^4-2.81*10^-16*AF292^5+2.1*10^-20*AF292^6</f>
        <v>72.084687861777184</v>
      </c>
    </row>
    <row r="293" spans="1:56" ht="14.5">
      <c r="H293" s="21"/>
      <c r="L293" s="21"/>
      <c r="S293" s="32"/>
      <c r="AC293" s="38"/>
      <c r="AJ293" s="2"/>
      <c r="AL293" s="21"/>
      <c r="AP293" s="53"/>
    </row>
    <row r="294" spans="1:56" ht="14.5">
      <c r="H294" s="21"/>
      <c r="L294" s="21"/>
      <c r="S294" s="32"/>
      <c r="AC294" s="38"/>
      <c r="AJ294" s="2"/>
      <c r="AL294" s="21"/>
      <c r="AP294" s="53"/>
    </row>
    <row r="295" spans="1:56" ht="14.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2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5"/>
      <c r="AD295" s="43"/>
      <c r="AE295" s="42"/>
      <c r="AF295" s="43"/>
      <c r="AG295" s="43"/>
      <c r="AH295" s="43"/>
      <c r="AI295" s="43"/>
      <c r="AJ295" s="45"/>
      <c r="AK295" s="43"/>
      <c r="AL295" s="42"/>
      <c r="AM295" s="43"/>
      <c r="AN295" s="43"/>
      <c r="AO295" s="43"/>
      <c r="AP295" s="5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</row>
    <row r="296" spans="1:56" ht="14.5">
      <c r="A296" s="26" t="s">
        <v>167</v>
      </c>
      <c r="D296" s="181" t="s">
        <v>141</v>
      </c>
      <c r="E296" s="182"/>
      <c r="F296" s="182"/>
      <c r="G296" s="182"/>
      <c r="H296" s="182"/>
      <c r="I296" s="182"/>
      <c r="K296" s="26"/>
      <c r="N296" s="181"/>
      <c r="O296" s="182"/>
      <c r="P296" s="182"/>
      <c r="Q296" s="182"/>
      <c r="R296" s="182"/>
      <c r="S296" s="182"/>
      <c r="AB296" s="38"/>
      <c r="AI296" s="2"/>
      <c r="AL296" s="21"/>
    </row>
    <row r="297" spans="1:56" ht="14.5">
      <c r="A297" s="70" t="s">
        <v>168</v>
      </c>
      <c r="B297" s="32">
        <f ca="1">1.2*($Z$195)</f>
        <v>183.32200995470933</v>
      </c>
      <c r="C297" s="21" t="s">
        <v>51</v>
      </c>
      <c r="D297" s="39" t="s">
        <v>131</v>
      </c>
      <c r="E297" s="39" t="s">
        <v>132</v>
      </c>
      <c r="F297" s="39" t="s">
        <v>133</v>
      </c>
      <c r="G297" s="39" t="s">
        <v>134</v>
      </c>
      <c r="H297" s="39" t="s">
        <v>135</v>
      </c>
      <c r="I297" s="6" t="s">
        <v>170</v>
      </c>
      <c r="J297" s="21" t="s">
        <v>2</v>
      </c>
      <c r="L297" s="75" t="s">
        <v>217</v>
      </c>
      <c r="M297" s="154">
        <f ca="1">B12*0.85</f>
        <v>14642.396172934503</v>
      </c>
      <c r="N297" s="21"/>
      <c r="O297" s="21"/>
      <c r="P297" s="21"/>
      <c r="Q297" s="21"/>
      <c r="R297" s="21"/>
      <c r="S297" s="21"/>
      <c r="AB297" s="38"/>
      <c r="AI297" s="2"/>
      <c r="AL297" s="21"/>
    </row>
    <row r="298" spans="1:56" ht="14.5">
      <c r="A298" s="70" t="s">
        <v>169</v>
      </c>
      <c r="B298" s="32">
        <f ca="1">$T$195</f>
        <v>-6.3401490163599616</v>
      </c>
      <c r="C298" s="21" t="s">
        <v>55</v>
      </c>
      <c r="D298" s="21">
        <v>100</v>
      </c>
      <c r="E298" s="32">
        <f ca="1">$B$299</f>
        <v>168.04517579181692</v>
      </c>
      <c r="F298" s="21">
        <f>315*0.95</f>
        <v>299.25</v>
      </c>
      <c r="G298" s="32">
        <f ca="1">(F298/$M$297)-$C$308</f>
        <v>-0.27956277125234846</v>
      </c>
      <c r="H298" s="32">
        <f t="shared" ref="H298:H318" ca="1" si="515">((($B$310)/(2*($M$297/$B$3)))*(($C$308*$B$314)-$B$311-($B$312*$B$314^2)))</f>
        <v>6.018825055358707E-7</v>
      </c>
      <c r="I298" s="32">
        <f t="shared" ref="I298:I316" ca="1" si="516">((1)/(2*$B$313*H298))*LN((G298+(H298*(E299^2)))/(G298+(H298*(E298^2))))</f>
        <v>150.75984270279574</v>
      </c>
      <c r="J298" s="21">
        <v>0</v>
      </c>
      <c r="AB298" s="38"/>
      <c r="AI298" s="2"/>
      <c r="AL298" s="21"/>
    </row>
    <row r="299" spans="1:56" ht="14.5">
      <c r="A299" s="70" t="s">
        <v>171</v>
      </c>
      <c r="B299" s="32">
        <f ca="1">1.1*$Z$195</f>
        <v>168.04517579181692</v>
      </c>
      <c r="C299" s="21" t="s">
        <v>51</v>
      </c>
      <c r="D299" s="21">
        <f t="shared" ref="D299:D318" si="517">D298-5</f>
        <v>95</v>
      </c>
      <c r="E299" s="32">
        <f>$D$299*1.687</f>
        <v>160.26500000000001</v>
      </c>
      <c r="F299" s="21">
        <f t="shared" ref="F299:F318" si="518">315*0.95</f>
        <v>299.25</v>
      </c>
      <c r="G299" s="32">
        <f ca="1">(F299/$M$297)-$C$308</f>
        <v>-0.27956277125234846</v>
      </c>
      <c r="H299" s="32">
        <f t="shared" ca="1" si="515"/>
        <v>6.018825055358707E-7</v>
      </c>
      <c r="I299" s="32">
        <f t="shared" ca="1" si="516"/>
        <v>154.46040743110953</v>
      </c>
      <c r="J299" s="32">
        <f t="shared" ref="J299:J318" ca="1" si="519">I299/E299</f>
        <v>0.96378128369331739</v>
      </c>
      <c r="AB299" s="38"/>
      <c r="AI299" s="2"/>
      <c r="AL299" s="21"/>
    </row>
    <row r="300" spans="1:56" ht="14.5">
      <c r="A300" s="70" t="s">
        <v>172</v>
      </c>
      <c r="B300" s="32">
        <f ca="1">1.15*$Z$195</f>
        <v>175.68359287326311</v>
      </c>
      <c r="C300" s="21" t="s">
        <v>51</v>
      </c>
      <c r="D300" s="21">
        <f t="shared" si="517"/>
        <v>90</v>
      </c>
      <c r="E300" s="32">
        <f>$D$300*1.687</f>
        <v>151.83000000000001</v>
      </c>
      <c r="F300" s="21">
        <f t="shared" si="518"/>
        <v>299.25</v>
      </c>
      <c r="G300" s="32">
        <f t="shared" ref="G300:G318" ca="1" si="520">(F300/$M$297)-$C$308</f>
        <v>-0.27956277125234846</v>
      </c>
      <c r="H300" s="32">
        <f t="shared" ca="1" si="515"/>
        <v>6.018825055358707E-7</v>
      </c>
      <c r="I300" s="32">
        <f t="shared" ca="1" si="516"/>
        <v>145.26572575145201</v>
      </c>
      <c r="J300" s="32">
        <f t="shared" ca="1" si="519"/>
        <v>0.95676563097841005</v>
      </c>
      <c r="AB300" s="38"/>
      <c r="AI300" s="2"/>
      <c r="AL300" s="21"/>
    </row>
    <row r="301" spans="1:56" ht="14.5">
      <c r="A301" s="70" t="s">
        <v>156</v>
      </c>
      <c r="B301" s="32">
        <f ca="1">(((0.5*$AV$195*$B$3)*($B$264)*($H$1)^2)/(0.5*$AV$195*$B$3*$B$18*Z$195^2))</f>
        <v>1.378703369391878</v>
      </c>
      <c r="D301" s="21">
        <f t="shared" si="517"/>
        <v>85</v>
      </c>
      <c r="E301" s="32">
        <f>$D$301*1.687</f>
        <v>143.39500000000001</v>
      </c>
      <c r="F301" s="21">
        <f t="shared" si="518"/>
        <v>299.25</v>
      </c>
      <c r="G301" s="32">
        <f t="shared" ca="1" si="520"/>
        <v>-0.27956277125234846</v>
      </c>
      <c r="H301" s="32">
        <f t="shared" ca="1" si="515"/>
        <v>6.018825055358707E-7</v>
      </c>
      <c r="I301" s="32">
        <f t="shared" ca="1" si="516"/>
        <v>136.22038117542931</v>
      </c>
      <c r="J301" s="32">
        <f t="shared" ca="1" si="519"/>
        <v>0.94996604606457202</v>
      </c>
      <c r="AB301" s="38"/>
      <c r="AI301" s="2"/>
      <c r="AL301" s="21"/>
    </row>
    <row r="302" spans="1:56" ht="14.5">
      <c r="A302" s="70" t="s">
        <v>173</v>
      </c>
      <c r="B302" s="32">
        <f ca="1">($B$300^2)/(($B$301-1)*$B$262)</f>
        <v>2533.4490756058008</v>
      </c>
      <c r="C302" s="21" t="s">
        <v>9</v>
      </c>
      <c r="D302" s="21">
        <f t="shared" si="517"/>
        <v>80</v>
      </c>
      <c r="E302" s="32">
        <f>$D$302*1.687</f>
        <v>134.96</v>
      </c>
      <c r="F302" s="21">
        <f t="shared" si="518"/>
        <v>299.25</v>
      </c>
      <c r="G302" s="32">
        <f t="shared" ca="1" si="520"/>
        <v>-0.27956277125234846</v>
      </c>
      <c r="H302" s="32">
        <f t="shared" ca="1" si="515"/>
        <v>6.018825055358707E-7</v>
      </c>
      <c r="I302" s="32">
        <f t="shared" ca="1" si="516"/>
        <v>127.31331895452161</v>
      </c>
      <c r="J302" s="32">
        <f t="shared" ca="1" si="519"/>
        <v>0.94334113036841727</v>
      </c>
      <c r="AB302" s="38"/>
      <c r="AI302" s="2"/>
      <c r="AL302" s="21"/>
    </row>
    <row r="303" spans="1:56" ht="14.5">
      <c r="A303" s="70" t="s">
        <v>174</v>
      </c>
      <c r="B303" s="32">
        <f ca="1">$B$302*(1-COS(RADIANS($B$298)))</f>
        <v>15.495038091559504</v>
      </c>
      <c r="C303" s="21" t="s">
        <v>9</v>
      </c>
      <c r="D303" s="21">
        <f t="shared" si="517"/>
        <v>75</v>
      </c>
      <c r="E303" s="32">
        <f>$D$303*1.687</f>
        <v>126.52500000000001</v>
      </c>
      <c r="F303" s="21">
        <f t="shared" si="518"/>
        <v>299.25</v>
      </c>
      <c r="G303" s="32">
        <f t="shared" ca="1" si="520"/>
        <v>-0.27956277125234846</v>
      </c>
      <c r="H303" s="32">
        <f t="shared" ca="1" si="515"/>
        <v>6.018825055358707E-7</v>
      </c>
      <c r="I303" s="32">
        <f t="shared" ca="1" si="516"/>
        <v>118.53397802669807</v>
      </c>
      <c r="J303" s="32">
        <f t="shared" ca="1" si="519"/>
        <v>0.93684234757319151</v>
      </c>
      <c r="AB303" s="38"/>
      <c r="AI303" s="2"/>
      <c r="AL303" s="21"/>
    </row>
    <row r="304" spans="1:56" ht="14.5">
      <c r="A304" s="71" t="s">
        <v>175</v>
      </c>
      <c r="B304" s="32">
        <f ca="1">ABS($B$302*SIN(RADIANS($B$298)))</f>
        <v>279.77076983419289</v>
      </c>
      <c r="C304" s="21" t="s">
        <v>9</v>
      </c>
      <c r="D304" s="21">
        <f t="shared" si="517"/>
        <v>70</v>
      </c>
      <c r="E304" s="32">
        <f>$D$304*1.687</f>
        <v>118.09</v>
      </c>
      <c r="F304" s="21">
        <f t="shared" si="518"/>
        <v>299.25</v>
      </c>
      <c r="G304" s="32">
        <f t="shared" ca="1" si="520"/>
        <v>-0.27956277125234846</v>
      </c>
      <c r="H304" s="32">
        <f t="shared" ca="1" si="515"/>
        <v>6.018825055358707E-7</v>
      </c>
      <c r="I304" s="32">
        <f t="shared" ca="1" si="516"/>
        <v>109.87224527707218</v>
      </c>
      <c r="J304" s="32">
        <f t="shared" ca="1" si="519"/>
        <v>0.93041108711213627</v>
      </c>
      <c r="K304" s="21"/>
      <c r="AB304" s="38"/>
      <c r="AI304" s="2"/>
      <c r="AL304" s="21"/>
    </row>
    <row r="305" spans="1:51" ht="14.5">
      <c r="A305" s="70" t="s">
        <v>176</v>
      </c>
      <c r="B305" s="21">
        <v>2</v>
      </c>
      <c r="C305" s="21" t="s">
        <v>18</v>
      </c>
      <c r="D305" s="21">
        <f t="shared" si="517"/>
        <v>65</v>
      </c>
      <c r="E305" s="32">
        <f>$D$305*1.687</f>
        <v>109.655</v>
      </c>
      <c r="F305" s="21">
        <f t="shared" si="518"/>
        <v>299.25</v>
      </c>
      <c r="G305" s="32">
        <f t="shared" ca="1" si="520"/>
        <v>-0.27956277125234846</v>
      </c>
      <c r="H305" s="32">
        <f t="shared" ca="1" si="515"/>
        <v>6.018825055358707E-7</v>
      </c>
      <c r="I305" s="32">
        <f t="shared" ca="1" si="516"/>
        <v>101.31841324330749</v>
      </c>
      <c r="J305" s="32">
        <f t="shared" ca="1" si="519"/>
        <v>0.92397440375092321</v>
      </c>
      <c r="AB305" s="38"/>
      <c r="AI305" s="2"/>
      <c r="AL305" s="21"/>
    </row>
    <row r="306" spans="1:51" ht="14.5">
      <c r="A306" s="71" t="s">
        <v>177</v>
      </c>
      <c r="B306" s="32">
        <f ca="1">$B$299*$B$305</f>
        <v>336.09035158363383</v>
      </c>
      <c r="C306" s="21" t="s">
        <v>9</v>
      </c>
      <c r="D306" s="21">
        <f t="shared" si="517"/>
        <v>60</v>
      </c>
      <c r="E306" s="32">
        <f>$D$306*1.687</f>
        <v>101.22</v>
      </c>
      <c r="F306" s="21">
        <f t="shared" si="518"/>
        <v>299.25</v>
      </c>
      <c r="G306" s="32">
        <f t="shared" ca="1" si="520"/>
        <v>-0.27956277125234846</v>
      </c>
      <c r="H306" s="32">
        <f t="shared" ca="1" si="515"/>
        <v>6.018825055358707E-7</v>
      </c>
      <c r="I306" s="32">
        <f t="shared" ca="1" si="516"/>
        <v>92.863140875051755</v>
      </c>
      <c r="J306" s="32">
        <f t="shared" ca="1" si="519"/>
        <v>0.91743865713348904</v>
      </c>
      <c r="K306" s="21"/>
      <c r="AB306" s="38"/>
      <c r="AI306" s="2"/>
      <c r="AL306" s="21"/>
    </row>
    <row r="307" spans="1:51" ht="14.5">
      <c r="A307" s="73" t="s">
        <v>128</v>
      </c>
      <c r="B307" s="46" t="s">
        <v>129</v>
      </c>
      <c r="C307" s="46" t="s">
        <v>130</v>
      </c>
      <c r="D307" s="21">
        <f t="shared" si="517"/>
        <v>55</v>
      </c>
      <c r="E307" s="32">
        <f>$D$307*1.687</f>
        <v>92.784999999999997</v>
      </c>
      <c r="F307" s="21">
        <f t="shared" si="518"/>
        <v>299.25</v>
      </c>
      <c r="G307" s="32">
        <f t="shared" ca="1" si="520"/>
        <v>-0.27956277125234846</v>
      </c>
      <c r="H307" s="32">
        <f t="shared" ca="1" si="515"/>
        <v>6.018825055358707E-7</v>
      </c>
      <c r="I307" s="32">
        <f t="shared" ca="1" si="516"/>
        <v>84.497416997059474</v>
      </c>
      <c r="J307" s="32">
        <f t="shared" ca="1" si="519"/>
        <v>0.91067971112851731</v>
      </c>
      <c r="K307" s="46"/>
      <c r="L307" s="46"/>
      <c r="M307" s="46"/>
      <c r="AB307" s="38"/>
      <c r="AI307" s="2"/>
      <c r="AL307" s="21"/>
    </row>
    <row r="308" spans="1:51" ht="14.5">
      <c r="A308" s="73" t="s">
        <v>141</v>
      </c>
      <c r="B308" s="46">
        <v>0.04</v>
      </c>
      <c r="C308" s="46">
        <v>0.3</v>
      </c>
      <c r="D308" s="21">
        <f t="shared" si="517"/>
        <v>50</v>
      </c>
      <c r="E308" s="32">
        <f>$D$308*1.687</f>
        <v>84.350000000000009</v>
      </c>
      <c r="F308" s="21">
        <f t="shared" si="518"/>
        <v>299.25</v>
      </c>
      <c r="G308" s="32">
        <f t="shared" ca="1" si="520"/>
        <v>-0.27956277125234846</v>
      </c>
      <c r="H308" s="32">
        <f t="shared" ca="1" si="515"/>
        <v>6.018825055358707E-7</v>
      </c>
      <c r="I308" s="32">
        <f t="shared" ca="1" si="516"/>
        <v>76.212526161430844</v>
      </c>
      <c r="J308" s="32">
        <f t="shared" ca="1" si="519"/>
        <v>0.90352728110765668</v>
      </c>
      <c r="K308" s="46"/>
      <c r="L308" s="46"/>
      <c r="M308" s="46"/>
      <c r="AB308" s="38"/>
      <c r="AI308" s="2"/>
      <c r="AL308" s="21"/>
    </row>
    <row r="309" spans="1:51" ht="14.5">
      <c r="A309" s="73" t="s">
        <v>145</v>
      </c>
      <c r="B309" s="46">
        <v>0.08</v>
      </c>
      <c r="C309" s="46">
        <v>0.2</v>
      </c>
      <c r="D309" s="21">
        <f t="shared" si="517"/>
        <v>45</v>
      </c>
      <c r="E309" s="32">
        <f>$D$309*1.687</f>
        <v>75.915000000000006</v>
      </c>
      <c r="F309" s="21">
        <f t="shared" si="518"/>
        <v>299.25</v>
      </c>
      <c r="G309" s="32">
        <f t="shared" ca="1" si="520"/>
        <v>-0.27956277125234846</v>
      </c>
      <c r="H309" s="32">
        <f t="shared" ca="1" si="515"/>
        <v>6.018825055358707E-7</v>
      </c>
      <c r="I309" s="32">
        <f t="shared" ca="1" si="516"/>
        <v>68.000016604201335</v>
      </c>
      <c r="J309" s="32">
        <f t="shared" ca="1" si="519"/>
        <v>0.89573887379571004</v>
      </c>
      <c r="K309" s="46"/>
      <c r="L309" s="46"/>
      <c r="M309" s="46"/>
      <c r="AB309" s="38"/>
      <c r="AI309" s="2"/>
      <c r="AL309" s="21"/>
    </row>
    <row r="310" spans="1:51" ht="14.5">
      <c r="A310" s="74" t="s">
        <v>147</v>
      </c>
      <c r="B310" s="46">
        <f>$AV$195</f>
        <v>2.259289905987135E-3</v>
      </c>
      <c r="D310" s="21">
        <f t="shared" si="517"/>
        <v>40</v>
      </c>
      <c r="E310" s="32">
        <f>$D$310*1.687</f>
        <v>67.48</v>
      </c>
      <c r="F310" s="21">
        <f t="shared" si="518"/>
        <v>299.25</v>
      </c>
      <c r="G310" s="32">
        <f t="shared" ca="1" si="520"/>
        <v>-0.27956277125234846</v>
      </c>
      <c r="H310" s="32">
        <f t="shared" ca="1" si="515"/>
        <v>6.018825055358707E-7</v>
      </c>
      <c r="I310" s="32">
        <f t="shared" ca="1" si="516"/>
        <v>59.851670048557523</v>
      </c>
      <c r="J310" s="32">
        <f t="shared" ca="1" si="519"/>
        <v>0.88695420937399994</v>
      </c>
      <c r="K310" s="47"/>
      <c r="L310" s="46"/>
      <c r="AB310" s="38"/>
      <c r="AI310" s="2"/>
      <c r="AL310" s="21"/>
    </row>
    <row r="311" spans="1:51" ht="14.5">
      <c r="A311" s="74" t="s">
        <v>150</v>
      </c>
      <c r="B311" s="46">
        <f>$R$195</f>
        <v>2.4560805344740685E-2</v>
      </c>
      <c r="D311" s="21">
        <f t="shared" si="517"/>
        <v>35</v>
      </c>
      <c r="E311" s="32">
        <f>$D$311*1.687</f>
        <v>59.045000000000002</v>
      </c>
      <c r="F311" s="21">
        <f t="shared" si="518"/>
        <v>299.25</v>
      </c>
      <c r="G311" s="32">
        <f t="shared" ca="1" si="520"/>
        <v>-0.27956277125234846</v>
      </c>
      <c r="H311" s="32">
        <f t="shared" ca="1" si="515"/>
        <v>6.018825055358707E-7</v>
      </c>
      <c r="I311" s="32">
        <f t="shared" ca="1" si="516"/>
        <v>51.75947311900277</v>
      </c>
      <c r="J311" s="32">
        <f t="shared" ca="1" si="519"/>
        <v>0.8766106040986158</v>
      </c>
      <c r="K311" s="47"/>
      <c r="L311" s="46"/>
      <c r="AB311" s="38"/>
      <c r="AI311" s="2"/>
      <c r="AL311" s="21"/>
    </row>
    <row r="312" spans="1:51" ht="14.5">
      <c r="A312" s="74" t="s">
        <v>159</v>
      </c>
      <c r="B312" s="46">
        <f>($B$8*((33*($B$269/$B$270)^1.5)))/(1+33*($B$269/$B$270)^1.5)</f>
        <v>3.7983327420844509E-2</v>
      </c>
      <c r="D312" s="21">
        <f t="shared" si="517"/>
        <v>30</v>
      </c>
      <c r="E312" s="32">
        <f>$D$312*1.687</f>
        <v>50.61</v>
      </c>
      <c r="F312" s="21">
        <f t="shared" si="518"/>
        <v>299.25</v>
      </c>
      <c r="G312" s="32">
        <f t="shared" ca="1" si="520"/>
        <v>-0.27956277125234846</v>
      </c>
      <c r="H312" s="32">
        <f t="shared" ca="1" si="515"/>
        <v>6.018825055358707E-7</v>
      </c>
      <c r="I312" s="32">
        <f t="shared" ca="1" si="516"/>
        <v>43.715590150515233</v>
      </c>
      <c r="J312" s="32">
        <f t="shared" ca="1" si="519"/>
        <v>0.86377376310047882</v>
      </c>
      <c r="K312" s="47"/>
      <c r="L312" s="46"/>
      <c r="AB312" s="38"/>
      <c r="AI312" s="2"/>
      <c r="AL312" s="21"/>
    </row>
    <row r="313" spans="1:51" ht="14.5">
      <c r="A313" s="74" t="s">
        <v>152</v>
      </c>
      <c r="B313" s="47">
        <v>32.17</v>
      </c>
      <c r="C313" s="21"/>
      <c r="D313" s="21">
        <f t="shared" si="517"/>
        <v>25</v>
      </c>
      <c r="E313" s="32">
        <f>$D$313*1.687</f>
        <v>42.175000000000004</v>
      </c>
      <c r="F313" s="21">
        <f t="shared" si="518"/>
        <v>299.25</v>
      </c>
      <c r="G313" s="32">
        <f t="shared" ca="1" si="520"/>
        <v>-0.27956277125234846</v>
      </c>
      <c r="H313" s="32">
        <f t="shared" ca="1" si="515"/>
        <v>6.018825055358707E-7</v>
      </c>
      <c r="I313" s="32">
        <f t="shared" ca="1" si="516"/>
        <v>35.712337193256936</v>
      </c>
      <c r="J313" s="32">
        <f t="shared" ca="1" si="519"/>
        <v>0.84676555289287336</v>
      </c>
      <c r="K313" s="47"/>
      <c r="L313" s="47"/>
      <c r="U313" s="21"/>
      <c r="V313" s="21"/>
      <c r="W313" s="21"/>
      <c r="Z313" s="21"/>
      <c r="AA313" s="21"/>
      <c r="AB313" s="21"/>
      <c r="AC313" s="21"/>
      <c r="AE313" s="21"/>
      <c r="AI313" s="21"/>
    </row>
    <row r="314" spans="1:51" ht="14.5">
      <c r="A314" s="70" t="s">
        <v>178</v>
      </c>
      <c r="B314" s="62">
        <v>0.2</v>
      </c>
      <c r="D314" s="21">
        <f t="shared" si="517"/>
        <v>20</v>
      </c>
      <c r="E314" s="32">
        <f>$D$314*1.687</f>
        <v>33.74</v>
      </c>
      <c r="F314" s="21">
        <f t="shared" si="518"/>
        <v>299.25</v>
      </c>
      <c r="G314" s="32">
        <f t="shared" ca="1" si="520"/>
        <v>-0.27956277125234846</v>
      </c>
      <c r="H314" s="32">
        <f t="shared" ca="1" si="515"/>
        <v>6.018825055358707E-7</v>
      </c>
      <c r="I314" s="32">
        <f t="shared" ca="1" si="516"/>
        <v>27.74215702695188</v>
      </c>
      <c r="J314" s="32">
        <f t="shared" ca="1" si="519"/>
        <v>0.8222334625652602</v>
      </c>
      <c r="Y314" s="21"/>
      <c r="Z314" s="21"/>
      <c r="AA314" s="21"/>
      <c r="AB314" s="21"/>
      <c r="AC314" s="21"/>
      <c r="AE314" s="21"/>
      <c r="AF314" s="21"/>
      <c r="AG314" s="21"/>
      <c r="AQ314" s="15"/>
      <c r="AR314" s="16"/>
      <c r="AS314" s="16"/>
      <c r="AT314" s="17"/>
      <c r="AU314" s="18"/>
      <c r="AV314" s="18"/>
      <c r="AW314" s="19"/>
      <c r="AX314" s="19"/>
      <c r="AY314" s="19"/>
    </row>
    <row r="315" spans="1:51" ht="14.5">
      <c r="A315" s="72" t="s">
        <v>179</v>
      </c>
      <c r="B315" s="32">
        <f ca="1">ABS((50-$B$303)/(TAN(RADIANS($B$298))))</f>
        <v>310.54676728066943</v>
      </c>
      <c r="C315" s="21" t="s">
        <v>9</v>
      </c>
      <c r="D315" s="21">
        <f t="shared" si="517"/>
        <v>15</v>
      </c>
      <c r="E315" s="32">
        <f>$D$315*1.687</f>
        <v>25.305</v>
      </c>
      <c r="F315" s="21">
        <f t="shared" si="518"/>
        <v>299.25</v>
      </c>
      <c r="G315" s="32">
        <f t="shared" ca="1" si="520"/>
        <v>-0.27956277125234846</v>
      </c>
      <c r="H315" s="32">
        <f t="shared" ca="1" si="515"/>
        <v>6.018825055358707E-7</v>
      </c>
      <c r="I315" s="32">
        <f t="shared" ca="1" si="516"/>
        <v>19.797595011415492</v>
      </c>
      <c r="J315" s="32">
        <f t="shared" ca="1" si="519"/>
        <v>0.78235902040764638</v>
      </c>
      <c r="K315" s="49"/>
      <c r="Z315" s="21"/>
      <c r="AA315" s="21"/>
      <c r="AB315" s="21"/>
      <c r="AC315" s="21"/>
      <c r="AE315" s="21"/>
      <c r="AF315" s="21"/>
      <c r="AG315" s="21"/>
    </row>
    <row r="316" spans="1:51" ht="14.5">
      <c r="D316" s="21">
        <f t="shared" si="517"/>
        <v>10</v>
      </c>
      <c r="E316" s="32">
        <f>$D$316*1.687</f>
        <v>16.87</v>
      </c>
      <c r="F316" s="21">
        <f t="shared" si="518"/>
        <v>299.25</v>
      </c>
      <c r="G316" s="32">
        <f t="shared" ca="1" si="520"/>
        <v>-0.27956277125234846</v>
      </c>
      <c r="H316" s="32">
        <f t="shared" ca="1" si="515"/>
        <v>6.018825055358707E-7</v>
      </c>
      <c r="I316" s="32">
        <f t="shared" ca="1" si="516"/>
        <v>11.871275608478388</v>
      </c>
      <c r="J316" s="32">
        <f t="shared" ca="1" si="519"/>
        <v>0.70369150020618776</v>
      </c>
      <c r="AB316" s="38"/>
      <c r="AE316" s="21"/>
      <c r="AI316" s="2"/>
      <c r="AL316" s="21"/>
      <c r="AO316" s="21"/>
    </row>
    <row r="317" spans="1:51" ht="14.5">
      <c r="D317" s="21">
        <f t="shared" si="517"/>
        <v>5</v>
      </c>
      <c r="E317" s="32">
        <f>$D$317*1.687</f>
        <v>8.4350000000000005</v>
      </c>
      <c r="F317" s="21">
        <f t="shared" si="518"/>
        <v>299.25</v>
      </c>
      <c r="G317" s="32">
        <f t="shared" ca="1" si="520"/>
        <v>-0.27956277125234846</v>
      </c>
      <c r="H317" s="32">
        <f t="shared" ca="1" si="515"/>
        <v>6.018825055358707E-7</v>
      </c>
      <c r="I317" s="32">
        <f ca="1">((1)/(2*$B$313*H317))*LN((G317+(H317*(E320^2)))/(G317+(H317*(E317^2))))</f>
        <v>3.9558794186703561</v>
      </c>
      <c r="J317" s="32">
        <f t="shared" ca="1" si="519"/>
        <v>0.46898392633910563</v>
      </c>
      <c r="AB317" s="38"/>
      <c r="AE317" s="21"/>
      <c r="AI317" s="2"/>
      <c r="AL317" s="21"/>
      <c r="AO317" s="21"/>
    </row>
    <row r="318" spans="1:51" ht="14.5">
      <c r="D318" s="21">
        <f t="shared" si="517"/>
        <v>0</v>
      </c>
      <c r="E318" s="32">
        <f>$D$317*1.687</f>
        <v>8.4350000000000005</v>
      </c>
      <c r="F318" s="21">
        <f t="shared" si="518"/>
        <v>299.25</v>
      </c>
      <c r="G318" s="32">
        <f t="shared" ca="1" si="520"/>
        <v>-0.27956277125234846</v>
      </c>
      <c r="H318" s="32">
        <f t="shared" ca="1" si="515"/>
        <v>6.018825055358707E-7</v>
      </c>
      <c r="I318" s="32">
        <f ca="1">((1)/(2*$B$313*H318))*LN((G318+(H318*(E321^2)))/(G318+(H318*(E318^2))))</f>
        <v>3.9558794186703561</v>
      </c>
      <c r="J318" s="32">
        <f t="shared" ca="1" si="519"/>
        <v>0.46898392633910563</v>
      </c>
      <c r="K318" s="21"/>
      <c r="AB318" s="38"/>
      <c r="AE318" s="21"/>
      <c r="AI318" s="2"/>
      <c r="AL318" s="21"/>
      <c r="AO318" s="21"/>
    </row>
    <row r="319" spans="1:51" ht="14.5">
      <c r="K319" s="21"/>
      <c r="AB319" s="38"/>
      <c r="AE319" s="21"/>
      <c r="AI319" s="2"/>
      <c r="AL319" s="21"/>
      <c r="AO319" s="21"/>
    </row>
    <row r="320" spans="1:51" ht="14.5">
      <c r="H320" s="62" t="s">
        <v>180</v>
      </c>
      <c r="I320" s="32">
        <f ca="1">SUM(I298:I317)</f>
        <v>1619.7233907769776</v>
      </c>
      <c r="K320" s="21" t="s">
        <v>161</v>
      </c>
      <c r="L320" s="32">
        <f ca="1">SUM(J298:J317)</f>
        <v>16.483838491690509</v>
      </c>
      <c r="AB320" s="38"/>
      <c r="AE320" s="21"/>
      <c r="AI320" s="2"/>
      <c r="AL320" s="21"/>
      <c r="AO320" s="21"/>
    </row>
    <row r="321" spans="1:52" ht="14.5">
      <c r="H321" s="21" t="s">
        <v>175</v>
      </c>
      <c r="I321" s="32">
        <f ca="1">B304</f>
        <v>279.77076983419289</v>
      </c>
      <c r="K321" s="62" t="s">
        <v>213</v>
      </c>
      <c r="L321" s="21">
        <v>1</v>
      </c>
      <c r="AB321" s="38"/>
      <c r="AE321" s="21"/>
      <c r="AI321" s="2"/>
      <c r="AL321" s="21"/>
      <c r="AO321" s="21"/>
    </row>
    <row r="322" spans="1:52" ht="14.5">
      <c r="H322" s="21" t="s">
        <v>177</v>
      </c>
      <c r="I322" s="32">
        <f ca="1">B306</f>
        <v>336.09035158363383</v>
      </c>
      <c r="K322" s="62" t="s">
        <v>214</v>
      </c>
      <c r="L322" s="21">
        <f ca="1">I322/B300</f>
        <v>1.9130434782608698</v>
      </c>
      <c r="R322" s="26"/>
      <c r="S322" s="29"/>
    </row>
    <row r="323" spans="1:52" ht="14.5">
      <c r="H323" s="21" t="s">
        <v>215</v>
      </c>
      <c r="I323" s="32">
        <f ca="1">B315</f>
        <v>310.54676728066943</v>
      </c>
      <c r="J323" s="62" t="s">
        <v>198</v>
      </c>
      <c r="K323" s="62" t="s">
        <v>216</v>
      </c>
      <c r="L323" s="49">
        <f ca="1">I323/B297</f>
        <v>1.6939960856712821</v>
      </c>
      <c r="R323" s="26"/>
      <c r="S323" s="29"/>
      <c r="T323" s="26"/>
    </row>
    <row r="324" spans="1:52" ht="14.5">
      <c r="H324" s="34" t="s">
        <v>181</v>
      </c>
      <c r="I324" s="60">
        <f ca="1">SUM(I320:I323)</f>
        <v>2546.1312794754735</v>
      </c>
      <c r="J324" s="34" t="s">
        <v>198</v>
      </c>
      <c r="K324" s="51" t="s">
        <v>166</v>
      </c>
      <c r="L324" s="51">
        <f ca="1">SUM(L320:L323)</f>
        <v>21.090878055622664</v>
      </c>
      <c r="AC324" s="3"/>
      <c r="AD324" s="3"/>
      <c r="AP324" s="53"/>
    </row>
    <row r="325" spans="1:52" ht="14.5">
      <c r="AC325" s="3"/>
      <c r="AD325" s="3"/>
      <c r="AP325" s="53"/>
    </row>
    <row r="326" spans="1:52" ht="14.5">
      <c r="AC326" s="3"/>
      <c r="AD326" s="3"/>
      <c r="AP326" s="53"/>
    </row>
    <row r="327" spans="1:52" ht="14.5">
      <c r="A327" s="41" t="s">
        <v>2</v>
      </c>
      <c r="B327" s="41" t="s">
        <v>2</v>
      </c>
      <c r="C327" s="41" t="s">
        <v>2</v>
      </c>
      <c r="D327" s="41" t="s">
        <v>23</v>
      </c>
      <c r="E327" s="41" t="s">
        <v>24</v>
      </c>
      <c r="F327" s="41" t="s">
        <v>25</v>
      </c>
      <c r="G327" s="41"/>
      <c r="H327" s="41" t="s">
        <v>0</v>
      </c>
      <c r="I327" s="5" t="s">
        <v>26</v>
      </c>
      <c r="J327" s="41" t="s">
        <v>27</v>
      </c>
      <c r="K327" s="41" t="s">
        <v>28</v>
      </c>
      <c r="L327" s="12" t="s">
        <v>29</v>
      </c>
      <c r="M327" s="13" t="s">
        <v>30</v>
      </c>
      <c r="N327" s="41" t="s">
        <v>31</v>
      </c>
      <c r="O327" s="41" t="s">
        <v>32</v>
      </c>
      <c r="P327" s="41" t="s">
        <v>33</v>
      </c>
      <c r="Q327" s="41" t="s">
        <v>34</v>
      </c>
      <c r="R327" s="41" t="s">
        <v>13</v>
      </c>
      <c r="S327" s="24" t="s">
        <v>35</v>
      </c>
      <c r="T327" s="10" t="s">
        <v>35</v>
      </c>
      <c r="U327" s="41" t="s">
        <v>36</v>
      </c>
      <c r="V327" s="41" t="s">
        <v>37</v>
      </c>
      <c r="W327" s="41" t="s">
        <v>38</v>
      </c>
      <c r="X327" s="41" t="s">
        <v>39</v>
      </c>
      <c r="Y327" s="41" t="s">
        <v>40</v>
      </c>
      <c r="Z327" s="35" t="s">
        <v>108</v>
      </c>
      <c r="AA327" s="35" t="s">
        <v>109</v>
      </c>
      <c r="AB327" s="9" t="s">
        <v>110</v>
      </c>
      <c r="AC327" s="7" t="s">
        <v>111</v>
      </c>
      <c r="AD327" s="7" t="s">
        <v>112</v>
      </c>
      <c r="AE327" s="5" t="s">
        <v>41</v>
      </c>
      <c r="AF327" s="7" t="s">
        <v>113</v>
      </c>
      <c r="AG327" s="41"/>
      <c r="AH327" s="41"/>
      <c r="AI327" s="41" t="s">
        <v>42</v>
      </c>
      <c r="AJ327" s="41" t="s">
        <v>43</v>
      </c>
      <c r="AK327" s="11"/>
      <c r="AL327" s="5" t="s">
        <v>44</v>
      </c>
      <c r="AM327" s="5" t="s">
        <v>45</v>
      </c>
      <c r="AN327" s="41" t="s">
        <v>46</v>
      </c>
      <c r="AO327" s="41" t="s">
        <v>47</v>
      </c>
      <c r="AP327" s="53"/>
      <c r="AQ327" s="15" t="s">
        <v>62</v>
      </c>
      <c r="AR327" s="16" t="s">
        <v>63</v>
      </c>
      <c r="AS327" s="16" t="s">
        <v>64</v>
      </c>
      <c r="AT327" s="17" t="s">
        <v>65</v>
      </c>
      <c r="AU327" s="18" t="s">
        <v>66</v>
      </c>
      <c r="AV327" s="18" t="s">
        <v>67</v>
      </c>
      <c r="AW327" s="19" t="s">
        <v>68</v>
      </c>
      <c r="AX327" s="7" t="s">
        <v>207</v>
      </c>
      <c r="AY327" s="7" t="s">
        <v>208</v>
      </c>
      <c r="AZ327" s="7" t="s">
        <v>209</v>
      </c>
    </row>
    <row r="328" spans="1:52" s="148" customFormat="1" ht="14.5">
      <c r="A328" s="168">
        <f>A326+AM326</f>
        <v>0</v>
      </c>
      <c r="B328" s="168">
        <f t="shared" ref="B328" si="521">A328/60</f>
        <v>0</v>
      </c>
      <c r="C328" s="168">
        <f t="shared" ref="C328" si="522">B328/60</f>
        <v>0</v>
      </c>
      <c r="D328" s="168">
        <f ca="1">0.85*$B$12</f>
        <v>14642.396172934503</v>
      </c>
      <c r="E328" s="168">
        <f>E326+AO326</f>
        <v>0</v>
      </c>
      <c r="F328" s="168">
        <f>F326+AO326</f>
        <v>0</v>
      </c>
      <c r="G328" s="168"/>
      <c r="H328" s="136">
        <f>H326+AL326</f>
        <v>0</v>
      </c>
      <c r="I328" s="172">
        <v>15</v>
      </c>
      <c r="J328" s="168">
        <f t="shared" ref="J328" si="523">SQRT((((((((L328^2)*(0.2))/(661.477)^2) + 1)^(3.5) - 1)*(1/AR328) + 1)^(1/3.5) - 1)*(5))</f>
        <v>0.15117683608046922</v>
      </c>
      <c r="K328" s="168">
        <f>SQRT((1.4*2116.22*AR328*(J328)^2)/AV328)</f>
        <v>173.1185859265388</v>
      </c>
      <c r="L328" s="172">
        <v>100</v>
      </c>
      <c r="M328" s="168">
        <f t="shared" ref="M328" si="524">K328*0.592484</f>
        <v>102.56999226409941</v>
      </c>
      <c r="N328" s="168">
        <f t="shared" ref="N328" si="525">0.5*AV328*K328^2</f>
        <v>33.855509841634493</v>
      </c>
      <c r="O328" s="168">
        <f t="shared" ref="O328" si="526">P328/$B$7</f>
        <v>1006358.2566622874</v>
      </c>
      <c r="P328" s="168">
        <f t="shared" ref="P328" si="527">(AV328*K328*$B$7)/(AW328)</f>
        <v>6461527.1597848358</v>
      </c>
      <c r="Q328" s="168">
        <f>0.455/(LOG10(P328)^2.58 * (1+0.144*J328*J328)^0.65)</f>
        <v>3.217430652235113E-3</v>
      </c>
      <c r="R328" s="168">
        <f t="shared" ref="R328" si="528">(((Q328*$B$4)+$B$17)+(0.1*(Q328*$B$4)))</f>
        <v>2.4560805344740685E-2</v>
      </c>
      <c r="S328" s="173">
        <f t="shared" ref="S328" ca="1" si="529">T328</f>
        <v>-6.2558162951230516</v>
      </c>
      <c r="T328" s="174">
        <f ca="1">DEGREES(ASIN(((AF328-X328)/(D328))))</f>
        <v>-6.2558162951230516</v>
      </c>
      <c r="U328" s="168">
        <f ca="1">(D328*COS(RADIANS(S328)))/(N328*$B$3)</f>
        <v>1.8692230466084472</v>
      </c>
      <c r="V328" s="168">
        <f t="shared" ref="V328" ca="1" si="530">(X328)/(N328*$B$3)</f>
        <v>0.24523006853308921</v>
      </c>
      <c r="W328" s="168">
        <f t="shared" ref="W328" ca="1" si="531">U328/V328</f>
        <v>7.6223240395833862</v>
      </c>
      <c r="X328" s="168">
        <f t="shared" ref="X328" ca="1" si="532">(N328*$B$3*R328)+((N328*$B$3)*((U328^2)/(PI()*$B$6*$B$5)))</f>
        <v>1909.5494696979417</v>
      </c>
      <c r="Y328" s="168">
        <f t="shared" ref="Y328" si="533">SQRT(PI()*$B$6*$B$5*R328)</f>
        <v>0.62360775332890361</v>
      </c>
      <c r="Z328" s="168">
        <f ca="1">SQRT((2*((U328*N328*$B$3)/(D328))*D328)/(AV328*$B$3*$B$18))</f>
        <v>152.7807503627136</v>
      </c>
      <c r="AA328" s="145">
        <f ca="1">D328/W328</f>
        <v>1920.9884146744846</v>
      </c>
      <c r="AB328" s="175">
        <f t="shared" ref="AB328" si="534">$B$15*AR328</f>
        <v>6280</v>
      </c>
      <c r="AC328" s="169">
        <f t="shared" ref="AC328" ca="1" si="535">AA328*K328</f>
        <v>332558.7979297103</v>
      </c>
      <c r="AD328" s="168">
        <f t="shared" ref="AD328" si="536">AB328*K328</f>
        <v>1087184.7196186637</v>
      </c>
      <c r="AE328" s="172">
        <v>5</v>
      </c>
      <c r="AF328" s="168">
        <f t="shared" ref="AF328" si="537">AB328*(AE328/100)</f>
        <v>314</v>
      </c>
      <c r="AG328" s="168">
        <f t="shared" ref="AG328" ca="1" si="538">AB328-AA328</f>
        <v>4359.0115853255156</v>
      </c>
      <c r="AH328" s="168">
        <f t="shared" ref="AH328" ca="1" si="539">AD328-AC328</f>
        <v>754625.92168895341</v>
      </c>
      <c r="AI328" s="168">
        <f t="shared" ref="AI328" si="540">(AP328*AF328)</f>
        <v>250.73879796329663</v>
      </c>
      <c r="AJ328" s="170">
        <f t="shared" ref="AJ328" ca="1" si="541">K328*SIN(RADIANS(T328))</f>
        <v>-18.864348751915312</v>
      </c>
      <c r="AK328" s="145"/>
      <c r="AL328" s="172">
        <v>0</v>
      </c>
      <c r="AM328" s="172">
        <v>0</v>
      </c>
      <c r="AN328" s="168">
        <f t="shared" ref="AN328" si="542">AI328*(AM328/3600)</f>
        <v>0</v>
      </c>
      <c r="AO328" s="168">
        <f t="shared" ref="AO328" ca="1" si="543">M328*COS(RADIANS(T328))*(AM328/3600)</f>
        <v>0</v>
      </c>
      <c r="AP328" s="162">
        <f t="shared" ref="AP328" si="544">-18.066*(AZ328^6) + 34.325*(AZ328^5) - 25.292*(AZ328^4) + 8.7618*(AZ328^3) - 1.317*(AZ328^2) + 0.358*(AZ328^1) + 0.7659</f>
        <v>0.79853120370476638</v>
      </c>
      <c r="AQ328" s="171">
        <f>IF(H328 &lt;= 36089, ((1 - 6.87535*10^(-6)*H328) + ((I328*1.8)/518.67)), 0.75187 + ((I328*1.8)/518.67))</f>
        <v>1.0520562207183759</v>
      </c>
      <c r="AR328" s="171">
        <f>IF(H328 &lt;= 36089, (1 - 6.87535*10^(-6)*H328)^5.2561, 0.22336*EXP((36089 - H328)/(20806.7)))</f>
        <v>1</v>
      </c>
      <c r="AS328" s="171">
        <f t="shared" ref="AS328" si="545">(AR328/AQ328)</f>
        <v>0.95051954477981193</v>
      </c>
      <c r="AT328" s="171">
        <f t="shared" ref="AT328" si="546">(518.67*AQ328)</f>
        <v>545.66999999999996</v>
      </c>
      <c r="AU328" s="171">
        <f t="shared" ref="AU328" si="547">2116.22*AR328</f>
        <v>2116.2199999999998</v>
      </c>
      <c r="AV328" s="171">
        <f t="shared" ref="AV328" si="548">(0.0023769*AS328)</f>
        <v>2.259289905987135E-3</v>
      </c>
      <c r="AW328" s="171">
        <f t="shared" ref="AW328" si="549">((2.2697*10^-8)*(AT328^1.5))/(AT328+198.72)</f>
        <v>3.8865391239478742E-7</v>
      </c>
      <c r="AX328" s="168">
        <f t="shared" ref="AX328" ca="1" si="550">(1/U328)*(((1 + 0.2*(U328)^2)/1.2)^3)</f>
        <v>1.5178228753333851</v>
      </c>
      <c r="AY328" s="168">
        <f t="shared" ref="AY328" ca="1" si="551">($H$4/$H$3)*AX328</f>
        <v>2.0445375684954343</v>
      </c>
      <c r="AZ328" s="168">
        <f>-6.6*10^(-3) + 0.825*J328 - 0.243*(J328^2)</f>
        <v>0.11256726187493296</v>
      </c>
    </row>
    <row r="329" spans="1:52" ht="14.5">
      <c r="AC329" s="3"/>
      <c r="AD329" s="3"/>
      <c r="AP329" s="53"/>
    </row>
    <row r="330" spans="1:52" ht="14.5">
      <c r="AC330" s="3"/>
      <c r="AD330" s="3"/>
      <c r="AP330" s="53"/>
    </row>
    <row r="331" spans="1:52" s="137" customFormat="1" ht="14.5">
      <c r="AC331" s="138"/>
      <c r="AD331" s="138"/>
      <c r="AP331" s="139"/>
    </row>
    <row r="332" spans="1:52" ht="14.5">
      <c r="AC332" s="3"/>
      <c r="AD332" s="3"/>
      <c r="AP332" s="53"/>
    </row>
    <row r="333" spans="1:52" ht="14.5">
      <c r="A333" s="131" t="s">
        <v>255</v>
      </c>
      <c r="B333" s="154">
        <f>0.95*B334</f>
        <v>114</v>
      </c>
      <c r="F333" s="131" t="s">
        <v>257</v>
      </c>
      <c r="G333" s="154">
        <f>(B337/B338)+(B335*(B338/2))</f>
        <v>9276.0307457540803</v>
      </c>
      <c r="L333" s="75" t="s">
        <v>217</v>
      </c>
      <c r="M333" s="154">
        <f ca="1">D195</f>
        <v>14642.396172934503</v>
      </c>
      <c r="AC333" s="3"/>
      <c r="AD333" s="3"/>
      <c r="AP333" s="53"/>
    </row>
    <row r="334" spans="1:52" ht="14.5">
      <c r="A334" s="131" t="s">
        <v>229</v>
      </c>
      <c r="B334" s="131">
        <f>1.2*L195</f>
        <v>120</v>
      </c>
      <c r="AC334" s="3"/>
      <c r="AD334" s="3"/>
      <c r="AP334" s="53"/>
    </row>
    <row r="335" spans="1:52" ht="14.5">
      <c r="A335" s="131" t="s">
        <v>252</v>
      </c>
      <c r="B335" s="154">
        <f>(B333*B333)/(B336*(1.06-1))</f>
        <v>6732.981038234373</v>
      </c>
      <c r="AC335" s="3"/>
      <c r="AD335" s="3"/>
      <c r="AP335" s="53"/>
    </row>
    <row r="336" spans="1:52" ht="14.5">
      <c r="A336" s="131" t="s">
        <v>251</v>
      </c>
      <c r="B336" s="154">
        <v>32.17</v>
      </c>
      <c r="AC336" s="3"/>
      <c r="AD336" s="3"/>
      <c r="AP336" s="53"/>
    </row>
    <row r="337" spans="1:42" ht="14.5">
      <c r="A337" s="131" t="s">
        <v>253</v>
      </c>
      <c r="B337" s="154">
        <v>50</v>
      </c>
      <c r="AC337" s="3"/>
      <c r="AD337" s="3"/>
      <c r="AP337" s="53"/>
    </row>
    <row r="338" spans="1:42" ht="14.5">
      <c r="A338" s="131" t="s">
        <v>254</v>
      </c>
      <c r="B338" s="154">
        <v>2.75</v>
      </c>
      <c r="AC338" s="3"/>
      <c r="AD338" s="3"/>
      <c r="AP338" s="53"/>
    </row>
    <row r="339" spans="1:42" ht="14.5">
      <c r="A339" s="131" t="s">
        <v>256</v>
      </c>
      <c r="B339" s="154">
        <v>2</v>
      </c>
      <c r="AC339" s="3"/>
      <c r="AD339" s="3"/>
      <c r="AP339" s="53"/>
    </row>
    <row r="340" spans="1:42" ht="14.5">
      <c r="AC340" s="3"/>
      <c r="AD340" s="3"/>
      <c r="AP340" s="53"/>
    </row>
    <row r="341" spans="1:42" ht="14.5">
      <c r="AC341" s="3"/>
      <c r="AD341" s="3"/>
      <c r="AP341" s="53"/>
    </row>
    <row r="342" spans="1:42" ht="14.5">
      <c r="AC342" s="3"/>
      <c r="AD342" s="3"/>
      <c r="AP342" s="53"/>
    </row>
    <row r="343" spans="1:42" ht="14.5">
      <c r="AC343" s="3"/>
      <c r="AD343" s="3"/>
      <c r="AP343" s="53"/>
    </row>
    <row r="344" spans="1:42" ht="14.5">
      <c r="AC344" s="3"/>
      <c r="AD344" s="3"/>
      <c r="AP344" s="53"/>
    </row>
    <row r="345" spans="1:42" ht="14.5">
      <c r="AC345" s="3"/>
      <c r="AD345" s="3"/>
      <c r="AP345" s="53"/>
    </row>
    <row r="346" spans="1:42" ht="14.5">
      <c r="AC346" s="3"/>
      <c r="AD346" s="3"/>
      <c r="AP346" s="53"/>
    </row>
    <row r="347" spans="1:42" ht="14.5">
      <c r="AC347" s="3"/>
      <c r="AD347" s="3"/>
      <c r="AP347" s="53"/>
    </row>
    <row r="348" spans="1:42" ht="14.5">
      <c r="AC348" s="3"/>
      <c r="AD348" s="3"/>
      <c r="AP348" s="53"/>
    </row>
    <row r="349" spans="1:42" ht="14.5">
      <c r="AC349" s="3"/>
      <c r="AD349" s="3"/>
      <c r="AP349" s="53"/>
    </row>
    <row r="350" spans="1:42" ht="14.5">
      <c r="AC350" s="3"/>
      <c r="AD350" s="3"/>
      <c r="AP350" s="53"/>
    </row>
    <row r="351" spans="1:42" ht="14.5">
      <c r="AC351" s="3"/>
      <c r="AD351" s="3"/>
      <c r="AP351" s="53"/>
    </row>
    <row r="352" spans="1:42" ht="14.5">
      <c r="AC352" s="3"/>
      <c r="AD352" s="3"/>
      <c r="AP352" s="53"/>
    </row>
    <row r="353" spans="29:42" ht="14.5">
      <c r="AC353" s="3"/>
      <c r="AD353" s="3"/>
      <c r="AP353" s="53"/>
    </row>
    <row r="354" spans="29:42" ht="14.5">
      <c r="AC354" s="3"/>
      <c r="AD354" s="3"/>
      <c r="AP354" s="53"/>
    </row>
    <row r="355" spans="29:42" ht="14.5">
      <c r="AC355" s="3"/>
      <c r="AD355" s="3"/>
      <c r="AP355" s="53"/>
    </row>
    <row r="356" spans="29:42" ht="14.5">
      <c r="AC356" s="3"/>
      <c r="AD356" s="3"/>
      <c r="AP356" s="53"/>
    </row>
    <row r="357" spans="29:42" ht="14.5">
      <c r="AC357" s="3"/>
      <c r="AD357" s="3"/>
      <c r="AP357" s="53"/>
    </row>
    <row r="358" spans="29:42" ht="14.5">
      <c r="AC358" s="3"/>
      <c r="AD358" s="3"/>
      <c r="AP358" s="53"/>
    </row>
    <row r="359" spans="29:42" ht="14.5">
      <c r="AC359" s="3"/>
      <c r="AD359" s="3"/>
      <c r="AP359" s="53"/>
    </row>
    <row r="360" spans="29:42" ht="14.5">
      <c r="AC360" s="3"/>
      <c r="AD360" s="3"/>
      <c r="AP360" s="53"/>
    </row>
    <row r="361" spans="29:42" ht="14.5">
      <c r="AC361" s="3"/>
      <c r="AD361" s="3"/>
      <c r="AP361" s="53"/>
    </row>
    <row r="362" spans="29:42" ht="14.5">
      <c r="AC362" s="3"/>
      <c r="AD362" s="3"/>
      <c r="AP362" s="53"/>
    </row>
    <row r="363" spans="29:42" ht="14.5">
      <c r="AC363" s="3"/>
      <c r="AD363" s="3"/>
      <c r="AP363" s="53"/>
    </row>
    <row r="364" spans="29:42" ht="14.5">
      <c r="AC364" s="3"/>
      <c r="AD364" s="3"/>
      <c r="AP364" s="53"/>
    </row>
    <row r="365" spans="29:42" ht="14.5">
      <c r="AC365" s="3"/>
      <c r="AD365" s="3"/>
      <c r="AP365" s="53"/>
    </row>
    <row r="366" spans="29:42" ht="14.5">
      <c r="AC366" s="3"/>
      <c r="AD366" s="3"/>
      <c r="AP366" s="53"/>
    </row>
    <row r="367" spans="29:42" ht="14.5">
      <c r="AC367" s="3"/>
      <c r="AD367" s="3"/>
      <c r="AP367" s="53"/>
    </row>
    <row r="368" spans="29:42" ht="14.5">
      <c r="AC368" s="3"/>
      <c r="AD368" s="3"/>
      <c r="AP368" s="53"/>
    </row>
    <row r="369" spans="29:42" ht="14.5">
      <c r="AC369" s="3"/>
      <c r="AD369" s="3"/>
      <c r="AP369" s="53"/>
    </row>
    <row r="370" spans="29:42" ht="14.5">
      <c r="AC370" s="3"/>
      <c r="AD370" s="3"/>
      <c r="AP370" s="53"/>
    </row>
    <row r="371" spans="29:42" ht="14.5">
      <c r="AC371" s="3"/>
      <c r="AD371" s="3"/>
      <c r="AP371" s="53"/>
    </row>
    <row r="372" spans="29:42" ht="14.5">
      <c r="AC372" s="3"/>
      <c r="AD372" s="3"/>
      <c r="AP372" s="53"/>
    </row>
    <row r="373" spans="29:42" ht="14.5">
      <c r="AC373" s="3"/>
      <c r="AD373" s="3"/>
      <c r="AP373" s="53"/>
    </row>
    <row r="374" spans="29:42" ht="14.5">
      <c r="AC374" s="3"/>
      <c r="AD374" s="3"/>
      <c r="AP374" s="53"/>
    </row>
    <row r="375" spans="29:42" ht="14.5">
      <c r="AC375" s="3"/>
      <c r="AD375" s="3"/>
      <c r="AP375" s="53"/>
    </row>
    <row r="376" spans="29:42" ht="14.5">
      <c r="AC376" s="3"/>
      <c r="AD376" s="3"/>
      <c r="AP376" s="53"/>
    </row>
    <row r="377" spans="29:42" ht="14.5">
      <c r="AC377" s="3"/>
      <c r="AD377" s="3"/>
      <c r="AP377" s="53"/>
    </row>
    <row r="378" spans="29:42" ht="14.5">
      <c r="AC378" s="3"/>
      <c r="AD378" s="3"/>
      <c r="AP378" s="53"/>
    </row>
    <row r="379" spans="29:42" ht="14.5">
      <c r="AC379" s="3"/>
      <c r="AD379" s="3"/>
      <c r="AP379" s="53"/>
    </row>
    <row r="380" spans="29:42" ht="14.5">
      <c r="AC380" s="3"/>
      <c r="AD380" s="3"/>
      <c r="AP380" s="53"/>
    </row>
    <row r="381" spans="29:42" ht="14.5">
      <c r="AC381" s="3"/>
      <c r="AD381" s="3"/>
      <c r="AP381" s="53"/>
    </row>
    <row r="382" spans="29:42" ht="14.5">
      <c r="AC382" s="3"/>
      <c r="AD382" s="3"/>
      <c r="AP382" s="53"/>
    </row>
    <row r="383" spans="29:42" ht="14.5">
      <c r="AC383" s="3"/>
      <c r="AD383" s="3"/>
      <c r="AP383" s="53"/>
    </row>
    <row r="384" spans="29:42" ht="14.5">
      <c r="AC384" s="3"/>
      <c r="AD384" s="3"/>
      <c r="AP384" s="53"/>
    </row>
    <row r="385" spans="29:42" ht="14.5">
      <c r="AC385" s="3"/>
      <c r="AD385" s="3"/>
      <c r="AP385" s="53"/>
    </row>
    <row r="386" spans="29:42" ht="14.5">
      <c r="AC386" s="3"/>
      <c r="AD386" s="3"/>
      <c r="AP386" s="53"/>
    </row>
    <row r="387" spans="29:42" ht="14.5">
      <c r="AC387" s="3"/>
      <c r="AD387" s="3"/>
      <c r="AP387" s="53"/>
    </row>
    <row r="388" spans="29:42" ht="14.5">
      <c r="AC388" s="3"/>
      <c r="AD388" s="3"/>
      <c r="AP388" s="53"/>
    </row>
    <row r="389" spans="29:42" ht="14.5">
      <c r="AC389" s="3"/>
      <c r="AD389" s="3"/>
      <c r="AP389" s="53"/>
    </row>
    <row r="390" spans="29:42" ht="14.5">
      <c r="AC390" s="3"/>
      <c r="AD390" s="3"/>
      <c r="AP390" s="53"/>
    </row>
    <row r="391" spans="29:42" ht="14.5">
      <c r="AC391" s="3"/>
      <c r="AD391" s="3"/>
      <c r="AP391" s="53"/>
    </row>
    <row r="392" spans="29:42" ht="14.5">
      <c r="AC392" s="3"/>
      <c r="AD392" s="3"/>
      <c r="AP392" s="53"/>
    </row>
    <row r="393" spans="29:42" ht="14.5">
      <c r="AC393" s="3"/>
      <c r="AD393" s="3"/>
      <c r="AP393" s="53"/>
    </row>
    <row r="394" spans="29:42" ht="14.5">
      <c r="AC394" s="3"/>
      <c r="AD394" s="3"/>
      <c r="AP394" s="53"/>
    </row>
    <row r="395" spans="29:42" ht="14.5">
      <c r="AC395" s="3"/>
      <c r="AD395" s="3"/>
      <c r="AP395" s="53"/>
    </row>
    <row r="396" spans="29:42" ht="14.5">
      <c r="AC396" s="3"/>
      <c r="AD396" s="3"/>
      <c r="AP396" s="53"/>
    </row>
    <row r="397" spans="29:42" ht="14.5">
      <c r="AC397" s="3"/>
      <c r="AD397" s="3"/>
      <c r="AP397" s="53"/>
    </row>
    <row r="398" spans="29:42" ht="14.5">
      <c r="AC398" s="3"/>
      <c r="AD398" s="3"/>
      <c r="AP398" s="53"/>
    </row>
    <row r="399" spans="29:42" ht="14.5">
      <c r="AC399" s="3"/>
      <c r="AD399" s="3"/>
      <c r="AP399" s="53"/>
    </row>
    <row r="400" spans="29:42" ht="14.5">
      <c r="AC400" s="3"/>
      <c r="AD400" s="3"/>
      <c r="AP400" s="53"/>
    </row>
    <row r="401" spans="29:42" ht="14.5">
      <c r="AC401" s="3"/>
      <c r="AD401" s="3"/>
      <c r="AP401" s="53"/>
    </row>
    <row r="402" spans="29:42" ht="14.5">
      <c r="AC402" s="3"/>
      <c r="AD402" s="3"/>
      <c r="AP402" s="53"/>
    </row>
    <row r="403" spans="29:42" ht="14.5">
      <c r="AC403" s="3"/>
      <c r="AD403" s="3"/>
      <c r="AP403" s="53"/>
    </row>
    <row r="404" spans="29:42" ht="14.5">
      <c r="AC404" s="3"/>
      <c r="AD404" s="3"/>
      <c r="AP404" s="53"/>
    </row>
    <row r="405" spans="29:42" ht="14.5">
      <c r="AC405" s="3"/>
      <c r="AD405" s="3"/>
      <c r="AP405" s="53"/>
    </row>
    <row r="406" spans="29:42" ht="14.5">
      <c r="AC406" s="3"/>
      <c r="AD406" s="3"/>
      <c r="AP406" s="53"/>
    </row>
    <row r="407" spans="29:42" ht="14.5">
      <c r="AC407" s="3"/>
      <c r="AD407" s="3"/>
      <c r="AP407" s="53"/>
    </row>
    <row r="408" spans="29:42" ht="14.5">
      <c r="AC408" s="3"/>
      <c r="AD408" s="3"/>
      <c r="AP408" s="53"/>
    </row>
    <row r="409" spans="29:42" ht="14.5">
      <c r="AC409" s="3"/>
      <c r="AD409" s="3"/>
      <c r="AP409" s="53"/>
    </row>
    <row r="410" spans="29:42" ht="14.5">
      <c r="AC410" s="3"/>
      <c r="AD410" s="3"/>
      <c r="AP410" s="53"/>
    </row>
    <row r="411" spans="29:42" ht="14.5">
      <c r="AC411" s="3"/>
      <c r="AD411" s="3"/>
      <c r="AP411" s="53"/>
    </row>
    <row r="412" spans="29:42" ht="14.5">
      <c r="AC412" s="3"/>
      <c r="AD412" s="3"/>
      <c r="AP412" s="53"/>
    </row>
    <row r="413" spans="29:42" ht="14.5">
      <c r="AC413" s="3"/>
      <c r="AD413" s="3"/>
      <c r="AP413" s="53"/>
    </row>
    <row r="414" spans="29:42" ht="14.5">
      <c r="AC414" s="3"/>
      <c r="AD414" s="3"/>
      <c r="AP414" s="53"/>
    </row>
    <row r="415" spans="29:42" ht="14.5">
      <c r="AC415" s="3"/>
      <c r="AD415" s="3"/>
      <c r="AP415" s="53"/>
    </row>
    <row r="416" spans="29:42" ht="14.5">
      <c r="AC416" s="3"/>
      <c r="AD416" s="3"/>
      <c r="AP416" s="53"/>
    </row>
    <row r="417" spans="29:42" ht="14.5">
      <c r="AC417" s="3"/>
      <c r="AD417" s="3"/>
      <c r="AP417" s="53"/>
    </row>
    <row r="418" spans="29:42" ht="14.5">
      <c r="AC418" s="3"/>
      <c r="AD418" s="3"/>
      <c r="AP418" s="53"/>
    </row>
    <row r="419" spans="29:42" ht="14.5">
      <c r="AC419" s="3"/>
      <c r="AD419" s="3"/>
      <c r="AP419" s="53"/>
    </row>
    <row r="420" spans="29:42" ht="14.5">
      <c r="AC420" s="3"/>
      <c r="AD420" s="3"/>
      <c r="AP420" s="53"/>
    </row>
    <row r="421" spans="29:42" ht="14.5">
      <c r="AC421" s="3"/>
      <c r="AD421" s="3"/>
      <c r="AP421" s="53"/>
    </row>
    <row r="422" spans="29:42" ht="14.5">
      <c r="AC422" s="3"/>
      <c r="AD422" s="3"/>
      <c r="AP422" s="53"/>
    </row>
    <row r="423" spans="29:42" ht="14.5">
      <c r="AC423" s="3"/>
      <c r="AD423" s="3"/>
      <c r="AP423" s="53"/>
    </row>
    <row r="424" spans="29:42" ht="14.5">
      <c r="AC424" s="3"/>
      <c r="AD424" s="3"/>
      <c r="AP424" s="53"/>
    </row>
    <row r="425" spans="29:42" ht="14.5">
      <c r="AC425" s="3"/>
      <c r="AD425" s="3"/>
      <c r="AP425" s="53"/>
    </row>
    <row r="426" spans="29:42" ht="14.5">
      <c r="AC426" s="3"/>
      <c r="AD426" s="3"/>
      <c r="AP426" s="53"/>
    </row>
    <row r="427" spans="29:42" ht="14.5">
      <c r="AC427" s="3"/>
      <c r="AD427" s="3"/>
      <c r="AP427" s="53"/>
    </row>
    <row r="428" spans="29:42" ht="14.5">
      <c r="AC428" s="3"/>
      <c r="AD428" s="3"/>
      <c r="AP428" s="53"/>
    </row>
    <row r="429" spans="29:42" ht="14.5">
      <c r="AC429" s="3"/>
      <c r="AD429" s="3"/>
      <c r="AP429" s="53"/>
    </row>
    <row r="430" spans="29:42" ht="14.5">
      <c r="AC430" s="3"/>
      <c r="AD430" s="3"/>
      <c r="AP430" s="53"/>
    </row>
    <row r="431" spans="29:42" ht="14.5">
      <c r="AC431" s="3"/>
      <c r="AD431" s="3"/>
      <c r="AP431" s="53"/>
    </row>
    <row r="432" spans="29:42" ht="14.5">
      <c r="AC432" s="3"/>
      <c r="AD432" s="3"/>
      <c r="AP432" s="53"/>
    </row>
    <row r="433" spans="29:42" ht="14.5">
      <c r="AC433" s="3"/>
      <c r="AD433" s="3"/>
      <c r="AP433" s="53"/>
    </row>
    <row r="434" spans="29:42" ht="14.5">
      <c r="AC434" s="3"/>
      <c r="AD434" s="3"/>
      <c r="AP434" s="53"/>
    </row>
    <row r="435" spans="29:42" ht="14.5">
      <c r="AC435" s="3"/>
      <c r="AD435" s="3"/>
      <c r="AP435" s="53"/>
    </row>
    <row r="436" spans="29:42" ht="14.5">
      <c r="AC436" s="3"/>
      <c r="AD436" s="3"/>
      <c r="AP436" s="53"/>
    </row>
    <row r="437" spans="29:42" ht="14.5">
      <c r="AC437" s="3"/>
      <c r="AD437" s="3"/>
      <c r="AP437" s="53"/>
    </row>
    <row r="438" spans="29:42" ht="14.5">
      <c r="AC438" s="3"/>
      <c r="AD438" s="3"/>
      <c r="AP438" s="53"/>
    </row>
    <row r="439" spans="29:42" ht="14.5">
      <c r="AC439" s="3"/>
      <c r="AD439" s="3"/>
      <c r="AP439" s="53"/>
    </row>
    <row r="440" spans="29:42" ht="14.5">
      <c r="AC440" s="3"/>
      <c r="AD440" s="3"/>
      <c r="AP440" s="53"/>
    </row>
    <row r="441" spans="29:42" ht="14.5">
      <c r="AC441" s="3"/>
      <c r="AD441" s="3"/>
      <c r="AP441" s="53"/>
    </row>
    <row r="442" spans="29:42" ht="14.5">
      <c r="AC442" s="3"/>
      <c r="AD442" s="3"/>
      <c r="AP442" s="53"/>
    </row>
    <row r="443" spans="29:42" ht="14.5">
      <c r="AC443" s="3"/>
      <c r="AD443" s="3"/>
      <c r="AP443" s="53"/>
    </row>
    <row r="444" spans="29:42" ht="14.5">
      <c r="AC444" s="3"/>
      <c r="AD444" s="3"/>
      <c r="AP444" s="53"/>
    </row>
    <row r="445" spans="29:42" ht="14.5">
      <c r="AC445" s="3"/>
      <c r="AD445" s="3"/>
      <c r="AP445" s="53"/>
    </row>
    <row r="446" spans="29:42" ht="14.5">
      <c r="AC446" s="3"/>
      <c r="AD446" s="3"/>
      <c r="AP446" s="53"/>
    </row>
    <row r="447" spans="29:42" ht="14.5">
      <c r="AC447" s="3"/>
      <c r="AD447" s="3"/>
      <c r="AP447" s="53"/>
    </row>
    <row r="448" spans="29:42" ht="14.5">
      <c r="AC448" s="3"/>
      <c r="AD448" s="3"/>
      <c r="AP448" s="53"/>
    </row>
    <row r="449" spans="29:42" ht="14.5">
      <c r="AC449" s="3"/>
      <c r="AD449" s="3"/>
      <c r="AP449" s="53"/>
    </row>
    <row r="450" spans="29:42" ht="14.5">
      <c r="AC450" s="3"/>
      <c r="AD450" s="3"/>
      <c r="AP450" s="53"/>
    </row>
    <row r="451" spans="29:42" ht="14.5">
      <c r="AC451" s="3"/>
      <c r="AD451" s="3"/>
      <c r="AP451" s="53"/>
    </row>
    <row r="452" spans="29:42" ht="14.5">
      <c r="AC452" s="3"/>
      <c r="AD452" s="3"/>
      <c r="AP452" s="53"/>
    </row>
    <row r="453" spans="29:42" ht="14.5">
      <c r="AC453" s="3"/>
      <c r="AD453" s="3"/>
      <c r="AP453" s="53"/>
    </row>
    <row r="454" spans="29:42" ht="14.5">
      <c r="AC454" s="3"/>
      <c r="AD454" s="3"/>
      <c r="AP454" s="53"/>
    </row>
    <row r="455" spans="29:42" ht="14.5">
      <c r="AC455" s="3"/>
      <c r="AD455" s="3"/>
      <c r="AP455" s="53"/>
    </row>
    <row r="456" spans="29:42" ht="14.5">
      <c r="AC456" s="3"/>
      <c r="AD456" s="3"/>
      <c r="AP456" s="53"/>
    </row>
    <row r="457" spans="29:42" ht="14.5">
      <c r="AC457" s="3"/>
      <c r="AD457" s="3"/>
      <c r="AP457" s="53"/>
    </row>
    <row r="458" spans="29:42" ht="14.5">
      <c r="AC458" s="3"/>
      <c r="AD458" s="3"/>
      <c r="AP458" s="53"/>
    </row>
    <row r="459" spans="29:42" ht="14.5">
      <c r="AC459" s="3"/>
      <c r="AD459" s="3"/>
      <c r="AP459" s="53"/>
    </row>
    <row r="460" spans="29:42" ht="14.5">
      <c r="AC460" s="3"/>
      <c r="AD460" s="3"/>
      <c r="AP460" s="53"/>
    </row>
    <row r="461" spans="29:42" ht="14.5">
      <c r="AC461" s="3"/>
      <c r="AD461" s="3"/>
      <c r="AP461" s="53"/>
    </row>
    <row r="462" spans="29:42" ht="14.5">
      <c r="AC462" s="3"/>
      <c r="AD462" s="3"/>
      <c r="AP462" s="53"/>
    </row>
    <row r="463" spans="29:42" ht="14.5">
      <c r="AC463" s="3"/>
      <c r="AD463" s="3"/>
      <c r="AP463" s="53"/>
    </row>
    <row r="464" spans="29:42" ht="14.5">
      <c r="AC464" s="3"/>
      <c r="AD464" s="3"/>
      <c r="AP464" s="53"/>
    </row>
    <row r="465" spans="29:42" ht="14.5">
      <c r="AC465" s="3"/>
      <c r="AD465" s="3"/>
      <c r="AP465" s="53"/>
    </row>
    <row r="466" spans="29:42" ht="14.5">
      <c r="AC466" s="3"/>
      <c r="AD466" s="3"/>
      <c r="AP466" s="53"/>
    </row>
    <row r="467" spans="29:42" ht="14.5">
      <c r="AC467" s="3"/>
      <c r="AD467" s="3"/>
      <c r="AP467" s="53"/>
    </row>
    <row r="468" spans="29:42" ht="14.5">
      <c r="AC468" s="3"/>
      <c r="AD468" s="3"/>
      <c r="AP468" s="53"/>
    </row>
    <row r="469" spans="29:42" ht="14.5">
      <c r="AC469" s="3"/>
      <c r="AD469" s="3"/>
      <c r="AP469" s="53"/>
    </row>
    <row r="470" spans="29:42" ht="14.5">
      <c r="AC470" s="3"/>
      <c r="AD470" s="3"/>
      <c r="AP470" s="53"/>
    </row>
    <row r="471" spans="29:42" ht="14.5">
      <c r="AC471" s="3"/>
      <c r="AD471" s="3"/>
      <c r="AP471" s="53"/>
    </row>
    <row r="472" spans="29:42" ht="14.5">
      <c r="AC472" s="3"/>
      <c r="AD472" s="3"/>
      <c r="AP472" s="53"/>
    </row>
    <row r="473" spans="29:42" ht="14.5">
      <c r="AC473" s="3"/>
      <c r="AD473" s="3"/>
      <c r="AP473" s="53"/>
    </row>
    <row r="474" spans="29:42" ht="14.5">
      <c r="AC474" s="3"/>
      <c r="AD474" s="3"/>
      <c r="AP474" s="53"/>
    </row>
    <row r="475" spans="29:42" ht="14.5">
      <c r="AC475" s="3"/>
      <c r="AD475" s="3"/>
      <c r="AP475" s="53"/>
    </row>
    <row r="476" spans="29:42" ht="14.5">
      <c r="AC476" s="3"/>
      <c r="AD476" s="3"/>
      <c r="AP476" s="53"/>
    </row>
    <row r="477" spans="29:42" ht="14.5">
      <c r="AC477" s="3"/>
      <c r="AD477" s="3"/>
      <c r="AP477" s="53"/>
    </row>
    <row r="478" spans="29:42" ht="14.5">
      <c r="AC478" s="3"/>
      <c r="AD478" s="3"/>
      <c r="AP478" s="53"/>
    </row>
    <row r="479" spans="29:42" ht="14.5">
      <c r="AC479" s="3"/>
      <c r="AD479" s="3"/>
      <c r="AP479" s="53"/>
    </row>
    <row r="480" spans="29:42" ht="14.5">
      <c r="AC480" s="3"/>
      <c r="AD480" s="3"/>
      <c r="AP480" s="53"/>
    </row>
    <row r="481" spans="29:42" ht="14.5">
      <c r="AC481" s="3"/>
      <c r="AD481" s="3"/>
      <c r="AP481" s="53"/>
    </row>
    <row r="482" spans="29:42" ht="14.5">
      <c r="AC482" s="3"/>
      <c r="AD482" s="3"/>
      <c r="AP482" s="53"/>
    </row>
    <row r="483" spans="29:42" ht="14.5">
      <c r="AC483" s="3"/>
      <c r="AD483" s="3"/>
      <c r="AP483" s="53"/>
    </row>
    <row r="484" spans="29:42" ht="14.5">
      <c r="AC484" s="3"/>
      <c r="AD484" s="3"/>
      <c r="AP484" s="53"/>
    </row>
    <row r="485" spans="29:42" ht="14.5">
      <c r="AC485" s="3"/>
      <c r="AD485" s="3"/>
      <c r="AP485" s="53"/>
    </row>
    <row r="486" spans="29:42" ht="14.5">
      <c r="AC486" s="3"/>
      <c r="AD486" s="3"/>
      <c r="AP486" s="53"/>
    </row>
    <row r="487" spans="29:42" ht="14.5">
      <c r="AC487" s="3"/>
      <c r="AD487" s="3"/>
      <c r="AP487" s="53"/>
    </row>
    <row r="488" spans="29:42" ht="14.5">
      <c r="AC488" s="3"/>
      <c r="AD488" s="3"/>
      <c r="AP488" s="53"/>
    </row>
    <row r="489" spans="29:42" ht="14.5">
      <c r="AC489" s="3"/>
      <c r="AD489" s="3"/>
      <c r="AP489" s="53"/>
    </row>
    <row r="490" spans="29:42" ht="14.5">
      <c r="AC490" s="3"/>
      <c r="AD490" s="3"/>
      <c r="AP490" s="53"/>
    </row>
    <row r="491" spans="29:42" ht="14.5">
      <c r="AC491" s="3"/>
      <c r="AD491" s="3"/>
      <c r="AP491" s="53"/>
    </row>
    <row r="492" spans="29:42" ht="14.5">
      <c r="AC492" s="3"/>
      <c r="AD492" s="3"/>
      <c r="AP492" s="53"/>
    </row>
    <row r="493" spans="29:42" ht="14.5">
      <c r="AC493" s="3"/>
      <c r="AD493" s="3"/>
      <c r="AP493" s="53"/>
    </row>
    <row r="494" spans="29:42" ht="14.5">
      <c r="AC494" s="3"/>
      <c r="AD494" s="3"/>
      <c r="AP494" s="53"/>
    </row>
    <row r="495" spans="29:42" ht="14.5">
      <c r="AC495" s="3"/>
      <c r="AD495" s="3"/>
      <c r="AP495" s="53"/>
    </row>
    <row r="496" spans="29:42" ht="14.5">
      <c r="AC496" s="3"/>
      <c r="AD496" s="3"/>
      <c r="AP496" s="53"/>
    </row>
    <row r="497" spans="29:42" ht="14.5">
      <c r="AC497" s="3"/>
      <c r="AD497" s="3"/>
      <c r="AP497" s="53"/>
    </row>
    <row r="498" spans="29:42" ht="14.5">
      <c r="AC498" s="3"/>
      <c r="AD498" s="3"/>
      <c r="AP498" s="53"/>
    </row>
    <row r="499" spans="29:42" ht="14.5">
      <c r="AC499" s="3"/>
      <c r="AD499" s="3"/>
      <c r="AP499" s="53"/>
    </row>
    <row r="500" spans="29:42" ht="14.5">
      <c r="AC500" s="3"/>
      <c r="AD500" s="3"/>
      <c r="AP500" s="53"/>
    </row>
    <row r="501" spans="29:42" ht="14.5">
      <c r="AC501" s="3"/>
      <c r="AD501" s="3"/>
      <c r="AP501" s="53"/>
    </row>
    <row r="502" spans="29:42" ht="14.5">
      <c r="AC502" s="3"/>
      <c r="AD502" s="3"/>
      <c r="AP502" s="53"/>
    </row>
    <row r="503" spans="29:42" ht="14.5">
      <c r="AC503" s="3"/>
      <c r="AD503" s="3"/>
      <c r="AP503" s="53"/>
    </row>
    <row r="504" spans="29:42" ht="14.5">
      <c r="AC504" s="3"/>
      <c r="AD504" s="3"/>
      <c r="AP504" s="53"/>
    </row>
    <row r="505" spans="29:42" ht="14.5">
      <c r="AC505" s="3"/>
      <c r="AD505" s="3"/>
      <c r="AP505" s="53"/>
    </row>
    <row r="506" spans="29:42" ht="14.5">
      <c r="AC506" s="3"/>
      <c r="AD506" s="3"/>
      <c r="AP506" s="53"/>
    </row>
    <row r="507" spans="29:42" ht="14.5">
      <c r="AC507" s="3"/>
      <c r="AD507" s="3"/>
      <c r="AP507" s="53"/>
    </row>
    <row r="508" spans="29:42" ht="14.5">
      <c r="AC508" s="3"/>
      <c r="AD508" s="3"/>
      <c r="AP508" s="53"/>
    </row>
    <row r="509" spans="29:42" ht="14.5">
      <c r="AC509" s="3"/>
      <c r="AD509" s="3"/>
      <c r="AP509" s="53"/>
    </row>
    <row r="510" spans="29:42" ht="14.5">
      <c r="AC510" s="3"/>
      <c r="AD510" s="3"/>
      <c r="AP510" s="53"/>
    </row>
    <row r="511" spans="29:42" ht="14.5">
      <c r="AC511" s="3"/>
      <c r="AD511" s="3"/>
      <c r="AP511" s="53"/>
    </row>
    <row r="512" spans="29:42" ht="14.5">
      <c r="AC512" s="3"/>
      <c r="AD512" s="3"/>
      <c r="AP512" s="53"/>
    </row>
    <row r="513" spans="29:42" ht="14.5">
      <c r="AC513" s="3"/>
      <c r="AD513" s="3"/>
      <c r="AP513" s="53"/>
    </row>
    <row r="514" spans="29:42" ht="14.5">
      <c r="AC514" s="3"/>
      <c r="AD514" s="3"/>
      <c r="AP514" s="53"/>
    </row>
    <row r="515" spans="29:42" ht="14.5">
      <c r="AC515" s="3"/>
      <c r="AD515" s="3"/>
      <c r="AP515" s="53"/>
    </row>
    <row r="516" spans="29:42" ht="14.5">
      <c r="AC516" s="3"/>
      <c r="AD516" s="3"/>
      <c r="AP516" s="53"/>
    </row>
    <row r="517" spans="29:42" ht="14.5">
      <c r="AC517" s="3"/>
      <c r="AD517" s="3"/>
      <c r="AP517" s="53"/>
    </row>
    <row r="518" spans="29:42" ht="14.5">
      <c r="AC518" s="3"/>
      <c r="AD518" s="3"/>
      <c r="AP518" s="53"/>
    </row>
    <row r="519" spans="29:42" ht="14.5">
      <c r="AC519" s="3"/>
      <c r="AD519" s="3"/>
      <c r="AP519" s="53"/>
    </row>
    <row r="520" spans="29:42" ht="14.5">
      <c r="AC520" s="3"/>
      <c r="AD520" s="3"/>
      <c r="AP520" s="53"/>
    </row>
    <row r="521" spans="29:42" ht="14.5">
      <c r="AC521" s="3"/>
      <c r="AD521" s="3"/>
      <c r="AP521" s="53"/>
    </row>
    <row r="522" spans="29:42" ht="14.5">
      <c r="AC522" s="3"/>
      <c r="AD522" s="3"/>
      <c r="AP522" s="53"/>
    </row>
    <row r="523" spans="29:42" ht="14.5">
      <c r="AC523" s="3"/>
      <c r="AD523" s="3"/>
      <c r="AP523" s="53"/>
    </row>
    <row r="524" spans="29:42" ht="14.5">
      <c r="AC524" s="3"/>
      <c r="AD524" s="3"/>
      <c r="AP524" s="53"/>
    </row>
    <row r="525" spans="29:42" ht="14.5">
      <c r="AC525" s="3"/>
      <c r="AD525" s="3"/>
      <c r="AP525" s="53"/>
    </row>
    <row r="526" spans="29:42" ht="14.5">
      <c r="AC526" s="3"/>
      <c r="AD526" s="3"/>
      <c r="AP526" s="53"/>
    </row>
    <row r="527" spans="29:42" ht="14.5">
      <c r="AC527" s="3"/>
      <c r="AD527" s="3"/>
      <c r="AP527" s="53"/>
    </row>
    <row r="528" spans="29:42" ht="14.5">
      <c r="AC528" s="3"/>
      <c r="AD528" s="3"/>
      <c r="AP528" s="53"/>
    </row>
    <row r="529" spans="29:42" ht="14.5">
      <c r="AC529" s="3"/>
      <c r="AD529" s="3"/>
      <c r="AP529" s="53"/>
    </row>
    <row r="530" spans="29:42" ht="14.5">
      <c r="AC530" s="3"/>
      <c r="AD530" s="3"/>
      <c r="AP530" s="53"/>
    </row>
    <row r="531" spans="29:42" ht="14.5">
      <c r="AC531" s="3"/>
      <c r="AD531" s="3"/>
      <c r="AP531" s="53"/>
    </row>
    <row r="532" spans="29:42" ht="14.5">
      <c r="AC532" s="3"/>
      <c r="AD532" s="3"/>
      <c r="AP532" s="53"/>
    </row>
    <row r="533" spans="29:42" ht="14.5">
      <c r="AC533" s="3"/>
      <c r="AD533" s="3"/>
      <c r="AP533" s="53"/>
    </row>
    <row r="534" spans="29:42" ht="14.5">
      <c r="AC534" s="3"/>
      <c r="AD534" s="3"/>
      <c r="AP534" s="53"/>
    </row>
    <row r="535" spans="29:42" ht="14.5">
      <c r="AC535" s="3"/>
      <c r="AD535" s="3"/>
      <c r="AP535" s="53"/>
    </row>
    <row r="536" spans="29:42" ht="14.5">
      <c r="AC536" s="3"/>
      <c r="AD536" s="3"/>
      <c r="AP536" s="53"/>
    </row>
    <row r="537" spans="29:42" ht="14.5">
      <c r="AC537" s="3"/>
      <c r="AD537" s="3"/>
      <c r="AP537" s="53"/>
    </row>
    <row r="538" spans="29:42" ht="14.5">
      <c r="AC538" s="3"/>
      <c r="AD538" s="3"/>
      <c r="AP538" s="53"/>
    </row>
    <row r="539" spans="29:42" ht="14.5">
      <c r="AC539" s="3"/>
      <c r="AD539" s="3"/>
      <c r="AP539" s="53"/>
    </row>
    <row r="540" spans="29:42" ht="14.5">
      <c r="AC540" s="3"/>
      <c r="AD540" s="3"/>
      <c r="AP540" s="53"/>
    </row>
    <row r="541" spans="29:42" ht="14.5">
      <c r="AC541" s="3"/>
      <c r="AD541" s="3"/>
      <c r="AP541" s="53"/>
    </row>
    <row r="542" spans="29:42" ht="14.5">
      <c r="AC542" s="3"/>
      <c r="AD542" s="3"/>
      <c r="AP542" s="53"/>
    </row>
    <row r="543" spans="29:42" ht="14.5">
      <c r="AC543" s="3"/>
      <c r="AD543" s="3"/>
      <c r="AP543" s="53"/>
    </row>
    <row r="544" spans="29:42" ht="14.5">
      <c r="AC544" s="3"/>
      <c r="AD544" s="3"/>
      <c r="AP544" s="53"/>
    </row>
    <row r="545" spans="29:42" ht="14.5">
      <c r="AC545" s="3"/>
      <c r="AD545" s="3"/>
      <c r="AP545" s="53"/>
    </row>
    <row r="546" spans="29:42" ht="14.5">
      <c r="AC546" s="3"/>
      <c r="AD546" s="3"/>
      <c r="AP546" s="53"/>
    </row>
    <row r="547" spans="29:42" ht="14.5">
      <c r="AC547" s="3"/>
      <c r="AD547" s="3"/>
      <c r="AP547" s="53"/>
    </row>
    <row r="548" spans="29:42" ht="14.5">
      <c r="AC548" s="3"/>
      <c r="AD548" s="3"/>
      <c r="AP548" s="53"/>
    </row>
    <row r="549" spans="29:42" ht="14.5">
      <c r="AC549" s="3"/>
      <c r="AD549" s="3"/>
      <c r="AP549" s="53"/>
    </row>
    <row r="550" spans="29:42" ht="14.5">
      <c r="AC550" s="3"/>
      <c r="AD550" s="3"/>
      <c r="AP550" s="53"/>
    </row>
    <row r="551" spans="29:42" ht="14.5">
      <c r="AC551" s="3"/>
      <c r="AD551" s="3"/>
      <c r="AP551" s="53"/>
    </row>
    <row r="552" spans="29:42" ht="14.5">
      <c r="AC552" s="3"/>
      <c r="AD552" s="3"/>
      <c r="AP552" s="53"/>
    </row>
    <row r="553" spans="29:42" ht="14.5">
      <c r="AC553" s="3"/>
      <c r="AD553" s="3"/>
      <c r="AP553" s="53"/>
    </row>
    <row r="554" spans="29:42" ht="14.5">
      <c r="AC554" s="3"/>
      <c r="AD554" s="3"/>
      <c r="AP554" s="53"/>
    </row>
    <row r="555" spans="29:42" ht="14.5">
      <c r="AC555" s="3"/>
      <c r="AD555" s="3"/>
      <c r="AP555" s="53"/>
    </row>
    <row r="556" spans="29:42" ht="14.5">
      <c r="AC556" s="3"/>
      <c r="AD556" s="3"/>
      <c r="AP556" s="53"/>
    </row>
    <row r="557" spans="29:42" ht="14.5">
      <c r="AC557" s="3"/>
      <c r="AD557" s="3"/>
      <c r="AP557" s="53"/>
    </row>
    <row r="558" spans="29:42" ht="14.5">
      <c r="AC558" s="3"/>
      <c r="AD558" s="3"/>
      <c r="AP558" s="53"/>
    </row>
    <row r="559" spans="29:42" ht="14.5">
      <c r="AC559" s="3"/>
      <c r="AD559" s="3"/>
      <c r="AP559" s="53"/>
    </row>
    <row r="560" spans="29:42" ht="14.5">
      <c r="AC560" s="3"/>
      <c r="AD560" s="3"/>
      <c r="AP560" s="53"/>
    </row>
    <row r="561" spans="29:42" ht="14.5">
      <c r="AC561" s="3"/>
      <c r="AD561" s="3"/>
      <c r="AP561" s="53"/>
    </row>
    <row r="562" spans="29:42" ht="14.5">
      <c r="AC562" s="3"/>
      <c r="AD562" s="3"/>
      <c r="AP562" s="53"/>
    </row>
    <row r="563" spans="29:42" ht="14.5">
      <c r="AC563" s="3"/>
      <c r="AD563" s="3"/>
      <c r="AP563" s="53"/>
    </row>
    <row r="564" spans="29:42" ht="14.5">
      <c r="AC564" s="3"/>
      <c r="AD564" s="3"/>
      <c r="AP564" s="53"/>
    </row>
    <row r="565" spans="29:42" ht="14.5">
      <c r="AC565" s="3"/>
      <c r="AD565" s="3"/>
      <c r="AP565" s="53"/>
    </row>
    <row r="566" spans="29:42" ht="14.5">
      <c r="AC566" s="3"/>
      <c r="AD566" s="3"/>
      <c r="AP566" s="53"/>
    </row>
    <row r="567" spans="29:42" ht="14.5">
      <c r="AC567" s="3"/>
      <c r="AD567" s="3"/>
      <c r="AP567" s="53"/>
    </row>
    <row r="568" spans="29:42" ht="14.5">
      <c r="AC568" s="3"/>
      <c r="AD568" s="3"/>
      <c r="AP568" s="53"/>
    </row>
    <row r="569" spans="29:42" ht="14.5">
      <c r="AC569" s="3"/>
      <c r="AD569" s="3"/>
      <c r="AP569" s="53"/>
    </row>
    <row r="570" spans="29:42" ht="14.5">
      <c r="AC570" s="3"/>
      <c r="AD570" s="3"/>
      <c r="AP570" s="53"/>
    </row>
    <row r="571" spans="29:42" ht="14.5">
      <c r="AC571" s="3"/>
      <c r="AD571" s="3"/>
      <c r="AP571" s="53"/>
    </row>
    <row r="572" spans="29:42" ht="14.5">
      <c r="AC572" s="3"/>
      <c r="AD572" s="3"/>
      <c r="AP572" s="53"/>
    </row>
    <row r="573" spans="29:42" ht="14.5">
      <c r="AC573" s="3"/>
      <c r="AD573" s="3"/>
      <c r="AP573" s="53"/>
    </row>
    <row r="574" spans="29:42" ht="14.5">
      <c r="AC574" s="3"/>
      <c r="AD574" s="3"/>
      <c r="AP574" s="53"/>
    </row>
    <row r="575" spans="29:42" ht="14.5">
      <c r="AC575" s="3"/>
      <c r="AD575" s="3"/>
      <c r="AP575" s="53"/>
    </row>
    <row r="576" spans="29:42" ht="14.5">
      <c r="AC576" s="3"/>
      <c r="AD576" s="3"/>
      <c r="AP576" s="53"/>
    </row>
    <row r="577" spans="29:42" ht="14.5">
      <c r="AC577" s="3"/>
      <c r="AD577" s="3"/>
      <c r="AP577" s="53"/>
    </row>
    <row r="578" spans="29:42" ht="14.5">
      <c r="AC578" s="3"/>
      <c r="AD578" s="3"/>
      <c r="AP578" s="53"/>
    </row>
    <row r="579" spans="29:42" ht="14.5">
      <c r="AC579" s="3"/>
      <c r="AD579" s="3"/>
      <c r="AP579" s="53"/>
    </row>
    <row r="580" spans="29:42" ht="14.5">
      <c r="AC580" s="3"/>
      <c r="AD580" s="3"/>
      <c r="AP580" s="53"/>
    </row>
    <row r="581" spans="29:42" ht="14.5">
      <c r="AC581" s="3"/>
      <c r="AD581" s="3"/>
      <c r="AP581" s="53"/>
    </row>
    <row r="582" spans="29:42" ht="14.5">
      <c r="AC582" s="3"/>
      <c r="AD582" s="3"/>
      <c r="AP582" s="53"/>
    </row>
    <row r="583" spans="29:42" ht="14.5">
      <c r="AC583" s="3"/>
      <c r="AD583" s="3"/>
      <c r="AP583" s="53"/>
    </row>
    <row r="584" spans="29:42" ht="14.5">
      <c r="AC584" s="3"/>
      <c r="AD584" s="3"/>
      <c r="AP584" s="53"/>
    </row>
    <row r="585" spans="29:42" ht="14.5">
      <c r="AC585" s="3"/>
      <c r="AD585" s="3"/>
      <c r="AP585" s="53"/>
    </row>
    <row r="586" spans="29:42" ht="14.5">
      <c r="AC586" s="3"/>
      <c r="AD586" s="3"/>
      <c r="AP586" s="53"/>
    </row>
    <row r="587" spans="29:42" ht="14.5">
      <c r="AC587" s="3"/>
      <c r="AD587" s="3"/>
      <c r="AP587" s="53"/>
    </row>
    <row r="588" spans="29:42" ht="14.5">
      <c r="AC588" s="3"/>
      <c r="AD588" s="3"/>
      <c r="AP588" s="53"/>
    </row>
    <row r="589" spans="29:42" ht="14.5">
      <c r="AC589" s="3"/>
      <c r="AD589" s="3"/>
      <c r="AP589" s="53"/>
    </row>
    <row r="590" spans="29:42" ht="14.5">
      <c r="AC590" s="3"/>
      <c r="AD590" s="3"/>
      <c r="AP590" s="53"/>
    </row>
    <row r="591" spans="29:42" ht="14.5">
      <c r="AC591" s="3"/>
      <c r="AD591" s="3"/>
      <c r="AP591" s="53"/>
    </row>
    <row r="592" spans="29:42" ht="14.5">
      <c r="AC592" s="3"/>
      <c r="AD592" s="3"/>
      <c r="AP592" s="53"/>
    </row>
    <row r="593" spans="29:42" ht="14.5">
      <c r="AC593" s="3"/>
      <c r="AD593" s="3"/>
      <c r="AP593" s="53"/>
    </row>
    <row r="594" spans="29:42" ht="14.5">
      <c r="AC594" s="3"/>
      <c r="AD594" s="3"/>
      <c r="AP594" s="53"/>
    </row>
    <row r="595" spans="29:42" ht="14.5">
      <c r="AC595" s="3"/>
      <c r="AD595" s="3"/>
      <c r="AP595" s="53"/>
    </row>
    <row r="596" spans="29:42" ht="14.5">
      <c r="AC596" s="3"/>
      <c r="AD596" s="3"/>
      <c r="AP596" s="53"/>
    </row>
    <row r="597" spans="29:42" ht="14.5">
      <c r="AC597" s="3"/>
      <c r="AD597" s="3"/>
      <c r="AP597" s="53"/>
    </row>
    <row r="598" spans="29:42" ht="14.5">
      <c r="AC598" s="3"/>
      <c r="AD598" s="3"/>
      <c r="AP598" s="53"/>
    </row>
    <row r="599" spans="29:42" ht="14.5">
      <c r="AC599" s="3"/>
      <c r="AD599" s="3"/>
      <c r="AP599" s="53"/>
    </row>
    <row r="600" spans="29:42" ht="14.5">
      <c r="AC600" s="3"/>
      <c r="AD600" s="3"/>
      <c r="AP600" s="53"/>
    </row>
    <row r="601" spans="29:42" ht="14.5">
      <c r="AC601" s="3"/>
      <c r="AD601" s="3"/>
      <c r="AP601" s="53"/>
    </row>
    <row r="602" spans="29:42" ht="14.5">
      <c r="AC602" s="3"/>
      <c r="AD602" s="3"/>
      <c r="AP602" s="53"/>
    </row>
    <row r="603" spans="29:42" ht="14.5">
      <c r="AC603" s="3"/>
      <c r="AD603" s="3"/>
      <c r="AP603" s="53"/>
    </row>
    <row r="604" spans="29:42" ht="14.5">
      <c r="AC604" s="3"/>
      <c r="AD604" s="3"/>
      <c r="AP604" s="53"/>
    </row>
    <row r="605" spans="29:42" ht="14.5">
      <c r="AC605" s="3"/>
      <c r="AD605" s="3"/>
      <c r="AP605" s="53"/>
    </row>
    <row r="606" spans="29:42" ht="14.5">
      <c r="AC606" s="3"/>
      <c r="AD606" s="3"/>
      <c r="AP606" s="53"/>
    </row>
    <row r="607" spans="29:42" ht="14.5">
      <c r="AC607" s="3"/>
      <c r="AD607" s="3"/>
      <c r="AP607" s="53"/>
    </row>
    <row r="608" spans="29:42" ht="14.5">
      <c r="AC608" s="3"/>
      <c r="AD608" s="3"/>
      <c r="AP608" s="53"/>
    </row>
    <row r="609" spans="29:42" ht="14.5">
      <c r="AC609" s="3"/>
      <c r="AD609" s="3"/>
      <c r="AP609" s="53"/>
    </row>
    <row r="610" spans="29:42" ht="14.5">
      <c r="AC610" s="3"/>
      <c r="AD610" s="3"/>
      <c r="AP610" s="53"/>
    </row>
    <row r="611" spans="29:42" ht="14.5">
      <c r="AC611" s="3"/>
      <c r="AD611" s="3"/>
      <c r="AP611" s="53"/>
    </row>
    <row r="612" spans="29:42" ht="14.5">
      <c r="AC612" s="3"/>
      <c r="AD612" s="3"/>
      <c r="AP612" s="53"/>
    </row>
    <row r="613" spans="29:42" ht="14.5">
      <c r="AC613" s="3"/>
      <c r="AD613" s="3"/>
      <c r="AP613" s="53"/>
    </row>
    <row r="614" spans="29:42" ht="14.5">
      <c r="AC614" s="3"/>
      <c r="AD614" s="3"/>
      <c r="AP614" s="53"/>
    </row>
    <row r="615" spans="29:42" ht="14.5">
      <c r="AC615" s="3"/>
      <c r="AD615" s="3"/>
      <c r="AP615" s="53"/>
    </row>
    <row r="616" spans="29:42" ht="14.5">
      <c r="AC616" s="3"/>
      <c r="AD616" s="3"/>
      <c r="AP616" s="53"/>
    </row>
    <row r="617" spans="29:42" ht="14.5">
      <c r="AC617" s="3"/>
      <c r="AD617" s="3"/>
      <c r="AP617" s="53"/>
    </row>
    <row r="618" spans="29:42" ht="14.5">
      <c r="AC618" s="3"/>
      <c r="AD618" s="3"/>
      <c r="AP618" s="53"/>
    </row>
    <row r="619" spans="29:42" ht="14.5">
      <c r="AC619" s="3"/>
      <c r="AD619" s="3"/>
      <c r="AP619" s="53"/>
    </row>
    <row r="620" spans="29:42" ht="14.5">
      <c r="AC620" s="3"/>
      <c r="AD620" s="3"/>
      <c r="AP620" s="53"/>
    </row>
    <row r="621" spans="29:42" ht="14.5">
      <c r="AC621" s="3"/>
      <c r="AD621" s="3"/>
      <c r="AP621" s="53"/>
    </row>
    <row r="622" spans="29:42" ht="14.5">
      <c r="AC622" s="3"/>
      <c r="AD622" s="3"/>
      <c r="AP622" s="53"/>
    </row>
    <row r="623" spans="29:42" ht="14.5">
      <c r="AC623" s="3"/>
      <c r="AD623" s="3"/>
      <c r="AP623" s="53"/>
    </row>
    <row r="624" spans="29:42" ht="14.5">
      <c r="AC624" s="3"/>
      <c r="AD624" s="3"/>
      <c r="AP624" s="53"/>
    </row>
    <row r="625" spans="29:42" ht="14.5">
      <c r="AC625" s="3"/>
      <c r="AD625" s="3"/>
      <c r="AP625" s="53"/>
    </row>
    <row r="626" spans="29:42" ht="14.5">
      <c r="AC626" s="3"/>
      <c r="AD626" s="3"/>
      <c r="AP626" s="53"/>
    </row>
    <row r="627" spans="29:42" ht="14.5">
      <c r="AC627" s="3"/>
      <c r="AD627" s="3"/>
      <c r="AP627" s="53"/>
    </row>
    <row r="628" spans="29:42" ht="14.5">
      <c r="AC628" s="3"/>
      <c r="AD628" s="3"/>
      <c r="AP628" s="53"/>
    </row>
    <row r="629" spans="29:42" ht="14.5">
      <c r="AC629" s="3"/>
      <c r="AD629" s="3"/>
      <c r="AP629" s="53"/>
    </row>
    <row r="630" spans="29:42" ht="14.5">
      <c r="AC630" s="3"/>
      <c r="AD630" s="3"/>
      <c r="AP630" s="53"/>
    </row>
    <row r="631" spans="29:42" ht="14.5">
      <c r="AC631" s="3"/>
      <c r="AD631" s="3"/>
      <c r="AP631" s="53"/>
    </row>
    <row r="632" spans="29:42" ht="14.5">
      <c r="AC632" s="3"/>
      <c r="AD632" s="3"/>
      <c r="AP632" s="53"/>
    </row>
    <row r="633" spans="29:42" ht="14.5">
      <c r="AC633" s="3"/>
      <c r="AD633" s="3"/>
      <c r="AP633" s="53"/>
    </row>
    <row r="634" spans="29:42" ht="14.5">
      <c r="AC634" s="3"/>
      <c r="AD634" s="3"/>
      <c r="AP634" s="53"/>
    </row>
    <row r="635" spans="29:42" ht="14.5">
      <c r="AC635" s="3"/>
      <c r="AD635" s="3"/>
      <c r="AP635" s="53"/>
    </row>
    <row r="636" spans="29:42" ht="14.5">
      <c r="AC636" s="3"/>
      <c r="AD636" s="3"/>
      <c r="AP636" s="53"/>
    </row>
    <row r="637" spans="29:42" ht="14.5">
      <c r="AC637" s="3"/>
      <c r="AD637" s="3"/>
      <c r="AP637" s="53"/>
    </row>
    <row r="638" spans="29:42" ht="14.5">
      <c r="AC638" s="3"/>
      <c r="AD638" s="3"/>
      <c r="AP638" s="53"/>
    </row>
    <row r="639" spans="29:42" ht="14.5">
      <c r="AC639" s="3"/>
      <c r="AD639" s="3"/>
      <c r="AP639" s="53"/>
    </row>
    <row r="640" spans="29:42" ht="14.5">
      <c r="AC640" s="3"/>
      <c r="AD640" s="3"/>
      <c r="AP640" s="53"/>
    </row>
    <row r="641" spans="29:42" ht="14.5">
      <c r="AC641" s="3"/>
      <c r="AD641" s="3"/>
      <c r="AP641" s="53"/>
    </row>
    <row r="642" spans="29:42" ht="14.5">
      <c r="AC642" s="3"/>
      <c r="AD642" s="3"/>
      <c r="AP642" s="53"/>
    </row>
    <row r="643" spans="29:42" ht="14.5">
      <c r="AC643" s="3"/>
      <c r="AD643" s="3"/>
      <c r="AP643" s="53"/>
    </row>
    <row r="644" spans="29:42" ht="14.5">
      <c r="AC644" s="3"/>
      <c r="AD644" s="3"/>
      <c r="AP644" s="53"/>
    </row>
    <row r="645" spans="29:42" ht="14.5">
      <c r="AC645" s="3"/>
      <c r="AD645" s="3"/>
      <c r="AP645" s="53"/>
    </row>
    <row r="646" spans="29:42" ht="14.5">
      <c r="AC646" s="3"/>
      <c r="AD646" s="3"/>
      <c r="AP646" s="53"/>
    </row>
    <row r="647" spans="29:42" ht="14.5">
      <c r="AC647" s="3"/>
      <c r="AD647" s="3"/>
      <c r="AP647" s="53"/>
    </row>
    <row r="648" spans="29:42" ht="14.5">
      <c r="AC648" s="3"/>
      <c r="AD648" s="3"/>
      <c r="AP648" s="53"/>
    </row>
    <row r="649" spans="29:42" ht="14.5">
      <c r="AC649" s="3"/>
      <c r="AD649" s="3"/>
      <c r="AP649" s="53"/>
    </row>
    <row r="650" spans="29:42" ht="14.5">
      <c r="AC650" s="3"/>
      <c r="AD650" s="3"/>
      <c r="AP650" s="53"/>
    </row>
    <row r="651" spans="29:42" ht="14.5">
      <c r="AC651" s="3"/>
      <c r="AD651" s="3"/>
      <c r="AP651" s="53"/>
    </row>
    <row r="652" spans="29:42" ht="14.5">
      <c r="AC652" s="3"/>
      <c r="AD652" s="3"/>
      <c r="AP652" s="53"/>
    </row>
    <row r="653" spans="29:42" ht="14.5">
      <c r="AC653" s="3"/>
      <c r="AD653" s="3"/>
      <c r="AP653" s="53"/>
    </row>
    <row r="654" spans="29:42" ht="14.5">
      <c r="AC654" s="3"/>
      <c r="AD654" s="3"/>
      <c r="AP654" s="53"/>
    </row>
    <row r="655" spans="29:42" ht="14.5">
      <c r="AC655" s="3"/>
      <c r="AD655" s="3"/>
      <c r="AP655" s="53"/>
    </row>
    <row r="656" spans="29:42" ht="14.5">
      <c r="AC656" s="3"/>
      <c r="AD656" s="3"/>
      <c r="AP656" s="53"/>
    </row>
    <row r="657" spans="29:42" ht="14.5">
      <c r="AC657" s="3"/>
      <c r="AD657" s="3"/>
      <c r="AP657" s="53"/>
    </row>
    <row r="658" spans="29:42" ht="14.5">
      <c r="AC658" s="3"/>
      <c r="AD658" s="3"/>
      <c r="AP658" s="53"/>
    </row>
    <row r="659" spans="29:42" ht="14.5">
      <c r="AC659" s="3"/>
      <c r="AD659" s="3"/>
      <c r="AP659" s="53"/>
    </row>
    <row r="660" spans="29:42" ht="14.5">
      <c r="AC660" s="3"/>
      <c r="AD660" s="3"/>
      <c r="AP660" s="53"/>
    </row>
    <row r="661" spans="29:42" ht="14.5">
      <c r="AC661" s="3"/>
      <c r="AD661" s="3"/>
      <c r="AP661" s="53"/>
    </row>
    <row r="662" spans="29:42" ht="14.5">
      <c r="AC662" s="3"/>
      <c r="AD662" s="3"/>
      <c r="AP662" s="53"/>
    </row>
    <row r="663" spans="29:42" ht="14.5">
      <c r="AC663" s="3"/>
      <c r="AD663" s="3"/>
      <c r="AP663" s="53"/>
    </row>
    <row r="664" spans="29:42" ht="14.5">
      <c r="AC664" s="3"/>
      <c r="AD664" s="3"/>
      <c r="AP664" s="53"/>
    </row>
    <row r="665" spans="29:42" ht="14.5">
      <c r="AC665" s="3"/>
      <c r="AD665" s="3"/>
      <c r="AP665" s="53"/>
    </row>
    <row r="666" spans="29:42" ht="14.5">
      <c r="AC666" s="3"/>
      <c r="AD666" s="3"/>
      <c r="AP666" s="53"/>
    </row>
    <row r="667" spans="29:42" ht="14.5">
      <c r="AC667" s="3"/>
      <c r="AD667" s="3"/>
      <c r="AP667" s="53"/>
    </row>
    <row r="668" spans="29:42" ht="14.5">
      <c r="AC668" s="3"/>
      <c r="AD668" s="3"/>
      <c r="AP668" s="53"/>
    </row>
    <row r="669" spans="29:42" ht="14.5">
      <c r="AC669" s="3"/>
      <c r="AD669" s="3"/>
      <c r="AP669" s="53"/>
    </row>
    <row r="670" spans="29:42" ht="14.5">
      <c r="AC670" s="3"/>
      <c r="AD670" s="3"/>
      <c r="AP670" s="53"/>
    </row>
    <row r="671" spans="29:42" ht="14.5">
      <c r="AC671" s="3"/>
      <c r="AD671" s="3"/>
      <c r="AP671" s="53"/>
    </row>
    <row r="672" spans="29:42" ht="14.5">
      <c r="AC672" s="3"/>
      <c r="AD672" s="3"/>
      <c r="AP672" s="53"/>
    </row>
    <row r="673" spans="29:42" ht="14.5">
      <c r="AC673" s="3"/>
      <c r="AD673" s="3"/>
      <c r="AP673" s="53"/>
    </row>
    <row r="674" spans="29:42" ht="14.5">
      <c r="AC674" s="3"/>
      <c r="AD674" s="3"/>
      <c r="AP674" s="53"/>
    </row>
    <row r="675" spans="29:42" ht="14.5">
      <c r="AC675" s="3"/>
      <c r="AD675" s="3"/>
      <c r="AP675" s="53"/>
    </row>
    <row r="676" spans="29:42" ht="14.5">
      <c r="AC676" s="3"/>
      <c r="AD676" s="3"/>
      <c r="AP676" s="53"/>
    </row>
    <row r="677" spans="29:42" ht="14.5">
      <c r="AC677" s="3"/>
      <c r="AD677" s="3"/>
      <c r="AP677" s="53"/>
    </row>
    <row r="678" spans="29:42" ht="14.5">
      <c r="AC678" s="3"/>
      <c r="AD678" s="3"/>
      <c r="AP678" s="53"/>
    </row>
    <row r="679" spans="29:42" ht="14.5">
      <c r="AC679" s="3"/>
      <c r="AD679" s="3"/>
      <c r="AP679" s="53"/>
    </row>
    <row r="680" spans="29:42" ht="14.5">
      <c r="AC680" s="3"/>
      <c r="AD680" s="3"/>
      <c r="AP680" s="53"/>
    </row>
    <row r="681" spans="29:42" ht="14.5">
      <c r="AC681" s="3"/>
      <c r="AD681" s="3"/>
      <c r="AP681" s="53"/>
    </row>
    <row r="682" spans="29:42" ht="14.5">
      <c r="AC682" s="3"/>
      <c r="AD682" s="3"/>
      <c r="AP682" s="53"/>
    </row>
    <row r="683" spans="29:42" ht="14.5">
      <c r="AC683" s="3"/>
      <c r="AD683" s="3"/>
      <c r="AP683" s="53"/>
    </row>
    <row r="684" spans="29:42" ht="14.5">
      <c r="AC684" s="3"/>
      <c r="AD684" s="3"/>
      <c r="AP684" s="53"/>
    </row>
    <row r="685" spans="29:42" ht="14.5">
      <c r="AC685" s="3"/>
      <c r="AD685" s="3"/>
      <c r="AP685" s="53"/>
    </row>
    <row r="686" spans="29:42" ht="14.5">
      <c r="AC686" s="3"/>
      <c r="AD686" s="3"/>
      <c r="AP686" s="53"/>
    </row>
    <row r="687" spans="29:42" ht="14.5">
      <c r="AC687" s="3"/>
      <c r="AD687" s="3"/>
      <c r="AP687" s="53"/>
    </row>
    <row r="688" spans="29:42" ht="14.5">
      <c r="AC688" s="3"/>
      <c r="AD688" s="3"/>
      <c r="AP688" s="53"/>
    </row>
    <row r="689" spans="29:42" ht="14.5">
      <c r="AC689" s="3"/>
      <c r="AD689" s="3"/>
      <c r="AP689" s="53"/>
    </row>
    <row r="690" spans="29:42" ht="14.5">
      <c r="AC690" s="3"/>
      <c r="AD690" s="3"/>
      <c r="AP690" s="53"/>
    </row>
    <row r="691" spans="29:42" ht="14.5">
      <c r="AC691" s="3"/>
      <c r="AD691" s="3"/>
      <c r="AP691" s="53"/>
    </row>
    <row r="692" spans="29:42" ht="14.5">
      <c r="AC692" s="3"/>
      <c r="AD692" s="3"/>
      <c r="AP692" s="53"/>
    </row>
    <row r="693" spans="29:42" ht="14.5">
      <c r="AC693" s="3"/>
      <c r="AD693" s="3"/>
      <c r="AP693" s="53"/>
    </row>
    <row r="694" spans="29:42" ht="14.5">
      <c r="AC694" s="3"/>
      <c r="AD694" s="3"/>
      <c r="AP694" s="53"/>
    </row>
    <row r="695" spans="29:42" ht="14.5">
      <c r="AC695" s="3"/>
      <c r="AD695" s="3"/>
      <c r="AP695" s="53"/>
    </row>
    <row r="696" spans="29:42" ht="14.5">
      <c r="AC696" s="3"/>
      <c r="AD696" s="3"/>
      <c r="AP696" s="53"/>
    </row>
    <row r="697" spans="29:42" ht="14.5">
      <c r="AC697" s="3"/>
      <c r="AD697" s="3"/>
      <c r="AP697" s="53"/>
    </row>
    <row r="698" spans="29:42" ht="14.5">
      <c r="AC698" s="3"/>
      <c r="AD698" s="3"/>
      <c r="AP698" s="53"/>
    </row>
    <row r="699" spans="29:42" ht="14.5">
      <c r="AC699" s="3"/>
      <c r="AD699" s="3"/>
      <c r="AP699" s="53"/>
    </row>
    <row r="700" spans="29:42" ht="14.5">
      <c r="AC700" s="3"/>
      <c r="AD700" s="3"/>
      <c r="AP700" s="53"/>
    </row>
    <row r="701" spans="29:42" ht="14.5">
      <c r="AC701" s="3"/>
      <c r="AD701" s="3"/>
      <c r="AP701" s="53"/>
    </row>
    <row r="702" spans="29:42" ht="14.5">
      <c r="AC702" s="3"/>
      <c r="AD702" s="3"/>
      <c r="AP702" s="53"/>
    </row>
    <row r="703" spans="29:42" ht="14.5">
      <c r="AC703" s="3"/>
      <c r="AD703" s="3"/>
      <c r="AP703" s="53"/>
    </row>
    <row r="704" spans="29:42" ht="14.5">
      <c r="AC704" s="3"/>
      <c r="AD704" s="3"/>
      <c r="AP704" s="53"/>
    </row>
    <row r="705" spans="29:42" ht="14.5">
      <c r="AC705" s="3"/>
      <c r="AD705" s="3"/>
      <c r="AP705" s="53"/>
    </row>
    <row r="706" spans="29:42" ht="14.5">
      <c r="AC706" s="3"/>
      <c r="AD706" s="3"/>
      <c r="AP706" s="53"/>
    </row>
    <row r="707" spans="29:42" ht="14.5">
      <c r="AC707" s="3"/>
      <c r="AD707" s="3"/>
      <c r="AP707" s="53"/>
    </row>
    <row r="708" spans="29:42" ht="14.5">
      <c r="AC708" s="3"/>
      <c r="AD708" s="3"/>
      <c r="AP708" s="53"/>
    </row>
    <row r="709" spans="29:42" ht="14.5">
      <c r="AC709" s="3"/>
      <c r="AD709" s="3"/>
      <c r="AP709" s="53"/>
    </row>
    <row r="710" spans="29:42" ht="14.5">
      <c r="AC710" s="3"/>
      <c r="AD710" s="3"/>
      <c r="AP710" s="53"/>
    </row>
    <row r="711" spans="29:42" ht="14.5">
      <c r="AC711" s="3"/>
      <c r="AD711" s="3"/>
      <c r="AP711" s="53"/>
    </row>
    <row r="712" spans="29:42" ht="14.5">
      <c r="AC712" s="3"/>
      <c r="AD712" s="3"/>
      <c r="AP712" s="53"/>
    </row>
    <row r="713" spans="29:42" ht="14.5">
      <c r="AC713" s="3"/>
      <c r="AD713" s="3"/>
      <c r="AP713" s="53"/>
    </row>
    <row r="714" spans="29:42" ht="14.5">
      <c r="AC714" s="3"/>
      <c r="AD714" s="3"/>
      <c r="AP714" s="53"/>
    </row>
    <row r="715" spans="29:42" ht="14.5">
      <c r="AC715" s="3"/>
      <c r="AD715" s="3"/>
      <c r="AP715" s="53"/>
    </row>
    <row r="716" spans="29:42" ht="14.5">
      <c r="AC716" s="3"/>
      <c r="AD716" s="3"/>
      <c r="AP716" s="53"/>
    </row>
    <row r="717" spans="29:42" ht="14.5">
      <c r="AC717" s="3"/>
      <c r="AD717" s="3"/>
      <c r="AP717" s="53"/>
    </row>
    <row r="718" spans="29:42" ht="14.5">
      <c r="AC718" s="3"/>
      <c r="AD718" s="3"/>
      <c r="AP718" s="53"/>
    </row>
    <row r="719" spans="29:42" ht="14.5">
      <c r="AC719" s="3"/>
      <c r="AD719" s="3"/>
      <c r="AP719" s="53"/>
    </row>
    <row r="720" spans="29:42" ht="14.5">
      <c r="AC720" s="3"/>
      <c r="AD720" s="3"/>
      <c r="AP720" s="53"/>
    </row>
    <row r="721" spans="29:42" ht="14.5">
      <c r="AC721" s="3"/>
      <c r="AD721" s="3"/>
      <c r="AP721" s="53"/>
    </row>
    <row r="722" spans="29:42" ht="14.5">
      <c r="AC722" s="3"/>
      <c r="AD722" s="3"/>
      <c r="AP722" s="53"/>
    </row>
    <row r="723" spans="29:42" ht="14.5">
      <c r="AC723" s="3"/>
      <c r="AD723" s="3"/>
      <c r="AP723" s="53"/>
    </row>
    <row r="724" spans="29:42" ht="14.5">
      <c r="AC724" s="3"/>
      <c r="AD724" s="3"/>
      <c r="AP724" s="53"/>
    </row>
    <row r="725" spans="29:42" ht="14.5">
      <c r="AC725" s="3"/>
      <c r="AD725" s="3"/>
      <c r="AP725" s="53"/>
    </row>
    <row r="726" spans="29:42" ht="14.5">
      <c r="AC726" s="3"/>
      <c r="AD726" s="3"/>
      <c r="AP726" s="53"/>
    </row>
    <row r="727" spans="29:42" ht="14.5">
      <c r="AC727" s="3"/>
      <c r="AD727" s="3"/>
      <c r="AP727" s="53"/>
    </row>
    <row r="728" spans="29:42" ht="14.5">
      <c r="AC728" s="3"/>
      <c r="AD728" s="3"/>
      <c r="AP728" s="53"/>
    </row>
    <row r="729" spans="29:42" ht="14.5">
      <c r="AC729" s="3"/>
      <c r="AD729" s="3"/>
      <c r="AP729" s="53"/>
    </row>
    <row r="730" spans="29:42" ht="14.5">
      <c r="AC730" s="3"/>
      <c r="AD730" s="3"/>
      <c r="AP730" s="53"/>
    </row>
    <row r="731" spans="29:42" ht="14.5">
      <c r="AC731" s="3"/>
      <c r="AD731" s="3"/>
      <c r="AP731" s="53"/>
    </row>
    <row r="732" spans="29:42" ht="14.5">
      <c r="AC732" s="3"/>
      <c r="AD732" s="3"/>
      <c r="AP732" s="53"/>
    </row>
    <row r="733" spans="29:42" ht="14.5">
      <c r="AC733" s="3"/>
      <c r="AD733" s="3"/>
      <c r="AP733" s="53"/>
    </row>
    <row r="734" spans="29:42" ht="14.5">
      <c r="AC734" s="3"/>
      <c r="AD734" s="3"/>
      <c r="AP734" s="53"/>
    </row>
    <row r="735" spans="29:42" ht="14.5">
      <c r="AC735" s="3"/>
      <c r="AD735" s="3"/>
      <c r="AP735" s="53"/>
    </row>
    <row r="736" spans="29:42" ht="14.5">
      <c r="AC736" s="3"/>
      <c r="AD736" s="3"/>
      <c r="AP736" s="53"/>
    </row>
    <row r="737" spans="29:42" ht="14.5">
      <c r="AC737" s="3"/>
      <c r="AD737" s="3"/>
      <c r="AP737" s="53"/>
    </row>
    <row r="738" spans="29:42" ht="14.5">
      <c r="AC738" s="3"/>
      <c r="AD738" s="3"/>
      <c r="AP738" s="53"/>
    </row>
    <row r="739" spans="29:42" ht="14.5">
      <c r="AC739" s="3"/>
      <c r="AD739" s="3"/>
      <c r="AP739" s="53"/>
    </row>
    <row r="740" spans="29:42" ht="14.5">
      <c r="AC740" s="3"/>
      <c r="AD740" s="3"/>
      <c r="AP740" s="53"/>
    </row>
    <row r="741" spans="29:42" ht="14.5">
      <c r="AC741" s="3"/>
      <c r="AD741" s="3"/>
      <c r="AP741" s="53"/>
    </row>
    <row r="742" spans="29:42" ht="14.5">
      <c r="AC742" s="3"/>
      <c r="AD742" s="3"/>
      <c r="AP742" s="53"/>
    </row>
    <row r="743" spans="29:42" ht="14.5">
      <c r="AC743" s="3"/>
      <c r="AD743" s="3"/>
      <c r="AP743" s="53"/>
    </row>
    <row r="744" spans="29:42" ht="14.5">
      <c r="AC744" s="3"/>
      <c r="AD744" s="3"/>
      <c r="AP744" s="53"/>
    </row>
    <row r="745" spans="29:42" ht="14.5">
      <c r="AC745" s="3"/>
      <c r="AD745" s="3"/>
      <c r="AP745" s="53"/>
    </row>
    <row r="746" spans="29:42" ht="14.5">
      <c r="AC746" s="3"/>
      <c r="AD746" s="3"/>
      <c r="AP746" s="53"/>
    </row>
    <row r="747" spans="29:42" ht="14.5">
      <c r="AC747" s="3"/>
      <c r="AD747" s="3"/>
      <c r="AP747" s="53"/>
    </row>
    <row r="748" spans="29:42" ht="14.5">
      <c r="AC748" s="3"/>
      <c r="AD748" s="3"/>
      <c r="AP748" s="53"/>
    </row>
    <row r="749" spans="29:42" ht="14.5">
      <c r="AC749" s="3"/>
      <c r="AD749" s="3"/>
      <c r="AP749" s="53"/>
    </row>
    <row r="750" spans="29:42" ht="14.5">
      <c r="AC750" s="3"/>
      <c r="AD750" s="3"/>
      <c r="AP750" s="53"/>
    </row>
    <row r="751" spans="29:42" ht="14.5">
      <c r="AC751" s="3"/>
      <c r="AD751" s="3"/>
      <c r="AP751" s="53"/>
    </row>
    <row r="752" spans="29:42" ht="14.5">
      <c r="AC752" s="3"/>
      <c r="AD752" s="3"/>
      <c r="AP752" s="53"/>
    </row>
    <row r="753" spans="29:42" ht="14.5">
      <c r="AC753" s="3"/>
      <c r="AD753" s="3"/>
      <c r="AP753" s="53"/>
    </row>
    <row r="754" spans="29:42" ht="14.5">
      <c r="AC754" s="3"/>
      <c r="AD754" s="3"/>
      <c r="AP754" s="53"/>
    </row>
    <row r="755" spans="29:42" ht="14.5">
      <c r="AC755" s="3"/>
      <c r="AD755" s="3"/>
      <c r="AP755" s="53"/>
    </row>
    <row r="756" spans="29:42" ht="14.5">
      <c r="AC756" s="3"/>
      <c r="AD756" s="3"/>
      <c r="AP756" s="53"/>
    </row>
    <row r="757" spans="29:42" ht="14.5">
      <c r="AC757" s="3"/>
      <c r="AD757" s="3"/>
      <c r="AP757" s="53"/>
    </row>
    <row r="758" spans="29:42" ht="14.5">
      <c r="AC758" s="3"/>
      <c r="AD758" s="3"/>
      <c r="AP758" s="53"/>
    </row>
    <row r="759" spans="29:42" ht="14.5">
      <c r="AC759" s="3"/>
      <c r="AD759" s="3"/>
      <c r="AP759" s="53"/>
    </row>
    <row r="760" spans="29:42" ht="14.5">
      <c r="AC760" s="3"/>
      <c r="AD760" s="3"/>
      <c r="AP760" s="53"/>
    </row>
    <row r="761" spans="29:42" ht="14.5">
      <c r="AC761" s="3"/>
      <c r="AD761" s="3"/>
      <c r="AP761" s="53"/>
    </row>
    <row r="762" spans="29:42" ht="14.5">
      <c r="AC762" s="3"/>
      <c r="AD762" s="3"/>
      <c r="AP762" s="53"/>
    </row>
    <row r="763" spans="29:42" ht="14.5">
      <c r="AC763" s="3"/>
      <c r="AD763" s="3"/>
      <c r="AP763" s="53"/>
    </row>
    <row r="764" spans="29:42" ht="14.5">
      <c r="AC764" s="3"/>
      <c r="AD764" s="3"/>
      <c r="AP764" s="53"/>
    </row>
    <row r="765" spans="29:42" ht="14.5">
      <c r="AC765" s="3"/>
      <c r="AD765" s="3"/>
      <c r="AP765" s="53"/>
    </row>
    <row r="766" spans="29:42" ht="14.5">
      <c r="AC766" s="3"/>
      <c r="AD766" s="3"/>
      <c r="AP766" s="53"/>
    </row>
    <row r="767" spans="29:42" ht="14.5">
      <c r="AC767" s="3"/>
      <c r="AD767" s="3"/>
      <c r="AP767" s="53"/>
    </row>
    <row r="768" spans="29:42" ht="14.5">
      <c r="AC768" s="3"/>
      <c r="AD768" s="3"/>
      <c r="AP768" s="53"/>
    </row>
    <row r="769" spans="29:42" ht="14.5">
      <c r="AC769" s="3"/>
      <c r="AD769" s="3"/>
      <c r="AP769" s="53"/>
    </row>
    <row r="770" spans="29:42" ht="14.5">
      <c r="AC770" s="3"/>
      <c r="AD770" s="3"/>
      <c r="AP770" s="53"/>
    </row>
    <row r="771" spans="29:42" ht="14.5">
      <c r="AC771" s="3"/>
      <c r="AD771" s="3"/>
      <c r="AP771" s="53"/>
    </row>
    <row r="772" spans="29:42" ht="14.5">
      <c r="AC772" s="3"/>
      <c r="AD772" s="3"/>
      <c r="AP772" s="53"/>
    </row>
    <row r="773" spans="29:42" ht="14.5">
      <c r="AC773" s="3"/>
      <c r="AD773" s="3"/>
      <c r="AP773" s="53"/>
    </row>
    <row r="774" spans="29:42" ht="14.5">
      <c r="AC774" s="3"/>
      <c r="AD774" s="3"/>
      <c r="AP774" s="53"/>
    </row>
    <row r="775" spans="29:42" ht="14.5">
      <c r="AC775" s="3"/>
      <c r="AD775" s="3"/>
      <c r="AP775" s="53"/>
    </row>
    <row r="776" spans="29:42" ht="14.5">
      <c r="AC776" s="3"/>
      <c r="AD776" s="3"/>
      <c r="AP776" s="53"/>
    </row>
    <row r="777" spans="29:42" ht="14.5">
      <c r="AC777" s="3"/>
      <c r="AD777" s="3"/>
      <c r="AP777" s="53"/>
    </row>
    <row r="778" spans="29:42" ht="14.5">
      <c r="AC778" s="3"/>
      <c r="AD778" s="3"/>
      <c r="AP778" s="53"/>
    </row>
    <row r="779" spans="29:42" ht="14.5">
      <c r="AC779" s="3"/>
      <c r="AD779" s="3"/>
      <c r="AP779" s="53"/>
    </row>
    <row r="780" spans="29:42" ht="14.5">
      <c r="AC780" s="3"/>
      <c r="AD780" s="3"/>
      <c r="AP780" s="53"/>
    </row>
    <row r="781" spans="29:42" ht="14.5">
      <c r="AC781" s="3"/>
      <c r="AD781" s="3"/>
      <c r="AP781" s="53"/>
    </row>
    <row r="782" spans="29:42" ht="14.5">
      <c r="AC782" s="3"/>
      <c r="AD782" s="3"/>
      <c r="AP782" s="53"/>
    </row>
    <row r="783" spans="29:42" ht="14.5">
      <c r="AC783" s="3"/>
      <c r="AD783" s="3"/>
      <c r="AP783" s="53"/>
    </row>
    <row r="784" spans="29:42" ht="14.5">
      <c r="AC784" s="3"/>
      <c r="AD784" s="3"/>
      <c r="AP784" s="53"/>
    </row>
    <row r="785" spans="29:42" ht="14.5">
      <c r="AC785" s="3"/>
      <c r="AD785" s="3"/>
      <c r="AP785" s="53"/>
    </row>
    <row r="786" spans="29:42" ht="14.5">
      <c r="AC786" s="3"/>
      <c r="AD786" s="3"/>
      <c r="AP786" s="53"/>
    </row>
    <row r="787" spans="29:42" ht="14.5">
      <c r="AC787" s="3"/>
      <c r="AD787" s="3"/>
      <c r="AP787" s="53"/>
    </row>
    <row r="788" spans="29:42" ht="14.5">
      <c r="AC788" s="3"/>
      <c r="AD788" s="3"/>
      <c r="AP788" s="53"/>
    </row>
    <row r="789" spans="29:42" ht="14.5">
      <c r="AC789" s="3"/>
      <c r="AD789" s="3"/>
      <c r="AP789" s="53"/>
    </row>
    <row r="790" spans="29:42" ht="14.5">
      <c r="AC790" s="3"/>
      <c r="AD790" s="3"/>
      <c r="AP790" s="53"/>
    </row>
    <row r="791" spans="29:42" ht="14.5">
      <c r="AC791" s="3"/>
      <c r="AD791" s="3"/>
      <c r="AP791" s="53"/>
    </row>
    <row r="792" spans="29:42" ht="14.5">
      <c r="AC792" s="3"/>
      <c r="AD792" s="3"/>
      <c r="AP792" s="53"/>
    </row>
    <row r="793" spans="29:42" ht="14.5">
      <c r="AC793" s="3"/>
      <c r="AD793" s="3"/>
      <c r="AP793" s="53"/>
    </row>
    <row r="794" spans="29:42" ht="14.5">
      <c r="AC794" s="3"/>
      <c r="AD794" s="3"/>
      <c r="AP794" s="53"/>
    </row>
    <row r="795" spans="29:42" ht="14.5">
      <c r="AC795" s="3"/>
      <c r="AD795" s="3"/>
      <c r="AP795" s="53"/>
    </row>
    <row r="796" spans="29:42" ht="14.5">
      <c r="AC796" s="3"/>
      <c r="AD796" s="3"/>
      <c r="AP796" s="53"/>
    </row>
    <row r="797" spans="29:42" ht="14.5">
      <c r="AC797" s="3"/>
      <c r="AD797" s="3"/>
      <c r="AP797" s="53"/>
    </row>
    <row r="798" spans="29:42" ht="14.5">
      <c r="AC798" s="3"/>
      <c r="AD798" s="3"/>
      <c r="AP798" s="53"/>
    </row>
    <row r="799" spans="29:42" ht="14.5">
      <c r="AC799" s="3"/>
      <c r="AD799" s="3"/>
      <c r="AP799" s="53"/>
    </row>
    <row r="800" spans="29:42" ht="14.5">
      <c r="AC800" s="3"/>
      <c r="AD800" s="3"/>
      <c r="AP800" s="53"/>
    </row>
    <row r="801" spans="29:42" ht="14.5">
      <c r="AC801" s="3"/>
      <c r="AD801" s="3"/>
      <c r="AP801" s="53"/>
    </row>
    <row r="802" spans="29:42" ht="14.5">
      <c r="AC802" s="3"/>
      <c r="AD802" s="3"/>
      <c r="AP802" s="53"/>
    </row>
    <row r="803" spans="29:42" ht="14.5">
      <c r="AC803" s="3"/>
      <c r="AD803" s="3"/>
      <c r="AP803" s="53"/>
    </row>
    <row r="804" spans="29:42" ht="14.5">
      <c r="AC804" s="3"/>
      <c r="AD804" s="3"/>
      <c r="AP804" s="53"/>
    </row>
    <row r="805" spans="29:42" ht="14.5">
      <c r="AC805" s="3"/>
      <c r="AD805" s="3"/>
      <c r="AP805" s="53"/>
    </row>
    <row r="806" spans="29:42" ht="14.5">
      <c r="AC806" s="3"/>
      <c r="AD806" s="3"/>
      <c r="AP806" s="53"/>
    </row>
    <row r="807" spans="29:42" ht="14.5">
      <c r="AC807" s="3"/>
      <c r="AD807" s="3"/>
      <c r="AP807" s="53"/>
    </row>
    <row r="808" spans="29:42" ht="14.5">
      <c r="AC808" s="3"/>
      <c r="AD808" s="3"/>
      <c r="AP808" s="53"/>
    </row>
    <row r="809" spans="29:42" ht="14.5">
      <c r="AC809" s="3"/>
      <c r="AD809" s="3"/>
      <c r="AP809" s="53"/>
    </row>
    <row r="810" spans="29:42" ht="14.5">
      <c r="AC810" s="3"/>
      <c r="AD810" s="3"/>
      <c r="AP810" s="53"/>
    </row>
    <row r="811" spans="29:42" ht="14.5">
      <c r="AC811" s="3"/>
      <c r="AD811" s="3"/>
      <c r="AP811" s="53"/>
    </row>
    <row r="812" spans="29:42" ht="14.5">
      <c r="AC812" s="3"/>
      <c r="AD812" s="3"/>
      <c r="AP812" s="53"/>
    </row>
    <row r="813" spans="29:42" ht="14.5">
      <c r="AC813" s="3"/>
      <c r="AD813" s="3"/>
      <c r="AP813" s="53"/>
    </row>
    <row r="814" spans="29:42" ht="14.5">
      <c r="AC814" s="3"/>
      <c r="AD814" s="3"/>
      <c r="AP814" s="53"/>
    </row>
    <row r="815" spans="29:42" ht="14.5">
      <c r="AC815" s="3"/>
      <c r="AD815" s="3"/>
      <c r="AP815" s="53"/>
    </row>
    <row r="816" spans="29:42" ht="14.5">
      <c r="AC816" s="3"/>
      <c r="AD816" s="3"/>
      <c r="AP816" s="53"/>
    </row>
    <row r="817" spans="29:42" ht="14.5">
      <c r="AC817" s="3"/>
      <c r="AD817" s="3"/>
      <c r="AP817" s="53"/>
    </row>
    <row r="818" spans="29:42" ht="14.5">
      <c r="AC818" s="3"/>
      <c r="AD818" s="3"/>
      <c r="AP818" s="53"/>
    </row>
    <row r="819" spans="29:42" ht="14.5">
      <c r="AC819" s="3"/>
      <c r="AD819" s="3"/>
      <c r="AP819" s="53"/>
    </row>
    <row r="820" spans="29:42" ht="14.5">
      <c r="AC820" s="3"/>
      <c r="AD820" s="3"/>
      <c r="AP820" s="53"/>
    </row>
    <row r="821" spans="29:42" ht="14.5">
      <c r="AC821" s="3"/>
      <c r="AD821" s="3"/>
      <c r="AP821" s="53"/>
    </row>
    <row r="822" spans="29:42" ht="14.5">
      <c r="AC822" s="3"/>
      <c r="AD822" s="3"/>
      <c r="AP822" s="53"/>
    </row>
    <row r="823" spans="29:42" ht="14.5">
      <c r="AC823" s="3"/>
      <c r="AD823" s="3"/>
      <c r="AP823" s="53"/>
    </row>
    <row r="824" spans="29:42" ht="14.5">
      <c r="AC824" s="3"/>
      <c r="AD824" s="3"/>
      <c r="AP824" s="53"/>
    </row>
    <row r="825" spans="29:42" ht="14.5">
      <c r="AC825" s="3"/>
      <c r="AD825" s="3"/>
      <c r="AP825" s="53"/>
    </row>
    <row r="826" spans="29:42" ht="14.5">
      <c r="AC826" s="3"/>
      <c r="AD826" s="3"/>
      <c r="AP826" s="53"/>
    </row>
    <row r="827" spans="29:42" ht="14.5">
      <c r="AC827" s="3"/>
      <c r="AD827" s="3"/>
      <c r="AP827" s="53"/>
    </row>
    <row r="828" spans="29:42" ht="14.5">
      <c r="AC828" s="3"/>
      <c r="AD828" s="3"/>
      <c r="AP828" s="53"/>
    </row>
    <row r="829" spans="29:42" ht="14.5">
      <c r="AC829" s="3"/>
      <c r="AD829" s="3"/>
      <c r="AP829" s="53"/>
    </row>
    <row r="830" spans="29:42" ht="14.5">
      <c r="AC830" s="3"/>
      <c r="AD830" s="3"/>
      <c r="AP830" s="53"/>
    </row>
    <row r="831" spans="29:42" ht="14.5">
      <c r="AC831" s="3"/>
      <c r="AD831" s="3"/>
      <c r="AP831" s="53"/>
    </row>
    <row r="832" spans="29:42" ht="14.5">
      <c r="AC832" s="3"/>
      <c r="AD832" s="3"/>
      <c r="AP832" s="53"/>
    </row>
    <row r="833" spans="29:42" ht="14.5">
      <c r="AC833" s="3"/>
      <c r="AD833" s="3"/>
      <c r="AP833" s="53"/>
    </row>
    <row r="834" spans="29:42" ht="14.5">
      <c r="AC834" s="3"/>
      <c r="AD834" s="3"/>
      <c r="AP834" s="53"/>
    </row>
    <row r="835" spans="29:42" ht="14.5">
      <c r="AC835" s="3"/>
      <c r="AD835" s="3"/>
      <c r="AP835" s="53"/>
    </row>
    <row r="836" spans="29:42" ht="14.5">
      <c r="AC836" s="3"/>
      <c r="AD836" s="3"/>
      <c r="AP836" s="53"/>
    </row>
    <row r="837" spans="29:42" ht="14.5">
      <c r="AC837" s="3"/>
      <c r="AD837" s="3"/>
      <c r="AP837" s="53"/>
    </row>
    <row r="838" spans="29:42" ht="14.5">
      <c r="AC838" s="3"/>
      <c r="AD838" s="3"/>
      <c r="AP838" s="53"/>
    </row>
    <row r="839" spans="29:42" ht="14.5">
      <c r="AC839" s="3"/>
      <c r="AD839" s="3"/>
      <c r="AP839" s="53"/>
    </row>
    <row r="840" spans="29:42" ht="14.5">
      <c r="AC840" s="3"/>
      <c r="AD840" s="3"/>
      <c r="AP840" s="53"/>
    </row>
    <row r="841" spans="29:42" ht="14.5">
      <c r="AC841" s="3"/>
      <c r="AD841" s="3"/>
      <c r="AP841" s="53"/>
    </row>
    <row r="842" spans="29:42" ht="14.5">
      <c r="AC842" s="3"/>
      <c r="AD842" s="3"/>
      <c r="AP842" s="53"/>
    </row>
    <row r="843" spans="29:42" ht="14.5">
      <c r="AC843" s="3"/>
      <c r="AD843" s="3"/>
      <c r="AP843" s="53"/>
    </row>
    <row r="844" spans="29:42" ht="14.5">
      <c r="AC844" s="3"/>
      <c r="AD844" s="3"/>
      <c r="AP844" s="53"/>
    </row>
    <row r="845" spans="29:42" ht="14.5">
      <c r="AC845" s="3"/>
      <c r="AD845" s="3"/>
      <c r="AP845" s="53"/>
    </row>
    <row r="846" spans="29:42" ht="14.5">
      <c r="AC846" s="3"/>
      <c r="AD846" s="3"/>
      <c r="AP846" s="53"/>
    </row>
    <row r="847" spans="29:42" ht="14.5">
      <c r="AC847" s="3"/>
      <c r="AD847" s="3"/>
      <c r="AP847" s="53"/>
    </row>
    <row r="848" spans="29:42" ht="14.5">
      <c r="AC848" s="3"/>
      <c r="AD848" s="3"/>
      <c r="AP848" s="53"/>
    </row>
    <row r="849" spans="29:42" ht="14.5">
      <c r="AC849" s="3"/>
      <c r="AD849" s="3"/>
      <c r="AP849" s="53"/>
    </row>
    <row r="850" spans="29:42" ht="14.5">
      <c r="AC850" s="3"/>
      <c r="AD850" s="3"/>
      <c r="AP850" s="53"/>
    </row>
    <row r="851" spans="29:42" ht="14.5">
      <c r="AC851" s="3"/>
      <c r="AD851" s="3"/>
      <c r="AP851" s="53"/>
    </row>
    <row r="852" spans="29:42" ht="14.5">
      <c r="AC852" s="3"/>
      <c r="AD852" s="3"/>
      <c r="AP852" s="53"/>
    </row>
    <row r="853" spans="29:42" ht="14.5">
      <c r="AC853" s="3"/>
      <c r="AD853" s="3"/>
      <c r="AP853" s="53"/>
    </row>
    <row r="854" spans="29:42" ht="14.5">
      <c r="AC854" s="3"/>
      <c r="AD854" s="3"/>
      <c r="AP854" s="53"/>
    </row>
    <row r="855" spans="29:42" ht="14.5">
      <c r="AC855" s="3"/>
      <c r="AD855" s="3"/>
      <c r="AP855" s="53"/>
    </row>
    <row r="856" spans="29:42" ht="14.5">
      <c r="AC856" s="3"/>
      <c r="AD856" s="3"/>
      <c r="AP856" s="53"/>
    </row>
    <row r="857" spans="29:42" ht="14.5">
      <c r="AC857" s="3"/>
      <c r="AD857" s="3"/>
      <c r="AP857" s="53"/>
    </row>
    <row r="858" spans="29:42" ht="14.5">
      <c r="AC858" s="3"/>
      <c r="AD858" s="3"/>
      <c r="AP858" s="53"/>
    </row>
    <row r="859" spans="29:42" ht="14.5">
      <c r="AC859" s="3"/>
      <c r="AD859" s="3"/>
      <c r="AP859" s="53"/>
    </row>
    <row r="860" spans="29:42" ht="14.5">
      <c r="AC860" s="3"/>
      <c r="AD860" s="3"/>
      <c r="AP860" s="53"/>
    </row>
    <row r="861" spans="29:42" ht="14.5">
      <c r="AC861" s="3"/>
      <c r="AD861" s="3"/>
      <c r="AP861" s="53"/>
    </row>
    <row r="862" spans="29:42" ht="14.5">
      <c r="AC862" s="3"/>
      <c r="AD862" s="3"/>
      <c r="AP862" s="53"/>
    </row>
    <row r="863" spans="29:42" ht="14.5">
      <c r="AC863" s="3"/>
      <c r="AD863" s="3"/>
      <c r="AP863" s="53"/>
    </row>
    <row r="864" spans="29:42" ht="14.5">
      <c r="AC864" s="3"/>
      <c r="AD864" s="3"/>
      <c r="AP864" s="53"/>
    </row>
    <row r="865" spans="29:42" ht="14.5">
      <c r="AC865" s="3"/>
      <c r="AD865" s="3"/>
      <c r="AP865" s="53"/>
    </row>
    <row r="866" spans="29:42" ht="14.5">
      <c r="AC866" s="3"/>
      <c r="AD866" s="3"/>
      <c r="AP866" s="53"/>
    </row>
    <row r="867" spans="29:42" ht="14.5">
      <c r="AC867" s="3"/>
      <c r="AD867" s="3"/>
      <c r="AP867" s="53"/>
    </row>
    <row r="868" spans="29:42" ht="14.5">
      <c r="AC868" s="3"/>
      <c r="AD868" s="3"/>
      <c r="AP868" s="53"/>
    </row>
    <row r="869" spans="29:42" ht="14.5">
      <c r="AC869" s="3"/>
      <c r="AD869" s="3"/>
      <c r="AP869" s="53"/>
    </row>
    <row r="870" spans="29:42" ht="14.5">
      <c r="AC870" s="3"/>
      <c r="AD870" s="3"/>
      <c r="AP870" s="53"/>
    </row>
    <row r="871" spans="29:42" ht="14.5">
      <c r="AC871" s="3"/>
      <c r="AD871" s="3"/>
      <c r="AP871" s="53"/>
    </row>
    <row r="872" spans="29:42" ht="14.5">
      <c r="AC872" s="3"/>
      <c r="AD872" s="3"/>
      <c r="AP872" s="53"/>
    </row>
    <row r="873" spans="29:42" ht="14.5">
      <c r="AC873" s="3"/>
      <c r="AD873" s="3"/>
      <c r="AP873" s="53"/>
    </row>
    <row r="874" spans="29:42" ht="14.5">
      <c r="AC874" s="3"/>
      <c r="AD874" s="3"/>
      <c r="AP874" s="53"/>
    </row>
    <row r="875" spans="29:42" ht="14.5">
      <c r="AC875" s="3"/>
      <c r="AD875" s="3"/>
      <c r="AP875" s="53"/>
    </row>
    <row r="876" spans="29:42" ht="14.5">
      <c r="AC876" s="3"/>
      <c r="AD876" s="3"/>
      <c r="AP876" s="53"/>
    </row>
    <row r="877" spans="29:42" ht="14.5">
      <c r="AC877" s="3"/>
      <c r="AD877" s="3"/>
      <c r="AP877" s="53"/>
    </row>
    <row r="878" spans="29:42" ht="14.5">
      <c r="AC878" s="3"/>
      <c r="AD878" s="3"/>
      <c r="AP878" s="53"/>
    </row>
    <row r="879" spans="29:42" ht="14.5">
      <c r="AC879" s="3"/>
      <c r="AD879" s="3"/>
      <c r="AP879" s="53"/>
    </row>
    <row r="880" spans="29:42" ht="14.5">
      <c r="AC880" s="3"/>
      <c r="AD880" s="3"/>
      <c r="AP880" s="53"/>
    </row>
    <row r="881" spans="29:42" ht="14.5">
      <c r="AC881" s="3"/>
      <c r="AD881" s="3"/>
      <c r="AP881" s="53"/>
    </row>
    <row r="882" spans="29:42" ht="14.5">
      <c r="AC882" s="3"/>
      <c r="AD882" s="3"/>
      <c r="AP882" s="53"/>
    </row>
    <row r="883" spans="29:42" ht="14.5">
      <c r="AC883" s="3"/>
      <c r="AD883" s="3"/>
      <c r="AP883" s="53"/>
    </row>
    <row r="884" spans="29:42" ht="14.5">
      <c r="AC884" s="3"/>
      <c r="AD884" s="3"/>
      <c r="AP884" s="53"/>
    </row>
    <row r="885" spans="29:42" ht="14.5">
      <c r="AC885" s="3"/>
      <c r="AD885" s="3"/>
      <c r="AP885" s="53"/>
    </row>
    <row r="886" spans="29:42" ht="14.5">
      <c r="AC886" s="3"/>
      <c r="AD886" s="3"/>
      <c r="AP886" s="53"/>
    </row>
    <row r="887" spans="29:42" ht="14.5">
      <c r="AC887" s="3"/>
      <c r="AD887" s="3"/>
      <c r="AP887" s="53"/>
    </row>
    <row r="888" spans="29:42" ht="14.5">
      <c r="AC888" s="3"/>
      <c r="AD888" s="3"/>
      <c r="AP888" s="53"/>
    </row>
    <row r="889" spans="29:42" ht="14.5">
      <c r="AC889" s="3"/>
      <c r="AD889" s="3"/>
      <c r="AP889" s="53"/>
    </row>
    <row r="890" spans="29:42" ht="14.5">
      <c r="AC890" s="3"/>
      <c r="AD890" s="3"/>
      <c r="AP890" s="53"/>
    </row>
    <row r="891" spans="29:42" ht="14.5">
      <c r="AC891" s="3"/>
      <c r="AD891" s="3"/>
      <c r="AP891" s="53"/>
    </row>
    <row r="892" spans="29:42" ht="14.5">
      <c r="AC892" s="3"/>
      <c r="AD892" s="3"/>
      <c r="AP892" s="53"/>
    </row>
    <row r="893" spans="29:42" ht="14.5">
      <c r="AC893" s="3"/>
      <c r="AD893" s="3"/>
      <c r="AP893" s="53"/>
    </row>
    <row r="894" spans="29:42" ht="14.5">
      <c r="AC894" s="3"/>
      <c r="AD894" s="3"/>
      <c r="AP894" s="53"/>
    </row>
    <row r="895" spans="29:42" ht="14.5">
      <c r="AC895" s="3"/>
      <c r="AD895" s="3"/>
      <c r="AP895" s="53"/>
    </row>
    <row r="896" spans="29:42" ht="14.5">
      <c r="AC896" s="3"/>
      <c r="AD896" s="3"/>
      <c r="AP896" s="53"/>
    </row>
    <row r="897" spans="29:42" ht="14.5">
      <c r="AC897" s="3"/>
      <c r="AD897" s="3"/>
      <c r="AP897" s="53"/>
    </row>
    <row r="898" spans="29:42" ht="14.5">
      <c r="AC898" s="3"/>
      <c r="AD898" s="3"/>
      <c r="AP898" s="53"/>
    </row>
    <row r="899" spans="29:42" ht="14.5">
      <c r="AC899" s="3"/>
      <c r="AD899" s="3"/>
      <c r="AP899" s="53"/>
    </row>
    <row r="900" spans="29:42" ht="14.5">
      <c r="AC900" s="3"/>
      <c r="AD900" s="3"/>
      <c r="AP900" s="53"/>
    </row>
    <row r="901" spans="29:42" ht="14.5">
      <c r="AC901" s="3"/>
      <c r="AD901" s="3"/>
      <c r="AP901" s="53"/>
    </row>
    <row r="902" spans="29:42" ht="14.5">
      <c r="AC902" s="3"/>
      <c r="AD902" s="3"/>
      <c r="AP902" s="53"/>
    </row>
    <row r="903" spans="29:42" ht="14.5">
      <c r="AC903" s="3"/>
      <c r="AD903" s="3"/>
      <c r="AP903" s="53"/>
    </row>
    <row r="904" spans="29:42" ht="14.5">
      <c r="AC904" s="3"/>
      <c r="AD904" s="3"/>
      <c r="AP904" s="53"/>
    </row>
    <row r="905" spans="29:42" ht="14.5">
      <c r="AC905" s="3"/>
      <c r="AD905" s="3"/>
      <c r="AP905" s="53"/>
    </row>
    <row r="906" spans="29:42" ht="14.5">
      <c r="AC906" s="3"/>
      <c r="AD906" s="3"/>
      <c r="AP906" s="53"/>
    </row>
    <row r="907" spans="29:42" ht="14.5">
      <c r="AC907" s="3"/>
      <c r="AD907" s="3"/>
      <c r="AP907" s="53"/>
    </row>
    <row r="908" spans="29:42" ht="14.5">
      <c r="AC908" s="3"/>
      <c r="AD908" s="3"/>
      <c r="AP908" s="53"/>
    </row>
    <row r="909" spans="29:42" ht="14.5">
      <c r="AC909" s="3"/>
      <c r="AD909" s="3"/>
      <c r="AP909" s="53"/>
    </row>
    <row r="910" spans="29:42" ht="14.5">
      <c r="AC910" s="3"/>
      <c r="AD910" s="3"/>
      <c r="AP910" s="53"/>
    </row>
    <row r="911" spans="29:42" ht="14.5">
      <c r="AC911" s="3"/>
      <c r="AD911" s="3"/>
      <c r="AP911" s="53"/>
    </row>
    <row r="912" spans="29:42" ht="14.5">
      <c r="AC912" s="3"/>
      <c r="AD912" s="3"/>
      <c r="AP912" s="53"/>
    </row>
    <row r="913" spans="29:42" ht="14.5">
      <c r="AC913" s="3"/>
      <c r="AD913" s="3"/>
      <c r="AP913" s="53"/>
    </row>
    <row r="914" spans="29:42" ht="14.5">
      <c r="AC914" s="3"/>
      <c r="AD914" s="3"/>
      <c r="AP914" s="53"/>
    </row>
    <row r="915" spans="29:42" ht="14.5">
      <c r="AC915" s="3"/>
      <c r="AD915" s="3"/>
      <c r="AP915" s="53"/>
    </row>
    <row r="916" spans="29:42" ht="14.5">
      <c r="AC916" s="3"/>
      <c r="AD916" s="3"/>
      <c r="AP916" s="53"/>
    </row>
    <row r="917" spans="29:42" ht="14.5">
      <c r="AC917" s="3"/>
      <c r="AD917" s="3"/>
      <c r="AP917" s="53"/>
    </row>
    <row r="918" spans="29:42" ht="14.5">
      <c r="AC918" s="3"/>
      <c r="AD918" s="3"/>
      <c r="AP918" s="53"/>
    </row>
    <row r="919" spans="29:42" ht="14.5">
      <c r="AC919" s="3"/>
      <c r="AD919" s="3"/>
      <c r="AP919" s="53"/>
    </row>
    <row r="920" spans="29:42" ht="14.5">
      <c r="AC920" s="3"/>
      <c r="AD920" s="3"/>
      <c r="AP920" s="53"/>
    </row>
    <row r="921" spans="29:42" ht="14.5">
      <c r="AC921" s="3"/>
      <c r="AD921" s="3"/>
      <c r="AP921" s="53"/>
    </row>
    <row r="922" spans="29:42" ht="14.5">
      <c r="AC922" s="3"/>
      <c r="AD922" s="3"/>
      <c r="AP922" s="53"/>
    </row>
    <row r="923" spans="29:42" ht="14.5">
      <c r="AC923" s="3"/>
      <c r="AD923" s="3"/>
      <c r="AP923" s="53"/>
    </row>
    <row r="924" spans="29:42" ht="14.5">
      <c r="AC924" s="3"/>
      <c r="AD924" s="3"/>
      <c r="AP924" s="53"/>
    </row>
    <row r="925" spans="29:42" ht="14.5">
      <c r="AC925" s="3"/>
      <c r="AD925" s="3"/>
      <c r="AP925" s="53"/>
    </row>
    <row r="926" spans="29:42" ht="14.5">
      <c r="AC926" s="3"/>
      <c r="AD926" s="3"/>
      <c r="AP926" s="53"/>
    </row>
    <row r="927" spans="29:42" ht="14.5">
      <c r="AC927" s="3"/>
      <c r="AD927" s="3"/>
      <c r="AP927" s="53"/>
    </row>
    <row r="928" spans="29:42" ht="14.5">
      <c r="AC928" s="3"/>
      <c r="AD928" s="3"/>
      <c r="AP928" s="53"/>
    </row>
    <row r="929" spans="29:42" ht="14.5">
      <c r="AC929" s="3"/>
      <c r="AD929" s="3"/>
      <c r="AP929" s="53"/>
    </row>
    <row r="930" spans="29:42" ht="14.5">
      <c r="AC930" s="3"/>
      <c r="AD930" s="3"/>
      <c r="AP930" s="53"/>
    </row>
    <row r="931" spans="29:42" ht="14.5">
      <c r="AC931" s="3"/>
      <c r="AD931" s="3"/>
      <c r="AP931" s="53"/>
    </row>
    <row r="932" spans="29:42" ht="14.5">
      <c r="AC932" s="3"/>
      <c r="AD932" s="3"/>
      <c r="AP932" s="53"/>
    </row>
    <row r="933" spans="29:42" ht="14.5">
      <c r="AC933" s="3"/>
      <c r="AD933" s="3"/>
      <c r="AP933" s="53"/>
    </row>
    <row r="934" spans="29:42" ht="14.5">
      <c r="AC934" s="3"/>
      <c r="AD934" s="3"/>
      <c r="AP934" s="53"/>
    </row>
    <row r="935" spans="29:42" ht="14.5">
      <c r="AC935" s="3"/>
      <c r="AD935" s="3"/>
      <c r="AP935" s="53"/>
    </row>
    <row r="936" spans="29:42" ht="14.5">
      <c r="AC936" s="3"/>
      <c r="AD936" s="3"/>
      <c r="AP936" s="53"/>
    </row>
    <row r="937" spans="29:42" ht="14.5">
      <c r="AC937" s="3"/>
      <c r="AD937" s="3"/>
      <c r="AP937" s="53"/>
    </row>
    <row r="938" spans="29:42" ht="14.5">
      <c r="AC938" s="3"/>
      <c r="AD938" s="3"/>
      <c r="AP938" s="53"/>
    </row>
    <row r="939" spans="29:42" ht="14.5">
      <c r="AC939" s="3"/>
      <c r="AD939" s="3"/>
      <c r="AP939" s="53"/>
    </row>
    <row r="940" spans="29:42" ht="14.5">
      <c r="AC940" s="3"/>
      <c r="AD940" s="3"/>
      <c r="AP940" s="53"/>
    </row>
    <row r="941" spans="29:42" ht="14.5">
      <c r="AC941" s="3"/>
      <c r="AD941" s="3"/>
      <c r="AP941" s="53"/>
    </row>
    <row r="942" spans="29:42" ht="14.5">
      <c r="AC942" s="3"/>
      <c r="AD942" s="3"/>
      <c r="AP942" s="53"/>
    </row>
    <row r="943" spans="29:42" ht="14.5">
      <c r="AC943" s="3"/>
      <c r="AD943" s="3"/>
      <c r="AP943" s="53"/>
    </row>
    <row r="944" spans="29:42" ht="14.5">
      <c r="AC944" s="3"/>
      <c r="AD944" s="3"/>
      <c r="AP944" s="53"/>
    </row>
    <row r="945" spans="29:42" ht="14.5">
      <c r="AC945" s="3"/>
      <c r="AD945" s="3"/>
      <c r="AP945" s="53"/>
    </row>
    <row r="946" spans="29:42" ht="14.5">
      <c r="AC946" s="3"/>
      <c r="AD946" s="3"/>
      <c r="AP946" s="53"/>
    </row>
    <row r="947" spans="29:42" ht="14.5">
      <c r="AC947" s="3"/>
      <c r="AD947" s="3"/>
      <c r="AP947" s="53"/>
    </row>
    <row r="948" spans="29:42" ht="14.5">
      <c r="AC948" s="3"/>
      <c r="AD948" s="3"/>
      <c r="AP948" s="53"/>
    </row>
    <row r="949" spans="29:42" ht="14.5">
      <c r="AC949" s="3"/>
      <c r="AD949" s="3"/>
      <c r="AP949" s="53"/>
    </row>
    <row r="950" spans="29:42" ht="14.5">
      <c r="AC950" s="3"/>
      <c r="AD950" s="3"/>
      <c r="AP950" s="53"/>
    </row>
    <row r="951" spans="29:42" ht="14.5">
      <c r="AC951" s="3"/>
      <c r="AD951" s="3"/>
      <c r="AP951" s="53"/>
    </row>
    <row r="952" spans="29:42" ht="14.5">
      <c r="AC952" s="3"/>
      <c r="AD952" s="3"/>
      <c r="AP952" s="53"/>
    </row>
    <row r="953" spans="29:42" ht="14.5">
      <c r="AC953" s="3"/>
      <c r="AD953" s="3"/>
      <c r="AP953" s="53"/>
    </row>
    <row r="954" spans="29:42" ht="14.5">
      <c r="AC954" s="3"/>
      <c r="AD954" s="3"/>
      <c r="AP954" s="53"/>
    </row>
    <row r="955" spans="29:42" ht="14.5">
      <c r="AC955" s="3"/>
      <c r="AD955" s="3"/>
      <c r="AP955" s="53"/>
    </row>
    <row r="956" spans="29:42" ht="14.5">
      <c r="AC956" s="3"/>
      <c r="AD956" s="3"/>
      <c r="AP956" s="53"/>
    </row>
    <row r="957" spans="29:42" ht="14.5">
      <c r="AC957" s="3"/>
      <c r="AD957" s="3"/>
      <c r="AP957" s="53"/>
    </row>
    <row r="958" spans="29:42" ht="14.5">
      <c r="AC958" s="3"/>
      <c r="AD958" s="3"/>
      <c r="AP958" s="53"/>
    </row>
    <row r="959" spans="29:42" ht="14.5">
      <c r="AC959" s="3"/>
      <c r="AD959" s="3"/>
      <c r="AP959" s="53"/>
    </row>
    <row r="960" spans="29:42" ht="14.5">
      <c r="AC960" s="3"/>
      <c r="AD960" s="3"/>
      <c r="AP960" s="53"/>
    </row>
    <row r="961" spans="29:42" ht="14.5">
      <c r="AC961" s="3"/>
      <c r="AD961" s="3"/>
      <c r="AP961" s="53"/>
    </row>
    <row r="962" spans="29:42" ht="14.5">
      <c r="AC962" s="3"/>
      <c r="AD962" s="3"/>
      <c r="AP962" s="53"/>
    </row>
    <row r="963" spans="29:42" ht="14.5">
      <c r="AC963" s="3"/>
      <c r="AD963" s="3"/>
      <c r="AP963" s="53"/>
    </row>
    <row r="964" spans="29:42" ht="14.5">
      <c r="AC964" s="3"/>
      <c r="AD964" s="3"/>
      <c r="AP964" s="53"/>
    </row>
    <row r="965" spans="29:42" ht="14.5">
      <c r="AC965" s="3"/>
      <c r="AD965" s="3"/>
      <c r="AP965" s="53"/>
    </row>
    <row r="966" spans="29:42" ht="14.5">
      <c r="AC966" s="3"/>
      <c r="AD966" s="3"/>
      <c r="AP966" s="53"/>
    </row>
    <row r="967" spans="29:42" ht="14.5">
      <c r="AC967" s="3"/>
      <c r="AD967" s="3"/>
      <c r="AP967" s="53"/>
    </row>
    <row r="968" spans="29:42" ht="14.5">
      <c r="AC968" s="3"/>
      <c r="AD968" s="3"/>
      <c r="AP968" s="53"/>
    </row>
    <row r="969" spans="29:42" ht="14.5">
      <c r="AC969" s="3"/>
      <c r="AD969" s="3"/>
      <c r="AP969" s="53"/>
    </row>
    <row r="970" spans="29:42" ht="14.5">
      <c r="AC970" s="3"/>
      <c r="AD970" s="3"/>
      <c r="AP970" s="53"/>
    </row>
    <row r="971" spans="29:42" ht="14.5">
      <c r="AC971" s="3"/>
      <c r="AD971" s="3"/>
      <c r="AP971" s="53"/>
    </row>
    <row r="972" spans="29:42" ht="14.5">
      <c r="AC972" s="3"/>
      <c r="AD972" s="3"/>
      <c r="AP972" s="53"/>
    </row>
    <row r="973" spans="29:42" ht="14.5">
      <c r="AC973" s="3"/>
      <c r="AD973" s="3"/>
      <c r="AP973" s="53"/>
    </row>
    <row r="974" spans="29:42" ht="14.5">
      <c r="AC974" s="3"/>
      <c r="AD974" s="3"/>
      <c r="AP974" s="53"/>
    </row>
    <row r="975" spans="29:42" ht="14.5">
      <c r="AC975" s="3"/>
      <c r="AD975" s="3"/>
      <c r="AP975" s="53"/>
    </row>
    <row r="976" spans="29:42" ht="14.5">
      <c r="AC976" s="3"/>
      <c r="AD976" s="3"/>
      <c r="AP976" s="53"/>
    </row>
    <row r="977" spans="29:42" ht="14.5">
      <c r="AC977" s="3"/>
      <c r="AD977" s="3"/>
      <c r="AP977" s="53"/>
    </row>
    <row r="978" spans="29:42" ht="14.5">
      <c r="AC978" s="3"/>
      <c r="AD978" s="3"/>
      <c r="AP978" s="53"/>
    </row>
    <row r="979" spans="29:42" ht="14.5">
      <c r="AC979" s="3"/>
      <c r="AD979" s="3"/>
      <c r="AP979" s="53"/>
    </row>
    <row r="980" spans="29:42" ht="14.5">
      <c r="AC980" s="3"/>
      <c r="AD980" s="3"/>
      <c r="AP980" s="53"/>
    </row>
    <row r="981" spans="29:42" ht="14.5">
      <c r="AC981" s="3"/>
      <c r="AD981" s="3"/>
      <c r="AP981" s="53"/>
    </row>
    <row r="982" spans="29:42" ht="14.5">
      <c r="AC982" s="3"/>
      <c r="AD982" s="3"/>
      <c r="AP982" s="53"/>
    </row>
    <row r="983" spans="29:42" ht="14.5">
      <c r="AC983" s="3"/>
      <c r="AD983" s="3"/>
      <c r="AP983" s="53"/>
    </row>
    <row r="984" spans="29:42" ht="14.5">
      <c r="AC984" s="3"/>
      <c r="AD984" s="3"/>
      <c r="AP984" s="53"/>
    </row>
    <row r="985" spans="29:42" ht="14.5">
      <c r="AC985" s="3"/>
      <c r="AD985" s="3"/>
      <c r="AP985" s="53"/>
    </row>
    <row r="986" spans="29:42" ht="14.5">
      <c r="AC986" s="3"/>
      <c r="AD986" s="3"/>
      <c r="AP986" s="53"/>
    </row>
    <row r="987" spans="29:42" ht="14.5">
      <c r="AC987" s="3"/>
      <c r="AD987" s="3"/>
      <c r="AP987" s="53"/>
    </row>
    <row r="988" spans="29:42" ht="14.5">
      <c r="AC988" s="3"/>
      <c r="AD988" s="3"/>
      <c r="AP988" s="53"/>
    </row>
    <row r="989" spans="29:42" ht="14.5">
      <c r="AC989" s="3"/>
      <c r="AD989" s="3"/>
      <c r="AP989" s="53"/>
    </row>
    <row r="990" spans="29:42" ht="14.5">
      <c r="AC990" s="3"/>
      <c r="AD990" s="3"/>
      <c r="AP990" s="53"/>
    </row>
    <row r="991" spans="29:42" ht="14.5">
      <c r="AC991" s="3"/>
      <c r="AD991" s="3"/>
      <c r="AP991" s="53"/>
    </row>
    <row r="992" spans="29:42" ht="14.5">
      <c r="AC992" s="3"/>
      <c r="AD992" s="3"/>
      <c r="AP992" s="53"/>
    </row>
    <row r="993" spans="29:42" ht="14.5">
      <c r="AC993" s="3"/>
      <c r="AD993" s="3"/>
      <c r="AP993" s="53"/>
    </row>
    <row r="994" spans="29:42" ht="14.5">
      <c r="AC994" s="3"/>
      <c r="AD994" s="3"/>
      <c r="AP994" s="53"/>
    </row>
    <row r="995" spans="29:42" ht="14.5">
      <c r="AC995" s="3"/>
      <c r="AD995" s="3"/>
      <c r="AP995" s="53"/>
    </row>
    <row r="996" spans="29:42" ht="14.5">
      <c r="AC996" s="3"/>
      <c r="AD996" s="3"/>
      <c r="AP996" s="53"/>
    </row>
    <row r="997" spans="29:42" ht="14.5">
      <c r="AC997" s="3"/>
      <c r="AD997" s="3"/>
      <c r="AP997" s="53"/>
    </row>
    <row r="998" spans="29:42" ht="14.5">
      <c r="AC998" s="3"/>
      <c r="AD998" s="3"/>
      <c r="AP998" s="53"/>
    </row>
    <row r="999" spans="29:42" ht="14.5">
      <c r="AC999" s="3"/>
      <c r="AD999" s="3"/>
      <c r="AP999" s="53"/>
    </row>
    <row r="1000" spans="29:42" ht="14.5">
      <c r="AC1000" s="3"/>
      <c r="AD1000" s="3"/>
      <c r="AP1000" s="53"/>
    </row>
    <row r="1001" spans="29:42" ht="14.5">
      <c r="AC1001" s="3"/>
      <c r="AD1001" s="3"/>
      <c r="AP1001" s="53"/>
    </row>
    <row r="1002" spans="29:42" ht="14.5">
      <c r="AC1002" s="3"/>
      <c r="AD1002" s="3"/>
      <c r="AP1002" s="53"/>
    </row>
    <row r="1003" spans="29:42" ht="14.5">
      <c r="AC1003" s="3"/>
      <c r="AD1003" s="3"/>
      <c r="AP1003" s="53"/>
    </row>
    <row r="1004" spans="29:42" ht="14.5">
      <c r="AC1004" s="3"/>
      <c r="AD1004" s="3"/>
      <c r="AP1004" s="53"/>
    </row>
    <row r="1005" spans="29:42" ht="14.5">
      <c r="AC1005" s="3"/>
      <c r="AD1005" s="3"/>
      <c r="AP1005" s="53"/>
    </row>
    <row r="1006" spans="29:42" ht="14.5">
      <c r="AC1006" s="3"/>
      <c r="AD1006" s="3"/>
      <c r="AP1006" s="53"/>
    </row>
    <row r="1007" spans="29:42" ht="14.5">
      <c r="AC1007" s="3"/>
      <c r="AD1007" s="3"/>
      <c r="AP1007" s="53"/>
    </row>
    <row r="1008" spans="29:42" ht="14.5">
      <c r="AC1008" s="3"/>
      <c r="AD1008" s="3"/>
      <c r="AP1008" s="53"/>
    </row>
    <row r="1009" spans="29:42" ht="14.5">
      <c r="AC1009" s="3"/>
      <c r="AD1009" s="3"/>
      <c r="AP1009" s="53"/>
    </row>
    <row r="1010" spans="29:42" ht="14.5">
      <c r="AC1010" s="3"/>
      <c r="AD1010" s="3"/>
      <c r="AP1010" s="53"/>
    </row>
    <row r="1011" spans="29:42" ht="14.5">
      <c r="AC1011" s="3"/>
      <c r="AD1011" s="3"/>
      <c r="AP1011" s="53"/>
    </row>
    <row r="1012" spans="29:42" ht="14.5">
      <c r="AC1012" s="3"/>
      <c r="AD1012" s="3"/>
      <c r="AP1012" s="53"/>
    </row>
    <row r="1013" spans="29:42" ht="14.5">
      <c r="AC1013" s="3"/>
      <c r="AD1013" s="3"/>
      <c r="AP1013" s="53"/>
    </row>
    <row r="1014" spans="29:42" ht="14.5">
      <c r="AC1014" s="3"/>
      <c r="AD1014" s="3"/>
      <c r="AP1014" s="53"/>
    </row>
    <row r="1015" spans="29:42" ht="14.5">
      <c r="AC1015" s="3"/>
      <c r="AD1015" s="3"/>
      <c r="AP1015" s="53"/>
    </row>
    <row r="1016" spans="29:42" ht="14.5">
      <c r="AC1016" s="3"/>
      <c r="AD1016" s="3"/>
      <c r="AP1016" s="53"/>
    </row>
    <row r="1017" spans="29:42" ht="14.5">
      <c r="AC1017" s="3"/>
      <c r="AD1017" s="3"/>
      <c r="AP1017" s="53"/>
    </row>
    <row r="1018" spans="29:42" ht="14.5">
      <c r="AC1018" s="3"/>
      <c r="AD1018" s="3"/>
      <c r="AP1018" s="53"/>
    </row>
    <row r="1019" spans="29:42" ht="14.5">
      <c r="AC1019" s="3"/>
      <c r="AD1019" s="3"/>
      <c r="AP1019" s="53"/>
    </row>
    <row r="1020" spans="29:42" ht="14.5">
      <c r="AC1020" s="3"/>
      <c r="AD1020" s="3"/>
      <c r="AP1020" s="53"/>
    </row>
    <row r="1021" spans="29:42" ht="14.5">
      <c r="AC1021" s="3"/>
      <c r="AD1021" s="3"/>
      <c r="AP1021" s="53"/>
    </row>
    <row r="1022" spans="29:42" ht="14.5">
      <c r="AC1022" s="3"/>
      <c r="AD1022" s="3"/>
      <c r="AP1022" s="53"/>
    </row>
    <row r="1023" spans="29:42" ht="14.5">
      <c r="AC1023" s="3"/>
      <c r="AD1023" s="3"/>
      <c r="AP1023" s="53"/>
    </row>
    <row r="1024" spans="29:42" ht="14.5">
      <c r="AC1024" s="3"/>
      <c r="AD1024" s="3"/>
      <c r="AP1024" s="53"/>
    </row>
    <row r="1025" spans="29:42" ht="14.5">
      <c r="AC1025" s="3"/>
      <c r="AD1025" s="3"/>
      <c r="AP1025" s="53"/>
    </row>
    <row r="1026" spans="29:42" ht="14.5">
      <c r="AC1026" s="3"/>
      <c r="AD1026" s="3"/>
      <c r="AP1026" s="53"/>
    </row>
    <row r="1027" spans="29:42" ht="14.5">
      <c r="AC1027" s="3"/>
      <c r="AD1027" s="3"/>
      <c r="AP1027" s="53"/>
    </row>
    <row r="1028" spans="29:42" ht="14.5">
      <c r="AC1028" s="3"/>
      <c r="AD1028" s="3"/>
      <c r="AP1028" s="53"/>
    </row>
    <row r="1029" spans="29:42" ht="14.5">
      <c r="AC1029" s="3"/>
      <c r="AD1029" s="3"/>
      <c r="AP1029" s="53"/>
    </row>
    <row r="1030" spans="29:42" ht="14.5">
      <c r="AC1030" s="3"/>
      <c r="AD1030" s="3"/>
      <c r="AP1030" s="53"/>
    </row>
    <row r="1031" spans="29:42" ht="14.5">
      <c r="AC1031" s="3"/>
      <c r="AD1031" s="3"/>
      <c r="AP1031" s="53"/>
    </row>
    <row r="1032" spans="29:42" ht="14.5">
      <c r="AC1032" s="3"/>
      <c r="AD1032" s="3"/>
      <c r="AP1032" s="53"/>
    </row>
    <row r="1033" spans="29:42" ht="14.5">
      <c r="AC1033" s="3"/>
      <c r="AD1033" s="3"/>
      <c r="AP1033" s="53"/>
    </row>
    <row r="1034" spans="29:42" ht="14.5">
      <c r="AC1034" s="3"/>
      <c r="AD1034" s="3"/>
      <c r="AP1034" s="53"/>
    </row>
    <row r="1035" spans="29:42" ht="14.5">
      <c r="AC1035" s="3"/>
      <c r="AD1035" s="3"/>
      <c r="AP1035" s="53"/>
    </row>
    <row r="1036" spans="29:42" ht="14.5">
      <c r="AC1036" s="3"/>
      <c r="AD1036" s="3"/>
      <c r="AP1036" s="53"/>
    </row>
    <row r="1037" spans="29:42" ht="14.5">
      <c r="AC1037" s="3"/>
      <c r="AD1037" s="3"/>
      <c r="AP1037" s="53"/>
    </row>
    <row r="1038" spans="29:42" ht="14.5">
      <c r="AC1038" s="3"/>
      <c r="AD1038" s="3"/>
      <c r="AP1038" s="53"/>
    </row>
    <row r="1039" spans="29:42" ht="14.5">
      <c r="AC1039" s="3"/>
      <c r="AD1039" s="3"/>
      <c r="AP1039" s="53"/>
    </row>
    <row r="1040" spans="29:42" ht="14.5">
      <c r="AC1040" s="3"/>
      <c r="AD1040" s="3"/>
      <c r="AP1040" s="53"/>
    </row>
    <row r="1041" spans="29:42" ht="14.5">
      <c r="AC1041" s="3"/>
      <c r="AD1041" s="3"/>
      <c r="AP1041" s="53"/>
    </row>
    <row r="1042" spans="29:42" ht="14.5">
      <c r="AC1042" s="3"/>
      <c r="AD1042" s="3"/>
      <c r="AP1042" s="53"/>
    </row>
    <row r="1043" spans="29:42" ht="14.5">
      <c r="AC1043" s="3"/>
      <c r="AD1043" s="3"/>
      <c r="AP1043" s="53"/>
    </row>
    <row r="1044" spans="29:42" ht="14.5">
      <c r="AC1044" s="3"/>
      <c r="AD1044" s="3"/>
      <c r="AP1044" s="53"/>
    </row>
    <row r="1045" spans="29:42" ht="14.5">
      <c r="AC1045" s="3"/>
      <c r="AD1045" s="3"/>
      <c r="AP1045" s="53"/>
    </row>
    <row r="1046" spans="29:42" ht="14.5">
      <c r="AC1046" s="3"/>
      <c r="AD1046" s="3"/>
      <c r="AP1046" s="53"/>
    </row>
    <row r="1047" spans="29:42" ht="14.5">
      <c r="AC1047" s="3"/>
      <c r="AD1047" s="3"/>
      <c r="AP1047" s="53"/>
    </row>
    <row r="1048" spans="29:42" ht="14.5">
      <c r="AC1048" s="3"/>
      <c r="AD1048" s="3"/>
      <c r="AP1048" s="53"/>
    </row>
    <row r="1049" spans="29:42" ht="14.5">
      <c r="AC1049" s="3"/>
      <c r="AD1049" s="3"/>
      <c r="AP1049" s="53"/>
    </row>
    <row r="1050" spans="29:42" ht="14.5">
      <c r="AC1050" s="3"/>
      <c r="AD1050" s="3"/>
      <c r="AP1050" s="53"/>
    </row>
    <row r="1051" spans="29:42" ht="14.5">
      <c r="AC1051" s="3"/>
      <c r="AD1051" s="3"/>
      <c r="AP1051" s="53"/>
    </row>
    <row r="1052" spans="29:42" ht="14.5">
      <c r="AC1052" s="3"/>
      <c r="AD1052" s="3"/>
      <c r="AP1052" s="53"/>
    </row>
    <row r="1053" spans="29:42" ht="14.5">
      <c r="AC1053" s="3"/>
      <c r="AD1053" s="3"/>
      <c r="AP1053" s="53"/>
    </row>
    <row r="1054" spans="29:42" ht="14.5">
      <c r="AC1054" s="3"/>
      <c r="AD1054" s="3"/>
      <c r="AP1054" s="53"/>
    </row>
    <row r="1055" spans="29:42" ht="14.5">
      <c r="AC1055" s="3"/>
      <c r="AD1055" s="3"/>
      <c r="AP1055" s="53"/>
    </row>
    <row r="1056" spans="29:42" ht="14.5">
      <c r="AC1056" s="3"/>
      <c r="AD1056" s="3"/>
      <c r="AP1056" s="53"/>
    </row>
    <row r="1057" spans="29:42" ht="14.5">
      <c r="AC1057" s="3"/>
      <c r="AD1057" s="3"/>
      <c r="AP1057" s="53"/>
    </row>
    <row r="1058" spans="29:42" ht="14.5">
      <c r="AC1058" s="3"/>
      <c r="AD1058" s="3"/>
      <c r="AP1058" s="53"/>
    </row>
    <row r="1059" spans="29:42" ht="14.5">
      <c r="AC1059" s="3"/>
      <c r="AD1059" s="3"/>
      <c r="AP1059" s="53"/>
    </row>
    <row r="1060" spans="29:42" ht="14.5">
      <c r="AC1060" s="3"/>
      <c r="AD1060" s="3"/>
      <c r="AP1060" s="53"/>
    </row>
    <row r="1061" spans="29:42" ht="14.5">
      <c r="AC1061" s="3"/>
      <c r="AD1061" s="3"/>
      <c r="AP1061" s="53"/>
    </row>
    <row r="1062" spans="29:42" ht="14.5">
      <c r="AC1062" s="3"/>
      <c r="AD1062" s="3"/>
      <c r="AP1062" s="53"/>
    </row>
    <row r="1063" spans="29:42" ht="14.5">
      <c r="AC1063" s="3"/>
      <c r="AD1063" s="3"/>
      <c r="AP1063" s="53"/>
    </row>
    <row r="1064" spans="29:42" ht="14.5">
      <c r="AC1064" s="3"/>
      <c r="AD1064" s="3"/>
      <c r="AP1064" s="53"/>
    </row>
    <row r="1065" spans="29:42" ht="14.5">
      <c r="AC1065" s="3"/>
      <c r="AD1065" s="3"/>
      <c r="AP1065" s="53"/>
    </row>
    <row r="1066" spans="29:42" ht="14.5">
      <c r="AC1066" s="3"/>
      <c r="AD1066" s="3"/>
      <c r="AP1066" s="53"/>
    </row>
    <row r="1067" spans="29:42" ht="14.5">
      <c r="AC1067" s="3"/>
      <c r="AD1067" s="3"/>
      <c r="AP1067" s="53"/>
    </row>
    <row r="1068" spans="29:42" ht="14.5">
      <c r="AC1068" s="3"/>
      <c r="AD1068" s="3"/>
      <c r="AP1068" s="53"/>
    </row>
    <row r="1069" spans="29:42" ht="14.5">
      <c r="AC1069" s="3"/>
      <c r="AD1069" s="3"/>
      <c r="AP1069" s="53"/>
    </row>
    <row r="1070" spans="29:42" ht="14.5">
      <c r="AC1070" s="3"/>
      <c r="AD1070" s="3"/>
      <c r="AP1070" s="53"/>
    </row>
    <row r="1071" spans="29:42" ht="14.5">
      <c r="AC1071" s="3"/>
      <c r="AD1071" s="3"/>
      <c r="AP1071" s="53"/>
    </row>
    <row r="1072" spans="29:42" ht="14.5">
      <c r="AC1072" s="3"/>
      <c r="AD1072" s="3"/>
      <c r="AP1072" s="53"/>
    </row>
    <row r="1073" spans="29:42" ht="14.5">
      <c r="AC1073" s="3"/>
      <c r="AD1073" s="3"/>
      <c r="AP1073" s="53"/>
    </row>
    <row r="1074" spans="29:42" ht="14.5">
      <c r="AC1074" s="3"/>
      <c r="AD1074" s="3"/>
      <c r="AP1074" s="53"/>
    </row>
    <row r="1075" spans="29:42" ht="14.5">
      <c r="AC1075" s="3"/>
      <c r="AD1075" s="3"/>
      <c r="AP1075" s="53"/>
    </row>
    <row r="1076" spans="29:42" ht="14.5">
      <c r="AC1076" s="3"/>
      <c r="AD1076" s="3"/>
      <c r="AP1076" s="53"/>
    </row>
    <row r="1077" spans="29:42" ht="14.5">
      <c r="AC1077" s="3"/>
      <c r="AD1077" s="3"/>
      <c r="AP1077" s="53"/>
    </row>
    <row r="1078" spans="29:42" ht="14.5">
      <c r="AC1078" s="3"/>
      <c r="AD1078" s="3"/>
      <c r="AP1078" s="53"/>
    </row>
    <row r="1079" spans="29:42" ht="14.5">
      <c r="AC1079" s="3"/>
      <c r="AD1079" s="3"/>
      <c r="AP1079" s="53"/>
    </row>
    <row r="1080" spans="29:42" ht="14.5">
      <c r="AC1080" s="3"/>
      <c r="AD1080" s="3"/>
      <c r="AP1080" s="53"/>
    </row>
    <row r="1081" spans="29:42" ht="14.5">
      <c r="AC1081" s="3"/>
      <c r="AD1081" s="3"/>
      <c r="AP1081" s="53"/>
    </row>
    <row r="1082" spans="29:42" ht="14.5">
      <c r="AC1082" s="3"/>
      <c r="AD1082" s="3"/>
      <c r="AP1082" s="53"/>
    </row>
    <row r="1083" spans="29:42" ht="14.5">
      <c r="AC1083" s="3"/>
      <c r="AD1083" s="3"/>
      <c r="AP1083" s="53"/>
    </row>
    <row r="1084" spans="29:42" ht="14.5">
      <c r="AC1084" s="3"/>
      <c r="AD1084" s="3"/>
      <c r="AP1084" s="53"/>
    </row>
  </sheetData>
  <mergeCells count="3">
    <mergeCell ref="A1:B1"/>
    <mergeCell ref="D296:I296"/>
    <mergeCell ref="N296:S296"/>
  </mergeCells>
  <conditionalFormatting sqref="AC1:AF3 AC44:AF44 AC69:AF69 AC94:AF94 AC119:AF119 AC144:AF144 AC169:AF169 AC196:AF203 AC228:AF228 AG296:AG321 AC329:AF1084 AG293:AH294 AC293:AF326 AC253:AF255 AC284:AH290 AA279:AF283 AG255:AH255 AC278:AH278 AE256:AJ277 AC17:AF19 W15:Z16">
    <cfRule type="notContainsBlanks" dxfId="12" priority="3">
      <formula>LEN(TRIM(W1))&gt;0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40EB4-5D43-4D17-8DB4-568837F0195B}">
  <sheetPr>
    <outlinePr summaryBelow="0" summaryRight="0"/>
  </sheetPr>
  <dimension ref="A1:BD1084"/>
  <sheetViews>
    <sheetView topLeftCell="A286" zoomScale="60" zoomScaleNormal="60" workbookViewId="0">
      <selection activeCell="F299" sqref="F299"/>
    </sheetView>
  </sheetViews>
  <sheetFormatPr defaultColWidth="12.6640625" defaultRowHeight="15" customHeight="1"/>
  <cols>
    <col min="1" max="1" width="14" style="167" customWidth="1"/>
    <col min="2" max="16384" width="12.6640625" style="167"/>
  </cols>
  <sheetData>
    <row r="1" spans="1:42" ht="14.5">
      <c r="A1" s="181" t="s">
        <v>70</v>
      </c>
      <c r="B1" s="182"/>
      <c r="C1" s="26"/>
      <c r="D1" s="70" t="s">
        <v>71</v>
      </c>
      <c r="E1" s="32">
        <f ca="1">1.1*Z23</f>
        <v>197.36980853147577</v>
      </c>
      <c r="G1" s="70" t="s">
        <v>72</v>
      </c>
      <c r="H1" s="32">
        <f ca="1">1.15*Z23</f>
        <v>206.34116346472464</v>
      </c>
      <c r="J1" s="70" t="s">
        <v>249</v>
      </c>
      <c r="K1" s="32">
        <f ca="1">1.2*Z23</f>
        <v>215.31251839797355</v>
      </c>
      <c r="AC1" s="3"/>
      <c r="AD1" s="3"/>
      <c r="AP1" s="145"/>
    </row>
    <row r="2" spans="1:42" ht="14.5">
      <c r="A2" s="26" t="s">
        <v>74</v>
      </c>
      <c r="M2" s="21"/>
      <c r="N2" s="61"/>
      <c r="AC2" s="3"/>
      <c r="AD2" s="3"/>
      <c r="AP2" s="145"/>
    </row>
    <row r="3" spans="1:42" thickBot="1">
      <c r="A3" s="21" t="s">
        <v>76</v>
      </c>
      <c r="B3" s="21">
        <v>230</v>
      </c>
      <c r="D3" s="26" t="s">
        <v>1</v>
      </c>
      <c r="E3" s="32">
        <f ca="1">E193</f>
        <v>1005.4026444152659</v>
      </c>
      <c r="F3" s="21" t="s">
        <v>49</v>
      </c>
      <c r="G3" s="26" t="s">
        <v>199</v>
      </c>
      <c r="H3" s="21">
        <v>755</v>
      </c>
      <c r="M3" s="21"/>
      <c r="N3" s="61"/>
      <c r="S3" s="75" t="s">
        <v>284</v>
      </c>
      <c r="T3" s="131" t="s">
        <v>286</v>
      </c>
      <c r="U3" s="131" t="s">
        <v>83</v>
      </c>
      <c r="AC3" s="3"/>
      <c r="AD3" s="3"/>
      <c r="AP3" s="145"/>
    </row>
    <row r="4" spans="1:42" ht="19.5" thickBot="1">
      <c r="A4" s="21" t="s">
        <v>12</v>
      </c>
      <c r="B4" s="21">
        <f>U9/B3</f>
        <v>5.5269412880887687</v>
      </c>
      <c r="D4" s="26" t="s">
        <v>200</v>
      </c>
      <c r="E4" s="21">
        <f ca="1">B93-B48</f>
        <v>19.850062472015853</v>
      </c>
      <c r="G4" s="26" t="s">
        <v>201</v>
      </c>
      <c r="H4" s="21">
        <v>1017</v>
      </c>
      <c r="M4" s="21"/>
      <c r="N4" s="21"/>
      <c r="S4" s="131" t="s">
        <v>285</v>
      </c>
      <c r="T4" s="150">
        <v>79254.356807799995</v>
      </c>
      <c r="U4" s="167">
        <f>T4/144</f>
        <v>550.37747783194436</v>
      </c>
      <c r="X4" s="158" t="s">
        <v>308</v>
      </c>
      <c r="Y4" s="158" t="s">
        <v>309</v>
      </c>
      <c r="Z4" s="158" t="s">
        <v>310</v>
      </c>
      <c r="AA4" s="158" t="s">
        <v>311</v>
      </c>
      <c r="AB4" s="158" t="s">
        <v>312</v>
      </c>
      <c r="AC4" s="158" t="s">
        <v>313</v>
      </c>
      <c r="AD4" s="158" t="s">
        <v>314</v>
      </c>
      <c r="AE4" s="158" t="s">
        <v>315</v>
      </c>
      <c r="AF4" s="158" t="s">
        <v>316</v>
      </c>
      <c r="AG4" s="158" t="s">
        <v>317</v>
      </c>
      <c r="AP4" s="145"/>
    </row>
    <row r="5" spans="1:42" ht="19.5" thickBot="1">
      <c r="A5" s="21" t="s">
        <v>11</v>
      </c>
      <c r="B5" s="21">
        <v>0.84</v>
      </c>
      <c r="M5" s="21"/>
      <c r="S5" s="131" t="s">
        <v>287</v>
      </c>
      <c r="T5" s="150">
        <v>14021.6390302</v>
      </c>
      <c r="U5" s="167">
        <f t="shared" ref="U5:U9" si="0">T5/144</f>
        <v>97.372493265277782</v>
      </c>
      <c r="X5" s="153">
        <v>0</v>
      </c>
      <c r="Y5" s="153">
        <v>0.71989999999999998</v>
      </c>
      <c r="Z5" s="153">
        <v>0.71209999999999996</v>
      </c>
      <c r="AA5" s="166">
        <v>0.70689999999999997</v>
      </c>
      <c r="AB5" s="153">
        <v>0.69389999999999996</v>
      </c>
      <c r="AC5" s="153">
        <v>0.67789999999999995</v>
      </c>
      <c r="AD5" s="153">
        <v>0.67390000000000005</v>
      </c>
      <c r="AE5" s="153">
        <v>0.67310000000000003</v>
      </c>
      <c r="AF5" s="153">
        <v>0.67190000000000005</v>
      </c>
      <c r="AG5" s="153">
        <v>0.66990000000000005</v>
      </c>
      <c r="AP5" s="145"/>
    </row>
    <row r="6" spans="1:42" ht="19.5" thickBot="1">
      <c r="A6" s="21" t="s">
        <v>10</v>
      </c>
      <c r="B6" s="30">
        <v>6</v>
      </c>
      <c r="D6" s="26" t="s">
        <v>86</v>
      </c>
      <c r="G6" s="26" t="s">
        <v>87</v>
      </c>
      <c r="J6" s="70" t="s">
        <v>90</v>
      </c>
      <c r="K6" s="78">
        <v>9120</v>
      </c>
      <c r="M6" s="75" t="s">
        <v>219</v>
      </c>
      <c r="N6" s="167">
        <v>50.8</v>
      </c>
      <c r="O6" s="167" t="s">
        <v>220</v>
      </c>
      <c r="P6" s="75" t="s">
        <v>266</v>
      </c>
      <c r="Q6" s="167">
        <f ca="1">H18/N6</f>
        <v>103.65187669940066</v>
      </c>
      <c r="S6" s="131" t="s">
        <v>288</v>
      </c>
      <c r="T6" s="150">
        <v>10100.623521699999</v>
      </c>
      <c r="U6" s="167">
        <f t="shared" si="0"/>
        <v>70.143218900694436</v>
      </c>
      <c r="X6" s="153">
        <v>0.1</v>
      </c>
      <c r="Y6" s="153">
        <v>0.74590000000000001</v>
      </c>
      <c r="Z6" s="153">
        <v>0.73870000000000002</v>
      </c>
      <c r="AA6" s="166">
        <v>0.7339</v>
      </c>
      <c r="AB6" s="153">
        <v>0.72189999999999999</v>
      </c>
      <c r="AC6" s="153">
        <v>0.70109999999999995</v>
      </c>
      <c r="AD6" s="153">
        <v>0.69589999999999996</v>
      </c>
      <c r="AE6" s="153">
        <v>0.69469999999999998</v>
      </c>
      <c r="AF6" s="153">
        <v>0.69289999999999996</v>
      </c>
      <c r="AG6" s="153">
        <v>0.68989999999999996</v>
      </c>
      <c r="AP6" s="145"/>
    </row>
    <row r="7" spans="1:42" ht="16" customHeight="1" thickBot="1">
      <c r="A7" s="76" t="s">
        <v>84</v>
      </c>
      <c r="B7" s="76">
        <f>77.04843221/12</f>
        <v>6.4207026841666668</v>
      </c>
      <c r="D7" s="21" t="s">
        <v>19</v>
      </c>
      <c r="E7" s="31">
        <v>0.2</v>
      </c>
      <c r="G7" s="62" t="s">
        <v>19</v>
      </c>
      <c r="H7" s="31">
        <v>0.2</v>
      </c>
      <c r="J7" s="70" t="s">
        <v>93</v>
      </c>
      <c r="K7" s="21">
        <v>3000</v>
      </c>
      <c r="M7" s="75" t="s">
        <v>221</v>
      </c>
      <c r="N7" s="167">
        <f ca="1">(H18/N6)*1.08</f>
        <v>111.94402683535272</v>
      </c>
      <c r="O7" s="131" t="s">
        <v>247</v>
      </c>
      <c r="P7" s="75" t="s">
        <v>267</v>
      </c>
      <c r="Q7" s="167">
        <f>N9*N6</f>
        <v>6309.36</v>
      </c>
      <c r="R7" s="131" t="s">
        <v>78</v>
      </c>
      <c r="S7" s="131" t="s">
        <v>289</v>
      </c>
      <c r="T7" s="150">
        <v>68456.873772699997</v>
      </c>
      <c r="U7" s="167">
        <f t="shared" si="0"/>
        <v>475.39495675486108</v>
      </c>
      <c r="X7" s="153">
        <v>0.2</v>
      </c>
      <c r="Y7" s="153">
        <v>0.77390000000000003</v>
      </c>
      <c r="Z7" s="153">
        <v>0.7661</v>
      </c>
      <c r="AA7" s="166">
        <v>0.76090000000000002</v>
      </c>
      <c r="AB7" s="153">
        <v>0.74790000000000001</v>
      </c>
      <c r="AC7" s="153">
        <v>0.72709999999999997</v>
      </c>
      <c r="AD7" s="153">
        <v>0.72189999999999999</v>
      </c>
      <c r="AE7" s="153">
        <v>0.71989999999999998</v>
      </c>
      <c r="AF7" s="153">
        <v>0.71689999999999998</v>
      </c>
      <c r="AG7" s="153">
        <v>0.71189999999999998</v>
      </c>
      <c r="AP7" s="145"/>
    </row>
    <row r="8" spans="1:42" ht="15" customHeight="1" thickBot="1">
      <c r="A8" s="76" t="s">
        <v>15</v>
      </c>
      <c r="B8" s="21">
        <f>1/(PI()*B6*B5)</f>
        <v>6.3156723449164814E-2</v>
      </c>
      <c r="D8" s="21" t="s">
        <v>92</v>
      </c>
      <c r="E8" s="21">
        <v>5</v>
      </c>
      <c r="F8" s="21" t="s">
        <v>21</v>
      </c>
      <c r="G8" s="62" t="s">
        <v>92</v>
      </c>
      <c r="H8" s="62">
        <v>5</v>
      </c>
      <c r="I8" s="21" t="s">
        <v>21</v>
      </c>
      <c r="J8" s="70" t="s">
        <v>95</v>
      </c>
      <c r="K8" s="32">
        <f ca="1">H17</f>
        <v>5173.8503132520764</v>
      </c>
      <c r="M8" s="75" t="s">
        <v>248</v>
      </c>
      <c r="N8" s="167">
        <f>K6-730</f>
        <v>8390</v>
      </c>
      <c r="O8" s="131" t="s">
        <v>78</v>
      </c>
      <c r="S8" s="131" t="s">
        <v>290</v>
      </c>
      <c r="T8" s="150">
        <v>11218.802329100001</v>
      </c>
      <c r="U8" s="167">
        <f t="shared" si="0"/>
        <v>77.908349507638889</v>
      </c>
      <c r="X8" s="153">
        <v>0.3</v>
      </c>
      <c r="Y8" s="153">
        <v>0.80589999999999995</v>
      </c>
      <c r="Z8" s="153">
        <v>0.79690000000000005</v>
      </c>
      <c r="AA8" s="166">
        <v>0.79090000000000005</v>
      </c>
      <c r="AB8" s="153">
        <v>0.77590000000000003</v>
      </c>
      <c r="AC8" s="153">
        <v>0.75349999999999995</v>
      </c>
      <c r="AD8" s="153">
        <v>0.74790000000000001</v>
      </c>
      <c r="AE8" s="153">
        <v>0.74550000000000005</v>
      </c>
      <c r="AF8" s="153">
        <v>0.7419</v>
      </c>
      <c r="AG8" s="153">
        <v>0.7359</v>
      </c>
      <c r="AP8" s="145"/>
    </row>
    <row r="9" spans="1:42" thickBot="1">
      <c r="A9" s="26" t="s">
        <v>89</v>
      </c>
      <c r="D9" s="21" t="s">
        <v>14</v>
      </c>
      <c r="E9" s="32">
        <f>($B$15*$E$7*$B$14*(5/60))</f>
        <v>81.64</v>
      </c>
      <c r="F9" s="21" t="s">
        <v>78</v>
      </c>
      <c r="G9" s="62" t="s">
        <v>14</v>
      </c>
      <c r="H9" s="32">
        <f>($B$15*$E$7*$B$14*(5/60))</f>
        <v>81.64</v>
      </c>
      <c r="I9" s="62" t="s">
        <v>78</v>
      </c>
      <c r="J9" s="70" t="s">
        <v>195</v>
      </c>
      <c r="K9" s="32">
        <f ca="1">SUM(K6:K8)</f>
        <v>17293.850313252078</v>
      </c>
      <c r="M9" s="75" t="s">
        <v>250</v>
      </c>
      <c r="N9" s="167">
        <f>135*0.92</f>
        <v>124.2</v>
      </c>
      <c r="O9" s="131" t="s">
        <v>247</v>
      </c>
      <c r="S9" s="131" t="s">
        <v>291</v>
      </c>
      <c r="T9" s="167">
        <f>SUM(T4:T8)</f>
        <v>183052.29546150001</v>
      </c>
      <c r="U9" s="167">
        <f t="shared" si="0"/>
        <v>1271.1964962604168</v>
      </c>
      <c r="X9" s="153">
        <v>0.4</v>
      </c>
      <c r="Y9" s="153">
        <v>0.83589999999999998</v>
      </c>
      <c r="Z9" s="153">
        <v>0.82689999999999997</v>
      </c>
      <c r="AA9" s="166">
        <v>0.82089999999999996</v>
      </c>
      <c r="AB9" s="153">
        <v>0.80589999999999995</v>
      </c>
      <c r="AC9" s="153">
        <v>0.78349999999999997</v>
      </c>
      <c r="AD9" s="153">
        <v>0.77790000000000004</v>
      </c>
      <c r="AE9" s="153">
        <v>0.77390000000000003</v>
      </c>
      <c r="AF9" s="153">
        <v>0.76790000000000003</v>
      </c>
      <c r="AG9" s="153">
        <v>0.75790000000000002</v>
      </c>
      <c r="AP9" s="145"/>
    </row>
    <row r="10" spans="1:42" thickBot="1">
      <c r="A10" s="21" t="s">
        <v>91</v>
      </c>
      <c r="B10" s="63">
        <f ca="1">K9</f>
        <v>17293.850313252078</v>
      </c>
      <c r="X10" s="153">
        <v>0.5</v>
      </c>
      <c r="Y10" s="153">
        <v>0.8639</v>
      </c>
      <c r="Z10" s="153">
        <v>0.85550000000000004</v>
      </c>
      <c r="AA10" s="166">
        <v>0.84989999999999999</v>
      </c>
      <c r="AB10" s="153">
        <v>0.83589999999999998</v>
      </c>
      <c r="AC10" s="153">
        <v>0.81189999999999996</v>
      </c>
      <c r="AD10" s="153">
        <v>0.80589999999999995</v>
      </c>
      <c r="AE10" s="153">
        <v>0.80149999999999999</v>
      </c>
      <c r="AF10" s="153">
        <v>0.79490000000000005</v>
      </c>
      <c r="AG10" s="153">
        <v>0.78390000000000004</v>
      </c>
      <c r="AP10" s="145"/>
    </row>
    <row r="11" spans="1:42" thickBot="1">
      <c r="A11" s="21" t="s">
        <v>94</v>
      </c>
      <c r="B11" s="21">
        <v>0.99</v>
      </c>
      <c r="D11" s="26" t="s">
        <v>99</v>
      </c>
      <c r="G11" s="69" t="s">
        <v>86</v>
      </c>
      <c r="H11" s="32">
        <f>E9</f>
        <v>81.64</v>
      </c>
      <c r="J11" s="69" t="s">
        <v>202</v>
      </c>
      <c r="S11" s="131" t="s">
        <v>12</v>
      </c>
      <c r="T11" s="167">
        <f>U9/230</f>
        <v>5.5269412880887687</v>
      </c>
      <c r="X11" s="153">
        <v>0.6</v>
      </c>
      <c r="Y11" s="153">
        <v>0.89</v>
      </c>
      <c r="Z11" s="153">
        <v>0.88097000000000003</v>
      </c>
      <c r="AA11" s="166">
        <v>0.87495000000000001</v>
      </c>
      <c r="AB11" s="153">
        <v>0.8599</v>
      </c>
      <c r="AC11" s="153">
        <v>0.83750000000000002</v>
      </c>
      <c r="AD11" s="153">
        <v>0.83189999999999997</v>
      </c>
      <c r="AE11" s="153">
        <v>0.82669999999999999</v>
      </c>
      <c r="AF11" s="153">
        <v>0.81889999999999996</v>
      </c>
      <c r="AG11" s="153">
        <v>0.80589999999999995</v>
      </c>
      <c r="AP11" s="145"/>
    </row>
    <row r="12" spans="1:42" thickBot="1">
      <c r="A12" s="21" t="s">
        <v>96</v>
      </c>
      <c r="B12" s="32">
        <f ca="1">B10*B11</f>
        <v>17120.911810119556</v>
      </c>
      <c r="D12" s="21" t="s">
        <v>101</v>
      </c>
      <c r="E12" s="31">
        <v>1</v>
      </c>
      <c r="G12" s="69" t="s">
        <v>99</v>
      </c>
      <c r="H12" s="32">
        <f ca="1">E14</f>
        <v>40.007921422772505</v>
      </c>
      <c r="J12" s="62" t="s">
        <v>203</v>
      </c>
      <c r="K12" s="64">
        <v>0.05</v>
      </c>
      <c r="X12" s="153">
        <v>0.7</v>
      </c>
      <c r="Y12" s="153">
        <v>0.91600000000000004</v>
      </c>
      <c r="Z12" s="153">
        <v>0.90639999999999998</v>
      </c>
      <c r="AA12" s="166">
        <v>0.9</v>
      </c>
      <c r="AB12" s="153">
        <v>0.88400000000000001</v>
      </c>
      <c r="AC12" s="153">
        <v>0.86151999999999995</v>
      </c>
      <c r="AD12" s="153">
        <v>0.85589999999999999</v>
      </c>
      <c r="AE12" s="153">
        <v>0.84989999999999999</v>
      </c>
      <c r="AF12" s="153">
        <v>0.84089999999999998</v>
      </c>
      <c r="AG12" s="153">
        <v>0.82589999999999997</v>
      </c>
      <c r="AP12" s="145"/>
    </row>
    <row r="13" spans="1:42" thickBot="1">
      <c r="A13" s="26" t="s">
        <v>98</v>
      </c>
      <c r="D13" s="21" t="s">
        <v>17</v>
      </c>
      <c r="E13" s="32">
        <f ca="1">$L$289</f>
        <v>29.403175959901422</v>
      </c>
      <c r="F13" s="21" t="s">
        <v>18</v>
      </c>
      <c r="G13" s="69" t="s">
        <v>103</v>
      </c>
      <c r="H13" s="32">
        <f ca="1">SUM(AN23:AN43)+SUM(AN48:AN68)+SUM(AN73:AN93)+SUM(AN98:AN118)+SUM(AN123:AN143)+SUM(AN148:AN168)+SUM(AN173:AN193)</f>
        <v>4378.4631578079125</v>
      </c>
      <c r="J13" s="62" t="s">
        <v>204</v>
      </c>
      <c r="K13" s="32">
        <f ca="1">$L$324</f>
        <v>22.049112834146243</v>
      </c>
      <c r="L13" s="21" t="s">
        <v>18</v>
      </c>
      <c r="M13" s="167" t="s">
        <v>283</v>
      </c>
      <c r="N13" s="167">
        <f>SQRT(B6*B3)</f>
        <v>37.148351242013419</v>
      </c>
      <c r="O13" s="167">
        <v>37.148351242013419</v>
      </c>
      <c r="X13" s="153">
        <v>0.8</v>
      </c>
      <c r="Y13" s="153">
        <v>0.94199999999999995</v>
      </c>
      <c r="Z13" s="153">
        <v>0.93240000000000001</v>
      </c>
      <c r="AA13" s="166">
        <v>0.92600000000000005</v>
      </c>
      <c r="AB13" s="153">
        <v>0.91</v>
      </c>
      <c r="AC13" s="153">
        <v>0.88431999999999999</v>
      </c>
      <c r="AD13" s="153">
        <v>0.87790000000000001</v>
      </c>
      <c r="AE13" s="153">
        <v>0.87150000000000005</v>
      </c>
      <c r="AF13" s="153">
        <v>0.8619</v>
      </c>
      <c r="AG13" s="153">
        <v>0.84589999999999999</v>
      </c>
      <c r="AP13" s="145"/>
    </row>
    <row r="14" spans="1:42" thickBot="1">
      <c r="A14" s="21" t="s">
        <v>100</v>
      </c>
      <c r="B14" s="21">
        <v>0.78</v>
      </c>
      <c r="C14" s="131" t="s">
        <v>56</v>
      </c>
      <c r="D14" s="21" t="s">
        <v>16</v>
      </c>
      <c r="E14" s="32">
        <f ca="1">B15*E12*B14*(E13/3600)</f>
        <v>40.00792142277254</v>
      </c>
      <c r="F14" s="21" t="s">
        <v>78</v>
      </c>
      <c r="G14" s="69" t="s">
        <v>87</v>
      </c>
      <c r="H14" s="32">
        <f>H9</f>
        <v>81.64</v>
      </c>
      <c r="J14" s="62" t="s">
        <v>206</v>
      </c>
      <c r="K14" s="32">
        <f ca="1">B15*B14*K12*(K13/3600)</f>
        <v>1.5000746431497496</v>
      </c>
      <c r="L14" s="21" t="s">
        <v>78</v>
      </c>
      <c r="U14" s="167">
        <f>SUM(U4:U8)</f>
        <v>1271.1964962604166</v>
      </c>
      <c r="X14" s="153">
        <v>0.9</v>
      </c>
      <c r="Y14" s="153">
        <v>0.96599999999999997</v>
      </c>
      <c r="Z14" s="153">
        <v>0.95579999999999998</v>
      </c>
      <c r="AA14" s="166">
        <v>0.94899999999999995</v>
      </c>
      <c r="AB14" s="153">
        <v>0.93200000000000005</v>
      </c>
      <c r="AC14" s="153">
        <v>0.90639999999999998</v>
      </c>
      <c r="AD14" s="153">
        <v>0.9</v>
      </c>
      <c r="AE14" s="153">
        <v>0.89358000000000004</v>
      </c>
      <c r="AF14" s="153">
        <v>0.88395000000000001</v>
      </c>
      <c r="AG14" s="153">
        <v>0.8679</v>
      </c>
      <c r="AP14" s="145"/>
    </row>
    <row r="15" spans="1:42" ht="14.5">
      <c r="A15" s="21" t="s">
        <v>102</v>
      </c>
      <c r="B15" s="21">
        <v>6280</v>
      </c>
      <c r="G15" s="69" t="s">
        <v>202</v>
      </c>
      <c r="H15" s="32">
        <f ca="1">K14</f>
        <v>1.5000746431497496</v>
      </c>
      <c r="W15" s="3"/>
      <c r="X15" s="3"/>
      <c r="AJ15" s="145"/>
    </row>
    <row r="16" spans="1:42" ht="14.5">
      <c r="A16" s="26" t="s">
        <v>104</v>
      </c>
      <c r="G16" s="26" t="s">
        <v>7</v>
      </c>
      <c r="H16" s="32">
        <f ca="1">C200</f>
        <v>590.59915937823882</v>
      </c>
      <c r="W16" s="3"/>
      <c r="X16" s="3"/>
      <c r="AJ16" s="145"/>
    </row>
    <row r="17" spans="1:56" ht="14.5">
      <c r="A17" s="6" t="s">
        <v>105</v>
      </c>
      <c r="B17" s="6">
        <v>5.0000000000000001E-3</v>
      </c>
      <c r="G17" s="34" t="s">
        <v>107</v>
      </c>
      <c r="H17" s="41">
        <f ca="1">SUM(H11:H16)</f>
        <v>5173.8503132520746</v>
      </c>
      <c r="I17" s="167">
        <v>5273.6369917489565</v>
      </c>
      <c r="AC17" s="3"/>
      <c r="AD17" s="3"/>
      <c r="AP17" s="145"/>
    </row>
    <row r="18" spans="1:56" ht="14.5">
      <c r="A18" s="21" t="s">
        <v>205</v>
      </c>
      <c r="B18" s="21">
        <v>2.4</v>
      </c>
      <c r="G18" s="130" t="s">
        <v>223</v>
      </c>
      <c r="H18" s="129">
        <f ca="1">($H$17-$H$16)*1.02 +$H$16</f>
        <v>5265.5153363295512</v>
      </c>
      <c r="AC18" s="3"/>
      <c r="AD18" s="3"/>
      <c r="AP18" s="145"/>
    </row>
    <row r="19" spans="1:56" ht="14.5">
      <c r="AC19" s="3"/>
      <c r="AD19" s="3"/>
      <c r="AP19" s="145"/>
    </row>
    <row r="20" spans="1:56" s="89" customFormat="1" thickBot="1">
      <c r="A20" s="124" t="s">
        <v>238</v>
      </c>
      <c r="B20" s="82" t="s">
        <v>22</v>
      </c>
      <c r="C20" s="125">
        <v>10000</v>
      </c>
      <c r="D20" s="82" t="s">
        <v>9</v>
      </c>
      <c r="E20" s="82"/>
      <c r="F20" s="82"/>
      <c r="G20" s="82"/>
      <c r="H20" s="82"/>
      <c r="I20" s="83"/>
      <c r="J20" s="82"/>
      <c r="K20" s="82"/>
      <c r="L20" s="84" t="s">
        <v>60</v>
      </c>
      <c r="M20" s="82"/>
      <c r="N20" s="82"/>
      <c r="O20" s="82"/>
      <c r="P20" s="82"/>
      <c r="Q20" s="81"/>
      <c r="R20" s="82"/>
      <c r="S20" s="85"/>
      <c r="T20" s="86"/>
      <c r="U20" s="81"/>
      <c r="V20" s="81"/>
      <c r="W20" s="81"/>
      <c r="X20" s="81"/>
      <c r="Y20" s="82"/>
      <c r="Z20" s="82"/>
      <c r="AA20" s="87"/>
      <c r="AB20" s="87"/>
      <c r="AC20" s="82"/>
      <c r="AD20" s="82"/>
      <c r="AE20" s="83"/>
      <c r="AF20" s="81"/>
      <c r="AG20" s="82"/>
      <c r="AH20" s="82"/>
      <c r="AI20" s="82"/>
      <c r="AJ20" s="81" t="s">
        <v>61</v>
      </c>
      <c r="AK20" s="88"/>
      <c r="AL20" s="83"/>
      <c r="AM20" s="82"/>
      <c r="AN20" s="82"/>
      <c r="AO20" s="82"/>
      <c r="AP20" s="53"/>
      <c r="AQ20" s="88"/>
      <c r="AR20" s="88"/>
      <c r="AS20" s="88"/>
      <c r="AT20" s="88"/>
      <c r="AU20" s="88"/>
      <c r="AV20" s="88"/>
      <c r="AW20" s="88"/>
      <c r="AX20" s="82"/>
      <c r="AY20" s="82"/>
      <c r="AZ20" s="82"/>
    </row>
    <row r="21" spans="1:56" ht="26.5" thickBot="1">
      <c r="A21" s="41" t="s">
        <v>2</v>
      </c>
      <c r="B21" s="41" t="s">
        <v>2</v>
      </c>
      <c r="C21" s="41" t="s">
        <v>2</v>
      </c>
      <c r="D21" s="41" t="s">
        <v>23</v>
      </c>
      <c r="E21" s="41" t="s">
        <v>24</v>
      </c>
      <c r="F21" s="41" t="s">
        <v>25</v>
      </c>
      <c r="G21" s="41"/>
      <c r="H21" s="41" t="s">
        <v>0</v>
      </c>
      <c r="I21" s="5" t="s">
        <v>26</v>
      </c>
      <c r="J21" s="41" t="s">
        <v>27</v>
      </c>
      <c r="K21" s="41" t="s">
        <v>28</v>
      </c>
      <c r="L21" s="12" t="s">
        <v>29</v>
      </c>
      <c r="M21" s="13" t="s">
        <v>30</v>
      </c>
      <c r="N21" s="41" t="s">
        <v>31</v>
      </c>
      <c r="O21" s="41" t="s">
        <v>32</v>
      </c>
      <c r="P21" s="41" t="s">
        <v>33</v>
      </c>
      <c r="Q21" s="41" t="s">
        <v>34</v>
      </c>
      <c r="R21" s="41" t="s">
        <v>13</v>
      </c>
      <c r="S21" s="24" t="s">
        <v>35</v>
      </c>
      <c r="T21" s="10" t="s">
        <v>35</v>
      </c>
      <c r="U21" s="41" t="s">
        <v>36</v>
      </c>
      <c r="V21" s="41" t="s">
        <v>37</v>
      </c>
      <c r="W21" s="41" t="s">
        <v>38</v>
      </c>
      <c r="X21" s="41" t="s">
        <v>39</v>
      </c>
      <c r="Y21" s="41" t="s">
        <v>40</v>
      </c>
      <c r="Z21" s="35" t="s">
        <v>108</v>
      </c>
      <c r="AA21" s="35" t="s">
        <v>109</v>
      </c>
      <c r="AB21" s="9" t="s">
        <v>110</v>
      </c>
      <c r="AC21" s="7" t="s">
        <v>111</v>
      </c>
      <c r="AD21" s="7" t="s">
        <v>112</v>
      </c>
      <c r="AE21" s="5" t="s">
        <v>41</v>
      </c>
      <c r="AF21" s="7" t="s">
        <v>113</v>
      </c>
      <c r="AG21" s="7" t="s">
        <v>114</v>
      </c>
      <c r="AH21" s="7" t="s">
        <v>115</v>
      </c>
      <c r="AI21" s="41" t="s">
        <v>42</v>
      </c>
      <c r="AJ21" s="41" t="s">
        <v>43</v>
      </c>
      <c r="AK21" s="36" t="s">
        <v>116</v>
      </c>
      <c r="AL21" s="5" t="s">
        <v>44</v>
      </c>
      <c r="AM21" s="41" t="s">
        <v>45</v>
      </c>
      <c r="AN21" s="41" t="s">
        <v>46</v>
      </c>
      <c r="AO21" s="41" t="s">
        <v>47</v>
      </c>
      <c r="AP21" s="67" t="s">
        <v>85</v>
      </c>
      <c r="AQ21" s="15" t="s">
        <v>62</v>
      </c>
      <c r="AR21" s="16" t="s">
        <v>63</v>
      </c>
      <c r="AS21" s="16" t="s">
        <v>64</v>
      </c>
      <c r="AT21" s="17" t="s">
        <v>65</v>
      </c>
      <c r="AU21" s="18" t="s">
        <v>66</v>
      </c>
      <c r="AV21" s="18" t="s">
        <v>67</v>
      </c>
      <c r="AW21" s="19" t="s">
        <v>68</v>
      </c>
      <c r="AX21" s="7" t="s">
        <v>207</v>
      </c>
      <c r="AY21" s="7" t="s">
        <v>208</v>
      </c>
      <c r="AZ21" s="7" t="s">
        <v>209</v>
      </c>
      <c r="BA21" s="152" t="s">
        <v>293</v>
      </c>
      <c r="BB21" s="152" t="s">
        <v>294</v>
      </c>
      <c r="BC21" s="152" t="s">
        <v>295</v>
      </c>
      <c r="BD21" s="152" t="s">
        <v>296</v>
      </c>
    </row>
    <row r="22" spans="1:56" thickBot="1">
      <c r="A22" s="41" t="s">
        <v>18</v>
      </c>
      <c r="B22" s="41" t="s">
        <v>21</v>
      </c>
      <c r="C22" s="41" t="s">
        <v>48</v>
      </c>
      <c r="D22" s="41" t="s">
        <v>8</v>
      </c>
      <c r="E22" s="41" t="s">
        <v>49</v>
      </c>
      <c r="F22" s="41" t="s">
        <v>49</v>
      </c>
      <c r="G22" s="41"/>
      <c r="H22" s="41" t="s">
        <v>9</v>
      </c>
      <c r="I22" s="5" t="s">
        <v>50</v>
      </c>
      <c r="J22" s="41"/>
      <c r="K22" s="41" t="s">
        <v>51</v>
      </c>
      <c r="L22" s="5" t="s">
        <v>52</v>
      </c>
      <c r="M22" s="41" t="s">
        <v>52</v>
      </c>
      <c r="N22" s="41" t="s">
        <v>53</v>
      </c>
      <c r="O22" s="41" t="s">
        <v>54</v>
      </c>
      <c r="P22" s="41"/>
      <c r="Q22" s="41"/>
      <c r="R22" s="41"/>
      <c r="S22" s="24" t="s">
        <v>55</v>
      </c>
      <c r="T22" s="10" t="s">
        <v>55</v>
      </c>
      <c r="U22" s="41"/>
      <c r="V22" s="41"/>
      <c r="W22" s="41"/>
      <c r="X22" s="41"/>
      <c r="Y22" s="41"/>
      <c r="Z22" s="41"/>
      <c r="AA22" s="9" t="s">
        <v>118</v>
      </c>
      <c r="AB22" s="9" t="s">
        <v>118</v>
      </c>
      <c r="AC22" s="7" t="s">
        <v>119</v>
      </c>
      <c r="AD22" s="7" t="s">
        <v>119</v>
      </c>
      <c r="AE22" s="5" t="s">
        <v>20</v>
      </c>
      <c r="AF22" s="7" t="s">
        <v>118</v>
      </c>
      <c r="AG22" s="7" t="s">
        <v>118</v>
      </c>
      <c r="AH22" s="7" t="s">
        <v>119</v>
      </c>
      <c r="AI22" s="41" t="s">
        <v>56</v>
      </c>
      <c r="AJ22" s="41" t="s">
        <v>57</v>
      </c>
      <c r="AK22" s="11"/>
      <c r="AL22" s="5" t="s">
        <v>9</v>
      </c>
      <c r="AM22" s="41" t="s">
        <v>18</v>
      </c>
      <c r="AN22" s="41" t="s">
        <v>8</v>
      </c>
      <c r="AO22" s="41" t="s">
        <v>49</v>
      </c>
      <c r="AP22" s="53"/>
      <c r="AQ22" s="11"/>
      <c r="AR22" s="11"/>
      <c r="AS22" s="11"/>
      <c r="AT22" s="11"/>
      <c r="AU22" s="11"/>
      <c r="AV22" s="11"/>
      <c r="AW22" s="11"/>
      <c r="AX22" s="41"/>
      <c r="AY22" s="41"/>
      <c r="AZ22" s="41"/>
      <c r="BA22" s="153"/>
      <c r="BB22" s="153"/>
      <c r="BC22" s="153"/>
    </row>
    <row r="23" spans="1:56" ht="14.5">
      <c r="A23" s="41">
        <v>0</v>
      </c>
      <c r="B23" s="41">
        <v>0</v>
      </c>
      <c r="C23" s="41">
        <v>0</v>
      </c>
      <c r="D23" s="41">
        <f ca="1">$B$12</f>
        <v>17120.911810119556</v>
      </c>
      <c r="E23" s="7">
        <v>0</v>
      </c>
      <c r="F23" s="7">
        <v>0</v>
      </c>
      <c r="G23" s="41"/>
      <c r="H23" s="65">
        <v>6000</v>
      </c>
      <c r="I23" s="6">
        <v>15</v>
      </c>
      <c r="J23" s="41">
        <f t="shared" ref="J23:J43" si="1">SQRT((((((((L23^2)*(0.2))/(661.477)^2) + 1)^(3.5) - 1)*(1/AR23) + 1)^(1/3.5) - 1)*(5))</f>
        <v>0.17718229445255015</v>
      </c>
      <c r="K23" s="41">
        <f t="shared" ref="K23:K43" si="2">SQRT((1.4*2116.22*AR23*(J23)^2)/AV23)</f>
        <v>198.88077011235529</v>
      </c>
      <c r="L23" s="120">
        <v>105</v>
      </c>
      <c r="M23" s="41">
        <f t="shared" ref="M23:M43" si="3">K23*0.592484</f>
        <v>117.83367419924872</v>
      </c>
      <c r="N23" s="41">
        <f t="shared" ref="N23:N43" si="4">0.5*AV23*K23^2</f>
        <v>37.268003632321701</v>
      </c>
      <c r="O23" s="41">
        <f t="shared" ref="O23:O43" si="5">P23/$B$7</f>
        <v>994494.14830272109</v>
      </c>
      <c r="P23" s="41">
        <f t="shared" ref="P23:P43" si="6">(AV23*K23*$B$7)/(AW23)</f>
        <v>6385351.2473953245</v>
      </c>
      <c r="Q23" s="41">
        <f t="shared" ref="Q23:Q43" si="7">0.455/(LOG10(P23)^2.58 * (1+0.144*J23*J23)^0.65)</f>
        <v>3.221151299786435E-3</v>
      </c>
      <c r="R23" s="41">
        <f>(((Q23*$B$4)+$B$17)+(0.05*(Q23*$B$4)))</f>
        <v>2.3693269819668974E-2</v>
      </c>
      <c r="S23" s="24">
        <f ca="1">T23</f>
        <v>12.040641645103953</v>
      </c>
      <c r="T23" s="10">
        <f t="shared" ref="T23:T43" ca="1" si="8">DEGREES(ASIN(((AF23-X23)/(D23))))</f>
        <v>12.040641645103952</v>
      </c>
      <c r="U23" s="41">
        <f t="shared" ref="U23:U43" ca="1" si="9">(D23*COS(RADIANS(S23)))/(N23*$B$3)</f>
        <v>1.9534474155390691</v>
      </c>
      <c r="V23" s="41">
        <f t="shared" ref="V23:V43" ca="1" si="10">(X23)/(N23*$B$3)</f>
        <v>0.26469659846446075</v>
      </c>
      <c r="W23" s="41">
        <f t="shared" ref="W23:W43" ca="1" si="11">U23/V23</f>
        <v>7.3799490695055034</v>
      </c>
      <c r="X23" s="20">
        <f t="shared" ref="X23:X43" ca="1" si="12">(N23*$B$3*R23)+((N23*$B$3)*((U23^2)/(PI()*$B$6*$B$5)))</f>
        <v>2268.884172398446</v>
      </c>
      <c r="Y23" s="41">
        <f t="shared" ref="Y23:Y43" si="13">SQRT(PI()*$B$6*$B$5*R23)</f>
        <v>0.61249522130475742</v>
      </c>
      <c r="Z23" s="41">
        <f t="shared" ref="Z23:Z43" ca="1" si="14">SQRT((2*((U23*N23*$B$3)/(D23))*D23)/(AV23*$B$3*$B$18))</f>
        <v>179.42709866497796</v>
      </c>
      <c r="AA23" s="14">
        <f t="shared" ref="AA23:AA43" ca="1" si="15">D23/W23</f>
        <v>2319.9227594760014</v>
      </c>
      <c r="AB23" s="9">
        <f>6280*0.93</f>
        <v>5840.4000000000005</v>
      </c>
      <c r="AC23" s="25">
        <f t="shared" ref="AC23:AC43" ca="1" si="16">AA23*K23</f>
        <v>461388.02500576753</v>
      </c>
      <c r="AD23" s="41">
        <f t="shared" ref="AD23:AD43" si="17">AB23*K23</f>
        <v>1161543.2497642001</v>
      </c>
      <c r="AE23" s="6">
        <v>100</v>
      </c>
      <c r="AF23" s="41">
        <f t="shared" ref="AF23:AF43" si="18">AB23*(AE23/100)</f>
        <v>5840.4000000000005</v>
      </c>
      <c r="AG23" s="41">
        <f t="shared" ref="AG23:AG43" ca="1" si="19">AB23-AA23</f>
        <v>3520.4772405239992</v>
      </c>
      <c r="AH23" s="41">
        <f t="shared" ref="AH23:AH43" ca="1" si="20">AD23-AC23</f>
        <v>700155.22475843248</v>
      </c>
      <c r="AI23" s="41">
        <f t="shared" ref="AI23:AI43" si="21">(AP23*AF23)</f>
        <v>4346.8848243023658</v>
      </c>
      <c r="AJ23" s="13">
        <f t="shared" ref="AJ23:AJ43" ca="1" si="22">K23*SIN(RADIANS(T23))</f>
        <v>41.487616205231944</v>
      </c>
      <c r="AK23" s="11">
        <f t="shared" ref="AK23:AK43" ca="1" si="23">(AH23/D23)*60</f>
        <v>2453.6843569672355</v>
      </c>
      <c r="AL23" s="6">
        <v>200</v>
      </c>
      <c r="AM23" s="41">
        <f t="shared" ref="AM23:AM43" ca="1" si="24">AL23/AJ23</f>
        <v>4.8207156326031164</v>
      </c>
      <c r="AN23" s="41">
        <f t="shared" ref="AN23:AN43" ca="1" si="25">AI23*(AM23/3600)</f>
        <v>5.8208598960110178</v>
      </c>
      <c r="AO23" s="41">
        <f t="shared" ref="AO23:AO43" ca="1" si="26">M23*COS(RADIANS(T23))*(AM23/3600)</f>
        <v>0.15431822976806273</v>
      </c>
      <c r="AP23" s="67">
        <f>0.705 + 0.302*AZ23 + -0.0327*AZ23^2</f>
        <v>0.74427861521511629</v>
      </c>
      <c r="AQ23" s="11">
        <f t="shared" ref="AQ23:AQ43" si="27">IF(H23 &lt;= 36089, ((1 - 6.87535*10^(-6)*H23) + ((I23*1.8)/518.67)), 0.75187 + ((I23*1.8)/518.67))</f>
        <v>1.0108041207183758</v>
      </c>
      <c r="AR23" s="11">
        <f t="shared" ref="AR23:AR43" si="28">IF(H23 &lt;= 36089, (1 - 6.87535*10^(-6)*H23)^5.2561, 0.22336*EXP((36089 - H23)/(20806.7)))</f>
        <v>0.80137655372650329</v>
      </c>
      <c r="AS23" s="11">
        <f t="shared" ref="AS23:AS43" si="29">(AR23/AQ23)</f>
        <v>0.79281092874548942</v>
      </c>
      <c r="AT23" s="11">
        <f t="shared" ref="AT23:AT43" si="30">(518.67*AQ23)</f>
        <v>524.27377329299998</v>
      </c>
      <c r="AU23" s="11">
        <f t="shared" ref="AU23:AU43" si="31">2116.22*AR23</f>
        <v>1695.8890905271007</v>
      </c>
      <c r="AV23" s="11">
        <f t="shared" ref="AV23:AV43" si="32">(0.0023769*AS23)</f>
        <v>1.8844322965351538E-3</v>
      </c>
      <c r="AW23" s="11">
        <f t="shared" ref="AW23:AW43" si="33">((2.2697*10^-8)*(AT23^1.5))/(AT23+198.72)</f>
        <v>3.7685223889866925E-7</v>
      </c>
      <c r="AX23" s="41">
        <f t="shared" ref="AX23:AX43" ca="1" si="34">(1/U23)*(((1 + 0.2*(U23)^2)/1.2)^3)</f>
        <v>1.623876080451724</v>
      </c>
      <c r="AY23" s="41">
        <f t="shared" ref="AY23:AY43" ca="1" si="35">($H$4/$H$3)*AX23</f>
        <v>2.187393342807157</v>
      </c>
      <c r="AZ23" s="41">
        <f t="shared" ref="AZ23:AZ43" si="36">-6.6*10^(-3) + 0.825*J23 - 0.243*(J23^2)</f>
        <v>0.13194675651475862</v>
      </c>
      <c r="BA23" s="167">
        <f>2.12-0.00251*AF23+1.94*10^-6*AF23^2-7.84*10^-10*AF23^3+1.7*10^-13*AF23^4-1.89*10^-17*AF23^5+8.37*10^-22*AF23^6</f>
        <v>3.0839195580441014E-2</v>
      </c>
      <c r="BB23" s="156">
        <f>2.18-0.00461*AF23+6.03*10^-6*AF23^2-4.1*10^-9*AF23^3+1.5*10^-12*AF23^4-2.81*10^-16*AF23^5+2.1*10^-20*AF23^6</f>
        <v>33.357052269665814</v>
      </c>
    </row>
    <row r="24" spans="1:56" ht="14.5">
      <c r="A24" s="41">
        <f t="shared" ref="A24:A43" ca="1" si="37">A23+AM23</f>
        <v>4.8207156326031164</v>
      </c>
      <c r="B24" s="41">
        <f t="shared" ref="B24:C39" ca="1" si="38">A24/60</f>
        <v>8.0345260543385269E-2</v>
      </c>
      <c r="C24" s="41">
        <f t="shared" ca="1" si="38"/>
        <v>1.3390876757230878E-3</v>
      </c>
      <c r="D24" s="41">
        <f t="shared" ref="D24:D43" ca="1" si="39">D23-AN23</f>
        <v>17115.090950223544</v>
      </c>
      <c r="E24" s="41">
        <f t="shared" ref="E24:E43" ca="1" si="40">E23+AO23</f>
        <v>0.15431822976806273</v>
      </c>
      <c r="F24" s="41">
        <f t="shared" ref="F24:F43" ca="1" si="41">F23+AO23</f>
        <v>0.15431822976806273</v>
      </c>
      <c r="G24" s="41"/>
      <c r="H24" s="7">
        <f t="shared" ref="H24:H43" si="42">H23+AL23</f>
        <v>6200</v>
      </c>
      <c r="I24" s="6">
        <v>15</v>
      </c>
      <c r="J24" s="41">
        <f t="shared" si="1"/>
        <v>0.1953874121200975</v>
      </c>
      <c r="K24" s="41">
        <f t="shared" si="2"/>
        <v>219.16613564126754</v>
      </c>
      <c r="L24" s="6">
        <f>L23+($L$48-$L$23)/20</f>
        <v>115.375</v>
      </c>
      <c r="M24" s="41">
        <f t="shared" si="3"/>
        <v>129.85242870928076</v>
      </c>
      <c r="N24" s="41">
        <f t="shared" si="4"/>
        <v>44.979267240222569</v>
      </c>
      <c r="O24" s="41">
        <f t="shared" si="5"/>
        <v>1090325.0774036255</v>
      </c>
      <c r="P24" s="41">
        <f t="shared" si="6"/>
        <v>7000653.1510996865</v>
      </c>
      <c r="Q24" s="41">
        <f t="shared" si="7"/>
        <v>3.1708638535543243E-3</v>
      </c>
      <c r="R24" s="41">
        <f t="shared" ref="R24:R43" si="43">(((Q24*$B$4)+$B$17)+(0.1*(Q24*$B$4)))</f>
        <v>2.4277696186229422E-2</v>
      </c>
      <c r="S24" s="24">
        <f t="shared" ref="S24:S43" ca="1" si="44">T24</f>
        <v>8.9023022472376692</v>
      </c>
      <c r="T24" s="10">
        <f t="shared" ca="1" si="8"/>
        <v>8.9023022472376674</v>
      </c>
      <c r="U24" s="41">
        <f t="shared" ca="1" si="9"/>
        <v>1.6344647874042544</v>
      </c>
      <c r="V24" s="41">
        <f t="shared" ca="1" si="10"/>
        <v>0.19299931288438582</v>
      </c>
      <c r="W24" s="41">
        <f t="shared" ca="1" si="11"/>
        <v>8.4687596187628031</v>
      </c>
      <c r="X24" s="20">
        <f t="shared" ca="1" si="12"/>
        <v>1996.6225644234078</v>
      </c>
      <c r="Y24" s="41">
        <f t="shared" si="13"/>
        <v>0.6200032138651429</v>
      </c>
      <c r="Z24" s="41">
        <f t="shared" ca="1" si="14"/>
        <v>180.86545016529547</v>
      </c>
      <c r="AA24" s="14">
        <f t="shared" ca="1" si="15"/>
        <v>2020.967853698967</v>
      </c>
      <c r="AB24" s="14">
        <f>$B$15*AR24*0.93</f>
        <v>4645.1843296307907</v>
      </c>
      <c r="AC24" s="25">
        <f t="shared" ca="1" si="16"/>
        <v>442927.71475042915</v>
      </c>
      <c r="AD24" s="41">
        <f t="shared" si="17"/>
        <v>1018067.0988665523</v>
      </c>
      <c r="AE24" s="6">
        <v>100</v>
      </c>
      <c r="AF24" s="41">
        <f t="shared" si="18"/>
        <v>4645.1843296307907</v>
      </c>
      <c r="AG24" s="41">
        <f t="shared" ca="1" si="19"/>
        <v>2624.2164759318239</v>
      </c>
      <c r="AH24" s="41">
        <f t="shared" ca="1" si="20"/>
        <v>575139.3841161232</v>
      </c>
      <c r="AI24" s="41">
        <f t="shared" si="21"/>
        <v>3475.5057228481328</v>
      </c>
      <c r="AJ24" s="13">
        <f t="shared" ca="1" si="22"/>
        <v>33.915977938763717</v>
      </c>
      <c r="AK24" s="11">
        <f t="shared" ca="1" si="23"/>
        <v>2016.2535593488428</v>
      </c>
      <c r="AL24" s="6">
        <f>AL23</f>
        <v>200</v>
      </c>
      <c r="AM24" s="41">
        <f t="shared" ca="1" si="24"/>
        <v>5.896925642571941</v>
      </c>
      <c r="AN24" s="41">
        <f t="shared" ca="1" si="25"/>
        <v>5.6929996716579678</v>
      </c>
      <c r="AO24" s="41">
        <f t="shared" ca="1" si="26"/>
        <v>0.21014051733730527</v>
      </c>
      <c r="AP24" s="67">
        <f t="shared" ref="AP24:AP43" si="45">0.705 + 0.302*AZ24 + -0.0327*AZ24^2</f>
        <v>0.74819543773075059</v>
      </c>
      <c r="AQ24" s="11">
        <f t="shared" si="27"/>
        <v>1.0094290507183759</v>
      </c>
      <c r="AR24" s="11">
        <f t="shared" si="28"/>
        <v>0.79535379933408512</v>
      </c>
      <c r="AS24" s="11">
        <f t="shared" si="29"/>
        <v>0.78792442001551199</v>
      </c>
      <c r="AT24" s="11">
        <f t="shared" si="30"/>
        <v>523.56056573609999</v>
      </c>
      <c r="AU24" s="11">
        <f t="shared" si="31"/>
        <v>1683.1436172267775</v>
      </c>
      <c r="AV24" s="11">
        <f t="shared" si="32"/>
        <v>1.8728175539348703E-3</v>
      </c>
      <c r="AW24" s="11">
        <f t="shared" si="33"/>
        <v>3.7645487072025763E-7</v>
      </c>
      <c r="AX24" s="41">
        <f t="shared" ca="1" si="34"/>
        <v>1.2788138360477417</v>
      </c>
      <c r="AY24" s="41">
        <f t="shared" ca="1" si="35"/>
        <v>1.7225876440537131</v>
      </c>
      <c r="AZ24" s="41">
        <f t="shared" si="36"/>
        <v>0.14531778848103813</v>
      </c>
      <c r="BA24" s="167">
        <f t="shared" ref="BA24:BA42" si="46">2.12-0.00251*AF24+1.94*10^-6*AF24^2-7.84*10^-10*AF24^3+1.7*10^-13*AF24^4-1.89*10^-17*AF24^5+8.37*10^-22*AF24^6</f>
        <v>0.42306057963080512</v>
      </c>
      <c r="BB24" s="156">
        <f t="shared" ref="BB24:BB43" si="47">2.18-0.00461*AF24+6.03*10^-6*AF24^2-4.1*10^-9*AF24^3+1.5*10^-12*AF24^4-2.81*10^-16*AF24^5+2.1*10^-20*AF24^6</f>
        <v>1.5574185742366069</v>
      </c>
    </row>
    <row r="25" spans="1:56" ht="14.5">
      <c r="A25" s="41">
        <f t="shared" ca="1" si="37"/>
        <v>10.717641275175058</v>
      </c>
      <c r="B25" s="41">
        <f t="shared" ca="1" si="38"/>
        <v>0.17862735458625098</v>
      </c>
      <c r="C25" s="41">
        <f t="shared" ca="1" si="38"/>
        <v>2.9771225764375162E-3</v>
      </c>
      <c r="D25" s="41">
        <f t="shared" ca="1" si="39"/>
        <v>17109.397950551887</v>
      </c>
      <c r="E25" s="41">
        <f t="shared" ca="1" si="40"/>
        <v>0.36445874710536796</v>
      </c>
      <c r="F25" s="41">
        <f t="shared" ca="1" si="41"/>
        <v>0.36445874710536796</v>
      </c>
      <c r="G25" s="41"/>
      <c r="H25" s="7">
        <f t="shared" si="42"/>
        <v>6400</v>
      </c>
      <c r="I25" s="6">
        <v>15</v>
      </c>
      <c r="J25" s="41">
        <f t="shared" si="1"/>
        <v>0.2137159880068239</v>
      </c>
      <c r="K25" s="41">
        <f t="shared" si="2"/>
        <v>239.56197068526686</v>
      </c>
      <c r="L25" s="6">
        <f t="shared" ref="L25:L43" si="48">L24+($L$48-$L$23)/20</f>
        <v>125.75</v>
      </c>
      <c r="M25" s="41">
        <f t="shared" si="3"/>
        <v>141.93663463948965</v>
      </c>
      <c r="N25" s="41">
        <f t="shared" si="4"/>
        <v>53.408730987179425</v>
      </c>
      <c r="O25" s="41">
        <f t="shared" si="5"/>
        <v>1185687.9923986725</v>
      </c>
      <c r="P25" s="41">
        <f t="shared" si="6"/>
        <v>7612950.0753783425</v>
      </c>
      <c r="Q25" s="41">
        <f t="shared" si="7"/>
        <v>3.1255737202160816E-3</v>
      </c>
      <c r="R25" s="41">
        <f t="shared" si="43"/>
        <v>2.4002348687550221E-2</v>
      </c>
      <c r="S25" s="24">
        <f t="shared" ca="1" si="44"/>
        <v>9.5960823363174299</v>
      </c>
      <c r="T25" s="10">
        <f t="shared" ca="1" si="8"/>
        <v>9.5960823363174299</v>
      </c>
      <c r="U25" s="41">
        <f t="shared" ca="1" si="9"/>
        <v>1.3733297357408583</v>
      </c>
      <c r="V25" s="41">
        <f t="shared" ca="1" si="10"/>
        <v>0.14311811200293212</v>
      </c>
      <c r="W25" s="41">
        <f t="shared" ca="1" si="11"/>
        <v>9.5957787349285475</v>
      </c>
      <c r="X25" s="20">
        <f t="shared" ca="1" si="12"/>
        <v>1758.0640509722518</v>
      </c>
      <c r="Y25" s="41">
        <f t="shared" si="13"/>
        <v>0.61647727907909977</v>
      </c>
      <c r="Z25" s="41">
        <f t="shared" ca="1" si="14"/>
        <v>181.21730522490984</v>
      </c>
      <c r="AA25" s="14">
        <f t="shared" ca="1" si="15"/>
        <v>1783.0129709300022</v>
      </c>
      <c r="AB25" s="14">
        <f t="shared" ref="AB25:AB43" si="49">$B$15*AR25*0.93</f>
        <v>4610.2234060390356</v>
      </c>
      <c r="AC25" s="25">
        <f t="shared" ca="1" si="16"/>
        <v>427142.10107338376</v>
      </c>
      <c r="AD25" s="41">
        <f t="shared" si="17"/>
        <v>1104434.2044500546</v>
      </c>
      <c r="AE25" s="6">
        <v>100</v>
      </c>
      <c r="AF25" s="41">
        <f t="shared" si="18"/>
        <v>4610.2234060390356</v>
      </c>
      <c r="AG25" s="41">
        <f t="shared" ca="1" si="19"/>
        <v>2827.2104351090334</v>
      </c>
      <c r="AH25" s="41">
        <f t="shared" ca="1" si="20"/>
        <v>677292.10337667074</v>
      </c>
      <c r="AI25" s="41">
        <f t="shared" si="21"/>
        <v>3467.2547873417129</v>
      </c>
      <c r="AJ25" s="13">
        <f t="shared" ca="1" si="22"/>
        <v>39.935298587533232</v>
      </c>
      <c r="AK25" s="11">
        <f t="shared" ca="1" si="23"/>
        <v>2375.1581627855835</v>
      </c>
      <c r="AL25" s="6">
        <f t="shared" ref="AL25:AL42" si="50">AL24</f>
        <v>200</v>
      </c>
      <c r="AM25" s="41">
        <f t="shared" ca="1" si="24"/>
        <v>5.0081007798558144</v>
      </c>
      <c r="AN25" s="41">
        <f t="shared" ca="1" si="25"/>
        <v>4.8234337234568994</v>
      </c>
      <c r="AO25" s="41">
        <f t="shared" ca="1" si="26"/>
        <v>0.19469072112484687</v>
      </c>
      <c r="AP25" s="67">
        <f t="shared" si="45"/>
        <v>0.75207955926818593</v>
      </c>
      <c r="AQ25" s="11">
        <f t="shared" si="27"/>
        <v>1.0080539807183759</v>
      </c>
      <c r="AR25" s="11">
        <f t="shared" si="28"/>
        <v>0.78936774981834046</v>
      </c>
      <c r="AS25" s="11">
        <f t="shared" si="29"/>
        <v>0.78306099168995724</v>
      </c>
      <c r="AT25" s="11">
        <f t="shared" si="30"/>
        <v>522.8473581792</v>
      </c>
      <c r="AU25" s="11">
        <f t="shared" si="31"/>
        <v>1670.4758195205684</v>
      </c>
      <c r="AV25" s="11">
        <f t="shared" si="32"/>
        <v>1.8612576711478594E-3</v>
      </c>
      <c r="AW25" s="11">
        <f t="shared" si="33"/>
        <v>3.7605724145962998E-7</v>
      </c>
      <c r="AX25" s="41">
        <f t="shared" ca="1" si="34"/>
        <v>1.1007254802564397</v>
      </c>
      <c r="AY25" s="41">
        <f t="shared" ca="1" si="35"/>
        <v>1.4826990906235751</v>
      </c>
      <c r="AZ25" s="41">
        <f t="shared" si="36"/>
        <v>0.1586167808879046</v>
      </c>
      <c r="BA25" s="167">
        <f t="shared" si="46"/>
        <v>0.43055420716166459</v>
      </c>
      <c r="BB25" s="156">
        <f t="shared" si="47"/>
        <v>1.3662274605152618</v>
      </c>
    </row>
    <row r="26" spans="1:56" ht="14.5">
      <c r="A26" s="41">
        <f t="shared" ca="1" si="37"/>
        <v>15.725742055030873</v>
      </c>
      <c r="B26" s="41">
        <f t="shared" ca="1" si="38"/>
        <v>0.26209570091718121</v>
      </c>
      <c r="C26" s="41">
        <f t="shared" ca="1" si="38"/>
        <v>4.3682616819530201E-3</v>
      </c>
      <c r="D26" s="41">
        <f t="shared" ca="1" si="39"/>
        <v>17104.57451682843</v>
      </c>
      <c r="E26" s="41">
        <f t="shared" ca="1" si="40"/>
        <v>0.55914946823021483</v>
      </c>
      <c r="F26" s="41">
        <f t="shared" ca="1" si="41"/>
        <v>0.55914946823021483</v>
      </c>
      <c r="G26" s="41"/>
      <c r="H26" s="7">
        <f t="shared" si="42"/>
        <v>6600</v>
      </c>
      <c r="I26" s="6">
        <v>15</v>
      </c>
      <c r="J26" s="41">
        <f t="shared" si="1"/>
        <v>0.23216710601392979</v>
      </c>
      <c r="K26" s="41">
        <f t="shared" si="2"/>
        <v>260.06693713202418</v>
      </c>
      <c r="L26" s="6">
        <f t="shared" si="48"/>
        <v>136.125</v>
      </c>
      <c r="M26" s="41">
        <f t="shared" si="3"/>
        <v>154.08549917973022</v>
      </c>
      <c r="N26" s="41">
        <f t="shared" si="4"/>
        <v>62.553830026067757</v>
      </c>
      <c r="O26" s="41">
        <f t="shared" si="5"/>
        <v>1280573.6313890477</v>
      </c>
      <c r="P26" s="41">
        <f t="shared" si="6"/>
        <v>8222182.5523327151</v>
      </c>
      <c r="Q26" s="41">
        <f t="shared" si="7"/>
        <v>3.0843738447734383E-3</v>
      </c>
      <c r="R26" s="41">
        <f t="shared" si="43"/>
        <v>2.3751868465637357E-2</v>
      </c>
      <c r="S26" s="24">
        <f t="shared" ca="1" si="44"/>
        <v>10.06290594322768</v>
      </c>
      <c r="T26" s="10">
        <f t="shared" ca="1" si="8"/>
        <v>10.06290594322768</v>
      </c>
      <c r="U26" s="41">
        <f t="shared" ca="1" si="9"/>
        <v>1.1705706930758919</v>
      </c>
      <c r="V26" s="41">
        <f t="shared" ca="1" si="10"/>
        <v>0.11029146862990759</v>
      </c>
      <c r="W26" s="41">
        <f t="shared" ca="1" si="11"/>
        <v>10.613429194635549</v>
      </c>
      <c r="X26" s="20">
        <f t="shared" ca="1" si="12"/>
        <v>1586.8053698601434</v>
      </c>
      <c r="Y26" s="41">
        <f t="shared" si="13"/>
        <v>0.61325217098891227</v>
      </c>
      <c r="Z26" s="41">
        <f t="shared" ca="1" si="14"/>
        <v>181.62613673902024</v>
      </c>
      <c r="AA26" s="14">
        <f t="shared" ca="1" si="15"/>
        <v>1611.5973643536215</v>
      </c>
      <c r="AB26" s="14">
        <f t="shared" si="49"/>
        <v>4575.4758526790793</v>
      </c>
      <c r="AC26" s="25">
        <f t="shared" ca="1" si="16"/>
        <v>419123.19043748913</v>
      </c>
      <c r="AD26" s="41">
        <f t="shared" si="17"/>
        <v>1189929.9909277849</v>
      </c>
      <c r="AE26" s="6">
        <v>100</v>
      </c>
      <c r="AF26" s="41">
        <f t="shared" si="18"/>
        <v>4575.4758526790793</v>
      </c>
      <c r="AG26" s="41">
        <f t="shared" ca="1" si="19"/>
        <v>2963.8784883254575</v>
      </c>
      <c r="AH26" s="41">
        <f t="shared" ca="1" si="20"/>
        <v>770806.80049029575</v>
      </c>
      <c r="AI26" s="41">
        <f t="shared" si="21"/>
        <v>3458.7395474496157</v>
      </c>
      <c r="AJ26" s="13">
        <f t="shared" ca="1" si="22"/>
        <v>45.441316169478668</v>
      </c>
      <c r="AK26" s="11">
        <f t="shared" ca="1" si="23"/>
        <v>2703.8619396183162</v>
      </c>
      <c r="AL26" s="6">
        <f t="shared" si="50"/>
        <v>200</v>
      </c>
      <c r="AM26" s="41">
        <f t="shared" ca="1" si="24"/>
        <v>4.4012809676127507</v>
      </c>
      <c r="AN26" s="41">
        <f t="shared" ca="1" si="25"/>
        <v>4.2285790394776477</v>
      </c>
      <c r="AO26" s="41">
        <f t="shared" ca="1" si="26"/>
        <v>0.18548358262266809</v>
      </c>
      <c r="AP26" s="67">
        <f t="shared" si="45"/>
        <v>0.75593001882512811</v>
      </c>
      <c r="AQ26" s="11">
        <f t="shared" si="27"/>
        <v>1.0066789107183758</v>
      </c>
      <c r="AR26" s="11">
        <f t="shared" si="28"/>
        <v>0.78341823379889719</v>
      </c>
      <c r="AS26" s="11">
        <f t="shared" si="29"/>
        <v>0.77822056810531803</v>
      </c>
      <c r="AT26" s="11">
        <f t="shared" si="30"/>
        <v>522.1341506222999</v>
      </c>
      <c r="AU26" s="11">
        <f t="shared" si="31"/>
        <v>1657.8853347299021</v>
      </c>
      <c r="AV26" s="11">
        <f t="shared" si="32"/>
        <v>1.8497524683295304E-3</v>
      </c>
      <c r="AW26" s="11">
        <f t="shared" si="33"/>
        <v>3.7565935069977488E-7</v>
      </c>
      <c r="AX26" s="41">
        <f t="shared" ca="1" si="34"/>
        <v>1.0223865245496584</v>
      </c>
      <c r="AY26" s="41">
        <f t="shared" ca="1" si="35"/>
        <v>1.3771749608834472</v>
      </c>
      <c r="AZ26" s="41">
        <f t="shared" si="36"/>
        <v>0.17183978213857543</v>
      </c>
      <c r="BA26" s="167">
        <f t="shared" si="46"/>
        <v>0.43782805611954156</v>
      </c>
      <c r="BB26" s="156">
        <f t="shared" si="47"/>
        <v>1.1945413624148955</v>
      </c>
    </row>
    <row r="27" spans="1:56" ht="14.5">
      <c r="A27" s="41">
        <f t="shared" ca="1" si="37"/>
        <v>20.127023022643623</v>
      </c>
      <c r="B27" s="41">
        <f t="shared" ca="1" si="38"/>
        <v>0.33545038371072705</v>
      </c>
      <c r="C27" s="41">
        <f t="shared" ca="1" si="38"/>
        <v>5.5908397285121172E-3</v>
      </c>
      <c r="D27" s="41">
        <f t="shared" ca="1" si="39"/>
        <v>17100.345937788952</v>
      </c>
      <c r="E27" s="41">
        <f t="shared" ca="1" si="40"/>
        <v>0.74463305085288289</v>
      </c>
      <c r="F27" s="41">
        <f t="shared" ca="1" si="41"/>
        <v>0.74463305085288289</v>
      </c>
      <c r="G27" s="41"/>
      <c r="H27" s="7">
        <f t="shared" si="42"/>
        <v>6800</v>
      </c>
      <c r="I27" s="6">
        <v>15</v>
      </c>
      <c r="J27" s="41">
        <f t="shared" si="1"/>
        <v>0.25073972486034934</v>
      </c>
      <c r="K27" s="41">
        <f t="shared" si="2"/>
        <v>280.6795590783023</v>
      </c>
      <c r="L27" s="6">
        <f t="shared" si="48"/>
        <v>146.5</v>
      </c>
      <c r="M27" s="41">
        <f t="shared" si="3"/>
        <v>166.29814788094887</v>
      </c>
      <c r="N27" s="41">
        <f t="shared" si="4"/>
        <v>72.411639393209754</v>
      </c>
      <c r="O27" s="41">
        <f t="shared" si="5"/>
        <v>1374972.237583627</v>
      </c>
      <c r="P27" s="41">
        <f t="shared" si="6"/>
        <v>8828287.9365078416</v>
      </c>
      <c r="Q27" s="41">
        <f t="shared" si="7"/>
        <v>3.0465717484672687E-3</v>
      </c>
      <c r="R27" s="41">
        <f t="shared" si="43"/>
        <v>2.3522045502101394E-2</v>
      </c>
      <c r="S27" s="24">
        <f t="shared" ca="1" si="44"/>
        <v>10.363317439349663</v>
      </c>
      <c r="T27" s="10">
        <f t="shared" ca="1" si="8"/>
        <v>10.363317439349663</v>
      </c>
      <c r="U27" s="41">
        <f t="shared" ca="1" si="9"/>
        <v>1.0100096959648668</v>
      </c>
      <c r="V27" s="41">
        <f t="shared" ca="1" si="10"/>
        <v>8.7949456076582652E-2</v>
      </c>
      <c r="W27" s="41">
        <f t="shared" ca="1" si="11"/>
        <v>11.483978878566267</v>
      </c>
      <c r="X27" s="20">
        <f t="shared" ca="1" si="12"/>
        <v>1464.769788596682</v>
      </c>
      <c r="Y27" s="41">
        <f t="shared" si="13"/>
        <v>0.61027804658852436</v>
      </c>
      <c r="Z27" s="41">
        <f t="shared" ca="1" si="14"/>
        <v>182.08238621933685</v>
      </c>
      <c r="AA27" s="14">
        <f t="shared" ca="1" si="15"/>
        <v>1489.0610753129379</v>
      </c>
      <c r="AB27" s="14">
        <f t="shared" si="49"/>
        <v>4540.9406718638411</v>
      </c>
      <c r="AC27" s="25">
        <f t="shared" ca="1" si="16"/>
        <v>417949.00605949812</v>
      </c>
      <c r="AD27" s="41">
        <f t="shared" si="17"/>
        <v>1274549.2255794727</v>
      </c>
      <c r="AE27" s="6">
        <v>100</v>
      </c>
      <c r="AF27" s="41">
        <f t="shared" si="18"/>
        <v>4540.9406718638411</v>
      </c>
      <c r="AG27" s="41">
        <f t="shared" ca="1" si="19"/>
        <v>3051.8795965509034</v>
      </c>
      <c r="AH27" s="41">
        <f t="shared" ca="1" si="20"/>
        <v>856600.21951997466</v>
      </c>
      <c r="AI27" s="41">
        <f t="shared" si="21"/>
        <v>3449.9608105800826</v>
      </c>
      <c r="AJ27" s="13">
        <f t="shared" ca="1" si="22"/>
        <v>50.491276042370913</v>
      </c>
      <c r="AK27" s="11">
        <f t="shared" ca="1" si="23"/>
        <v>3005.5540021340589</v>
      </c>
      <c r="AL27" s="6">
        <f t="shared" si="50"/>
        <v>200</v>
      </c>
      <c r="AM27" s="41">
        <f t="shared" ca="1" si="24"/>
        <v>3.9610803227109059</v>
      </c>
      <c r="AN27" s="41">
        <f t="shared" ca="1" si="25"/>
        <v>3.7959921891423698</v>
      </c>
      <c r="AO27" s="41">
        <f t="shared" ca="1" si="26"/>
        <v>0.1799929203961266</v>
      </c>
      <c r="AP27" s="67">
        <f t="shared" si="45"/>
        <v>0.75974584560340386</v>
      </c>
      <c r="AQ27" s="11">
        <f t="shared" si="27"/>
        <v>1.0053038407183759</v>
      </c>
      <c r="AR27" s="11">
        <f t="shared" si="28"/>
        <v>0.77750508045062683</v>
      </c>
      <c r="AS27" s="11">
        <f t="shared" si="29"/>
        <v>0.77340307373642647</v>
      </c>
      <c r="AT27" s="11">
        <f t="shared" si="30"/>
        <v>521.42094306540002</v>
      </c>
      <c r="AU27" s="11">
        <f t="shared" si="31"/>
        <v>1645.3718013512253</v>
      </c>
      <c r="AV27" s="11">
        <f t="shared" si="32"/>
        <v>1.8383017659641121E-3</v>
      </c>
      <c r="AW27" s="11">
        <f t="shared" si="33"/>
        <v>3.7526119802276337E-7</v>
      </c>
      <c r="AX27" s="41">
        <f t="shared" ca="1" si="34"/>
        <v>1.0000830366849451</v>
      </c>
      <c r="AY27" s="41">
        <f t="shared" ca="1" si="35"/>
        <v>1.3471317196140256</v>
      </c>
      <c r="AZ27" s="41">
        <f t="shared" si="36"/>
        <v>0.18498276347138859</v>
      </c>
      <c r="BA27" s="167">
        <f t="shared" si="46"/>
        <v>0.44489197134575686</v>
      </c>
      <c r="BB27" s="156">
        <f t="shared" si="47"/>
        <v>1.0408035105693614</v>
      </c>
    </row>
    <row r="28" spans="1:56" ht="14.5">
      <c r="A28" s="41">
        <f t="shared" ca="1" si="37"/>
        <v>24.088103345354529</v>
      </c>
      <c r="B28" s="41">
        <f t="shared" ca="1" si="38"/>
        <v>0.40146838908924215</v>
      </c>
      <c r="C28" s="41">
        <f t="shared" ca="1" si="38"/>
        <v>6.6911398181540354E-3</v>
      </c>
      <c r="D28" s="41">
        <f t="shared" ca="1" si="39"/>
        <v>17096.549945599811</v>
      </c>
      <c r="E28" s="41">
        <f t="shared" ca="1" si="40"/>
        <v>0.92462597124900947</v>
      </c>
      <c r="F28" s="41">
        <f t="shared" ca="1" si="41"/>
        <v>0.92462597124900947</v>
      </c>
      <c r="G28" s="41"/>
      <c r="H28" s="7">
        <f t="shared" si="42"/>
        <v>7000</v>
      </c>
      <c r="I28" s="6">
        <v>15</v>
      </c>
      <c r="J28" s="41">
        <f t="shared" si="1"/>
        <v>0.2694326792207673</v>
      </c>
      <c r="K28" s="41">
        <f t="shared" si="2"/>
        <v>301.39822458546718</v>
      </c>
      <c r="L28" s="6">
        <f t="shared" si="48"/>
        <v>156.875</v>
      </c>
      <c r="M28" s="41">
        <f t="shared" si="3"/>
        <v>178.57362569529593</v>
      </c>
      <c r="N28" s="41">
        <f t="shared" si="4"/>
        <v>82.978855355472021</v>
      </c>
      <c r="O28" s="41">
        <f t="shared" si="5"/>
        <v>1468873.5837227241</v>
      </c>
      <c r="P28" s="41">
        <f t="shared" si="6"/>
        <v>9431200.5617100056</v>
      </c>
      <c r="Q28" s="41">
        <f t="shared" si="7"/>
        <v>3.0116275979405549E-3</v>
      </c>
      <c r="R28" s="41">
        <f t="shared" si="43"/>
        <v>2.3309597806945779E-2</v>
      </c>
      <c r="S28" s="24">
        <f t="shared" ca="1" si="44"/>
        <v>10.538347872552848</v>
      </c>
      <c r="T28" s="10">
        <f t="shared" ca="1" si="8"/>
        <v>10.538347872552846</v>
      </c>
      <c r="U28" s="41">
        <f t="shared" ca="1" si="9"/>
        <v>0.88069463938855141</v>
      </c>
      <c r="V28" s="41">
        <f t="shared" ca="1" si="10"/>
        <v>7.2295408140663237E-2</v>
      </c>
      <c r="W28" s="41">
        <f t="shared" ca="1" si="11"/>
        <v>12.181889030559278</v>
      </c>
      <c r="X28" s="20">
        <f t="shared" ca="1" si="12"/>
        <v>1379.767749442849</v>
      </c>
      <c r="Y28" s="41">
        <f t="shared" si="13"/>
        <v>0.60751582414889027</v>
      </c>
      <c r="Z28" s="41">
        <f t="shared" ca="1" si="14"/>
        <v>182.57770568241807</v>
      </c>
      <c r="AA28" s="14">
        <f t="shared" ca="1" si="15"/>
        <v>1403.4399675380148</v>
      </c>
      <c r="AB28" s="14">
        <f t="shared" si="49"/>
        <v>4506.6168691432204</v>
      </c>
      <c r="AC28" s="25">
        <f t="shared" ca="1" si="16"/>
        <v>422994.31452824333</v>
      </c>
      <c r="AD28" s="41">
        <f t="shared" si="17"/>
        <v>1358286.3232466832</v>
      </c>
      <c r="AE28" s="6">
        <v>100</v>
      </c>
      <c r="AF28" s="41">
        <f t="shared" si="18"/>
        <v>4506.6168691432204</v>
      </c>
      <c r="AG28" s="41">
        <f t="shared" ca="1" si="19"/>
        <v>3103.1769016052058</v>
      </c>
      <c r="AH28" s="41">
        <f t="shared" ca="1" si="20"/>
        <v>935292.00871843984</v>
      </c>
      <c r="AI28" s="41">
        <f t="shared" si="21"/>
        <v>3440.9194272812906</v>
      </c>
      <c r="AJ28" s="13">
        <f t="shared" ca="1" si="22"/>
        <v>55.123798440215594</v>
      </c>
      <c r="AK28" s="11">
        <f t="shared" ca="1" si="23"/>
        <v>3282.3885931178488</v>
      </c>
      <c r="AL28" s="6">
        <f t="shared" si="50"/>
        <v>200</v>
      </c>
      <c r="AM28" s="41">
        <f t="shared" ca="1" si="24"/>
        <v>3.6281969976526489</v>
      </c>
      <c r="AN28" s="41">
        <f t="shared" ca="1" si="25"/>
        <v>3.4678704264518476</v>
      </c>
      <c r="AO28" s="41">
        <f t="shared" ca="1" si="26"/>
        <v>0.17693665985640741</v>
      </c>
      <c r="AP28" s="67">
        <f t="shared" si="45"/>
        <v>0.76352606116602595</v>
      </c>
      <c r="AQ28" s="11">
        <f t="shared" si="27"/>
        <v>1.0039287707183759</v>
      </c>
      <c r="AR28" s="11">
        <f t="shared" si="28"/>
        <v>0.77162811950264032</v>
      </c>
      <c r="AS28" s="11">
        <f t="shared" si="29"/>
        <v>0.76860843319640149</v>
      </c>
      <c r="AT28" s="11">
        <f t="shared" si="30"/>
        <v>520.70773550850004</v>
      </c>
      <c r="AU28" s="11">
        <f t="shared" si="31"/>
        <v>1632.9348590538773</v>
      </c>
      <c r="AV28" s="11">
        <f t="shared" si="32"/>
        <v>1.8269053848645267E-3</v>
      </c>
      <c r="AW28" s="11">
        <f t="shared" si="33"/>
        <v>3.7486278300974495E-7</v>
      </c>
      <c r="AX28" s="41">
        <f t="shared" ca="1" si="34"/>
        <v>1.0127853680265859</v>
      </c>
      <c r="AY28" s="41">
        <f t="shared" ca="1" si="35"/>
        <v>1.3642420122954144</v>
      </c>
      <c r="AZ28" s="41">
        <f t="shared" si="36"/>
        <v>0.19804162597953737</v>
      </c>
      <c r="BA28" s="167">
        <f t="shared" si="46"/>
        <v>0.45175553784547073</v>
      </c>
      <c r="BB28" s="156">
        <f t="shared" si="47"/>
        <v>0.9035622807944037</v>
      </c>
    </row>
    <row r="29" spans="1:56" ht="14.5">
      <c r="A29" s="41">
        <f t="shared" ca="1" si="37"/>
        <v>27.716300343007177</v>
      </c>
      <c r="B29" s="41">
        <f t="shared" ca="1" si="38"/>
        <v>0.46193833905011961</v>
      </c>
      <c r="C29" s="41">
        <f t="shared" ca="1" si="38"/>
        <v>7.6989723175019936E-3</v>
      </c>
      <c r="D29" s="41">
        <f t="shared" ca="1" si="39"/>
        <v>17093.082075173359</v>
      </c>
      <c r="E29" s="41">
        <f t="shared" ca="1" si="40"/>
        <v>1.101562631105417</v>
      </c>
      <c r="F29" s="41">
        <f t="shared" ca="1" si="41"/>
        <v>1.101562631105417</v>
      </c>
      <c r="G29" s="41"/>
      <c r="H29" s="7">
        <f t="shared" si="42"/>
        <v>7200</v>
      </c>
      <c r="I29" s="6">
        <v>15</v>
      </c>
      <c r="J29" s="41">
        <f t="shared" si="1"/>
        <v>0.28824468135471892</v>
      </c>
      <c r="K29" s="41">
        <f t="shared" si="2"/>
        <v>322.22118797973093</v>
      </c>
      <c r="L29" s="6">
        <f t="shared" si="48"/>
        <v>167.25</v>
      </c>
      <c r="M29" s="41">
        <f t="shared" si="3"/>
        <v>190.91089833898289</v>
      </c>
      <c r="N29" s="41">
        <f t="shared" si="4"/>
        <v>94.251778035968314</v>
      </c>
      <c r="O29" s="41">
        <f t="shared" si="5"/>
        <v>1562266.9986898231</v>
      </c>
      <c r="P29" s="41">
        <f t="shared" si="6"/>
        <v>10030851.91187275</v>
      </c>
      <c r="Q29" s="41">
        <f t="shared" si="7"/>
        <v>2.9791129778136299E-3</v>
      </c>
      <c r="R29" s="41">
        <f t="shared" si="43"/>
        <v>2.3111920770855155E-2</v>
      </c>
      <c r="S29" s="24">
        <f t="shared" ca="1" si="44"/>
        <v>10.616575396511793</v>
      </c>
      <c r="T29" s="10">
        <f t="shared" ca="1" si="8"/>
        <v>10.616575396511793</v>
      </c>
      <c r="U29" s="41">
        <f t="shared" ca="1" si="9"/>
        <v>0.77500483579350798</v>
      </c>
      <c r="V29" s="41">
        <f t="shared" ca="1" si="10"/>
        <v>6.1045901183940203E-2</v>
      </c>
      <c r="W29" s="41">
        <f t="shared" ca="1" si="11"/>
        <v>12.695444260185551</v>
      </c>
      <c r="X29" s="20">
        <f t="shared" ca="1" si="12"/>
        <v>1323.3474875307093</v>
      </c>
      <c r="Y29" s="41">
        <f t="shared" si="13"/>
        <v>0.60493432051794038</v>
      </c>
      <c r="Z29" s="41">
        <f t="shared" ca="1" si="14"/>
        <v>183.10520077308485</v>
      </c>
      <c r="AA29" s="14">
        <f t="shared" ca="1" si="15"/>
        <v>1346.3949527768266</v>
      </c>
      <c r="AB29" s="14">
        <f t="shared" si="49"/>
        <v>4472.5034532982363</v>
      </c>
      <c r="AC29" s="25">
        <f t="shared" ca="1" si="16"/>
        <v>433836.98117366276</v>
      </c>
      <c r="AD29" s="41">
        <f t="shared" si="17"/>
        <v>1441135.3759652067</v>
      </c>
      <c r="AE29" s="6">
        <v>100</v>
      </c>
      <c r="AF29" s="41">
        <f t="shared" si="18"/>
        <v>4472.5034532982363</v>
      </c>
      <c r="AG29" s="41">
        <f t="shared" ca="1" si="19"/>
        <v>3126.10850052141</v>
      </c>
      <c r="AH29" s="41">
        <f t="shared" ca="1" si="20"/>
        <v>1007298.3947915439</v>
      </c>
      <c r="AI29" s="41">
        <f t="shared" si="21"/>
        <v>3431.6163007943574</v>
      </c>
      <c r="AJ29" s="13">
        <f t="shared" ca="1" si="22"/>
        <v>59.364646583947213</v>
      </c>
      <c r="AK29" s="11">
        <f t="shared" ca="1" si="23"/>
        <v>3535.810769625622</v>
      </c>
      <c r="AL29" s="6">
        <f t="shared" si="50"/>
        <v>200</v>
      </c>
      <c r="AM29" s="41">
        <f t="shared" ca="1" si="24"/>
        <v>3.369008517842031</v>
      </c>
      <c r="AN29" s="41">
        <f t="shared" ca="1" si="25"/>
        <v>3.2114290409282642</v>
      </c>
      <c r="AO29" s="41">
        <f t="shared" ca="1" si="26"/>
        <v>0.17560292746076114</v>
      </c>
      <c r="AP29" s="67">
        <f t="shared" si="45"/>
        <v>0.76726968165082587</v>
      </c>
      <c r="AQ29" s="11">
        <f t="shared" si="27"/>
        <v>1.0025537007183758</v>
      </c>
      <c r="AR29" s="11">
        <f t="shared" si="28"/>
        <v>0.7657871812372844</v>
      </c>
      <c r="AS29" s="11">
        <f t="shared" si="29"/>
        <v>0.76383657123659576</v>
      </c>
      <c r="AT29" s="11">
        <f t="shared" si="30"/>
        <v>519.99452795159993</v>
      </c>
      <c r="AU29" s="11">
        <f t="shared" si="31"/>
        <v>1620.5741486779659</v>
      </c>
      <c r="AV29" s="11">
        <f t="shared" si="32"/>
        <v>1.8155631461722645E-3</v>
      </c>
      <c r="AW29" s="11">
        <f t="shared" si="33"/>
        <v>3.7446410524094736E-7</v>
      </c>
      <c r="AX29" s="41">
        <f t="shared" ca="1" si="34"/>
        <v>1.0494290067891745</v>
      </c>
      <c r="AY29" s="41">
        <f t="shared" ca="1" si="35"/>
        <v>1.4136017217279344</v>
      </c>
      <c r="AZ29" s="41">
        <f t="shared" si="36"/>
        <v>0.21101220800962722</v>
      </c>
      <c r="BA29" s="167">
        <f t="shared" si="46"/>
        <v>0.45842806280763604</v>
      </c>
      <c r="BB29" s="156">
        <f t="shared" si="47"/>
        <v>0.78146501121250367</v>
      </c>
    </row>
    <row r="30" spans="1:56" ht="14.5">
      <c r="A30" s="41">
        <f t="shared" ca="1" si="37"/>
        <v>31.085308860849207</v>
      </c>
      <c r="B30" s="41">
        <f t="shared" ca="1" si="38"/>
        <v>0.51808848101415339</v>
      </c>
      <c r="C30" s="41">
        <f t="shared" ca="1" si="38"/>
        <v>8.6348080169025565E-3</v>
      </c>
      <c r="D30" s="41">
        <f t="shared" ca="1" si="39"/>
        <v>17089.870646132429</v>
      </c>
      <c r="E30" s="41">
        <f t="shared" ca="1" si="40"/>
        <v>1.2771655585661781</v>
      </c>
      <c r="F30" s="41">
        <f t="shared" ca="1" si="41"/>
        <v>1.2771655585661781</v>
      </c>
      <c r="G30" s="41"/>
      <c r="H30" s="7">
        <f t="shared" si="42"/>
        <v>7400</v>
      </c>
      <c r="I30" s="6">
        <v>15</v>
      </c>
      <c r="J30" s="41">
        <f t="shared" si="1"/>
        <v>0.30717432323102967</v>
      </c>
      <c r="K30" s="41">
        <f t="shared" si="2"/>
        <v>343.14657269923947</v>
      </c>
      <c r="L30" s="6">
        <f t="shared" si="48"/>
        <v>177.625</v>
      </c>
      <c r="M30" s="41">
        <f t="shared" si="3"/>
        <v>203.30885397913619</v>
      </c>
      <c r="N30" s="41">
        <f t="shared" si="4"/>
        <v>106.2262954525319</v>
      </c>
      <c r="O30" s="41">
        <f t="shared" si="5"/>
        <v>1655141.3962306925</v>
      </c>
      <c r="P30" s="41">
        <f t="shared" si="6"/>
        <v>10627170.805453772</v>
      </c>
      <c r="Q30" s="41">
        <f t="shared" si="7"/>
        <v>2.948682617478228E-3</v>
      </c>
      <c r="R30" s="41">
        <f t="shared" si="43"/>
        <v>2.292691527441109E-2</v>
      </c>
      <c r="S30" s="24">
        <f t="shared" ca="1" si="44"/>
        <v>10.618401731143727</v>
      </c>
      <c r="T30" s="10">
        <f t="shared" ca="1" si="8"/>
        <v>10.618401731143724</v>
      </c>
      <c r="U30" s="41">
        <f t="shared" ca="1" si="9"/>
        <v>0.68750795960771094</v>
      </c>
      <c r="V30" s="41">
        <f t="shared" ca="1" si="10"/>
        <v>5.2779026562453299E-2</v>
      </c>
      <c r="W30" s="41">
        <f t="shared" ca="1" si="11"/>
        <v>13.026158388771805</v>
      </c>
      <c r="X30" s="20">
        <f t="shared" ca="1" si="12"/>
        <v>1289.4997079436444</v>
      </c>
      <c r="Y30" s="41">
        <f t="shared" si="13"/>
        <v>0.60250827722252087</v>
      </c>
      <c r="Z30" s="41">
        <f t="shared" ca="1" si="14"/>
        <v>183.65929377928288</v>
      </c>
      <c r="AA30" s="14">
        <f t="shared" ca="1" si="15"/>
        <v>1311.9655186185541</v>
      </c>
      <c r="AB30" s="14">
        <f t="shared" si="49"/>
        <v>4438.599436335182</v>
      </c>
      <c r="AC30" s="25">
        <f t="shared" ca="1" si="16"/>
        <v>450196.47121353709</v>
      </c>
      <c r="AD30" s="41">
        <f t="shared" si="17"/>
        <v>1523090.1841631939</v>
      </c>
      <c r="AE30" s="6">
        <v>100</v>
      </c>
      <c r="AF30" s="41">
        <f t="shared" si="18"/>
        <v>4438.599436335182</v>
      </c>
      <c r="AG30" s="41">
        <f t="shared" ca="1" si="19"/>
        <v>3126.6339177166278</v>
      </c>
      <c r="AH30" s="41">
        <f t="shared" ca="1" si="20"/>
        <v>1072893.7129496569</v>
      </c>
      <c r="AI30" s="41">
        <f t="shared" si="21"/>
        <v>3422.0523963498144</v>
      </c>
      <c r="AJ30" s="13">
        <f t="shared" ca="1" si="22"/>
        <v>63.230600234543651</v>
      </c>
      <c r="AK30" s="11">
        <f t="shared" ca="1" si="23"/>
        <v>3766.7706274621605</v>
      </c>
      <c r="AL30" s="6">
        <f t="shared" si="50"/>
        <v>200</v>
      </c>
      <c r="AM30" s="41">
        <f t="shared" ca="1" si="24"/>
        <v>3.1630254854158029</v>
      </c>
      <c r="AN30" s="41">
        <f t="shared" ca="1" si="25"/>
        <v>3.0066774839118566</v>
      </c>
      <c r="AO30" s="41">
        <f t="shared" ca="1" si="26"/>
        <v>0.17557202163067681</v>
      </c>
      <c r="AP30" s="67">
        <f t="shared" si="45"/>
        <v>0.77097572002922166</v>
      </c>
      <c r="AQ30" s="11">
        <f t="shared" si="27"/>
        <v>1.0011786307183759</v>
      </c>
      <c r="AR30" s="11">
        <f t="shared" si="28"/>
        <v>0.75998209648914139</v>
      </c>
      <c r="AS30" s="11">
        <f t="shared" si="29"/>
        <v>0.7590874127465459</v>
      </c>
      <c r="AT30" s="11">
        <f t="shared" si="30"/>
        <v>519.28132039469995</v>
      </c>
      <c r="AU30" s="11">
        <f t="shared" si="31"/>
        <v>1608.2893122322507</v>
      </c>
      <c r="AV30" s="11">
        <f t="shared" si="32"/>
        <v>1.8042748713572648E-3</v>
      </c>
      <c r="AW30" s="11">
        <f t="shared" si="33"/>
        <v>3.7406516429567484E-7</v>
      </c>
      <c r="AX30" s="41">
        <f t="shared" ca="1" si="34"/>
        <v>1.1037370822393315</v>
      </c>
      <c r="AY30" s="41">
        <f t="shared" ca="1" si="35"/>
        <v>1.4867557783276824</v>
      </c>
      <c r="AZ30" s="41">
        <f t="shared" si="36"/>
        <v>0.22389029290645629</v>
      </c>
      <c r="BA30" s="167">
        <f t="shared" si="46"/>
        <v>0.46491856060107306</v>
      </c>
      <c r="BB30" s="156">
        <f t="shared" si="47"/>
        <v>0.67325214167803438</v>
      </c>
    </row>
    <row r="31" spans="1:56" ht="14.5">
      <c r="A31" s="41">
        <f t="shared" ca="1" si="37"/>
        <v>34.248334346265011</v>
      </c>
      <c r="B31" s="41">
        <f t="shared" ca="1" si="38"/>
        <v>0.57080557243775021</v>
      </c>
      <c r="C31" s="41">
        <f t="shared" ca="1" si="38"/>
        <v>9.5134262072958369E-3</v>
      </c>
      <c r="D31" s="41">
        <f t="shared" ca="1" si="39"/>
        <v>17086.863968648518</v>
      </c>
      <c r="E31" s="41">
        <f t="shared" ca="1" si="40"/>
        <v>1.4527375801968549</v>
      </c>
      <c r="F31" s="41">
        <f t="shared" ca="1" si="41"/>
        <v>1.4527375801968549</v>
      </c>
      <c r="G31" s="41"/>
      <c r="H31" s="7">
        <f t="shared" si="42"/>
        <v>7600</v>
      </c>
      <c r="I31" s="6">
        <v>15</v>
      </c>
      <c r="J31" s="41">
        <f t="shared" si="1"/>
        <v>0.32622007914817719</v>
      </c>
      <c r="K31" s="41">
        <f t="shared" si="2"/>
        <v>364.17237468597853</v>
      </c>
      <c r="L31" s="6">
        <f t="shared" si="48"/>
        <v>188</v>
      </c>
      <c r="M31" s="41">
        <f t="shared" si="3"/>
        <v>215.76630524344731</v>
      </c>
      <c r="N31" s="41">
        <f t="shared" si="4"/>
        <v>118.89786909680851</v>
      </c>
      <c r="O31" s="41">
        <f t="shared" si="5"/>
        <v>1747485.3056803811</v>
      </c>
      <c r="P31" s="41">
        <f t="shared" si="6"/>
        <v>11220083.592723832</v>
      </c>
      <c r="Q31" s="41">
        <f t="shared" si="7"/>
        <v>2.9200544983422928E-3</v>
      </c>
      <c r="R31" s="41">
        <f t="shared" si="43"/>
        <v>2.2752866747393088E-2</v>
      </c>
      <c r="S31" s="24">
        <f t="shared" ca="1" si="44"/>
        <v>10.558719256176087</v>
      </c>
      <c r="T31" s="10">
        <f t="shared" ca="1" si="8"/>
        <v>10.558719256176085</v>
      </c>
      <c r="U31" s="41">
        <f t="shared" ca="1" si="9"/>
        <v>0.61424813992735428</v>
      </c>
      <c r="V31" s="41">
        <f t="shared" ca="1" si="10"/>
        <v>4.6581947603065971E-2</v>
      </c>
      <c r="W31" s="41">
        <f t="shared" ca="1" si="11"/>
        <v>13.186398841918004</v>
      </c>
      <c r="X31" s="20">
        <f t="shared" ca="1" si="12"/>
        <v>1273.8536909282579</v>
      </c>
      <c r="Y31" s="41">
        <f t="shared" si="13"/>
        <v>0.60021696466315977</v>
      </c>
      <c r="Z31" s="41">
        <f t="shared" ca="1" si="14"/>
        <v>184.23549359831918</v>
      </c>
      <c r="AA31" s="14">
        <f t="shared" ca="1" si="15"/>
        <v>1295.7945663171811</v>
      </c>
      <c r="AB31" s="14">
        <f t="shared" si="49"/>
        <v>4404.9038334797742</v>
      </c>
      <c r="AC31" s="25">
        <f t="shared" ca="1" si="16"/>
        <v>471892.58432091551</v>
      </c>
      <c r="AD31" s="41">
        <f t="shared" si="17"/>
        <v>1604144.2893016995</v>
      </c>
      <c r="AE31" s="6">
        <v>100</v>
      </c>
      <c r="AF31" s="41">
        <f t="shared" si="18"/>
        <v>4404.9038334797742</v>
      </c>
      <c r="AG31" s="41">
        <f t="shared" ca="1" si="19"/>
        <v>3109.1092671625929</v>
      </c>
      <c r="AH31" s="41">
        <f t="shared" ca="1" si="20"/>
        <v>1132251.7049807841</v>
      </c>
      <c r="AI31" s="41">
        <f t="shared" si="21"/>
        <v>3412.2287501533115</v>
      </c>
      <c r="AJ31" s="13">
        <f t="shared" ca="1" si="22"/>
        <v>66.732079553392992</v>
      </c>
      <c r="AK31" s="11">
        <f t="shared" ca="1" si="23"/>
        <v>3975.8672172668066</v>
      </c>
      <c r="AL31" s="6">
        <f t="shared" si="50"/>
        <v>200</v>
      </c>
      <c r="AM31" s="41">
        <f t="shared" ca="1" si="24"/>
        <v>2.9970593054870713</v>
      </c>
      <c r="AN31" s="41">
        <f t="shared" ca="1" si="25"/>
        <v>2.8407366466937503</v>
      </c>
      <c r="AO31" s="41">
        <f t="shared" ca="1" si="26"/>
        <v>0.17658745851747387</v>
      </c>
      <c r="AP31" s="67">
        <f t="shared" si="45"/>
        <v>0.7746431883979924</v>
      </c>
      <c r="AQ31" s="11">
        <f t="shared" si="27"/>
        <v>0.99980356071837595</v>
      </c>
      <c r="AR31" s="11">
        <f t="shared" si="28"/>
        <v>0.75421269664402679</v>
      </c>
      <c r="AS31" s="11">
        <f t="shared" si="29"/>
        <v>0.75436088275392021</v>
      </c>
      <c r="AT31" s="11">
        <f t="shared" si="30"/>
        <v>518.56811283779996</v>
      </c>
      <c r="AU31" s="11">
        <f t="shared" si="31"/>
        <v>1596.0799928920221</v>
      </c>
      <c r="AV31" s="11">
        <f t="shared" si="32"/>
        <v>1.7930403822177929E-3</v>
      </c>
      <c r="AW31" s="11">
        <f t="shared" si="33"/>
        <v>3.7366595975230416E-7</v>
      </c>
      <c r="AX31" s="41">
        <f t="shared" ca="1" si="34"/>
        <v>1.1719130397191386</v>
      </c>
      <c r="AY31" s="41">
        <f t="shared" ca="1" si="35"/>
        <v>1.5785901475422039</v>
      </c>
      <c r="AZ31" s="41">
        <f t="shared" si="36"/>
        <v>0.23667161706766154</v>
      </c>
      <c r="BA31" s="167">
        <f t="shared" si="46"/>
        <v>0.47123574051273209</v>
      </c>
      <c r="BB31" s="156">
        <f t="shared" si="47"/>
        <v>0.57775166038953785</v>
      </c>
    </row>
    <row r="32" spans="1:56" ht="14.5">
      <c r="A32" s="41">
        <f t="shared" ca="1" si="37"/>
        <v>37.245393651752082</v>
      </c>
      <c r="B32" s="41">
        <f t="shared" ca="1" si="38"/>
        <v>0.62075656086253472</v>
      </c>
      <c r="C32" s="41">
        <f t="shared" ca="1" si="38"/>
        <v>1.0345942681042246E-2</v>
      </c>
      <c r="D32" s="41">
        <f t="shared" ca="1" si="39"/>
        <v>17084.023232001826</v>
      </c>
      <c r="E32" s="41">
        <f t="shared" ca="1" si="40"/>
        <v>1.6293250387143288</v>
      </c>
      <c r="F32" s="41">
        <f t="shared" ca="1" si="41"/>
        <v>1.6293250387143288</v>
      </c>
      <c r="G32" s="41"/>
      <c r="H32" s="7">
        <f t="shared" si="42"/>
        <v>7800</v>
      </c>
      <c r="I32" s="6">
        <v>15</v>
      </c>
      <c r="J32" s="41">
        <f t="shared" si="1"/>
        <v>0.34538030884707271</v>
      </c>
      <c r="K32" s="41">
        <f t="shared" si="2"/>
        <v>385.29646631590794</v>
      </c>
      <c r="L32" s="6">
        <f t="shared" si="48"/>
        <v>198.375</v>
      </c>
      <c r="M32" s="41">
        <f t="shared" si="3"/>
        <v>228.28199154871439</v>
      </c>
      <c r="N32" s="41">
        <f t="shared" si="4"/>
        <v>132.2615211736873</v>
      </c>
      <c r="O32" s="41">
        <f t="shared" si="5"/>
        <v>1839286.9045785959</v>
      </c>
      <c r="P32" s="41">
        <f t="shared" si="6"/>
        <v>11809514.36518039</v>
      </c>
      <c r="Q32" s="41">
        <f t="shared" si="7"/>
        <v>2.8929955413371901E-3</v>
      </c>
      <c r="R32" s="41">
        <f t="shared" si="43"/>
        <v>2.2588358154040557E-2</v>
      </c>
      <c r="S32" s="24">
        <f t="shared" ca="1" si="44"/>
        <v>10.44862036683269</v>
      </c>
      <c r="T32" s="10">
        <f t="shared" ca="1" si="8"/>
        <v>10.448620366832689</v>
      </c>
      <c r="U32" s="41">
        <f t="shared" ca="1" si="9"/>
        <v>0.55228967798972883</v>
      </c>
      <c r="V32" s="41">
        <f t="shared" ca="1" si="10"/>
        <v>4.1852667519992365E-2</v>
      </c>
      <c r="W32" s="41">
        <f t="shared" ca="1" si="11"/>
        <v>13.19604485725811</v>
      </c>
      <c r="X32" s="20">
        <f t="shared" ca="1" si="12"/>
        <v>1273.164418415276</v>
      </c>
      <c r="Y32" s="41">
        <f t="shared" si="13"/>
        <v>0.59804317316417899</v>
      </c>
      <c r="Z32" s="41">
        <f t="shared" ca="1" si="14"/>
        <v>184.83017231181697</v>
      </c>
      <c r="AA32" s="14">
        <f t="shared" ca="1" si="15"/>
        <v>1294.6320974807268</v>
      </c>
      <c r="AB32" s="14">
        <f t="shared" si="49"/>
        <v>4371.4156631712922</v>
      </c>
      <c r="AC32" s="25">
        <f t="shared" ca="1" si="16"/>
        <v>498817.17233847606</v>
      </c>
      <c r="AD32" s="41">
        <f t="shared" si="17"/>
        <v>1684291.0078179101</v>
      </c>
      <c r="AE32" s="6">
        <v>100</v>
      </c>
      <c r="AF32" s="41">
        <f t="shared" si="18"/>
        <v>4371.4156631712922</v>
      </c>
      <c r="AG32" s="41">
        <f t="shared" ca="1" si="19"/>
        <v>3076.7835656905654</v>
      </c>
      <c r="AH32" s="41">
        <f t="shared" ca="1" si="20"/>
        <v>1185473.8354794341</v>
      </c>
      <c r="AI32" s="41">
        <f t="shared" si="21"/>
        <v>3402.1464780068873</v>
      </c>
      <c r="AJ32" s="13">
        <f t="shared" ca="1" si="22"/>
        <v>69.874949252423775</v>
      </c>
      <c r="AK32" s="11">
        <f t="shared" ca="1" si="23"/>
        <v>4163.4472842162922</v>
      </c>
      <c r="AL32" s="6">
        <f t="shared" si="50"/>
        <v>200</v>
      </c>
      <c r="AM32" s="41">
        <f t="shared" ca="1" si="24"/>
        <v>2.8622561037933423</v>
      </c>
      <c r="AN32" s="41">
        <f t="shared" ca="1" si="25"/>
        <v>2.7049484785206208</v>
      </c>
      <c r="AO32" s="41">
        <f t="shared" ca="1" si="26"/>
        <v>0.17849077066574309</v>
      </c>
      <c r="AP32" s="67">
        <f t="shared" si="45"/>
        <v>0.77827110029128688</v>
      </c>
      <c r="AQ32" s="11">
        <f t="shared" si="27"/>
        <v>0.99842849071837592</v>
      </c>
      <c r="AR32" s="11">
        <f t="shared" si="28"/>
        <v>0.74847881363798574</v>
      </c>
      <c r="AS32" s="11">
        <f t="shared" si="29"/>
        <v>0.74965690642446536</v>
      </c>
      <c r="AT32" s="11">
        <f t="shared" si="30"/>
        <v>517.85490528089997</v>
      </c>
      <c r="AU32" s="11">
        <f t="shared" si="31"/>
        <v>1583.945834996978</v>
      </c>
      <c r="AV32" s="11">
        <f t="shared" si="32"/>
        <v>1.7818595008803116E-3</v>
      </c>
      <c r="AW32" s="11">
        <f t="shared" si="33"/>
        <v>3.7326649118828344E-7</v>
      </c>
      <c r="AX32" s="41">
        <f t="shared" ca="1" si="34"/>
        <v>1.2515302578555774</v>
      </c>
      <c r="AY32" s="41">
        <f t="shared" ca="1" si="35"/>
        <v>1.685836122171023</v>
      </c>
      <c r="AZ32" s="41">
        <f t="shared" si="36"/>
        <v>0.24935187826818522</v>
      </c>
      <c r="BA32" s="167">
        <f t="shared" si="46"/>
        <v>0.47738799700889967</v>
      </c>
      <c r="BB32" s="156">
        <f t="shared" si="47"/>
        <v>0.49387384323020456</v>
      </c>
    </row>
    <row r="33" spans="1:55" ht="14.5">
      <c r="A33" s="41">
        <f t="shared" ca="1" si="37"/>
        <v>40.107649755545424</v>
      </c>
      <c r="B33" s="41">
        <f t="shared" ca="1" si="38"/>
        <v>0.66846082925909045</v>
      </c>
      <c r="C33" s="41">
        <f t="shared" ca="1" si="38"/>
        <v>1.1141013820984841E-2</v>
      </c>
      <c r="D33" s="41">
        <f t="shared" ca="1" si="39"/>
        <v>17081.318283523306</v>
      </c>
      <c r="E33" s="41">
        <f t="shared" ca="1" si="40"/>
        <v>1.8078158093800718</v>
      </c>
      <c r="F33" s="41">
        <f t="shared" ca="1" si="41"/>
        <v>1.8078158093800718</v>
      </c>
      <c r="G33" s="41"/>
      <c r="H33" s="7">
        <f t="shared" si="42"/>
        <v>8000</v>
      </c>
      <c r="I33" s="6">
        <v>15</v>
      </c>
      <c r="J33" s="41">
        <f t="shared" si="1"/>
        <v>0.36465326110865065</v>
      </c>
      <c r="K33" s="41">
        <f t="shared" si="2"/>
        <v>406.51660085616436</v>
      </c>
      <c r="L33" s="6">
        <f t="shared" si="48"/>
        <v>208.75</v>
      </c>
      <c r="M33" s="41">
        <f t="shared" si="3"/>
        <v>240.85458174166368</v>
      </c>
      <c r="N33" s="41">
        <f t="shared" si="4"/>
        <v>146.31182361104422</v>
      </c>
      <c r="O33" s="41">
        <f t="shared" si="5"/>
        <v>1930534.0530349799</v>
      </c>
      <c r="P33" s="41">
        <f t="shared" si="6"/>
        <v>12395385.176196849</v>
      </c>
      <c r="Q33" s="41">
        <f t="shared" si="7"/>
        <v>2.8673111050113473E-3</v>
      </c>
      <c r="R33" s="41">
        <f t="shared" si="43"/>
        <v>2.2432206145290914E-2</v>
      </c>
      <c r="S33" s="24">
        <f t="shared" ca="1" si="44"/>
        <v>10.29652079933668</v>
      </c>
      <c r="T33" s="10">
        <f t="shared" ca="1" si="8"/>
        <v>10.29652079933668</v>
      </c>
      <c r="U33" s="41">
        <f t="shared" ca="1" si="9"/>
        <v>0.49941694514050056</v>
      </c>
      <c r="V33" s="41">
        <f t="shared" ca="1" si="10"/>
        <v>3.8184584643380683E-2</v>
      </c>
      <c r="W33" s="41">
        <f t="shared" ca="1" si="11"/>
        <v>13.079019971141017</v>
      </c>
      <c r="X33" s="20">
        <f t="shared" ca="1" si="12"/>
        <v>1284.9769289907595</v>
      </c>
      <c r="Y33" s="41">
        <f t="shared" si="13"/>
        <v>0.59597246942328053</v>
      </c>
      <c r="Z33" s="41">
        <f t="shared" ca="1" si="14"/>
        <v>185.44037700791415</v>
      </c>
      <c r="AA33" s="14">
        <f t="shared" ca="1" si="15"/>
        <v>1306.0090374671342</v>
      </c>
      <c r="AB33" s="14">
        <f t="shared" si="49"/>
        <v>4338.1339470567436</v>
      </c>
      <c r="AC33" s="25">
        <f t="shared" ca="1" si="16"/>
        <v>530914.35459857038</v>
      </c>
      <c r="AD33" s="41">
        <f t="shared" si="17"/>
        <v>1763523.4662162431</v>
      </c>
      <c r="AE33" s="6">
        <v>100</v>
      </c>
      <c r="AF33" s="41">
        <f t="shared" si="18"/>
        <v>4338.1339470567436</v>
      </c>
      <c r="AG33" s="41">
        <f t="shared" ca="1" si="19"/>
        <v>3032.1249095896092</v>
      </c>
      <c r="AH33" s="41">
        <f t="shared" ca="1" si="20"/>
        <v>1232609.1116176727</v>
      </c>
      <c r="AI33" s="41">
        <f t="shared" si="21"/>
        <v>3391.8067835134771</v>
      </c>
      <c r="AJ33" s="13">
        <f t="shared" ca="1" si="22"/>
        <v>72.661781266704253</v>
      </c>
      <c r="AK33" s="11">
        <f t="shared" ca="1" si="23"/>
        <v>4329.6744120972844</v>
      </c>
      <c r="AL33" s="6">
        <f t="shared" si="50"/>
        <v>200</v>
      </c>
      <c r="AM33" s="41">
        <f t="shared" ca="1" si="24"/>
        <v>2.7524786278759428</v>
      </c>
      <c r="AN33" s="41">
        <f t="shared" ca="1" si="25"/>
        <v>2.5932988004181921</v>
      </c>
      <c r="AO33" s="41">
        <f t="shared" ca="1" si="26"/>
        <v>0.18118636617437969</v>
      </c>
      <c r="AP33" s="67">
        <f t="shared" si="45"/>
        <v>0.78185847299959166</v>
      </c>
      <c r="AQ33" s="11">
        <f t="shared" si="27"/>
        <v>0.99705342071837588</v>
      </c>
      <c r="AR33" s="11">
        <f t="shared" si="28"/>
        <v>0.7427802799562947</v>
      </c>
      <c r="AS33" s="11">
        <f t="shared" si="29"/>
        <v>0.74497540906195614</v>
      </c>
      <c r="AT33" s="11">
        <f t="shared" si="30"/>
        <v>517.14169772399998</v>
      </c>
      <c r="AU33" s="11">
        <f t="shared" si="31"/>
        <v>1571.8864840491099</v>
      </c>
      <c r="AV33" s="11">
        <f t="shared" si="32"/>
        <v>1.7707320497993635E-3</v>
      </c>
      <c r="AW33" s="11">
        <f t="shared" si="33"/>
        <v>3.7286675818013285E-7</v>
      </c>
      <c r="AX33" s="41">
        <f t="shared" ca="1" si="34"/>
        <v>1.3409613664988118</v>
      </c>
      <c r="AY33" s="41">
        <f t="shared" ca="1" si="35"/>
        <v>1.8063016022904526</v>
      </c>
      <c r="AZ33" s="41">
        <f t="shared" si="36"/>
        <v>0.26192674421120354</v>
      </c>
      <c r="BA33" s="167">
        <f t="shared" si="46"/>
        <v>0.48338340231231314</v>
      </c>
      <c r="BB33" s="156">
        <f t="shared" si="47"/>
        <v>0.42060627198341649</v>
      </c>
    </row>
    <row r="34" spans="1:55" ht="14.5">
      <c r="A34" s="41">
        <f t="shared" ca="1" si="37"/>
        <v>42.860128383421369</v>
      </c>
      <c r="B34" s="41">
        <f t="shared" ca="1" si="38"/>
        <v>0.71433547305702283</v>
      </c>
      <c r="C34" s="41">
        <f t="shared" ca="1" si="38"/>
        <v>1.1905591217617048E-2</v>
      </c>
      <c r="D34" s="41">
        <f t="shared" ca="1" si="39"/>
        <v>17078.724984722889</v>
      </c>
      <c r="E34" s="41">
        <f t="shared" ca="1" si="40"/>
        <v>1.9890021755544516</v>
      </c>
      <c r="F34" s="41">
        <f t="shared" ca="1" si="41"/>
        <v>1.9890021755544516</v>
      </c>
      <c r="G34" s="41"/>
      <c r="H34" s="7">
        <f t="shared" si="42"/>
        <v>8200</v>
      </c>
      <c r="I34" s="6">
        <v>15</v>
      </c>
      <c r="J34" s="41">
        <f t="shared" si="1"/>
        <v>0.384037077824601</v>
      </c>
      <c r="K34" s="41">
        <f t="shared" si="2"/>
        <v>427.83041743369773</v>
      </c>
      <c r="L34" s="6">
        <f t="shared" si="48"/>
        <v>219.125</v>
      </c>
      <c r="M34" s="41">
        <f t="shared" si="3"/>
        <v>253.48267704278697</v>
      </c>
      <c r="N34" s="41">
        <f t="shared" si="4"/>
        <v>161.04288893853845</v>
      </c>
      <c r="O34" s="41">
        <f t="shared" si="5"/>
        <v>2021214.3296882601</v>
      </c>
      <c r="P34" s="41">
        <f t="shared" si="6"/>
        <v>12977616.271905541</v>
      </c>
      <c r="Q34" s="41">
        <f t="shared" si="7"/>
        <v>2.8428371442338718E-3</v>
      </c>
      <c r="R34" s="41">
        <f t="shared" si="43"/>
        <v>2.228341338655641E-2</v>
      </c>
      <c r="S34" s="24">
        <f t="shared" ca="1" si="44"/>
        <v>10.108914894084259</v>
      </c>
      <c r="T34" s="10">
        <f t="shared" ca="1" si="8"/>
        <v>10.108914894084259</v>
      </c>
      <c r="U34" s="41">
        <f t="shared" ca="1" si="9"/>
        <v>0.45393235342008376</v>
      </c>
      <c r="V34" s="41">
        <f t="shared" ca="1" si="10"/>
        <v>3.5297145604616637E-2</v>
      </c>
      <c r="W34" s="41">
        <f t="shared" ca="1" si="11"/>
        <v>12.860313366549175</v>
      </c>
      <c r="X34" s="20">
        <f t="shared" ca="1" si="12"/>
        <v>1307.4014888738907</v>
      </c>
      <c r="Y34" s="41">
        <f t="shared" si="13"/>
        <v>0.59399263907243394</v>
      </c>
      <c r="Z34" s="41">
        <f t="shared" ca="1" si="14"/>
        <v>186.06368001273472</v>
      </c>
      <c r="AA34" s="14">
        <f t="shared" ca="1" si="15"/>
        <v>1328.0177938079005</v>
      </c>
      <c r="AB34" s="14">
        <f t="shared" si="49"/>
        <v>4305.057709985017</v>
      </c>
      <c r="AC34" s="25">
        <f t="shared" ca="1" si="16"/>
        <v>568166.40708421241</v>
      </c>
      <c r="AD34" s="41">
        <f t="shared" si="17"/>
        <v>1841834.6371390487</v>
      </c>
      <c r="AE34" s="6">
        <v>100</v>
      </c>
      <c r="AF34" s="41">
        <f t="shared" si="18"/>
        <v>4305.057709985017</v>
      </c>
      <c r="AG34" s="41">
        <f t="shared" ca="1" si="19"/>
        <v>2977.0399161771165</v>
      </c>
      <c r="AH34" s="41">
        <f t="shared" ca="1" si="20"/>
        <v>1273668.2300548363</v>
      </c>
      <c r="AI34" s="41">
        <f t="shared" si="21"/>
        <v>3381.2109658142354</v>
      </c>
      <c r="AJ34" s="13">
        <f t="shared" ca="1" si="22"/>
        <v>75.092755082589278</v>
      </c>
      <c r="AK34" s="11">
        <f t="shared" ca="1" si="23"/>
        <v>4474.578393389952</v>
      </c>
      <c r="AL34" s="6">
        <f t="shared" si="50"/>
        <v>200</v>
      </c>
      <c r="AM34" s="41">
        <f t="shared" ca="1" si="24"/>
        <v>2.6633727818353976</v>
      </c>
      <c r="AN34" s="41">
        <f t="shared" ca="1" si="25"/>
        <v>2.5015070155536145</v>
      </c>
      <c r="AO34" s="41">
        <f t="shared" ca="1" si="26"/>
        <v>0.18462173272653323</v>
      </c>
      <c r="AP34" s="67">
        <f t="shared" si="45"/>
        <v>0.7854043298820268</v>
      </c>
      <c r="AQ34" s="11">
        <f t="shared" si="27"/>
        <v>0.99567835071837585</v>
      </c>
      <c r="AR34" s="11">
        <f t="shared" si="28"/>
        <v>0.73711692863245948</v>
      </c>
      <c r="AS34" s="11">
        <f t="shared" si="29"/>
        <v>0.74031631610814286</v>
      </c>
      <c r="AT34" s="11">
        <f t="shared" si="30"/>
        <v>516.42849016709999</v>
      </c>
      <c r="AU34" s="11">
        <f t="shared" si="31"/>
        <v>1559.9015867105832</v>
      </c>
      <c r="AV34" s="11">
        <f t="shared" si="32"/>
        <v>1.7596578517574447E-3</v>
      </c>
      <c r="AW34" s="11">
        <f t="shared" si="33"/>
        <v>3.7246676030343812E-7</v>
      </c>
      <c r="AX34" s="41">
        <f t="shared" ca="1" si="34"/>
        <v>1.4390678221101021</v>
      </c>
      <c r="AY34" s="41">
        <f t="shared" ca="1" si="35"/>
        <v>1.9384529471337404</v>
      </c>
      <c r="AZ34" s="41">
        <f t="shared" si="36"/>
        <v>0.2743918612592896</v>
      </c>
      <c r="BA34" s="167">
        <f t="shared" si="46"/>
        <v>0.48922970110038921</v>
      </c>
      <c r="BB34" s="156">
        <f t="shared" si="47"/>
        <v>0.35700911817718861</v>
      </c>
    </row>
    <row r="35" spans="1:55" ht="14.5">
      <c r="A35" s="41">
        <f t="shared" ca="1" si="37"/>
        <v>45.523501165256768</v>
      </c>
      <c r="B35" s="41">
        <f t="shared" ca="1" si="38"/>
        <v>0.75872501942094617</v>
      </c>
      <c r="C35" s="41">
        <f t="shared" ca="1" si="38"/>
        <v>1.2645416990349103E-2</v>
      </c>
      <c r="D35" s="41">
        <f t="shared" ca="1" si="39"/>
        <v>17076.223477707335</v>
      </c>
      <c r="E35" s="41">
        <f t="shared" ca="1" si="40"/>
        <v>2.1736239082809847</v>
      </c>
      <c r="F35" s="41">
        <f t="shared" ca="1" si="41"/>
        <v>2.1736239082809847</v>
      </c>
      <c r="G35" s="41"/>
      <c r="H35" s="7">
        <f t="shared" si="42"/>
        <v>8400</v>
      </c>
      <c r="I35" s="6">
        <v>15</v>
      </c>
      <c r="J35" s="41">
        <f t="shared" si="1"/>
        <v>0.40352979852534138</v>
      </c>
      <c r="K35" s="41">
        <f t="shared" si="2"/>
        <v>449.23544649505283</v>
      </c>
      <c r="L35" s="6">
        <f t="shared" si="48"/>
        <v>229.5</v>
      </c>
      <c r="M35" s="41">
        <f t="shared" si="3"/>
        <v>266.16481428117487</v>
      </c>
      <c r="N35" s="41">
        <f t="shared" si="4"/>
        <v>176.44836312136525</v>
      </c>
      <c r="O35" s="41">
        <f t="shared" si="5"/>
        <v>2111315.0690856585</v>
      </c>
      <c r="P35" s="41">
        <f t="shared" si="6"/>
        <v>13556126.331199819</v>
      </c>
      <c r="Q35" s="41">
        <f t="shared" si="7"/>
        <v>2.8194342636120892E-3</v>
      </c>
      <c r="R35" s="41">
        <f t="shared" si="43"/>
        <v>2.2141132404670791E-2</v>
      </c>
      <c r="S35" s="24">
        <f t="shared" ca="1" si="44"/>
        <v>9.8908940446504943</v>
      </c>
      <c r="T35" s="10">
        <f t="shared" ca="1" si="8"/>
        <v>9.8908940446504943</v>
      </c>
      <c r="U35" s="41">
        <f t="shared" ca="1" si="9"/>
        <v>0.41451746272906437</v>
      </c>
      <c r="V35" s="41">
        <f t="shared" ca="1" si="10"/>
        <v>3.2993019163686015E-2</v>
      </c>
      <c r="W35" s="41">
        <f t="shared" ca="1" si="11"/>
        <v>12.563792985193237</v>
      </c>
      <c r="X35" s="20">
        <f t="shared" ca="1" si="12"/>
        <v>1338.9597719487733</v>
      </c>
      <c r="Y35" s="41">
        <f t="shared" si="13"/>
        <v>0.59209326231561721</v>
      </c>
      <c r="Z35" s="41">
        <f t="shared" ca="1" si="14"/>
        <v>186.69806261764353</v>
      </c>
      <c r="AA35" s="14">
        <f t="shared" ca="1" si="15"/>
        <v>1359.1614807592036</v>
      </c>
      <c r="AB35" s="14">
        <f t="shared" si="49"/>
        <v>4272.1859800010343</v>
      </c>
      <c r="AC35" s="25">
        <f t="shared" ca="1" si="16"/>
        <v>610583.514667738</v>
      </c>
      <c r="AD35" s="41">
        <f t="shared" si="17"/>
        <v>1919217.3762356695</v>
      </c>
      <c r="AE35" s="6">
        <v>100</v>
      </c>
      <c r="AF35" s="41">
        <f t="shared" si="18"/>
        <v>4272.1859800010343</v>
      </c>
      <c r="AG35" s="41">
        <f t="shared" ca="1" si="19"/>
        <v>2913.0244992418307</v>
      </c>
      <c r="AH35" s="41">
        <f t="shared" ca="1" si="20"/>
        <v>1308633.8615679315</v>
      </c>
      <c r="AI35" s="41">
        <f t="shared" si="21"/>
        <v>3370.3604268106997</v>
      </c>
      <c r="AJ35" s="13">
        <f t="shared" ca="1" si="22"/>
        <v>77.166311799888973</v>
      </c>
      <c r="AK35" s="11">
        <f t="shared" ca="1" si="23"/>
        <v>4598.0911292581523</v>
      </c>
      <c r="AL35" s="6">
        <f t="shared" si="50"/>
        <v>200</v>
      </c>
      <c r="AM35" s="41">
        <f t="shared" ca="1" si="24"/>
        <v>2.5918045755335397</v>
      </c>
      <c r="AN35" s="41">
        <f t="shared" ca="1" si="25"/>
        <v>2.4264765487236515</v>
      </c>
      <c r="AO35" s="41">
        <f t="shared" ca="1" si="26"/>
        <v>0.18877603756567859</v>
      </c>
      <c r="AP35" s="67">
        <f t="shared" si="45"/>
        <v>0.78890770265808596</v>
      </c>
      <c r="AQ35" s="11">
        <f t="shared" si="27"/>
        <v>0.99430328071837593</v>
      </c>
      <c r="AR35" s="11">
        <f t="shared" si="28"/>
        <v>0.73148859324721494</v>
      </c>
      <c r="AS35" s="11">
        <f t="shared" si="29"/>
        <v>0.7356795531426995</v>
      </c>
      <c r="AT35" s="11">
        <f t="shared" si="30"/>
        <v>515.71528261020001</v>
      </c>
      <c r="AU35" s="11">
        <f t="shared" si="31"/>
        <v>1547.990790801621</v>
      </c>
      <c r="AV35" s="11">
        <f t="shared" si="32"/>
        <v>1.7486367298648823E-3</v>
      </c>
      <c r="AW35" s="11">
        <f t="shared" si="33"/>
        <v>3.7206649713284872E-7</v>
      </c>
      <c r="AX35" s="41">
        <f t="shared" ca="1" si="34"/>
        <v>1.5450225140826295</v>
      </c>
      <c r="AY35" s="41">
        <f t="shared" ca="1" si="35"/>
        <v>2.08117602228084</v>
      </c>
      <c r="AZ35" s="41">
        <f t="shared" si="36"/>
        <v>0.28674286329701631</v>
      </c>
      <c r="BA35" s="167">
        <f t="shared" si="46"/>
        <v>0.49493430714173847</v>
      </c>
      <c r="BB35" s="156">
        <f t="shared" si="47"/>
        <v>0.30221067987903893</v>
      </c>
    </row>
    <row r="36" spans="1:55" ht="14.5">
      <c r="A36" s="41">
        <f t="shared" ca="1" si="37"/>
        <v>48.115305740790305</v>
      </c>
      <c r="B36" s="41">
        <f t="shared" ca="1" si="38"/>
        <v>0.80192176234650503</v>
      </c>
      <c r="C36" s="41">
        <f t="shared" ca="1" si="38"/>
        <v>1.3365362705775085E-2</v>
      </c>
      <c r="D36" s="41">
        <f t="shared" ca="1" si="39"/>
        <v>17073.797001158611</v>
      </c>
      <c r="E36" s="41">
        <f t="shared" ca="1" si="40"/>
        <v>2.3623999458466631</v>
      </c>
      <c r="F36" s="41">
        <f t="shared" ca="1" si="41"/>
        <v>2.3623999458466631</v>
      </c>
      <c r="G36" s="41"/>
      <c r="H36" s="7">
        <f t="shared" si="42"/>
        <v>8600</v>
      </c>
      <c r="I36" s="6">
        <v>15</v>
      </c>
      <c r="J36" s="41">
        <f t="shared" si="1"/>
        <v>0.42312936534532514</v>
      </c>
      <c r="K36" s="41">
        <f t="shared" si="2"/>
        <v>470.72911573264679</v>
      </c>
      <c r="L36" s="6">
        <f t="shared" si="48"/>
        <v>239.875</v>
      </c>
      <c r="M36" s="41">
        <f t="shared" si="3"/>
        <v>278.89946940574151</v>
      </c>
      <c r="N36" s="41">
        <f t="shared" si="4"/>
        <v>192.52142042081525</v>
      </c>
      <c r="O36" s="41">
        <f t="shared" si="5"/>
        <v>2200823.4002938592</v>
      </c>
      <c r="P36" s="41">
        <f t="shared" si="6"/>
        <v>14130832.713643592</v>
      </c>
      <c r="Q36" s="41">
        <f t="shared" si="7"/>
        <v>2.7969831442273764E-3</v>
      </c>
      <c r="R36" s="41">
        <f t="shared" si="43"/>
        <v>2.2004637784110492E-2</v>
      </c>
      <c r="S36" s="24">
        <f t="shared" ca="1" si="44"/>
        <v>9.6465093581766137</v>
      </c>
      <c r="T36" s="10">
        <f t="shared" ca="1" si="8"/>
        <v>9.6465093581766137</v>
      </c>
      <c r="U36" s="41">
        <f t="shared" ca="1" si="9"/>
        <v>0.38013566321274272</v>
      </c>
      <c r="V36" s="41">
        <f t="shared" ca="1" si="10"/>
        <v>3.1130981525985427E-2</v>
      </c>
      <c r="W36" s="41">
        <f t="shared" ca="1" si="11"/>
        <v>12.210847348177527</v>
      </c>
      <c r="X36" s="20">
        <f t="shared" ca="1" si="12"/>
        <v>1378.4775799696808</v>
      </c>
      <c r="Y36" s="41">
        <f t="shared" si="13"/>
        <v>0.59026538639295811</v>
      </c>
      <c r="Z36" s="41">
        <f t="shared" ca="1" si="14"/>
        <v>187.34182573413051</v>
      </c>
      <c r="AA36" s="14">
        <f t="shared" ca="1" si="15"/>
        <v>1398.2483372627601</v>
      </c>
      <c r="AB36" s="14">
        <f t="shared" si="49"/>
        <v>4239.5177883399092</v>
      </c>
      <c r="AC36" s="25">
        <f t="shared" ca="1" si="16"/>
        <v>658196.20337434276</v>
      </c>
      <c r="AD36" s="41">
        <f t="shared" si="17"/>
        <v>1995664.4596380719</v>
      </c>
      <c r="AE36" s="6">
        <v>100</v>
      </c>
      <c r="AF36" s="41">
        <f t="shared" si="18"/>
        <v>4239.5177883399092</v>
      </c>
      <c r="AG36" s="41">
        <f t="shared" ca="1" si="19"/>
        <v>2841.2694510771489</v>
      </c>
      <c r="AH36" s="41">
        <f t="shared" ca="1" si="20"/>
        <v>1337468.2562637292</v>
      </c>
      <c r="AI36" s="41">
        <f t="shared" si="21"/>
        <v>3359.2566778269988</v>
      </c>
      <c r="AJ36" s="13">
        <f t="shared" ca="1" si="22"/>
        <v>78.879638036593391</v>
      </c>
      <c r="AK36" s="11">
        <f t="shared" ca="1" si="23"/>
        <v>4700.0731805806399</v>
      </c>
      <c r="AL36" s="6">
        <f t="shared" si="50"/>
        <v>200</v>
      </c>
      <c r="AM36" s="41">
        <f t="shared" ca="1" si="24"/>
        <v>2.5355085923089193</v>
      </c>
      <c r="AN36" s="41">
        <f t="shared" ca="1" si="25"/>
        <v>2.3659511584448532</v>
      </c>
      <c r="AO36" s="41">
        <f t="shared" ca="1" si="26"/>
        <v>0.19365364210943817</v>
      </c>
      <c r="AP36" s="67">
        <f t="shared" si="45"/>
        <v>0.79236763366486573</v>
      </c>
      <c r="AQ36" s="11">
        <f t="shared" si="27"/>
        <v>0.99292821071837589</v>
      </c>
      <c r="AR36" s="11">
        <f t="shared" si="28"/>
        <v>0.72589510792752365</v>
      </c>
      <c r="AS36" s="11">
        <f t="shared" si="29"/>
        <v>0.73106504588317034</v>
      </c>
      <c r="AT36" s="11">
        <f t="shared" si="30"/>
        <v>515.00207505330002</v>
      </c>
      <c r="AU36" s="11">
        <f t="shared" si="31"/>
        <v>1536.1537452983839</v>
      </c>
      <c r="AV36" s="11">
        <f t="shared" si="32"/>
        <v>1.7376685075597075E-3</v>
      </c>
      <c r="AW36" s="11">
        <f t="shared" si="33"/>
        <v>3.7166596824208236E-7</v>
      </c>
      <c r="AX36" s="41">
        <f t="shared" ca="1" si="34"/>
        <v>1.6582039241038438</v>
      </c>
      <c r="AY36" s="41">
        <f t="shared" ca="1" si="35"/>
        <v>2.2336336302167008</v>
      </c>
      <c r="AZ36" s="41">
        <f t="shared" si="36"/>
        <v>0.29897538067423157</v>
      </c>
      <c r="BA36" s="167">
        <f t="shared" si="46"/>
        <v>0.50050430169883242</v>
      </c>
      <c r="BB36" s="156">
        <f t="shared" si="47"/>
        <v>0.25540315930687996</v>
      </c>
    </row>
    <row r="37" spans="1:55" ht="14.5">
      <c r="A37" s="41">
        <f t="shared" ca="1" si="37"/>
        <v>50.650814333099227</v>
      </c>
      <c r="B37" s="41">
        <f t="shared" ca="1" si="38"/>
        <v>0.84418023888498717</v>
      </c>
      <c r="C37" s="41">
        <f t="shared" ca="1" si="38"/>
        <v>1.406967064808312E-2</v>
      </c>
      <c r="D37" s="41">
        <f t="shared" ca="1" si="39"/>
        <v>17071.431050000167</v>
      </c>
      <c r="E37" s="41">
        <f t="shared" ca="1" si="40"/>
        <v>2.5560535879561015</v>
      </c>
      <c r="F37" s="41">
        <f t="shared" ca="1" si="41"/>
        <v>2.5560535879561015</v>
      </c>
      <c r="G37" s="41"/>
      <c r="H37" s="7">
        <f t="shared" si="42"/>
        <v>8800</v>
      </c>
      <c r="I37" s="6">
        <v>15</v>
      </c>
      <c r="J37" s="41">
        <f t="shared" si="1"/>
        <v>0.44283362840181828</v>
      </c>
      <c r="K37" s="41">
        <f t="shared" si="2"/>
        <v>492.30875644860515</v>
      </c>
      <c r="L37" s="6">
        <f t="shared" si="48"/>
        <v>250.25</v>
      </c>
      <c r="M37" s="41">
        <f t="shared" si="3"/>
        <v>291.68506125569536</v>
      </c>
      <c r="N37" s="41">
        <f t="shared" si="4"/>
        <v>209.25476033820505</v>
      </c>
      <c r="O37" s="41">
        <f t="shared" si="5"/>
        <v>2289726.2865390107</v>
      </c>
      <c r="P37" s="41">
        <f t="shared" si="6"/>
        <v>14701651.713988001</v>
      </c>
      <c r="Q37" s="41">
        <f t="shared" si="7"/>
        <v>2.7753809817001743E-3</v>
      </c>
      <c r="R37" s="41">
        <f t="shared" si="43"/>
        <v>2.1873304511728538E-2</v>
      </c>
      <c r="S37" s="24">
        <f t="shared" ca="1" si="44"/>
        <v>9.3790297217347334</v>
      </c>
      <c r="T37" s="10">
        <f t="shared" ca="1" si="8"/>
        <v>9.3790297217347334</v>
      </c>
      <c r="U37" s="41">
        <f t="shared" ca="1" si="9"/>
        <v>0.3499628034564678</v>
      </c>
      <c r="V37" s="41">
        <f t="shared" ca="1" si="10"/>
        <v>2.9608358773364599E-2</v>
      </c>
      <c r="W37" s="41">
        <f t="shared" ca="1" si="11"/>
        <v>11.819729899088195</v>
      </c>
      <c r="X37" s="20">
        <f t="shared" ca="1" si="12"/>
        <v>1425.0087043994399</v>
      </c>
      <c r="Y37" s="41">
        <f t="shared" si="13"/>
        <v>0.58850126960733518</v>
      </c>
      <c r="Z37" s="41">
        <f t="shared" ca="1" si="14"/>
        <v>187.99352142872365</v>
      </c>
      <c r="AA37" s="14">
        <f t="shared" ca="1" si="15"/>
        <v>1444.3165111004018</v>
      </c>
      <c r="AB37" s="14">
        <f t="shared" si="49"/>
        <v>4207.0521694211193</v>
      </c>
      <c r="AC37" s="25">
        <f t="shared" ca="1" si="16"/>
        <v>711049.66549802688</v>
      </c>
      <c r="AD37" s="41">
        <f t="shared" si="17"/>
        <v>2071168.6218421177</v>
      </c>
      <c r="AE37" s="6">
        <v>100</v>
      </c>
      <c r="AF37" s="41">
        <f t="shared" si="18"/>
        <v>4207.0521694211193</v>
      </c>
      <c r="AG37" s="41">
        <f t="shared" ca="1" si="19"/>
        <v>2762.7356583207174</v>
      </c>
      <c r="AH37" s="41">
        <f t="shared" ca="1" si="20"/>
        <v>1360118.9563440909</v>
      </c>
      <c r="AI37" s="41">
        <f t="shared" si="21"/>
        <v>3347.9013456709622</v>
      </c>
      <c r="AJ37" s="13">
        <f t="shared" ca="1" si="22"/>
        <v>80.229030281019007</v>
      </c>
      <c r="AK37" s="11">
        <f t="shared" ca="1" si="23"/>
        <v>4780.3337131859644</v>
      </c>
      <c r="AL37" s="6">
        <f t="shared" si="50"/>
        <v>200</v>
      </c>
      <c r="AM37" s="41">
        <f t="shared" ca="1" si="24"/>
        <v>2.4928632354081564</v>
      </c>
      <c r="AN37" s="41">
        <f t="shared" ca="1" si="25"/>
        <v>2.3182944945546207</v>
      </c>
      <c r="AO37" s="41">
        <f t="shared" ca="1" si="26"/>
        <v>0.199280718431293</v>
      </c>
      <c r="AP37" s="67">
        <f t="shared" si="45"/>
        <v>0.79578317806589638</v>
      </c>
      <c r="AQ37" s="11">
        <f t="shared" si="27"/>
        <v>0.99155314071837586</v>
      </c>
      <c r="AR37" s="11">
        <f t="shared" si="28"/>
        <v>0.72033630734557885</v>
      </c>
      <c r="AS37" s="11">
        <f t="shared" si="29"/>
        <v>0.7264727201849196</v>
      </c>
      <c r="AT37" s="11">
        <f t="shared" si="30"/>
        <v>514.28886749639992</v>
      </c>
      <c r="AU37" s="11">
        <f t="shared" si="31"/>
        <v>1524.3901003308608</v>
      </c>
      <c r="AV37" s="11">
        <f t="shared" si="32"/>
        <v>1.7267530086075354E-3</v>
      </c>
      <c r="AW37" s="11">
        <f t="shared" si="33"/>
        <v>3.7126517320391516E-7</v>
      </c>
      <c r="AX37" s="41">
        <f t="shared" ca="1" si="34"/>
        <v>1.7781305391943989</v>
      </c>
      <c r="AY37" s="41">
        <f t="shared" ca="1" si="35"/>
        <v>2.3951771633916605</v>
      </c>
      <c r="AZ37" s="41">
        <f t="shared" si="36"/>
        <v>0.31108504917772478</v>
      </c>
      <c r="BA37" s="167">
        <f t="shared" si="46"/>
        <v>0.50594643353538871</v>
      </c>
      <c r="BB37" s="156">
        <f t="shared" si="47"/>
        <v>0.21583866965845289</v>
      </c>
    </row>
    <row r="38" spans="1:55" ht="14.5">
      <c r="A38" s="41">
        <f t="shared" ca="1" si="37"/>
        <v>53.143677568507385</v>
      </c>
      <c r="B38" s="41">
        <f t="shared" ca="1" si="38"/>
        <v>0.88572795947512306</v>
      </c>
      <c r="C38" s="41">
        <f t="shared" ca="1" si="38"/>
        <v>1.4762132657918718E-2</v>
      </c>
      <c r="D38" s="41">
        <f t="shared" ca="1" si="39"/>
        <v>17069.112755505612</v>
      </c>
      <c r="E38" s="41">
        <f t="shared" ca="1" si="40"/>
        <v>2.7553343063873945</v>
      </c>
      <c r="F38" s="41">
        <f t="shared" ca="1" si="41"/>
        <v>2.7553343063873945</v>
      </c>
      <c r="G38" s="41"/>
      <c r="H38" s="7">
        <f t="shared" si="42"/>
        <v>9000</v>
      </c>
      <c r="I38" s="6">
        <v>15</v>
      </c>
      <c r="J38" s="41">
        <f t="shared" si="1"/>
        <v>0.46264035155954103</v>
      </c>
      <c r="K38" s="41">
        <f t="shared" si="2"/>
        <v>513.97161032320332</v>
      </c>
      <c r="L38" s="6">
        <f t="shared" si="48"/>
        <v>260.625</v>
      </c>
      <c r="M38" s="41">
        <f t="shared" si="3"/>
        <v>304.5199555707328</v>
      </c>
      <c r="N38" s="41">
        <f t="shared" si="4"/>
        <v>226.64060668249931</v>
      </c>
      <c r="O38" s="41">
        <f t="shared" si="5"/>
        <v>2378010.5656611836</v>
      </c>
      <c r="P38" s="41">
        <f t="shared" si="6"/>
        <v>15268498.821917454</v>
      </c>
      <c r="Q38" s="41">
        <f t="shared" si="7"/>
        <v>2.7545386797756454E-3</v>
      </c>
      <c r="R38" s="41">
        <f t="shared" si="43"/>
        <v>2.1746590914778499E-2</v>
      </c>
      <c r="S38" s="24">
        <f t="shared" ca="1" si="44"/>
        <v>9.0911283226420352</v>
      </c>
      <c r="T38" s="10">
        <f t="shared" ca="1" si="8"/>
        <v>9.0911283226420352</v>
      </c>
      <c r="U38" s="41">
        <f t="shared" ca="1" si="9"/>
        <v>0.3233369583067322</v>
      </c>
      <c r="V38" s="41">
        <f t="shared" ca="1" si="10"/>
        <v>2.8349423530332221E-2</v>
      </c>
      <c r="W38" s="41">
        <f t="shared" ca="1" si="11"/>
        <v>11.405415632553538</v>
      </c>
      <c r="X38" s="20">
        <f t="shared" ca="1" si="12"/>
        <v>1477.7800260431316</v>
      </c>
      <c r="Y38" s="41">
        <f t="shared" si="13"/>
        <v>0.58679417899532116</v>
      </c>
      <c r="Z38" s="41">
        <f t="shared" ca="1" si="14"/>
        <v>188.65190038089438</v>
      </c>
      <c r="AA38" s="14">
        <f t="shared" ca="1" si="15"/>
        <v>1496.5796342210142</v>
      </c>
      <c r="AB38" s="14">
        <f t="shared" si="49"/>
        <v>4174.7881608426615</v>
      </c>
      <c r="AC38" s="25">
        <f t="shared" ca="1" si="16"/>
        <v>769199.44457748532</v>
      </c>
      <c r="AD38" s="41">
        <f t="shared" si="17"/>
        <v>2145722.593786547</v>
      </c>
      <c r="AE38" s="6">
        <v>100</v>
      </c>
      <c r="AF38" s="41">
        <f t="shared" si="18"/>
        <v>4174.7881608426615</v>
      </c>
      <c r="AG38" s="41">
        <f t="shared" ca="1" si="19"/>
        <v>2678.2085266216473</v>
      </c>
      <c r="AH38" s="41">
        <f t="shared" ca="1" si="20"/>
        <v>1376523.1492090616</v>
      </c>
      <c r="AI38" s="41">
        <f t="shared" si="21"/>
        <v>3336.2961780571586</v>
      </c>
      <c r="AJ38" s="13">
        <f t="shared" ca="1" si="22"/>
        <v>81.210173835812412</v>
      </c>
      <c r="AK38" s="11">
        <f t="shared" ca="1" si="23"/>
        <v>4838.645695037897</v>
      </c>
      <c r="AL38" s="6">
        <f t="shared" si="50"/>
        <v>200</v>
      </c>
      <c r="AM38" s="41">
        <f t="shared" ca="1" si="24"/>
        <v>2.4627456210640832</v>
      </c>
      <c r="AN38" s="41">
        <f t="shared" ca="1" si="25"/>
        <v>2.2823468897453068</v>
      </c>
      <c r="AO38" s="41">
        <f t="shared" ca="1" si="26"/>
        <v>0.20570401753187148</v>
      </c>
      <c r="AP38" s="67">
        <f t="shared" si="45"/>
        <v>0.79915340599790885</v>
      </c>
      <c r="AQ38" s="11">
        <f t="shared" si="27"/>
        <v>0.99017807071837594</v>
      </c>
      <c r="AR38" s="11">
        <f t="shared" si="28"/>
        <v>0.71481202671780375</v>
      </c>
      <c r="AS38" s="11">
        <f t="shared" si="29"/>
        <v>0.72190250204107864</v>
      </c>
      <c r="AT38" s="11">
        <f t="shared" si="30"/>
        <v>513.57565993950004</v>
      </c>
      <c r="AU38" s="11">
        <f t="shared" si="31"/>
        <v>1512.6995071807505</v>
      </c>
      <c r="AV38" s="11">
        <f t="shared" si="32"/>
        <v>1.7158900571014398E-3</v>
      </c>
      <c r="AW38" s="11">
        <f t="shared" si="33"/>
        <v>3.7086411159018176E-7</v>
      </c>
      <c r="AX38" s="41">
        <f t="shared" ca="1" si="34"/>
        <v>1.9044188310608312</v>
      </c>
      <c r="AY38" s="41">
        <f t="shared" ca="1" si="35"/>
        <v>2.565290001574656</v>
      </c>
      <c r="AZ38" s="41">
        <f t="shared" si="36"/>
        <v>0.3230675189780754</v>
      </c>
      <c r="BA38" s="167">
        <f t="shared" si="46"/>
        <v>0.51126712037692368</v>
      </c>
      <c r="BB38" s="156">
        <f t="shared" si="47"/>
        <v>0.18282546005900713</v>
      </c>
    </row>
    <row r="39" spans="1:55" ht="14.5">
      <c r="A39" s="41">
        <f t="shared" ca="1" si="37"/>
        <v>55.606423189571466</v>
      </c>
      <c r="B39" s="41">
        <f t="shared" ca="1" si="38"/>
        <v>0.92677371982619106</v>
      </c>
      <c r="C39" s="41">
        <f t="shared" ca="1" si="38"/>
        <v>1.5446228663769851E-2</v>
      </c>
      <c r="D39" s="41">
        <f t="shared" ca="1" si="39"/>
        <v>17066.830408615868</v>
      </c>
      <c r="E39" s="41">
        <f t="shared" ca="1" si="40"/>
        <v>2.9610383239192659</v>
      </c>
      <c r="F39" s="41">
        <f t="shared" ca="1" si="41"/>
        <v>2.9610383239192659</v>
      </c>
      <c r="G39" s="41"/>
      <c r="H39" s="7">
        <f t="shared" si="42"/>
        <v>9200</v>
      </c>
      <c r="I39" s="6">
        <v>15</v>
      </c>
      <c r="J39" s="41">
        <f t="shared" si="1"/>
        <v>0.48254721855005789</v>
      </c>
      <c r="K39" s="41">
        <f t="shared" si="2"/>
        <v>535.71483655123029</v>
      </c>
      <c r="L39" s="6">
        <f t="shared" si="48"/>
        <v>271</v>
      </c>
      <c r="M39" s="41">
        <f t="shared" si="3"/>
        <v>317.40246921921914</v>
      </c>
      <c r="N39" s="41">
        <f t="shared" si="4"/>
        <v>244.67070878492547</v>
      </c>
      <c r="O39" s="41">
        <f t="shared" si="5"/>
        <v>2465662.9911591145</v>
      </c>
      <c r="P39" s="41">
        <f t="shared" si="6"/>
        <v>15831288.985585738</v>
      </c>
      <c r="Q39" s="41">
        <f t="shared" si="7"/>
        <v>2.7343786157317247E-3</v>
      </c>
      <c r="R39" s="41">
        <f t="shared" si="43"/>
        <v>2.1624025075410148E-2</v>
      </c>
      <c r="S39" s="24">
        <f t="shared" ca="1" si="44"/>
        <v>8.7850193830488532</v>
      </c>
      <c r="T39" s="10">
        <f t="shared" ca="1" si="8"/>
        <v>8.7850193830488532</v>
      </c>
      <c r="U39" s="41">
        <f t="shared" ca="1" si="9"/>
        <v>0.29972153129786749</v>
      </c>
      <c r="V39" s="41">
        <f t="shared" ca="1" si="10"/>
        <v>2.7297582780825714E-2</v>
      </c>
      <c r="W39" s="41">
        <f t="shared" ca="1" si="11"/>
        <v>10.979782851263922</v>
      </c>
      <c r="X39" s="20">
        <f t="shared" ca="1" si="12"/>
        <v>1536.151353232955</v>
      </c>
      <c r="Y39" s="41">
        <f t="shared" si="13"/>
        <v>0.58513822873101351</v>
      </c>
      <c r="Z39" s="41">
        <f t="shared" ca="1" si="14"/>
        <v>189.31587139618375</v>
      </c>
      <c r="AA39" s="14">
        <f t="shared" ca="1" si="15"/>
        <v>1554.3868799419147</v>
      </c>
      <c r="AB39" s="14">
        <f t="shared" si="49"/>
        <v>4142.7248033752157</v>
      </c>
      <c r="AC39" s="25">
        <f t="shared" ca="1" si="16"/>
        <v>832708.11332545965</v>
      </c>
      <c r="AD39" s="41">
        <f t="shared" si="17"/>
        <v>2219319.1409168812</v>
      </c>
      <c r="AE39" s="6">
        <v>100</v>
      </c>
      <c r="AF39" s="41">
        <f t="shared" si="18"/>
        <v>4142.7248033752157</v>
      </c>
      <c r="AG39" s="41">
        <f t="shared" ca="1" si="19"/>
        <v>2588.3379234333011</v>
      </c>
      <c r="AH39" s="41">
        <f t="shared" ca="1" si="20"/>
        <v>1386611.0275914215</v>
      </c>
      <c r="AI39" s="41">
        <f t="shared" si="21"/>
        <v>3324.443048359632</v>
      </c>
      <c r="AJ39" s="13">
        <f t="shared" ca="1" si="22"/>
        <v>81.818359728752057</v>
      </c>
      <c r="AK39" s="11">
        <f t="shared" ca="1" si="23"/>
        <v>4874.7576242091809</v>
      </c>
      <c r="AL39" s="6">
        <f t="shared" si="50"/>
        <v>200</v>
      </c>
      <c r="AM39" s="41">
        <f t="shared" ca="1" si="24"/>
        <v>2.4444391291031633</v>
      </c>
      <c r="AN39" s="41">
        <f t="shared" ca="1" si="25"/>
        <v>2.2573329638570234</v>
      </c>
      <c r="AO39" s="41">
        <f t="shared" ca="1" si="26"/>
        <v>0.21299132397334974</v>
      </c>
      <c r="AP39" s="67">
        <f t="shared" si="45"/>
        <v>0.80247740464225326</v>
      </c>
      <c r="AQ39" s="11">
        <f t="shared" si="27"/>
        <v>0.9888030007183759</v>
      </c>
      <c r="AR39" s="11">
        <f t="shared" si="28"/>
        <v>0.70932210180385169</v>
      </c>
      <c r="AS39" s="11">
        <f t="shared" si="29"/>
        <v>0.7173543175824928</v>
      </c>
      <c r="AT39" s="11">
        <f t="shared" si="30"/>
        <v>512.86245238259994</v>
      </c>
      <c r="AU39" s="11">
        <f t="shared" si="31"/>
        <v>1501.0816182793469</v>
      </c>
      <c r="AV39" s="11">
        <f t="shared" si="32"/>
        <v>1.705079477461827E-3</v>
      </c>
      <c r="AW39" s="11">
        <f t="shared" si="33"/>
        <v>3.7046278297177631E-7</v>
      </c>
      <c r="AX39" s="41">
        <f t="shared" ca="1" si="34"/>
        <v>2.0367555320780526</v>
      </c>
      <c r="AY39" s="41">
        <f t="shared" ca="1" si="35"/>
        <v>2.743550167050834</v>
      </c>
      <c r="AZ39" s="41">
        <f t="shared" si="36"/>
        <v>0.33491846349811122</v>
      </c>
      <c r="BA39" s="167">
        <f t="shared" si="46"/>
        <v>0.51647245168264089</v>
      </c>
      <c r="BB39" s="156">
        <f t="shared" si="47"/>
        <v>0.15572434801808299</v>
      </c>
    </row>
    <row r="40" spans="1:55" ht="14.5">
      <c r="A40" s="41">
        <f t="shared" ca="1" si="37"/>
        <v>58.050862318674632</v>
      </c>
      <c r="B40" s="41">
        <f t="shared" ref="B40:C43" ca="1" si="51">A40/60</f>
        <v>0.96751437197791057</v>
      </c>
      <c r="C40" s="41">
        <f t="shared" ca="1" si="51"/>
        <v>1.6125239532965175E-2</v>
      </c>
      <c r="D40" s="41">
        <f t="shared" ca="1" si="39"/>
        <v>17064.57307565201</v>
      </c>
      <c r="E40" s="41">
        <f t="shared" ca="1" si="40"/>
        <v>3.1740296478926155</v>
      </c>
      <c r="F40" s="41">
        <f t="shared" ca="1" si="41"/>
        <v>3.1740296478926155</v>
      </c>
      <c r="G40" s="41"/>
      <c r="H40" s="7">
        <f t="shared" si="42"/>
        <v>9400</v>
      </c>
      <c r="I40" s="6">
        <v>15</v>
      </c>
      <c r="J40" s="41">
        <f t="shared" si="1"/>
        <v>0.50255183941162562</v>
      </c>
      <c r="K40" s="41">
        <f t="shared" si="2"/>
        <v>557.53551930625326</v>
      </c>
      <c r="L40" s="6">
        <f t="shared" si="48"/>
        <v>281.375</v>
      </c>
      <c r="M40" s="41">
        <f t="shared" si="3"/>
        <v>330.33087462064617</v>
      </c>
      <c r="N40" s="41">
        <f t="shared" si="4"/>
        <v>263.33634486635725</v>
      </c>
      <c r="O40" s="41">
        <f t="shared" si="5"/>
        <v>2552670.2735938476</v>
      </c>
      <c r="P40" s="41">
        <f t="shared" si="6"/>
        <v>16389936.877456477</v>
      </c>
      <c r="Q40" s="41">
        <f t="shared" si="7"/>
        <v>2.7148328437529398E-3</v>
      </c>
      <c r="R40" s="41">
        <f t="shared" si="43"/>
        <v>2.1505193907837325E-2</v>
      </c>
      <c r="S40" s="24">
        <f t="shared" ca="1" si="44"/>
        <v>8.4625597009440447</v>
      </c>
      <c r="T40" s="10">
        <f t="shared" ca="1" si="8"/>
        <v>8.4625597009440447</v>
      </c>
      <c r="U40" s="41">
        <f t="shared" ca="1" si="9"/>
        <v>0.27867779404355264</v>
      </c>
      <c r="V40" s="41">
        <f t="shared" ca="1" si="10"/>
        <v>2.6410027968918368E-2</v>
      </c>
      <c r="W40" s="41">
        <f t="shared" ca="1" si="11"/>
        <v>10.551968910124785</v>
      </c>
      <c r="X40" s="20">
        <f t="shared" ca="1" si="12"/>
        <v>1599.5856536252425</v>
      </c>
      <c r="Y40" s="41">
        <f t="shared" si="13"/>
        <v>0.58352824982362594</v>
      </c>
      <c r="Z40" s="41">
        <f t="shared" ca="1" si="14"/>
        <v>189.98447002240658</v>
      </c>
      <c r="AA40" s="14">
        <f t="shared" ca="1" si="15"/>
        <v>1617.1932670573237</v>
      </c>
      <c r="AB40" s="14">
        <f t="shared" si="49"/>
        <v>4110.8611409563209</v>
      </c>
      <c r="AC40" s="25">
        <f t="shared" ca="1" si="16"/>
        <v>901642.68796738132</v>
      </c>
      <c r="AD40" s="41">
        <f t="shared" si="17"/>
        <v>2291951.1010189792</v>
      </c>
      <c r="AE40" s="6">
        <v>100</v>
      </c>
      <c r="AF40" s="41">
        <f t="shared" si="18"/>
        <v>4110.8611409563209</v>
      </c>
      <c r="AG40" s="41">
        <f t="shared" ca="1" si="19"/>
        <v>2493.6678738989972</v>
      </c>
      <c r="AH40" s="41">
        <f t="shared" ca="1" si="20"/>
        <v>1390308.4130515978</v>
      </c>
      <c r="AI40" s="41">
        <f t="shared" si="21"/>
        <v>3312.3439596672101</v>
      </c>
      <c r="AJ40" s="13">
        <f t="shared" ca="1" si="22"/>
        <v>82.048655817116042</v>
      </c>
      <c r="AK40" s="11">
        <f t="shared" ca="1" si="23"/>
        <v>4888.4026815835587</v>
      </c>
      <c r="AL40" s="6">
        <f t="shared" si="50"/>
        <v>200</v>
      </c>
      <c r="AM40" s="41">
        <f t="shared" ca="1" si="24"/>
        <v>2.4375780201176473</v>
      </c>
      <c r="AN40" s="41">
        <f t="shared" ca="1" si="25"/>
        <v>2.2428046753206239</v>
      </c>
      <c r="AO40" s="41">
        <f t="shared" ca="1" si="26"/>
        <v>0.2212334375286345</v>
      </c>
      <c r="AP40" s="67">
        <f t="shared" si="45"/>
        <v>0.80575428020822193</v>
      </c>
      <c r="AQ40" s="11">
        <f t="shared" si="27"/>
        <v>0.98742793071837587</v>
      </c>
      <c r="AR40" s="11">
        <f t="shared" si="28"/>
        <v>0.70386636890560939</v>
      </c>
      <c r="AS40" s="11">
        <f t="shared" si="29"/>
        <v>0.71282809307766981</v>
      </c>
      <c r="AT40" s="11">
        <f t="shared" si="30"/>
        <v>512.14924482569995</v>
      </c>
      <c r="AU40" s="11">
        <f t="shared" si="31"/>
        <v>1489.5360872054287</v>
      </c>
      <c r="AV40" s="11">
        <f t="shared" si="32"/>
        <v>1.6943210944363133E-3</v>
      </c>
      <c r="AW40" s="11">
        <f t="shared" si="33"/>
        <v>3.7006118691864808E-7</v>
      </c>
      <c r="AX40" s="41">
        <f t="shared" ca="1" si="34"/>
        <v>2.1748788660677403</v>
      </c>
      <c r="AY40" s="41">
        <f t="shared" ca="1" si="35"/>
        <v>2.9296050421071418</v>
      </c>
      <c r="AZ40" s="41">
        <f t="shared" si="36"/>
        <v>0.34663358814966105</v>
      </c>
      <c r="BA40" s="167">
        <f t="shared" si="46"/>
        <v>0.52156819259557974</v>
      </c>
      <c r="BB40" s="156">
        <f t="shared" si="47"/>
        <v>0.13394534925231483</v>
      </c>
    </row>
    <row r="41" spans="1:55" ht="14.5">
      <c r="A41" s="66">
        <f t="shared" ca="1" si="37"/>
        <v>60.48844033879228</v>
      </c>
      <c r="B41" s="41">
        <f t="shared" ca="1" si="51"/>
        <v>1.0081406723132047</v>
      </c>
      <c r="C41" s="41">
        <f t="shared" ca="1" si="51"/>
        <v>1.6802344538553411E-2</v>
      </c>
      <c r="D41" s="41">
        <f t="shared" ca="1" si="39"/>
        <v>17062.33027097669</v>
      </c>
      <c r="E41" s="41">
        <f t="shared" ca="1" si="40"/>
        <v>3.39526308542125</v>
      </c>
      <c r="F41" s="41">
        <f t="shared" ca="1" si="41"/>
        <v>3.39526308542125</v>
      </c>
      <c r="G41" s="41"/>
      <c r="H41" s="7">
        <f t="shared" si="42"/>
        <v>9600</v>
      </c>
      <c r="I41" s="6">
        <v>15</v>
      </c>
      <c r="J41" s="41">
        <f t="shared" si="1"/>
        <v>0.52265175721235246</v>
      </c>
      <c r="K41" s="41">
        <f t="shared" si="2"/>
        <v>579.43067548980127</v>
      </c>
      <c r="L41" s="6">
        <f t="shared" si="48"/>
        <v>291.75</v>
      </c>
      <c r="M41" s="41">
        <f t="shared" si="3"/>
        <v>343.3034043368994</v>
      </c>
      <c r="N41" s="41">
        <f t="shared" si="4"/>
        <v>282.6283275454042</v>
      </c>
      <c r="O41" s="41">
        <f t="shared" si="5"/>
        <v>2639019.1221148041</v>
      </c>
      <c r="P41" s="41">
        <f t="shared" si="6"/>
        <v>16944357.160929684</v>
      </c>
      <c r="Q41" s="41">
        <f t="shared" si="7"/>
        <v>2.6958416374205508E-3</v>
      </c>
      <c r="R41" s="41">
        <f t="shared" si="43"/>
        <v>2.1389734297209324E-2</v>
      </c>
      <c r="S41" s="24">
        <f t="shared" ca="1" si="44"/>
        <v>8.1253249492563668</v>
      </c>
      <c r="T41" s="10">
        <f t="shared" ca="1" si="8"/>
        <v>8.1253249492563668</v>
      </c>
      <c r="U41" s="41">
        <f t="shared" ca="1" si="9"/>
        <v>0.25984420103952488</v>
      </c>
      <c r="V41" s="41">
        <f t="shared" ca="1" si="10"/>
        <v>2.5654013664428571E-2</v>
      </c>
      <c r="W41" s="41">
        <f t="shared" ca="1" si="11"/>
        <v>10.128793273382422</v>
      </c>
      <c r="X41" s="20">
        <f t="shared" ca="1" si="12"/>
        <v>1667.6267246650104</v>
      </c>
      <c r="Y41" s="41">
        <f t="shared" si="13"/>
        <v>0.58195968411649124</v>
      </c>
      <c r="Z41" s="41">
        <f t="shared" ca="1" si="14"/>
        <v>190.65683403370971</v>
      </c>
      <c r="AA41" s="14">
        <f t="shared" ca="1" si="15"/>
        <v>1684.5373195457541</v>
      </c>
      <c r="AB41" s="14">
        <f t="shared" si="49"/>
        <v>4079.1962206845465</v>
      </c>
      <c r="AC41" s="25">
        <f t="shared" ca="1" si="16"/>
        <v>976072.59695217549</v>
      </c>
      <c r="AD41" s="41">
        <f t="shared" si="17"/>
        <v>2363611.4216066911</v>
      </c>
      <c r="AE41" s="6">
        <v>100</v>
      </c>
      <c r="AF41" s="41">
        <f t="shared" si="18"/>
        <v>4079.1962206845465</v>
      </c>
      <c r="AG41" s="41">
        <f t="shared" ca="1" si="19"/>
        <v>2394.6589011387923</v>
      </c>
      <c r="AH41" s="41">
        <f t="shared" ca="1" si="20"/>
        <v>1387538.8246545156</v>
      </c>
      <c r="AI41" s="41">
        <f t="shared" si="21"/>
        <v>3300.0010481196973</v>
      </c>
      <c r="AJ41" s="13">
        <f t="shared" ca="1" si="22"/>
        <v>81.896043499175121</v>
      </c>
      <c r="AK41" s="11">
        <f t="shared" ca="1" si="23"/>
        <v>4879.305942218487</v>
      </c>
      <c r="AL41" s="6">
        <f t="shared" si="50"/>
        <v>200</v>
      </c>
      <c r="AM41" s="41">
        <f t="shared" ca="1" si="24"/>
        <v>2.4421204182106115</v>
      </c>
      <c r="AN41" s="41">
        <f t="shared" ca="1" si="25"/>
        <v>2.2386110943693143</v>
      </c>
      <c r="AO41" s="41">
        <f t="shared" ca="1" si="26"/>
        <v>0.23054775284362014</v>
      </c>
      <c r="AP41" s="67">
        <f t="shared" si="45"/>
        <v>0.80898315981620295</v>
      </c>
      <c r="AQ41" s="11">
        <f t="shared" si="27"/>
        <v>0.98605286071837595</v>
      </c>
      <c r="AR41" s="11">
        <f t="shared" si="28"/>
        <v>0.69844466486619861</v>
      </c>
      <c r="AS41" s="11">
        <f t="shared" si="29"/>
        <v>0.70832375493272826</v>
      </c>
      <c r="AT41" s="11">
        <f t="shared" si="30"/>
        <v>511.43603726880002</v>
      </c>
      <c r="AU41" s="11">
        <f t="shared" si="31"/>
        <v>1478.0625686831468</v>
      </c>
      <c r="AV41" s="11">
        <f t="shared" si="32"/>
        <v>1.6836147330996018E-3</v>
      </c>
      <c r="AW41" s="11">
        <f t="shared" si="33"/>
        <v>3.6965932299979949E-7</v>
      </c>
      <c r="AX41" s="41">
        <f t="shared" ca="1" si="34"/>
        <v>2.3185655523201154</v>
      </c>
      <c r="AY41" s="41">
        <f t="shared" ca="1" si="35"/>
        <v>3.123153863191467</v>
      </c>
      <c r="AZ41" s="41">
        <f t="shared" si="36"/>
        <v>0.35820863888612092</v>
      </c>
      <c r="BA41" s="167">
        <f t="shared" si="46"/>
        <v>0.5265597889465754</v>
      </c>
      <c r="BB41" s="156">
        <f t="shared" si="47"/>
        <v>0.11694449517530359</v>
      </c>
    </row>
    <row r="42" spans="1:55" ht="14.5">
      <c r="A42" s="66">
        <f t="shared" ca="1" si="37"/>
        <v>62.930560757002894</v>
      </c>
      <c r="B42" s="41">
        <f t="shared" ca="1" si="51"/>
        <v>1.0488426792833816</v>
      </c>
      <c r="C42" s="41">
        <f t="shared" ca="1" si="51"/>
        <v>1.7480711321389692E-2</v>
      </c>
      <c r="D42" s="41">
        <f t="shared" ca="1" si="39"/>
        <v>17060.091659882321</v>
      </c>
      <c r="E42" s="41">
        <f t="shared" ca="1" si="40"/>
        <v>3.6258108382648699</v>
      </c>
      <c r="F42" s="41">
        <f t="shared" ca="1" si="41"/>
        <v>3.6258108382648699</v>
      </c>
      <c r="G42" s="41"/>
      <c r="H42" s="7">
        <f t="shared" si="42"/>
        <v>9800</v>
      </c>
      <c r="I42" s="6">
        <v>15</v>
      </c>
      <c r="J42" s="41">
        <f t="shared" si="1"/>
        <v>0.54284445501706435</v>
      </c>
      <c r="K42" s="41">
        <f t="shared" si="2"/>
        <v>601.3972627199887</v>
      </c>
      <c r="L42" s="6">
        <f t="shared" si="48"/>
        <v>302.125</v>
      </c>
      <c r="M42" s="41">
        <f t="shared" si="3"/>
        <v>356.31825580538981</v>
      </c>
      <c r="N42" s="41">
        <f t="shared" si="4"/>
        <v>302.53701145727723</v>
      </c>
      <c r="O42" s="41">
        <f t="shared" si="5"/>
        <v>2724696.2858695691</v>
      </c>
      <c r="P42" s="41">
        <f t="shared" si="6"/>
        <v>17494464.756221689</v>
      </c>
      <c r="Q42" s="41">
        <f t="shared" si="7"/>
        <v>2.6773522974218263E-3</v>
      </c>
      <c r="R42" s="41">
        <f t="shared" si="43"/>
        <v>2.1277325850918013E-2</v>
      </c>
      <c r="S42" s="24">
        <f t="shared" ca="1" si="44"/>
        <v>7.774667626612251</v>
      </c>
      <c r="T42" s="10">
        <f t="shared" ca="1" si="8"/>
        <v>7.774667626612251</v>
      </c>
      <c r="U42" s="41">
        <f t="shared" ca="1" si="9"/>
        <v>0.24292063390064897</v>
      </c>
      <c r="V42" s="41">
        <f t="shared" ca="1" si="10"/>
        <v>2.5004231535335597E-2</v>
      </c>
      <c r="W42" s="41">
        <f t="shared" ca="1" si="11"/>
        <v>9.7151809507665625</v>
      </c>
      <c r="X42" s="20">
        <f t="shared" ca="1" si="12"/>
        <v>1739.8822609718345</v>
      </c>
      <c r="Y42" s="41">
        <f t="shared" si="13"/>
        <v>0.58042849734455004</v>
      </c>
      <c r="Z42" s="41">
        <f t="shared" ca="1" si="14"/>
        <v>191.33218408858286</v>
      </c>
      <c r="AA42" s="14">
        <f t="shared" ca="1" si="15"/>
        <v>1756.0240767863638</v>
      </c>
      <c r="AB42" s="14">
        <f t="shared" si="49"/>
        <v>4047.7290928136481</v>
      </c>
      <c r="AC42" s="25">
        <f t="shared" ca="1" si="16"/>
        <v>1056068.0730497146</v>
      </c>
      <c r="AD42" s="41">
        <f t="shared" si="17"/>
        <v>2434293.1966501912</v>
      </c>
      <c r="AE42" s="6">
        <v>100</v>
      </c>
      <c r="AF42" s="41">
        <f t="shared" si="18"/>
        <v>4047.7290928136481</v>
      </c>
      <c r="AG42" s="41">
        <f t="shared" ca="1" si="19"/>
        <v>2291.7050160272843</v>
      </c>
      <c r="AH42" s="41">
        <f t="shared" ca="1" si="20"/>
        <v>1378225.1236004767</v>
      </c>
      <c r="AI42" s="41">
        <f t="shared" si="21"/>
        <v>3287.4165855090118</v>
      </c>
      <c r="AJ42" s="13">
        <f t="shared" ca="1" si="22"/>
        <v>81.355528159937123</v>
      </c>
      <c r="AK42" s="11">
        <f t="shared" ca="1" si="23"/>
        <v>4847.1901010055308</v>
      </c>
      <c r="AL42" s="6">
        <f t="shared" si="50"/>
        <v>200</v>
      </c>
      <c r="AM42" s="41">
        <f t="shared" ca="1" si="24"/>
        <v>2.4583455423805902</v>
      </c>
      <c r="AN42" s="41">
        <f t="shared" ca="1" si="25"/>
        <v>2.2448905302594722</v>
      </c>
      <c r="AO42" s="41">
        <f t="shared" ca="1" si="26"/>
        <v>0.24108372541165529</v>
      </c>
      <c r="AP42" s="67">
        <f t="shared" si="45"/>
        <v>0.81216319326940689</v>
      </c>
      <c r="AQ42" s="11">
        <f t="shared" si="27"/>
        <v>0.98467779071837591</v>
      </c>
      <c r="AR42" s="11">
        <f t="shared" si="28"/>
        <v>0.69305682706897609</v>
      </c>
      <c r="AS42" s="11">
        <f t="shared" si="29"/>
        <v>0.70384122969134244</v>
      </c>
      <c r="AT42" s="11">
        <f t="shared" si="30"/>
        <v>510.72282971189998</v>
      </c>
      <c r="AU42" s="11">
        <f t="shared" si="31"/>
        <v>1466.6607185799085</v>
      </c>
      <c r="AV42" s="11">
        <f t="shared" si="32"/>
        <v>1.6729602188533517E-3</v>
      </c>
      <c r="AW42" s="11">
        <f t="shared" si="33"/>
        <v>3.692571907832819E-7</v>
      </c>
      <c r="AX42" s="41">
        <f t="shared" ca="1" si="34"/>
        <v>2.4676216309504024</v>
      </c>
      <c r="AY42" s="41">
        <f t="shared" ca="1" si="35"/>
        <v>3.3239353624855092</v>
      </c>
      <c r="AZ42" s="41">
        <f t="shared" si="36"/>
        <v>0.36963941051978411</v>
      </c>
      <c r="BA42" s="167">
        <f t="shared" si="46"/>
        <v>0.53145237319609429</v>
      </c>
      <c r="BB42" s="156">
        <f t="shared" si="47"/>
        <v>0.10422082879227901</v>
      </c>
    </row>
    <row r="43" spans="1:55" ht="14.5">
      <c r="A43" s="66">
        <f t="shared" ca="1" si="37"/>
        <v>65.388906299383478</v>
      </c>
      <c r="B43" s="41">
        <f t="shared" ca="1" si="51"/>
        <v>1.0898151049897247</v>
      </c>
      <c r="C43" s="41">
        <f t="shared" ca="1" si="51"/>
        <v>1.8163585083162077E-2</v>
      </c>
      <c r="D43" s="41">
        <f t="shared" ca="1" si="39"/>
        <v>17057.846769352062</v>
      </c>
      <c r="E43" s="41">
        <f t="shared" ca="1" si="40"/>
        <v>3.8668945636765253</v>
      </c>
      <c r="F43" s="41">
        <f t="shared" ca="1" si="41"/>
        <v>3.8668945636765253</v>
      </c>
      <c r="G43" s="41"/>
      <c r="H43" s="7">
        <f t="shared" si="42"/>
        <v>10000</v>
      </c>
      <c r="I43" s="6">
        <v>15</v>
      </c>
      <c r="J43" s="41">
        <f t="shared" si="1"/>
        <v>0.56312736305628042</v>
      </c>
      <c r="K43" s="41">
        <f t="shared" si="2"/>
        <v>623.43218751213556</v>
      </c>
      <c r="L43" s="6">
        <f t="shared" si="48"/>
        <v>312.5</v>
      </c>
      <c r="M43" s="41">
        <f t="shared" si="3"/>
        <v>369.37359618594013</v>
      </c>
      <c r="N43" s="41">
        <f t="shared" si="4"/>
        <v>323.0523029359008</v>
      </c>
      <c r="O43" s="41">
        <f t="shared" si="5"/>
        <v>2809688.5950590433</v>
      </c>
      <c r="P43" s="41">
        <f t="shared" si="6"/>
        <v>18040175.103968069</v>
      </c>
      <c r="Q43" s="41">
        <f t="shared" si="7"/>
        <v>2.6593181686088391E-3</v>
      </c>
      <c r="R43" s="41">
        <f t="shared" si="43"/>
        <v>2.1167684922673683E-2</v>
      </c>
      <c r="S43" s="24">
        <f t="shared" ca="1" si="44"/>
        <v>7.4117615043623069</v>
      </c>
      <c r="T43" s="10">
        <f t="shared" ca="1" si="8"/>
        <v>7.4117615043623069</v>
      </c>
      <c r="U43" s="41">
        <f t="shared" ca="1" si="9"/>
        <v>0.2276562761817863</v>
      </c>
      <c r="V43" s="41">
        <f t="shared" ca="1" si="10"/>
        <v>2.4440932433794114E-2</v>
      </c>
      <c r="W43" s="41">
        <f t="shared" ca="1" si="11"/>
        <v>9.3145495491411516</v>
      </c>
      <c r="X43" s="20">
        <f t="shared" ca="1" si="12"/>
        <v>1816.0108869867261</v>
      </c>
      <c r="Y43" s="41">
        <f t="shared" si="13"/>
        <v>0.5789311072750698</v>
      </c>
      <c r="Z43" s="41">
        <f t="shared" ca="1" si="14"/>
        <v>192.00980826717003</v>
      </c>
      <c r="AA43" s="14">
        <f t="shared" ca="1" si="15"/>
        <v>1831.3120435249475</v>
      </c>
      <c r="AB43" s="14">
        <f t="shared" si="49"/>
        <v>4016.4588107467653</v>
      </c>
      <c r="AC43" s="25">
        <f t="shared" ca="1" si="16"/>
        <v>1141698.8733120773</v>
      </c>
      <c r="AD43" s="41">
        <f t="shared" si="17"/>
        <v>2503989.7024362464</v>
      </c>
      <c r="AE43" s="6">
        <v>100</v>
      </c>
      <c r="AF43" s="41">
        <f t="shared" si="18"/>
        <v>4016.4588107467653</v>
      </c>
      <c r="AG43" s="41">
        <f t="shared" ca="1" si="19"/>
        <v>2185.1467672218178</v>
      </c>
      <c r="AH43" s="41">
        <f t="shared" ca="1" si="20"/>
        <v>1362290.8291241692</v>
      </c>
      <c r="AI43" s="41">
        <f t="shared" si="21"/>
        <v>3274.5929811353408</v>
      </c>
      <c r="AJ43" s="13">
        <f t="shared" ca="1" si="22"/>
        <v>80.422229204276448</v>
      </c>
      <c r="AK43" s="11">
        <f t="shared" ca="1" si="23"/>
        <v>4791.7800442614089</v>
      </c>
      <c r="AL43" s="6">
        <v>0</v>
      </c>
      <c r="AM43" s="41">
        <f t="shared" ca="1" si="24"/>
        <v>0</v>
      </c>
      <c r="AN43" s="41">
        <f t="shared" ca="1" si="25"/>
        <v>0</v>
      </c>
      <c r="AO43" s="41">
        <f t="shared" ca="1" si="26"/>
        <v>0</v>
      </c>
      <c r="AP43" s="67">
        <f t="shared" si="45"/>
        <v>0.81529355470385312</v>
      </c>
      <c r="AQ43" s="11">
        <f t="shared" si="27"/>
        <v>0.98330272071837588</v>
      </c>
      <c r="AR43" s="11">
        <f t="shared" si="28"/>
        <v>0.68770269343653956</v>
      </c>
      <c r="AS43" s="11">
        <f t="shared" si="29"/>
        <v>0.69938044403469313</v>
      </c>
      <c r="AT43" s="11">
        <f t="shared" si="30"/>
        <v>510.00962215499999</v>
      </c>
      <c r="AU43" s="11">
        <f t="shared" si="31"/>
        <v>1455.3301939042735</v>
      </c>
      <c r="AV43" s="11">
        <f t="shared" si="32"/>
        <v>1.6623573774260621E-3</v>
      </c>
      <c r="AW43" s="11">
        <f t="shared" si="33"/>
        <v>3.6885478983619832E-7</v>
      </c>
      <c r="AX43" s="41">
        <f t="shared" ca="1" si="34"/>
        <v>2.6218758799403004</v>
      </c>
      <c r="AY43" s="41">
        <f t="shared" ca="1" si="35"/>
        <v>3.5317189005288552</v>
      </c>
      <c r="AZ43" s="41">
        <f t="shared" si="36"/>
        <v>0.38092175475491041</v>
      </c>
      <c r="BA43" s="167">
        <f>2.12 - (0.00251*AF43) + (1.94*10^(-6)*AF43^2) - (7.84*10^(-10)*AF43^3) + (1.7*10^(-13)*AF43^4) - (1.89*10^(-17)*AF43^5) + (8.37*10^(-22)*AF43^6)</f>
        <v>0.53625077120483677</v>
      </c>
      <c r="BB43" s="156">
        <f t="shared" si="47"/>
        <v>9.5313570140334036E-2</v>
      </c>
    </row>
    <row r="44" spans="1:55" ht="14.5">
      <c r="B44" s="135">
        <f ca="1">B43-B23</f>
        <v>1.0898151049897247</v>
      </c>
      <c r="C44" s="135"/>
      <c r="X44" s="32">
        <f ca="1">AVERAGE(X23:X43)</f>
        <v>1532.6971609628145</v>
      </c>
      <c r="AC44" s="3"/>
      <c r="AD44" s="3"/>
      <c r="AN44" s="32">
        <f ca="1">SUM(AN23:AN43)</f>
        <v>63.065040767498914</v>
      </c>
      <c r="AP44" s="145"/>
    </row>
    <row r="45" spans="1:55" s="89" customFormat="1" ht="14.5">
      <c r="A45" s="123" t="s">
        <v>237</v>
      </c>
      <c r="B45" s="81" t="s">
        <v>120</v>
      </c>
      <c r="C45" s="81">
        <v>100</v>
      </c>
      <c r="D45" s="81" t="s">
        <v>49</v>
      </c>
      <c r="E45" s="82"/>
      <c r="F45" s="82"/>
      <c r="G45" s="82"/>
      <c r="H45" s="82"/>
      <c r="I45" s="83"/>
      <c r="J45" s="82"/>
      <c r="K45" s="82"/>
      <c r="L45" s="84" t="s">
        <v>60</v>
      </c>
      <c r="M45" s="82"/>
      <c r="N45" s="82"/>
      <c r="O45" s="82"/>
      <c r="P45" s="82"/>
      <c r="Q45" s="81"/>
      <c r="R45" s="82"/>
      <c r="S45" s="85"/>
      <c r="T45" s="86"/>
      <c r="U45" s="81"/>
      <c r="V45" s="81"/>
      <c r="W45" s="81"/>
      <c r="X45" s="81"/>
      <c r="Y45" s="82"/>
      <c r="Z45" s="82"/>
      <c r="AA45" s="87"/>
      <c r="AB45" s="87"/>
      <c r="AC45" s="82"/>
      <c r="AD45" s="82"/>
      <c r="AE45" s="83"/>
      <c r="AF45" s="81"/>
      <c r="AG45" s="82"/>
      <c r="AH45" s="82"/>
      <c r="AI45" s="82"/>
      <c r="AJ45" s="81" t="s">
        <v>61</v>
      </c>
      <c r="AK45" s="88"/>
      <c r="AL45" s="83"/>
      <c r="AM45" s="82"/>
      <c r="AN45" s="82"/>
      <c r="AO45" s="83"/>
      <c r="AP45" s="53"/>
      <c r="AQ45" s="88"/>
      <c r="AR45" s="88"/>
      <c r="AS45" s="88"/>
      <c r="AT45" s="88"/>
      <c r="AU45" s="88"/>
      <c r="AV45" s="88"/>
      <c r="AW45" s="88"/>
      <c r="AX45" s="82"/>
      <c r="AY45" s="82"/>
      <c r="AZ45" s="82"/>
    </row>
    <row r="46" spans="1:55" ht="14.5">
      <c r="A46" s="41" t="s">
        <v>2</v>
      </c>
      <c r="B46" s="41" t="s">
        <v>2</v>
      </c>
      <c r="C46" s="41" t="s">
        <v>2</v>
      </c>
      <c r="D46" s="41" t="s">
        <v>23</v>
      </c>
      <c r="E46" s="41" t="s">
        <v>24</v>
      </c>
      <c r="F46" s="41" t="s">
        <v>25</v>
      </c>
      <c r="G46" s="41"/>
      <c r="H46" s="41" t="s">
        <v>0</v>
      </c>
      <c r="I46" s="5" t="s">
        <v>26</v>
      </c>
      <c r="J46" s="41" t="s">
        <v>27</v>
      </c>
      <c r="K46" s="41" t="s">
        <v>28</v>
      </c>
      <c r="L46" s="12" t="s">
        <v>29</v>
      </c>
      <c r="M46" s="13" t="s">
        <v>30</v>
      </c>
      <c r="N46" s="41" t="s">
        <v>31</v>
      </c>
      <c r="O46" s="41" t="s">
        <v>32</v>
      </c>
      <c r="P46" s="41" t="s">
        <v>33</v>
      </c>
      <c r="Q46" s="41" t="s">
        <v>34</v>
      </c>
      <c r="R46" s="41" t="s">
        <v>13</v>
      </c>
      <c r="S46" s="24" t="s">
        <v>35</v>
      </c>
      <c r="T46" s="10" t="s">
        <v>35</v>
      </c>
      <c r="U46" s="41" t="s">
        <v>36</v>
      </c>
      <c r="V46" s="41" t="s">
        <v>37</v>
      </c>
      <c r="W46" s="41" t="s">
        <v>38</v>
      </c>
      <c r="X46" s="41" t="s">
        <v>39</v>
      </c>
      <c r="Y46" s="41" t="s">
        <v>40</v>
      </c>
      <c r="Z46" s="35" t="s">
        <v>108</v>
      </c>
      <c r="AA46" s="35" t="s">
        <v>109</v>
      </c>
      <c r="AB46" s="9" t="s">
        <v>110</v>
      </c>
      <c r="AC46" s="7" t="s">
        <v>111</v>
      </c>
      <c r="AD46" s="7" t="s">
        <v>112</v>
      </c>
      <c r="AE46" s="5" t="s">
        <v>41</v>
      </c>
      <c r="AF46" s="7" t="s">
        <v>113</v>
      </c>
      <c r="AG46" s="7" t="s">
        <v>114</v>
      </c>
      <c r="AH46" s="7" t="s">
        <v>115</v>
      </c>
      <c r="AI46" s="41" t="s">
        <v>42</v>
      </c>
      <c r="AJ46" s="41" t="s">
        <v>43</v>
      </c>
      <c r="AK46" s="36"/>
      <c r="AL46" s="5" t="s">
        <v>44</v>
      </c>
      <c r="AM46" s="41" t="s">
        <v>45</v>
      </c>
      <c r="AN46" s="41" t="s">
        <v>46</v>
      </c>
      <c r="AO46" s="5" t="s">
        <v>47</v>
      </c>
      <c r="AP46" s="53" t="s">
        <v>85</v>
      </c>
      <c r="AQ46" s="15" t="s">
        <v>62</v>
      </c>
      <c r="AR46" s="16" t="s">
        <v>63</v>
      </c>
      <c r="AS46" s="16" t="s">
        <v>64</v>
      </c>
      <c r="AT46" s="17" t="s">
        <v>65</v>
      </c>
      <c r="AU46" s="18" t="s">
        <v>66</v>
      </c>
      <c r="AV46" s="18" t="s">
        <v>67</v>
      </c>
      <c r="AW46" s="19" t="s">
        <v>68</v>
      </c>
      <c r="AX46" s="7" t="s">
        <v>207</v>
      </c>
      <c r="AY46" s="7" t="s">
        <v>208</v>
      </c>
      <c r="AZ46" s="7" t="s">
        <v>209</v>
      </c>
    </row>
    <row r="47" spans="1:55" ht="14.5">
      <c r="A47" s="41" t="s">
        <v>18</v>
      </c>
      <c r="B47" s="41" t="s">
        <v>21</v>
      </c>
      <c r="C47" s="41" t="s">
        <v>48</v>
      </c>
      <c r="D47" s="41" t="s">
        <v>8</v>
      </c>
      <c r="E47" s="41" t="s">
        <v>49</v>
      </c>
      <c r="F47" s="41" t="s">
        <v>49</v>
      </c>
      <c r="G47" s="41"/>
      <c r="H47" s="41" t="s">
        <v>9</v>
      </c>
      <c r="I47" s="5" t="s">
        <v>50</v>
      </c>
      <c r="J47" s="41"/>
      <c r="K47" s="41" t="s">
        <v>51</v>
      </c>
      <c r="L47" s="5" t="s">
        <v>52</v>
      </c>
      <c r="M47" s="41" t="s">
        <v>52</v>
      </c>
      <c r="N47" s="41" t="s">
        <v>53</v>
      </c>
      <c r="O47" s="41" t="s">
        <v>54</v>
      </c>
      <c r="P47" s="41"/>
      <c r="Q47" s="41"/>
      <c r="R47" s="41"/>
      <c r="S47" s="24" t="s">
        <v>55</v>
      </c>
      <c r="T47" s="10" t="s">
        <v>55</v>
      </c>
      <c r="U47" s="41"/>
      <c r="V47" s="41"/>
      <c r="W47" s="41"/>
      <c r="X47" s="41"/>
      <c r="Y47" s="41"/>
      <c r="Z47" s="41"/>
      <c r="AA47" s="9" t="s">
        <v>118</v>
      </c>
      <c r="AB47" s="9" t="s">
        <v>118</v>
      </c>
      <c r="AC47" s="7" t="s">
        <v>119</v>
      </c>
      <c r="AD47" s="7" t="s">
        <v>119</v>
      </c>
      <c r="AE47" s="5" t="s">
        <v>20</v>
      </c>
      <c r="AF47" s="7" t="s">
        <v>118</v>
      </c>
      <c r="AG47" s="7" t="s">
        <v>118</v>
      </c>
      <c r="AH47" s="7" t="s">
        <v>119</v>
      </c>
      <c r="AI47" s="41" t="s">
        <v>56</v>
      </c>
      <c r="AJ47" s="41" t="s">
        <v>57</v>
      </c>
      <c r="AK47" s="11"/>
      <c r="AL47" s="5" t="s">
        <v>9</v>
      </c>
      <c r="AM47" s="41" t="s">
        <v>18</v>
      </c>
      <c r="AN47" s="41" t="s">
        <v>8</v>
      </c>
      <c r="AO47" s="5" t="s">
        <v>49</v>
      </c>
      <c r="AP47" s="53"/>
      <c r="AQ47" s="11"/>
      <c r="AR47" s="11"/>
      <c r="AS47" s="11"/>
      <c r="AT47" s="11"/>
      <c r="AU47" s="11"/>
      <c r="AV47" s="11"/>
      <c r="AW47" s="11"/>
      <c r="AX47" s="41"/>
      <c r="AY47" s="41"/>
      <c r="AZ47" s="41"/>
    </row>
    <row r="48" spans="1:55" ht="14.5">
      <c r="A48" s="41">
        <f ca="1">A43</f>
        <v>65.388906299383478</v>
      </c>
      <c r="B48" s="41">
        <f t="shared" ref="B48:C63" ca="1" si="52">A48/60</f>
        <v>1.0898151049897247</v>
      </c>
      <c r="C48" s="41">
        <f t="shared" ca="1" si="52"/>
        <v>1.8163585083162077E-2</v>
      </c>
      <c r="D48" s="41">
        <f t="shared" ref="D48:E48" ca="1" si="53">D43</f>
        <v>17057.846769352062</v>
      </c>
      <c r="E48" s="41">
        <f t="shared" ca="1" si="53"/>
        <v>3.8668945636765253</v>
      </c>
      <c r="F48" s="41">
        <v>0</v>
      </c>
      <c r="G48" s="41"/>
      <c r="H48" s="7">
        <v>10000</v>
      </c>
      <c r="I48" s="6">
        <v>15</v>
      </c>
      <c r="J48" s="41">
        <f t="shared" ref="J48:J68" si="54">SQRT((((((((L48^2)*(0.2))/(661.477)^2) + 1)^(3.5) - 1)*(1/AR48) + 1)^(1/3.5) - 1)*(5))</f>
        <v>0.56312736305628042</v>
      </c>
      <c r="K48" s="41">
        <f t="shared" ref="K48:K68" si="55">SQRT((1.4*2116.22*AR48*(J48)^2)/AV48)</f>
        <v>623.43218751213556</v>
      </c>
      <c r="L48" s="120">
        <v>312.5</v>
      </c>
      <c r="M48" s="41">
        <f t="shared" ref="M48:M68" si="56">K48*0.592484</f>
        <v>369.37359618594013</v>
      </c>
      <c r="N48" s="41">
        <f t="shared" ref="N48:N68" si="57">0.5*AV48*K48^2</f>
        <v>323.0523029359008</v>
      </c>
      <c r="O48" s="41">
        <f t="shared" ref="O48:O68" si="58">P48/$B$7</f>
        <v>2809688.5950590433</v>
      </c>
      <c r="P48" s="41">
        <f t="shared" ref="P48:P68" si="59">(AV48*K48*$B$7)/(AW48)</f>
        <v>18040175.103968069</v>
      </c>
      <c r="Q48" s="41">
        <f t="shared" ref="Q48:Q68" si="60">0.455/(LOG10(P48)^2.58 * (1+0.144*J48*J48)^0.65)</f>
        <v>2.6593181686088391E-3</v>
      </c>
      <c r="R48" s="41">
        <f t="shared" ref="R48:R68" si="61">(((Q48*$B$4)+$B$17)+(0.1*(Q48*$B$4)))</f>
        <v>2.1167684922673683E-2</v>
      </c>
      <c r="S48" s="24">
        <f ca="1">T48</f>
        <v>-7.6372781110223411E-16</v>
      </c>
      <c r="T48" s="10">
        <f t="shared" ref="T48:T68" ca="1" si="62">DEGREES(ASIN(((AF48-X48)/(D48))))</f>
        <v>-7.6372781110223411E-16</v>
      </c>
      <c r="U48" s="41">
        <f t="shared" ref="U48:U68" ca="1" si="63">(D48*COS(RADIANS(S48)))/(N48*$B$3)</f>
        <v>0.22957443886667309</v>
      </c>
      <c r="V48" s="41">
        <f t="shared" ref="V48:V68" ca="1" si="64">(X48)/(N48*$B$3)</f>
        <v>2.4496323589429211E-2</v>
      </c>
      <c r="W48" s="41">
        <f t="shared" ref="W48:W68" ca="1" si="65">U48/V48</f>
        <v>9.3717915681739417</v>
      </c>
      <c r="X48" s="20">
        <f t="shared" ref="X48:X68" ca="1" si="66">(N48*$B$3*R48)+((N48*$B$3)*((U48^2)/(PI()*$B$6*$B$5)))</f>
        <v>1820.126562276472</v>
      </c>
      <c r="Y48" s="41">
        <f t="shared" ref="Y48:Y68" si="67">SQRT(PI()*$B$6*$B$5*R48)</f>
        <v>0.5789311072750698</v>
      </c>
      <c r="Z48" s="41">
        <f t="shared" ref="Z48:Z68" ca="1" si="68">SQRT((2*((U48*N48*$B$3)/(D48))*D48)/(AV48*$B$3*$B$18))</f>
        <v>192.81701968699696</v>
      </c>
      <c r="AA48" s="14">
        <f t="shared" ref="AA48:AA68" ca="1" si="69">D48/W48</f>
        <v>1820.1265622764718</v>
      </c>
      <c r="AB48" s="14">
        <f>$B$15*AR48*0.93</f>
        <v>4016.4588107467653</v>
      </c>
      <c r="AC48" s="25">
        <f t="shared" ref="AC48:AC68" ca="1" si="70">AA48*K48</f>
        <v>1134725.484268964</v>
      </c>
      <c r="AD48" s="41">
        <f t="shared" ref="AD48:AD68" si="71">AB48*K48</f>
        <v>2503989.7024362464</v>
      </c>
      <c r="AE48" s="5">
        <f t="shared" ref="AE48:AE68" ca="1" si="72">(AA48/AB48)*100</f>
        <v>45.31669931249867</v>
      </c>
      <c r="AF48" s="7">
        <f t="shared" ref="AF48:AF68" ca="1" si="73">(AB48)*(AE48/100)</f>
        <v>1820.1265622764718</v>
      </c>
      <c r="AG48" s="41">
        <f t="shared" ref="AG48:AG68" ca="1" si="74">AB48-AA48</f>
        <v>2196.3322484702935</v>
      </c>
      <c r="AH48" s="41">
        <f t="shared" ref="AH48:AH68" ca="1" si="75">AD48-AC48</f>
        <v>1369264.2181672824</v>
      </c>
      <c r="AI48" s="41">
        <f t="shared" ref="AI48:AI68" ca="1" si="76">(AP48*AF48)</f>
        <v>1457.3968652910337</v>
      </c>
      <c r="AJ48" s="13">
        <f t="shared" ref="AJ48:AJ68" ca="1" si="77">K48*SIN(RADIANS(T48))</f>
        <v>-8.3100797996928503E-15</v>
      </c>
      <c r="AK48" s="11"/>
      <c r="AL48" s="6">
        <v>0</v>
      </c>
      <c r="AM48" s="41">
        <f t="shared" ref="AM48:AM68" si="78">(AO48/M48)*3600</f>
        <v>48.731149670316235</v>
      </c>
      <c r="AN48" s="41">
        <f t="shared" ref="AN48:AN68" ca="1" si="79">AI48*(AM48/3600)</f>
        <v>19.727951325429743</v>
      </c>
      <c r="AO48" s="6">
        <v>5</v>
      </c>
      <c r="AP48" s="67">
        <f>0.692 + 0.298*AZ48 + -0.0331*AZ48^2</f>
        <v>0.80071182713153521</v>
      </c>
      <c r="AQ48" s="11">
        <f t="shared" ref="AQ48:AQ68" si="80">IF(H48 &lt;= 36089, ((1 - 6.87535*10^(-6)*H48) + ((I48*1.8)/518.67)), 0.75187 + ((I48*1.8)/518.67))</f>
        <v>0.98330272071837588</v>
      </c>
      <c r="AR48" s="11">
        <f t="shared" ref="AR48:AR68" si="81">IF(H48 &lt;= 36089, (1 - 6.87535*10^(-6)*H48)^5.2561, 0.22336*EXP((36089 - H48)/(20806.7)))</f>
        <v>0.68770269343653956</v>
      </c>
      <c r="AS48" s="11">
        <f t="shared" ref="AS48:AS68" si="82">(AR48/AQ48)</f>
        <v>0.69938044403469313</v>
      </c>
      <c r="AT48" s="11">
        <f t="shared" ref="AT48:AT68" si="83">(518.67*AQ48)</f>
        <v>510.00962215499999</v>
      </c>
      <c r="AU48" s="11">
        <f t="shared" ref="AU48:AU68" si="84">2116.22*AR48</f>
        <v>1455.3301939042735</v>
      </c>
      <c r="AV48" s="11">
        <f t="shared" ref="AV48:AV68" si="85">(0.0023769*AS48)</f>
        <v>1.6623573774260621E-3</v>
      </c>
      <c r="AW48" s="11">
        <f t="shared" ref="AW48:AW68" si="86">((2.2697*10^-8)*(AT48^1.5))/(AT48+198.72)</f>
        <v>3.6885478983619832E-7</v>
      </c>
      <c r="AX48" s="41">
        <f t="shared" ref="AX48:AX68" ca="1" si="87">(1/U48)*(((1 + 0.2*(U48)^2)/1.2)^3)</f>
        <v>2.6013236971608182</v>
      </c>
      <c r="AY48" s="41">
        <f t="shared" ref="AY48:AY68" ca="1" si="88">($H$4/$H$3)*AX48</f>
        <v>3.5040347020033806</v>
      </c>
      <c r="AZ48" s="41">
        <f t="shared" ref="AZ48:AZ68" si="89">-6.6*10^(-3) + 0.825*J48 - 0.243*(J48^2)</f>
        <v>0.38092175475491041</v>
      </c>
      <c r="BA48" s="167">
        <f ca="1">2.12-0.00251*AF48+1.94*10^-6*AF48^2-7.84*10^-10*AF48^3+1.7*10^-13*AF48^4-1.89*10^-17*AF48^5+8.37*10^-22*AF48^6</f>
        <v>0.76969294886717099</v>
      </c>
      <c r="BB48" s="156">
        <f ca="1">2.18-0.00461*AF48+6.03*10^-6*AF48^2-4.1*10^-9*AF48^3+1.5*10^-12*AF48^4-2.81*10^-16*AF48^5+2.1*10^-20*AF48^6</f>
        <v>0.65633642695889083</v>
      </c>
      <c r="BC48" s="156">
        <f ca="1">1.75-5.02*10^-3*AF48+1.01*10^-5*AF48^2-1.09*10^-8*AF48^3+6.44*10^-12*AF48^4-1.99*10^-15*AF48^5+2.49*10^-19*AF48^6</f>
        <v>0.32820840324204781</v>
      </c>
    </row>
    <row r="49" spans="1:55" ht="14.5">
      <c r="A49" s="41">
        <f t="shared" ref="A49:A68" ca="1" si="90">A48+AM48</f>
        <v>114.12005596969971</v>
      </c>
      <c r="B49" s="41">
        <f t="shared" ca="1" si="52"/>
        <v>1.9020009328283285</v>
      </c>
      <c r="C49" s="41">
        <f t="shared" ca="1" si="52"/>
        <v>3.1700015547138811E-2</v>
      </c>
      <c r="D49" s="41">
        <f t="shared" ref="D49:D68" ca="1" si="91">D48-AN48</f>
        <v>17038.118818026633</v>
      </c>
      <c r="E49" s="41">
        <f t="shared" ref="E49:E68" ca="1" si="92">E48+AO48</f>
        <v>8.8668945636765244</v>
      </c>
      <c r="F49" s="7">
        <f t="shared" ref="F49:F68" si="93">F48+AO48</f>
        <v>5</v>
      </c>
      <c r="G49" s="41"/>
      <c r="H49" s="7">
        <f t="shared" ref="H49:H68" si="94">H48+AL48</f>
        <v>10000</v>
      </c>
      <c r="I49" s="6">
        <v>15</v>
      </c>
      <c r="J49" s="41">
        <f t="shared" si="54"/>
        <v>0.56312736305628042</v>
      </c>
      <c r="K49" s="41">
        <f t="shared" si="55"/>
        <v>623.43218751213556</v>
      </c>
      <c r="L49" s="6">
        <f t="shared" ref="L49:L68" si="95">L48</f>
        <v>312.5</v>
      </c>
      <c r="M49" s="41">
        <f t="shared" si="56"/>
        <v>369.37359618594013</v>
      </c>
      <c r="N49" s="41">
        <f t="shared" si="57"/>
        <v>323.0523029359008</v>
      </c>
      <c r="O49" s="41">
        <f t="shared" si="58"/>
        <v>2809688.5950590433</v>
      </c>
      <c r="P49" s="41">
        <f t="shared" si="59"/>
        <v>18040175.103968069</v>
      </c>
      <c r="Q49" s="41">
        <f t="shared" si="60"/>
        <v>2.6593181686088391E-3</v>
      </c>
      <c r="R49" s="41">
        <f t="shared" si="61"/>
        <v>2.1167684922673683E-2</v>
      </c>
      <c r="S49" s="24">
        <f t="shared" ref="S49:S68" ca="1" si="96">T49</f>
        <v>7.6461210972957792E-16</v>
      </c>
      <c r="T49" s="10">
        <f t="shared" ca="1" si="62"/>
        <v>-1.5292242194591558E-15</v>
      </c>
      <c r="U49" s="41">
        <f t="shared" ca="1" si="63"/>
        <v>0.22930892860522195</v>
      </c>
      <c r="V49" s="41">
        <f t="shared" ca="1" si="64"/>
        <v>2.4488628685218547E-2</v>
      </c>
      <c r="W49" s="41">
        <f t="shared" ca="1" si="65"/>
        <v>9.3638942201624342</v>
      </c>
      <c r="X49" s="20">
        <f t="shared" ca="1" si="66"/>
        <v>1819.5548152754629</v>
      </c>
      <c r="Y49" s="41">
        <f t="shared" si="67"/>
        <v>0.5789311072750698</v>
      </c>
      <c r="Z49" s="41">
        <f t="shared" ca="1" si="68"/>
        <v>192.70548787128959</v>
      </c>
      <c r="AA49" s="14">
        <f t="shared" ca="1" si="69"/>
        <v>1819.5548152754629</v>
      </c>
      <c r="AB49" s="14">
        <f t="shared" ref="AB49:AB68" si="97">$B$15*AR49*0.93</f>
        <v>4016.4588107467653</v>
      </c>
      <c r="AC49" s="25">
        <f t="shared" ca="1" si="70"/>
        <v>1134369.0387854215</v>
      </c>
      <c r="AD49" s="41">
        <f t="shared" si="71"/>
        <v>2503989.7024362464</v>
      </c>
      <c r="AE49" s="5">
        <f t="shared" ca="1" si="72"/>
        <v>45.30246421068513</v>
      </c>
      <c r="AF49" s="7">
        <f t="shared" ca="1" si="73"/>
        <v>1819.5548152754629</v>
      </c>
      <c r="AG49" s="41">
        <f t="shared" ca="1" si="74"/>
        <v>2196.9039954713026</v>
      </c>
      <c r="AH49" s="41">
        <f t="shared" ca="1" si="75"/>
        <v>1369620.6636508249</v>
      </c>
      <c r="AI49" s="41">
        <f t="shared" ca="1" si="76"/>
        <v>1456.9390607051989</v>
      </c>
      <c r="AJ49" s="13">
        <f t="shared" ca="1" si="77"/>
        <v>-1.6639403607664985E-14</v>
      </c>
      <c r="AK49" s="11"/>
      <c r="AL49" s="6">
        <v>0</v>
      </c>
      <c r="AM49" s="41">
        <f t="shared" si="78"/>
        <v>48.731149670316235</v>
      </c>
      <c r="AN49" s="41">
        <f t="shared" ca="1" si="79"/>
        <v>19.721754285487499</v>
      </c>
      <c r="AO49" s="6">
        <v>5</v>
      </c>
      <c r="AP49" s="67">
        <f t="shared" ref="AP49:AP68" si="98">0.692 + 0.298*AZ49 + -0.0331*AZ49^2</f>
        <v>0.80071182713153521</v>
      </c>
      <c r="AQ49" s="11">
        <f t="shared" si="80"/>
        <v>0.98330272071837588</v>
      </c>
      <c r="AR49" s="11">
        <f t="shared" si="81"/>
        <v>0.68770269343653956</v>
      </c>
      <c r="AS49" s="11">
        <f t="shared" si="82"/>
        <v>0.69938044403469313</v>
      </c>
      <c r="AT49" s="11">
        <f t="shared" si="83"/>
        <v>510.00962215499999</v>
      </c>
      <c r="AU49" s="11">
        <f t="shared" si="84"/>
        <v>1455.3301939042735</v>
      </c>
      <c r="AV49" s="11">
        <f t="shared" si="85"/>
        <v>1.6623573774260621E-3</v>
      </c>
      <c r="AW49" s="11">
        <f t="shared" si="86"/>
        <v>3.6885478983619832E-7</v>
      </c>
      <c r="AX49" s="41">
        <f t="shared" ca="1" si="87"/>
        <v>2.6041473014206682</v>
      </c>
      <c r="AY49" s="41">
        <f t="shared" ca="1" si="88"/>
        <v>3.5078381530394962</v>
      </c>
      <c r="AZ49" s="41">
        <f t="shared" si="89"/>
        <v>0.38092175475491041</v>
      </c>
      <c r="BA49" s="167">
        <f t="shared" ref="BA49:BA67" ca="1" si="99">2.12-0.00251*AF49+1.94*10^-6*AF49^2-7.84*10^-10*AF49^3+1.7*10^-13*AF49^4-1.89*10^-17*AF49^5+8.37*10^-22*AF49^6</f>
        <v>0.76973658408687451</v>
      </c>
      <c r="BB49" s="156">
        <f t="shared" ref="BB49:BB68" ca="1" si="100">2.18-0.00461*AF49+6.03*10^-6*AF49^2-4.1*10^-9*AF49^3+1.5*10^-12*AF49^4-2.81*10^-16*AF49^5+2.1*10^-20*AF49^6</f>
        <v>0.65641158683949385</v>
      </c>
      <c r="BC49" s="156">
        <f t="shared" ref="BC49:BC68" ca="1" si="101">1.75-5.02*10^-3*AF49+1.01*10^-5*AF49^2-1.09*10^-8*AF49^3+6.44*10^-12*AF49^4-1.99*10^-15*AF49^5+2.49*10^-19*AF49^6</f>
        <v>0.32855891072885512</v>
      </c>
    </row>
    <row r="50" spans="1:55" ht="14.5">
      <c r="A50" s="41">
        <f t="shared" ca="1" si="90"/>
        <v>162.85120564001593</v>
      </c>
      <c r="B50" s="41">
        <f t="shared" ca="1" si="52"/>
        <v>2.7141867606669323</v>
      </c>
      <c r="C50" s="41">
        <f t="shared" ca="1" si="52"/>
        <v>4.5236446011115539E-2</v>
      </c>
      <c r="D50" s="41">
        <f t="shared" ca="1" si="91"/>
        <v>17018.397063741144</v>
      </c>
      <c r="E50" s="41">
        <f t="shared" ca="1" si="92"/>
        <v>13.866894563676524</v>
      </c>
      <c r="F50" s="7">
        <f t="shared" si="93"/>
        <v>10</v>
      </c>
      <c r="G50" s="41"/>
      <c r="H50" s="7">
        <f t="shared" si="94"/>
        <v>10000</v>
      </c>
      <c r="I50" s="6">
        <v>15</v>
      </c>
      <c r="J50" s="41">
        <f t="shared" si="54"/>
        <v>0.56312736305628042</v>
      </c>
      <c r="K50" s="41">
        <f t="shared" si="55"/>
        <v>623.43218751213556</v>
      </c>
      <c r="L50" s="6">
        <f t="shared" si="95"/>
        <v>312.5</v>
      </c>
      <c r="M50" s="41">
        <f t="shared" si="56"/>
        <v>369.37359618594013</v>
      </c>
      <c r="N50" s="41">
        <f t="shared" si="57"/>
        <v>323.0523029359008</v>
      </c>
      <c r="O50" s="41">
        <f t="shared" si="58"/>
        <v>2809688.5950590433</v>
      </c>
      <c r="P50" s="41">
        <f t="shared" si="59"/>
        <v>18040175.103968069</v>
      </c>
      <c r="Q50" s="41">
        <f t="shared" si="60"/>
        <v>2.6593181686088391E-3</v>
      </c>
      <c r="R50" s="41">
        <f t="shared" si="61"/>
        <v>2.1167684922673683E-2</v>
      </c>
      <c r="S50" s="24">
        <f t="shared" ca="1" si="96"/>
        <v>2.2964945393765644E-15</v>
      </c>
      <c r="T50" s="10">
        <f t="shared" ca="1" si="62"/>
        <v>0</v>
      </c>
      <c r="U50" s="41">
        <f t="shared" ca="1" si="63"/>
        <v>0.22904350174714438</v>
      </c>
      <c r="V50" s="41">
        <f t="shared" ca="1" si="64"/>
        <v>2.4480945098528037E-2</v>
      </c>
      <c r="W50" s="41">
        <f t="shared" ca="1" si="65"/>
        <v>9.3559909891271342</v>
      </c>
      <c r="X50" s="20">
        <f t="shared" ca="1" si="66"/>
        <v>1818.9839091891722</v>
      </c>
      <c r="Y50" s="41">
        <f t="shared" si="67"/>
        <v>0.5789311072750698</v>
      </c>
      <c r="Z50" s="41">
        <f t="shared" ca="1" si="68"/>
        <v>192.59392653247497</v>
      </c>
      <c r="AA50" s="14">
        <f t="shared" ca="1" si="69"/>
        <v>1818.9839091891722</v>
      </c>
      <c r="AB50" s="14">
        <f t="shared" si="97"/>
        <v>4016.4588107467653</v>
      </c>
      <c r="AC50" s="25">
        <f t="shared" ca="1" si="70"/>
        <v>1134013.1175551813</v>
      </c>
      <c r="AD50" s="41">
        <f t="shared" si="71"/>
        <v>2503989.7024362464</v>
      </c>
      <c r="AE50" s="5">
        <f t="shared" ca="1" si="72"/>
        <v>45.288250045591163</v>
      </c>
      <c r="AF50" s="7">
        <f t="shared" ca="1" si="73"/>
        <v>1818.9839091891722</v>
      </c>
      <c r="AG50" s="41">
        <f t="shared" ca="1" si="74"/>
        <v>2197.4749015575931</v>
      </c>
      <c r="AH50" s="41">
        <f t="shared" ca="1" si="75"/>
        <v>1369976.5848810652</v>
      </c>
      <c r="AI50" s="41">
        <f t="shared" ca="1" si="76"/>
        <v>1456.4819294497247</v>
      </c>
      <c r="AJ50" s="13">
        <f t="shared" ca="1" si="77"/>
        <v>0</v>
      </c>
      <c r="AK50" s="11"/>
      <c r="AL50" s="6">
        <v>0</v>
      </c>
      <c r="AM50" s="41">
        <f t="shared" si="78"/>
        <v>48.731149670316235</v>
      </c>
      <c r="AN50" s="41">
        <f t="shared" ca="1" si="79"/>
        <v>19.715566360034863</v>
      </c>
      <c r="AO50" s="6">
        <v>5</v>
      </c>
      <c r="AP50" s="67">
        <f t="shared" si="98"/>
        <v>0.80071182713153521</v>
      </c>
      <c r="AQ50" s="11">
        <f t="shared" si="80"/>
        <v>0.98330272071837588</v>
      </c>
      <c r="AR50" s="11">
        <f t="shared" si="81"/>
        <v>0.68770269343653956</v>
      </c>
      <c r="AS50" s="11">
        <f t="shared" si="82"/>
        <v>0.69938044403469313</v>
      </c>
      <c r="AT50" s="11">
        <f t="shared" si="83"/>
        <v>510.00962215499999</v>
      </c>
      <c r="AU50" s="11">
        <f t="shared" si="84"/>
        <v>1455.3301939042735</v>
      </c>
      <c r="AV50" s="11">
        <f t="shared" si="85"/>
        <v>1.6623573774260621E-3</v>
      </c>
      <c r="AW50" s="11">
        <f t="shared" si="86"/>
        <v>3.6885478983619832E-7</v>
      </c>
      <c r="AX50" s="41">
        <f t="shared" ca="1" si="87"/>
        <v>2.6069767891869193</v>
      </c>
      <c r="AY50" s="41">
        <f t="shared" ca="1" si="88"/>
        <v>3.5116495292756253</v>
      </c>
      <c r="AZ50" s="41">
        <f t="shared" si="89"/>
        <v>0.38092175475491041</v>
      </c>
      <c r="BA50" s="167">
        <f t="shared" ca="1" si="99"/>
        <v>0.76978017891171957</v>
      </c>
      <c r="BB50" s="156">
        <f t="shared" ca="1" si="100"/>
        <v>0.65648661754727577</v>
      </c>
      <c r="BC50" s="156">
        <f t="shared" ca="1" si="101"/>
        <v>0.32890863452368535</v>
      </c>
    </row>
    <row r="51" spans="1:55" ht="14.5">
      <c r="A51" s="41">
        <f t="shared" ca="1" si="90"/>
        <v>211.58235531033216</v>
      </c>
      <c r="B51" s="41">
        <f t="shared" ca="1" si="52"/>
        <v>3.5263725885055361</v>
      </c>
      <c r="C51" s="41">
        <f t="shared" ca="1" si="52"/>
        <v>5.8772876475092266E-2</v>
      </c>
      <c r="D51" s="41">
        <f t="shared" ca="1" si="91"/>
        <v>16998.681497381109</v>
      </c>
      <c r="E51" s="41">
        <f t="shared" ca="1" si="92"/>
        <v>18.866894563676524</v>
      </c>
      <c r="F51" s="7">
        <f t="shared" si="93"/>
        <v>15</v>
      </c>
      <c r="G51" s="41"/>
      <c r="H51" s="7">
        <f t="shared" si="94"/>
        <v>10000</v>
      </c>
      <c r="I51" s="6">
        <v>15</v>
      </c>
      <c r="J51" s="41">
        <f t="shared" si="54"/>
        <v>0.56312736305628042</v>
      </c>
      <c r="K51" s="41">
        <f t="shared" si="55"/>
        <v>623.43218751213556</v>
      </c>
      <c r="L51" s="6">
        <f t="shared" si="95"/>
        <v>312.5</v>
      </c>
      <c r="M51" s="41">
        <f t="shared" si="56"/>
        <v>369.37359618594013</v>
      </c>
      <c r="N51" s="41">
        <f t="shared" si="57"/>
        <v>323.0523029359008</v>
      </c>
      <c r="O51" s="41">
        <f t="shared" si="58"/>
        <v>2809688.5950590433</v>
      </c>
      <c r="P51" s="41">
        <f t="shared" si="59"/>
        <v>18040175.103968069</v>
      </c>
      <c r="Q51" s="41">
        <f t="shared" si="60"/>
        <v>2.6593181686088391E-3</v>
      </c>
      <c r="R51" s="41">
        <f t="shared" si="61"/>
        <v>2.1167684922673683E-2</v>
      </c>
      <c r="S51" s="24">
        <f t="shared" ca="1" si="96"/>
        <v>7.6638602689753592E-16</v>
      </c>
      <c r="T51" s="10">
        <f t="shared" ca="1" si="62"/>
        <v>0</v>
      </c>
      <c r="U51" s="41">
        <f t="shared" ca="1" si="63"/>
        <v>0.22877815816977237</v>
      </c>
      <c r="V51" s="41">
        <f t="shared" ca="1" si="64"/>
        <v>2.447327281742406E-2</v>
      </c>
      <c r="W51" s="41">
        <f t="shared" ca="1" si="65"/>
        <v>9.3480818800373449</v>
      </c>
      <c r="X51" s="20">
        <f t="shared" ca="1" si="66"/>
        <v>1818.4138431309077</v>
      </c>
      <c r="Y51" s="41">
        <f t="shared" si="67"/>
        <v>0.5789311072750698</v>
      </c>
      <c r="Z51" s="41">
        <f t="shared" ca="1" si="68"/>
        <v>192.48233556761554</v>
      </c>
      <c r="AA51" s="14">
        <f t="shared" ca="1" si="69"/>
        <v>1818.4138431309077</v>
      </c>
      <c r="AB51" s="14">
        <f t="shared" si="97"/>
        <v>4016.4588107467653</v>
      </c>
      <c r="AC51" s="25">
        <f t="shared" ca="1" si="70"/>
        <v>1133657.7200254512</v>
      </c>
      <c r="AD51" s="41">
        <f t="shared" si="71"/>
        <v>2503989.7024362464</v>
      </c>
      <c r="AE51" s="5">
        <f t="shared" ca="1" si="72"/>
        <v>45.274056795140318</v>
      </c>
      <c r="AF51" s="7">
        <f t="shared" ca="1" si="73"/>
        <v>1818.4138431309077</v>
      </c>
      <c r="AG51" s="41">
        <f t="shared" ca="1" si="74"/>
        <v>2198.0449676158578</v>
      </c>
      <c r="AH51" s="41">
        <f t="shared" ca="1" si="75"/>
        <v>1370331.9824107953</v>
      </c>
      <c r="AI51" s="41">
        <f t="shared" ca="1" si="76"/>
        <v>1456.025470814626</v>
      </c>
      <c r="AJ51" s="13">
        <f t="shared" ca="1" si="77"/>
        <v>0</v>
      </c>
      <c r="AK51" s="11"/>
      <c r="AL51" s="6">
        <v>0</v>
      </c>
      <c r="AM51" s="41">
        <f t="shared" si="78"/>
        <v>48.731149670316235</v>
      </c>
      <c r="AN51" s="41">
        <f t="shared" ca="1" si="79"/>
        <v>19.709387539461169</v>
      </c>
      <c r="AO51" s="6">
        <v>5</v>
      </c>
      <c r="AP51" s="67">
        <f t="shared" si="98"/>
        <v>0.80071182713153521</v>
      </c>
      <c r="AQ51" s="11">
        <f t="shared" si="80"/>
        <v>0.98330272071837588</v>
      </c>
      <c r="AR51" s="11">
        <f t="shared" si="81"/>
        <v>0.68770269343653956</v>
      </c>
      <c r="AS51" s="11">
        <f t="shared" si="82"/>
        <v>0.69938044403469313</v>
      </c>
      <c r="AT51" s="11">
        <f t="shared" si="83"/>
        <v>510.00962215499999</v>
      </c>
      <c r="AU51" s="11">
        <f t="shared" si="84"/>
        <v>1455.3301939042735</v>
      </c>
      <c r="AV51" s="11">
        <f t="shared" si="85"/>
        <v>1.6623573774260621E-3</v>
      </c>
      <c r="AW51" s="11">
        <f t="shared" si="86"/>
        <v>3.6885478983619832E-7</v>
      </c>
      <c r="AX51" s="41">
        <f t="shared" ca="1" si="87"/>
        <v>2.6098121789092192</v>
      </c>
      <c r="AY51" s="41">
        <f t="shared" ca="1" si="88"/>
        <v>3.5154688555638094</v>
      </c>
      <c r="AZ51" s="41">
        <f t="shared" si="89"/>
        <v>0.38092175475491041</v>
      </c>
      <c r="BA51" s="167">
        <f t="shared" ca="1" si="99"/>
        <v>0.7698237333842598</v>
      </c>
      <c r="BB51" s="156">
        <f t="shared" ca="1" si="100"/>
        <v>0.65656151923173833</v>
      </c>
      <c r="BC51" s="156">
        <f t="shared" ca="1" si="101"/>
        <v>0.32925757625668872</v>
      </c>
    </row>
    <row r="52" spans="1:55" ht="14.5">
      <c r="A52" s="41">
        <f t="shared" ca="1" si="90"/>
        <v>260.31350498064842</v>
      </c>
      <c r="B52" s="41">
        <f t="shared" ca="1" si="52"/>
        <v>4.3385584163441404</v>
      </c>
      <c r="C52" s="41">
        <f t="shared" ca="1" si="52"/>
        <v>7.2309306939069007E-2</v>
      </c>
      <c r="D52" s="41">
        <f t="shared" ca="1" si="91"/>
        <v>16978.972109841648</v>
      </c>
      <c r="E52" s="41">
        <f t="shared" ca="1" si="92"/>
        <v>23.866894563676524</v>
      </c>
      <c r="F52" s="7">
        <f t="shared" si="93"/>
        <v>20</v>
      </c>
      <c r="G52" s="41"/>
      <c r="H52" s="7">
        <f t="shared" si="94"/>
        <v>10000</v>
      </c>
      <c r="I52" s="6">
        <v>15</v>
      </c>
      <c r="J52" s="41">
        <f t="shared" si="54"/>
        <v>0.56312736305628042</v>
      </c>
      <c r="K52" s="41">
        <f t="shared" si="55"/>
        <v>623.43218751213556</v>
      </c>
      <c r="L52" s="6">
        <f t="shared" si="95"/>
        <v>312.5</v>
      </c>
      <c r="M52" s="41">
        <f t="shared" si="56"/>
        <v>369.37359618594013</v>
      </c>
      <c r="N52" s="41">
        <f t="shared" si="57"/>
        <v>323.0523029359008</v>
      </c>
      <c r="O52" s="41">
        <f t="shared" si="58"/>
        <v>2809688.5950590433</v>
      </c>
      <c r="P52" s="41">
        <f t="shared" si="59"/>
        <v>18040175.103968069</v>
      </c>
      <c r="Q52" s="41">
        <f t="shared" si="60"/>
        <v>2.6593181686088391E-3</v>
      </c>
      <c r="R52" s="41">
        <f t="shared" si="61"/>
        <v>2.1167684922673683E-2</v>
      </c>
      <c r="S52" s="24">
        <f t="shared" ca="1" si="96"/>
        <v>7.6727565667672584E-16</v>
      </c>
      <c r="T52" s="10">
        <f t="shared" ca="1" si="62"/>
        <v>-7.6727565667672584E-16</v>
      </c>
      <c r="U52" s="41">
        <f t="shared" ca="1" si="63"/>
        <v>0.2285128977505671</v>
      </c>
      <c r="V52" s="41">
        <f t="shared" ca="1" si="64"/>
        <v>2.4465611829995803E-2</v>
      </c>
      <c r="W52" s="41">
        <f t="shared" ca="1" si="65"/>
        <v>9.3401668978660606</v>
      </c>
      <c r="X52" s="20">
        <f t="shared" ca="1" si="66"/>
        <v>1817.8446162156715</v>
      </c>
      <c r="Y52" s="41">
        <f t="shared" si="67"/>
        <v>0.5789311072750698</v>
      </c>
      <c r="Z52" s="41">
        <f t="shared" ca="1" si="68"/>
        <v>192.37071487357585</v>
      </c>
      <c r="AA52" s="14">
        <f t="shared" ca="1" si="69"/>
        <v>1817.8446162156715</v>
      </c>
      <c r="AB52" s="14">
        <f t="shared" si="97"/>
        <v>4016.4588107467653</v>
      </c>
      <c r="AC52" s="25">
        <f t="shared" ca="1" si="70"/>
        <v>1133302.8456444945</v>
      </c>
      <c r="AD52" s="41">
        <f t="shared" si="71"/>
        <v>2503989.7024362464</v>
      </c>
      <c r="AE52" s="5">
        <f t="shared" ca="1" si="72"/>
        <v>45.259884437298297</v>
      </c>
      <c r="AF52" s="7">
        <f t="shared" ca="1" si="73"/>
        <v>1817.8446162156715</v>
      </c>
      <c r="AG52" s="41">
        <f t="shared" ca="1" si="74"/>
        <v>2198.6141945310937</v>
      </c>
      <c r="AH52" s="41">
        <f t="shared" ca="1" si="75"/>
        <v>1370686.8567917519</v>
      </c>
      <c r="AI52" s="41">
        <f t="shared" ca="1" si="76"/>
        <v>1455.5696840912747</v>
      </c>
      <c r="AJ52" s="13">
        <f t="shared" ca="1" si="77"/>
        <v>-8.348683709898061E-15</v>
      </c>
      <c r="AK52" s="11"/>
      <c r="AL52" s="6">
        <v>0</v>
      </c>
      <c r="AM52" s="41">
        <f t="shared" si="78"/>
        <v>48.731149670316235</v>
      </c>
      <c r="AN52" s="41">
        <f t="shared" ca="1" si="79"/>
        <v>19.703217814174121</v>
      </c>
      <c r="AO52" s="6">
        <v>5</v>
      </c>
      <c r="AP52" s="67">
        <f t="shared" si="98"/>
        <v>0.80071182713153521</v>
      </c>
      <c r="AQ52" s="11">
        <f t="shared" si="80"/>
        <v>0.98330272071837588</v>
      </c>
      <c r="AR52" s="11">
        <f t="shared" si="81"/>
        <v>0.68770269343653956</v>
      </c>
      <c r="AS52" s="11">
        <f t="shared" si="82"/>
        <v>0.69938044403469313</v>
      </c>
      <c r="AT52" s="11">
        <f t="shared" si="83"/>
        <v>510.00962215499999</v>
      </c>
      <c r="AU52" s="11">
        <f t="shared" si="84"/>
        <v>1455.3301939042735</v>
      </c>
      <c r="AV52" s="11">
        <f t="shared" si="85"/>
        <v>1.6623573774260621E-3</v>
      </c>
      <c r="AW52" s="11">
        <f t="shared" si="86"/>
        <v>3.6885478983619832E-7</v>
      </c>
      <c r="AX52" s="41">
        <f t="shared" ca="1" si="87"/>
        <v>2.612653489115305</v>
      </c>
      <c r="AY52" s="41">
        <f t="shared" ca="1" si="88"/>
        <v>3.5192961568612788</v>
      </c>
      <c r="AZ52" s="41">
        <f t="shared" si="89"/>
        <v>0.38092175475491041</v>
      </c>
      <c r="BA52" s="167">
        <f t="shared" ca="1" si="99"/>
        <v>0.76986724754662117</v>
      </c>
      <c r="BB52" s="156">
        <f t="shared" ca="1" si="100"/>
        <v>0.65663629204234331</v>
      </c>
      <c r="BC52" s="156">
        <f t="shared" ca="1" si="101"/>
        <v>0.32960573755614675</v>
      </c>
    </row>
    <row r="53" spans="1:55" ht="14.5">
      <c r="A53" s="41">
        <f t="shared" ca="1" si="90"/>
        <v>309.04465465096467</v>
      </c>
      <c r="B53" s="41">
        <f t="shared" ca="1" si="52"/>
        <v>5.1507442441827447</v>
      </c>
      <c r="C53" s="41">
        <f t="shared" ca="1" si="52"/>
        <v>8.5845737403045741E-2</v>
      </c>
      <c r="D53" s="41">
        <f t="shared" ca="1" si="91"/>
        <v>16959.268892027474</v>
      </c>
      <c r="E53" s="41">
        <f t="shared" ca="1" si="92"/>
        <v>28.866894563676524</v>
      </c>
      <c r="F53" s="7">
        <f t="shared" si="93"/>
        <v>25</v>
      </c>
      <c r="G53" s="41"/>
      <c r="H53" s="7">
        <f t="shared" si="94"/>
        <v>10000</v>
      </c>
      <c r="I53" s="6">
        <v>15</v>
      </c>
      <c r="J53" s="41">
        <f t="shared" si="54"/>
        <v>0.56312736305628042</v>
      </c>
      <c r="K53" s="41">
        <f t="shared" si="55"/>
        <v>623.43218751213556</v>
      </c>
      <c r="L53" s="6">
        <f t="shared" si="95"/>
        <v>312.5</v>
      </c>
      <c r="M53" s="41">
        <f t="shared" si="56"/>
        <v>369.37359618594013</v>
      </c>
      <c r="N53" s="41">
        <f t="shared" si="57"/>
        <v>323.0523029359008</v>
      </c>
      <c r="O53" s="41">
        <f t="shared" si="58"/>
        <v>2809688.5950590433</v>
      </c>
      <c r="P53" s="41">
        <f t="shared" si="59"/>
        <v>18040175.103968069</v>
      </c>
      <c r="Q53" s="41">
        <f t="shared" si="60"/>
        <v>2.6593181686088391E-3</v>
      </c>
      <c r="R53" s="41">
        <f t="shared" si="61"/>
        <v>2.1167684922673683E-2</v>
      </c>
      <c r="S53" s="24">
        <f t="shared" ca="1" si="96"/>
        <v>-7.6816707478462091E-16</v>
      </c>
      <c r="T53" s="10">
        <f t="shared" ca="1" si="62"/>
        <v>-7.6816707478462091E-16</v>
      </c>
      <c r="U53" s="41">
        <f t="shared" ca="1" si="63"/>
        <v>0.22824772036711891</v>
      </c>
      <c r="V53" s="41">
        <f t="shared" ca="1" si="64"/>
        <v>2.4457962124355217E-2</v>
      </c>
      <c r="W53" s="41">
        <f t="shared" ca="1" si="65"/>
        <v>9.33224604758996</v>
      </c>
      <c r="X53" s="20">
        <f t="shared" ca="1" si="66"/>
        <v>1817.2762275601576</v>
      </c>
      <c r="Y53" s="41">
        <f t="shared" si="67"/>
        <v>0.5789311072750698</v>
      </c>
      <c r="Z53" s="41">
        <f t="shared" ca="1" si="68"/>
        <v>192.25906434702136</v>
      </c>
      <c r="AA53" s="14">
        <f t="shared" ca="1" si="69"/>
        <v>1817.2762275601576</v>
      </c>
      <c r="AB53" s="14">
        <f t="shared" si="97"/>
        <v>4016.4588107467653</v>
      </c>
      <c r="AC53" s="25">
        <f t="shared" ca="1" si="70"/>
        <v>1132948.4938616306</v>
      </c>
      <c r="AD53" s="41">
        <f t="shared" si="71"/>
        <v>2503989.7024362464</v>
      </c>
      <c r="AE53" s="5">
        <f t="shared" ca="1" si="72"/>
        <v>45.245732950072956</v>
      </c>
      <c r="AF53" s="7">
        <f t="shared" ca="1" si="73"/>
        <v>1817.2762275601574</v>
      </c>
      <c r="AG53" s="41">
        <f t="shared" ca="1" si="74"/>
        <v>2199.1825831866076</v>
      </c>
      <c r="AH53" s="41">
        <f t="shared" ca="1" si="75"/>
        <v>1371041.2085746159</v>
      </c>
      <c r="AI53" s="41">
        <f t="shared" ca="1" si="76"/>
        <v>1455.1145685723973</v>
      </c>
      <c r="AJ53" s="13">
        <f t="shared" ca="1" si="77"/>
        <v>-8.3583831807092768E-15</v>
      </c>
      <c r="AK53" s="11"/>
      <c r="AL53" s="6">
        <v>0</v>
      </c>
      <c r="AM53" s="41">
        <f t="shared" si="78"/>
        <v>48.731149670316235</v>
      </c>
      <c r="AN53" s="41">
        <f t="shared" ca="1" si="79"/>
        <v>19.69705717459976</v>
      </c>
      <c r="AO53" s="6">
        <v>5</v>
      </c>
      <c r="AP53" s="67">
        <f t="shared" si="98"/>
        <v>0.80071182713153521</v>
      </c>
      <c r="AQ53" s="11">
        <f t="shared" si="80"/>
        <v>0.98330272071837588</v>
      </c>
      <c r="AR53" s="11">
        <f t="shared" si="81"/>
        <v>0.68770269343653956</v>
      </c>
      <c r="AS53" s="11">
        <f t="shared" si="82"/>
        <v>0.69938044403469313</v>
      </c>
      <c r="AT53" s="11">
        <f t="shared" si="83"/>
        <v>510.00962215499999</v>
      </c>
      <c r="AU53" s="11">
        <f t="shared" si="84"/>
        <v>1455.3301939042735</v>
      </c>
      <c r="AV53" s="11">
        <f t="shared" si="85"/>
        <v>1.6623573774260621E-3</v>
      </c>
      <c r="AW53" s="11">
        <f t="shared" si="86"/>
        <v>3.6885478983619832E-7</v>
      </c>
      <c r="AX53" s="41">
        <f t="shared" ca="1" si="87"/>
        <v>2.6155007384114044</v>
      </c>
      <c r="AY53" s="41">
        <f t="shared" ca="1" si="88"/>
        <v>3.5231314582309912</v>
      </c>
      <c r="AZ53" s="41">
        <f t="shared" si="89"/>
        <v>0.38092175475491041</v>
      </c>
      <c r="BA53" s="167">
        <f t="shared" ca="1" si="99"/>
        <v>0.76991072144049744</v>
      </c>
      <c r="BB53" s="156">
        <f t="shared" ca="1" si="100"/>
        <v>0.65671093612849685</v>
      </c>
      <c r="BC53" s="156">
        <f t="shared" ca="1" si="101"/>
        <v>0.32995312004860367</v>
      </c>
    </row>
    <row r="54" spans="1:55" ht="14.5">
      <c r="A54" s="41">
        <f t="shared" ca="1" si="90"/>
        <v>357.77580432128093</v>
      </c>
      <c r="B54" s="41">
        <f t="shared" ca="1" si="52"/>
        <v>5.9629300720213489</v>
      </c>
      <c r="C54" s="41">
        <f t="shared" ca="1" si="52"/>
        <v>9.9382167867022489E-2</v>
      </c>
      <c r="D54" s="41">
        <f t="shared" ca="1" si="91"/>
        <v>16939.571834852875</v>
      </c>
      <c r="E54" s="41">
        <f t="shared" ca="1" si="92"/>
        <v>33.866894563676524</v>
      </c>
      <c r="F54" s="7">
        <f t="shared" si="93"/>
        <v>30</v>
      </c>
      <c r="G54" s="41"/>
      <c r="H54" s="7">
        <f t="shared" si="94"/>
        <v>10000</v>
      </c>
      <c r="I54" s="6">
        <v>15</v>
      </c>
      <c r="J54" s="41">
        <f t="shared" si="54"/>
        <v>0.56312736305628042</v>
      </c>
      <c r="K54" s="41">
        <f t="shared" si="55"/>
        <v>623.43218751213556</v>
      </c>
      <c r="L54" s="6">
        <f t="shared" si="95"/>
        <v>312.5</v>
      </c>
      <c r="M54" s="41">
        <f t="shared" si="56"/>
        <v>369.37359618594013</v>
      </c>
      <c r="N54" s="41">
        <f t="shared" si="57"/>
        <v>323.0523029359008</v>
      </c>
      <c r="O54" s="41">
        <f t="shared" si="58"/>
        <v>2809688.5950590433</v>
      </c>
      <c r="P54" s="41">
        <f t="shared" si="59"/>
        <v>18040175.103968069</v>
      </c>
      <c r="Q54" s="41">
        <f t="shared" si="60"/>
        <v>2.6593181686088391E-3</v>
      </c>
      <c r="R54" s="41">
        <f t="shared" si="61"/>
        <v>2.1167684922673683E-2</v>
      </c>
      <c r="S54" s="24">
        <f t="shared" ca="1" si="96"/>
        <v>1.5381205737999354E-15</v>
      </c>
      <c r="T54" s="10">
        <f t="shared" ca="1" si="62"/>
        <v>0</v>
      </c>
      <c r="U54" s="41">
        <f t="shared" ca="1" si="63"/>
        <v>0.22798262589714702</v>
      </c>
      <c r="V54" s="41">
        <f t="shared" ca="1" si="64"/>
        <v>2.4450323688636991E-2</v>
      </c>
      <c r="W54" s="41">
        <f t="shared" ca="1" si="65"/>
        <v>9.3243193341894024</v>
      </c>
      <c r="X54" s="20">
        <f t="shared" ca="1" si="66"/>
        <v>1816.7086762827494</v>
      </c>
      <c r="Y54" s="41">
        <f t="shared" si="67"/>
        <v>0.5789311072750698</v>
      </c>
      <c r="Z54" s="41">
        <f t="shared" ca="1" si="68"/>
        <v>192.14738388441793</v>
      </c>
      <c r="AA54" s="14">
        <f t="shared" ca="1" si="69"/>
        <v>1816.7086762827494</v>
      </c>
      <c r="AB54" s="14">
        <f t="shared" si="97"/>
        <v>4016.4588107467653</v>
      </c>
      <c r="AC54" s="25">
        <f t="shared" ca="1" si="70"/>
        <v>1132594.6641272306</v>
      </c>
      <c r="AD54" s="41">
        <f t="shared" si="71"/>
        <v>2503989.7024362464</v>
      </c>
      <c r="AE54" s="5">
        <f t="shared" ca="1" si="72"/>
        <v>45.231602311514195</v>
      </c>
      <c r="AF54" s="7">
        <f t="shared" ca="1" si="73"/>
        <v>1816.7086762827494</v>
      </c>
      <c r="AG54" s="41">
        <f t="shared" ca="1" si="74"/>
        <v>2199.7501344640159</v>
      </c>
      <c r="AH54" s="41">
        <f t="shared" ca="1" si="75"/>
        <v>1371395.0383090158</v>
      </c>
      <c r="AI54" s="41">
        <f t="shared" ca="1" si="76"/>
        <v>1454.6601235520729</v>
      </c>
      <c r="AJ54" s="13">
        <f t="shared" ca="1" si="77"/>
        <v>0</v>
      </c>
      <c r="AK54" s="11"/>
      <c r="AL54" s="6">
        <v>0</v>
      </c>
      <c r="AM54" s="41">
        <f t="shared" si="78"/>
        <v>48.731149670316235</v>
      </c>
      <c r="AN54" s="41">
        <f t="shared" ca="1" si="79"/>
        <v>19.690905611182437</v>
      </c>
      <c r="AO54" s="6">
        <v>5</v>
      </c>
      <c r="AP54" s="67">
        <f t="shared" si="98"/>
        <v>0.80071182713153521</v>
      </c>
      <c r="AQ54" s="11">
        <f t="shared" si="80"/>
        <v>0.98330272071837588</v>
      </c>
      <c r="AR54" s="11">
        <f t="shared" si="81"/>
        <v>0.68770269343653956</v>
      </c>
      <c r="AS54" s="11">
        <f t="shared" si="82"/>
        <v>0.69938044403469313</v>
      </c>
      <c r="AT54" s="11">
        <f t="shared" si="83"/>
        <v>510.00962215499999</v>
      </c>
      <c r="AU54" s="11">
        <f t="shared" si="84"/>
        <v>1455.3301939042735</v>
      </c>
      <c r="AV54" s="11">
        <f t="shared" si="85"/>
        <v>1.6623573774260621E-3</v>
      </c>
      <c r="AW54" s="11">
        <f t="shared" si="86"/>
        <v>3.6885478983619832E-7</v>
      </c>
      <c r="AX54" s="41">
        <f t="shared" ca="1" si="87"/>
        <v>2.6183539454826552</v>
      </c>
      <c r="AY54" s="41">
        <f t="shared" ca="1" si="88"/>
        <v>3.5269747848421993</v>
      </c>
      <c r="AZ54" s="41">
        <f t="shared" si="89"/>
        <v>0.38092175475491041</v>
      </c>
      <c r="BA54" s="167">
        <f t="shared" ca="1" si="99"/>
        <v>0.76995415510715826</v>
      </c>
      <c r="BB54" s="156">
        <f t="shared" ca="1" si="100"/>
        <v>0.65678545163953228</v>
      </c>
      <c r="BC54" s="156">
        <f t="shared" ca="1" si="101"/>
        <v>0.33029972535862839</v>
      </c>
    </row>
    <row r="55" spans="1:55" ht="14.5">
      <c r="A55" s="41">
        <f t="shared" ca="1" si="90"/>
        <v>406.50695399159719</v>
      </c>
      <c r="B55" s="41">
        <f t="shared" ca="1" si="52"/>
        <v>6.7751158998599532</v>
      </c>
      <c r="C55" s="41">
        <f t="shared" ca="1" si="52"/>
        <v>0.11291859833099922</v>
      </c>
      <c r="D55" s="41">
        <f t="shared" ca="1" si="91"/>
        <v>16919.880929241692</v>
      </c>
      <c r="E55" s="41">
        <f t="shared" ca="1" si="92"/>
        <v>38.866894563676524</v>
      </c>
      <c r="F55" s="7">
        <f t="shared" si="93"/>
        <v>35</v>
      </c>
      <c r="G55" s="41"/>
      <c r="H55" s="7">
        <f t="shared" si="94"/>
        <v>10000</v>
      </c>
      <c r="I55" s="6">
        <v>15</v>
      </c>
      <c r="J55" s="41">
        <f t="shared" si="54"/>
        <v>0.56312736305628042</v>
      </c>
      <c r="K55" s="41">
        <f t="shared" si="55"/>
        <v>623.43218751213556</v>
      </c>
      <c r="L55" s="6">
        <f t="shared" si="95"/>
        <v>312.5</v>
      </c>
      <c r="M55" s="41">
        <f t="shared" si="56"/>
        <v>369.37359618594013</v>
      </c>
      <c r="N55" s="41">
        <f t="shared" si="57"/>
        <v>323.0523029359008</v>
      </c>
      <c r="O55" s="41">
        <f t="shared" si="58"/>
        <v>2809688.5950590433</v>
      </c>
      <c r="P55" s="41">
        <f t="shared" si="59"/>
        <v>18040175.103968069</v>
      </c>
      <c r="Q55" s="41">
        <f t="shared" si="60"/>
        <v>2.6593181686088391E-3</v>
      </c>
      <c r="R55" s="41">
        <f t="shared" si="61"/>
        <v>2.1167684922673683E-2</v>
      </c>
      <c r="S55" s="24">
        <f t="shared" ca="1" si="96"/>
        <v>0</v>
      </c>
      <c r="T55" s="10">
        <f t="shared" ca="1" si="62"/>
        <v>7.6995529872552288E-16</v>
      </c>
      <c r="U55" s="41">
        <f t="shared" ca="1" si="63"/>
        <v>0.22771761421849915</v>
      </c>
      <c r="V55" s="41">
        <f t="shared" ca="1" si="64"/>
        <v>2.444269651099848E-2</v>
      </c>
      <c r="W55" s="41">
        <f t="shared" ca="1" si="65"/>
        <v>9.3163867626484276</v>
      </c>
      <c r="X55" s="20">
        <f t="shared" ca="1" si="66"/>
        <v>1816.1419615035145</v>
      </c>
      <c r="Y55" s="41">
        <f t="shared" si="67"/>
        <v>0.5789311072750698</v>
      </c>
      <c r="Z55" s="41">
        <f t="shared" ca="1" si="68"/>
        <v>192.03567338203084</v>
      </c>
      <c r="AA55" s="14">
        <f t="shared" ca="1" si="69"/>
        <v>1816.1419615035145</v>
      </c>
      <c r="AB55" s="14">
        <f t="shared" si="97"/>
        <v>4016.4588107467653</v>
      </c>
      <c r="AC55" s="25">
        <f t="shared" ca="1" si="70"/>
        <v>1132241.3558927167</v>
      </c>
      <c r="AD55" s="41">
        <f t="shared" si="71"/>
        <v>2503989.7024362464</v>
      </c>
      <c r="AE55" s="5">
        <f t="shared" ca="1" si="72"/>
        <v>45.217492499713849</v>
      </c>
      <c r="AF55" s="7">
        <f t="shared" ca="1" si="73"/>
        <v>1816.1419615035147</v>
      </c>
      <c r="AG55" s="41">
        <f t="shared" ca="1" si="74"/>
        <v>2200.3168492432505</v>
      </c>
      <c r="AH55" s="41">
        <f t="shared" ca="1" si="75"/>
        <v>1371748.3465435298</v>
      </c>
      <c r="AI55" s="41">
        <f t="shared" ca="1" si="76"/>
        <v>1454.2063483257296</v>
      </c>
      <c r="AJ55" s="13">
        <f t="shared" ca="1" si="77"/>
        <v>8.3778407458687405E-15</v>
      </c>
      <c r="AK55" s="11"/>
      <c r="AL55" s="6">
        <v>0</v>
      </c>
      <c r="AM55" s="41">
        <f t="shared" si="78"/>
        <v>48.731149670316235</v>
      </c>
      <c r="AN55" s="41">
        <f t="shared" ca="1" si="79"/>
        <v>19.684763114384765</v>
      </c>
      <c r="AO55" s="6">
        <v>5</v>
      </c>
      <c r="AP55" s="67">
        <f t="shared" si="98"/>
        <v>0.80071182713153521</v>
      </c>
      <c r="AQ55" s="11">
        <f t="shared" si="80"/>
        <v>0.98330272071837588</v>
      </c>
      <c r="AR55" s="11">
        <f t="shared" si="81"/>
        <v>0.68770269343653956</v>
      </c>
      <c r="AS55" s="11">
        <f t="shared" si="82"/>
        <v>0.69938044403469313</v>
      </c>
      <c r="AT55" s="11">
        <f t="shared" si="83"/>
        <v>510.00962215499999</v>
      </c>
      <c r="AU55" s="11">
        <f t="shared" si="84"/>
        <v>1455.3301939042735</v>
      </c>
      <c r="AV55" s="11">
        <f t="shared" si="85"/>
        <v>1.6623573774260621E-3</v>
      </c>
      <c r="AW55" s="11">
        <f t="shared" si="86"/>
        <v>3.6885478983619832E-7</v>
      </c>
      <c r="AX55" s="41">
        <f t="shared" ca="1" si="87"/>
        <v>2.6212131290935097</v>
      </c>
      <c r="AY55" s="41">
        <f t="shared" ca="1" si="88"/>
        <v>3.5308261619709929</v>
      </c>
      <c r="AZ55" s="41">
        <f t="shared" si="89"/>
        <v>0.38092175475491041</v>
      </c>
      <c r="BA55" s="167">
        <f t="shared" ca="1" si="99"/>
        <v>0.76999754858744207</v>
      </c>
      <c r="BB55" s="156">
        <f t="shared" ca="1" si="100"/>
        <v>0.65685983872471509</v>
      </c>
      <c r="BC55" s="156">
        <f t="shared" ca="1" si="101"/>
        <v>0.33064555510895488</v>
      </c>
    </row>
    <row r="56" spans="1:55" ht="14.5">
      <c r="A56" s="41">
        <f t="shared" ca="1" si="90"/>
        <v>455.23810366191344</v>
      </c>
      <c r="B56" s="41">
        <f t="shared" ca="1" si="52"/>
        <v>7.5873017276985575</v>
      </c>
      <c r="C56" s="41">
        <f t="shared" ca="1" si="52"/>
        <v>0.12645502879497597</v>
      </c>
      <c r="D56" s="41">
        <f t="shared" ca="1" si="91"/>
        <v>16900.196166127305</v>
      </c>
      <c r="E56" s="41">
        <f t="shared" ca="1" si="92"/>
        <v>43.866894563676524</v>
      </c>
      <c r="F56" s="7">
        <f t="shared" si="93"/>
        <v>40</v>
      </c>
      <c r="G56" s="41"/>
      <c r="H56" s="7">
        <f t="shared" si="94"/>
        <v>10000</v>
      </c>
      <c r="I56" s="6">
        <v>15</v>
      </c>
      <c r="J56" s="41">
        <f t="shared" si="54"/>
        <v>0.56312736305628042</v>
      </c>
      <c r="K56" s="41">
        <f t="shared" si="55"/>
        <v>623.43218751213556</v>
      </c>
      <c r="L56" s="6">
        <f t="shared" si="95"/>
        <v>312.5</v>
      </c>
      <c r="M56" s="41">
        <f t="shared" si="56"/>
        <v>369.37359618594013</v>
      </c>
      <c r="N56" s="41">
        <f t="shared" si="57"/>
        <v>323.0523029359008</v>
      </c>
      <c r="O56" s="41">
        <f t="shared" si="58"/>
        <v>2809688.5950590433</v>
      </c>
      <c r="P56" s="41">
        <f t="shared" si="59"/>
        <v>18040175.103968069</v>
      </c>
      <c r="Q56" s="41">
        <f t="shared" si="60"/>
        <v>2.6593181686088391E-3</v>
      </c>
      <c r="R56" s="41">
        <f t="shared" si="61"/>
        <v>2.1167684922673683E-2</v>
      </c>
      <c r="S56" s="24">
        <f t="shared" ca="1" si="96"/>
        <v>0</v>
      </c>
      <c r="T56" s="10">
        <f t="shared" ca="1" si="62"/>
        <v>0</v>
      </c>
      <c r="U56" s="41">
        <f t="shared" ca="1" si="63"/>
        <v>0.22745268520915149</v>
      </c>
      <c r="V56" s="41">
        <f t="shared" ca="1" si="64"/>
        <v>2.4435080579619704E-2</v>
      </c>
      <c r="W56" s="41">
        <f t="shared" ca="1" si="65"/>
        <v>9.3084483379547525</v>
      </c>
      <c r="X56" s="20">
        <f t="shared" ca="1" si="66"/>
        <v>1815.5760823442038</v>
      </c>
      <c r="Y56" s="41">
        <f t="shared" si="67"/>
        <v>0.5789311072750698</v>
      </c>
      <c r="Z56" s="41">
        <f t="shared" ca="1" si="68"/>
        <v>191.92393273592381</v>
      </c>
      <c r="AA56" s="14">
        <f t="shared" ca="1" si="69"/>
        <v>1815.5760823442038</v>
      </c>
      <c r="AB56" s="14">
        <f t="shared" si="97"/>
        <v>4016.4588107467653</v>
      </c>
      <c r="AC56" s="25">
        <f t="shared" ca="1" si="70"/>
        <v>1131888.5686105601</v>
      </c>
      <c r="AD56" s="41">
        <f t="shared" si="71"/>
        <v>2503989.7024362464</v>
      </c>
      <c r="AE56" s="5">
        <f t="shared" ca="1" si="72"/>
        <v>45.203403492805656</v>
      </c>
      <c r="AF56" s="7">
        <f t="shared" ca="1" si="73"/>
        <v>1815.5760823442038</v>
      </c>
      <c r="AG56" s="41">
        <f t="shared" ca="1" si="74"/>
        <v>2200.8827284025615</v>
      </c>
      <c r="AH56" s="41">
        <f t="shared" ca="1" si="75"/>
        <v>1372101.1338256863</v>
      </c>
      <c r="AI56" s="41">
        <f t="shared" ca="1" si="76"/>
        <v>1453.7532421901419</v>
      </c>
      <c r="AJ56" s="13">
        <f t="shared" ca="1" si="77"/>
        <v>0</v>
      </c>
      <c r="AK56" s="11"/>
      <c r="AL56" s="6">
        <v>0</v>
      </c>
      <c r="AM56" s="41">
        <f t="shared" si="78"/>
        <v>48.731149670316235</v>
      </c>
      <c r="AN56" s="41">
        <f t="shared" ca="1" si="79"/>
        <v>19.678629674687581</v>
      </c>
      <c r="AO56" s="6">
        <v>5</v>
      </c>
      <c r="AP56" s="67">
        <f t="shared" si="98"/>
        <v>0.80071182713153521</v>
      </c>
      <c r="AQ56" s="11">
        <f t="shared" si="80"/>
        <v>0.98330272071837588</v>
      </c>
      <c r="AR56" s="11">
        <f t="shared" si="81"/>
        <v>0.68770269343653956</v>
      </c>
      <c r="AS56" s="11">
        <f t="shared" si="82"/>
        <v>0.69938044403469313</v>
      </c>
      <c r="AT56" s="11">
        <f t="shared" si="83"/>
        <v>510.00962215499999</v>
      </c>
      <c r="AU56" s="11">
        <f t="shared" si="84"/>
        <v>1455.3301939042735</v>
      </c>
      <c r="AV56" s="11">
        <f t="shared" si="85"/>
        <v>1.6623573774260621E-3</v>
      </c>
      <c r="AW56" s="11">
        <f t="shared" si="86"/>
        <v>3.6885478983619832E-7</v>
      </c>
      <c r="AX56" s="41">
        <f t="shared" ca="1" si="87"/>
        <v>2.6240783080881767</v>
      </c>
      <c r="AY56" s="41">
        <f t="shared" ca="1" si="88"/>
        <v>3.5346856150008952</v>
      </c>
      <c r="AZ56" s="41">
        <f t="shared" si="89"/>
        <v>0.38092175475491041</v>
      </c>
      <c r="BA56" s="167">
        <f t="shared" ca="1" si="99"/>
        <v>0.770040901921767</v>
      </c>
      <c r="BB56" s="156">
        <f t="shared" ca="1" si="100"/>
        <v>0.65693409753328647</v>
      </c>
      <c r="BC56" s="156">
        <f t="shared" ca="1" si="101"/>
        <v>0.33099061092040927</v>
      </c>
    </row>
    <row r="57" spans="1:55" ht="14.5">
      <c r="A57" s="41">
        <f t="shared" ca="1" si="90"/>
        <v>503.9692533322297</v>
      </c>
      <c r="B57" s="41">
        <f t="shared" ca="1" si="52"/>
        <v>8.3994875555371618</v>
      </c>
      <c r="C57" s="41">
        <f t="shared" ca="1" si="52"/>
        <v>0.13999145925895271</v>
      </c>
      <c r="D57" s="41">
        <f t="shared" ca="1" si="91"/>
        <v>16880.517536452619</v>
      </c>
      <c r="E57" s="41">
        <f t="shared" ca="1" si="92"/>
        <v>48.866894563676524</v>
      </c>
      <c r="F57" s="7">
        <f t="shared" si="93"/>
        <v>45</v>
      </c>
      <c r="G57" s="41"/>
      <c r="H57" s="7">
        <f t="shared" si="94"/>
        <v>10000</v>
      </c>
      <c r="I57" s="6">
        <v>15</v>
      </c>
      <c r="J57" s="41">
        <f t="shared" si="54"/>
        <v>0.56312736305628042</v>
      </c>
      <c r="K57" s="41">
        <f t="shared" si="55"/>
        <v>623.43218751213556</v>
      </c>
      <c r="L57" s="6">
        <f t="shared" si="95"/>
        <v>312.5</v>
      </c>
      <c r="M57" s="41">
        <f t="shared" si="56"/>
        <v>369.37359618594013</v>
      </c>
      <c r="N57" s="41">
        <f t="shared" si="57"/>
        <v>323.0523029359008</v>
      </c>
      <c r="O57" s="41">
        <f t="shared" si="58"/>
        <v>2809688.5950590433</v>
      </c>
      <c r="P57" s="41">
        <f t="shared" si="59"/>
        <v>18040175.103968069</v>
      </c>
      <c r="Q57" s="41">
        <f t="shared" si="60"/>
        <v>2.6593181686088391E-3</v>
      </c>
      <c r="R57" s="41">
        <f t="shared" si="61"/>
        <v>2.1167684922673683E-2</v>
      </c>
      <c r="S57" s="24">
        <f t="shared" ca="1" si="96"/>
        <v>0</v>
      </c>
      <c r="T57" s="10">
        <f t="shared" ca="1" si="62"/>
        <v>-7.7175074443909843E-16</v>
      </c>
      <c r="U57" s="41">
        <f t="shared" ca="1" si="63"/>
        <v>0.22718783874720833</v>
      </c>
      <c r="V57" s="41">
        <f t="shared" ca="1" si="64"/>
        <v>2.4427475882703272E-2</v>
      </c>
      <c r="W57" s="41">
        <f t="shared" ca="1" si="65"/>
        <v>9.3005040650997675</v>
      </c>
      <c r="X57" s="20">
        <f t="shared" ca="1" si="66"/>
        <v>1815.0110379282478</v>
      </c>
      <c r="Y57" s="41">
        <f t="shared" si="67"/>
        <v>0.5789311072750698</v>
      </c>
      <c r="Z57" s="41">
        <f t="shared" ca="1" si="68"/>
        <v>191.81216184195833</v>
      </c>
      <c r="AA57" s="14">
        <f t="shared" ca="1" si="69"/>
        <v>1815.011037928248</v>
      </c>
      <c r="AB57" s="14">
        <f t="shared" si="97"/>
        <v>4016.4588107467653</v>
      </c>
      <c r="AC57" s="25">
        <f t="shared" ca="1" si="70"/>
        <v>1131536.3017342794</v>
      </c>
      <c r="AD57" s="41">
        <f t="shared" si="71"/>
        <v>2503989.7024362464</v>
      </c>
      <c r="AE57" s="5">
        <f t="shared" ca="1" si="72"/>
        <v>45.189335268965195</v>
      </c>
      <c r="AF57" s="7">
        <f t="shared" ca="1" si="73"/>
        <v>1815.011037928248</v>
      </c>
      <c r="AG57" s="41">
        <f t="shared" ca="1" si="74"/>
        <v>2201.4477728185175</v>
      </c>
      <c r="AH57" s="41">
        <f t="shared" ca="1" si="75"/>
        <v>1372453.4007019671</v>
      </c>
      <c r="AI57" s="41">
        <f t="shared" ca="1" si="76"/>
        <v>1453.3008044434316</v>
      </c>
      <c r="AJ57" s="13">
        <f t="shared" ca="1" si="77"/>
        <v>-8.3973768907346659E-15</v>
      </c>
      <c r="AK57" s="11"/>
      <c r="AL57" s="6">
        <v>0</v>
      </c>
      <c r="AM57" s="41">
        <f t="shared" si="78"/>
        <v>48.731149670316235</v>
      </c>
      <c r="AN57" s="41">
        <f t="shared" ca="1" si="79"/>
        <v>19.67250528258996</v>
      </c>
      <c r="AO57" s="6">
        <v>5</v>
      </c>
      <c r="AP57" s="67">
        <f t="shared" si="98"/>
        <v>0.80071182713153521</v>
      </c>
      <c r="AQ57" s="11">
        <f t="shared" si="80"/>
        <v>0.98330272071837588</v>
      </c>
      <c r="AR57" s="11">
        <f t="shared" si="81"/>
        <v>0.68770269343653956</v>
      </c>
      <c r="AS57" s="11">
        <f t="shared" si="82"/>
        <v>0.69938044403469313</v>
      </c>
      <c r="AT57" s="11">
        <f t="shared" si="83"/>
        <v>510.00962215499999</v>
      </c>
      <c r="AU57" s="11">
        <f t="shared" si="84"/>
        <v>1455.3301939042735</v>
      </c>
      <c r="AV57" s="11">
        <f t="shared" si="85"/>
        <v>1.6623573774260621E-3</v>
      </c>
      <c r="AW57" s="11">
        <f t="shared" si="86"/>
        <v>3.6885478983619832E-7</v>
      </c>
      <c r="AX57" s="41">
        <f t="shared" ca="1" si="87"/>
        <v>2.6269495013910231</v>
      </c>
      <c r="AY57" s="41">
        <f t="shared" ca="1" si="88"/>
        <v>3.5385531694234049</v>
      </c>
      <c r="AZ57" s="41">
        <f t="shared" si="89"/>
        <v>0.38092175475491041</v>
      </c>
      <c r="BA57" s="167">
        <f t="shared" ca="1" si="99"/>
        <v>0.77008421515012748</v>
      </c>
      <c r="BB57" s="156">
        <f t="shared" ca="1" si="100"/>
        <v>0.65700822821438076</v>
      </c>
      <c r="BC57" s="156">
        <f t="shared" ca="1" si="101"/>
        <v>0.33133489441182284</v>
      </c>
    </row>
    <row r="58" spans="1:55" ht="14.5">
      <c r="A58" s="41">
        <f t="shared" ca="1" si="90"/>
        <v>552.70040300254595</v>
      </c>
      <c r="B58" s="41">
        <f t="shared" ca="1" si="52"/>
        <v>9.211673383375766</v>
      </c>
      <c r="C58" s="41">
        <f t="shared" ca="1" si="52"/>
        <v>0.15352788972292944</v>
      </c>
      <c r="D58" s="41">
        <f t="shared" ca="1" si="91"/>
        <v>16860.845031170029</v>
      </c>
      <c r="E58" s="41">
        <f t="shared" ca="1" si="92"/>
        <v>53.866894563676524</v>
      </c>
      <c r="F58" s="7">
        <f t="shared" si="93"/>
        <v>50</v>
      </c>
      <c r="G58" s="41"/>
      <c r="H58" s="7">
        <f t="shared" si="94"/>
        <v>10000</v>
      </c>
      <c r="I58" s="6">
        <v>15</v>
      </c>
      <c r="J58" s="41">
        <f t="shared" si="54"/>
        <v>0.56312736305628042</v>
      </c>
      <c r="K58" s="41">
        <f t="shared" si="55"/>
        <v>623.43218751213556</v>
      </c>
      <c r="L58" s="6">
        <f t="shared" si="95"/>
        <v>312.5</v>
      </c>
      <c r="M58" s="41">
        <f t="shared" si="56"/>
        <v>369.37359618594013</v>
      </c>
      <c r="N58" s="41">
        <f t="shared" si="57"/>
        <v>323.0523029359008</v>
      </c>
      <c r="O58" s="41">
        <f t="shared" si="58"/>
        <v>2809688.5950590433</v>
      </c>
      <c r="P58" s="41">
        <f t="shared" si="59"/>
        <v>18040175.103968069</v>
      </c>
      <c r="Q58" s="41">
        <f t="shared" si="60"/>
        <v>2.6593181686088391E-3</v>
      </c>
      <c r="R58" s="41">
        <f t="shared" si="61"/>
        <v>2.1167684922673683E-2</v>
      </c>
      <c r="S58" s="24">
        <f t="shared" ca="1" si="96"/>
        <v>0</v>
      </c>
      <c r="T58" s="10">
        <f t="shared" ca="1" si="62"/>
        <v>0</v>
      </c>
      <c r="U58" s="41">
        <f t="shared" ca="1" si="63"/>
        <v>0.22692307471090178</v>
      </c>
      <c r="V58" s="41">
        <f t="shared" ca="1" si="64"/>
        <v>2.4419882408474355E-2</v>
      </c>
      <c r="W58" s="41">
        <f t="shared" ca="1" si="65"/>
        <v>9.2925539490785329</v>
      </c>
      <c r="X58" s="20">
        <f t="shared" ca="1" si="66"/>
        <v>1814.4468273807524</v>
      </c>
      <c r="Y58" s="41">
        <f t="shared" si="67"/>
        <v>0.5789311072750698</v>
      </c>
      <c r="Z58" s="41">
        <f t="shared" ca="1" si="68"/>
        <v>191.70036059579283</v>
      </c>
      <c r="AA58" s="14">
        <f t="shared" ca="1" si="69"/>
        <v>1814.4468273807527</v>
      </c>
      <c r="AB58" s="14">
        <f t="shared" si="97"/>
        <v>4016.4588107467653</v>
      </c>
      <c r="AC58" s="25">
        <f t="shared" ca="1" si="70"/>
        <v>1131184.5547184369</v>
      </c>
      <c r="AD58" s="41">
        <f t="shared" si="71"/>
        <v>2503989.7024362464</v>
      </c>
      <c r="AE58" s="5">
        <f t="shared" ca="1" si="72"/>
        <v>45.175287806409727</v>
      </c>
      <c r="AF58" s="7">
        <f t="shared" ca="1" si="73"/>
        <v>1814.4468273807524</v>
      </c>
      <c r="AG58" s="41">
        <f t="shared" ca="1" si="74"/>
        <v>2202.0119833660128</v>
      </c>
      <c r="AH58" s="41">
        <f t="shared" ca="1" si="75"/>
        <v>1372805.1477178095</v>
      </c>
      <c r="AI58" s="41">
        <f t="shared" ca="1" si="76"/>
        <v>1452.8490343850597</v>
      </c>
      <c r="AJ58" s="13">
        <f t="shared" ca="1" si="77"/>
        <v>0</v>
      </c>
      <c r="AK58" s="11"/>
      <c r="AL58" s="6">
        <v>0</v>
      </c>
      <c r="AM58" s="41">
        <f t="shared" si="78"/>
        <v>48.731149670316235</v>
      </c>
      <c r="AN58" s="41">
        <f t="shared" ca="1" si="79"/>
        <v>19.6663899286091</v>
      </c>
      <c r="AO58" s="6">
        <v>5</v>
      </c>
      <c r="AP58" s="67">
        <f t="shared" si="98"/>
        <v>0.80071182713153521</v>
      </c>
      <c r="AQ58" s="11">
        <f t="shared" si="80"/>
        <v>0.98330272071837588</v>
      </c>
      <c r="AR58" s="11">
        <f t="shared" si="81"/>
        <v>0.68770269343653956</v>
      </c>
      <c r="AS58" s="11">
        <f t="shared" si="82"/>
        <v>0.69938044403469313</v>
      </c>
      <c r="AT58" s="11">
        <f t="shared" si="83"/>
        <v>510.00962215499999</v>
      </c>
      <c r="AU58" s="11">
        <f t="shared" si="84"/>
        <v>1455.3301939042735</v>
      </c>
      <c r="AV58" s="11">
        <f t="shared" si="85"/>
        <v>1.6623573774260621E-3</v>
      </c>
      <c r="AW58" s="11">
        <f t="shared" si="86"/>
        <v>3.6885478983619832E-7</v>
      </c>
      <c r="AX58" s="41">
        <f t="shared" ca="1" si="87"/>
        <v>2.6298267280070058</v>
      </c>
      <c r="AY58" s="41">
        <f t="shared" ca="1" si="88"/>
        <v>3.5424288508385762</v>
      </c>
      <c r="AZ58" s="41">
        <f t="shared" si="89"/>
        <v>0.38092175475491041</v>
      </c>
      <c r="BA58" s="167">
        <f t="shared" ca="1" si="99"/>
        <v>0.77012748831209266</v>
      </c>
      <c r="BB58" s="156">
        <f t="shared" ca="1" si="100"/>
        <v>0.65708223091710494</v>
      </c>
      <c r="BC58" s="156">
        <f t="shared" ca="1" si="101"/>
        <v>0.33167840720017416</v>
      </c>
    </row>
    <row r="59" spans="1:55" ht="14.5">
      <c r="A59" s="41">
        <f t="shared" ca="1" si="90"/>
        <v>601.43155267286215</v>
      </c>
      <c r="B59" s="41">
        <f t="shared" ca="1" si="52"/>
        <v>10.023859211214369</v>
      </c>
      <c r="C59" s="41">
        <f t="shared" ca="1" si="52"/>
        <v>0.16706432018690615</v>
      </c>
      <c r="D59" s="41">
        <f t="shared" ca="1" si="91"/>
        <v>16841.178641241419</v>
      </c>
      <c r="E59" s="41">
        <f t="shared" ca="1" si="92"/>
        <v>58.866894563676524</v>
      </c>
      <c r="F59" s="7">
        <f t="shared" si="93"/>
        <v>55</v>
      </c>
      <c r="G59" s="41"/>
      <c r="H59" s="7">
        <f t="shared" si="94"/>
        <v>10000</v>
      </c>
      <c r="I59" s="6">
        <v>15</v>
      </c>
      <c r="J59" s="41">
        <f t="shared" si="54"/>
        <v>0.56312736305628042</v>
      </c>
      <c r="K59" s="41">
        <f t="shared" si="55"/>
        <v>623.43218751213556</v>
      </c>
      <c r="L59" s="6">
        <f t="shared" si="95"/>
        <v>312.5</v>
      </c>
      <c r="M59" s="41">
        <f t="shared" si="56"/>
        <v>369.37359618594013</v>
      </c>
      <c r="N59" s="41">
        <f t="shared" si="57"/>
        <v>323.0523029359008</v>
      </c>
      <c r="O59" s="41">
        <f t="shared" si="58"/>
        <v>2809688.5950590433</v>
      </c>
      <c r="P59" s="41">
        <f t="shared" si="59"/>
        <v>18040175.103968069</v>
      </c>
      <c r="Q59" s="41">
        <f t="shared" si="60"/>
        <v>2.6593181686088391E-3</v>
      </c>
      <c r="R59" s="41">
        <f t="shared" si="61"/>
        <v>2.1167684922673683E-2</v>
      </c>
      <c r="S59" s="24">
        <f t="shared" ca="1" si="96"/>
        <v>0</v>
      </c>
      <c r="T59" s="10">
        <f t="shared" ca="1" si="62"/>
        <v>-7.7355345803245161E-16</v>
      </c>
      <c r="U59" s="41">
        <f t="shared" ca="1" si="63"/>
        <v>0.22665839297859161</v>
      </c>
      <c r="V59" s="41">
        <f t="shared" ca="1" si="64"/>
        <v>2.4412300145180654E-2</v>
      </c>
      <c r="W59" s="41">
        <f t="shared" ca="1" si="65"/>
        <v>9.2845979948897739</v>
      </c>
      <c r="X59" s="20">
        <f t="shared" ca="1" si="66"/>
        <v>1813.8834498284982</v>
      </c>
      <c r="Y59" s="41">
        <f t="shared" si="67"/>
        <v>0.5789311072750698</v>
      </c>
      <c r="Z59" s="41">
        <f t="shared" ca="1" si="68"/>
        <v>191.58852889288158</v>
      </c>
      <c r="AA59" s="14">
        <f t="shared" ca="1" si="69"/>
        <v>1813.883449828498</v>
      </c>
      <c r="AB59" s="14">
        <f t="shared" si="97"/>
        <v>4016.4588107467653</v>
      </c>
      <c r="AC59" s="25">
        <f t="shared" ca="1" si="70"/>
        <v>1130833.3270186395</v>
      </c>
      <c r="AD59" s="41">
        <f t="shared" si="71"/>
        <v>2503989.7024362464</v>
      </c>
      <c r="AE59" s="5">
        <f t="shared" ca="1" si="72"/>
        <v>45.161261083398223</v>
      </c>
      <c r="AF59" s="7">
        <f t="shared" ca="1" si="73"/>
        <v>1813.883449828498</v>
      </c>
      <c r="AG59" s="41">
        <f t="shared" ca="1" si="74"/>
        <v>2202.5753609182675</v>
      </c>
      <c r="AH59" s="41">
        <f t="shared" ca="1" si="75"/>
        <v>1373156.3754176069</v>
      </c>
      <c r="AI59" s="41">
        <f t="shared" ca="1" si="76"/>
        <v>1452.3979313158291</v>
      </c>
      <c r="AJ59" s="13">
        <f t="shared" ca="1" si="77"/>
        <v>-8.4169921169958859E-15</v>
      </c>
      <c r="AK59" s="11"/>
      <c r="AL59" s="6">
        <v>0</v>
      </c>
      <c r="AM59" s="41">
        <f t="shared" si="78"/>
        <v>48.731149670316235</v>
      </c>
      <c r="AN59" s="41">
        <f t="shared" ca="1" si="79"/>
        <v>19.660283603280373</v>
      </c>
      <c r="AO59" s="6">
        <v>5</v>
      </c>
      <c r="AP59" s="67">
        <f t="shared" si="98"/>
        <v>0.80071182713153521</v>
      </c>
      <c r="AQ59" s="11">
        <f t="shared" si="80"/>
        <v>0.98330272071837588</v>
      </c>
      <c r="AR59" s="11">
        <f t="shared" si="81"/>
        <v>0.68770269343653956</v>
      </c>
      <c r="AS59" s="11">
        <f t="shared" si="82"/>
        <v>0.69938044403469313</v>
      </c>
      <c r="AT59" s="11">
        <f t="shared" si="83"/>
        <v>510.00962215499999</v>
      </c>
      <c r="AU59" s="11">
        <f t="shared" si="84"/>
        <v>1455.3301939042735</v>
      </c>
      <c r="AV59" s="11">
        <f t="shared" si="85"/>
        <v>1.6623573774260621E-3</v>
      </c>
      <c r="AW59" s="11">
        <f t="shared" si="86"/>
        <v>3.6885478983619832E-7</v>
      </c>
      <c r="AX59" s="41">
        <f t="shared" ca="1" si="87"/>
        <v>2.6327100070220988</v>
      </c>
      <c r="AY59" s="41">
        <f t="shared" ca="1" si="88"/>
        <v>3.5463126849555957</v>
      </c>
      <c r="AZ59" s="41">
        <f t="shared" si="89"/>
        <v>0.38092175475491041</v>
      </c>
      <c r="BA59" s="167">
        <f t="shared" ca="1" si="99"/>
        <v>0.77017072144682086</v>
      </c>
      <c r="BB59" s="156">
        <f t="shared" ca="1" si="100"/>
        <v>0.65715610579049621</v>
      </c>
      <c r="BC59" s="156">
        <f t="shared" ca="1" si="101"/>
        <v>0.33202115090035278</v>
      </c>
    </row>
    <row r="60" spans="1:55" ht="14.5">
      <c r="A60" s="41">
        <f t="shared" ca="1" si="90"/>
        <v>650.16270234317835</v>
      </c>
      <c r="B60" s="41">
        <f t="shared" ca="1" si="52"/>
        <v>10.836045039052973</v>
      </c>
      <c r="C60" s="41">
        <f t="shared" ca="1" si="52"/>
        <v>0.18060075065088288</v>
      </c>
      <c r="D60" s="41">
        <f t="shared" ca="1" si="91"/>
        <v>16821.518357638139</v>
      </c>
      <c r="E60" s="41">
        <f t="shared" ca="1" si="92"/>
        <v>63.866894563676524</v>
      </c>
      <c r="F60" s="7">
        <f t="shared" si="93"/>
        <v>60</v>
      </c>
      <c r="G60" s="41"/>
      <c r="H60" s="7">
        <f t="shared" si="94"/>
        <v>10000</v>
      </c>
      <c r="I60" s="6">
        <v>15</v>
      </c>
      <c r="J60" s="41">
        <f t="shared" si="54"/>
        <v>0.56312736305628042</v>
      </c>
      <c r="K60" s="41">
        <f t="shared" si="55"/>
        <v>623.43218751213556</v>
      </c>
      <c r="L60" s="6">
        <f t="shared" si="95"/>
        <v>312.5</v>
      </c>
      <c r="M60" s="41">
        <f t="shared" si="56"/>
        <v>369.37359618594013</v>
      </c>
      <c r="N60" s="41">
        <f t="shared" si="57"/>
        <v>323.0523029359008</v>
      </c>
      <c r="O60" s="41">
        <f t="shared" si="58"/>
        <v>2809688.5950590433</v>
      </c>
      <c r="P60" s="41">
        <f t="shared" si="59"/>
        <v>18040175.103968069</v>
      </c>
      <c r="Q60" s="41">
        <f t="shared" si="60"/>
        <v>2.6593181686088391E-3</v>
      </c>
      <c r="R60" s="41">
        <f t="shared" si="61"/>
        <v>2.1167684922673683E-2</v>
      </c>
      <c r="S60" s="24">
        <f t="shared" ca="1" si="96"/>
        <v>-7.7445755479969206E-16</v>
      </c>
      <c r="T60" s="10">
        <f t="shared" ca="1" si="62"/>
        <v>-7.7445755479969206E-16</v>
      </c>
      <c r="U60" s="41">
        <f t="shared" ca="1" si="63"/>
        <v>0.22639379342876495</v>
      </c>
      <c r="V60" s="41">
        <f t="shared" ca="1" si="64"/>
        <v>2.4404729081092334E-2</v>
      </c>
      <c r="W60" s="41">
        <f t="shared" ca="1" si="65"/>
        <v>9.2766362075358781</v>
      </c>
      <c r="X60" s="20">
        <f t="shared" ca="1" si="66"/>
        <v>1813.3209043999348</v>
      </c>
      <c r="Y60" s="41">
        <f t="shared" si="67"/>
        <v>0.5789311072750698</v>
      </c>
      <c r="Z60" s="41">
        <f t="shared" ca="1" si="68"/>
        <v>191.47666662847408</v>
      </c>
      <c r="AA60" s="14">
        <f t="shared" ca="1" si="69"/>
        <v>1813.3209043999348</v>
      </c>
      <c r="AB60" s="14">
        <f t="shared" si="97"/>
        <v>4016.4588107467653</v>
      </c>
      <c r="AC60" s="25">
        <f t="shared" ca="1" si="70"/>
        <v>1130482.6180915353</v>
      </c>
      <c r="AD60" s="41">
        <f t="shared" si="71"/>
        <v>2503989.7024362464</v>
      </c>
      <c r="AE60" s="5">
        <f t="shared" ca="1" si="72"/>
        <v>45.147255078231233</v>
      </c>
      <c r="AF60" s="7">
        <f t="shared" ca="1" si="73"/>
        <v>1813.3209043999345</v>
      </c>
      <c r="AG60" s="41">
        <f t="shared" ca="1" si="74"/>
        <v>2203.1379063468303</v>
      </c>
      <c r="AH60" s="41">
        <f t="shared" ca="1" si="75"/>
        <v>1373507.0843447112</v>
      </c>
      <c r="AI60" s="41">
        <f t="shared" ca="1" si="76"/>
        <v>1451.9474945378795</v>
      </c>
      <c r="AJ60" s="13">
        <f t="shared" ca="1" si="77"/>
        <v>-8.4268295435936809E-15</v>
      </c>
      <c r="AK60" s="11"/>
      <c r="AL60" s="6">
        <v>0</v>
      </c>
      <c r="AM60" s="41">
        <f t="shared" si="78"/>
        <v>48.731149670316235</v>
      </c>
      <c r="AN60" s="41">
        <f t="shared" ca="1" si="79"/>
        <v>19.654186297157242</v>
      </c>
      <c r="AO60" s="6">
        <v>5</v>
      </c>
      <c r="AP60" s="67">
        <f t="shared" si="98"/>
        <v>0.80071182713153521</v>
      </c>
      <c r="AQ60" s="11">
        <f t="shared" si="80"/>
        <v>0.98330272071837588</v>
      </c>
      <c r="AR60" s="11">
        <f t="shared" si="81"/>
        <v>0.68770269343653956</v>
      </c>
      <c r="AS60" s="11">
        <f t="shared" si="82"/>
        <v>0.69938044403469313</v>
      </c>
      <c r="AT60" s="11">
        <f t="shared" si="83"/>
        <v>510.00962215499999</v>
      </c>
      <c r="AU60" s="11">
        <f t="shared" si="84"/>
        <v>1455.3301939042735</v>
      </c>
      <c r="AV60" s="11">
        <f t="shared" si="85"/>
        <v>1.6623573774260621E-3</v>
      </c>
      <c r="AW60" s="11">
        <f t="shared" si="86"/>
        <v>3.6885478983619832E-7</v>
      </c>
      <c r="AX60" s="41">
        <f t="shared" ca="1" si="87"/>
        <v>2.6355993576037253</v>
      </c>
      <c r="AY60" s="41">
        <f t="shared" ca="1" si="88"/>
        <v>3.5502046975933625</v>
      </c>
      <c r="AZ60" s="41">
        <f t="shared" si="89"/>
        <v>0.38092175475491041</v>
      </c>
      <c r="BA60" s="167">
        <f t="shared" ca="1" si="99"/>
        <v>0.770213914593046</v>
      </c>
      <c r="BB60" s="156">
        <f t="shared" ca="1" si="100"/>
        <v>0.65722985298351821</v>
      </c>
      <c r="BC60" s="156">
        <f t="shared" ca="1" si="101"/>
        <v>0.33236312712532623</v>
      </c>
    </row>
    <row r="61" spans="1:55" ht="14.5">
      <c r="A61" s="41">
        <f t="shared" ca="1" si="90"/>
        <v>698.89385201349455</v>
      </c>
      <c r="B61" s="41">
        <f t="shared" ca="1" si="52"/>
        <v>11.648230866891575</v>
      </c>
      <c r="C61" s="41">
        <f t="shared" ca="1" si="52"/>
        <v>0.19413718111485959</v>
      </c>
      <c r="D61" s="41">
        <f t="shared" ca="1" si="91"/>
        <v>16801.864171340982</v>
      </c>
      <c r="E61" s="41">
        <f t="shared" ca="1" si="92"/>
        <v>68.866894563676524</v>
      </c>
      <c r="F61" s="7">
        <f t="shared" si="93"/>
        <v>65</v>
      </c>
      <c r="G61" s="41"/>
      <c r="H61" s="7">
        <f t="shared" si="94"/>
        <v>10000</v>
      </c>
      <c r="I61" s="6">
        <v>15</v>
      </c>
      <c r="J61" s="41">
        <f t="shared" si="54"/>
        <v>0.56312736305628042</v>
      </c>
      <c r="K61" s="41">
        <f t="shared" si="55"/>
        <v>623.43218751213556</v>
      </c>
      <c r="L61" s="6">
        <f t="shared" si="95"/>
        <v>312.5</v>
      </c>
      <c r="M61" s="41">
        <f t="shared" si="56"/>
        <v>369.37359618594013</v>
      </c>
      <c r="N61" s="41">
        <f t="shared" si="57"/>
        <v>323.0523029359008</v>
      </c>
      <c r="O61" s="41">
        <f t="shared" si="58"/>
        <v>2809688.5950590433</v>
      </c>
      <c r="P61" s="41">
        <f t="shared" si="59"/>
        <v>18040175.103968069</v>
      </c>
      <c r="Q61" s="41">
        <f t="shared" si="60"/>
        <v>2.6593181686088391E-3</v>
      </c>
      <c r="R61" s="41">
        <f t="shared" si="61"/>
        <v>2.1167684922673683E-2</v>
      </c>
      <c r="S61" s="24">
        <f t="shared" ca="1" si="96"/>
        <v>7.7536348600506609E-16</v>
      </c>
      <c r="T61" s="10">
        <f t="shared" ca="1" si="62"/>
        <v>-7.7536348600506609E-16</v>
      </c>
      <c r="U61" s="41">
        <f t="shared" ca="1" si="63"/>
        <v>0.22612927594003607</v>
      </c>
      <c r="V61" s="41">
        <f t="shared" ca="1" si="64"/>
        <v>2.4397169204502016E-2</v>
      </c>
      <c r="W61" s="41">
        <f t="shared" ca="1" si="65"/>
        <v>9.2686685920228964</v>
      </c>
      <c r="X61" s="20">
        <f t="shared" ca="1" si="66"/>
        <v>1812.7591902251795</v>
      </c>
      <c r="Y61" s="41">
        <f t="shared" si="67"/>
        <v>0.5789311072750698</v>
      </c>
      <c r="Z61" s="41">
        <f t="shared" ca="1" si="68"/>
        <v>191.36477369761405</v>
      </c>
      <c r="AA61" s="14">
        <f t="shared" ca="1" si="69"/>
        <v>1812.7591902251797</v>
      </c>
      <c r="AB61" s="14">
        <f t="shared" si="97"/>
        <v>4016.4588107467653</v>
      </c>
      <c r="AC61" s="25">
        <f t="shared" ca="1" si="70"/>
        <v>1130132.4273948113</v>
      </c>
      <c r="AD61" s="41">
        <f t="shared" si="71"/>
        <v>2503989.7024362464</v>
      </c>
      <c r="AE61" s="5">
        <f t="shared" ca="1" si="72"/>
        <v>45.133269769250795</v>
      </c>
      <c r="AF61" s="7">
        <f t="shared" ca="1" si="73"/>
        <v>1812.7591902251797</v>
      </c>
      <c r="AG61" s="41">
        <f t="shared" ca="1" si="74"/>
        <v>2203.6996205215855</v>
      </c>
      <c r="AH61" s="41">
        <f t="shared" ca="1" si="75"/>
        <v>1373857.2750414351</v>
      </c>
      <c r="AI61" s="41">
        <f t="shared" ca="1" si="76"/>
        <v>1451.4977233546858</v>
      </c>
      <c r="AJ61" s="13">
        <f t="shared" ca="1" si="77"/>
        <v>-8.4366869306106919E-15</v>
      </c>
      <c r="AK61" s="11"/>
      <c r="AL61" s="6">
        <v>0</v>
      </c>
      <c r="AM61" s="41">
        <f t="shared" si="78"/>
        <v>48.731149670316235</v>
      </c>
      <c r="AN61" s="41">
        <f t="shared" ca="1" si="79"/>
        <v>19.648098000811242</v>
      </c>
      <c r="AO61" s="6">
        <v>5</v>
      </c>
      <c r="AP61" s="67">
        <f t="shared" si="98"/>
        <v>0.80071182713153521</v>
      </c>
      <c r="AQ61" s="11">
        <f t="shared" si="80"/>
        <v>0.98330272071837588</v>
      </c>
      <c r="AR61" s="11">
        <f t="shared" si="81"/>
        <v>0.68770269343653956</v>
      </c>
      <c r="AS61" s="11">
        <f t="shared" si="82"/>
        <v>0.69938044403469313</v>
      </c>
      <c r="AT61" s="11">
        <f t="shared" si="83"/>
        <v>510.00962215499999</v>
      </c>
      <c r="AU61" s="11">
        <f t="shared" si="84"/>
        <v>1455.3301939042735</v>
      </c>
      <c r="AV61" s="11">
        <f t="shared" si="85"/>
        <v>1.6623573774260621E-3</v>
      </c>
      <c r="AW61" s="11">
        <f t="shared" si="86"/>
        <v>3.6885478983619832E-7</v>
      </c>
      <c r="AX61" s="41">
        <f t="shared" ca="1" si="87"/>
        <v>2.6384947990011911</v>
      </c>
      <c r="AY61" s="41">
        <f t="shared" ca="1" si="88"/>
        <v>3.554104914681075</v>
      </c>
      <c r="AZ61" s="41">
        <f t="shared" si="89"/>
        <v>0.38092175475491041</v>
      </c>
      <c r="BA61" s="167">
        <f t="shared" ca="1" si="99"/>
        <v>0.77025706778908831</v>
      </c>
      <c r="BB61" s="156">
        <f t="shared" ca="1" si="100"/>
        <v>0.65730347264509026</v>
      </c>
      <c r="BC61" s="156">
        <f t="shared" ca="1" si="101"/>
        <v>0.33270433748597306</v>
      </c>
    </row>
    <row r="62" spans="1:55" ht="14.5">
      <c r="A62" s="41">
        <f t="shared" ca="1" si="90"/>
        <v>747.62500168381075</v>
      </c>
      <c r="B62" s="41">
        <f t="shared" ca="1" si="52"/>
        <v>12.46041669473018</v>
      </c>
      <c r="C62" s="41">
        <f t="shared" ca="1" si="52"/>
        <v>0.20767361157883632</v>
      </c>
      <c r="D62" s="41">
        <f t="shared" ca="1" si="91"/>
        <v>16782.216073340169</v>
      </c>
      <c r="E62" s="41">
        <f t="shared" ca="1" si="92"/>
        <v>73.866894563676524</v>
      </c>
      <c r="F62" s="7">
        <f t="shared" si="93"/>
        <v>70</v>
      </c>
      <c r="G62" s="41"/>
      <c r="H62" s="7">
        <f t="shared" si="94"/>
        <v>10000</v>
      </c>
      <c r="I62" s="6">
        <v>15</v>
      </c>
      <c r="J62" s="41">
        <f t="shared" si="54"/>
        <v>0.56312736305628042</v>
      </c>
      <c r="K62" s="41">
        <f t="shared" si="55"/>
        <v>623.43218751213556</v>
      </c>
      <c r="L62" s="6">
        <f t="shared" si="95"/>
        <v>312.5</v>
      </c>
      <c r="M62" s="41">
        <f t="shared" si="56"/>
        <v>369.37359618594013</v>
      </c>
      <c r="N62" s="41">
        <f t="shared" si="57"/>
        <v>323.0523029359008</v>
      </c>
      <c r="O62" s="41">
        <f t="shared" si="58"/>
        <v>2809688.5950590433</v>
      </c>
      <c r="P62" s="41">
        <f t="shared" si="59"/>
        <v>18040175.103968069</v>
      </c>
      <c r="Q62" s="41">
        <f t="shared" si="60"/>
        <v>2.6593181686088391E-3</v>
      </c>
      <c r="R62" s="41">
        <f t="shared" si="61"/>
        <v>2.1167684922673683E-2</v>
      </c>
      <c r="S62" s="24">
        <f t="shared" ca="1" si="96"/>
        <v>1.5525425150460106E-15</v>
      </c>
      <c r="T62" s="10">
        <f t="shared" ca="1" si="62"/>
        <v>1.5525425150460106E-15</v>
      </c>
      <c r="U62" s="41">
        <f t="shared" ca="1" si="63"/>
        <v>0.22586484039114613</v>
      </c>
      <c r="V62" s="41">
        <f t="shared" ca="1" si="64"/>
        <v>2.4389620503724698E-2</v>
      </c>
      <c r="W62" s="41">
        <f t="shared" ca="1" si="65"/>
        <v>9.2606951533605386</v>
      </c>
      <c r="X62" s="20">
        <f t="shared" ca="1" si="66"/>
        <v>1812.1983064360136</v>
      </c>
      <c r="Y62" s="41">
        <f t="shared" si="67"/>
        <v>0.5789311072750698</v>
      </c>
      <c r="Z62" s="41">
        <f t="shared" ca="1" si="68"/>
        <v>191.2528499951386</v>
      </c>
      <c r="AA62" s="14">
        <f t="shared" ca="1" si="69"/>
        <v>1812.1983064360138</v>
      </c>
      <c r="AB62" s="14">
        <f t="shared" si="97"/>
        <v>4016.4588107467653</v>
      </c>
      <c r="AC62" s="25">
        <f t="shared" ca="1" si="70"/>
        <v>1129782.7543871915</v>
      </c>
      <c r="AD62" s="41">
        <f t="shared" si="71"/>
        <v>2503989.7024362464</v>
      </c>
      <c r="AE62" s="5">
        <f t="shared" ca="1" si="72"/>
        <v>45.119305134840374</v>
      </c>
      <c r="AF62" s="7">
        <f t="shared" ca="1" si="73"/>
        <v>1812.198306436014</v>
      </c>
      <c r="AG62" s="41">
        <f t="shared" ca="1" si="74"/>
        <v>2204.2605043107515</v>
      </c>
      <c r="AH62" s="41">
        <f t="shared" ca="1" si="75"/>
        <v>1374206.9480490549</v>
      </c>
      <c r="AI62" s="41">
        <f t="shared" ca="1" si="76"/>
        <v>1451.0486170710547</v>
      </c>
      <c r="AJ62" s="13">
        <f t="shared" ca="1" si="77"/>
        <v>1.6893128683932569E-14</v>
      </c>
      <c r="AK62" s="11"/>
      <c r="AL62" s="6">
        <v>0</v>
      </c>
      <c r="AM62" s="41">
        <f t="shared" si="78"/>
        <v>48.731149670316235</v>
      </c>
      <c r="AN62" s="41">
        <f t="shared" ca="1" si="79"/>
        <v>19.642018704831933</v>
      </c>
      <c r="AO62" s="6">
        <v>5</v>
      </c>
      <c r="AP62" s="67">
        <f t="shared" si="98"/>
        <v>0.80071182713153521</v>
      </c>
      <c r="AQ62" s="11">
        <f t="shared" si="80"/>
        <v>0.98330272071837588</v>
      </c>
      <c r="AR62" s="11">
        <f t="shared" si="81"/>
        <v>0.68770269343653956</v>
      </c>
      <c r="AS62" s="11">
        <f t="shared" si="82"/>
        <v>0.69938044403469313</v>
      </c>
      <c r="AT62" s="11">
        <f t="shared" si="83"/>
        <v>510.00962215499999</v>
      </c>
      <c r="AU62" s="11">
        <f t="shared" si="84"/>
        <v>1455.3301939042735</v>
      </c>
      <c r="AV62" s="11">
        <f t="shared" si="85"/>
        <v>1.6623573774260621E-3</v>
      </c>
      <c r="AW62" s="11">
        <f t="shared" si="86"/>
        <v>3.6885478983619832E-7</v>
      </c>
      <c r="AX62" s="41">
        <f t="shared" ca="1" si="87"/>
        <v>2.6413963505461155</v>
      </c>
      <c r="AY62" s="41">
        <f t="shared" ca="1" si="88"/>
        <v>3.5580133622588077</v>
      </c>
      <c r="AZ62" s="41">
        <f t="shared" si="89"/>
        <v>0.38092175475491041</v>
      </c>
      <c r="BA62" s="167">
        <f t="shared" ca="1" si="99"/>
        <v>0.77030018107285747</v>
      </c>
      <c r="BB62" s="156">
        <f t="shared" ca="1" si="100"/>
        <v>0.65737696492405606</v>
      </c>
      <c r="BC62" s="156">
        <f t="shared" ca="1" si="101"/>
        <v>0.33304478359123735</v>
      </c>
    </row>
    <row r="63" spans="1:55" ht="14.5">
      <c r="A63" s="41">
        <f t="shared" ca="1" si="90"/>
        <v>796.35615135412695</v>
      </c>
      <c r="B63" s="41">
        <f t="shared" ca="1" si="52"/>
        <v>13.272602522568782</v>
      </c>
      <c r="C63" s="41">
        <f t="shared" ca="1" si="52"/>
        <v>0.22121004204281303</v>
      </c>
      <c r="D63" s="41">
        <f t="shared" ca="1" si="91"/>
        <v>16762.574054635337</v>
      </c>
      <c r="E63" s="41">
        <f t="shared" ca="1" si="92"/>
        <v>78.866894563676524</v>
      </c>
      <c r="F63" s="7">
        <f t="shared" si="93"/>
        <v>75</v>
      </c>
      <c r="G63" s="41"/>
      <c r="H63" s="7">
        <f t="shared" si="94"/>
        <v>10000</v>
      </c>
      <c r="I63" s="6">
        <v>15</v>
      </c>
      <c r="J63" s="41">
        <f t="shared" si="54"/>
        <v>0.56312736305628042</v>
      </c>
      <c r="K63" s="41">
        <f t="shared" si="55"/>
        <v>623.43218751213556</v>
      </c>
      <c r="L63" s="6">
        <f t="shared" si="95"/>
        <v>312.5</v>
      </c>
      <c r="M63" s="41">
        <f t="shared" si="56"/>
        <v>369.37359618594013</v>
      </c>
      <c r="N63" s="41">
        <f t="shared" si="57"/>
        <v>323.0523029359008</v>
      </c>
      <c r="O63" s="41">
        <f t="shared" si="58"/>
        <v>2809688.5950590433</v>
      </c>
      <c r="P63" s="41">
        <f t="shared" si="59"/>
        <v>18040175.103968069</v>
      </c>
      <c r="Q63" s="41">
        <f t="shared" si="60"/>
        <v>2.6593181686088391E-3</v>
      </c>
      <c r="R63" s="41">
        <f t="shared" si="61"/>
        <v>2.1167684922673683E-2</v>
      </c>
      <c r="S63" s="24">
        <f t="shared" ca="1" si="96"/>
        <v>0</v>
      </c>
      <c r="T63" s="10">
        <f t="shared" ca="1" si="62"/>
        <v>0</v>
      </c>
      <c r="U63" s="41">
        <f t="shared" ca="1" si="63"/>
        <v>0.22560048666096302</v>
      </c>
      <c r="V63" s="41">
        <f t="shared" ca="1" si="64"/>
        <v>2.4382082967097755E-2</v>
      </c>
      <c r="W63" s="41">
        <f t="shared" ca="1" si="65"/>
        <v>9.2527158965621652</v>
      </c>
      <c r="X63" s="20">
        <f t="shared" ca="1" si="66"/>
        <v>1811.6382521658802</v>
      </c>
      <c r="Y63" s="41">
        <f t="shared" si="67"/>
        <v>0.5789311072750698</v>
      </c>
      <c r="Z63" s="41">
        <f t="shared" ca="1" si="68"/>
        <v>191.14089541567745</v>
      </c>
      <c r="AA63" s="14">
        <f t="shared" ca="1" si="69"/>
        <v>1811.6382521658804</v>
      </c>
      <c r="AB63" s="14">
        <f t="shared" si="97"/>
        <v>4016.4588107467653</v>
      </c>
      <c r="AC63" s="25">
        <f t="shared" ca="1" si="70"/>
        <v>1129433.5985284366</v>
      </c>
      <c r="AD63" s="41">
        <f t="shared" si="71"/>
        <v>2503989.7024362464</v>
      </c>
      <c r="AE63" s="5">
        <f t="shared" ca="1" si="72"/>
        <v>45.10536115342483</v>
      </c>
      <c r="AF63" s="7">
        <f t="shared" ca="1" si="73"/>
        <v>1811.6382521658802</v>
      </c>
      <c r="AG63" s="41">
        <f t="shared" ca="1" si="74"/>
        <v>2204.8205585808846</v>
      </c>
      <c r="AH63" s="41">
        <f t="shared" ca="1" si="75"/>
        <v>1374556.1039078098</v>
      </c>
      <c r="AI63" s="41">
        <f t="shared" ca="1" si="76"/>
        <v>1450.6001749931229</v>
      </c>
      <c r="AJ63" s="13">
        <f t="shared" ca="1" si="77"/>
        <v>0</v>
      </c>
      <c r="AK63" s="11"/>
      <c r="AL63" s="6">
        <v>0</v>
      </c>
      <c r="AM63" s="41">
        <f t="shared" si="78"/>
        <v>48.731149670316235</v>
      </c>
      <c r="AN63" s="41">
        <f t="shared" ca="1" si="79"/>
        <v>19.635948399826887</v>
      </c>
      <c r="AO63" s="6">
        <v>5</v>
      </c>
      <c r="AP63" s="67">
        <f t="shared" si="98"/>
        <v>0.80071182713153521</v>
      </c>
      <c r="AQ63" s="11">
        <f t="shared" si="80"/>
        <v>0.98330272071837588</v>
      </c>
      <c r="AR63" s="11">
        <f t="shared" si="81"/>
        <v>0.68770269343653956</v>
      </c>
      <c r="AS63" s="11">
        <f t="shared" si="82"/>
        <v>0.69938044403469313</v>
      </c>
      <c r="AT63" s="11">
        <f t="shared" si="83"/>
        <v>510.00962215499999</v>
      </c>
      <c r="AU63" s="11">
        <f t="shared" si="84"/>
        <v>1455.3301939042735</v>
      </c>
      <c r="AV63" s="11">
        <f t="shared" si="85"/>
        <v>1.6623573774260621E-3</v>
      </c>
      <c r="AW63" s="11">
        <f t="shared" si="86"/>
        <v>3.6885478983619832E-7</v>
      </c>
      <c r="AX63" s="41">
        <f t="shared" ca="1" si="87"/>
        <v>2.6443040316528683</v>
      </c>
      <c r="AY63" s="41">
        <f t="shared" ca="1" si="88"/>
        <v>3.5619300664781024</v>
      </c>
      <c r="AZ63" s="41">
        <f t="shared" si="89"/>
        <v>0.38092175475491041</v>
      </c>
      <c r="BA63" s="167">
        <f t="shared" ca="1" si="99"/>
        <v>0.77034325448184149</v>
      </c>
      <c r="BB63" s="156">
        <f t="shared" ca="1" si="100"/>
        <v>0.65745032996919306</v>
      </c>
      <c r="BC63" s="156">
        <f t="shared" ca="1" si="101"/>
        <v>0.33338446704782676</v>
      </c>
    </row>
    <row r="64" spans="1:55" ht="14.5">
      <c r="A64" s="41">
        <f t="shared" ca="1" si="90"/>
        <v>845.08730102444315</v>
      </c>
      <c r="B64" s="41">
        <f t="shared" ref="B64:C68" ca="1" si="102">A64/60</f>
        <v>14.084788350407386</v>
      </c>
      <c r="C64" s="41">
        <f t="shared" ca="1" si="102"/>
        <v>0.23474647250678976</v>
      </c>
      <c r="D64" s="41">
        <f t="shared" ca="1" si="91"/>
        <v>16742.93810623551</v>
      </c>
      <c r="E64" s="41">
        <f t="shared" ca="1" si="92"/>
        <v>83.866894563676524</v>
      </c>
      <c r="F64" s="7">
        <f t="shared" si="93"/>
        <v>80</v>
      </c>
      <c r="G64" s="41"/>
      <c r="H64" s="7">
        <f t="shared" si="94"/>
        <v>10000</v>
      </c>
      <c r="I64" s="6">
        <v>15</v>
      </c>
      <c r="J64" s="41">
        <f t="shared" si="54"/>
        <v>0.56312736305628042</v>
      </c>
      <c r="K64" s="41">
        <f t="shared" si="55"/>
        <v>623.43218751213556</v>
      </c>
      <c r="L64" s="6">
        <f t="shared" si="95"/>
        <v>312.5</v>
      </c>
      <c r="M64" s="41">
        <f t="shared" si="56"/>
        <v>369.37359618594013</v>
      </c>
      <c r="N64" s="41">
        <f t="shared" si="57"/>
        <v>323.0523029359008</v>
      </c>
      <c r="O64" s="41">
        <f t="shared" si="58"/>
        <v>2809688.5950590433</v>
      </c>
      <c r="P64" s="41">
        <f t="shared" si="59"/>
        <v>18040175.103968069</v>
      </c>
      <c r="Q64" s="41">
        <f t="shared" si="60"/>
        <v>2.6593181686088391E-3</v>
      </c>
      <c r="R64" s="41">
        <f t="shared" si="61"/>
        <v>2.1167684922673683E-2</v>
      </c>
      <c r="S64" s="24">
        <f t="shared" ca="1" si="96"/>
        <v>0</v>
      </c>
      <c r="T64" s="10">
        <f t="shared" ca="1" si="62"/>
        <v>-7.7809234511968742E-16</v>
      </c>
      <c r="U64" s="41">
        <f t="shared" ca="1" si="63"/>
        <v>0.22533621462848089</v>
      </c>
      <c r="V64" s="41">
        <f t="shared" ca="1" si="64"/>
        <v>2.4374556582980867E-2</v>
      </c>
      <c r="W64" s="41">
        <f t="shared" ca="1" si="65"/>
        <v>9.2447308266447887</v>
      </c>
      <c r="X64" s="20">
        <f t="shared" ca="1" si="66"/>
        <v>1811.0790265498799</v>
      </c>
      <c r="Y64" s="41">
        <f t="shared" si="67"/>
        <v>0.5789311072750698</v>
      </c>
      <c r="Z64" s="41">
        <f t="shared" ca="1" si="68"/>
        <v>191.02890985365175</v>
      </c>
      <c r="AA64" s="14">
        <f t="shared" ca="1" si="69"/>
        <v>1811.0790265498797</v>
      </c>
      <c r="AB64" s="14">
        <f t="shared" si="97"/>
        <v>4016.4588107467653</v>
      </c>
      <c r="AC64" s="25">
        <f t="shared" ca="1" si="70"/>
        <v>1129084.9592793405</v>
      </c>
      <c r="AD64" s="41">
        <f t="shared" si="71"/>
        <v>2503989.7024362464</v>
      </c>
      <c r="AE64" s="5">
        <f t="shared" ca="1" si="72"/>
        <v>45.091437803470278</v>
      </c>
      <c r="AF64" s="7">
        <f t="shared" ca="1" si="73"/>
        <v>1811.0790265498797</v>
      </c>
      <c r="AG64" s="41">
        <f t="shared" ca="1" si="74"/>
        <v>2205.3797841968853</v>
      </c>
      <c r="AH64" s="41">
        <f t="shared" ca="1" si="75"/>
        <v>1374904.743156906</v>
      </c>
      <c r="AI64" s="41">
        <f t="shared" ca="1" si="76"/>
        <v>1450.1523964283563</v>
      </c>
      <c r="AJ64" s="13">
        <f t="shared" ca="1" si="77"/>
        <v>-8.4663794947349366E-15</v>
      </c>
      <c r="AK64" s="11"/>
      <c r="AL64" s="6">
        <v>0</v>
      </c>
      <c r="AM64" s="41">
        <f t="shared" si="78"/>
        <v>48.731149670316235</v>
      </c>
      <c r="AN64" s="41">
        <f t="shared" ca="1" si="79"/>
        <v>19.629887076421664</v>
      </c>
      <c r="AO64" s="6">
        <v>5</v>
      </c>
      <c r="AP64" s="67">
        <f t="shared" si="98"/>
        <v>0.80071182713153521</v>
      </c>
      <c r="AQ64" s="11">
        <f t="shared" si="80"/>
        <v>0.98330272071837588</v>
      </c>
      <c r="AR64" s="11">
        <f t="shared" si="81"/>
        <v>0.68770269343653956</v>
      </c>
      <c r="AS64" s="11">
        <f t="shared" si="82"/>
        <v>0.69938044403469313</v>
      </c>
      <c r="AT64" s="11">
        <f t="shared" si="83"/>
        <v>510.00962215499999</v>
      </c>
      <c r="AU64" s="11">
        <f t="shared" si="84"/>
        <v>1455.3301939042735</v>
      </c>
      <c r="AV64" s="11">
        <f t="shared" si="85"/>
        <v>1.6623573774260621E-3</v>
      </c>
      <c r="AW64" s="11">
        <f t="shared" si="86"/>
        <v>3.6885478983619832E-7</v>
      </c>
      <c r="AX64" s="41">
        <f t="shared" ca="1" si="87"/>
        <v>2.6472178618190232</v>
      </c>
      <c r="AY64" s="41">
        <f t="shared" ca="1" si="88"/>
        <v>3.5658550536025784</v>
      </c>
      <c r="AZ64" s="41">
        <f t="shared" si="89"/>
        <v>0.38092175475491041</v>
      </c>
      <c r="BA64" s="167">
        <f t="shared" ca="1" si="99"/>
        <v>0.77038628805313003</v>
      </c>
      <c r="BB64" s="156">
        <f t="shared" ca="1" si="100"/>
        <v>0.65752356792923594</v>
      </c>
      <c r="BC64" s="156">
        <f t="shared" ca="1" si="101"/>
        <v>0.33372338946055002</v>
      </c>
    </row>
    <row r="65" spans="1:55" ht="14.5">
      <c r="A65" s="41">
        <f t="shared" ca="1" si="90"/>
        <v>893.81845069475935</v>
      </c>
      <c r="B65" s="41">
        <f t="shared" ca="1" si="102"/>
        <v>14.896974178245989</v>
      </c>
      <c r="C65" s="41">
        <f t="shared" ca="1" si="102"/>
        <v>0.24828290297076647</v>
      </c>
      <c r="D65" s="41">
        <f t="shared" ca="1" si="91"/>
        <v>16723.308219159087</v>
      </c>
      <c r="E65" s="41">
        <f t="shared" ca="1" si="92"/>
        <v>88.866894563676524</v>
      </c>
      <c r="F65" s="7">
        <f t="shared" si="93"/>
        <v>85</v>
      </c>
      <c r="G65" s="41"/>
      <c r="H65" s="7">
        <f t="shared" si="94"/>
        <v>10000</v>
      </c>
      <c r="I65" s="6">
        <v>15</v>
      </c>
      <c r="J65" s="41">
        <f t="shared" si="54"/>
        <v>0.56312736305628042</v>
      </c>
      <c r="K65" s="41">
        <f t="shared" si="55"/>
        <v>623.43218751213556</v>
      </c>
      <c r="L65" s="6">
        <f t="shared" si="95"/>
        <v>312.5</v>
      </c>
      <c r="M65" s="41">
        <f t="shared" si="56"/>
        <v>369.37359618594013</v>
      </c>
      <c r="N65" s="41">
        <f t="shared" si="57"/>
        <v>323.0523029359008</v>
      </c>
      <c r="O65" s="41">
        <f t="shared" si="58"/>
        <v>2809688.5950590433</v>
      </c>
      <c r="P65" s="41">
        <f t="shared" si="59"/>
        <v>18040175.103968069</v>
      </c>
      <c r="Q65" s="41">
        <f t="shared" si="60"/>
        <v>2.6593181686088391E-3</v>
      </c>
      <c r="R65" s="41">
        <f t="shared" si="61"/>
        <v>2.1167684922673683E-2</v>
      </c>
      <c r="S65" s="24">
        <f t="shared" ca="1" si="96"/>
        <v>7.7900567307307816E-16</v>
      </c>
      <c r="T65" s="10">
        <f t="shared" ca="1" si="62"/>
        <v>7.7900567307307816E-16</v>
      </c>
      <c r="U65" s="41">
        <f t="shared" ca="1" si="63"/>
        <v>0.22507202417282016</v>
      </c>
      <c r="V65" s="41">
        <f t="shared" ca="1" si="64"/>
        <v>2.4367041339755993E-2</v>
      </c>
      <c r="W65" s="41">
        <f t="shared" ca="1" si="65"/>
        <v>9.2367399486290687</v>
      </c>
      <c r="X65" s="20">
        <f t="shared" ca="1" si="66"/>
        <v>1810.5206287247684</v>
      </c>
      <c r="Y65" s="41">
        <f t="shared" si="67"/>
        <v>0.5789311072750698</v>
      </c>
      <c r="Z65" s="41">
        <f t="shared" ca="1" si="68"/>
        <v>190.91689320327353</v>
      </c>
      <c r="AA65" s="14">
        <f t="shared" ca="1" si="69"/>
        <v>1810.5206287247686</v>
      </c>
      <c r="AB65" s="14">
        <f t="shared" si="97"/>
        <v>4016.4588107467653</v>
      </c>
      <c r="AC65" s="25">
        <f t="shared" ca="1" si="70"/>
        <v>1128736.8361017294</v>
      </c>
      <c r="AD65" s="41">
        <f t="shared" si="71"/>
        <v>2503989.7024362464</v>
      </c>
      <c r="AE65" s="5">
        <f t="shared" ca="1" si="72"/>
        <v>45.077535063484078</v>
      </c>
      <c r="AF65" s="7">
        <f t="shared" ca="1" si="73"/>
        <v>1810.5206287247686</v>
      </c>
      <c r="AG65" s="41">
        <f t="shared" ca="1" si="74"/>
        <v>2205.9381820219969</v>
      </c>
      <c r="AH65" s="41">
        <f t="shared" ca="1" si="75"/>
        <v>1375252.866334517</v>
      </c>
      <c r="AI65" s="41">
        <f t="shared" ca="1" si="76"/>
        <v>1449.7052806855454</v>
      </c>
      <c r="AJ65" s="13">
        <f t="shared" ca="1" si="77"/>
        <v>8.4763173653553788E-15</v>
      </c>
      <c r="AK65" s="11"/>
      <c r="AL65" s="6">
        <v>0</v>
      </c>
      <c r="AM65" s="41">
        <f t="shared" si="78"/>
        <v>48.731149670316235</v>
      </c>
      <c r="AN65" s="41">
        <f t="shared" ca="1" si="79"/>
        <v>19.623834725259755</v>
      </c>
      <c r="AO65" s="6">
        <v>5</v>
      </c>
      <c r="AP65" s="67">
        <f t="shared" si="98"/>
        <v>0.80071182713153521</v>
      </c>
      <c r="AQ65" s="11">
        <f t="shared" si="80"/>
        <v>0.98330272071837588</v>
      </c>
      <c r="AR65" s="11">
        <f t="shared" si="81"/>
        <v>0.68770269343653956</v>
      </c>
      <c r="AS65" s="11">
        <f t="shared" si="82"/>
        <v>0.69938044403469313</v>
      </c>
      <c r="AT65" s="11">
        <f t="shared" si="83"/>
        <v>510.00962215499999</v>
      </c>
      <c r="AU65" s="11">
        <f t="shared" si="84"/>
        <v>1455.3301939042735</v>
      </c>
      <c r="AV65" s="11">
        <f t="shared" si="85"/>
        <v>1.6623573774260621E-3</v>
      </c>
      <c r="AW65" s="11">
        <f t="shared" si="86"/>
        <v>3.6885478983619832E-7</v>
      </c>
      <c r="AX65" s="41">
        <f t="shared" ca="1" si="87"/>
        <v>2.6501378606257902</v>
      </c>
      <c r="AY65" s="41">
        <f t="shared" ca="1" si="88"/>
        <v>3.569788350008515</v>
      </c>
      <c r="AZ65" s="41">
        <f t="shared" si="89"/>
        <v>0.38092175475491041</v>
      </c>
      <c r="BA65" s="167">
        <f t="shared" ca="1" si="99"/>
        <v>0.7704292818233941</v>
      </c>
      <c r="BB65" s="156">
        <f t="shared" ca="1" si="100"/>
        <v>0.6575966789528348</v>
      </c>
      <c r="BC65" s="156">
        <f t="shared" ca="1" si="101"/>
        <v>0.3340615524319599</v>
      </c>
    </row>
    <row r="66" spans="1:55" ht="14.5">
      <c r="A66" s="41">
        <f t="shared" ca="1" si="90"/>
        <v>942.54960036507555</v>
      </c>
      <c r="B66" s="41">
        <f t="shared" ca="1" si="102"/>
        <v>15.709160006084593</v>
      </c>
      <c r="C66" s="41">
        <f t="shared" ca="1" si="102"/>
        <v>0.26181933343474323</v>
      </c>
      <c r="D66" s="41">
        <f t="shared" ca="1" si="91"/>
        <v>16703.684384433829</v>
      </c>
      <c r="E66" s="41">
        <f t="shared" ca="1" si="92"/>
        <v>93.866894563676524</v>
      </c>
      <c r="F66" s="7">
        <f t="shared" si="93"/>
        <v>90</v>
      </c>
      <c r="G66" s="41"/>
      <c r="H66" s="7">
        <f t="shared" si="94"/>
        <v>10000</v>
      </c>
      <c r="I66" s="6">
        <v>15</v>
      </c>
      <c r="J66" s="41">
        <f t="shared" si="54"/>
        <v>0.56312736305628042</v>
      </c>
      <c r="K66" s="41">
        <f t="shared" si="55"/>
        <v>623.43218751213556</v>
      </c>
      <c r="L66" s="6">
        <f t="shared" si="95"/>
        <v>312.5</v>
      </c>
      <c r="M66" s="41">
        <f t="shared" si="56"/>
        <v>369.37359618594013</v>
      </c>
      <c r="N66" s="41">
        <f t="shared" si="57"/>
        <v>323.0523029359008</v>
      </c>
      <c r="O66" s="41">
        <f t="shared" si="58"/>
        <v>2809688.5950590433</v>
      </c>
      <c r="P66" s="41">
        <f t="shared" si="59"/>
        <v>18040175.103968069</v>
      </c>
      <c r="Q66" s="41">
        <f t="shared" si="60"/>
        <v>2.6593181686088391E-3</v>
      </c>
      <c r="R66" s="41">
        <f t="shared" si="61"/>
        <v>2.1167684922673683E-2</v>
      </c>
      <c r="S66" s="24">
        <f t="shared" ca="1" si="96"/>
        <v>7.7992086508859963E-16</v>
      </c>
      <c r="T66" s="10">
        <f t="shared" ca="1" si="62"/>
        <v>-7.7992086508859963E-16</v>
      </c>
      <c r="U66" s="41">
        <f t="shared" ca="1" si="63"/>
        <v>0.22480791517322721</v>
      </c>
      <c r="V66" s="41">
        <f t="shared" ca="1" si="64"/>
        <v>2.4359537225827323E-2</v>
      </c>
      <c r="W66" s="41">
        <f t="shared" ca="1" si="65"/>
        <v>9.2287432675393148</v>
      </c>
      <c r="X66" s="20">
        <f t="shared" ca="1" si="66"/>
        <v>1809.9630578289539</v>
      </c>
      <c r="Y66" s="41">
        <f t="shared" si="67"/>
        <v>0.5789311072750698</v>
      </c>
      <c r="Z66" s="41">
        <f t="shared" ca="1" si="68"/>
        <v>190.80484535854472</v>
      </c>
      <c r="AA66" s="14">
        <f t="shared" ca="1" si="69"/>
        <v>1809.9630578289539</v>
      </c>
      <c r="AB66" s="14">
        <f t="shared" si="97"/>
        <v>4016.4588107467653</v>
      </c>
      <c r="AC66" s="25">
        <f t="shared" ca="1" si="70"/>
        <v>1128389.2284584586</v>
      </c>
      <c r="AD66" s="41">
        <f t="shared" si="71"/>
        <v>2503989.7024362464</v>
      </c>
      <c r="AE66" s="5">
        <f t="shared" ca="1" si="72"/>
        <v>45.063652912014653</v>
      </c>
      <c r="AF66" s="7">
        <f t="shared" ca="1" si="73"/>
        <v>1809.9630578289537</v>
      </c>
      <c r="AG66" s="41">
        <f t="shared" ca="1" si="74"/>
        <v>2206.4957529178114</v>
      </c>
      <c r="AH66" s="41">
        <f t="shared" ca="1" si="75"/>
        <v>1375600.4739777879</v>
      </c>
      <c r="AI66" s="41">
        <f t="shared" ca="1" si="76"/>
        <v>1449.258827074802</v>
      </c>
      <c r="AJ66" s="13">
        <f t="shared" ca="1" si="77"/>
        <v>-8.4862755187321021E-15</v>
      </c>
      <c r="AK66" s="11"/>
      <c r="AL66" s="6">
        <v>0</v>
      </c>
      <c r="AM66" s="41">
        <f t="shared" si="78"/>
        <v>48.731149670316235</v>
      </c>
      <c r="AN66" s="41">
        <f t="shared" ca="1" si="79"/>
        <v>19.617791337002537</v>
      </c>
      <c r="AO66" s="6">
        <v>5</v>
      </c>
      <c r="AP66" s="67">
        <f t="shared" si="98"/>
        <v>0.80071182713153521</v>
      </c>
      <c r="AQ66" s="11">
        <f t="shared" si="80"/>
        <v>0.98330272071837588</v>
      </c>
      <c r="AR66" s="11">
        <f t="shared" si="81"/>
        <v>0.68770269343653956</v>
      </c>
      <c r="AS66" s="11">
        <f t="shared" si="82"/>
        <v>0.69938044403469313</v>
      </c>
      <c r="AT66" s="11">
        <f t="shared" si="83"/>
        <v>510.00962215499999</v>
      </c>
      <c r="AU66" s="11">
        <f t="shared" si="84"/>
        <v>1455.3301939042735</v>
      </c>
      <c r="AV66" s="11">
        <f t="shared" si="85"/>
        <v>1.6623573774260621E-3</v>
      </c>
      <c r="AW66" s="11">
        <f t="shared" si="86"/>
        <v>3.6885478983619832E-7</v>
      </c>
      <c r="AX66" s="41">
        <f t="shared" ca="1" si="87"/>
        <v>2.6530640477384644</v>
      </c>
      <c r="AY66" s="41">
        <f t="shared" ca="1" si="88"/>
        <v>3.5737299821854549</v>
      </c>
      <c r="AZ66" s="41">
        <f t="shared" si="89"/>
        <v>0.38092175475491041</v>
      </c>
      <c r="BA66" s="167">
        <f t="shared" ca="1" si="99"/>
        <v>0.77047223582890145</v>
      </c>
      <c r="BB66" s="156">
        <f t="shared" ca="1" si="100"/>
        <v>0.65766966318857989</v>
      </c>
      <c r="BC66" s="156">
        <f t="shared" ca="1" si="101"/>
        <v>0.33439895756259119</v>
      </c>
    </row>
    <row r="67" spans="1:55" ht="14.5">
      <c r="A67" s="41">
        <f t="shared" ca="1" si="90"/>
        <v>991.28075003539175</v>
      </c>
      <c r="B67" s="41">
        <f t="shared" ca="1" si="102"/>
        <v>16.521345833923196</v>
      </c>
      <c r="C67" s="41">
        <f t="shared" ca="1" si="102"/>
        <v>0.27535576389871991</v>
      </c>
      <c r="D67" s="41">
        <f t="shared" ca="1" si="91"/>
        <v>16684.066593096828</v>
      </c>
      <c r="E67" s="41">
        <f t="shared" ca="1" si="92"/>
        <v>98.866894563676524</v>
      </c>
      <c r="F67" s="7">
        <f t="shared" si="93"/>
        <v>95</v>
      </c>
      <c r="G67" s="41"/>
      <c r="H67" s="7">
        <f t="shared" si="94"/>
        <v>10000</v>
      </c>
      <c r="I67" s="6">
        <v>15</v>
      </c>
      <c r="J67" s="41">
        <f t="shared" si="54"/>
        <v>0.56312736305628042</v>
      </c>
      <c r="K67" s="41">
        <f t="shared" si="55"/>
        <v>623.43218751213556</v>
      </c>
      <c r="L67" s="6">
        <f t="shared" si="95"/>
        <v>312.5</v>
      </c>
      <c r="M67" s="41">
        <f t="shared" si="56"/>
        <v>369.37359618594013</v>
      </c>
      <c r="N67" s="41">
        <f t="shared" si="57"/>
        <v>323.0523029359008</v>
      </c>
      <c r="O67" s="41">
        <f t="shared" si="58"/>
        <v>2809688.5950590433</v>
      </c>
      <c r="P67" s="41">
        <f t="shared" si="59"/>
        <v>18040175.103968069</v>
      </c>
      <c r="Q67" s="41">
        <f t="shared" si="60"/>
        <v>2.6593181686088391E-3</v>
      </c>
      <c r="R67" s="41">
        <f t="shared" si="61"/>
        <v>2.1167684922673683E-2</v>
      </c>
      <c r="S67" s="24">
        <f t="shared" ca="1" si="96"/>
        <v>1.5616758543345569E-15</v>
      </c>
      <c r="T67" s="10">
        <f t="shared" ca="1" si="62"/>
        <v>-7.8083792716727845E-16</v>
      </c>
      <c r="U67" s="41">
        <f t="shared" ca="1" si="63"/>
        <v>0.224543887509074</v>
      </c>
      <c r="V67" s="41">
        <f t="shared" ca="1" si="64"/>
        <v>2.4352044229621252E-2</v>
      </c>
      <c r="W67" s="41">
        <f t="shared" ca="1" si="65"/>
        <v>9.220740788403468</v>
      </c>
      <c r="X67" s="20">
        <f t="shared" ca="1" si="66"/>
        <v>1809.4063130024938</v>
      </c>
      <c r="Y67" s="41">
        <f t="shared" si="67"/>
        <v>0.5789311072750698</v>
      </c>
      <c r="Z67" s="41">
        <f t="shared" ca="1" si="68"/>
        <v>190.69276621325611</v>
      </c>
      <c r="AA67" s="14">
        <f t="shared" ca="1" si="69"/>
        <v>1809.406313002494</v>
      </c>
      <c r="AB67" s="14">
        <f t="shared" si="97"/>
        <v>4016.4588107467653</v>
      </c>
      <c r="AC67" s="25">
        <f t="shared" ca="1" si="70"/>
        <v>1128042.1358134127</v>
      </c>
      <c r="AD67" s="41">
        <f t="shared" si="71"/>
        <v>2503989.7024362464</v>
      </c>
      <c r="AE67" s="5">
        <f t="shared" ca="1" si="72"/>
        <v>45.049791327651576</v>
      </c>
      <c r="AF67" s="7">
        <f t="shared" ca="1" si="73"/>
        <v>1809.406313002494</v>
      </c>
      <c r="AG67" s="41">
        <f t="shared" ca="1" si="74"/>
        <v>2207.052497744271</v>
      </c>
      <c r="AH67" s="41">
        <f t="shared" ca="1" si="75"/>
        <v>1375947.5666228337</v>
      </c>
      <c r="AI67" s="41">
        <f t="shared" ca="1" si="76"/>
        <v>1448.8130349075616</v>
      </c>
      <c r="AJ67" s="13">
        <f t="shared" ca="1" si="77"/>
        <v>-8.4962540201619429E-15</v>
      </c>
      <c r="AK67" s="11"/>
      <c r="AL67" s="6">
        <v>0</v>
      </c>
      <c r="AM67" s="41">
        <f t="shared" si="78"/>
        <v>48.731149670316235</v>
      </c>
      <c r="AN67" s="41">
        <f t="shared" ca="1" si="79"/>
        <v>19.611756902329301</v>
      </c>
      <c r="AO67" s="6">
        <v>5</v>
      </c>
      <c r="AP67" s="67">
        <f t="shared" si="98"/>
        <v>0.80071182713153521</v>
      </c>
      <c r="AQ67" s="11">
        <f t="shared" si="80"/>
        <v>0.98330272071837588</v>
      </c>
      <c r="AR67" s="11">
        <f t="shared" si="81"/>
        <v>0.68770269343653956</v>
      </c>
      <c r="AS67" s="11">
        <f t="shared" si="82"/>
        <v>0.69938044403469313</v>
      </c>
      <c r="AT67" s="11">
        <f t="shared" si="83"/>
        <v>510.00962215499999</v>
      </c>
      <c r="AU67" s="11">
        <f t="shared" si="84"/>
        <v>1455.3301939042735</v>
      </c>
      <c r="AV67" s="11">
        <f t="shared" si="85"/>
        <v>1.6623573774260621E-3</v>
      </c>
      <c r="AW67" s="11">
        <f t="shared" si="86"/>
        <v>3.6885478983619832E-7</v>
      </c>
      <c r="AX67" s="41">
        <f t="shared" ca="1" si="87"/>
        <v>2.6559964429068796</v>
      </c>
      <c r="AY67" s="41">
        <f t="shared" ca="1" si="88"/>
        <v>3.577679976736817</v>
      </c>
      <c r="AZ67" s="41">
        <f t="shared" si="89"/>
        <v>0.38092175475491041</v>
      </c>
      <c r="BA67" s="167">
        <f t="shared" ca="1" si="99"/>
        <v>0.77051515010551674</v>
      </c>
      <c r="BB67" s="156">
        <f t="shared" ca="1" si="100"/>
        <v>0.65774252078500539</v>
      </c>
      <c r="BC67" s="156">
        <f t="shared" ca="1" si="101"/>
        <v>0.33473560645079559</v>
      </c>
    </row>
    <row r="68" spans="1:55" ht="14.5">
      <c r="A68" s="41">
        <f t="shared" ca="1" si="90"/>
        <v>1040.0118997057079</v>
      </c>
      <c r="B68" s="41">
        <f t="shared" ca="1" si="102"/>
        <v>17.3335316617618</v>
      </c>
      <c r="C68" s="41">
        <f t="shared" ca="1" si="102"/>
        <v>0.28889219436269664</v>
      </c>
      <c r="D68" s="41">
        <f t="shared" ca="1" si="91"/>
        <v>16664.454836194498</v>
      </c>
      <c r="E68" s="41">
        <f t="shared" ca="1" si="92"/>
        <v>103.86689456367652</v>
      </c>
      <c r="F68" s="7">
        <f t="shared" si="93"/>
        <v>100</v>
      </c>
      <c r="G68" s="41"/>
      <c r="H68" s="7">
        <f t="shared" si="94"/>
        <v>10000</v>
      </c>
      <c r="I68" s="6">
        <v>15</v>
      </c>
      <c r="J68" s="41">
        <f t="shared" si="54"/>
        <v>0.56312736305628042</v>
      </c>
      <c r="K68" s="41">
        <f t="shared" si="55"/>
        <v>623.43218751213556</v>
      </c>
      <c r="L68" s="6">
        <f t="shared" si="95"/>
        <v>312.5</v>
      </c>
      <c r="M68" s="41">
        <f t="shared" si="56"/>
        <v>369.37359618594013</v>
      </c>
      <c r="N68" s="41">
        <f t="shared" si="57"/>
        <v>323.0523029359008</v>
      </c>
      <c r="O68" s="41">
        <f t="shared" si="58"/>
        <v>2809688.5950590433</v>
      </c>
      <c r="P68" s="41">
        <f t="shared" si="59"/>
        <v>18040175.103968069</v>
      </c>
      <c r="Q68" s="41">
        <f t="shared" si="60"/>
        <v>2.6593181686088391E-3</v>
      </c>
      <c r="R68" s="41">
        <f t="shared" si="61"/>
        <v>2.1167684922673683E-2</v>
      </c>
      <c r="S68" s="24">
        <f t="shared" ca="1" si="96"/>
        <v>7.8175686533586855E-16</v>
      </c>
      <c r="T68" s="10">
        <f t="shared" ca="1" si="62"/>
        <v>-7.8175686533586855E-16</v>
      </c>
      <c r="U68" s="41">
        <f t="shared" ca="1" si="63"/>
        <v>0.22427994105985793</v>
      </c>
      <c r="V68" s="41">
        <f t="shared" ca="1" si="64"/>
        <v>2.4344562339586318E-2</v>
      </c>
      <c r="W68" s="41">
        <f t="shared" ca="1" si="65"/>
        <v>9.2127325162531175</v>
      </c>
      <c r="X68" s="20">
        <f t="shared" ca="1" si="66"/>
        <v>1808.8503933870911</v>
      </c>
      <c r="Y68" s="41">
        <f t="shared" si="67"/>
        <v>0.5789311072750698</v>
      </c>
      <c r="Z68" s="41">
        <f t="shared" ca="1" si="68"/>
        <v>190.58065566098651</v>
      </c>
      <c r="AA68" s="14">
        <f t="shared" ca="1" si="69"/>
        <v>1808.8503933870911</v>
      </c>
      <c r="AB68" s="14">
        <f t="shared" si="97"/>
        <v>4016.4588107467653</v>
      </c>
      <c r="AC68" s="25">
        <f t="shared" ca="1" si="70"/>
        <v>1127695.5576315012</v>
      </c>
      <c r="AD68" s="41">
        <f t="shared" si="71"/>
        <v>2503989.7024362464</v>
      </c>
      <c r="AE68" s="5">
        <f t="shared" ca="1" si="72"/>
        <v>45.03595028902533</v>
      </c>
      <c r="AF68" s="7">
        <f t="shared" ca="1" si="73"/>
        <v>1808.8503933870911</v>
      </c>
      <c r="AG68" s="41">
        <f t="shared" ca="1" si="74"/>
        <v>2207.6084173596741</v>
      </c>
      <c r="AH68" s="41">
        <f t="shared" ca="1" si="75"/>
        <v>1376294.1448047452</v>
      </c>
      <c r="AI68" s="41">
        <f t="shared" ca="1" si="76"/>
        <v>1448.3679034965739</v>
      </c>
      <c r="AJ68" s="13">
        <f t="shared" ca="1" si="77"/>
        <v>-8.5062529352216762E-15</v>
      </c>
      <c r="AK68" s="11"/>
      <c r="AL68" s="6">
        <v>0</v>
      </c>
      <c r="AM68" s="41">
        <f t="shared" si="78"/>
        <v>0</v>
      </c>
      <c r="AN68" s="41">
        <f t="shared" ca="1" si="79"/>
        <v>0</v>
      </c>
      <c r="AO68" s="6">
        <v>0</v>
      </c>
      <c r="AP68" s="67">
        <f t="shared" si="98"/>
        <v>0.80071182713153521</v>
      </c>
      <c r="AQ68" s="11">
        <f t="shared" si="80"/>
        <v>0.98330272071837588</v>
      </c>
      <c r="AR68" s="11">
        <f t="shared" si="81"/>
        <v>0.68770269343653956</v>
      </c>
      <c r="AS68" s="11">
        <f t="shared" si="82"/>
        <v>0.69938044403469313</v>
      </c>
      <c r="AT68" s="11">
        <f t="shared" si="83"/>
        <v>510.00962215499999</v>
      </c>
      <c r="AU68" s="11">
        <f t="shared" si="84"/>
        <v>1455.3301939042735</v>
      </c>
      <c r="AV68" s="11">
        <f t="shared" si="85"/>
        <v>1.6623573774260621E-3</v>
      </c>
      <c r="AW68" s="11">
        <f t="shared" si="86"/>
        <v>3.6885478983619832E-7</v>
      </c>
      <c r="AX68" s="41">
        <f t="shared" ca="1" si="87"/>
        <v>2.6589350659658608</v>
      </c>
      <c r="AY68" s="41">
        <f t="shared" ca="1" si="88"/>
        <v>3.581638360380504</v>
      </c>
      <c r="AZ68" s="41">
        <f t="shared" si="89"/>
        <v>0.38092175475491041</v>
      </c>
      <c r="BA68" s="167">
        <f ca="1">2.12 - (0.00251*AF68) + (1.94*10^(-6)*AF68^2) - (7.84*10^(-10)*AF68^3) + (1.7*10^(-13)*AF68^4) - (1.89*10^(-17)*AF68^5) + (8.37*10^(-22)*AF68^6)</f>
        <v>0.77055802468869383</v>
      </c>
      <c r="BB68" s="156">
        <f t="shared" ca="1" si="100"/>
        <v>0.65781525189056655</v>
      </c>
      <c r="BC68" s="156">
        <f t="shared" ca="1" si="101"/>
        <v>0.33507150069273983</v>
      </c>
    </row>
    <row r="69" spans="1:55" ht="14.5">
      <c r="B69" s="135">
        <f ca="1">B68-B48</f>
        <v>16.243716556772075</v>
      </c>
      <c r="X69" s="32">
        <f ca="1">AVERAGE(X48:X68)</f>
        <v>1814.4620991255242</v>
      </c>
      <c r="AC69" s="3"/>
      <c r="AD69" s="3"/>
      <c r="AN69" s="32">
        <f ca="1">SUM(AN48:AN68)</f>
        <v>393.39193315756188</v>
      </c>
      <c r="AP69" s="145"/>
    </row>
    <row r="70" spans="1:55" s="89" customFormat="1" ht="14.5">
      <c r="A70" s="102" t="s">
        <v>239</v>
      </c>
      <c r="B70" s="82" t="s">
        <v>22</v>
      </c>
      <c r="C70" s="81">
        <v>3000</v>
      </c>
      <c r="D70" s="82" t="s">
        <v>9</v>
      </c>
      <c r="E70" s="82"/>
      <c r="F70" s="82"/>
      <c r="G70" s="82"/>
      <c r="H70" s="82"/>
      <c r="I70" s="83"/>
      <c r="J70" s="82"/>
      <c r="K70" s="82"/>
      <c r="L70" s="84" t="s">
        <v>60</v>
      </c>
      <c r="M70" s="82"/>
      <c r="N70" s="82"/>
      <c r="O70" s="82"/>
      <c r="P70" s="82"/>
      <c r="Q70" s="81"/>
      <c r="R70" s="82"/>
      <c r="S70" s="85"/>
      <c r="T70" s="86"/>
      <c r="U70" s="81"/>
      <c r="V70" s="81"/>
      <c r="W70" s="81"/>
      <c r="X70" s="81"/>
      <c r="Y70" s="82"/>
      <c r="Z70" s="82"/>
      <c r="AA70" s="87"/>
      <c r="AB70" s="87"/>
      <c r="AC70" s="82"/>
      <c r="AD70" s="82"/>
      <c r="AE70" s="83"/>
      <c r="AF70" s="81"/>
      <c r="AG70" s="82"/>
      <c r="AH70" s="82"/>
      <c r="AI70" s="82"/>
      <c r="AJ70" s="81" t="s">
        <v>61</v>
      </c>
      <c r="AK70" s="88"/>
      <c r="AL70" s="83"/>
      <c r="AM70" s="82"/>
      <c r="AN70" s="82"/>
      <c r="AO70" s="82"/>
      <c r="AP70" s="53"/>
      <c r="AQ70" s="88"/>
      <c r="AR70" s="88"/>
      <c r="AS70" s="88"/>
      <c r="AT70" s="88"/>
      <c r="AU70" s="88"/>
      <c r="AV70" s="88"/>
      <c r="AW70" s="88"/>
      <c r="AX70" s="82"/>
      <c r="AY70" s="82"/>
      <c r="AZ70" s="82"/>
    </row>
    <row r="71" spans="1:55" ht="14.5">
      <c r="A71" s="41" t="s">
        <v>2</v>
      </c>
      <c r="B71" s="41" t="s">
        <v>2</v>
      </c>
      <c r="C71" s="41" t="s">
        <v>2</v>
      </c>
      <c r="D71" s="41" t="s">
        <v>23</v>
      </c>
      <c r="E71" s="41" t="s">
        <v>24</v>
      </c>
      <c r="F71" s="41" t="s">
        <v>25</v>
      </c>
      <c r="G71" s="41"/>
      <c r="H71" s="41" t="s">
        <v>0</v>
      </c>
      <c r="I71" s="5" t="s">
        <v>26</v>
      </c>
      <c r="J71" s="41" t="s">
        <v>27</v>
      </c>
      <c r="K71" s="41" t="s">
        <v>28</v>
      </c>
      <c r="L71" s="12" t="s">
        <v>29</v>
      </c>
      <c r="M71" s="13" t="s">
        <v>30</v>
      </c>
      <c r="N71" s="41" t="s">
        <v>31</v>
      </c>
      <c r="O71" s="41" t="s">
        <v>32</v>
      </c>
      <c r="P71" s="41" t="s">
        <v>33</v>
      </c>
      <c r="Q71" s="41" t="s">
        <v>34</v>
      </c>
      <c r="R71" s="41" t="s">
        <v>13</v>
      </c>
      <c r="S71" s="24" t="s">
        <v>35</v>
      </c>
      <c r="T71" s="10" t="s">
        <v>35</v>
      </c>
      <c r="U71" s="41" t="s">
        <v>36</v>
      </c>
      <c r="V71" s="41" t="s">
        <v>37</v>
      </c>
      <c r="W71" s="41" t="s">
        <v>38</v>
      </c>
      <c r="X71" s="41" t="s">
        <v>39</v>
      </c>
      <c r="Y71" s="41" t="s">
        <v>40</v>
      </c>
      <c r="Z71" s="35" t="s">
        <v>108</v>
      </c>
      <c r="AA71" s="35" t="s">
        <v>109</v>
      </c>
      <c r="AB71" s="9" t="s">
        <v>110</v>
      </c>
      <c r="AC71" s="7" t="s">
        <v>111</v>
      </c>
      <c r="AD71" s="7" t="s">
        <v>112</v>
      </c>
      <c r="AE71" s="5" t="s">
        <v>41</v>
      </c>
      <c r="AF71" s="7" t="s">
        <v>113</v>
      </c>
      <c r="AG71" s="7" t="s">
        <v>114</v>
      </c>
      <c r="AH71" s="7" t="s">
        <v>115</v>
      </c>
      <c r="AI71" s="41" t="s">
        <v>42</v>
      </c>
      <c r="AJ71" s="41" t="s">
        <v>43</v>
      </c>
      <c r="AK71" s="36"/>
      <c r="AL71" s="5" t="s">
        <v>44</v>
      </c>
      <c r="AM71" s="41" t="s">
        <v>45</v>
      </c>
      <c r="AN71" s="41" t="s">
        <v>46</v>
      </c>
      <c r="AO71" s="41" t="s">
        <v>47</v>
      </c>
      <c r="AP71" s="53"/>
      <c r="AQ71" s="15" t="s">
        <v>62</v>
      </c>
      <c r="AR71" s="16" t="s">
        <v>63</v>
      </c>
      <c r="AS71" s="16" t="s">
        <v>64</v>
      </c>
      <c r="AT71" s="17" t="s">
        <v>65</v>
      </c>
      <c r="AU71" s="18" t="s">
        <v>66</v>
      </c>
      <c r="AV71" s="18" t="s">
        <v>67</v>
      </c>
      <c r="AW71" s="19" t="s">
        <v>68</v>
      </c>
      <c r="AX71" s="7" t="s">
        <v>207</v>
      </c>
      <c r="AY71" s="7" t="s">
        <v>208</v>
      </c>
      <c r="AZ71" s="7" t="s">
        <v>209</v>
      </c>
    </row>
    <row r="72" spans="1:55" ht="14.5">
      <c r="A72" s="41" t="s">
        <v>18</v>
      </c>
      <c r="B72" s="41" t="s">
        <v>21</v>
      </c>
      <c r="C72" s="41" t="s">
        <v>48</v>
      </c>
      <c r="D72" s="41" t="s">
        <v>8</v>
      </c>
      <c r="E72" s="41" t="s">
        <v>49</v>
      </c>
      <c r="F72" s="41" t="s">
        <v>49</v>
      </c>
      <c r="G72" s="41"/>
      <c r="H72" s="41" t="s">
        <v>9</v>
      </c>
      <c r="I72" s="5" t="s">
        <v>50</v>
      </c>
      <c r="J72" s="41"/>
      <c r="K72" s="41" t="s">
        <v>51</v>
      </c>
      <c r="L72" s="5" t="s">
        <v>52</v>
      </c>
      <c r="M72" s="41" t="s">
        <v>52</v>
      </c>
      <c r="N72" s="41" t="s">
        <v>53</v>
      </c>
      <c r="O72" s="41" t="s">
        <v>54</v>
      </c>
      <c r="P72" s="41"/>
      <c r="Q72" s="41"/>
      <c r="R72" s="41"/>
      <c r="S72" s="24" t="s">
        <v>55</v>
      </c>
      <c r="T72" s="10" t="s">
        <v>55</v>
      </c>
      <c r="U72" s="41"/>
      <c r="V72" s="41"/>
      <c r="W72" s="41"/>
      <c r="X72" s="41"/>
      <c r="Y72" s="41"/>
      <c r="Z72" s="41"/>
      <c r="AA72" s="9" t="s">
        <v>118</v>
      </c>
      <c r="AB72" s="9" t="s">
        <v>118</v>
      </c>
      <c r="AC72" s="7" t="s">
        <v>119</v>
      </c>
      <c r="AD72" s="7" t="s">
        <v>119</v>
      </c>
      <c r="AE72" s="5" t="s">
        <v>20</v>
      </c>
      <c r="AF72" s="7" t="s">
        <v>118</v>
      </c>
      <c r="AG72" s="7" t="s">
        <v>118</v>
      </c>
      <c r="AH72" s="7" t="s">
        <v>119</v>
      </c>
      <c r="AI72" s="41" t="s">
        <v>56</v>
      </c>
      <c r="AJ72" s="41" t="s">
        <v>57</v>
      </c>
      <c r="AK72" s="11"/>
      <c r="AL72" s="5" t="s">
        <v>9</v>
      </c>
      <c r="AM72" s="41" t="s">
        <v>18</v>
      </c>
      <c r="AN72" s="41" t="s">
        <v>8</v>
      </c>
      <c r="AO72" s="41" t="s">
        <v>49</v>
      </c>
      <c r="AP72" s="53"/>
      <c r="AQ72" s="11"/>
      <c r="AR72" s="11"/>
      <c r="AS72" s="11"/>
      <c r="AT72" s="11"/>
      <c r="AU72" s="11"/>
      <c r="AV72" s="11"/>
      <c r="AW72" s="11"/>
      <c r="AX72" s="41"/>
      <c r="AY72" s="41"/>
      <c r="AZ72" s="41"/>
    </row>
    <row r="73" spans="1:55" ht="14.5">
      <c r="A73" s="41">
        <f ca="1">A68</f>
        <v>1040.0118997057079</v>
      </c>
      <c r="B73" s="41">
        <f t="shared" ref="B73:C88" ca="1" si="103">A73/60</f>
        <v>17.3335316617618</v>
      </c>
      <c r="C73" s="41">
        <f t="shared" ca="1" si="103"/>
        <v>0.28889219436269664</v>
      </c>
      <c r="D73" s="41">
        <f t="shared" ref="D73:E73" ca="1" si="104">D68</f>
        <v>16664.454836194498</v>
      </c>
      <c r="E73" s="7">
        <f t="shared" ca="1" si="104"/>
        <v>103.86689456367652</v>
      </c>
      <c r="F73" s="7">
        <v>0</v>
      </c>
      <c r="G73" s="41"/>
      <c r="H73" s="7">
        <f>H68</f>
        <v>10000</v>
      </c>
      <c r="I73" s="6">
        <v>15</v>
      </c>
      <c r="J73" s="41">
        <f t="shared" ref="J73:J93" si="105">SQRT((((((((L73^2)*(0.2))/(661.477)^2) + 1)^(3.5) - 1)*(1/AR73) + 1)^(1/3.5) - 1)*(5))</f>
        <v>0.56312736305628042</v>
      </c>
      <c r="K73" s="41">
        <f t="shared" ref="K73:K93" si="106">SQRT((1.4*2116.22*AR73*(J73)^2)/AV73)</f>
        <v>623.43218751213556</v>
      </c>
      <c r="L73" s="6">
        <f>L68</f>
        <v>312.5</v>
      </c>
      <c r="M73" s="41">
        <f t="shared" ref="M73:M93" si="107">K73*0.592484</f>
        <v>369.37359618594013</v>
      </c>
      <c r="N73" s="41">
        <f t="shared" ref="N73:N93" si="108">0.5*AV73*K73^2</f>
        <v>323.0523029359008</v>
      </c>
      <c r="O73" s="41">
        <f t="shared" ref="O73:O93" si="109">P73/$B$7</f>
        <v>2809688.5950590433</v>
      </c>
      <c r="P73" s="41">
        <f t="shared" ref="P73:P93" si="110">(AV73*K73*$B$7)/(AW73)</f>
        <v>18040175.103968069</v>
      </c>
      <c r="Q73" s="41">
        <f t="shared" ref="Q73:Q93" si="111">0.455/(LOG10(P73)^2.58 * (1+0.144*J73*J73)^0.65)</f>
        <v>2.6593181686088391E-3</v>
      </c>
      <c r="R73" s="41">
        <f t="shared" ref="R73:R93" si="112">(((Q73*$B$4)+$B$17)+(0.1*(Q73*$B$4)))</f>
        <v>2.1167684922673683E-2</v>
      </c>
      <c r="S73" s="24">
        <f ca="1">T73</f>
        <v>-5.5297693880498811</v>
      </c>
      <c r="T73" s="10">
        <f t="shared" ref="T73:T93" ca="1" si="113">DEGREES(ASIN(((AF73-X73)/(D73))))</f>
        <v>-5.5297693880498811</v>
      </c>
      <c r="U73" s="41">
        <f t="shared" ref="U73:U93" ca="1" si="114">(D73*COS(RADIANS(S73)))/(N73*$B$3)</f>
        <v>0.22323620166334934</v>
      </c>
      <c r="V73" s="41">
        <f t="shared" ref="V73:V93" ca="1" si="115">(X73)/(N73*$B$3)</f>
        <v>2.431506245118437E-2</v>
      </c>
      <c r="W73" s="41">
        <f t="shared" ref="W73:W93" ca="1" si="116">U73/V73</f>
        <v>9.1809840962376654</v>
      </c>
      <c r="X73" s="20">
        <f t="shared" ref="X73:X93" ca="1" si="117">(N73*$B$3*R73)+((N73*$B$3)*((U73^2)/(PI()*$B$6*$B$5)))</f>
        <v>1806.6584918036328</v>
      </c>
      <c r="Y73" s="41">
        <f t="shared" ref="Y73:Y93" si="118">SQRT(PI()*$B$6*$B$5*R73)</f>
        <v>0.5789311072750698</v>
      </c>
      <c r="Z73" s="41">
        <f t="shared" ref="Z73:Z93" ca="1" si="119">SQRT((2*((U73*N73*$B$3)/(D73))*D73)/(AV73*$B$3*$B$18))</f>
        <v>190.13668259798041</v>
      </c>
      <c r="AA73" s="14">
        <f t="shared" ref="AA73:AA93" ca="1" si="120">D73/W73</f>
        <v>1815.1055117308756</v>
      </c>
      <c r="AB73" s="14">
        <f>$B$15*AR73*0.93</f>
        <v>4016.4588107467653</v>
      </c>
      <c r="AC73" s="25">
        <f t="shared" ref="AC73:AC93" ca="1" si="121">AA73*K73</f>
        <v>1131595.199743714</v>
      </c>
      <c r="AD73" s="41">
        <f t="shared" ref="AD73:AD93" si="122">AB73*K73</f>
        <v>2503989.7024362464</v>
      </c>
      <c r="AE73" s="6">
        <v>5</v>
      </c>
      <c r="AF73" s="41">
        <f t="shared" ref="AF73:AF93" si="123">AB73*(AE73/100)</f>
        <v>200.82294053733827</v>
      </c>
      <c r="AG73" s="41">
        <f t="shared" ref="AG73:AG93" ca="1" si="124">AB73-AA73</f>
        <v>2201.3532990158897</v>
      </c>
      <c r="AH73" s="41">
        <f t="shared" ref="AH73:AH93" ca="1" si="125">AD73-AC73</f>
        <v>1372394.5026925325</v>
      </c>
      <c r="AI73" s="41">
        <f t="shared" ref="AI73:AI93" si="126">(AP73*AF73)</f>
        <v>162.8469454990672</v>
      </c>
      <c r="AJ73" s="13">
        <f t="shared" ref="AJ73:AJ93" ca="1" si="127">K73*SIN(RADIANS(T73))</f>
        <v>-60.075746872696406</v>
      </c>
      <c r="AK73" s="11"/>
      <c r="AL73" s="6">
        <v>-350</v>
      </c>
      <c r="AM73" s="41">
        <f t="shared" ref="AM73:AM93" ca="1" si="128">AL73/AJ73</f>
        <v>5.8259783393399669</v>
      </c>
      <c r="AN73" s="41">
        <f t="shared" ref="AN73:AN93" ca="1" si="129">AI73*(AM73/3600)</f>
        <v>0.26353966030701154</v>
      </c>
      <c r="AO73" s="41">
        <f t="shared" ref="AO73:AO93" ca="1" si="130">M73*COS(RADIANS(T73))*(AM73/3600)</f>
        <v>0.59498552975396501</v>
      </c>
      <c r="AP73" s="67">
        <f>0.701 + 0.301*AZ73 + -0.0328*AZ73^2</f>
        <v>0.81089812281077356</v>
      </c>
      <c r="AQ73" s="11">
        <f t="shared" ref="AQ73:AQ93" si="131">IF(H73 &lt;= 36089, ((1 - 6.87535*10^(-6)*H73) + ((I73*1.8)/518.67)), 0.75187 + ((I73*1.8)/518.67))</f>
        <v>0.98330272071837588</v>
      </c>
      <c r="AR73" s="11">
        <f t="shared" ref="AR73:AR93" si="132">IF(H73 &lt;= 36089, (1 - 6.87535*10^(-6)*H73)^5.2561, 0.22336*EXP((36089 - H73)/(20806.7)))</f>
        <v>0.68770269343653956</v>
      </c>
      <c r="AS73" s="11">
        <f t="shared" ref="AS73:AS93" si="133">(AR73/AQ73)</f>
        <v>0.69938044403469313</v>
      </c>
      <c r="AT73" s="11">
        <f t="shared" ref="AT73:AT93" si="134">(518.67*AQ73)</f>
        <v>510.00962215499999</v>
      </c>
      <c r="AU73" s="11">
        <f t="shared" ref="AU73:AU93" si="135">2116.22*AR73</f>
        <v>1455.3301939042735</v>
      </c>
      <c r="AV73" s="11">
        <f t="shared" ref="AV73:AV93" si="136">(0.0023769*AS73)</f>
        <v>1.6623573774260621E-3</v>
      </c>
      <c r="AW73" s="11">
        <f t="shared" ref="AW73:AW93" si="137">((2.2697*10^-8)*(AT73^1.5))/(AT73+198.72)</f>
        <v>3.6885478983619832E-7</v>
      </c>
      <c r="AX73" s="41">
        <f t="shared" ref="AX73:AX93" ca="1" si="138">(1/U73)*(((1 + 0.2*(U73)^2)/1.2)^3)</f>
        <v>2.6706257630916856</v>
      </c>
      <c r="AY73" s="41">
        <f t="shared" ref="AY73:AY93" ca="1" si="139">($H$4/$H$3)*AX73</f>
        <v>3.5973859616744961</v>
      </c>
      <c r="AZ73" s="41">
        <f t="shared" ref="AZ73:AZ93" si="140">-6.6*10^(-3) + 0.825*J73 - 0.243*(J73^2)</f>
        <v>0.38092175475491041</v>
      </c>
      <c r="BA73" s="167">
        <f>2.12-0.00251*AF73+1.94*10^-6*AF73^2-7.84*10^-10*AF73^3+1.7*10^-13*AF73^4-1.89*10^-17*AF73^5+8.37*10^-22*AF73^6</f>
        <v>1.6880949796352283</v>
      </c>
      <c r="BB73" s="156">
        <f>2.18-0.00461*AF73+6.03*10^-6*AF73^2-4.1*10^-9*AF73^3+1.5*10^-12*AF73^4-2.81*10^-16*AF73^5+2.1*10^-20*AF73^6</f>
        <v>1.4665380432700525</v>
      </c>
      <c r="BC73" s="156">
        <f>1.75-5.02*10^-3*AF73+1.01*10^-5*AF73^2-1.09*10^-8*AF73^3+6.44*10^-12*AF73^4-1.99*10^-15*AF73^5+2.49*10^-19*AF73^6</f>
        <v>1.0707604821349515</v>
      </c>
    </row>
    <row r="74" spans="1:55" ht="14.5">
      <c r="A74" s="41">
        <f t="shared" ref="A74:A93" ca="1" si="141">A73+AM73</f>
        <v>1045.837878045048</v>
      </c>
      <c r="B74" s="41">
        <f t="shared" ca="1" si="103"/>
        <v>17.4306313007508</v>
      </c>
      <c r="C74" s="41">
        <f t="shared" ca="1" si="103"/>
        <v>0.29051052167918001</v>
      </c>
      <c r="D74" s="41">
        <f t="shared" ref="D74:D93" ca="1" si="142">D73-AN73</f>
        <v>16664.191296534191</v>
      </c>
      <c r="E74" s="41">
        <f t="shared" ref="E74:E93" ca="1" si="143">E73+AO73</f>
        <v>104.46188009343049</v>
      </c>
      <c r="F74" s="41">
        <f t="shared" ref="F74:F93" ca="1" si="144">F73+AO73</f>
        <v>0.59498552975396501</v>
      </c>
      <c r="G74" s="41"/>
      <c r="H74" s="7">
        <f t="shared" ref="H74:H93" si="145">H73+AL73</f>
        <v>9650</v>
      </c>
      <c r="I74" s="6">
        <v>15</v>
      </c>
      <c r="J74" s="41">
        <f t="shared" si="105"/>
        <v>0.54796468383009211</v>
      </c>
      <c r="K74" s="41">
        <f t="shared" si="106"/>
        <v>607.38759868369561</v>
      </c>
      <c r="L74" s="6">
        <f>L73-($L$68-$L$98)/20</f>
        <v>305.875</v>
      </c>
      <c r="M74" s="41">
        <f t="shared" si="107"/>
        <v>359.86743401851072</v>
      </c>
      <c r="N74" s="41">
        <f t="shared" si="108"/>
        <v>310.06708908650825</v>
      </c>
      <c r="O74" s="41">
        <f t="shared" si="109"/>
        <v>2762715.6083443658</v>
      </c>
      <c r="P74" s="41">
        <f t="shared" si="110"/>
        <v>17738575.522085816</v>
      </c>
      <c r="Q74" s="41">
        <f t="shared" si="111"/>
        <v>2.6702824174565597E-3</v>
      </c>
      <c r="R74" s="41">
        <f t="shared" si="112"/>
        <v>2.1234343558287964E-2</v>
      </c>
      <c r="S74" s="24">
        <f t="shared" ref="S74:S93" ca="1" si="146">T74</f>
        <v>-5.3527490769460151</v>
      </c>
      <c r="T74" s="10">
        <f t="shared" ca="1" si="113"/>
        <v>-5.3527490769460151</v>
      </c>
      <c r="U74" s="41">
        <f t="shared" ca="1" si="114"/>
        <v>0.23264982868194942</v>
      </c>
      <c r="V74" s="41">
        <f t="shared" ca="1" si="115"/>
        <v>2.4652760758232289E-2</v>
      </c>
      <c r="W74" s="41">
        <f t="shared" ca="1" si="116"/>
        <v>9.4370699883687763</v>
      </c>
      <c r="X74" s="20">
        <f t="shared" ca="1" si="117"/>
        <v>1758.1222462377727</v>
      </c>
      <c r="Y74" s="41">
        <f t="shared" si="118"/>
        <v>0.5798419396194594</v>
      </c>
      <c r="Z74" s="41">
        <f t="shared" ca="1" si="119"/>
        <v>189.10876923879758</v>
      </c>
      <c r="AA74" s="14">
        <f t="shared" ca="1" si="120"/>
        <v>1765.8225823346513</v>
      </c>
      <c r="AB74" s="14">
        <f t="shared" ref="AB74:AB93" si="147">$B$15*AR74*0.93</f>
        <v>4071.3109327094548</v>
      </c>
      <c r="AC74" s="25">
        <f t="shared" ca="1" si="121"/>
        <v>1072538.7379856862</v>
      </c>
      <c r="AD74" s="41">
        <f t="shared" si="122"/>
        <v>2472863.7709130729</v>
      </c>
      <c r="AE74" s="6">
        <v>5</v>
      </c>
      <c r="AF74" s="41">
        <f t="shared" si="123"/>
        <v>203.56554663547274</v>
      </c>
      <c r="AG74" s="41">
        <f t="shared" ca="1" si="124"/>
        <v>2305.4883503748033</v>
      </c>
      <c r="AH74" s="41">
        <f t="shared" ca="1" si="125"/>
        <v>1400325.0329273867</v>
      </c>
      <c r="AI74" s="41">
        <f t="shared" si="126"/>
        <v>164.59761783472305</v>
      </c>
      <c r="AJ74" s="13">
        <f t="shared" ca="1" si="127"/>
        <v>-56.66152314186828</v>
      </c>
      <c r="AK74" s="11"/>
      <c r="AL74" s="6">
        <f>AL73</f>
        <v>-350</v>
      </c>
      <c r="AM74" s="41">
        <f t="shared" ca="1" si="128"/>
        <v>6.1770312655322588</v>
      </c>
      <c r="AN74" s="41">
        <f t="shared" ca="1" si="129"/>
        <v>0.28242350877700401</v>
      </c>
      <c r="AO74" s="41">
        <f t="shared" ca="1" si="130"/>
        <v>0.61478299843223738</v>
      </c>
      <c r="AP74" s="67">
        <f t="shared" ref="AP74:AP92" si="148">0.701 + 0.301*AZ74 + -0.0328*AZ74^2</f>
        <v>0.80857306432836584</v>
      </c>
      <c r="AQ74" s="11">
        <f t="shared" si="131"/>
        <v>0.98570909321837585</v>
      </c>
      <c r="AR74" s="11">
        <f t="shared" si="132"/>
        <v>0.69709453679704381</v>
      </c>
      <c r="AS74" s="11">
        <f t="shared" si="133"/>
        <v>0.70720108152903904</v>
      </c>
      <c r="AT74" s="11">
        <f t="shared" si="134"/>
        <v>511.25773537957497</v>
      </c>
      <c r="AU74" s="11">
        <f t="shared" si="135"/>
        <v>1475.20540066064</v>
      </c>
      <c r="AV74" s="11">
        <f t="shared" si="136"/>
        <v>1.6809462506863729E-3</v>
      </c>
      <c r="AW74" s="11">
        <f t="shared" si="137"/>
        <v>3.6955881511546951E-7</v>
      </c>
      <c r="AX74" s="41">
        <f t="shared" ca="1" si="138"/>
        <v>2.5691040350591723</v>
      </c>
      <c r="AY74" s="41">
        <f t="shared" ca="1" si="139"/>
        <v>3.4606341770267264</v>
      </c>
      <c r="AZ74" s="41">
        <f t="shared" si="140"/>
        <v>0.37250639754164783</v>
      </c>
      <c r="BA74" s="167">
        <f t="shared" ref="BA74:BA92" si="149">2.12-0.00251*AF74+1.94*10^-6*AF74^2-7.84*10^-10*AF74^3+1.7*10^-13*AF74^4-1.89*10^-17*AF74^5+8.37*10^-22*AF74^6</f>
        <v>1.6831139175160095</v>
      </c>
      <c r="BB74" s="156">
        <f t="shared" ref="BB74:BB93" si="150">2.18-0.00461*AF74+6.03*10^-6*AF74^2-4.1*10^-9*AF74^3+1.5*10^-12*AF74^4-2.81*10^-16*AF74^5+2.1*10^-20*AF74^6</f>
        <v>1.4593329251935752</v>
      </c>
      <c r="BC74" s="156">
        <f t="shared" ref="BC74:BC93" si="151">1.75-5.02*10^-3*AF74+1.01*10^-5*AF74^2-1.09*10^-8*AF74^3+6.44*10^-12*AF74^4-1.99*10^-15*AF74^5+2.49*10^-19*AF74^6</f>
        <v>1.0650675603408812</v>
      </c>
    </row>
    <row r="75" spans="1:55" ht="14.5">
      <c r="A75" s="41">
        <f t="shared" ca="1" si="141"/>
        <v>1052.0149093105802</v>
      </c>
      <c r="B75" s="41">
        <f t="shared" ca="1" si="103"/>
        <v>17.533581821843004</v>
      </c>
      <c r="C75" s="41">
        <f t="shared" ca="1" si="103"/>
        <v>0.29222636369738342</v>
      </c>
      <c r="D75" s="41">
        <f t="shared" ca="1" si="142"/>
        <v>16663.908873025415</v>
      </c>
      <c r="E75" s="41">
        <f t="shared" ca="1" si="143"/>
        <v>105.07666309186273</v>
      </c>
      <c r="F75" s="41">
        <f t="shared" ca="1" si="144"/>
        <v>1.2097685281862023</v>
      </c>
      <c r="G75" s="41"/>
      <c r="H75" s="7">
        <f t="shared" si="145"/>
        <v>9300</v>
      </c>
      <c r="I75" s="6">
        <v>15</v>
      </c>
      <c r="J75" s="41">
        <f t="shared" si="105"/>
        <v>0.53294328263390034</v>
      </c>
      <c r="K75" s="41">
        <f t="shared" si="106"/>
        <v>591.45786434696583</v>
      </c>
      <c r="L75" s="6">
        <f t="shared" ref="L75:L92" si="152">L74-($L$68-$L$98)/20</f>
        <v>299.25</v>
      </c>
      <c r="M75" s="41">
        <f t="shared" si="107"/>
        <v>350.4293212997477</v>
      </c>
      <c r="N75" s="41">
        <f t="shared" si="108"/>
        <v>297.2954818501409</v>
      </c>
      <c r="O75" s="41">
        <f t="shared" si="109"/>
        <v>2715096.8737115911</v>
      </c>
      <c r="P75" s="41">
        <f t="shared" si="110"/>
        <v>17432829.78481254</v>
      </c>
      <c r="Q75" s="41">
        <f t="shared" si="111"/>
        <v>2.6813797952668062E-3</v>
      </c>
      <c r="R75" s="41">
        <f t="shared" si="112"/>
        <v>2.1301811569457832E-2</v>
      </c>
      <c r="S75" s="24">
        <f t="shared" ca="1" si="146"/>
        <v>-5.1804387438019521</v>
      </c>
      <c r="T75" s="10">
        <f t="shared" ca="1" si="113"/>
        <v>-5.1804387438019521</v>
      </c>
      <c r="U75" s="41">
        <f t="shared" ca="1" si="114"/>
        <v>0.24270746488611036</v>
      </c>
      <c r="V75" s="41">
        <f t="shared" ca="1" si="115"/>
        <v>2.5022179215343873E-2</v>
      </c>
      <c r="W75" s="41">
        <f t="shared" ca="1" si="116"/>
        <v>9.6996933319572545</v>
      </c>
      <c r="X75" s="20">
        <f t="shared" ca="1" si="117"/>
        <v>1710.9655901562348</v>
      </c>
      <c r="Y75" s="41">
        <f t="shared" si="118"/>
        <v>0.58076237676282405</v>
      </c>
      <c r="Z75" s="41">
        <f t="shared" ca="1" si="119"/>
        <v>188.08742332380126</v>
      </c>
      <c r="AA75" s="14">
        <f t="shared" ca="1" si="120"/>
        <v>1717.9830642813617</v>
      </c>
      <c r="AB75" s="14">
        <f t="shared" si="147"/>
        <v>4126.7680699150587</v>
      </c>
      <c r="AC75" s="25">
        <f t="shared" ca="1" si="121"/>
        <v>1016114.5941841103</v>
      </c>
      <c r="AD75" s="41">
        <f t="shared" si="122"/>
        <v>2440809.429287211</v>
      </c>
      <c r="AE75" s="6">
        <v>5</v>
      </c>
      <c r="AF75" s="41">
        <f t="shared" si="123"/>
        <v>206.33840349575294</v>
      </c>
      <c r="AG75" s="41">
        <f t="shared" ca="1" si="124"/>
        <v>2408.785005633697</v>
      </c>
      <c r="AH75" s="41">
        <f t="shared" ca="1" si="125"/>
        <v>1424694.8351031006</v>
      </c>
      <c r="AI75" s="41">
        <f t="shared" si="126"/>
        <v>166.3571512791186</v>
      </c>
      <c r="AJ75" s="13">
        <f t="shared" ca="1" si="127"/>
        <v>-53.404251621967866</v>
      </c>
      <c r="AK75" s="11"/>
      <c r="AL75" s="6">
        <f t="shared" ref="AL75:AL92" si="153">AL74</f>
        <v>-350</v>
      </c>
      <c r="AM75" s="41">
        <f t="shared" ca="1" si="128"/>
        <v>6.5537853142768752</v>
      </c>
      <c r="AN75" s="41">
        <f t="shared" ca="1" si="129"/>
        <v>0.30285251527167334</v>
      </c>
      <c r="AO75" s="41">
        <f t="shared" ca="1" si="130"/>
        <v>0.63534928383705425</v>
      </c>
      <c r="AP75" s="67">
        <f t="shared" si="148"/>
        <v>0.80623455673166888</v>
      </c>
      <c r="AQ75" s="11">
        <f t="shared" si="131"/>
        <v>0.98811546571837594</v>
      </c>
      <c r="AR75" s="11">
        <f t="shared" si="132"/>
        <v>0.70658997156274539</v>
      </c>
      <c r="AS75" s="11">
        <f t="shared" si="133"/>
        <v>0.71508846493870337</v>
      </c>
      <c r="AT75" s="11">
        <f t="shared" si="134"/>
        <v>512.50584860415006</v>
      </c>
      <c r="AU75" s="11">
        <f t="shared" si="135"/>
        <v>1495.2998296205128</v>
      </c>
      <c r="AV75" s="11">
        <f t="shared" si="136"/>
        <v>1.6996937723128039E-3</v>
      </c>
      <c r="AW75" s="11">
        <f t="shared" si="137"/>
        <v>3.7026201840146783E-7</v>
      </c>
      <c r="AX75" s="41">
        <f t="shared" ca="1" si="138"/>
        <v>2.4696373210226041</v>
      </c>
      <c r="AY75" s="41">
        <f t="shared" ca="1" si="139"/>
        <v>3.3266505370595874</v>
      </c>
      <c r="AZ75" s="41">
        <f t="shared" si="140"/>
        <v>0.36405927234435065</v>
      </c>
      <c r="BA75" s="167">
        <f t="shared" si="149"/>
        <v>1.6781008839057157</v>
      </c>
      <c r="BB75" s="156">
        <f t="shared" si="150"/>
        <v>1.4521076108046231</v>
      </c>
      <c r="BC75" s="156">
        <f t="shared" si="151"/>
        <v>1.0593865244949536</v>
      </c>
    </row>
    <row r="76" spans="1:55" ht="14.5">
      <c r="A76" s="41">
        <f t="shared" ca="1" si="141"/>
        <v>1058.568694624857</v>
      </c>
      <c r="B76" s="41">
        <f t="shared" ca="1" si="103"/>
        <v>17.642811577080952</v>
      </c>
      <c r="C76" s="41">
        <f t="shared" ca="1" si="103"/>
        <v>0.29404685961801585</v>
      </c>
      <c r="D76" s="41">
        <f t="shared" ca="1" si="142"/>
        <v>16663.606020510142</v>
      </c>
      <c r="E76" s="41">
        <f t="shared" ca="1" si="143"/>
        <v>105.71201237569979</v>
      </c>
      <c r="F76" s="41">
        <f t="shared" ca="1" si="144"/>
        <v>1.8451178120232565</v>
      </c>
      <c r="G76" s="41"/>
      <c r="H76" s="7">
        <f t="shared" si="145"/>
        <v>8950</v>
      </c>
      <c r="I76" s="6">
        <v>15</v>
      </c>
      <c r="J76" s="41">
        <f t="shared" si="105"/>
        <v>0.51806387348288852</v>
      </c>
      <c r="K76" s="41">
        <f t="shared" si="106"/>
        <v>575.64442852205673</v>
      </c>
      <c r="L76" s="6">
        <f t="shared" si="152"/>
        <v>292.625</v>
      </c>
      <c r="M76" s="41">
        <f t="shared" si="107"/>
        <v>341.06011358846229</v>
      </c>
      <c r="N76" s="41">
        <f t="shared" si="108"/>
        <v>284.74338591382366</v>
      </c>
      <c r="O76" s="41">
        <f t="shared" si="109"/>
        <v>2666840.8479856919</v>
      </c>
      <c r="P76" s="41">
        <f t="shared" si="110"/>
        <v>17122992.190907042</v>
      </c>
      <c r="Q76" s="41">
        <f t="shared" si="111"/>
        <v>2.6926224395006034E-3</v>
      </c>
      <c r="R76" s="41">
        <f t="shared" si="112"/>
        <v>2.137016274752121E-2</v>
      </c>
      <c r="S76" s="24">
        <f t="shared" ca="1" si="146"/>
        <v>-5.0131714549652333</v>
      </c>
      <c r="T76" s="10">
        <f t="shared" ca="1" si="113"/>
        <v>-5.0131714549652333</v>
      </c>
      <c r="U76" s="41">
        <f t="shared" ca="1" si="114"/>
        <v>0.25346791230375681</v>
      </c>
      <c r="V76" s="41">
        <f t="shared" ca="1" si="115"/>
        <v>2.5427728501264561E-2</v>
      </c>
      <c r="W76" s="41">
        <f t="shared" ca="1" si="116"/>
        <v>9.9681696810295684</v>
      </c>
      <c r="X76" s="20">
        <f t="shared" ca="1" si="117"/>
        <v>1665.2868271959267</v>
      </c>
      <c r="Y76" s="41">
        <f t="shared" si="118"/>
        <v>0.58169337740763372</v>
      </c>
      <c r="Z76" s="41">
        <f t="shared" ca="1" si="119"/>
        <v>187.07259844395338</v>
      </c>
      <c r="AA76" s="14">
        <f t="shared" ca="1" si="120"/>
        <v>1671.6816179626901</v>
      </c>
      <c r="AB76" s="14">
        <f t="shared" si="147"/>
        <v>4182.8353145298888</v>
      </c>
      <c r="AC76" s="25">
        <f t="shared" ca="1" si="121"/>
        <v>962294.20964295988</v>
      </c>
      <c r="AD76" s="41">
        <f t="shared" si="122"/>
        <v>2407825.8442344354</v>
      </c>
      <c r="AE76" s="6">
        <v>5</v>
      </c>
      <c r="AF76" s="41">
        <f t="shared" si="123"/>
        <v>209.14176572649444</v>
      </c>
      <c r="AG76" s="41">
        <f t="shared" ca="1" si="124"/>
        <v>2511.1536965671985</v>
      </c>
      <c r="AH76" s="41">
        <f t="shared" ca="1" si="125"/>
        <v>1445531.6345914756</v>
      </c>
      <c r="AI76" s="41">
        <f t="shared" si="126"/>
        <v>168.12561881653434</v>
      </c>
      <c r="AJ76" s="13">
        <f t="shared" ca="1" si="127"/>
        <v>-50.302545002748751</v>
      </c>
      <c r="AK76" s="11"/>
      <c r="AL76" s="6">
        <f t="shared" si="153"/>
        <v>-350</v>
      </c>
      <c r="AM76" s="41">
        <f t="shared" ca="1" si="128"/>
        <v>6.9578984518750389</v>
      </c>
      <c r="AN76" s="41">
        <f t="shared" ca="1" si="129"/>
        <v>0.32494471746780479</v>
      </c>
      <c r="AO76" s="41">
        <f t="shared" ca="1" si="130"/>
        <v>0.65666216990501869</v>
      </c>
      <c r="AP76" s="67">
        <f t="shared" si="148"/>
        <v>0.80388352002536378</v>
      </c>
      <c r="AQ76" s="11">
        <f t="shared" si="131"/>
        <v>0.99052183821837592</v>
      </c>
      <c r="AR76" s="11">
        <f t="shared" si="132"/>
        <v>0.71618986962021247</v>
      </c>
      <c r="AS76" s="11">
        <f t="shared" si="133"/>
        <v>0.72304298803588551</v>
      </c>
      <c r="AT76" s="11">
        <f t="shared" si="134"/>
        <v>513.75396182872498</v>
      </c>
      <c r="AU76" s="11">
        <f t="shared" si="135"/>
        <v>1515.6153258876859</v>
      </c>
      <c r="AV76" s="11">
        <f t="shared" si="136"/>
        <v>1.7186008782624962E-3</v>
      </c>
      <c r="AW76" s="11">
        <f t="shared" si="137"/>
        <v>3.7096440200852477E-7</v>
      </c>
      <c r="AX76" s="41">
        <f t="shared" ca="1" si="138"/>
        <v>2.3722892334170664</v>
      </c>
      <c r="AY76" s="41">
        <f t="shared" ca="1" si="139"/>
        <v>3.1955207289869625</v>
      </c>
      <c r="AZ76" s="41">
        <f t="shared" si="140"/>
        <v>0.35558388261041607</v>
      </c>
      <c r="BA76" s="167">
        <f t="shared" si="149"/>
        <v>1.6730560927427629</v>
      </c>
      <c r="BB76" s="156">
        <f t="shared" si="150"/>
        <v>1.4448630074676665</v>
      </c>
      <c r="BC76" s="156">
        <f t="shared" si="151"/>
        <v>1.0537184869321885</v>
      </c>
    </row>
    <row r="77" spans="1:55" ht="14.5">
      <c r="A77" s="41">
        <f t="shared" ca="1" si="141"/>
        <v>1065.5265930767321</v>
      </c>
      <c r="B77" s="41">
        <f t="shared" ca="1" si="103"/>
        <v>17.758776551278867</v>
      </c>
      <c r="C77" s="41">
        <f t="shared" ca="1" si="103"/>
        <v>0.29597960918798111</v>
      </c>
      <c r="D77" s="41">
        <f t="shared" ca="1" si="142"/>
        <v>16663.281075792675</v>
      </c>
      <c r="E77" s="41">
        <f t="shared" ca="1" si="143"/>
        <v>106.3686745456048</v>
      </c>
      <c r="F77" s="41">
        <f t="shared" ca="1" si="144"/>
        <v>2.5017799819282751</v>
      </c>
      <c r="G77" s="41"/>
      <c r="H77" s="7">
        <f t="shared" si="145"/>
        <v>8600</v>
      </c>
      <c r="I77" s="6">
        <v>15</v>
      </c>
      <c r="J77" s="41">
        <f t="shared" si="105"/>
        <v>0.50332708932240355</v>
      </c>
      <c r="K77" s="41">
        <f t="shared" si="106"/>
        <v>559.94864711802177</v>
      </c>
      <c r="L77" s="6">
        <f t="shared" si="152"/>
        <v>286</v>
      </c>
      <c r="M77" s="41">
        <f t="shared" si="107"/>
        <v>331.76061423907402</v>
      </c>
      <c r="N77" s="41">
        <f t="shared" si="108"/>
        <v>272.41645307654085</v>
      </c>
      <c r="O77" s="41">
        <f t="shared" si="109"/>
        <v>2617955.9418630693</v>
      </c>
      <c r="P77" s="41">
        <f t="shared" si="110"/>
        <v>16809116.742950283</v>
      </c>
      <c r="Q77" s="41">
        <f t="shared" si="111"/>
        <v>2.7040234132126089E-3</v>
      </c>
      <c r="R77" s="41">
        <f t="shared" si="112"/>
        <v>2.1439476511087834E-2</v>
      </c>
      <c r="S77" s="24">
        <f t="shared" ca="1" si="146"/>
        <v>-4.8513013300445458</v>
      </c>
      <c r="T77" s="10">
        <f t="shared" ca="1" si="113"/>
        <v>-4.8513013300445467</v>
      </c>
      <c r="U77" s="41">
        <f t="shared" ca="1" si="114"/>
        <v>0.26499685050650101</v>
      </c>
      <c r="V77" s="41">
        <f t="shared" ca="1" si="115"/>
        <v>2.587455199273625E-2</v>
      </c>
      <c r="W77" s="41">
        <f t="shared" ca="1" si="116"/>
        <v>10.241601500226688</v>
      </c>
      <c r="X77" s="20">
        <f t="shared" ca="1" si="117"/>
        <v>1621.1903461253228</v>
      </c>
      <c r="Y77" s="41">
        <f t="shared" si="118"/>
        <v>0.58263597005023993</v>
      </c>
      <c r="Z77" s="41">
        <f t="shared" ca="1" si="119"/>
        <v>186.06424927902313</v>
      </c>
      <c r="AA77" s="14">
        <f t="shared" ca="1" si="120"/>
        <v>1627.0190824573529</v>
      </c>
      <c r="AB77" s="14">
        <f t="shared" si="147"/>
        <v>4239.5177883399092</v>
      </c>
      <c r="AC77" s="25">
        <f t="shared" ca="1" si="121"/>
        <v>911047.13405719982</v>
      </c>
      <c r="AD77" s="41">
        <f t="shared" si="122"/>
        <v>2373912.2500137198</v>
      </c>
      <c r="AE77" s="6">
        <v>5</v>
      </c>
      <c r="AF77" s="41">
        <f t="shared" si="123"/>
        <v>211.97588941699547</v>
      </c>
      <c r="AG77" s="41">
        <f t="shared" ca="1" si="124"/>
        <v>2612.4987058825564</v>
      </c>
      <c r="AH77" s="41">
        <f t="shared" ca="1" si="125"/>
        <v>1462865.11595652</v>
      </c>
      <c r="AI77" s="41">
        <f t="shared" si="126"/>
        <v>169.90309852833545</v>
      </c>
      <c r="AJ77" s="13">
        <f t="shared" ca="1" si="127"/>
        <v>-47.354883167596633</v>
      </c>
      <c r="AK77" s="11"/>
      <c r="AL77" s="6">
        <f t="shared" si="153"/>
        <v>-350</v>
      </c>
      <c r="AM77" s="41">
        <f t="shared" ca="1" si="128"/>
        <v>7.3910012355281944</v>
      </c>
      <c r="AN77" s="41">
        <f t="shared" ca="1" si="129"/>
        <v>0.34882055865083217</v>
      </c>
      <c r="AO77" s="41">
        <f t="shared" ca="1" si="130"/>
        <v>0.67868298750487654</v>
      </c>
      <c r="AP77" s="67">
        <f t="shared" si="148"/>
        <v>0.80152086633826958</v>
      </c>
      <c r="AQ77" s="11">
        <f t="shared" si="131"/>
        <v>0.99292821071837589</v>
      </c>
      <c r="AR77" s="11">
        <f t="shared" si="132"/>
        <v>0.72589510792752365</v>
      </c>
      <c r="AS77" s="11">
        <f t="shared" si="133"/>
        <v>0.73106504588317034</v>
      </c>
      <c r="AT77" s="11">
        <f t="shared" si="134"/>
        <v>515.00207505330002</v>
      </c>
      <c r="AU77" s="11">
        <f t="shared" si="135"/>
        <v>1536.1537452983839</v>
      </c>
      <c r="AV77" s="11">
        <f t="shared" si="136"/>
        <v>1.7376685075597075E-3</v>
      </c>
      <c r="AW77" s="11">
        <f t="shared" si="137"/>
        <v>3.7166596824208236E-7</v>
      </c>
      <c r="AX77" s="41">
        <f t="shared" ca="1" si="138"/>
        <v>2.2771246497395845</v>
      </c>
      <c r="AY77" s="41">
        <f t="shared" ca="1" si="139"/>
        <v>3.0673321440863015</v>
      </c>
      <c r="AZ77" s="41">
        <f t="shared" si="140"/>
        <v>0.34708367609146251</v>
      </c>
      <c r="BA77" s="167">
        <f t="shared" si="149"/>
        <v>1.6679797668292264</v>
      </c>
      <c r="BB77" s="156">
        <f t="shared" si="150"/>
        <v>1.4376000384911731</v>
      </c>
      <c r="BC77" s="156">
        <f t="shared" si="151"/>
        <v>1.0480645635038632</v>
      </c>
    </row>
    <row r="78" spans="1:55" ht="14.5">
      <c r="A78" s="41">
        <f t="shared" ca="1" si="141"/>
        <v>1072.9175943122602</v>
      </c>
      <c r="B78" s="41">
        <f t="shared" ca="1" si="103"/>
        <v>17.881959905204337</v>
      </c>
      <c r="C78" s="41">
        <f t="shared" ca="1" si="103"/>
        <v>0.29803266508673892</v>
      </c>
      <c r="D78" s="41">
        <f t="shared" ca="1" si="142"/>
        <v>16662.932255234024</v>
      </c>
      <c r="E78" s="41">
        <f t="shared" ca="1" si="143"/>
        <v>107.04735753310968</v>
      </c>
      <c r="F78" s="41">
        <f t="shared" ca="1" si="144"/>
        <v>3.1804629694331519</v>
      </c>
      <c r="G78" s="41"/>
      <c r="H78" s="7">
        <f t="shared" si="145"/>
        <v>8250</v>
      </c>
      <c r="I78" s="6">
        <v>15</v>
      </c>
      <c r="J78" s="41">
        <f t="shared" si="105"/>
        <v>0.48873348150046425</v>
      </c>
      <c r="K78" s="41">
        <f t="shared" si="106"/>
        <v>544.37178679888393</v>
      </c>
      <c r="L78" s="6">
        <f t="shared" si="152"/>
        <v>279.375</v>
      </c>
      <c r="M78" s="41">
        <f t="shared" si="107"/>
        <v>322.53157372974994</v>
      </c>
      <c r="N78" s="41">
        <f t="shared" si="108"/>
        <v>260.32008192729234</v>
      </c>
      <c r="O78" s="41">
        <f t="shared" si="109"/>
        <v>2568450.5009735916</v>
      </c>
      <c r="P78" s="41">
        <f t="shared" si="110"/>
        <v>16491257.02575036</v>
      </c>
      <c r="Q78" s="41">
        <f t="shared" si="111"/>
        <v>2.7155967870129989E-3</v>
      </c>
      <c r="R78" s="41">
        <f t="shared" si="112"/>
        <v>2.1509838404337681E-2</v>
      </c>
      <c r="S78" s="24">
        <f t="shared" ca="1" si="146"/>
        <v>-4.6952070522540899</v>
      </c>
      <c r="T78" s="10">
        <f t="shared" ca="1" si="113"/>
        <v>-4.6952070522540916</v>
      </c>
      <c r="U78" s="41">
        <f t="shared" ca="1" si="114"/>
        <v>0.27736782470089283</v>
      </c>
      <c r="V78" s="41">
        <f t="shared" ca="1" si="115"/>
        <v>2.6368668936671495E-2</v>
      </c>
      <c r="W78" s="41">
        <f t="shared" ca="1" si="116"/>
        <v>10.518840574282883</v>
      </c>
      <c r="X78" s="20">
        <f t="shared" ca="1" si="117"/>
        <v>1578.7876333188337</v>
      </c>
      <c r="Y78" s="41">
        <f t="shared" si="118"/>
        <v>0.58359125898808073</v>
      </c>
      <c r="Z78" s="41">
        <f t="shared" ca="1" si="119"/>
        <v>185.06233107033324</v>
      </c>
      <c r="AA78" s="14">
        <f t="shared" ca="1" si="120"/>
        <v>1584.1035081349744</v>
      </c>
      <c r="AB78" s="14">
        <f t="shared" si="147"/>
        <v>4296.8206428463982</v>
      </c>
      <c r="AC78" s="25">
        <f t="shared" ca="1" si="121"/>
        <v>862341.25719781639</v>
      </c>
      <c r="AD78" s="41">
        <f t="shared" si="122"/>
        <v>2339067.9309006231</v>
      </c>
      <c r="AE78" s="6">
        <v>5</v>
      </c>
      <c r="AF78" s="41">
        <f t="shared" si="123"/>
        <v>214.84103214231993</v>
      </c>
      <c r="AG78" s="41">
        <f t="shared" ca="1" si="124"/>
        <v>2712.7171347114236</v>
      </c>
      <c r="AH78" s="41">
        <f t="shared" ca="1" si="125"/>
        <v>1476726.6737028067</v>
      </c>
      <c r="AI78" s="41">
        <f t="shared" si="126"/>
        <v>171.68967347679001</v>
      </c>
      <c r="AJ78" s="13">
        <f t="shared" ca="1" si="127"/>
        <v>-44.559627141705356</v>
      </c>
      <c r="AK78" s="11"/>
      <c r="AL78" s="6">
        <f t="shared" si="153"/>
        <v>-350</v>
      </c>
      <c r="AM78" s="41">
        <f t="shared" ca="1" si="128"/>
        <v>7.8546438211198426</v>
      </c>
      <c r="AN78" s="41">
        <f t="shared" ca="1" si="129"/>
        <v>0.37460034247904217</v>
      </c>
      <c r="AO78" s="41">
        <f t="shared" ca="1" si="130"/>
        <v>0.70135256752123709</v>
      </c>
      <c r="AP78" s="67">
        <f t="shared" si="148"/>
        <v>0.79914749880300051</v>
      </c>
      <c r="AQ78" s="11">
        <f t="shared" si="131"/>
        <v>0.99533458321837587</v>
      </c>
      <c r="AR78" s="11">
        <f t="shared" si="132"/>
        <v>0.73570656853064831</v>
      </c>
      <c r="AS78" s="11">
        <f t="shared" si="133"/>
        <v>0.7391550348343866</v>
      </c>
      <c r="AT78" s="11">
        <f t="shared" si="134"/>
        <v>516.25018827787494</v>
      </c>
      <c r="AU78" s="11">
        <f t="shared" si="135"/>
        <v>1556.9169544559284</v>
      </c>
      <c r="AV78" s="11">
        <f t="shared" si="136"/>
        <v>1.7568976022978534E-3</v>
      </c>
      <c r="AW78" s="11">
        <f t="shared" si="137"/>
        <v>3.7236671939872864E-7</v>
      </c>
      <c r="AX78" s="41">
        <f t="shared" ca="1" si="138"/>
        <v>2.184210253607016</v>
      </c>
      <c r="AY78" s="41">
        <f t="shared" ca="1" si="139"/>
        <v>2.9421746065143517</v>
      </c>
      <c r="AZ78" s="41">
        <f t="shared" si="140"/>
        <v>0.33856204116456878</v>
      </c>
      <c r="BA78" s="167">
        <f t="shared" si="149"/>
        <v>1.6628721379101219</v>
      </c>
      <c r="BB78" s="156">
        <f t="shared" si="150"/>
        <v>1.4303196430074887</v>
      </c>
      <c r="BC78" s="156">
        <f t="shared" si="151"/>
        <v>1.0424258729459079</v>
      </c>
    </row>
    <row r="79" spans="1:55" ht="14.5">
      <c r="A79" s="41">
        <f t="shared" ca="1" si="141"/>
        <v>1080.7722381333801</v>
      </c>
      <c r="B79" s="41">
        <f t="shared" ca="1" si="103"/>
        <v>18.012870635556336</v>
      </c>
      <c r="C79" s="41">
        <f t="shared" ca="1" si="103"/>
        <v>0.30021451059260562</v>
      </c>
      <c r="D79" s="41">
        <f t="shared" ca="1" si="142"/>
        <v>16662.557654891545</v>
      </c>
      <c r="E79" s="41">
        <f t="shared" ca="1" si="143"/>
        <v>107.74871010063092</v>
      </c>
      <c r="F79" s="41">
        <f t="shared" ca="1" si="144"/>
        <v>3.881815536954389</v>
      </c>
      <c r="G79" s="41"/>
      <c r="H79" s="7">
        <f t="shared" si="145"/>
        <v>7900</v>
      </c>
      <c r="I79" s="6">
        <v>15</v>
      </c>
      <c r="J79" s="41">
        <f t="shared" si="105"/>
        <v>0.47428351947963815</v>
      </c>
      <c r="K79" s="41">
        <f t="shared" si="106"/>
        <v>528.91502411430031</v>
      </c>
      <c r="L79" s="6">
        <f t="shared" si="152"/>
        <v>272.75</v>
      </c>
      <c r="M79" s="41">
        <f t="shared" si="107"/>
        <v>313.37368914733713</v>
      </c>
      <c r="N79" s="41">
        <f t="shared" si="108"/>
        <v>248.4594183184079</v>
      </c>
      <c r="O79" s="41">
        <f t="shared" si="109"/>
        <v>2518332.7875709352</v>
      </c>
      <c r="P79" s="41">
        <f t="shared" si="110"/>
        <v>16169466.088781627</v>
      </c>
      <c r="Q79" s="41">
        <f t="shared" si="111"/>
        <v>2.7273577316399293E-3</v>
      </c>
      <c r="R79" s="41">
        <f t="shared" si="112"/>
        <v>2.1581340659827739E-2</v>
      </c>
      <c r="S79" s="24">
        <f t="shared" ca="1" si="146"/>
        <v>-4.5452960050682991</v>
      </c>
      <c r="T79" s="10">
        <f t="shared" ca="1" si="113"/>
        <v>-4.5452960050683009</v>
      </c>
      <c r="U79" s="41">
        <f t="shared" ca="1" si="114"/>
        <v>0.2906634034105316</v>
      </c>
      <c r="V79" s="41">
        <f t="shared" ca="1" si="115"/>
        <v>2.6917149961160316E-2</v>
      </c>
      <c r="W79" s="41">
        <f t="shared" ca="1" si="116"/>
        <v>10.798446485974178</v>
      </c>
      <c r="X79" s="20">
        <f t="shared" ca="1" si="117"/>
        <v>1538.1984670920269</v>
      </c>
      <c r="Y79" s="41">
        <f t="shared" si="118"/>
        <v>0.58456043110060818</v>
      </c>
      <c r="Z79" s="41">
        <f t="shared" ca="1" si="119"/>
        <v>184.06679904822661</v>
      </c>
      <c r="AA79" s="14">
        <f t="shared" ca="1" si="120"/>
        <v>1543.0513710036075</v>
      </c>
      <c r="AB79" s="14">
        <f t="shared" si="147"/>
        <v>4354.7490593616949</v>
      </c>
      <c r="AC79" s="25">
        <f t="shared" ca="1" si="121"/>
        <v>816143.05310397723</v>
      </c>
      <c r="AD79" s="41">
        <f t="shared" si="122"/>
        <v>2303292.2037440175</v>
      </c>
      <c r="AE79" s="6">
        <v>5</v>
      </c>
      <c r="AF79" s="41">
        <f t="shared" si="123"/>
        <v>217.73745296808477</v>
      </c>
      <c r="AG79" s="41">
        <f t="shared" ca="1" si="124"/>
        <v>2811.6976883580874</v>
      </c>
      <c r="AH79" s="41">
        <f t="shared" ca="1" si="125"/>
        <v>1487149.1506400402</v>
      </c>
      <c r="AI79" s="41">
        <f t="shared" si="126"/>
        <v>173.48543157779127</v>
      </c>
      <c r="AJ79" s="13">
        <f t="shared" ca="1" si="127"/>
        <v>-41.915033909714893</v>
      </c>
      <c r="AK79" s="11"/>
      <c r="AL79" s="6">
        <f t="shared" si="153"/>
        <v>-350</v>
      </c>
      <c r="AM79" s="41">
        <f t="shared" ca="1" si="128"/>
        <v>8.3502258581944862</v>
      </c>
      <c r="AN79" s="41">
        <f t="shared" ca="1" si="129"/>
        <v>0.40240070466136191</v>
      </c>
      <c r="AO79" s="41">
        <f t="shared" ca="1" si="130"/>
        <v>0.72458650534106883</v>
      </c>
      <c r="AP79" s="67">
        <f t="shared" si="148"/>
        <v>0.79676431047083207</v>
      </c>
      <c r="AQ79" s="11">
        <f t="shared" si="131"/>
        <v>0.99774095571837584</v>
      </c>
      <c r="AR79" s="11">
        <f t="shared" si="132"/>
        <v>0.74562513857983947</v>
      </c>
      <c r="AS79" s="11">
        <f t="shared" si="133"/>
        <v>0.74731335253546605</v>
      </c>
      <c r="AT79" s="11">
        <f t="shared" si="134"/>
        <v>517.49830150244998</v>
      </c>
      <c r="AU79" s="11">
        <f t="shared" si="135"/>
        <v>1577.9068307654277</v>
      </c>
      <c r="AV79" s="11">
        <f t="shared" si="136"/>
        <v>1.7762891076415492E-3</v>
      </c>
      <c r="AW79" s="11">
        <f t="shared" si="137"/>
        <v>3.730666577662288E-7</v>
      </c>
      <c r="AX79" s="41">
        <f t="shared" ca="1" si="138"/>
        <v>2.0936151897642956</v>
      </c>
      <c r="AY79" s="41">
        <f t="shared" ca="1" si="139"/>
        <v>2.8201412556162766</v>
      </c>
      <c r="AZ79" s="41">
        <f t="shared" si="140"/>
        <v>0.33002230335615335</v>
      </c>
      <c r="BA79" s="167">
        <f t="shared" si="149"/>
        <v>1.6577334467509071</v>
      </c>
      <c r="BB79" s="156">
        <f t="shared" si="150"/>
        <v>1.4230227758413387</v>
      </c>
      <c r="BC79" s="156">
        <f t="shared" si="151"/>
        <v>1.0368035362302084</v>
      </c>
    </row>
    <row r="80" spans="1:55" ht="14.5">
      <c r="A80" s="41">
        <f t="shared" ca="1" si="141"/>
        <v>1089.1224639915747</v>
      </c>
      <c r="B80" s="41">
        <f t="shared" ca="1" si="103"/>
        <v>18.152041066526245</v>
      </c>
      <c r="C80" s="41">
        <f t="shared" ca="1" si="103"/>
        <v>0.30253401777543742</v>
      </c>
      <c r="D80" s="41">
        <f t="shared" ca="1" si="142"/>
        <v>16662.155254186884</v>
      </c>
      <c r="E80" s="41">
        <f t="shared" ca="1" si="143"/>
        <v>108.47329660597198</v>
      </c>
      <c r="F80" s="41">
        <f t="shared" ca="1" si="144"/>
        <v>4.6064020422954579</v>
      </c>
      <c r="G80" s="41"/>
      <c r="H80" s="7">
        <f t="shared" si="145"/>
        <v>7550</v>
      </c>
      <c r="I80" s="6">
        <v>15</v>
      </c>
      <c r="J80" s="41">
        <f t="shared" si="105"/>
        <v>0.45997759078304135</v>
      </c>
      <c r="K80" s="41">
        <f t="shared" si="106"/>
        <v>513.57944489126476</v>
      </c>
      <c r="L80" s="6">
        <f t="shared" si="152"/>
        <v>266.125</v>
      </c>
      <c r="M80" s="41">
        <f t="shared" si="107"/>
        <v>304.28760382695611</v>
      </c>
      <c r="N80" s="41">
        <f t="shared" si="108"/>
        <v>236.8393566056111</v>
      </c>
      <c r="O80" s="41">
        <f t="shared" si="109"/>
        <v>2467610.9629038828</v>
      </c>
      <c r="P80" s="41">
        <f t="shared" si="110"/>
        <v>15843796.332996054</v>
      </c>
      <c r="Q80" s="41">
        <f t="shared" si="111"/>
        <v>2.7393226228184238E-3</v>
      </c>
      <c r="R80" s="41">
        <f t="shared" si="112"/>
        <v>2.165408283599584E-2</v>
      </c>
      <c r="S80" s="24">
        <f t="shared" ca="1" si="146"/>
        <v>-4.4020091574301512</v>
      </c>
      <c r="T80" s="10">
        <f t="shared" ca="1" si="113"/>
        <v>-4.4020091574301521</v>
      </c>
      <c r="U80" s="41">
        <f t="shared" ca="1" si="114"/>
        <v>0.30497653982329215</v>
      </c>
      <c r="V80" s="41">
        <f t="shared" ca="1" si="115"/>
        <v>2.7528333252200221E-2</v>
      </c>
      <c r="W80" s="41">
        <f t="shared" ca="1" si="116"/>
        <v>11.078641668177157</v>
      </c>
      <c r="X80" s="20">
        <f t="shared" ca="1" si="117"/>
        <v>1499.5523292514686</v>
      </c>
      <c r="Y80" s="41">
        <f t="shared" si="118"/>
        <v>0.58554476352475249</v>
      </c>
      <c r="Z80" s="41">
        <f t="shared" ca="1" si="119"/>
        <v>183.07760780276428</v>
      </c>
      <c r="AA80" s="14">
        <f t="shared" ca="1" si="120"/>
        <v>1503.9890045408806</v>
      </c>
      <c r="AB80" s="14">
        <f t="shared" si="147"/>
        <v>4413.3082491050009</v>
      </c>
      <c r="AC80" s="25">
        <f t="shared" ca="1" si="121"/>
        <v>772417.83807467134</v>
      </c>
      <c r="AD80" s="41">
        <f t="shared" si="122"/>
        <v>2266584.400709386</v>
      </c>
      <c r="AE80" s="6">
        <v>5</v>
      </c>
      <c r="AF80" s="41">
        <f t="shared" si="123"/>
        <v>220.66541245525005</v>
      </c>
      <c r="AG80" s="41">
        <f t="shared" ca="1" si="124"/>
        <v>2909.3192445641203</v>
      </c>
      <c r="AH80" s="41">
        <f t="shared" ca="1" si="125"/>
        <v>1494166.5626347146</v>
      </c>
      <c r="AI80" s="41">
        <f t="shared" si="126"/>
        <v>175.29046546331148</v>
      </c>
      <c r="AJ80" s="13">
        <f t="shared" ca="1" si="127"/>
        <v>-39.419272164197302</v>
      </c>
      <c r="AK80" s="11"/>
      <c r="AL80" s="6">
        <f t="shared" si="153"/>
        <v>-350</v>
      </c>
      <c r="AM80" s="41">
        <f t="shared" ca="1" si="128"/>
        <v>8.8789056921727934</v>
      </c>
      <c r="AN80" s="41">
        <f t="shared" ca="1" si="129"/>
        <v>0.43232986432939302</v>
      </c>
      <c r="AO80" s="41">
        <f t="shared" ca="1" si="130"/>
        <v>0.74826971324169145</v>
      </c>
      <c r="AP80" s="67">
        <f t="shared" si="148"/>
        <v>0.79437218326573766</v>
      </c>
      <c r="AQ80" s="11">
        <f t="shared" si="131"/>
        <v>1.0001473282183759</v>
      </c>
      <c r="AR80" s="11">
        <f t="shared" si="132"/>
        <v>0.75565171034603806</v>
      </c>
      <c r="AS80" s="11">
        <f t="shared" si="133"/>
        <v>0.7555403979253007</v>
      </c>
      <c r="AT80" s="11">
        <f t="shared" si="134"/>
        <v>518.74641472702501</v>
      </c>
      <c r="AU80" s="11">
        <f t="shared" si="135"/>
        <v>1599.1252624684926</v>
      </c>
      <c r="AV80" s="11">
        <f t="shared" si="136"/>
        <v>1.7958439718286472E-3</v>
      </c>
      <c r="AW80" s="11">
        <f t="shared" si="137"/>
        <v>3.7376578562356062E-7</v>
      </c>
      <c r="AX80" s="41">
        <f t="shared" ca="1" si="138"/>
        <v>2.0054118612532474</v>
      </c>
      <c r="AY80" s="41">
        <f t="shared" ca="1" si="139"/>
        <v>2.7013296197278844</v>
      </c>
      <c r="AZ80" s="41">
        <f t="shared" si="140"/>
        <v>0.32146772207852431</v>
      </c>
      <c r="BA80" s="167">
        <f t="shared" si="149"/>
        <v>1.6525639432131218</v>
      </c>
      <c r="BB80" s="156">
        <f t="shared" si="150"/>
        <v>1.4157104073667155</v>
      </c>
      <c r="BC80" s="156">
        <f t="shared" si="151"/>
        <v>1.0311986758989387</v>
      </c>
    </row>
    <row r="81" spans="1:55" ht="14.5">
      <c r="A81" s="41">
        <f t="shared" ca="1" si="141"/>
        <v>1098.0013696837475</v>
      </c>
      <c r="B81" s="41">
        <f t="shared" ca="1" si="103"/>
        <v>18.30002282806246</v>
      </c>
      <c r="C81" s="41">
        <f t="shared" ca="1" si="103"/>
        <v>0.30500038046770767</v>
      </c>
      <c r="D81" s="41">
        <f t="shared" ca="1" si="142"/>
        <v>16661.722924322556</v>
      </c>
      <c r="E81" s="41">
        <f t="shared" ca="1" si="143"/>
        <v>109.22156631921368</v>
      </c>
      <c r="F81" s="41">
        <f t="shared" ca="1" si="144"/>
        <v>5.354671755537149</v>
      </c>
      <c r="G81" s="41"/>
      <c r="H81" s="7">
        <f t="shared" si="145"/>
        <v>7200</v>
      </c>
      <c r="I81" s="6">
        <v>15</v>
      </c>
      <c r="J81" s="41">
        <f t="shared" si="105"/>
        <v>0.44581600116795789</v>
      </c>
      <c r="K81" s="41">
        <f t="shared" si="106"/>
        <v>498.36604388176949</v>
      </c>
      <c r="L81" s="6">
        <f t="shared" si="152"/>
        <v>259.5</v>
      </c>
      <c r="M81" s="41">
        <f t="shared" si="107"/>
        <v>295.27390714324633</v>
      </c>
      <c r="N81" s="41">
        <f t="shared" si="108"/>
        <v>225.46454162285056</v>
      </c>
      <c r="O81" s="41">
        <f t="shared" si="109"/>
        <v>2416293.0703150062</v>
      </c>
      <c r="P81" s="41">
        <f t="shared" si="110"/>
        <v>15514299.402304877</v>
      </c>
      <c r="Q81" s="41">
        <f t="shared" si="111"/>
        <v>2.7515091603850616E-3</v>
      </c>
      <c r="R81" s="41">
        <f t="shared" si="112"/>
        <v>2.1728172541395325E-2</v>
      </c>
      <c r="S81" s="24">
        <f t="shared" ca="1" si="146"/>
        <v>-4.2658268479572197</v>
      </c>
      <c r="T81" s="10">
        <f t="shared" ca="1" si="113"/>
        <v>-4.2658268479572206</v>
      </c>
      <c r="U81" s="41">
        <f t="shared" ca="1" si="114"/>
        <v>0.32041217876805012</v>
      </c>
      <c r="V81" s="41">
        <f t="shared" ca="1" si="115"/>
        <v>2.8212092143067809E-2</v>
      </c>
      <c r="W81" s="41">
        <f t="shared" ca="1" si="116"/>
        <v>11.35726401087843</v>
      </c>
      <c r="X81" s="20">
        <f t="shared" ca="1" si="117"/>
        <v>1462.9900773494337</v>
      </c>
      <c r="Y81" s="41">
        <f t="shared" si="118"/>
        <v>0.58654563236731572</v>
      </c>
      <c r="Z81" s="41">
        <f t="shared" ca="1" si="119"/>
        <v>182.0947105819636</v>
      </c>
      <c r="AA81" s="14">
        <f t="shared" ca="1" si="120"/>
        <v>1467.0542930377694</v>
      </c>
      <c r="AB81" s="14">
        <f t="shared" si="147"/>
        <v>4472.5034532982363</v>
      </c>
      <c r="AC81" s="25">
        <f t="shared" ca="1" si="121"/>
        <v>731130.04418099928</v>
      </c>
      <c r="AD81" s="41">
        <f t="shared" si="122"/>
        <v>2228943.8522677943</v>
      </c>
      <c r="AE81" s="6">
        <v>5</v>
      </c>
      <c r="AF81" s="41">
        <f t="shared" si="123"/>
        <v>223.62517266491182</v>
      </c>
      <c r="AG81" s="41">
        <f t="shared" ca="1" si="124"/>
        <v>3005.4491602604667</v>
      </c>
      <c r="AH81" s="41">
        <f t="shared" ca="1" si="125"/>
        <v>1497813.808086795</v>
      </c>
      <c r="AI81" s="41">
        <f t="shared" si="126"/>
        <v>177.10487233444118</v>
      </c>
      <c r="AJ81" s="13">
        <f t="shared" ca="1" si="127"/>
        <v>-37.070439070372707</v>
      </c>
      <c r="AK81" s="11"/>
      <c r="AL81" s="6">
        <f t="shared" si="153"/>
        <v>-350</v>
      </c>
      <c r="AM81" s="41">
        <f t="shared" ca="1" si="128"/>
        <v>9.4414851503532802</v>
      </c>
      <c r="AN81" s="41">
        <f t="shared" ca="1" si="129"/>
        <v>0.46448139505578884</v>
      </c>
      <c r="AO81" s="41">
        <f t="shared" ca="1" si="130"/>
        <v>0.77225028703311782</v>
      </c>
      <c r="AP81" s="67">
        <f t="shared" si="148"/>
        <v>0.79197198698118676</v>
      </c>
      <c r="AQ81" s="11">
        <f t="shared" si="131"/>
        <v>1.0025537007183758</v>
      </c>
      <c r="AR81" s="11">
        <f t="shared" si="132"/>
        <v>0.7657871812372844</v>
      </c>
      <c r="AS81" s="11">
        <f t="shared" si="133"/>
        <v>0.76383657123659576</v>
      </c>
      <c r="AT81" s="11">
        <f t="shared" si="134"/>
        <v>519.99452795159993</v>
      </c>
      <c r="AU81" s="11">
        <f t="shared" si="135"/>
        <v>1620.5741486779659</v>
      </c>
      <c r="AV81" s="11">
        <f t="shared" si="136"/>
        <v>1.8155631461722645E-3</v>
      </c>
      <c r="AW81" s="11">
        <f t="shared" si="137"/>
        <v>3.7446410524094736E-7</v>
      </c>
      <c r="AX81" s="41">
        <f t="shared" ca="1" si="138"/>
        <v>1.9196769056663745</v>
      </c>
      <c r="AY81" s="41">
        <f t="shared" ca="1" si="139"/>
        <v>2.585842931208878</v>
      </c>
      <c r="AZ81" s="41">
        <f t="shared" si="140"/>
        <v>0.3129014875874998</v>
      </c>
      <c r="BA81" s="167">
        <f t="shared" si="149"/>
        <v>1.6473638863280942</v>
      </c>
      <c r="BB81" s="156">
        <f t="shared" si="150"/>
        <v>1.4083835233519468</v>
      </c>
      <c r="BC81" s="156">
        <f t="shared" si="151"/>
        <v>1.0256124153820414</v>
      </c>
    </row>
    <row r="82" spans="1:55" ht="14.5">
      <c r="A82" s="41">
        <f t="shared" ca="1" si="141"/>
        <v>1107.4428548341007</v>
      </c>
      <c r="B82" s="41">
        <f t="shared" ca="1" si="103"/>
        <v>18.457380913901677</v>
      </c>
      <c r="C82" s="41">
        <f t="shared" ca="1" si="103"/>
        <v>0.30762301523169461</v>
      </c>
      <c r="D82" s="41">
        <f t="shared" ca="1" si="142"/>
        <v>16661.258442927501</v>
      </c>
      <c r="E82" s="41">
        <f t="shared" ca="1" si="143"/>
        <v>109.9938166062468</v>
      </c>
      <c r="F82" s="41">
        <f t="shared" ca="1" si="144"/>
        <v>6.1269220425702668</v>
      </c>
      <c r="G82" s="41"/>
      <c r="H82" s="7">
        <f t="shared" si="145"/>
        <v>6850</v>
      </c>
      <c r="I82" s="6">
        <v>15</v>
      </c>
      <c r="J82" s="41">
        <f t="shared" si="105"/>
        <v>0.4317989750195384</v>
      </c>
      <c r="K82" s="41">
        <f t="shared" si="106"/>
        <v>483.27572466011003</v>
      </c>
      <c r="L82" s="6">
        <f t="shared" si="152"/>
        <v>252.875</v>
      </c>
      <c r="M82" s="41">
        <f t="shared" si="107"/>
        <v>286.33313444952063</v>
      </c>
      <c r="N82" s="41">
        <f t="shared" si="108"/>
        <v>214.3393713569989</v>
      </c>
      <c r="O82" s="41">
        <f t="shared" si="109"/>
        <v>2364387.0191072659</v>
      </c>
      <c r="P82" s="41">
        <f t="shared" si="110"/>
        <v>15181026.079990847</v>
      </c>
      <c r="Q82" s="41">
        <f t="shared" si="111"/>
        <v>2.763936504026298E-3</v>
      </c>
      <c r="R82" s="41">
        <f t="shared" si="112"/>
        <v>2.1803726259934545E-2</v>
      </c>
      <c r="S82" s="24">
        <f t="shared" ca="1" si="146"/>
        <v>-4.1372756542090912</v>
      </c>
      <c r="T82" s="10">
        <f t="shared" ca="1" si="113"/>
        <v>-4.137275654209092</v>
      </c>
      <c r="U82" s="41">
        <f t="shared" ca="1" si="114"/>
        <v>0.33708916125404492</v>
      </c>
      <c r="V82" s="41">
        <f t="shared" ca="1" si="115"/>
        <v>2.8980168070827195E-2</v>
      </c>
      <c r="W82" s="41">
        <f t="shared" ca="1" si="116"/>
        <v>11.63171864394309</v>
      </c>
      <c r="X82" s="20">
        <f t="shared" ca="1" si="117"/>
        <v>1428.6659314078927</v>
      </c>
      <c r="Y82" s="41">
        <f t="shared" si="118"/>
        <v>0.58756452262286041</v>
      </c>
      <c r="Z82" s="41">
        <f t="shared" ca="1" si="119"/>
        <v>181.11805849603377</v>
      </c>
      <c r="AA82" s="14">
        <f t="shared" ca="1" si="120"/>
        <v>1432.3986809639184</v>
      </c>
      <c r="AB82" s="14">
        <f t="shared" si="147"/>
        <v>4532.3399432619817</v>
      </c>
      <c r="AC82" s="25">
        <f t="shared" ca="1" si="121"/>
        <v>692243.51054502348</v>
      </c>
      <c r="AD82" s="41">
        <f t="shared" si="122"/>
        <v>2190369.8704858962</v>
      </c>
      <c r="AE82" s="6">
        <v>5</v>
      </c>
      <c r="AF82" s="41">
        <f t="shared" si="123"/>
        <v>226.61699716309909</v>
      </c>
      <c r="AG82" s="41">
        <f t="shared" ca="1" si="124"/>
        <v>3099.9412622980635</v>
      </c>
      <c r="AH82" s="41">
        <f t="shared" ca="1" si="125"/>
        <v>1498126.3599408728</v>
      </c>
      <c r="AI82" s="41">
        <f t="shared" si="126"/>
        <v>178.92875380589041</v>
      </c>
      <c r="AJ82" s="13">
        <f t="shared" ca="1" si="127"/>
        <v>-34.866578161787011</v>
      </c>
      <c r="AK82" s="11"/>
      <c r="AL82" s="6">
        <f t="shared" si="153"/>
        <v>-350</v>
      </c>
      <c r="AM82" s="41">
        <f t="shared" ca="1" si="128"/>
        <v>10.038266398725417</v>
      </c>
      <c r="AN82" s="41">
        <f t="shared" ca="1" si="129"/>
        <v>0.49892624919318956</v>
      </c>
      <c r="AO82" s="41">
        <f t="shared" ca="1" si="130"/>
        <v>0.79633279179860417</v>
      </c>
      <c r="AP82" s="67">
        <f t="shared" si="148"/>
        <v>0.78956457832292759</v>
      </c>
      <c r="AQ82" s="11">
        <f t="shared" si="131"/>
        <v>1.0049600732183759</v>
      </c>
      <c r="AR82" s="11">
        <f t="shared" si="132"/>
        <v>0.77603245381514641</v>
      </c>
      <c r="AS82" s="11">
        <f t="shared" si="133"/>
        <v>0.77220227399672625</v>
      </c>
      <c r="AT82" s="11">
        <f t="shared" si="134"/>
        <v>521.24264117617497</v>
      </c>
      <c r="AU82" s="11">
        <f t="shared" si="135"/>
        <v>1642.255399412689</v>
      </c>
      <c r="AV82" s="11">
        <f t="shared" si="136"/>
        <v>1.8354475850628185E-3</v>
      </c>
      <c r="AW82" s="11">
        <f t="shared" si="137"/>
        <v>3.7516161887989139E-7</v>
      </c>
      <c r="AX82" s="41">
        <f t="shared" ca="1" si="138"/>
        <v>1.8364923992476891</v>
      </c>
      <c r="AY82" s="41">
        <f t="shared" ca="1" si="139"/>
        <v>2.473791748390596</v>
      </c>
      <c r="AZ82" s="41">
        <f t="shared" si="140"/>
        <v>0.30432671816793366</v>
      </c>
      <c r="BA82" s="167">
        <f t="shared" si="149"/>
        <v>1.6421335443686185</v>
      </c>
      <c r="BB82" s="156">
        <f t="shared" si="150"/>
        <v>1.4010431247927084</v>
      </c>
      <c r="BC82" s="156">
        <f t="shared" si="151"/>
        <v>1.0200458782980291</v>
      </c>
    </row>
    <row r="83" spans="1:55" ht="14.5">
      <c r="A83" s="41">
        <f t="shared" ca="1" si="141"/>
        <v>1117.4811212328261</v>
      </c>
      <c r="B83" s="41">
        <f t="shared" ca="1" si="103"/>
        <v>18.624685353880434</v>
      </c>
      <c r="C83" s="41">
        <f t="shared" ca="1" si="103"/>
        <v>0.31041142256467391</v>
      </c>
      <c r="D83" s="41">
        <f t="shared" ca="1" si="142"/>
        <v>16660.759516678307</v>
      </c>
      <c r="E83" s="41">
        <f t="shared" ca="1" si="143"/>
        <v>110.7901493980454</v>
      </c>
      <c r="F83" s="41">
        <f t="shared" ca="1" si="144"/>
        <v>6.9232548343688709</v>
      </c>
      <c r="G83" s="41"/>
      <c r="H83" s="7">
        <f t="shared" si="145"/>
        <v>6500</v>
      </c>
      <c r="I83" s="6">
        <v>15</v>
      </c>
      <c r="J83" s="41">
        <f t="shared" si="105"/>
        <v>0.4179266559559891</v>
      </c>
      <c r="K83" s="41">
        <f t="shared" si="106"/>
        <v>468.30929976225008</v>
      </c>
      <c r="L83" s="6">
        <f t="shared" si="152"/>
        <v>246.25</v>
      </c>
      <c r="M83" s="41">
        <f t="shared" si="107"/>
        <v>277.46576716033695</v>
      </c>
      <c r="N83" s="41">
        <f t="shared" si="108"/>
        <v>203.46800028488215</v>
      </c>
      <c r="O83" s="41">
        <f t="shared" si="109"/>
        <v>2311900.5692126271</v>
      </c>
      <c r="P83" s="41">
        <f t="shared" si="110"/>
        <v>14844026.19026996</v>
      </c>
      <c r="Q83" s="41">
        <f t="shared" si="111"/>
        <v>2.7766254284274168E-3</v>
      </c>
      <c r="R83" s="41">
        <f t="shared" si="112"/>
        <v>2.1880870294125922E-2</v>
      </c>
      <c r="S83" s="24">
        <f t="shared" ca="1" si="146"/>
        <v>-4.0169365782927891</v>
      </c>
      <c r="T83" s="10">
        <f t="shared" ca="1" si="113"/>
        <v>-4.0169365782927891</v>
      </c>
      <c r="U83" s="41">
        <f t="shared" ca="1" si="114"/>
        <v>0.35514249117010244</v>
      </c>
      <c r="V83" s="41">
        <f t="shared" ca="1" si="115"/>
        <v>2.984658713467532E-2</v>
      </c>
      <c r="W83" s="41">
        <f t="shared" ca="1" si="116"/>
        <v>11.898931344063227</v>
      </c>
      <c r="X83" s="20">
        <f t="shared" ca="1" si="117"/>
        <v>1396.7498419128019</v>
      </c>
      <c r="Y83" s="41">
        <f t="shared" si="118"/>
        <v>0.58860303949749759</v>
      </c>
      <c r="Z83" s="41">
        <f t="shared" ca="1" si="119"/>
        <v>180.14759959783709</v>
      </c>
      <c r="AA83" s="14">
        <f t="shared" ca="1" si="120"/>
        <v>1400.1895661824215</v>
      </c>
      <c r="AB83" s="14">
        <f t="shared" si="147"/>
        <v>4592.8230205114587</v>
      </c>
      <c r="AC83" s="25">
        <f t="shared" ca="1" si="121"/>
        <v>655721.79527329851</v>
      </c>
      <c r="AD83" s="41">
        <f t="shared" si="122"/>
        <v>2150861.7326676636</v>
      </c>
      <c r="AE83" s="6">
        <v>5</v>
      </c>
      <c r="AF83" s="41">
        <f t="shared" si="123"/>
        <v>229.64115102557295</v>
      </c>
      <c r="AG83" s="41">
        <f t="shared" ca="1" si="124"/>
        <v>3192.6334543290372</v>
      </c>
      <c r="AH83" s="41">
        <f t="shared" ca="1" si="125"/>
        <v>1495139.9373943652</v>
      </c>
      <c r="AI83" s="41">
        <f t="shared" si="126"/>
        <v>180.7622157428348</v>
      </c>
      <c r="AJ83" s="13">
        <f t="shared" ca="1" si="127"/>
        <v>-32.805698517446999</v>
      </c>
      <c r="AK83" s="11"/>
      <c r="AL83" s="6">
        <f t="shared" si="153"/>
        <v>-350</v>
      </c>
      <c r="AM83" s="41">
        <f t="shared" ca="1" si="128"/>
        <v>10.668878146699425</v>
      </c>
      <c r="AN83" s="41">
        <f t="shared" ca="1" si="129"/>
        <v>0.53570279257991582</v>
      </c>
      <c r="AO83" s="41">
        <f t="shared" ca="1" si="130"/>
        <v>0.82027118723992942</v>
      </c>
      <c r="AP83" s="67">
        <f t="shared" si="148"/>
        <v>0.78715080000058446</v>
      </c>
      <c r="AQ83" s="11">
        <f t="shared" si="131"/>
        <v>1.0073664457183757</v>
      </c>
      <c r="AR83" s="11">
        <f t="shared" si="132"/>
        <v>0.78638843581115314</v>
      </c>
      <c r="AS83" s="11">
        <f t="shared" si="133"/>
        <v>0.78063790902858765</v>
      </c>
      <c r="AT83" s="11">
        <f t="shared" si="134"/>
        <v>522.49075440074989</v>
      </c>
      <c r="AU83" s="11">
        <f t="shared" si="135"/>
        <v>1664.1709356322783</v>
      </c>
      <c r="AV83" s="11">
        <f t="shared" si="136"/>
        <v>1.85549824597005E-3</v>
      </c>
      <c r="AW83" s="11">
        <f t="shared" si="137"/>
        <v>3.7585832879320501E-7</v>
      </c>
      <c r="AX83" s="41">
        <f t="shared" ca="1" si="138"/>
        <v>1.7559473538424513</v>
      </c>
      <c r="AY83" s="41">
        <f t="shared" ca="1" si="139"/>
        <v>2.3652959719970506</v>
      </c>
      <c r="AZ83" s="41">
        <f t="shared" si="140"/>
        <v>0.29574645755236201</v>
      </c>
      <c r="BA83" s="167">
        <f t="shared" si="149"/>
        <v>1.6368731949185307</v>
      </c>
      <c r="BB83" s="156">
        <f t="shared" si="150"/>
        <v>1.3936902277327736</v>
      </c>
      <c r="BC83" s="156">
        <f t="shared" si="151"/>
        <v>1.01450018773827</v>
      </c>
    </row>
    <row r="84" spans="1:55" ht="14.5">
      <c r="A84" s="41">
        <f t="shared" ca="1" si="141"/>
        <v>1128.1499993795255</v>
      </c>
      <c r="B84" s="41">
        <f t="shared" ca="1" si="103"/>
        <v>18.802499989658759</v>
      </c>
      <c r="C84" s="41">
        <f t="shared" ca="1" si="103"/>
        <v>0.31337499982764599</v>
      </c>
      <c r="D84" s="41">
        <f t="shared" ca="1" si="142"/>
        <v>16660.223813885728</v>
      </c>
      <c r="E84" s="41">
        <f t="shared" ca="1" si="143"/>
        <v>111.61042058528533</v>
      </c>
      <c r="F84" s="41">
        <f t="shared" ca="1" si="144"/>
        <v>7.7435260216088002</v>
      </c>
      <c r="G84" s="41"/>
      <c r="H84" s="7">
        <f t="shared" si="145"/>
        <v>6150</v>
      </c>
      <c r="I84" s="6">
        <v>15</v>
      </c>
      <c r="J84" s="41">
        <f t="shared" si="105"/>
        <v>0.40419910763584799</v>
      </c>
      <c r="K84" s="41">
        <f t="shared" si="106"/>
        <v>453.46749105864819</v>
      </c>
      <c r="L84" s="6">
        <f t="shared" si="152"/>
        <v>239.625</v>
      </c>
      <c r="M84" s="41">
        <f t="shared" si="107"/>
        <v>268.67223297239212</v>
      </c>
      <c r="N84" s="41">
        <f t="shared" si="108"/>
        <v>192.85434333303181</v>
      </c>
      <c r="O84" s="41">
        <f t="shared" si="109"/>
        <v>2258841.3166909404</v>
      </c>
      <c r="P84" s="41">
        <f t="shared" si="110"/>
        <v>14503348.50518409</v>
      </c>
      <c r="Q84" s="41">
        <f t="shared" si="111"/>
        <v>2.7895985011798241E-3</v>
      </c>
      <c r="R84" s="41">
        <f t="shared" si="112"/>
        <v>2.195974184669745E-2</v>
      </c>
      <c r="S84" s="24">
        <f t="shared" ca="1" si="146"/>
        <v>-3.9054548377828828</v>
      </c>
      <c r="T84" s="10">
        <f t="shared" ca="1" si="113"/>
        <v>-3.9054548377828828</v>
      </c>
      <c r="U84" s="41">
        <f t="shared" ca="1" si="114"/>
        <v>0.37472604492023776</v>
      </c>
      <c r="V84" s="41">
        <f t="shared" ca="1" si="115"/>
        <v>3.0828184242828335E-2</v>
      </c>
      <c r="W84" s="41">
        <f t="shared" ca="1" si="116"/>
        <v>12.155307038798808</v>
      </c>
      <c r="X84" s="20">
        <f t="shared" ca="1" si="117"/>
        <v>1367.4303225090869</v>
      </c>
      <c r="Y84" s="41">
        <f t="shared" si="118"/>
        <v>0.58966292137794951</v>
      </c>
      <c r="Z84" s="41">
        <f t="shared" ca="1" si="119"/>
        <v>179.18327779815124</v>
      </c>
      <c r="AA84" s="14">
        <f t="shared" ca="1" si="120"/>
        <v>1370.6131618648194</v>
      </c>
      <c r="AB84" s="14">
        <f t="shared" si="147"/>
        <v>4653.958016852589</v>
      </c>
      <c r="AC84" s="25">
        <f t="shared" ca="1" si="121"/>
        <v>621528.51172280055</v>
      </c>
      <c r="AD84" s="41">
        <f t="shared" si="122"/>
        <v>2110418.6653944254</v>
      </c>
      <c r="AE84" s="6">
        <v>5</v>
      </c>
      <c r="AF84" s="41">
        <f t="shared" si="123"/>
        <v>232.69790084262945</v>
      </c>
      <c r="AG84" s="41">
        <f t="shared" ca="1" si="124"/>
        <v>3283.3448549877694</v>
      </c>
      <c r="AH84" s="41">
        <f t="shared" ca="1" si="125"/>
        <v>1488890.1536716248</v>
      </c>
      <c r="AI84" s="41">
        <f t="shared" si="126"/>
        <v>182.60536809099889</v>
      </c>
      <c r="AJ84" s="13">
        <f t="shared" ca="1" si="127"/>
        <v>-30.885795414532232</v>
      </c>
      <c r="AK84" s="11"/>
      <c r="AL84" s="6">
        <f t="shared" si="153"/>
        <v>-350</v>
      </c>
      <c r="AM84" s="41">
        <f t="shared" ca="1" si="128"/>
        <v>11.33207014106296</v>
      </c>
      <c r="AN84" s="41">
        <f t="shared" ca="1" si="129"/>
        <v>0.57480467759494991</v>
      </c>
      <c r="AO84" s="41">
        <f t="shared" ca="1" si="130"/>
        <v>0.843761773993561</v>
      </c>
      <c r="AP84" s="67">
        <f t="shared" si="148"/>
        <v>0.78473147987051473</v>
      </c>
      <c r="AQ84" s="11">
        <f t="shared" si="131"/>
        <v>1.0097728182183758</v>
      </c>
      <c r="AR84" s="11">
        <f t="shared" si="132"/>
        <v>0.79685604014324174</v>
      </c>
      <c r="AS84" s="11">
        <f t="shared" si="133"/>
        <v>0.78914388045144601</v>
      </c>
      <c r="AT84" s="11">
        <f t="shared" si="134"/>
        <v>523.73886762532493</v>
      </c>
      <c r="AU84" s="11">
        <f t="shared" si="135"/>
        <v>1686.3226892719308</v>
      </c>
      <c r="AV84" s="11">
        <f t="shared" si="136"/>
        <v>1.875716089445042E-3</v>
      </c>
      <c r="AW84" s="11">
        <f t="shared" si="137"/>
        <v>3.7655423722504886E-7</v>
      </c>
      <c r="AX84" s="41">
        <f t="shared" ca="1" si="138"/>
        <v>1.6781395942168098</v>
      </c>
      <c r="AY84" s="41">
        <f t="shared" ca="1" si="139"/>
        <v>2.2604873739317823</v>
      </c>
      <c r="AZ84" s="41">
        <f t="shared" si="140"/>
        <v>0.28716367257646591</v>
      </c>
      <c r="BA84" s="167">
        <f t="shared" si="149"/>
        <v>1.6315831249400869</v>
      </c>
      <c r="BB84" s="156">
        <f t="shared" si="150"/>
        <v>1.3863258630722868</v>
      </c>
      <c r="BC84" s="156">
        <f t="shared" si="151"/>
        <v>1.00897646553498</v>
      </c>
    </row>
    <row r="85" spans="1:55" ht="14.5">
      <c r="A85" s="41">
        <f t="shared" ca="1" si="141"/>
        <v>1139.4820695205885</v>
      </c>
      <c r="B85" s="41">
        <f t="shared" ca="1" si="103"/>
        <v>18.991367825343143</v>
      </c>
      <c r="C85" s="41">
        <f t="shared" ca="1" si="103"/>
        <v>0.3165227970890524</v>
      </c>
      <c r="D85" s="41">
        <f t="shared" ca="1" si="142"/>
        <v>16659.649009208133</v>
      </c>
      <c r="E85" s="41">
        <f t="shared" ca="1" si="143"/>
        <v>112.45418235927889</v>
      </c>
      <c r="F85" s="41">
        <f t="shared" ca="1" si="144"/>
        <v>8.5872877956023608</v>
      </c>
      <c r="G85" s="41"/>
      <c r="H85" s="7">
        <f t="shared" si="145"/>
        <v>5800</v>
      </c>
      <c r="I85" s="6">
        <v>15</v>
      </c>
      <c r="J85" s="41">
        <f t="shared" si="105"/>
        <v>0.3906163147571115</v>
      </c>
      <c r="K85" s="41">
        <f t="shared" si="106"/>
        <v>438.7509303509018</v>
      </c>
      <c r="L85" s="6">
        <f t="shared" si="152"/>
        <v>233</v>
      </c>
      <c r="M85" s="41">
        <f t="shared" si="107"/>
        <v>259.95290621802371</v>
      </c>
      <c r="N85" s="41">
        <f t="shared" si="108"/>
        <v>182.50208041875757</v>
      </c>
      <c r="O85" s="41">
        <f t="shared" si="109"/>
        <v>2205216.6800811351</v>
      </c>
      <c r="P85" s="41">
        <f t="shared" si="110"/>
        <v>14159040.656966049</v>
      </c>
      <c r="Q85" s="41">
        <f t="shared" si="111"/>
        <v>2.8028802874728374E-3</v>
      </c>
      <c r="R85" s="41">
        <f t="shared" si="112"/>
        <v>2.2040490265044118E-2</v>
      </c>
      <c r="S85" s="24">
        <f t="shared" ca="1" si="146"/>
        <v>-3.8035516249725441</v>
      </c>
      <c r="T85" s="10">
        <f t="shared" ca="1" si="113"/>
        <v>-3.8035516249725463</v>
      </c>
      <c r="U85" s="41">
        <f t="shared" ca="1" si="114"/>
        <v>0.3960158255656967</v>
      </c>
      <c r="V85" s="41">
        <f t="shared" ca="1" si="115"/>
        <v>3.194526662203976E-2</v>
      </c>
      <c r="W85" s="41">
        <f t="shared" ca="1" si="116"/>
        <v>12.396698085232961</v>
      </c>
      <c r="X85" s="20">
        <f t="shared" ca="1" si="117"/>
        <v>1340.917852152455</v>
      </c>
      <c r="Y85" s="41">
        <f t="shared" si="118"/>
        <v>0.5907460547331882</v>
      </c>
      <c r="Z85" s="41">
        <f t="shared" ca="1" si="119"/>
        <v>178.22503155774424</v>
      </c>
      <c r="AA85" s="14">
        <f t="shared" ca="1" si="120"/>
        <v>1343.8779338389495</v>
      </c>
      <c r="AB85" s="14">
        <f t="shared" si="147"/>
        <v>4715.7502944780908</v>
      </c>
      <c r="AC85" s="25">
        <f t="shared" ca="1" si="121"/>
        <v>589627.6937498867</v>
      </c>
      <c r="AD85" s="41">
        <f t="shared" si="122"/>
        <v>2069039.8290048016</v>
      </c>
      <c r="AE85" s="6">
        <v>5</v>
      </c>
      <c r="AF85" s="41">
        <f t="shared" si="123"/>
        <v>235.78751472390456</v>
      </c>
      <c r="AG85" s="41">
        <f t="shared" ca="1" si="124"/>
        <v>3371.8723606391413</v>
      </c>
      <c r="AH85" s="41">
        <f t="shared" ca="1" si="125"/>
        <v>1479412.1352549149</v>
      </c>
      <c r="AI85" s="41">
        <f t="shared" si="126"/>
        <v>184.45832470086219</v>
      </c>
      <c r="AJ85" s="13">
        <f t="shared" ca="1" si="127"/>
        <v>-29.104872703967594</v>
      </c>
      <c r="AK85" s="11"/>
      <c r="AL85" s="6">
        <f t="shared" si="153"/>
        <v>-350</v>
      </c>
      <c r="AM85" s="41">
        <f t="shared" ca="1" si="128"/>
        <v>12.025477780299234</v>
      </c>
      <c r="AN85" s="41">
        <f t="shared" ca="1" si="129"/>
        <v>0.61616652363373325</v>
      </c>
      <c r="AO85" s="41">
        <f t="shared" ca="1" si="130"/>
        <v>0.86643675330885406</v>
      </c>
      <c r="AP85" s="67">
        <f t="shared" si="148"/>
        <v>0.78230743013197157</v>
      </c>
      <c r="AQ85" s="11">
        <f t="shared" si="131"/>
        <v>1.0121791907183759</v>
      </c>
      <c r="AR85" s="11">
        <f t="shared" si="132"/>
        <v>0.80743618493221192</v>
      </c>
      <c r="AS85" s="11">
        <f t="shared" si="133"/>
        <v>0.79772059368178538</v>
      </c>
      <c r="AT85" s="11">
        <f t="shared" si="134"/>
        <v>524.98698084989996</v>
      </c>
      <c r="AU85" s="11">
        <f t="shared" si="135"/>
        <v>1708.7126032772453</v>
      </c>
      <c r="AV85" s="11">
        <f t="shared" si="136"/>
        <v>1.8961020791222357E-3</v>
      </c>
      <c r="AW85" s="11">
        <f t="shared" si="137"/>
        <v>3.7724934641096215E-7</v>
      </c>
      <c r="AX85" s="41">
        <f t="shared" ca="1" si="138"/>
        <v>1.6031781348444882</v>
      </c>
      <c r="AY85" s="41">
        <f t="shared" ca="1" si="139"/>
        <v>2.1595127988567477</v>
      </c>
      <c r="AZ85" s="41">
        <f t="shared" si="140"/>
        <v>0.27858125107349124</v>
      </c>
      <c r="BA85" s="167">
        <f t="shared" si="149"/>
        <v>1.6262636308390712</v>
      </c>
      <c r="BB85" s="156">
        <f t="shared" si="150"/>
        <v>1.3789510763633404</v>
      </c>
      <c r="BC85" s="156">
        <f t="shared" si="151"/>
        <v>1.003475831513142</v>
      </c>
    </row>
    <row r="86" spans="1:55" ht="14.5">
      <c r="A86" s="41">
        <f t="shared" ca="1" si="141"/>
        <v>1151.5075473008878</v>
      </c>
      <c r="B86" s="41">
        <f t="shared" ca="1" si="103"/>
        <v>19.191792455014799</v>
      </c>
      <c r="C86" s="41">
        <f t="shared" ca="1" si="103"/>
        <v>0.31986320758358</v>
      </c>
      <c r="D86" s="41">
        <f t="shared" ca="1" si="142"/>
        <v>16659.032842684501</v>
      </c>
      <c r="E86" s="41">
        <f t="shared" ca="1" si="143"/>
        <v>113.32061911258775</v>
      </c>
      <c r="F86" s="41">
        <f t="shared" ca="1" si="144"/>
        <v>9.4537245489112145</v>
      </c>
      <c r="G86" s="41"/>
      <c r="H86" s="7">
        <f t="shared" si="145"/>
        <v>5450</v>
      </c>
      <c r="I86" s="6">
        <v>15</v>
      </c>
      <c r="J86" s="41">
        <f t="shared" si="105"/>
        <v>0.37717818423739757</v>
      </c>
      <c r="K86" s="41">
        <f t="shared" si="106"/>
        <v>424.16016018179869</v>
      </c>
      <c r="L86" s="6">
        <f t="shared" si="152"/>
        <v>226.375</v>
      </c>
      <c r="M86" s="41">
        <f t="shared" si="107"/>
        <v>251.30810834515282</v>
      </c>
      <c r="N86" s="41">
        <f t="shared" si="108"/>
        <v>172.41466152990861</v>
      </c>
      <c r="O86" s="41">
        <f t="shared" si="109"/>
        <v>2151033.8876211308</v>
      </c>
      <c r="P86" s="41">
        <f t="shared" si="110"/>
        <v>13811149.055982454</v>
      </c>
      <c r="Q86" s="41">
        <f t="shared" si="111"/>
        <v>2.8164975864367072E-3</v>
      </c>
      <c r="R86" s="41">
        <f t="shared" si="112"/>
        <v>2.2123278478107345E-2</v>
      </c>
      <c r="S86" s="24">
        <f t="shared" ca="1" si="146"/>
        <v>-3.7120382930327716</v>
      </c>
      <c r="T86" s="10">
        <f t="shared" ca="1" si="113"/>
        <v>-3.7120382930327724</v>
      </c>
      <c r="U86" s="41">
        <f t="shared" ca="1" si="114"/>
        <v>0.41921388993256536</v>
      </c>
      <c r="V86" s="41">
        <f t="shared" ca="1" si="115"/>
        <v>3.3222459089090821E-2</v>
      </c>
      <c r="W86" s="41">
        <f t="shared" ca="1" si="116"/>
        <v>12.618388326053251</v>
      </c>
      <c r="X86" s="20">
        <f t="shared" ca="1" si="117"/>
        <v>1317.4489789784709</v>
      </c>
      <c r="Y86" s="41">
        <f t="shared" si="118"/>
        <v>0.59185449129521839</v>
      </c>
      <c r="Z86" s="41">
        <f t="shared" ca="1" si="119"/>
        <v>177.27279227465388</v>
      </c>
      <c r="AA86" s="14">
        <f t="shared" ca="1" si="120"/>
        <v>1320.2187484029564</v>
      </c>
      <c r="AB86" s="14">
        <f t="shared" si="147"/>
        <v>4778.2052460636796</v>
      </c>
      <c r="AC86" s="25">
        <f t="shared" ca="1" si="121"/>
        <v>559984.19579761173</v>
      </c>
      <c r="AD86" s="41">
        <f t="shared" si="122"/>
        <v>2026724.3025518812</v>
      </c>
      <c r="AE86" s="6">
        <v>5</v>
      </c>
      <c r="AF86" s="41">
        <f t="shared" si="123"/>
        <v>238.910262303184</v>
      </c>
      <c r="AG86" s="41">
        <f t="shared" ca="1" si="124"/>
        <v>3457.9864976607232</v>
      </c>
      <c r="AH86" s="41">
        <f t="shared" ca="1" si="125"/>
        <v>1466740.1067542695</v>
      </c>
      <c r="AI86" s="41">
        <f t="shared" si="126"/>
        <v>186.32120314686793</v>
      </c>
      <c r="AJ86" s="13">
        <f t="shared" ca="1" si="127"/>
        <v>-27.460967221044406</v>
      </c>
      <c r="AK86" s="11"/>
      <c r="AL86" s="6">
        <f t="shared" si="153"/>
        <v>-350</v>
      </c>
      <c r="AM86" s="41">
        <f t="shared" ca="1" si="128"/>
        <v>12.745363161563422</v>
      </c>
      <c r="AN86" s="41">
        <f t="shared" ca="1" si="129"/>
        <v>0.65964761077951806</v>
      </c>
      <c r="AO86" s="41">
        <f t="shared" ca="1" si="130"/>
        <v>0.8878592513677801</v>
      </c>
      <c r="AP86" s="67">
        <f t="shared" si="148"/>
        <v>0.77987944657823427</v>
      </c>
      <c r="AQ86" s="11">
        <f t="shared" si="131"/>
        <v>1.0145855632183758</v>
      </c>
      <c r="AR86" s="11">
        <f t="shared" si="132"/>
        <v>0.81812979351819726</v>
      </c>
      <c r="AS86" s="11">
        <f t="shared" si="133"/>
        <v>0.80636845543415825</v>
      </c>
      <c r="AT86" s="11">
        <f t="shared" si="134"/>
        <v>526.23509407447489</v>
      </c>
      <c r="AU86" s="11">
        <f t="shared" si="135"/>
        <v>1731.3426316390792</v>
      </c>
      <c r="AV86" s="11">
        <f t="shared" si="136"/>
        <v>1.9166571817214506E-3</v>
      </c>
      <c r="AW86" s="11">
        <f t="shared" si="137"/>
        <v>3.7794365857789621E-7</v>
      </c>
      <c r="AX86" s="41">
        <f t="shared" ca="1" si="138"/>
        <v>1.5311862200677258</v>
      </c>
      <c r="AY86" s="41">
        <f t="shared" ca="1" si="139"/>
        <v>2.0625382593495063</v>
      </c>
      <c r="AZ86" s="41">
        <f t="shared" si="140"/>
        <v>0.27000200000835028</v>
      </c>
      <c r="BA86" s="167">
        <f t="shared" si="149"/>
        <v>1.6209150185275296</v>
      </c>
      <c r="BB86" s="156">
        <f t="shared" si="150"/>
        <v>1.3715669275926583</v>
      </c>
      <c r="BC86" s="156">
        <f t="shared" si="151"/>
        <v>0.99799940272661702</v>
      </c>
    </row>
    <row r="87" spans="1:55" ht="14.5">
      <c r="A87" s="41">
        <f t="shared" ca="1" si="141"/>
        <v>1164.2529104624512</v>
      </c>
      <c r="B87" s="41">
        <f t="shared" ca="1" si="103"/>
        <v>19.404215174374187</v>
      </c>
      <c r="C87" s="41">
        <f t="shared" ca="1" si="103"/>
        <v>0.32340358623956977</v>
      </c>
      <c r="D87" s="41">
        <f t="shared" ca="1" si="142"/>
        <v>16658.37319507372</v>
      </c>
      <c r="E87" s="41">
        <f t="shared" ca="1" si="143"/>
        <v>114.20847836395554</v>
      </c>
      <c r="F87" s="41">
        <f t="shared" ca="1" si="144"/>
        <v>10.341583800278995</v>
      </c>
      <c r="G87" s="41"/>
      <c r="H87" s="7">
        <f t="shared" si="145"/>
        <v>5100</v>
      </c>
      <c r="I87" s="6">
        <v>15</v>
      </c>
      <c r="J87" s="41">
        <f t="shared" si="105"/>
        <v>0.36388454656369568</v>
      </c>
      <c r="K87" s="41">
        <f t="shared" si="106"/>
        <v>409.69563484752541</v>
      </c>
      <c r="L87" s="6">
        <f t="shared" si="152"/>
        <v>219.75</v>
      </c>
      <c r="M87" s="41">
        <f t="shared" si="107"/>
        <v>242.73810851700125</v>
      </c>
      <c r="N87" s="41">
        <f t="shared" si="108"/>
        <v>162.59531229968343</v>
      </c>
      <c r="O87" s="41">
        <f t="shared" si="109"/>
        <v>2096299.9653467126</v>
      </c>
      <c r="P87" s="41">
        <f t="shared" si="110"/>
        <v>13459718.814320128</v>
      </c>
      <c r="Q87" s="41">
        <f t="shared" si="111"/>
        <v>2.8304797050513367E-3</v>
      </c>
      <c r="R87" s="41">
        <f t="shared" si="112"/>
        <v>2.2208284661640113E-2</v>
      </c>
      <c r="S87" s="24">
        <f t="shared" ca="1" si="146"/>
        <v>-3.631833551736924</v>
      </c>
      <c r="T87" s="10">
        <f t="shared" ca="1" si="113"/>
        <v>-3.631833551736924</v>
      </c>
      <c r="U87" s="41">
        <f t="shared" ca="1" si="114"/>
        <v>0.44455311214210008</v>
      </c>
      <c r="V87" s="41">
        <f t="shared" ca="1" si="115"/>
        <v>3.468978809977153E-2</v>
      </c>
      <c r="W87" s="41">
        <f t="shared" ca="1" si="116"/>
        <v>12.815100249777194</v>
      </c>
      <c r="X87" s="20">
        <f t="shared" ca="1" si="117"/>
        <v>1297.2912938292045</v>
      </c>
      <c r="Y87" s="41">
        <f t="shared" si="118"/>
        <v>0.59299046793930077</v>
      </c>
      <c r="Z87" s="41">
        <f t="shared" ca="1" si="119"/>
        <v>176.32648225136683</v>
      </c>
      <c r="AA87" s="14">
        <f t="shared" ca="1" si="120"/>
        <v>1299.9019024734782</v>
      </c>
      <c r="AB87" s="14">
        <f t="shared" si="147"/>
        <v>4841.32829486429</v>
      </c>
      <c r="AC87" s="25">
        <f t="shared" ca="1" si="121"/>
        <v>532564.1351733777</v>
      </c>
      <c r="AD87" s="41">
        <f t="shared" si="122"/>
        <v>1983471.069269713</v>
      </c>
      <c r="AE87" s="6">
        <v>5</v>
      </c>
      <c r="AF87" s="41">
        <f t="shared" si="123"/>
        <v>242.06641474321452</v>
      </c>
      <c r="AG87" s="41">
        <f t="shared" ca="1" si="124"/>
        <v>3541.426392390812</v>
      </c>
      <c r="AH87" s="41">
        <f t="shared" ca="1" si="125"/>
        <v>1450906.9340963354</v>
      </c>
      <c r="AI87" s="41">
        <f t="shared" si="126"/>
        <v>188.19412454249374</v>
      </c>
      <c r="AJ87" s="13">
        <f t="shared" ca="1" si="127"/>
        <v>-25.952175622520304</v>
      </c>
      <c r="AK87" s="11"/>
      <c r="AL87" s="6">
        <f t="shared" si="153"/>
        <v>-350</v>
      </c>
      <c r="AM87" s="41">
        <f t="shared" ca="1" si="128"/>
        <v>13.486345233279147</v>
      </c>
      <c r="AN87" s="41">
        <f t="shared" ca="1" si="129"/>
        <v>0.70501414845966737</v>
      </c>
      <c r="AO87" s="41">
        <f t="shared" ca="1" si="130"/>
        <v>0.9075209505977665</v>
      </c>
      <c r="AP87" s="67">
        <f t="shared" si="148"/>
        <v>0.77744830790397412</v>
      </c>
      <c r="AQ87" s="11">
        <f t="shared" si="131"/>
        <v>1.0169919357183759</v>
      </c>
      <c r="AR87" s="11">
        <f t="shared" si="132"/>
        <v>0.82893779447714022</v>
      </c>
      <c r="AS87" s="11">
        <f t="shared" si="133"/>
        <v>0.81508787372202784</v>
      </c>
      <c r="AT87" s="11">
        <f t="shared" si="134"/>
        <v>527.48320729904992</v>
      </c>
      <c r="AU87" s="11">
        <f t="shared" si="135"/>
        <v>1754.2147394284136</v>
      </c>
      <c r="AV87" s="11">
        <f t="shared" si="136"/>
        <v>1.937382367049888E-3</v>
      </c>
      <c r="AW87" s="11">
        <f t="shared" si="137"/>
        <v>3.7863717594424859E-7</v>
      </c>
      <c r="AX87" s="41">
        <f t="shared" ca="1" si="138"/>
        <v>1.4623052559370948</v>
      </c>
      <c r="AY87" s="41">
        <f t="shared" ca="1" si="139"/>
        <v>1.9697542321695702</v>
      </c>
      <c r="AZ87" s="41">
        <f t="shared" si="140"/>
        <v>0.26142864385067738</v>
      </c>
      <c r="BA87" s="167">
        <f t="shared" si="149"/>
        <v>1.6155376034840527</v>
      </c>
      <c r="BB87" s="156">
        <f t="shared" si="150"/>
        <v>1.364174490951171</v>
      </c>
      <c r="BC87" s="156">
        <f t="shared" si="151"/>
        <v>0.99254829267872979</v>
      </c>
    </row>
    <row r="88" spans="1:55" ht="14.5">
      <c r="A88" s="41">
        <f t="shared" ca="1" si="141"/>
        <v>1177.7392556957302</v>
      </c>
      <c r="B88" s="41">
        <f t="shared" ca="1" si="103"/>
        <v>19.628987594928837</v>
      </c>
      <c r="C88" s="41">
        <f t="shared" ca="1" si="103"/>
        <v>0.32714979324881394</v>
      </c>
      <c r="D88" s="41">
        <f t="shared" ca="1" si="142"/>
        <v>16657.668180925262</v>
      </c>
      <c r="E88" s="41">
        <f t="shared" ca="1" si="143"/>
        <v>115.11599931455331</v>
      </c>
      <c r="F88" s="41">
        <f t="shared" ca="1" si="144"/>
        <v>11.249104750876761</v>
      </c>
      <c r="G88" s="41"/>
      <c r="H88" s="7">
        <f t="shared" si="145"/>
        <v>4750</v>
      </c>
      <c r="I88" s="6">
        <v>15</v>
      </c>
      <c r="J88" s="41">
        <f t="shared" si="105"/>
        <v>0.35073515729994942</v>
      </c>
      <c r="K88" s="41">
        <f t="shared" si="106"/>
        <v>395.35772160030899</v>
      </c>
      <c r="L88" s="6">
        <f t="shared" si="152"/>
        <v>213.125</v>
      </c>
      <c r="M88" s="41">
        <f t="shared" si="107"/>
        <v>234.24312432463748</v>
      </c>
      <c r="N88" s="41">
        <f t="shared" si="108"/>
        <v>153.04704003244748</v>
      </c>
      <c r="O88" s="41">
        <f t="shared" si="109"/>
        <v>2041021.7260748907</v>
      </c>
      <c r="P88" s="41">
        <f t="shared" si="110"/>
        <v>13104793.675051535</v>
      </c>
      <c r="Q88" s="41">
        <f t="shared" si="111"/>
        <v>2.8448587768484398E-3</v>
      </c>
      <c r="R88" s="41">
        <f t="shared" si="112"/>
        <v>2.2295704175799892E-2</v>
      </c>
      <c r="S88" s="24">
        <f t="shared" ca="1" si="146"/>
        <v>-3.5639844175412994</v>
      </c>
      <c r="T88" s="10">
        <f t="shared" ca="1" si="113"/>
        <v>-3.5639844175413011</v>
      </c>
      <c r="U88" s="41">
        <f t="shared" ca="1" si="114"/>
        <v>0.47230299288234817</v>
      </c>
      <c r="V88" s="41">
        <f t="shared" ca="1" si="115"/>
        <v>3.6384081870349423E-2</v>
      </c>
      <c r="W88" s="41">
        <f t="shared" ca="1" si="116"/>
        <v>12.981033699444353</v>
      </c>
      <c r="X88" s="20">
        <f t="shared" ca="1" si="117"/>
        <v>1280.7494879476994</v>
      </c>
      <c r="Y88" s="41">
        <f t="shared" si="118"/>
        <v>0.59415642977614336</v>
      </c>
      <c r="Z88" s="41">
        <f t="shared" ca="1" si="119"/>
        <v>175.3860120785136</v>
      </c>
      <c r="AA88" s="14">
        <f t="shared" ca="1" si="120"/>
        <v>1283.2312562009824</v>
      </c>
      <c r="AB88" s="14">
        <f t="shared" si="147"/>
        <v>4905.1248948103803</v>
      </c>
      <c r="AC88" s="25">
        <f t="shared" ca="1" si="121"/>
        <v>507335.3857379228</v>
      </c>
      <c r="AD88" s="41">
        <f t="shared" si="122"/>
        <v>1939279.0025771873</v>
      </c>
      <c r="AE88" s="6">
        <v>5</v>
      </c>
      <c r="AF88" s="41">
        <f t="shared" si="123"/>
        <v>245.25624474051904</v>
      </c>
      <c r="AG88" s="41">
        <f t="shared" ca="1" si="124"/>
        <v>3621.8936386093978</v>
      </c>
      <c r="AH88" s="41">
        <f t="shared" ca="1" si="125"/>
        <v>1431943.6168392645</v>
      </c>
      <c r="AI88" s="41">
        <f t="shared" si="126"/>
        <v>190.07721335202811</v>
      </c>
      <c r="AJ88" s="13">
        <f t="shared" ca="1" si="127"/>
        <v>-24.576684138521824</v>
      </c>
      <c r="AK88" s="11"/>
      <c r="AL88" s="6">
        <f t="shared" si="153"/>
        <v>-350</v>
      </c>
      <c r="AM88" s="41">
        <f t="shared" ca="1" si="128"/>
        <v>14.241140018209588</v>
      </c>
      <c r="AN88" s="41">
        <f t="shared" ca="1" si="129"/>
        <v>0.75192116933814701</v>
      </c>
      <c r="AO88" s="41">
        <f t="shared" ca="1" si="130"/>
        <v>0.92484375689412934</v>
      </c>
      <c r="AP88" s="67">
        <f t="shared" si="148"/>
        <v>0.77501477506976302</v>
      </c>
      <c r="AQ88" s="11">
        <f t="shared" si="131"/>
        <v>1.0193983082183757</v>
      </c>
      <c r="AR88" s="11">
        <f t="shared" si="132"/>
        <v>0.83986112163728166</v>
      </c>
      <c r="AS88" s="11">
        <f t="shared" si="133"/>
        <v>0.8238792578586136</v>
      </c>
      <c r="AT88" s="11">
        <f t="shared" si="134"/>
        <v>528.73132052362485</v>
      </c>
      <c r="AU88" s="11">
        <f t="shared" si="135"/>
        <v>1777.3309028312481</v>
      </c>
      <c r="AV88" s="11">
        <f t="shared" si="136"/>
        <v>1.9582786080041387E-3</v>
      </c>
      <c r="AW88" s="11">
        <f t="shared" si="137"/>
        <v>3.7932990071989691E-7</v>
      </c>
      <c r="AX88" s="41">
        <f t="shared" ca="1" si="138"/>
        <v>1.3966999558411042</v>
      </c>
      <c r="AY88" s="41">
        <f t="shared" ca="1" si="139"/>
        <v>1.8813825895237126</v>
      </c>
      <c r="AZ88" s="41">
        <f t="shared" si="140"/>
        <v>0.25286382318486678</v>
      </c>
      <c r="BA88" s="167">
        <f t="shared" si="149"/>
        <v>1.6101317108115134</v>
      </c>
      <c r="BB88" s="156">
        <f t="shared" si="150"/>
        <v>1.3567748545902967</v>
      </c>
      <c r="BC88" s="156">
        <f t="shared" si="151"/>
        <v>0.98712361052764996</v>
      </c>
    </row>
    <row r="89" spans="1:55" ht="14.5">
      <c r="A89" s="41">
        <f t="shared" ca="1" si="141"/>
        <v>1191.9803957139397</v>
      </c>
      <c r="B89" s="41">
        <f t="shared" ref="B89:C93" ca="1" si="154">A89/60</f>
        <v>19.866339928565662</v>
      </c>
      <c r="C89" s="41">
        <f t="shared" ca="1" si="154"/>
        <v>0.33110566547609438</v>
      </c>
      <c r="D89" s="41">
        <f t="shared" ca="1" si="142"/>
        <v>16656.916259755923</v>
      </c>
      <c r="E89" s="41">
        <f t="shared" ca="1" si="143"/>
        <v>116.04084307144744</v>
      </c>
      <c r="F89" s="41">
        <f t="shared" ca="1" si="144"/>
        <v>12.17394850777089</v>
      </c>
      <c r="G89" s="41"/>
      <c r="H89" s="7">
        <f t="shared" si="145"/>
        <v>4400</v>
      </c>
      <c r="I89" s="6">
        <v>15</v>
      </c>
      <c r="J89" s="41">
        <f t="shared" si="105"/>
        <v>0.33772969874026271</v>
      </c>
      <c r="K89" s="41">
        <f t="shared" si="106"/>
        <v>381.14670202912572</v>
      </c>
      <c r="L89" s="6">
        <f t="shared" si="152"/>
        <v>206.5</v>
      </c>
      <c r="M89" s="41">
        <f t="shared" si="107"/>
        <v>225.82332260502452</v>
      </c>
      <c r="N89" s="41">
        <f t="shared" si="108"/>
        <v>143.77264013623068</v>
      </c>
      <c r="O89" s="41">
        <f t="shared" si="109"/>
        <v>1985205.7592712641</v>
      </c>
      <c r="P89" s="41">
        <f t="shared" si="110"/>
        <v>12746415.94717613</v>
      </c>
      <c r="Q89" s="41">
        <f t="shared" si="111"/>
        <v>2.8596701342924972E-3</v>
      </c>
      <c r="R89" s="41">
        <f t="shared" si="112"/>
        <v>2.2385751829089112E-2</v>
      </c>
      <c r="S89" s="24">
        <f t="shared" ca="1" si="146"/>
        <v>-3.5096918760648848</v>
      </c>
      <c r="T89" s="10">
        <f t="shared" ca="1" si="113"/>
        <v>-3.5096918760648865</v>
      </c>
      <c r="U89" s="41">
        <f t="shared" ca="1" si="114"/>
        <v>0.50277678426675787</v>
      </c>
      <c r="V89" s="41">
        <f t="shared" ca="1" si="115"/>
        <v>3.8350792259259366E-2</v>
      </c>
      <c r="W89" s="41">
        <f t="shared" ca="1" si="116"/>
        <v>13.109945183606165</v>
      </c>
      <c r="X89" s="20">
        <f t="shared" ca="1" si="117"/>
        <v>1268.1727705188628</v>
      </c>
      <c r="Y89" s="41">
        <f t="shared" si="118"/>
        <v>0.59535505708476788</v>
      </c>
      <c r="Z89" s="41">
        <f t="shared" ca="1" si="119"/>
        <v>174.4512772031926</v>
      </c>
      <c r="AA89" s="14">
        <f t="shared" ca="1" si="120"/>
        <v>1270.5557518718845</v>
      </c>
      <c r="AB89" s="14">
        <f t="shared" si="147"/>
        <v>4969.6005306042962</v>
      </c>
      <c r="AC89" s="25">
        <f t="shared" ca="1" si="121"/>
        <v>484268.13457010494</v>
      </c>
      <c r="AD89" s="41">
        <f t="shared" si="122"/>
        <v>1894146.8526420207</v>
      </c>
      <c r="AE89" s="6">
        <v>5</v>
      </c>
      <c r="AF89" s="41">
        <f t="shared" si="123"/>
        <v>248.48002653021481</v>
      </c>
      <c r="AG89" s="41">
        <f t="shared" ca="1" si="124"/>
        <v>3699.0447787324119</v>
      </c>
      <c r="AH89" s="41">
        <f t="shared" ca="1" si="125"/>
        <v>1409878.7180719157</v>
      </c>
      <c r="AI89" s="41">
        <f t="shared" si="126"/>
        <v>191.97059719986436</v>
      </c>
      <c r="AJ89" s="13">
        <f t="shared" ca="1" si="127"/>
        <v>-23.332801846000141</v>
      </c>
      <c r="AK89" s="11"/>
      <c r="AL89" s="6">
        <f t="shared" si="153"/>
        <v>-350</v>
      </c>
      <c r="AM89" s="41">
        <f t="shared" ca="1" si="128"/>
        <v>15.000341678211237</v>
      </c>
      <c r="AN89" s="41">
        <f t="shared" ca="1" si="129"/>
        <v>0.79989570838006296</v>
      </c>
      <c r="AO89" s="41">
        <f t="shared" ca="1" si="130"/>
        <v>0.93918714849238061</v>
      </c>
      <c r="AP89" s="67">
        <f t="shared" si="148"/>
        <v>0.77257959072425086</v>
      </c>
      <c r="AQ89" s="11">
        <f t="shared" si="131"/>
        <v>1.0218046807183758</v>
      </c>
      <c r="AR89" s="11">
        <f t="shared" si="132"/>
        <v>0.85090071409566059</v>
      </c>
      <c r="AS89" s="11">
        <f t="shared" si="133"/>
        <v>0.83274301845773313</v>
      </c>
      <c r="AT89" s="11">
        <f t="shared" si="134"/>
        <v>529.97943374819999</v>
      </c>
      <c r="AU89" s="11">
        <f t="shared" si="135"/>
        <v>1800.6931091835188</v>
      </c>
      <c r="AV89" s="11">
        <f t="shared" si="136"/>
        <v>1.9793468805721858E-3</v>
      </c>
      <c r="AW89" s="11">
        <f t="shared" si="137"/>
        <v>3.8002183510623204E-7</v>
      </c>
      <c r="AX89" s="41">
        <f t="shared" ca="1" si="138"/>
        <v>1.3345651606530133</v>
      </c>
      <c r="AY89" s="41">
        <f t="shared" ca="1" si="139"/>
        <v>1.7976857859392248</v>
      </c>
      <c r="AZ89" s="41">
        <f t="shared" si="140"/>
        <v>0.2443100935537979</v>
      </c>
      <c r="BA89" s="167">
        <f t="shared" si="149"/>
        <v>1.6046976752921664</v>
      </c>
      <c r="BB89" s="156">
        <f t="shared" si="150"/>
        <v>1.3493691203647182</v>
      </c>
      <c r="BC89" s="156">
        <f t="shared" si="151"/>
        <v>0.98172646027690247</v>
      </c>
    </row>
    <row r="90" spans="1:55" ht="14.5">
      <c r="A90" s="41">
        <f t="shared" ca="1" si="141"/>
        <v>1206.980737392151</v>
      </c>
      <c r="B90" s="41">
        <f t="shared" ca="1" si="154"/>
        <v>20.116345623202516</v>
      </c>
      <c r="C90" s="41">
        <f t="shared" ca="1" si="154"/>
        <v>0.33527242705337529</v>
      </c>
      <c r="D90" s="41">
        <f t="shared" ca="1" si="142"/>
        <v>16656.116364047542</v>
      </c>
      <c r="E90" s="41">
        <f t="shared" ca="1" si="143"/>
        <v>116.98003021993982</v>
      </c>
      <c r="F90" s="41">
        <f t="shared" ca="1" si="144"/>
        <v>13.113135656263271</v>
      </c>
      <c r="G90" s="41"/>
      <c r="H90" s="7">
        <f t="shared" si="145"/>
        <v>4050</v>
      </c>
      <c r="I90" s="6">
        <v>15</v>
      </c>
      <c r="J90" s="41">
        <f t="shared" si="105"/>
        <v>0.32486778169545527</v>
      </c>
      <c r="K90" s="41">
        <f t="shared" si="106"/>
        <v>367.06277360589661</v>
      </c>
      <c r="L90" s="6">
        <f t="shared" si="152"/>
        <v>199.875</v>
      </c>
      <c r="M90" s="41">
        <f t="shared" si="107"/>
        <v>217.47882035711606</v>
      </c>
      <c r="N90" s="41">
        <f t="shared" si="108"/>
        <v>134.77470291789317</v>
      </c>
      <c r="O90" s="41">
        <f t="shared" si="109"/>
        <v>1928858.4217968648</v>
      </c>
      <c r="P90" s="41">
        <f t="shared" si="110"/>
        <v>12384626.446208611</v>
      </c>
      <c r="Q90" s="41">
        <f t="shared" si="111"/>
        <v>2.8749527458313889E-3</v>
      </c>
      <c r="R90" s="41">
        <f t="shared" si="112"/>
        <v>2.2478664535463648E-2</v>
      </c>
      <c r="S90" s="24">
        <f t="shared" ca="1" si="146"/>
        <v>-3.4703424974440256</v>
      </c>
      <c r="T90" s="10">
        <f t="shared" ca="1" si="113"/>
        <v>-3.4703424974440273</v>
      </c>
      <c r="U90" s="41">
        <f t="shared" ca="1" si="114"/>
        <v>0.53634028060579919</v>
      </c>
      <c r="V90" s="41">
        <f t="shared" ca="1" si="115"/>
        <v>4.0646384229188058E-2</v>
      </c>
      <c r="W90" s="41">
        <f t="shared" ca="1" si="116"/>
        <v>13.195276548624827</v>
      </c>
      <c r="X90" s="20">
        <f t="shared" ca="1" si="117"/>
        <v>1259.9640026103325</v>
      </c>
      <c r="Y90" s="41">
        <f t="shared" si="118"/>
        <v>0.59658929686199946</v>
      </c>
      <c r="Z90" s="41">
        <f t="shared" ca="1" si="119"/>
        <v>173.52215335250139</v>
      </c>
      <c r="AA90" s="14">
        <f t="shared" ca="1" si="120"/>
        <v>1262.2786875795637</v>
      </c>
      <c r="AB90" s="14">
        <f t="shared" si="147"/>
        <v>5034.7607178166854</v>
      </c>
      <c r="AC90" s="25">
        <f t="shared" ca="1" si="121"/>
        <v>463335.51612656569</v>
      </c>
      <c r="AD90" s="41">
        <f t="shared" si="122"/>
        <v>1848073.2335238075</v>
      </c>
      <c r="AE90" s="6">
        <v>5</v>
      </c>
      <c r="AF90" s="41">
        <f t="shared" si="123"/>
        <v>251.73803589083428</v>
      </c>
      <c r="AG90" s="41">
        <f t="shared" ca="1" si="124"/>
        <v>3772.4820302371218</v>
      </c>
      <c r="AH90" s="41">
        <f t="shared" ca="1" si="125"/>
        <v>1384737.7173972419</v>
      </c>
      <c r="AI90" s="41">
        <f t="shared" si="126"/>
        <v>193.87440667809798</v>
      </c>
      <c r="AJ90" s="13">
        <f t="shared" ca="1" si="127"/>
        <v>-22.218998215236599</v>
      </c>
      <c r="AK90" s="11"/>
      <c r="AL90" s="6">
        <f t="shared" si="153"/>
        <v>-350</v>
      </c>
      <c r="AM90" s="41">
        <f t="shared" ca="1" si="128"/>
        <v>15.752285346509851</v>
      </c>
      <c r="AN90" s="41">
        <f t="shared" ca="1" si="129"/>
        <v>0.8483236042718596</v>
      </c>
      <c r="AO90" s="41">
        <f t="shared" ca="1" si="130"/>
        <v>0.94986290165400911</v>
      </c>
      <c r="AP90" s="67">
        <f t="shared" si="148"/>
        <v>0.7701434786842114</v>
      </c>
      <c r="AQ90" s="11">
        <f t="shared" si="131"/>
        <v>1.0242110532183759</v>
      </c>
      <c r="AR90" s="11">
        <f t="shared" si="132"/>
        <v>0.86205751623462168</v>
      </c>
      <c r="AS90" s="11">
        <f t="shared" si="133"/>
        <v>0.8416795674346419</v>
      </c>
      <c r="AT90" s="11">
        <f t="shared" si="134"/>
        <v>531.22754697277503</v>
      </c>
      <c r="AU90" s="11">
        <f t="shared" si="135"/>
        <v>1824.3033570060309</v>
      </c>
      <c r="AV90" s="11">
        <f t="shared" si="136"/>
        <v>2.0005881638354003E-3</v>
      </c>
      <c r="AW90" s="11">
        <f t="shared" si="137"/>
        <v>3.8071298129619079E-7</v>
      </c>
      <c r="AX90" s="41">
        <f t="shared" ca="1" si="138"/>
        <v>1.276135002123636</v>
      </c>
      <c r="AY90" s="41">
        <f t="shared" ca="1" si="139"/>
        <v>1.7189792015360765</v>
      </c>
      <c r="AZ90" s="41">
        <f t="shared" si="140"/>
        <v>0.23576992453190515</v>
      </c>
      <c r="BA90" s="167">
        <f t="shared" si="149"/>
        <v>1.5992358414400256</v>
      </c>
      <c r="BB90" s="156">
        <f t="shared" si="150"/>
        <v>1.3419584035614773</v>
      </c>
      <c r="BC90" s="156">
        <f t="shared" si="151"/>
        <v>0.97635793995139186</v>
      </c>
    </row>
    <row r="91" spans="1:55" ht="14.5">
      <c r="A91" s="41">
        <f t="shared" ca="1" si="141"/>
        <v>1222.7330227386608</v>
      </c>
      <c r="B91" s="41">
        <f t="shared" ca="1" si="154"/>
        <v>20.378883712311012</v>
      </c>
      <c r="C91" s="41">
        <f t="shared" ca="1" si="154"/>
        <v>0.3396480618718502</v>
      </c>
      <c r="D91" s="41">
        <f t="shared" ca="1" si="142"/>
        <v>16655.268040443272</v>
      </c>
      <c r="E91" s="41">
        <f t="shared" ca="1" si="143"/>
        <v>117.92989312159384</v>
      </c>
      <c r="F91" s="41">
        <f t="shared" ca="1" si="144"/>
        <v>14.062998557917281</v>
      </c>
      <c r="G91" s="41"/>
      <c r="H91" s="7">
        <f t="shared" si="145"/>
        <v>3700</v>
      </c>
      <c r="I91" s="6">
        <v>15</v>
      </c>
      <c r="J91" s="41">
        <f t="shared" si="105"/>
        <v>0.31214894740045374</v>
      </c>
      <c r="K91" s="41">
        <f t="shared" si="106"/>
        <v>353.10605138418833</v>
      </c>
      <c r="L91" s="6">
        <f t="shared" si="152"/>
        <v>193.25</v>
      </c>
      <c r="M91" s="41">
        <f t="shared" si="107"/>
        <v>209.20968574830945</v>
      </c>
      <c r="N91" s="41">
        <f t="shared" si="108"/>
        <v>126.0556206973416</v>
      </c>
      <c r="O91" s="41">
        <f t="shared" si="109"/>
        <v>1871985.8295247075</v>
      </c>
      <c r="P91" s="41">
        <f t="shared" si="110"/>
        <v>12019464.440351253</v>
      </c>
      <c r="Q91" s="41">
        <f t="shared" si="111"/>
        <v>2.8907497313022572E-3</v>
      </c>
      <c r="R91" s="41">
        <f t="shared" si="112"/>
        <v>2.2574704447812555E-2</v>
      </c>
      <c r="S91" s="24">
        <f t="shared" ca="1" si="146"/>
        <v>-3.4475476217872307</v>
      </c>
      <c r="T91" s="10">
        <f t="shared" ca="1" si="113"/>
        <v>-3.4475476217872325</v>
      </c>
      <c r="U91" s="41">
        <f t="shared" ca="1" si="114"/>
        <v>0.5734227332743701</v>
      </c>
      <c r="V91" s="41">
        <f t="shared" ca="1" si="115"/>
        <v>4.3341496009459413E-2</v>
      </c>
      <c r="W91" s="41">
        <f t="shared" ca="1" si="116"/>
        <v>13.230340114453337</v>
      </c>
      <c r="X91" s="20">
        <f t="shared" ca="1" si="117"/>
        <v>1256.5910117274648</v>
      </c>
      <c r="Y91" s="41">
        <f t="shared" si="118"/>
        <v>0.5978623999525744</v>
      </c>
      <c r="Z91" s="41">
        <f t="shared" ca="1" si="119"/>
        <v>172.59849034400571</v>
      </c>
      <c r="AA91" s="14">
        <f t="shared" ca="1" si="120"/>
        <v>1258.8692275755186</v>
      </c>
      <c r="AB91" s="14">
        <f t="shared" si="147"/>
        <v>5100.6110029829915</v>
      </c>
      <c r="AC91" s="25">
        <f t="shared" ca="1" si="121"/>
        <v>444514.34215825453</v>
      </c>
      <c r="AD91" s="41">
        <f t="shared" si="122"/>
        <v>1801056.6109100685</v>
      </c>
      <c r="AE91" s="6">
        <v>5</v>
      </c>
      <c r="AF91" s="41">
        <f t="shared" si="123"/>
        <v>255.03055014914958</v>
      </c>
      <c r="AG91" s="41">
        <f t="shared" ca="1" si="124"/>
        <v>3841.7417754074731</v>
      </c>
      <c r="AH91" s="41">
        <f t="shared" ca="1" si="125"/>
        <v>1356542.268751814</v>
      </c>
      <c r="AI91" s="41">
        <f t="shared" si="126"/>
        <v>195.78877515317467</v>
      </c>
      <c r="AJ91" s="13">
        <f t="shared" ca="1" si="127"/>
        <v>-21.233945857351184</v>
      </c>
      <c r="AK91" s="11"/>
      <c r="AL91" s="6">
        <f t="shared" si="153"/>
        <v>-350</v>
      </c>
      <c r="AM91" s="41">
        <f t="shared" ca="1" si="128"/>
        <v>16.48304099253555</v>
      </c>
      <c r="AN91" s="41">
        <f t="shared" ca="1" si="129"/>
        <v>0.89644289075780648</v>
      </c>
      <c r="AO91" s="41">
        <f t="shared" ca="1" si="130"/>
        <v>0.95615864589012012</v>
      </c>
      <c r="AP91" s="67">
        <f t="shared" si="148"/>
        <v>0.7677071434723074</v>
      </c>
      <c r="AQ91" s="11">
        <f t="shared" si="131"/>
        <v>1.0266174257183758</v>
      </c>
      <c r="AR91" s="11">
        <f t="shared" si="132"/>
        <v>0.87333247773833833</v>
      </c>
      <c r="AS91" s="11">
        <f t="shared" si="133"/>
        <v>0.85068931800687464</v>
      </c>
      <c r="AT91" s="11">
        <f t="shared" si="134"/>
        <v>532.47566019734995</v>
      </c>
      <c r="AU91" s="11">
        <f t="shared" si="135"/>
        <v>1848.1636560394261</v>
      </c>
      <c r="AV91" s="11">
        <f t="shared" si="136"/>
        <v>2.0220034399705401E-3</v>
      </c>
      <c r="AW91" s="11">
        <f t="shared" si="137"/>
        <v>3.8140334147428954E-7</v>
      </c>
      <c r="AX91" s="41">
        <f t="shared" ca="1" si="138"/>
        <v>1.2216953955167444</v>
      </c>
      <c r="AY91" s="41">
        <f t="shared" ca="1" si="139"/>
        <v>1.6456479698550055</v>
      </c>
      <c r="AZ91" s="41">
        <f t="shared" si="140"/>
        <v>0.22724569902211403</v>
      </c>
      <c r="BA91" s="167">
        <f t="shared" si="149"/>
        <v>1.5937465635504113</v>
      </c>
      <c r="BB91" s="156">
        <f t="shared" si="150"/>
        <v>1.3345438326151935</v>
      </c>
      <c r="BC91" s="156">
        <f t="shared" si="151"/>
        <v>0.97101914075933626</v>
      </c>
    </row>
    <row r="92" spans="1:55" ht="14.5">
      <c r="A92" s="41">
        <f t="shared" ca="1" si="141"/>
        <v>1239.2160637311963</v>
      </c>
      <c r="B92" s="41">
        <f t="shared" ca="1" si="154"/>
        <v>20.653601062186606</v>
      </c>
      <c r="C92" s="41">
        <f t="shared" ca="1" si="154"/>
        <v>0.34422668436977677</v>
      </c>
      <c r="D92" s="41">
        <f t="shared" ca="1" si="142"/>
        <v>16654.371597552516</v>
      </c>
      <c r="E92" s="41">
        <f t="shared" ca="1" si="143"/>
        <v>118.88605176748395</v>
      </c>
      <c r="F92" s="41">
        <f t="shared" ca="1" si="144"/>
        <v>15.019157203807401</v>
      </c>
      <c r="G92" s="41"/>
      <c r="H92" s="7">
        <f t="shared" si="145"/>
        <v>3350</v>
      </c>
      <c r="I92" s="6">
        <v>15</v>
      </c>
      <c r="J92" s="41">
        <f t="shared" si="105"/>
        <v>0.29957266953011064</v>
      </c>
      <c r="K92" s="41">
        <f t="shared" si="106"/>
        <v>339.27656983741321</v>
      </c>
      <c r="L92" s="6">
        <f t="shared" si="152"/>
        <v>186.625</v>
      </c>
      <c r="M92" s="41">
        <f t="shared" si="107"/>
        <v>201.01593920354992</v>
      </c>
      <c r="N92" s="41">
        <f t="shared" si="108"/>
        <v>117.61759519806867</v>
      </c>
      <c r="O92" s="41">
        <f t="shared" si="109"/>
        <v>1814593.8498126913</v>
      </c>
      <c r="P92" s="41">
        <f t="shared" si="110"/>
        <v>11650967.602164673</v>
      </c>
      <c r="Q92" s="41">
        <f t="shared" si="111"/>
        <v>2.9071089728524057E-3</v>
      </c>
      <c r="R92" s="41">
        <f t="shared" si="112"/>
        <v>2.2674162672134426E-2</v>
      </c>
      <c r="S92" s="24">
        <f t="shared" ca="1" si="146"/>
        <v>-3.4431922382984674</v>
      </c>
      <c r="T92" s="10">
        <f t="shared" ca="1" si="113"/>
        <v>-3.4431922382984692</v>
      </c>
      <c r="U92" s="41">
        <f t="shared" ca="1" si="114"/>
        <v>0.61453049360025402</v>
      </c>
      <c r="V92" s="41">
        <f t="shared" ca="1" si="115"/>
        <v>4.6525155763135623E-2</v>
      </c>
      <c r="W92" s="41">
        <f t="shared" ca="1" si="116"/>
        <v>13.208563916021953</v>
      </c>
      <c r="X92" s="20">
        <f t="shared" ca="1" si="117"/>
        <v>1258.6006955273829</v>
      </c>
      <c r="Y92" s="41">
        <f t="shared" si="118"/>
        <v>0.59917796496572717</v>
      </c>
      <c r="Z92" s="41">
        <f t="shared" ca="1" si="119"/>
        <v>171.68010361683449</v>
      </c>
      <c r="AA92" s="14">
        <f t="shared" ca="1" si="120"/>
        <v>1260.876784443675</v>
      </c>
      <c r="AB92" s="14">
        <f t="shared" si="147"/>
        <v>5167.1569636999984</v>
      </c>
      <c r="AC92" s="25">
        <f t="shared" ca="1" si="121"/>
        <v>427785.95041367749</v>
      </c>
      <c r="AD92" s="41">
        <f t="shared" si="122"/>
        <v>1753095.2904556384</v>
      </c>
      <c r="AE92" s="6">
        <v>5</v>
      </c>
      <c r="AF92" s="41">
        <f t="shared" si="123"/>
        <v>258.35784818499991</v>
      </c>
      <c r="AG92" s="41">
        <f t="shared" ca="1" si="124"/>
        <v>3906.2801792563232</v>
      </c>
      <c r="AH92" s="41">
        <f t="shared" ca="1" si="125"/>
        <v>1325309.3400419611</v>
      </c>
      <c r="AI92" s="41">
        <f t="shared" si="126"/>
        <v>197.7138385723014</v>
      </c>
      <c r="AJ92" s="13">
        <f t="shared" ca="1" si="127"/>
        <v>-20.376569614947368</v>
      </c>
      <c r="AK92" s="11"/>
      <c r="AL92" s="6">
        <f t="shared" si="153"/>
        <v>-350</v>
      </c>
      <c r="AM92" s="41">
        <f t="shared" ca="1" si="128"/>
        <v>17.176590889138435</v>
      </c>
      <c r="AN92" s="41">
        <f t="shared" ca="1" si="129"/>
        <v>0.94334714396599428</v>
      </c>
      <c r="AO92" s="41">
        <f t="shared" ca="1" si="130"/>
        <v>0.95737103824381253</v>
      </c>
      <c r="AP92" s="67">
        <f t="shared" si="148"/>
        <v>0.76527126991213479</v>
      </c>
      <c r="AQ92" s="11">
        <f t="shared" si="131"/>
        <v>1.0290237982183759</v>
      </c>
      <c r="AR92" s="11">
        <f t="shared" si="132"/>
        <v>0.8847265536093416</v>
      </c>
      <c r="AS92" s="11">
        <f t="shared" si="133"/>
        <v>0.85977268469508028</v>
      </c>
      <c r="AT92" s="11">
        <f t="shared" si="134"/>
        <v>533.72377342192499</v>
      </c>
      <c r="AU92" s="11">
        <f t="shared" si="135"/>
        <v>1872.2760272791606</v>
      </c>
      <c r="AV92" s="11">
        <f t="shared" si="136"/>
        <v>2.0435936942517362E-3</v>
      </c>
      <c r="AW92" s="11">
        <f t="shared" si="137"/>
        <v>3.8209291781665951E-7</v>
      </c>
      <c r="AX92" s="41">
        <f t="shared" ca="1" si="138"/>
        <v>1.1716013399910326</v>
      </c>
      <c r="AY92" s="41">
        <f t="shared" ca="1" si="139"/>
        <v>1.5781702818157353</v>
      </c>
      <c r="AZ92" s="41">
        <f t="shared" si="140"/>
        <v>0.21873971277029783</v>
      </c>
      <c r="BA92" s="167">
        <f t="shared" si="149"/>
        <v>1.5882302057465869</v>
      </c>
      <c r="BB92" s="156">
        <f t="shared" si="150"/>
        <v>1.3271265488092332</v>
      </c>
      <c r="BC92" s="156">
        <f t="shared" si="151"/>
        <v>0.9657111462405491</v>
      </c>
    </row>
    <row r="93" spans="1:55" ht="14.5">
      <c r="A93" s="41">
        <f t="shared" ca="1" si="141"/>
        <v>1256.3926546203347</v>
      </c>
      <c r="B93" s="41">
        <f t="shared" ca="1" si="154"/>
        <v>20.939877577005579</v>
      </c>
      <c r="C93" s="41">
        <f t="shared" ca="1" si="154"/>
        <v>0.34899795961675967</v>
      </c>
      <c r="D93" s="41">
        <f t="shared" ca="1" si="142"/>
        <v>16653.42825040855</v>
      </c>
      <c r="E93" s="41">
        <f t="shared" ca="1" si="143"/>
        <v>119.84342280572776</v>
      </c>
      <c r="F93" s="41">
        <f t="shared" ca="1" si="144"/>
        <v>15.976528242051213</v>
      </c>
      <c r="G93" s="41"/>
      <c r="H93" s="7">
        <f t="shared" si="145"/>
        <v>3000</v>
      </c>
      <c r="I93" s="6">
        <v>15</v>
      </c>
      <c r="J93" s="41">
        <f t="shared" si="105"/>
        <v>0.28713835631100121</v>
      </c>
      <c r="K93" s="41">
        <f t="shared" si="106"/>
        <v>325.57428482334547</v>
      </c>
      <c r="L93" s="6">
        <f>L92-($L$68-$L$98)/20</f>
        <v>180</v>
      </c>
      <c r="M93" s="41">
        <f t="shared" si="107"/>
        <v>192.89755456927503</v>
      </c>
      <c r="N93" s="41">
        <f t="shared" si="108"/>
        <v>109.46264517225482</v>
      </c>
      <c r="O93" s="41">
        <f t="shared" si="109"/>
        <v>1756688.0948151206</v>
      </c>
      <c r="P93" s="41">
        <f t="shared" si="110"/>
        <v>11279171.965623073</v>
      </c>
      <c r="Q93" s="41">
        <f t="shared" si="111"/>
        <v>2.9240838430518376E-3</v>
      </c>
      <c r="R93" s="41">
        <f t="shared" si="112"/>
        <v>2.277736369419613E-2</v>
      </c>
      <c r="S93" s="24">
        <f t="shared" ca="1" si="146"/>
        <v>-3.4594963674400447</v>
      </c>
      <c r="T93" s="10">
        <f t="shared" ca="1" si="113"/>
        <v>-3.459496367440047</v>
      </c>
      <c r="U93" s="41">
        <f t="shared" ca="1" si="114"/>
        <v>0.66026418635148199</v>
      </c>
      <c r="V93" s="41">
        <f t="shared" ca="1" si="115"/>
        <v>5.0310461227167994E-2</v>
      </c>
      <c r="W93" s="41">
        <f t="shared" ca="1" si="116"/>
        <v>13.123795136168118</v>
      </c>
      <c r="X93" s="20">
        <f t="shared" ca="1" si="117"/>
        <v>1266.636718125254</v>
      </c>
      <c r="Y93" s="41">
        <f t="shared" si="118"/>
        <v>0.60053999049783546</v>
      </c>
      <c r="Z93" s="41">
        <f t="shared" ca="1" si="119"/>
        <v>170.76676253320929</v>
      </c>
      <c r="AA93" s="14">
        <f t="shared" ca="1" si="120"/>
        <v>1268.9491170517474</v>
      </c>
      <c r="AB93" s="14">
        <f t="shared" si="147"/>
        <v>5234.4042087224379</v>
      </c>
      <c r="AC93" s="25">
        <f t="shared" ca="1" si="121"/>
        <v>413137.20126133837</v>
      </c>
      <c r="AD93" s="41">
        <f t="shared" si="122"/>
        <v>1704187.4067311173</v>
      </c>
      <c r="AE93" s="6">
        <v>5</v>
      </c>
      <c r="AF93" s="41">
        <f t="shared" si="123"/>
        <v>261.72021043612193</v>
      </c>
      <c r="AG93" s="41">
        <f t="shared" ca="1" si="124"/>
        <v>3965.4550916706903</v>
      </c>
      <c r="AH93" s="41">
        <f t="shared" ca="1" si="125"/>
        <v>1291050.205469779</v>
      </c>
      <c r="AI93" s="41">
        <f t="shared" si="126"/>
        <v>199.64973527028752</v>
      </c>
      <c r="AJ93" s="13">
        <f t="shared" ca="1" si="127"/>
        <v>-19.646103395559813</v>
      </c>
      <c r="AK93" s="11"/>
      <c r="AL93" s="6">
        <v>0</v>
      </c>
      <c r="AM93" s="41">
        <f t="shared" ca="1" si="128"/>
        <v>0</v>
      </c>
      <c r="AN93" s="41">
        <f t="shared" ca="1" si="129"/>
        <v>0</v>
      </c>
      <c r="AO93" s="41">
        <f t="shared" ca="1" si="130"/>
        <v>0</v>
      </c>
      <c r="AP93" s="67">
        <f>0.701 + 0.301*AZ93 + -0.0328*AZ93^2</f>
        <v>0.76283652277979519</v>
      </c>
      <c r="AQ93" s="11">
        <f t="shared" si="131"/>
        <v>1.0314301707183759</v>
      </c>
      <c r="AR93" s="11">
        <f t="shared" si="132"/>
        <v>0.8962407041850623</v>
      </c>
      <c r="AS93" s="11">
        <f t="shared" si="133"/>
        <v>0.86893008332386068</v>
      </c>
      <c r="AT93" s="11">
        <f t="shared" si="134"/>
        <v>534.97188664650002</v>
      </c>
      <c r="AU93" s="11">
        <f t="shared" si="135"/>
        <v>1896.6425030105124</v>
      </c>
      <c r="AV93" s="11">
        <f t="shared" si="136"/>
        <v>2.0653599150524844E-3</v>
      </c>
      <c r="AW93" s="11">
        <f t="shared" si="137"/>
        <v>3.8278171249107636E-7</v>
      </c>
      <c r="AX93" s="41">
        <f t="shared" ca="1" si="138"/>
        <v>1.1263012842981146</v>
      </c>
      <c r="AY93" s="41">
        <f t="shared" ca="1" si="139"/>
        <v>1.5171502067962683</v>
      </c>
      <c r="AZ93" s="41">
        <f t="shared" si="140"/>
        <v>0.21025417408998501</v>
      </c>
      <c r="BA93" s="167">
        <f>2.12 - (0.00251*AF93) + (1.94*10^(-6)*AF93^2) - (7.84*10^(-10)*AF93^3) + (1.7*10^(-13)*AF93^4) - (1.89*10^(-17)*AF93^5) + (8.37*10^(-22)*AF93^6)</f>
        <v>1.582687142023385</v>
      </c>
      <c r="BB93" s="156">
        <f t="shared" si="150"/>
        <v>1.3197077059626507</v>
      </c>
      <c r="BC93" s="156">
        <f t="shared" si="151"/>
        <v>0.96043503140153696</v>
      </c>
    </row>
    <row r="94" spans="1:55" ht="14.5">
      <c r="B94" s="135">
        <f ca="1">B93-B73</f>
        <v>3.6063459152437787</v>
      </c>
      <c r="X94" s="32">
        <f ca="1">AVERAGE(X73:X93)</f>
        <v>1446.7129007513126</v>
      </c>
      <c r="AC94" s="3"/>
      <c r="AD94" s="3"/>
      <c r="AN94" s="32">
        <f ca="1">SUM(AN73:AN93)</f>
        <v>11.026585785954756</v>
      </c>
      <c r="AP94" s="145"/>
    </row>
    <row r="95" spans="1:55" ht="14.5">
      <c r="A95" s="67" t="s">
        <v>5</v>
      </c>
      <c r="B95" s="67" t="s">
        <v>122</v>
      </c>
      <c r="C95" s="67">
        <v>240</v>
      </c>
      <c r="D95" s="67" t="s">
        <v>21</v>
      </c>
      <c r="E95" s="53"/>
      <c r="F95" s="53"/>
      <c r="G95" s="53"/>
      <c r="H95" s="53"/>
      <c r="I95" s="53"/>
      <c r="J95" s="53"/>
      <c r="K95" s="53"/>
      <c r="L95" s="67" t="s">
        <v>60</v>
      </c>
      <c r="M95" s="53"/>
      <c r="N95" s="53"/>
      <c r="O95" s="53"/>
      <c r="P95" s="53"/>
      <c r="Q95" s="67"/>
      <c r="R95" s="53"/>
      <c r="S95" s="53"/>
      <c r="T95" s="53"/>
      <c r="U95" s="67"/>
      <c r="V95" s="67"/>
      <c r="W95" s="67"/>
      <c r="X95" s="67"/>
      <c r="Y95" s="53"/>
      <c r="Z95" s="53"/>
      <c r="AA95" s="67"/>
      <c r="AB95" s="67"/>
      <c r="AC95" s="53"/>
      <c r="AD95" s="53"/>
      <c r="AE95" s="53"/>
      <c r="AF95" s="67"/>
      <c r="AG95" s="53"/>
      <c r="AH95" s="53"/>
      <c r="AI95" s="53"/>
      <c r="AJ95" s="67" t="s">
        <v>61</v>
      </c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</row>
    <row r="96" spans="1:55" ht="14.5">
      <c r="A96" s="41" t="s">
        <v>2</v>
      </c>
      <c r="B96" s="41" t="s">
        <v>2</v>
      </c>
      <c r="C96" s="41" t="s">
        <v>2</v>
      </c>
      <c r="D96" s="41" t="s">
        <v>23</v>
      </c>
      <c r="E96" s="41" t="s">
        <v>24</v>
      </c>
      <c r="F96" s="41" t="s">
        <v>25</v>
      </c>
      <c r="G96" s="41"/>
      <c r="H96" s="41" t="s">
        <v>0</v>
      </c>
      <c r="I96" s="5" t="s">
        <v>26</v>
      </c>
      <c r="J96" s="41" t="s">
        <v>27</v>
      </c>
      <c r="K96" s="41" t="s">
        <v>28</v>
      </c>
      <c r="L96" s="12" t="s">
        <v>29</v>
      </c>
      <c r="M96" s="13" t="s">
        <v>30</v>
      </c>
      <c r="N96" s="41" t="s">
        <v>31</v>
      </c>
      <c r="O96" s="41" t="s">
        <v>32</v>
      </c>
      <c r="P96" s="41" t="s">
        <v>33</v>
      </c>
      <c r="Q96" s="41" t="s">
        <v>34</v>
      </c>
      <c r="R96" s="41" t="s">
        <v>13</v>
      </c>
      <c r="S96" s="24" t="s">
        <v>35</v>
      </c>
      <c r="T96" s="10" t="s">
        <v>35</v>
      </c>
      <c r="U96" s="41" t="s">
        <v>36</v>
      </c>
      <c r="V96" s="41" t="s">
        <v>37</v>
      </c>
      <c r="W96" s="41" t="s">
        <v>38</v>
      </c>
      <c r="X96" s="41" t="s">
        <v>39</v>
      </c>
      <c r="Y96" s="41" t="s">
        <v>40</v>
      </c>
      <c r="Z96" s="35" t="s">
        <v>108</v>
      </c>
      <c r="AA96" s="35" t="s">
        <v>109</v>
      </c>
      <c r="AB96" s="9" t="s">
        <v>110</v>
      </c>
      <c r="AC96" s="7" t="s">
        <v>111</v>
      </c>
      <c r="AD96" s="7" t="s">
        <v>112</v>
      </c>
      <c r="AE96" s="5" t="s">
        <v>41</v>
      </c>
      <c r="AF96" s="7" t="s">
        <v>113</v>
      </c>
      <c r="AG96" s="7" t="s">
        <v>114</v>
      </c>
      <c r="AH96" s="7" t="s">
        <v>115</v>
      </c>
      <c r="AI96" s="41" t="s">
        <v>42</v>
      </c>
      <c r="AJ96" s="41" t="s">
        <v>43</v>
      </c>
      <c r="AK96" s="36"/>
      <c r="AL96" s="5" t="s">
        <v>44</v>
      </c>
      <c r="AM96" s="5" t="s">
        <v>45</v>
      </c>
      <c r="AN96" s="41" t="s">
        <v>46</v>
      </c>
      <c r="AO96" s="41" t="s">
        <v>47</v>
      </c>
      <c r="AP96" s="53"/>
      <c r="AQ96" s="15" t="s">
        <v>62</v>
      </c>
      <c r="AR96" s="16" t="s">
        <v>63</v>
      </c>
      <c r="AS96" s="16" t="s">
        <v>64</v>
      </c>
      <c r="AT96" s="17" t="s">
        <v>65</v>
      </c>
      <c r="AU96" s="18" t="s">
        <v>66</v>
      </c>
      <c r="AV96" s="18" t="s">
        <v>67</v>
      </c>
      <c r="AW96" s="19" t="s">
        <v>68</v>
      </c>
      <c r="AX96" s="7" t="s">
        <v>207</v>
      </c>
      <c r="AY96" s="7" t="s">
        <v>208</v>
      </c>
      <c r="AZ96" s="7" t="s">
        <v>209</v>
      </c>
    </row>
    <row r="97" spans="1:53" ht="14.5">
      <c r="A97" s="41" t="s">
        <v>18</v>
      </c>
      <c r="B97" s="41" t="s">
        <v>21</v>
      </c>
      <c r="C97" s="41" t="s">
        <v>48</v>
      </c>
      <c r="D97" s="41" t="s">
        <v>8</v>
      </c>
      <c r="E97" s="41" t="s">
        <v>49</v>
      </c>
      <c r="F97" s="41" t="s">
        <v>49</v>
      </c>
      <c r="G97" s="41"/>
      <c r="H97" s="41" t="s">
        <v>9</v>
      </c>
      <c r="I97" s="5" t="s">
        <v>50</v>
      </c>
      <c r="J97" s="41"/>
      <c r="K97" s="41" t="s">
        <v>51</v>
      </c>
      <c r="L97" s="5" t="s">
        <v>52</v>
      </c>
      <c r="M97" s="41" t="s">
        <v>52</v>
      </c>
      <c r="N97" s="41" t="s">
        <v>53</v>
      </c>
      <c r="O97" s="41" t="s">
        <v>54</v>
      </c>
      <c r="P97" s="41"/>
      <c r="Q97" s="41"/>
      <c r="R97" s="41"/>
      <c r="S97" s="24" t="s">
        <v>55</v>
      </c>
      <c r="T97" s="10" t="s">
        <v>55</v>
      </c>
      <c r="U97" s="41"/>
      <c r="V97" s="41"/>
      <c r="W97" s="41"/>
      <c r="X97" s="41"/>
      <c r="Y97" s="41"/>
      <c r="Z97" s="41"/>
      <c r="AA97" s="9" t="s">
        <v>118</v>
      </c>
      <c r="AB97" s="9" t="s">
        <v>118</v>
      </c>
      <c r="AC97" s="7" t="s">
        <v>119</v>
      </c>
      <c r="AD97" s="7" t="s">
        <v>119</v>
      </c>
      <c r="AE97" s="5" t="s">
        <v>20</v>
      </c>
      <c r="AF97" s="7" t="s">
        <v>118</v>
      </c>
      <c r="AG97" s="7" t="s">
        <v>118</v>
      </c>
      <c r="AH97" s="7" t="s">
        <v>119</v>
      </c>
      <c r="AI97" s="41" t="s">
        <v>56</v>
      </c>
      <c r="AJ97" s="41" t="s">
        <v>57</v>
      </c>
      <c r="AK97" s="11"/>
      <c r="AL97" s="5" t="s">
        <v>9</v>
      </c>
      <c r="AM97" s="5" t="s">
        <v>18</v>
      </c>
      <c r="AN97" s="41" t="s">
        <v>8</v>
      </c>
      <c r="AO97" s="41" t="s">
        <v>49</v>
      </c>
      <c r="AP97" s="53"/>
      <c r="AQ97" s="11"/>
      <c r="AR97" s="11"/>
      <c r="AS97" s="11"/>
      <c r="AT97" s="11"/>
      <c r="AU97" s="11"/>
      <c r="AV97" s="11"/>
      <c r="AW97" s="11"/>
      <c r="AX97" s="41"/>
      <c r="AY97" s="41"/>
      <c r="AZ97" s="41"/>
    </row>
    <row r="98" spans="1:53" ht="14.5">
      <c r="A98" s="41">
        <f ca="1">A93</f>
        <v>1256.3926546203347</v>
      </c>
      <c r="B98" s="41">
        <f t="shared" ref="B98:C98" ca="1" si="155">(A98/60)</f>
        <v>20.939877577005579</v>
      </c>
      <c r="C98" s="41">
        <f t="shared" ca="1" si="155"/>
        <v>0.34899795961675967</v>
      </c>
      <c r="D98" s="41">
        <f t="shared" ref="D98:E98" ca="1" si="156">D93</f>
        <v>16653.42825040855</v>
      </c>
      <c r="E98" s="41">
        <f t="shared" ca="1" si="156"/>
        <v>119.84342280572776</v>
      </c>
      <c r="F98" s="7">
        <v>0</v>
      </c>
      <c r="G98" s="41"/>
      <c r="H98" s="7">
        <f>H93</f>
        <v>3000</v>
      </c>
      <c r="I98" s="6">
        <v>15</v>
      </c>
      <c r="J98" s="41">
        <f t="shared" ref="J98:J118" si="157">SQRT((((((((L98^2)*(0.2))/(661.477)^2) + 1)^(3.5) - 1)*(1/AR98) + 1)^(1/3.5) - 1)*(5))</f>
        <v>0.28713835631100121</v>
      </c>
      <c r="K98" s="41">
        <f t="shared" ref="K98:K118" si="158">SQRT((1.4*2116.22*AR98*(J98)^2)/AV98)</f>
        <v>325.57428482334547</v>
      </c>
      <c r="L98" s="120">
        <v>180</v>
      </c>
      <c r="M98" s="41">
        <f t="shared" ref="M98:M118" si="159">K98*0.592484</f>
        <v>192.89755456927503</v>
      </c>
      <c r="N98" s="41">
        <f t="shared" ref="N98:N118" si="160">0.5*AV98*K98^2</f>
        <v>109.46264517225482</v>
      </c>
      <c r="O98" s="41">
        <f t="shared" ref="O98:O118" si="161">P98/$B$7</f>
        <v>1756688.0948151206</v>
      </c>
      <c r="P98" s="41">
        <f t="shared" ref="P98:P118" si="162">(AV98*K98*$B$7)/(AW98)</f>
        <v>11279171.965623073</v>
      </c>
      <c r="Q98" s="41">
        <f t="shared" ref="Q98:Q118" si="163">0.455/(LOG10(P98)^2.58 * (1+0.144*J98*J98)^0.65)</f>
        <v>2.9240838430518376E-3</v>
      </c>
      <c r="R98" s="41">
        <f t="shared" ref="R98:R118" si="164">(((Q98*$B$4)+$B$17)+(0.1*(Q98*$B$4)))</f>
        <v>2.277736369419613E-2</v>
      </c>
      <c r="S98" s="24">
        <f ca="1">T98</f>
        <v>1.5645489660610831E-15</v>
      </c>
      <c r="T98" s="10">
        <f t="shared" ref="T98:T118" ca="1" si="165">DEGREES(ASIN(((AF98-X98)/(D98))))</f>
        <v>-1.5645489660610831E-15</v>
      </c>
      <c r="U98" s="41">
        <f t="shared" ref="U98:U118" ca="1" si="166">(D98*COS(RADIANS(S98)))/(N98*$B$3)</f>
        <v>0.66146957869000578</v>
      </c>
      <c r="V98" s="41">
        <f t="shared" ref="V98:V118" ca="1" si="167">(X98)/(N98*$B$3)</f>
        <v>5.0411083008681232E-2</v>
      </c>
      <c r="W98" s="41">
        <f t="shared" ref="W98:W118" ca="1" si="168">U98/V98</f>
        <v>13.121510969643222</v>
      </c>
      <c r="X98" s="20">
        <f t="shared" ref="X98:X118" ca="1" si="169">(N98*$B$3*R98)+((N98*$B$3)*((U98^2)/(PI()*$B$6*$B$5)))</f>
        <v>1269.1700131895223</v>
      </c>
      <c r="Y98" s="41">
        <f t="shared" ref="Y98:Y118" si="170">SQRT(PI()*$B$6*$B$5*R98)</f>
        <v>0.60053999049783546</v>
      </c>
      <c r="Z98" s="41">
        <f t="shared" ref="Z98:Z118" ca="1" si="171">SQRT((2*((U98*N98*$B$3)/(D98))*D98)/(AV98*$B$3*$B$18))</f>
        <v>170.92256917109799</v>
      </c>
      <c r="AA98" s="14">
        <f t="shared" ref="AA98:AA118" ca="1" si="172">D98/W98</f>
        <v>1269.1700131895223</v>
      </c>
      <c r="AB98" s="14">
        <f>$B$15*AR98*0.93</f>
        <v>5234.4042087224379</v>
      </c>
      <c r="AC98" s="25">
        <f t="shared" ref="AC98:AC118" ca="1" si="173">AA98*K98</f>
        <v>413209.11936341465</v>
      </c>
      <c r="AD98" s="41">
        <f t="shared" ref="AD98:AD118" si="174">AB98*K98</f>
        <v>1704187.4067311173</v>
      </c>
      <c r="AE98" s="5">
        <f t="shared" ref="AE98:AE118" ca="1" si="175">(AA98/AB98)*100</f>
        <v>24.24669480195319</v>
      </c>
      <c r="AF98" s="7">
        <f t="shared" ref="AF98:AF118" ca="1" si="176">(AB98)*(AE98/100)</f>
        <v>1269.1700131895223</v>
      </c>
      <c r="AG98" s="41">
        <f t="shared" ref="AG98:AG118" ca="1" si="177">AB98-AA98</f>
        <v>3965.2341955329157</v>
      </c>
      <c r="AH98" s="41">
        <f t="shared" ref="AH98:AH118" ca="1" si="178">AD98-AC98</f>
        <v>1290978.2873677027</v>
      </c>
      <c r="AI98" s="41">
        <f t="shared" ref="AI98:AI118" ca="1" si="179">(AP98*AF98)</f>
        <v>980.40353586878291</v>
      </c>
      <c r="AJ98" s="13">
        <f t="shared" ref="AJ98:AJ118" ca="1" si="180">K98*SIN(RADIANS(T98))</f>
        <v>-8.8903042252900312E-15</v>
      </c>
      <c r="AK98" s="11"/>
      <c r="AL98" s="6">
        <v>0</v>
      </c>
      <c r="AM98" s="6">
        <v>720</v>
      </c>
      <c r="AN98" s="41">
        <f t="shared" ref="AN98:AN118" ca="1" si="181">AI98*(AM98/3600)</f>
        <v>196.08070717375659</v>
      </c>
      <c r="AO98" s="41">
        <f t="shared" ref="AO98:AO118" ca="1" si="182">M98*COS(RADIANS(T98))*(AM98/3600)</f>
        <v>38.57951091385501</v>
      </c>
      <c r="AP98" s="67">
        <f>0.71 + 0.304*AZ98 + -0.0326*AZ98^2</f>
        <v>0.77247612666560972</v>
      </c>
      <c r="AQ98" s="11">
        <f t="shared" ref="AQ98:AQ118" si="183">IF(H98 &lt;= 36089, ((1 - 6.87535*10^(-6)*H98) + ((I98*1.8)/518.67)), 0.75187 + ((I98*1.8)/518.67))</f>
        <v>1.0314301707183759</v>
      </c>
      <c r="AR98" s="11">
        <f t="shared" ref="AR98:AR118" si="184">IF(H98 &lt;= 36089, (1 - 6.87535*10^(-6)*H98)^5.2561, 0.22336*EXP((36089 - H98)/(20806.7)))</f>
        <v>0.8962407041850623</v>
      </c>
      <c r="AS98" s="11">
        <f t="shared" ref="AS98:AS118" si="185">(AR98/AQ98)</f>
        <v>0.86893008332386068</v>
      </c>
      <c r="AT98" s="11">
        <f t="shared" ref="AT98:AT118" si="186">(518.67*AQ98)</f>
        <v>534.97188664650002</v>
      </c>
      <c r="AU98" s="11">
        <f t="shared" ref="AU98:AU118" si="187">2116.22*AR98</f>
        <v>1896.6425030105124</v>
      </c>
      <c r="AV98" s="11">
        <f t="shared" ref="AV98:AV118" si="188">(0.0023769*AS98)</f>
        <v>2.0653599150524844E-3</v>
      </c>
      <c r="AW98" s="11">
        <f t="shared" ref="AW98:AW118" si="189">((2.2697*10^-8)*(AT98^1.5))/(AT98+198.72)</f>
        <v>3.8278171249107636E-7</v>
      </c>
      <c r="AX98" s="41">
        <f t="shared" ref="AX98:AX118" ca="1" si="190">(1/U98)*(((1 + 0.2*(U98)^2)/1.2)^3)</f>
        <v>1.1252376307596299</v>
      </c>
      <c r="AY98" s="41">
        <f t="shared" ref="AY98:AY118" ca="1" si="191">($H$4/$H$3)*AX98</f>
        <v>1.5157174443477399</v>
      </c>
      <c r="AZ98" s="41">
        <f t="shared" ref="AZ98:AZ118" si="192">-6.6*10^(-3) + 0.825*J98 - 0.243*(J98^2)</f>
        <v>0.21025417408998501</v>
      </c>
      <c r="BA98" s="167">
        <f ca="1">2.12-0.00251*AF98+1.94*10^-6*AF98^2-7.84*10^-10*AF98^3+1.7*10^-13*AF98^4-1.89*10^-17*AF98^5+8.37*10^-22*AF98^6</f>
        <v>0.83888540699089742</v>
      </c>
    </row>
    <row r="99" spans="1:53" ht="14.5">
      <c r="A99" s="41">
        <f t="shared" ref="A99:A118" ca="1" si="193">A98+AM98</f>
        <v>1976.3926546203347</v>
      </c>
      <c r="B99" s="41">
        <f t="shared" ref="B99:C114" ca="1" si="194">A99/60</f>
        <v>32.939877577005582</v>
      </c>
      <c r="C99" s="41">
        <f t="shared" ca="1" si="194"/>
        <v>0.54899795961675968</v>
      </c>
      <c r="D99" s="41">
        <f t="shared" ref="D99:D118" ca="1" si="195">D98-AN98</f>
        <v>16457.347543234791</v>
      </c>
      <c r="E99" s="41">
        <f t="shared" ref="E99:E118" ca="1" si="196">E98+AO98</f>
        <v>158.42293371958277</v>
      </c>
      <c r="F99" s="41">
        <f t="shared" ref="F99:F118" ca="1" si="197">F98+AO98</f>
        <v>38.57951091385501</v>
      </c>
      <c r="G99" s="41"/>
      <c r="H99" s="7">
        <f t="shared" ref="H99:H118" si="198">H98+AL98</f>
        <v>3000</v>
      </c>
      <c r="I99" s="6">
        <v>15</v>
      </c>
      <c r="J99" s="41">
        <f t="shared" si="157"/>
        <v>0.28713835631100121</v>
      </c>
      <c r="K99" s="41">
        <f t="shared" si="158"/>
        <v>325.57428482334547</v>
      </c>
      <c r="L99" s="6">
        <f t="shared" ref="L99:L118" si="199">L98</f>
        <v>180</v>
      </c>
      <c r="M99" s="41">
        <f t="shared" si="159"/>
        <v>192.89755456927503</v>
      </c>
      <c r="N99" s="41">
        <f t="shared" si="160"/>
        <v>109.46264517225482</v>
      </c>
      <c r="O99" s="41">
        <f t="shared" si="161"/>
        <v>1756688.0948151206</v>
      </c>
      <c r="P99" s="41">
        <f t="shared" si="162"/>
        <v>11279171.965623073</v>
      </c>
      <c r="Q99" s="41">
        <f t="shared" si="163"/>
        <v>2.9240838430518376E-3</v>
      </c>
      <c r="R99" s="41">
        <f t="shared" si="164"/>
        <v>2.277736369419613E-2</v>
      </c>
      <c r="S99" s="24">
        <f t="shared" ref="S99:S118" ca="1" si="200">T99</f>
        <v>1.5831897504807656E-15</v>
      </c>
      <c r="T99" s="10">
        <f t="shared" ca="1" si="165"/>
        <v>-1.5831897504807656E-15</v>
      </c>
      <c r="U99" s="41">
        <f t="shared" ca="1" si="166"/>
        <v>0.65368130706129279</v>
      </c>
      <c r="V99" s="41">
        <f t="shared" ca="1" si="167"/>
        <v>4.9764184332355639E-2</v>
      </c>
      <c r="W99" s="41">
        <f t="shared" ca="1" si="168"/>
        <v>13.135577641454132</v>
      </c>
      <c r="X99" s="20">
        <f t="shared" ca="1" si="169"/>
        <v>1252.8834279276455</v>
      </c>
      <c r="Y99" s="41">
        <f t="shared" si="170"/>
        <v>0.60053999049783546</v>
      </c>
      <c r="Z99" s="41">
        <f t="shared" ca="1" si="171"/>
        <v>169.91335188794361</v>
      </c>
      <c r="AA99" s="14">
        <f t="shared" ca="1" si="172"/>
        <v>1252.8834279276457</v>
      </c>
      <c r="AB99" s="14">
        <f t="shared" ref="AB99:AB118" si="201">$B$15*AR99*0.93</f>
        <v>5234.4042087224379</v>
      </c>
      <c r="AC99" s="25">
        <f t="shared" ca="1" si="173"/>
        <v>407906.62601456477</v>
      </c>
      <c r="AD99" s="41">
        <f t="shared" si="174"/>
        <v>1704187.4067311173</v>
      </c>
      <c r="AE99" s="5">
        <f t="shared" ca="1" si="175"/>
        <v>23.93554983468572</v>
      </c>
      <c r="AF99" s="7">
        <f t="shared" ca="1" si="176"/>
        <v>1252.8834279276459</v>
      </c>
      <c r="AG99" s="41">
        <f t="shared" ca="1" si="177"/>
        <v>3981.5207807947922</v>
      </c>
      <c r="AH99" s="41">
        <f t="shared" ca="1" si="178"/>
        <v>1296280.7807165524</v>
      </c>
      <c r="AI99" s="41">
        <f t="shared" ca="1" si="179"/>
        <v>967.82253756907949</v>
      </c>
      <c r="AJ99" s="13">
        <f t="shared" ca="1" si="180"/>
        <v>-8.9962275604389761E-15</v>
      </c>
      <c r="AK99" s="11"/>
      <c r="AL99" s="6">
        <v>0</v>
      </c>
      <c r="AM99" s="6">
        <v>720</v>
      </c>
      <c r="AN99" s="41">
        <f t="shared" ca="1" si="181"/>
        <v>193.5645075138159</v>
      </c>
      <c r="AO99" s="41">
        <f t="shared" ca="1" si="182"/>
        <v>38.57951091385501</v>
      </c>
      <c r="AP99" s="67">
        <f t="shared" ref="AP99:AP118" si="202">0.71 + 0.304*AZ99 + -0.0326*AZ99^2</f>
        <v>0.77247612666560972</v>
      </c>
      <c r="AQ99" s="11">
        <f t="shared" si="183"/>
        <v>1.0314301707183759</v>
      </c>
      <c r="AR99" s="11">
        <f t="shared" si="184"/>
        <v>0.8962407041850623</v>
      </c>
      <c r="AS99" s="11">
        <f t="shared" si="185"/>
        <v>0.86893008332386068</v>
      </c>
      <c r="AT99" s="11">
        <f t="shared" si="186"/>
        <v>534.97188664650002</v>
      </c>
      <c r="AU99" s="11">
        <f t="shared" si="187"/>
        <v>1896.6425030105124</v>
      </c>
      <c r="AV99" s="11">
        <f t="shared" si="188"/>
        <v>2.0653599150524844E-3</v>
      </c>
      <c r="AW99" s="11">
        <f t="shared" si="189"/>
        <v>3.8278171249107636E-7</v>
      </c>
      <c r="AX99" s="41">
        <f t="shared" ca="1" si="190"/>
        <v>1.1322217365158491</v>
      </c>
      <c r="AY99" s="41">
        <f t="shared" ca="1" si="191"/>
        <v>1.5251251735584352</v>
      </c>
      <c r="AZ99" s="41">
        <f t="shared" si="192"/>
        <v>0.21025417408998501</v>
      </c>
      <c r="BA99" s="167">
        <f t="shared" ref="BA99:BA117" ca="1" si="203">2.12-0.00251*AF99+1.94*10^-6*AF99^2-7.84*10^-10*AF99^3+1.7*10^-13*AF99^4-1.89*10^-17*AF99^5+8.37*10^-22*AF99^6</f>
        <v>0.84241498267725579</v>
      </c>
    </row>
    <row r="100" spans="1:53" ht="14.5">
      <c r="A100" s="41">
        <f t="shared" ca="1" si="193"/>
        <v>2696.3926546203347</v>
      </c>
      <c r="B100" s="41">
        <f t="shared" ca="1" si="194"/>
        <v>44.939877577005582</v>
      </c>
      <c r="C100" s="41">
        <f t="shared" ca="1" si="194"/>
        <v>0.74899795961675975</v>
      </c>
      <c r="D100" s="41">
        <f t="shared" ca="1" si="195"/>
        <v>16263.783035720975</v>
      </c>
      <c r="E100" s="41">
        <f t="shared" ca="1" si="196"/>
        <v>197.00244463343779</v>
      </c>
      <c r="F100" s="41">
        <f t="shared" ca="1" si="197"/>
        <v>77.159021827710021</v>
      </c>
      <c r="G100" s="41"/>
      <c r="H100" s="7">
        <f t="shared" si="198"/>
        <v>3000</v>
      </c>
      <c r="I100" s="6">
        <v>15</v>
      </c>
      <c r="J100" s="41">
        <f t="shared" si="157"/>
        <v>0.28713835631100121</v>
      </c>
      <c r="K100" s="41">
        <f t="shared" si="158"/>
        <v>325.57428482334547</v>
      </c>
      <c r="L100" s="6">
        <f t="shared" si="199"/>
        <v>180</v>
      </c>
      <c r="M100" s="41">
        <f t="shared" si="159"/>
        <v>192.89755456927503</v>
      </c>
      <c r="N100" s="41">
        <f t="shared" si="160"/>
        <v>109.46264517225482</v>
      </c>
      <c r="O100" s="41">
        <f t="shared" si="161"/>
        <v>1756688.0948151206</v>
      </c>
      <c r="P100" s="41">
        <f t="shared" si="162"/>
        <v>11279171.965623073</v>
      </c>
      <c r="Q100" s="41">
        <f t="shared" si="163"/>
        <v>2.9240838430518376E-3</v>
      </c>
      <c r="R100" s="41">
        <f t="shared" si="164"/>
        <v>2.277736369419613E-2</v>
      </c>
      <c r="S100" s="24">
        <f t="shared" ca="1" si="200"/>
        <v>2.4030482846447513E-15</v>
      </c>
      <c r="T100" s="10">
        <f t="shared" ca="1" si="165"/>
        <v>-2.4030482846447513E-15</v>
      </c>
      <c r="U100" s="41">
        <f t="shared" ca="1" si="166"/>
        <v>0.64599297818934653</v>
      </c>
      <c r="V100" s="41">
        <f t="shared" ca="1" si="167"/>
        <v>4.9133101931098599E-2</v>
      </c>
      <c r="W100" s="41">
        <f t="shared" ca="1" si="168"/>
        <v>13.147815887856002</v>
      </c>
      <c r="X100" s="20">
        <f t="shared" ca="1" si="169"/>
        <v>1236.995039666097</v>
      </c>
      <c r="Y100" s="41">
        <f t="shared" si="170"/>
        <v>0.60053999049783546</v>
      </c>
      <c r="Z100" s="41">
        <f t="shared" ca="1" si="171"/>
        <v>168.91117111751225</v>
      </c>
      <c r="AA100" s="14">
        <f t="shared" ca="1" si="172"/>
        <v>1236.995039666097</v>
      </c>
      <c r="AB100" s="14">
        <f t="shared" si="201"/>
        <v>5234.4042087224379</v>
      </c>
      <c r="AC100" s="25">
        <f t="shared" ca="1" si="173"/>
        <v>402733.77536931541</v>
      </c>
      <c r="AD100" s="41">
        <f t="shared" si="174"/>
        <v>1704187.4067311173</v>
      </c>
      <c r="AE100" s="5">
        <f t="shared" ca="1" si="175"/>
        <v>23.632012170646078</v>
      </c>
      <c r="AF100" s="7">
        <f t="shared" ca="1" si="176"/>
        <v>1236.995039666097</v>
      </c>
      <c r="AG100" s="41">
        <f t="shared" ca="1" si="177"/>
        <v>3997.4091690563409</v>
      </c>
      <c r="AH100" s="41">
        <f t="shared" ca="1" si="178"/>
        <v>1301453.6313618019</v>
      </c>
      <c r="AI100" s="41">
        <f t="shared" ca="1" si="179"/>
        <v>955.54913694583888</v>
      </c>
      <c r="AJ100" s="13">
        <f t="shared" ca="1" si="180"/>
        <v>-1.3654945151597835E-14</v>
      </c>
      <c r="AK100" s="11"/>
      <c r="AL100" s="6">
        <v>0</v>
      </c>
      <c r="AM100" s="6">
        <v>720</v>
      </c>
      <c r="AN100" s="41">
        <f t="shared" ca="1" si="181"/>
        <v>191.10982738916778</v>
      </c>
      <c r="AO100" s="41">
        <f t="shared" ca="1" si="182"/>
        <v>38.57951091385501</v>
      </c>
      <c r="AP100" s="67">
        <f t="shared" si="202"/>
        <v>0.77247612666560972</v>
      </c>
      <c r="AQ100" s="11">
        <f t="shared" si="183"/>
        <v>1.0314301707183759</v>
      </c>
      <c r="AR100" s="11">
        <f t="shared" si="184"/>
        <v>0.8962407041850623</v>
      </c>
      <c r="AS100" s="11">
        <f t="shared" si="185"/>
        <v>0.86893008332386068</v>
      </c>
      <c r="AT100" s="11">
        <f t="shared" si="186"/>
        <v>534.97188664650002</v>
      </c>
      <c r="AU100" s="11">
        <f t="shared" si="187"/>
        <v>1896.6425030105124</v>
      </c>
      <c r="AV100" s="11">
        <f t="shared" si="188"/>
        <v>2.0653599150524844E-3</v>
      </c>
      <c r="AW100" s="11">
        <f t="shared" si="189"/>
        <v>3.8278171249107636E-7</v>
      </c>
      <c r="AX100" s="41">
        <f t="shared" ca="1" si="190"/>
        <v>1.1393804876664346</v>
      </c>
      <c r="AY100" s="41">
        <f t="shared" ca="1" si="191"/>
        <v>1.5347681535851181</v>
      </c>
      <c r="AZ100" s="41">
        <f t="shared" si="192"/>
        <v>0.21025417408998501</v>
      </c>
      <c r="BA100" s="167">
        <f t="shared" ca="1" si="203"/>
        <v>0.84598785605346671</v>
      </c>
    </row>
    <row r="101" spans="1:53" ht="14.5">
      <c r="A101" s="41">
        <f t="shared" ca="1" si="193"/>
        <v>3416.3926546203347</v>
      </c>
      <c r="B101" s="41">
        <f t="shared" ca="1" si="194"/>
        <v>56.939877577005582</v>
      </c>
      <c r="C101" s="41">
        <f t="shared" ca="1" si="194"/>
        <v>0.9489979596167597</v>
      </c>
      <c r="D101" s="41">
        <f t="shared" ca="1" si="195"/>
        <v>16072.673208331807</v>
      </c>
      <c r="E101" s="41">
        <f t="shared" ca="1" si="196"/>
        <v>235.58195554729281</v>
      </c>
      <c r="F101" s="41">
        <f t="shared" ca="1" si="197"/>
        <v>115.73853274156502</v>
      </c>
      <c r="G101" s="41"/>
      <c r="H101" s="7">
        <f t="shared" si="198"/>
        <v>3000</v>
      </c>
      <c r="I101" s="6">
        <v>15</v>
      </c>
      <c r="J101" s="41">
        <f t="shared" si="157"/>
        <v>0.28713835631100121</v>
      </c>
      <c r="K101" s="41">
        <f t="shared" si="158"/>
        <v>325.57428482334547</v>
      </c>
      <c r="L101" s="6">
        <f t="shared" si="199"/>
        <v>180</v>
      </c>
      <c r="M101" s="41">
        <f t="shared" si="159"/>
        <v>192.89755456927503</v>
      </c>
      <c r="N101" s="41">
        <f t="shared" si="160"/>
        <v>109.46264517225482</v>
      </c>
      <c r="O101" s="41">
        <f t="shared" si="161"/>
        <v>1756688.0948151206</v>
      </c>
      <c r="P101" s="41">
        <f t="shared" si="162"/>
        <v>11279171.965623073</v>
      </c>
      <c r="Q101" s="41">
        <f t="shared" si="163"/>
        <v>2.9240838430518376E-3</v>
      </c>
      <c r="R101" s="41">
        <f t="shared" si="164"/>
        <v>2.277736369419613E-2</v>
      </c>
      <c r="S101" s="24">
        <f t="shared" ca="1" si="200"/>
        <v>8.1054046246154606E-16</v>
      </c>
      <c r="T101" s="10">
        <f t="shared" ca="1" si="165"/>
        <v>-1.6210809249230921E-15</v>
      </c>
      <c r="U101" s="41">
        <f t="shared" ca="1" si="166"/>
        <v>0.63840214853518618</v>
      </c>
      <c r="V101" s="41">
        <f t="shared" ca="1" si="167"/>
        <v>4.8517347585518004E-2</v>
      </c>
      <c r="W101" s="41">
        <f t="shared" ca="1" si="168"/>
        <v>13.158224435289275</v>
      </c>
      <c r="X101" s="20">
        <f t="shared" ca="1" si="169"/>
        <v>1221.4925567940777</v>
      </c>
      <c r="Y101" s="41">
        <f t="shared" si="170"/>
        <v>0.60053999049783546</v>
      </c>
      <c r="Z101" s="41">
        <f t="shared" ca="1" si="171"/>
        <v>167.91583149294587</v>
      </c>
      <c r="AA101" s="14">
        <f t="shared" ca="1" si="172"/>
        <v>1221.4925567940777</v>
      </c>
      <c r="AB101" s="14">
        <f t="shared" si="201"/>
        <v>5234.4042087224379</v>
      </c>
      <c r="AC101" s="25">
        <f t="shared" ca="1" si="173"/>
        <v>397686.56559527153</v>
      </c>
      <c r="AD101" s="41">
        <f t="shared" si="174"/>
        <v>1704187.4067311173</v>
      </c>
      <c r="AE101" s="5">
        <f t="shared" ca="1" si="175"/>
        <v>23.335846986341309</v>
      </c>
      <c r="AF101" s="7">
        <f t="shared" ca="1" si="176"/>
        <v>1221.4925567940777</v>
      </c>
      <c r="AG101" s="41">
        <f t="shared" ca="1" si="177"/>
        <v>4012.9116519283602</v>
      </c>
      <c r="AH101" s="41">
        <f t="shared" ca="1" si="178"/>
        <v>1306500.8411358458</v>
      </c>
      <c r="AI101" s="41">
        <f t="shared" ca="1" si="179"/>
        <v>943.57383902316144</v>
      </c>
      <c r="AJ101" s="13">
        <f t="shared" ca="1" si="180"/>
        <v>-9.2115382190078214E-15</v>
      </c>
      <c r="AK101" s="11"/>
      <c r="AL101" s="6">
        <v>0</v>
      </c>
      <c r="AM101" s="6">
        <v>720</v>
      </c>
      <c r="AN101" s="41">
        <f t="shared" ca="1" si="181"/>
        <v>188.71476780463229</v>
      </c>
      <c r="AO101" s="41">
        <f t="shared" ca="1" si="182"/>
        <v>38.57951091385501</v>
      </c>
      <c r="AP101" s="67">
        <f t="shared" si="202"/>
        <v>0.77247612666560972</v>
      </c>
      <c r="AQ101" s="11">
        <f t="shared" si="183"/>
        <v>1.0314301707183759</v>
      </c>
      <c r="AR101" s="11">
        <f t="shared" si="184"/>
        <v>0.8962407041850623</v>
      </c>
      <c r="AS101" s="11">
        <f t="shared" si="185"/>
        <v>0.86893008332386068</v>
      </c>
      <c r="AT101" s="11">
        <f t="shared" si="186"/>
        <v>534.97188664650002</v>
      </c>
      <c r="AU101" s="11">
        <f t="shared" si="187"/>
        <v>1896.6425030105124</v>
      </c>
      <c r="AV101" s="11">
        <f t="shared" si="188"/>
        <v>2.0653599150524844E-3</v>
      </c>
      <c r="AW101" s="11">
        <f t="shared" si="189"/>
        <v>3.8278171249107636E-7</v>
      </c>
      <c r="AX101" s="41">
        <f t="shared" ca="1" si="190"/>
        <v>1.1467144886000209</v>
      </c>
      <c r="AY101" s="41">
        <f t="shared" ca="1" si="191"/>
        <v>1.5446471985512866</v>
      </c>
      <c r="AZ101" s="41">
        <f t="shared" si="192"/>
        <v>0.21025417408998501</v>
      </c>
      <c r="BA101" s="167">
        <f t="shared" ca="1" si="203"/>
        <v>0.84960190852267792</v>
      </c>
    </row>
    <row r="102" spans="1:53" ht="14.5">
      <c r="A102" s="41">
        <f t="shared" ca="1" si="193"/>
        <v>4136.3926546203347</v>
      </c>
      <c r="B102" s="41">
        <f t="shared" ca="1" si="194"/>
        <v>68.939877577005575</v>
      </c>
      <c r="C102" s="41">
        <f t="shared" ca="1" si="194"/>
        <v>1.1489979596167597</v>
      </c>
      <c r="D102" s="41">
        <f t="shared" ca="1" si="195"/>
        <v>15883.958440527174</v>
      </c>
      <c r="E102" s="41">
        <f t="shared" ca="1" si="196"/>
        <v>274.16146646114782</v>
      </c>
      <c r="F102" s="41">
        <f t="shared" ca="1" si="197"/>
        <v>154.31804365542004</v>
      </c>
      <c r="G102" s="41"/>
      <c r="H102" s="7">
        <f t="shared" si="198"/>
        <v>3000</v>
      </c>
      <c r="I102" s="6">
        <v>15</v>
      </c>
      <c r="J102" s="41">
        <f t="shared" si="157"/>
        <v>0.28713835631100121</v>
      </c>
      <c r="K102" s="41">
        <f t="shared" si="158"/>
        <v>325.57428482334547</v>
      </c>
      <c r="L102" s="6">
        <f t="shared" si="199"/>
        <v>180</v>
      </c>
      <c r="M102" s="41">
        <f t="shared" si="159"/>
        <v>192.89755456927503</v>
      </c>
      <c r="N102" s="41">
        <f t="shared" si="160"/>
        <v>109.46264517225482</v>
      </c>
      <c r="O102" s="41">
        <f t="shared" si="161"/>
        <v>1756688.0948151206</v>
      </c>
      <c r="P102" s="41">
        <f t="shared" si="162"/>
        <v>11279171.965623073</v>
      </c>
      <c r="Q102" s="41">
        <f t="shared" si="163"/>
        <v>2.9240838430518376E-3</v>
      </c>
      <c r="R102" s="41">
        <f t="shared" si="164"/>
        <v>2.277736369419613E-2</v>
      </c>
      <c r="S102" s="24">
        <f t="shared" ca="1" si="200"/>
        <v>2.4605110918765771E-15</v>
      </c>
      <c r="T102" s="10">
        <f t="shared" ca="1" si="165"/>
        <v>-3.2806814558354369E-15</v>
      </c>
      <c r="U102" s="41">
        <f t="shared" ca="1" si="166"/>
        <v>0.6309064499873962</v>
      </c>
      <c r="V102" s="41">
        <f t="shared" ca="1" si="167"/>
        <v>4.7916452122071081E-2</v>
      </c>
      <c r="W102" s="41">
        <f t="shared" ca="1" si="168"/>
        <v>13.166802257815549</v>
      </c>
      <c r="X102" s="20">
        <f t="shared" ca="1" si="169"/>
        <v>1206.3641672068688</v>
      </c>
      <c r="Y102" s="41">
        <f t="shared" si="170"/>
        <v>0.60053999049783546</v>
      </c>
      <c r="Z102" s="41">
        <f t="shared" ca="1" si="171"/>
        <v>166.92714210879234</v>
      </c>
      <c r="AA102" s="14">
        <f t="shared" ca="1" si="172"/>
        <v>1206.3641672068688</v>
      </c>
      <c r="AB102" s="14">
        <f t="shared" si="201"/>
        <v>5234.4042087224379</v>
      </c>
      <c r="AC102" s="25">
        <f t="shared" ca="1" si="173"/>
        <v>392761.15097488707</v>
      </c>
      <c r="AD102" s="41">
        <f t="shared" si="174"/>
        <v>1704187.4067311173</v>
      </c>
      <c r="AE102" s="5">
        <f t="shared" ca="1" si="175"/>
        <v>23.046828618940499</v>
      </c>
      <c r="AF102" s="7">
        <f t="shared" ca="1" si="176"/>
        <v>1206.3641672068688</v>
      </c>
      <c r="AG102" s="41">
        <f t="shared" ca="1" si="177"/>
        <v>4028.0400415155691</v>
      </c>
      <c r="AH102" s="41">
        <f t="shared" ca="1" si="178"/>
        <v>1311426.2557562301</v>
      </c>
      <c r="AI102" s="41">
        <f t="shared" ca="1" si="179"/>
        <v>931.88751923214602</v>
      </c>
      <c r="AJ102" s="13">
        <f t="shared" ca="1" si="180"/>
        <v>-1.8641958060330676E-14</v>
      </c>
      <c r="AK102" s="11"/>
      <c r="AL102" s="6">
        <v>0</v>
      </c>
      <c r="AM102" s="6">
        <v>720</v>
      </c>
      <c r="AN102" s="41">
        <f t="shared" ca="1" si="181"/>
        <v>186.37750384642922</v>
      </c>
      <c r="AO102" s="41">
        <f t="shared" ca="1" si="182"/>
        <v>38.57951091385501</v>
      </c>
      <c r="AP102" s="67">
        <f t="shared" si="202"/>
        <v>0.77247612666560972</v>
      </c>
      <c r="AQ102" s="11">
        <f t="shared" si="183"/>
        <v>1.0314301707183759</v>
      </c>
      <c r="AR102" s="11">
        <f t="shared" si="184"/>
        <v>0.8962407041850623</v>
      </c>
      <c r="AS102" s="11">
        <f t="shared" si="185"/>
        <v>0.86893008332386068</v>
      </c>
      <c r="AT102" s="11">
        <f t="shared" si="186"/>
        <v>534.97188664650002</v>
      </c>
      <c r="AU102" s="11">
        <f t="shared" si="187"/>
        <v>1896.6425030105124</v>
      </c>
      <c r="AV102" s="11">
        <f t="shared" si="188"/>
        <v>2.0653599150524844E-3</v>
      </c>
      <c r="AW102" s="11">
        <f t="shared" si="189"/>
        <v>3.8278171249107636E-7</v>
      </c>
      <c r="AX102" s="41">
        <f t="shared" ca="1" si="190"/>
        <v>1.1542244994183479</v>
      </c>
      <c r="AY102" s="41">
        <f t="shared" ca="1" si="191"/>
        <v>1.5547633323290859</v>
      </c>
      <c r="AZ102" s="41">
        <f t="shared" si="192"/>
        <v>0.21025417408998501</v>
      </c>
      <c r="BA102" s="167">
        <f t="shared" ca="1" si="203"/>
        <v>0.85325496402461432</v>
      </c>
    </row>
    <row r="103" spans="1:53" ht="14.5">
      <c r="A103" s="41">
        <f t="shared" ca="1" si="193"/>
        <v>4856.3926546203347</v>
      </c>
      <c r="B103" s="41">
        <f t="shared" ca="1" si="194"/>
        <v>80.939877577005575</v>
      </c>
      <c r="C103" s="41">
        <f t="shared" ca="1" si="194"/>
        <v>1.3489979596167596</v>
      </c>
      <c r="D103" s="41">
        <f t="shared" ca="1" si="195"/>
        <v>15697.580936680744</v>
      </c>
      <c r="E103" s="41">
        <f t="shared" ca="1" si="196"/>
        <v>312.74097737500284</v>
      </c>
      <c r="F103" s="41">
        <f t="shared" ca="1" si="197"/>
        <v>192.89755456927506</v>
      </c>
      <c r="G103" s="41"/>
      <c r="H103" s="7">
        <f t="shared" si="198"/>
        <v>3000</v>
      </c>
      <c r="I103" s="6">
        <v>15</v>
      </c>
      <c r="J103" s="41">
        <f t="shared" si="157"/>
        <v>0.28713835631100121</v>
      </c>
      <c r="K103" s="41">
        <f t="shared" si="158"/>
        <v>325.57428482334547</v>
      </c>
      <c r="L103" s="6">
        <f t="shared" si="199"/>
        <v>180</v>
      </c>
      <c r="M103" s="41">
        <f t="shared" si="159"/>
        <v>192.89755456927503</v>
      </c>
      <c r="N103" s="41">
        <f t="shared" si="160"/>
        <v>109.46264517225482</v>
      </c>
      <c r="O103" s="41">
        <f t="shared" si="161"/>
        <v>1756688.0948151206</v>
      </c>
      <c r="P103" s="41">
        <f t="shared" si="162"/>
        <v>11279171.965623073</v>
      </c>
      <c r="Q103" s="41">
        <f t="shared" si="163"/>
        <v>2.9240838430518376E-3</v>
      </c>
      <c r="R103" s="41">
        <f t="shared" si="164"/>
        <v>2.277736369419613E-2</v>
      </c>
      <c r="S103" s="24">
        <f t="shared" ca="1" si="200"/>
        <v>2.4897247597238842E-15</v>
      </c>
      <c r="T103" s="10">
        <f t="shared" ca="1" si="165"/>
        <v>-2.4897247597238842E-15</v>
      </c>
      <c r="U103" s="41">
        <f t="shared" ca="1" si="166"/>
        <v>0.62350358691963303</v>
      </c>
      <c r="V103" s="41">
        <f t="shared" ca="1" si="167"/>
        <v>4.7329964531499132E-2</v>
      </c>
      <c r="W103" s="41">
        <f t="shared" ca="1" si="168"/>
        <v>13.173548577343169</v>
      </c>
      <c r="X103" s="20">
        <f t="shared" ca="1" si="169"/>
        <v>1191.598516111186</v>
      </c>
      <c r="Y103" s="41">
        <f t="shared" si="170"/>
        <v>0.60053999049783546</v>
      </c>
      <c r="Z103" s="41">
        <f t="shared" ca="1" si="171"/>
        <v>165.94491634086143</v>
      </c>
      <c r="AA103" s="14">
        <f t="shared" ca="1" si="172"/>
        <v>1191.598516111186</v>
      </c>
      <c r="AB103" s="14">
        <f t="shared" si="201"/>
        <v>5234.4042087224379</v>
      </c>
      <c r="AC103" s="25">
        <f t="shared" ca="1" si="173"/>
        <v>387953.83467945905</v>
      </c>
      <c r="AD103" s="41">
        <f t="shared" si="174"/>
        <v>1704187.4067311173</v>
      </c>
      <c r="AE103" s="5">
        <f t="shared" ca="1" si="175"/>
        <v>22.764740142260042</v>
      </c>
      <c r="AF103" s="7">
        <f t="shared" ca="1" si="176"/>
        <v>1191.598516111186</v>
      </c>
      <c r="AG103" s="41">
        <f t="shared" ca="1" si="177"/>
        <v>4042.8056926112522</v>
      </c>
      <c r="AH103" s="41">
        <f t="shared" ca="1" si="178"/>
        <v>1316233.5720516583</v>
      </c>
      <c r="AI103" s="41">
        <f t="shared" ca="1" si="179"/>
        <v>920.48140626605709</v>
      </c>
      <c r="AJ103" s="13">
        <f t="shared" ca="1" si="180"/>
        <v>-1.4147470632963419E-14</v>
      </c>
      <c r="AK103" s="11"/>
      <c r="AL103" s="6">
        <v>0</v>
      </c>
      <c r="AM103" s="6">
        <v>720</v>
      </c>
      <c r="AN103" s="41">
        <f t="shared" ca="1" si="181"/>
        <v>184.09628125321143</v>
      </c>
      <c r="AO103" s="41">
        <f t="shared" ca="1" si="182"/>
        <v>38.57951091385501</v>
      </c>
      <c r="AP103" s="67">
        <f t="shared" si="202"/>
        <v>0.77247612666560972</v>
      </c>
      <c r="AQ103" s="11">
        <f t="shared" si="183"/>
        <v>1.0314301707183759</v>
      </c>
      <c r="AR103" s="11">
        <f t="shared" si="184"/>
        <v>0.8962407041850623</v>
      </c>
      <c r="AS103" s="11">
        <f t="shared" si="185"/>
        <v>0.86893008332386068</v>
      </c>
      <c r="AT103" s="11">
        <f t="shared" si="186"/>
        <v>534.97188664650002</v>
      </c>
      <c r="AU103" s="11">
        <f t="shared" si="187"/>
        <v>1896.6425030105124</v>
      </c>
      <c r="AV103" s="11">
        <f t="shared" si="188"/>
        <v>2.0653599150524844E-3</v>
      </c>
      <c r="AW103" s="11">
        <f t="shared" si="189"/>
        <v>3.8278171249107636E-7</v>
      </c>
      <c r="AX103" s="41">
        <f t="shared" ca="1" si="190"/>
        <v>1.1619114344157799</v>
      </c>
      <c r="AY103" s="41">
        <f t="shared" ca="1" si="191"/>
        <v>1.5651177864911898</v>
      </c>
      <c r="AZ103" s="41">
        <f t="shared" si="192"/>
        <v>0.21025417408998501</v>
      </c>
      <c r="BA103" s="167">
        <f t="shared" ca="1" si="203"/>
        <v>0.85694480271741769</v>
      </c>
    </row>
    <row r="104" spans="1:53" ht="14.5">
      <c r="A104" s="41">
        <f t="shared" ca="1" si="193"/>
        <v>5576.3926546203347</v>
      </c>
      <c r="B104" s="41">
        <f t="shared" ca="1" si="194"/>
        <v>92.939877577005575</v>
      </c>
      <c r="C104" s="41">
        <f t="shared" ca="1" si="194"/>
        <v>1.5489979596167596</v>
      </c>
      <c r="D104" s="41">
        <f t="shared" ca="1" si="195"/>
        <v>15513.484655427534</v>
      </c>
      <c r="E104" s="41">
        <f t="shared" ca="1" si="196"/>
        <v>351.32048828885786</v>
      </c>
      <c r="F104" s="41">
        <f t="shared" ca="1" si="197"/>
        <v>231.47706548313008</v>
      </c>
      <c r="G104" s="41"/>
      <c r="H104" s="7">
        <f t="shared" si="198"/>
        <v>3000</v>
      </c>
      <c r="I104" s="6">
        <v>15</v>
      </c>
      <c r="J104" s="41">
        <f t="shared" si="157"/>
        <v>0.28713835631100121</v>
      </c>
      <c r="K104" s="41">
        <f t="shared" si="158"/>
        <v>325.57428482334547</v>
      </c>
      <c r="L104" s="6">
        <f t="shared" si="199"/>
        <v>180</v>
      </c>
      <c r="M104" s="41">
        <f t="shared" si="159"/>
        <v>192.89755456927503</v>
      </c>
      <c r="N104" s="41">
        <f t="shared" si="160"/>
        <v>109.46264517225482</v>
      </c>
      <c r="O104" s="41">
        <f t="shared" si="161"/>
        <v>1756688.0948151206</v>
      </c>
      <c r="P104" s="41">
        <f t="shared" si="162"/>
        <v>11279171.965623073</v>
      </c>
      <c r="Q104" s="41">
        <f t="shared" si="163"/>
        <v>2.9240838430518376E-3</v>
      </c>
      <c r="R104" s="41">
        <f t="shared" si="164"/>
        <v>2.277736369419613E-2</v>
      </c>
      <c r="S104" s="24">
        <f t="shared" ca="1" si="200"/>
        <v>3.3590266183598551E-15</v>
      </c>
      <c r="T104" s="10">
        <f t="shared" ca="1" si="165"/>
        <v>-3.3590266183598555E-15</v>
      </c>
      <c r="U104" s="41">
        <f t="shared" ca="1" si="166"/>
        <v>0.61619133338433041</v>
      </c>
      <c r="V104" s="41">
        <f t="shared" ca="1" si="167"/>
        <v>4.6757451134630458E-2</v>
      </c>
      <c r="W104" s="41">
        <f t="shared" ca="1" si="168"/>
        <v>13.17846286381411</v>
      </c>
      <c r="X104" s="20">
        <f t="shared" ca="1" si="169"/>
        <v>1177.1846850230922</v>
      </c>
      <c r="Y104" s="41">
        <f t="shared" si="170"/>
        <v>0.60053999049783546</v>
      </c>
      <c r="Z104" s="41">
        <f t="shared" ca="1" si="171"/>
        <v>164.96897167306179</v>
      </c>
      <c r="AA104" s="14">
        <f t="shared" ca="1" si="172"/>
        <v>1177.1846850230925</v>
      </c>
      <c r="AB104" s="14">
        <f t="shared" si="201"/>
        <v>5234.4042087224379</v>
      </c>
      <c r="AC104" s="25">
        <f t="shared" ca="1" si="173"/>
        <v>383261.06193138851</v>
      </c>
      <c r="AD104" s="41">
        <f t="shared" si="174"/>
        <v>1704187.4067311173</v>
      </c>
      <c r="AE104" s="5">
        <f t="shared" ca="1" si="175"/>
        <v>22.489372965531988</v>
      </c>
      <c r="AF104" s="7">
        <f t="shared" ca="1" si="176"/>
        <v>1177.1846850230925</v>
      </c>
      <c r="AG104" s="41">
        <f t="shared" ca="1" si="177"/>
        <v>4057.2195236993457</v>
      </c>
      <c r="AH104" s="41">
        <f t="shared" ca="1" si="178"/>
        <v>1320926.3447997288</v>
      </c>
      <c r="AI104" s="41">
        <f t="shared" ca="1" si="179"/>
        <v>909.34706585671427</v>
      </c>
      <c r="AJ104" s="13">
        <f t="shared" ca="1" si="180"/>
        <v>-1.9087142164204024E-14</v>
      </c>
      <c r="AK104" s="11"/>
      <c r="AL104" s="6">
        <v>0</v>
      </c>
      <c r="AM104" s="6">
        <v>720</v>
      </c>
      <c r="AN104" s="41">
        <f t="shared" ca="1" si="181"/>
        <v>181.86941317134287</v>
      </c>
      <c r="AO104" s="41">
        <f t="shared" ca="1" si="182"/>
        <v>38.57951091385501</v>
      </c>
      <c r="AP104" s="67">
        <f t="shared" si="202"/>
        <v>0.77247612666560972</v>
      </c>
      <c r="AQ104" s="11">
        <f t="shared" si="183"/>
        <v>1.0314301707183759</v>
      </c>
      <c r="AR104" s="11">
        <f t="shared" si="184"/>
        <v>0.8962407041850623</v>
      </c>
      <c r="AS104" s="11">
        <f t="shared" si="185"/>
        <v>0.86893008332386068</v>
      </c>
      <c r="AT104" s="11">
        <f t="shared" si="186"/>
        <v>534.97188664650002</v>
      </c>
      <c r="AU104" s="11">
        <f t="shared" si="187"/>
        <v>1896.6425030105124</v>
      </c>
      <c r="AV104" s="11">
        <f t="shared" si="188"/>
        <v>2.0653599150524844E-3</v>
      </c>
      <c r="AW104" s="11">
        <f t="shared" si="189"/>
        <v>3.8278171249107636E-7</v>
      </c>
      <c r="AX104" s="41">
        <f t="shared" ca="1" si="190"/>
        <v>1.1697763609313678</v>
      </c>
      <c r="AY104" s="41">
        <f t="shared" ca="1" si="191"/>
        <v>1.5757119987645047</v>
      </c>
      <c r="AZ104" s="41">
        <f t="shared" si="192"/>
        <v>0.21025417408998501</v>
      </c>
      <c r="BA104" s="167">
        <f t="shared" ca="1" si="203"/>
        <v>0.86066917334618454</v>
      </c>
    </row>
    <row r="105" spans="1:53" ht="14.5">
      <c r="A105" s="41">
        <f t="shared" ca="1" si="193"/>
        <v>6296.3926546203347</v>
      </c>
      <c r="B105" s="41">
        <f t="shared" ca="1" si="194"/>
        <v>104.93987757700557</v>
      </c>
      <c r="C105" s="41">
        <f t="shared" ca="1" si="194"/>
        <v>1.7489979596167595</v>
      </c>
      <c r="D105" s="41">
        <f t="shared" ca="1" si="195"/>
        <v>15331.61524225619</v>
      </c>
      <c r="E105" s="41">
        <f t="shared" ca="1" si="196"/>
        <v>389.89999920271288</v>
      </c>
      <c r="F105" s="41">
        <f t="shared" ca="1" si="197"/>
        <v>270.05657639698507</v>
      </c>
      <c r="G105" s="41"/>
      <c r="H105" s="7">
        <f t="shared" si="198"/>
        <v>3000</v>
      </c>
      <c r="I105" s="6">
        <v>15</v>
      </c>
      <c r="J105" s="41">
        <f t="shared" si="157"/>
        <v>0.28713835631100121</v>
      </c>
      <c r="K105" s="41">
        <f t="shared" si="158"/>
        <v>325.57428482334547</v>
      </c>
      <c r="L105" s="6">
        <f t="shared" si="199"/>
        <v>180</v>
      </c>
      <c r="M105" s="41">
        <f t="shared" si="159"/>
        <v>192.89755456927503</v>
      </c>
      <c r="N105" s="41">
        <f t="shared" si="160"/>
        <v>109.46264517225482</v>
      </c>
      <c r="O105" s="41">
        <f t="shared" si="161"/>
        <v>1756688.0948151206</v>
      </c>
      <c r="P105" s="41">
        <f t="shared" si="162"/>
        <v>11279171.965623073</v>
      </c>
      <c r="Q105" s="41">
        <f t="shared" si="163"/>
        <v>2.9240838430518376E-3</v>
      </c>
      <c r="R105" s="41">
        <f t="shared" si="164"/>
        <v>2.277736369419613E-2</v>
      </c>
      <c r="S105" s="24">
        <f t="shared" ca="1" si="200"/>
        <v>1.6994363306703276E-15</v>
      </c>
      <c r="T105" s="10">
        <f t="shared" ca="1" si="165"/>
        <v>-3.398872661340656E-15</v>
      </c>
      <c r="U105" s="41">
        <f t="shared" ca="1" si="166"/>
        <v>0.60896753043528318</v>
      </c>
      <c r="V105" s="41">
        <f t="shared" ca="1" si="167"/>
        <v>4.6198494792663296E-2</v>
      </c>
      <c r="W105" s="41">
        <f t="shared" ca="1" si="168"/>
        <v>13.181544835352348</v>
      </c>
      <c r="X105" s="20">
        <f t="shared" ca="1" si="169"/>
        <v>1163.1121718857594</v>
      </c>
      <c r="Y105" s="41">
        <f t="shared" si="170"/>
        <v>0.60053999049783546</v>
      </c>
      <c r="Z105" s="41">
        <f t="shared" ca="1" si="171"/>
        <v>163.99912953084055</v>
      </c>
      <c r="AA105" s="14">
        <f t="shared" ca="1" si="172"/>
        <v>1163.1121718857598</v>
      </c>
      <c r="AB105" s="14">
        <f t="shared" si="201"/>
        <v>5234.4042087224379</v>
      </c>
      <c r="AC105" s="25">
        <f t="shared" ca="1" si="173"/>
        <v>378679.41353103431</v>
      </c>
      <c r="AD105" s="41">
        <f t="shared" si="174"/>
        <v>1704187.4067311173</v>
      </c>
      <c r="AE105" s="5">
        <f t="shared" ca="1" si="175"/>
        <v>22.220526453566354</v>
      </c>
      <c r="AF105" s="7">
        <f t="shared" ca="1" si="176"/>
        <v>1163.1121718857598</v>
      </c>
      <c r="AG105" s="41">
        <f t="shared" ca="1" si="177"/>
        <v>4071.2920368366781</v>
      </c>
      <c r="AH105" s="41">
        <f t="shared" ca="1" si="178"/>
        <v>1325507.993200083</v>
      </c>
      <c r="AI105" s="41">
        <f t="shared" ca="1" si="179"/>
        <v>898.47638541593665</v>
      </c>
      <c r="AJ105" s="13">
        <f t="shared" ca="1" si="180"/>
        <v>-1.931356105677799E-14</v>
      </c>
      <c r="AK105" s="11"/>
      <c r="AL105" s="6">
        <v>0</v>
      </c>
      <c r="AM105" s="6">
        <v>720</v>
      </c>
      <c r="AN105" s="41">
        <f t="shared" ca="1" si="181"/>
        <v>179.69527708318734</v>
      </c>
      <c r="AO105" s="41">
        <f t="shared" ca="1" si="182"/>
        <v>38.57951091385501</v>
      </c>
      <c r="AP105" s="67">
        <f t="shared" si="202"/>
        <v>0.77247612666560972</v>
      </c>
      <c r="AQ105" s="11">
        <f t="shared" si="183"/>
        <v>1.0314301707183759</v>
      </c>
      <c r="AR105" s="11">
        <f t="shared" si="184"/>
        <v>0.8962407041850623</v>
      </c>
      <c r="AS105" s="11">
        <f t="shared" si="185"/>
        <v>0.86893008332386068</v>
      </c>
      <c r="AT105" s="11">
        <f t="shared" si="186"/>
        <v>534.97188664650002</v>
      </c>
      <c r="AU105" s="11">
        <f t="shared" si="187"/>
        <v>1896.6425030105124</v>
      </c>
      <c r="AV105" s="11">
        <f t="shared" si="188"/>
        <v>2.0653599150524844E-3</v>
      </c>
      <c r="AW105" s="11">
        <f t="shared" si="189"/>
        <v>3.8278171249107636E-7</v>
      </c>
      <c r="AX105" s="41">
        <f t="shared" ca="1" si="190"/>
        <v>1.177820498562234</v>
      </c>
      <c r="AY105" s="41">
        <f t="shared" ca="1" si="191"/>
        <v>1.5865476119705855</v>
      </c>
      <c r="AZ105" s="41">
        <f t="shared" si="192"/>
        <v>0.21025417408998501</v>
      </c>
      <c r="BA105" s="167">
        <f t="shared" ca="1" si="203"/>
        <v>0.8644258043919294</v>
      </c>
    </row>
    <row r="106" spans="1:53" ht="14.5">
      <c r="A106" s="41">
        <f t="shared" ca="1" si="193"/>
        <v>7016.3926546203347</v>
      </c>
      <c r="B106" s="41">
        <f t="shared" ca="1" si="194"/>
        <v>116.93987757700557</v>
      </c>
      <c r="C106" s="41">
        <f t="shared" ca="1" si="194"/>
        <v>1.9489979596167595</v>
      </c>
      <c r="D106" s="41">
        <f t="shared" ca="1" si="195"/>
        <v>15151.919965173003</v>
      </c>
      <c r="E106" s="41">
        <f t="shared" ca="1" si="196"/>
        <v>428.47951011656789</v>
      </c>
      <c r="F106" s="41">
        <f t="shared" ca="1" si="197"/>
        <v>308.63608731084008</v>
      </c>
      <c r="G106" s="41"/>
      <c r="H106" s="7">
        <f t="shared" si="198"/>
        <v>3000</v>
      </c>
      <c r="I106" s="6">
        <v>15</v>
      </c>
      <c r="J106" s="41">
        <f t="shared" si="157"/>
        <v>0.28713835631100121</v>
      </c>
      <c r="K106" s="41">
        <f t="shared" si="158"/>
        <v>325.57428482334547</v>
      </c>
      <c r="L106" s="6">
        <f t="shared" si="199"/>
        <v>180</v>
      </c>
      <c r="M106" s="41">
        <f t="shared" si="159"/>
        <v>192.89755456927503</v>
      </c>
      <c r="N106" s="41">
        <f t="shared" si="160"/>
        <v>109.46264517225482</v>
      </c>
      <c r="O106" s="41">
        <f t="shared" si="161"/>
        <v>1756688.0948151206</v>
      </c>
      <c r="P106" s="41">
        <f t="shared" si="162"/>
        <v>11279171.965623073</v>
      </c>
      <c r="Q106" s="41">
        <f t="shared" si="163"/>
        <v>2.9240838430518376E-3</v>
      </c>
      <c r="R106" s="41">
        <f t="shared" si="164"/>
        <v>2.277736369419613E-2</v>
      </c>
      <c r="S106" s="24">
        <f t="shared" ca="1" si="200"/>
        <v>2.5793863758293316E-15</v>
      </c>
      <c r="T106" s="10">
        <f t="shared" ca="1" si="165"/>
        <v>-3.4391818344391093E-15</v>
      </c>
      <c r="U106" s="41">
        <f t="shared" ca="1" si="166"/>
        <v>0.60183008357223966</v>
      </c>
      <c r="V106" s="41">
        <f t="shared" ca="1" si="167"/>
        <v>4.5652694159238054E-2</v>
      </c>
      <c r="W106" s="41">
        <f t="shared" ca="1" si="168"/>
        <v>13.18279445837385</v>
      </c>
      <c r="X106" s="20">
        <f t="shared" ca="1" si="169"/>
        <v>1149.3708722393333</v>
      </c>
      <c r="Y106" s="41">
        <f t="shared" si="170"/>
        <v>0.60053999049783546</v>
      </c>
      <c r="Z106" s="41">
        <f t="shared" ca="1" si="171"/>
        <v>163.03521512086783</v>
      </c>
      <c r="AA106" s="14">
        <f t="shared" ca="1" si="172"/>
        <v>1149.3708722393335</v>
      </c>
      <c r="AB106" s="14">
        <f t="shared" si="201"/>
        <v>5234.4042087224379</v>
      </c>
      <c r="AC106" s="25">
        <f t="shared" ca="1" si="173"/>
        <v>374205.59972610575</v>
      </c>
      <c r="AD106" s="41">
        <f t="shared" si="174"/>
        <v>1704187.4067311173</v>
      </c>
      <c r="AE106" s="5">
        <f t="shared" ca="1" si="175"/>
        <v>21.958007567013262</v>
      </c>
      <c r="AF106" s="7">
        <f t="shared" ca="1" si="176"/>
        <v>1149.3708722393335</v>
      </c>
      <c r="AG106" s="41">
        <f t="shared" ca="1" si="177"/>
        <v>4085.0333364831044</v>
      </c>
      <c r="AH106" s="41">
        <f t="shared" ca="1" si="178"/>
        <v>1329981.8070050115</v>
      </c>
      <c r="AI106" s="41">
        <f t="shared" ca="1" si="179"/>
        <v>887.86155948971373</v>
      </c>
      <c r="AJ106" s="13">
        <f t="shared" ca="1" si="180"/>
        <v>-1.9542611613640608E-14</v>
      </c>
      <c r="AK106" s="11"/>
      <c r="AL106" s="6">
        <v>0</v>
      </c>
      <c r="AM106" s="6">
        <v>720</v>
      </c>
      <c r="AN106" s="41">
        <f t="shared" ca="1" si="181"/>
        <v>177.57231189794277</v>
      </c>
      <c r="AO106" s="41">
        <f t="shared" ca="1" si="182"/>
        <v>38.57951091385501</v>
      </c>
      <c r="AP106" s="67">
        <f t="shared" si="202"/>
        <v>0.77247612666560972</v>
      </c>
      <c r="AQ106" s="11">
        <f t="shared" si="183"/>
        <v>1.0314301707183759</v>
      </c>
      <c r="AR106" s="11">
        <f t="shared" si="184"/>
        <v>0.8962407041850623</v>
      </c>
      <c r="AS106" s="11">
        <f t="shared" si="185"/>
        <v>0.86893008332386068</v>
      </c>
      <c r="AT106" s="11">
        <f t="shared" si="186"/>
        <v>534.97188664650002</v>
      </c>
      <c r="AU106" s="11">
        <f t="shared" si="187"/>
        <v>1896.6425030105124</v>
      </c>
      <c r="AV106" s="11">
        <f t="shared" si="188"/>
        <v>2.0653599150524844E-3</v>
      </c>
      <c r="AW106" s="11">
        <f t="shared" si="189"/>
        <v>3.8278171249107636E-7</v>
      </c>
      <c r="AX106" s="41">
        <f t="shared" ca="1" si="190"/>
        <v>1.1860452187287274</v>
      </c>
      <c r="AY106" s="41">
        <f t="shared" ca="1" si="191"/>
        <v>1.5976264734398884</v>
      </c>
      <c r="AZ106" s="41">
        <f t="shared" si="192"/>
        <v>0.21025417408998501</v>
      </c>
      <c r="BA106" s="167">
        <f t="shared" ca="1" si="203"/>
        <v>0.86821241409025651</v>
      </c>
    </row>
    <row r="107" spans="1:53" ht="14.5">
      <c r="A107" s="41">
        <f t="shared" ca="1" si="193"/>
        <v>7736.3926546203347</v>
      </c>
      <c r="B107" s="41">
        <f t="shared" ca="1" si="194"/>
        <v>128.93987757700557</v>
      </c>
      <c r="C107" s="41">
        <f t="shared" ca="1" si="194"/>
        <v>2.1489979596167594</v>
      </c>
      <c r="D107" s="41">
        <f t="shared" ca="1" si="195"/>
        <v>14974.347653275061</v>
      </c>
      <c r="E107" s="41">
        <f t="shared" ca="1" si="196"/>
        <v>467.05902103042291</v>
      </c>
      <c r="F107" s="41">
        <f t="shared" ca="1" si="197"/>
        <v>347.2155982246951</v>
      </c>
      <c r="G107" s="41"/>
      <c r="H107" s="7">
        <f t="shared" si="198"/>
        <v>3000</v>
      </c>
      <c r="I107" s="6">
        <v>15</v>
      </c>
      <c r="J107" s="41">
        <f t="shared" si="157"/>
        <v>0.28713835631100121</v>
      </c>
      <c r="K107" s="41">
        <f t="shared" si="158"/>
        <v>325.57428482334547</v>
      </c>
      <c r="L107" s="6">
        <f t="shared" si="199"/>
        <v>180</v>
      </c>
      <c r="M107" s="41">
        <f t="shared" si="159"/>
        <v>192.89755456927503</v>
      </c>
      <c r="N107" s="41">
        <f t="shared" si="160"/>
        <v>109.46264517225482</v>
      </c>
      <c r="O107" s="41">
        <f t="shared" si="161"/>
        <v>1756688.0948151206</v>
      </c>
      <c r="P107" s="41">
        <f t="shared" si="162"/>
        <v>11279171.965623073</v>
      </c>
      <c r="Q107" s="41">
        <f t="shared" si="163"/>
        <v>2.9240838430518376E-3</v>
      </c>
      <c r="R107" s="41">
        <f t="shared" si="164"/>
        <v>2.277736369419613E-2</v>
      </c>
      <c r="S107" s="24">
        <f t="shared" ca="1" si="200"/>
        <v>2.6099738586793035E-15</v>
      </c>
      <c r="T107" s="10">
        <f t="shared" ca="1" si="165"/>
        <v>-2.6099738586793042E-15</v>
      </c>
      <c r="U107" s="41">
        <f t="shared" ca="1" si="166"/>
        <v>0.5947769603010441</v>
      </c>
      <c r="V107" s="41">
        <f t="shared" ca="1" si="167"/>
        <v>4.5119662971789425E-2</v>
      </c>
      <c r="W107" s="41">
        <f t="shared" ca="1" si="168"/>
        <v>13.182211947658427</v>
      </c>
      <c r="X107" s="20">
        <f t="shared" ca="1" si="169"/>
        <v>1135.9510613797233</v>
      </c>
      <c r="Y107" s="41">
        <f t="shared" si="170"/>
        <v>0.60053999049783546</v>
      </c>
      <c r="Z107" s="41">
        <f t="shared" ca="1" si="171"/>
        <v>162.0770572766277</v>
      </c>
      <c r="AA107" s="14">
        <f t="shared" ca="1" si="172"/>
        <v>1135.9510613797233</v>
      </c>
      <c r="AB107" s="14">
        <f t="shared" si="201"/>
        <v>5234.4042087224379</v>
      </c>
      <c r="AC107" s="25">
        <f t="shared" ca="1" si="173"/>
        <v>369836.45440302364</v>
      </c>
      <c r="AD107" s="41">
        <f t="shared" si="174"/>
        <v>1704187.4067311173</v>
      </c>
      <c r="AE107" s="5">
        <f t="shared" ca="1" si="175"/>
        <v>21.701630521517849</v>
      </c>
      <c r="AF107" s="7">
        <f t="shared" ca="1" si="176"/>
        <v>1135.9510613797233</v>
      </c>
      <c r="AG107" s="41">
        <f t="shared" ca="1" si="177"/>
        <v>4098.4531473427141</v>
      </c>
      <c r="AH107" s="41">
        <f t="shared" ca="1" si="178"/>
        <v>1334350.9523280936</v>
      </c>
      <c r="AI107" s="41">
        <f t="shared" ca="1" si="179"/>
        <v>877.49507597629702</v>
      </c>
      <c r="AJ107" s="13">
        <f t="shared" ca="1" si="180"/>
        <v>-1.4830767286325531E-14</v>
      </c>
      <c r="AK107" s="11"/>
      <c r="AL107" s="6">
        <v>0</v>
      </c>
      <c r="AM107" s="6">
        <v>720</v>
      </c>
      <c r="AN107" s="41">
        <f t="shared" ca="1" si="181"/>
        <v>175.4990151952594</v>
      </c>
      <c r="AO107" s="41">
        <f t="shared" ca="1" si="182"/>
        <v>38.57951091385501</v>
      </c>
      <c r="AP107" s="67">
        <f t="shared" si="202"/>
        <v>0.77247612666560972</v>
      </c>
      <c r="AQ107" s="11">
        <f t="shared" si="183"/>
        <v>1.0314301707183759</v>
      </c>
      <c r="AR107" s="11">
        <f t="shared" si="184"/>
        <v>0.8962407041850623</v>
      </c>
      <c r="AS107" s="11">
        <f t="shared" si="185"/>
        <v>0.86893008332386068</v>
      </c>
      <c r="AT107" s="11">
        <f t="shared" si="186"/>
        <v>534.97188664650002</v>
      </c>
      <c r="AU107" s="11">
        <f t="shared" si="187"/>
        <v>1896.6425030105124</v>
      </c>
      <c r="AV107" s="11">
        <f t="shared" si="188"/>
        <v>2.0653599150524844E-3</v>
      </c>
      <c r="AW107" s="11">
        <f t="shared" si="189"/>
        <v>3.8278171249107636E-7</v>
      </c>
      <c r="AX107" s="41">
        <f t="shared" ca="1" si="190"/>
        <v>1.1944520445834643</v>
      </c>
      <c r="AY107" s="41">
        <f t="shared" ca="1" si="191"/>
        <v>1.6089506348892495</v>
      </c>
      <c r="AZ107" s="41">
        <f t="shared" si="192"/>
        <v>0.21025417408998501</v>
      </c>
      <c r="BA107" s="167">
        <f t="shared" ca="1" si="203"/>
        <v>0.87202671940452348</v>
      </c>
    </row>
    <row r="108" spans="1:53" ht="14.5">
      <c r="A108" s="41">
        <f t="shared" ca="1" si="193"/>
        <v>8456.3926546203347</v>
      </c>
      <c r="B108" s="41">
        <f t="shared" ca="1" si="194"/>
        <v>140.93987757700557</v>
      </c>
      <c r="C108" s="41">
        <f t="shared" ca="1" si="194"/>
        <v>2.3489979596167596</v>
      </c>
      <c r="D108" s="41">
        <f t="shared" ca="1" si="195"/>
        <v>14798.848638079802</v>
      </c>
      <c r="E108" s="41">
        <f t="shared" ca="1" si="196"/>
        <v>505.63853194427793</v>
      </c>
      <c r="F108" s="41">
        <f t="shared" ca="1" si="197"/>
        <v>385.79510913855012</v>
      </c>
      <c r="G108" s="41"/>
      <c r="H108" s="7">
        <f t="shared" si="198"/>
        <v>3000</v>
      </c>
      <c r="I108" s="6">
        <v>15</v>
      </c>
      <c r="J108" s="41">
        <f t="shared" si="157"/>
        <v>0.28713835631100121</v>
      </c>
      <c r="K108" s="41">
        <f t="shared" si="158"/>
        <v>325.57428482334547</v>
      </c>
      <c r="L108" s="6">
        <f t="shared" si="199"/>
        <v>180</v>
      </c>
      <c r="M108" s="41">
        <f t="shared" si="159"/>
        <v>192.89755456927503</v>
      </c>
      <c r="N108" s="41">
        <f t="shared" si="160"/>
        <v>109.46264517225482</v>
      </c>
      <c r="O108" s="41">
        <f t="shared" si="161"/>
        <v>1756688.0948151206</v>
      </c>
      <c r="P108" s="41">
        <f t="shared" si="162"/>
        <v>11279171.965623073</v>
      </c>
      <c r="Q108" s="41">
        <f t="shared" si="163"/>
        <v>2.9240838430518376E-3</v>
      </c>
      <c r="R108" s="41">
        <f t="shared" si="164"/>
        <v>2.277736369419613E-2</v>
      </c>
      <c r="S108" s="24">
        <f t="shared" ca="1" si="200"/>
        <v>1.760616963370054E-15</v>
      </c>
      <c r="T108" s="10">
        <f t="shared" ca="1" si="165"/>
        <v>-3.5212339267401095E-15</v>
      </c>
      <c r="U108" s="41">
        <f t="shared" ca="1" si="166"/>
        <v>0.58780618780326299</v>
      </c>
      <c r="V108" s="41">
        <f t="shared" ca="1" si="167"/>
        <v>4.4599029379837743E-2</v>
      </c>
      <c r="W108" s="41">
        <f t="shared" ca="1" si="168"/>
        <v>13.179797766383622</v>
      </c>
      <c r="X108" s="20">
        <f t="shared" ca="1" si="169"/>
        <v>1122.8433774473936</v>
      </c>
      <c r="Y108" s="41">
        <f t="shared" si="170"/>
        <v>0.60053999049783546</v>
      </c>
      <c r="Z108" s="41">
        <f t="shared" ca="1" si="171"/>
        <v>161.1244883095944</v>
      </c>
      <c r="AA108" s="14">
        <f t="shared" ca="1" si="172"/>
        <v>1122.8433774473938</v>
      </c>
      <c r="AB108" s="14">
        <f t="shared" si="201"/>
        <v>5234.4042087224379</v>
      </c>
      <c r="AC108" s="25">
        <f t="shared" ca="1" si="173"/>
        <v>365568.92958106496</v>
      </c>
      <c r="AD108" s="41">
        <f t="shared" si="174"/>
        <v>1704187.4067311173</v>
      </c>
      <c r="AE108" s="5">
        <f t="shared" ca="1" si="175"/>
        <v>21.451216464642236</v>
      </c>
      <c r="AF108" s="7">
        <f t="shared" ca="1" si="176"/>
        <v>1122.8433774473938</v>
      </c>
      <c r="AG108" s="41">
        <f t="shared" ca="1" si="177"/>
        <v>4111.5608312750446</v>
      </c>
      <c r="AH108" s="41">
        <f t="shared" ca="1" si="178"/>
        <v>1338618.4771500523</v>
      </c>
      <c r="AI108" s="41">
        <f t="shared" ca="1" si="179"/>
        <v>867.36970306269393</v>
      </c>
      <c r="AJ108" s="13">
        <f t="shared" ca="1" si="180"/>
        <v>-2.0008859764833974E-14</v>
      </c>
      <c r="AK108" s="11"/>
      <c r="AL108" s="6">
        <v>0</v>
      </c>
      <c r="AM108" s="6">
        <v>720</v>
      </c>
      <c r="AN108" s="41">
        <f t="shared" ca="1" si="181"/>
        <v>173.4739406125388</v>
      </c>
      <c r="AO108" s="41">
        <f t="shared" ca="1" si="182"/>
        <v>38.57951091385501</v>
      </c>
      <c r="AP108" s="67">
        <f t="shared" si="202"/>
        <v>0.77247612666560972</v>
      </c>
      <c r="AQ108" s="11">
        <f t="shared" si="183"/>
        <v>1.0314301707183759</v>
      </c>
      <c r="AR108" s="11">
        <f t="shared" si="184"/>
        <v>0.8962407041850623</v>
      </c>
      <c r="AS108" s="11">
        <f t="shared" si="185"/>
        <v>0.86893008332386068</v>
      </c>
      <c r="AT108" s="11">
        <f t="shared" si="186"/>
        <v>534.97188664650002</v>
      </c>
      <c r="AU108" s="11">
        <f t="shared" si="187"/>
        <v>1896.6425030105124</v>
      </c>
      <c r="AV108" s="11">
        <f t="shared" si="188"/>
        <v>2.0653599150524844E-3</v>
      </c>
      <c r="AW108" s="11">
        <f t="shared" si="189"/>
        <v>3.8278171249107636E-7</v>
      </c>
      <c r="AX108" s="41">
        <f t="shared" ca="1" si="190"/>
        <v>1.203042651257864</v>
      </c>
      <c r="AY108" s="41">
        <f t="shared" ca="1" si="191"/>
        <v>1.6205223527539705</v>
      </c>
      <c r="AZ108" s="41">
        <f t="shared" si="192"/>
        <v>0.21025417408998501</v>
      </c>
      <c r="BA108" s="167">
        <f t="shared" ca="1" si="203"/>
        <v>0.87586644403368596</v>
      </c>
    </row>
    <row r="109" spans="1:53" ht="14.5">
      <c r="A109" s="41">
        <f t="shared" ca="1" si="193"/>
        <v>9176.3926546203347</v>
      </c>
      <c r="B109" s="41">
        <f t="shared" ca="1" si="194"/>
        <v>152.93987757700557</v>
      </c>
      <c r="C109" s="41">
        <f t="shared" ca="1" si="194"/>
        <v>2.5489979596167598</v>
      </c>
      <c r="D109" s="41">
        <f t="shared" ca="1" si="195"/>
        <v>14625.374697467263</v>
      </c>
      <c r="E109" s="41">
        <f t="shared" ca="1" si="196"/>
        <v>544.21804285813289</v>
      </c>
      <c r="F109" s="41">
        <f t="shared" ca="1" si="197"/>
        <v>424.37462005240513</v>
      </c>
      <c r="G109" s="41"/>
      <c r="H109" s="7">
        <f t="shared" si="198"/>
        <v>3000</v>
      </c>
      <c r="I109" s="6">
        <v>15</v>
      </c>
      <c r="J109" s="41">
        <f t="shared" si="157"/>
        <v>0.28713835631100121</v>
      </c>
      <c r="K109" s="41">
        <f t="shared" si="158"/>
        <v>325.57428482334547</v>
      </c>
      <c r="L109" s="6">
        <f t="shared" si="199"/>
        <v>180</v>
      </c>
      <c r="M109" s="41">
        <f t="shared" si="159"/>
        <v>192.89755456927503</v>
      </c>
      <c r="N109" s="41">
        <f t="shared" si="160"/>
        <v>109.46264517225482</v>
      </c>
      <c r="O109" s="41">
        <f t="shared" si="161"/>
        <v>1756688.0948151206</v>
      </c>
      <c r="P109" s="41">
        <f t="shared" si="162"/>
        <v>11279171.965623073</v>
      </c>
      <c r="Q109" s="41">
        <f t="shared" si="163"/>
        <v>2.9240838430518376E-3</v>
      </c>
      <c r="R109" s="41">
        <f t="shared" si="164"/>
        <v>2.277736369419613E-2</v>
      </c>
      <c r="S109" s="24">
        <f t="shared" ca="1" si="200"/>
        <v>8.9074996331756177E-16</v>
      </c>
      <c r="T109" s="10">
        <f t="shared" ca="1" si="165"/>
        <v>-1.7814999266351239E-15</v>
      </c>
      <c r="U109" s="41">
        <f t="shared" ca="1" si="166"/>
        <v>0.5809158507095864</v>
      </c>
      <c r="V109" s="41">
        <f t="shared" ca="1" si="167"/>
        <v>4.4090435308034817E-2</v>
      </c>
      <c r="W109" s="41">
        <f t="shared" ca="1" si="168"/>
        <v>13.175552626120778</v>
      </c>
      <c r="X109" s="20">
        <f t="shared" ca="1" si="169"/>
        <v>1110.038805391144</v>
      </c>
      <c r="Y109" s="41">
        <f t="shared" si="170"/>
        <v>0.60053999049783546</v>
      </c>
      <c r="Z109" s="41">
        <f t="shared" ca="1" si="171"/>
        <v>160.17734386568927</v>
      </c>
      <c r="AA109" s="14">
        <f t="shared" ca="1" si="172"/>
        <v>1110.0388053911443</v>
      </c>
      <c r="AB109" s="14">
        <f t="shared" si="201"/>
        <v>5234.4042087224379</v>
      </c>
      <c r="AC109" s="25">
        <f t="shared" ca="1" si="173"/>
        <v>361400.09019138257</v>
      </c>
      <c r="AD109" s="41">
        <f t="shared" si="174"/>
        <v>1704187.4067311173</v>
      </c>
      <c r="AE109" s="5">
        <f t="shared" ca="1" si="175"/>
        <v>21.206593169503655</v>
      </c>
      <c r="AF109" s="7">
        <f t="shared" ca="1" si="176"/>
        <v>1110.0388053911443</v>
      </c>
      <c r="AG109" s="41">
        <f t="shared" ca="1" si="177"/>
        <v>4124.3654033312941</v>
      </c>
      <c r="AH109" s="41">
        <f t="shared" ca="1" si="178"/>
        <v>1342787.3165397346</v>
      </c>
      <c r="AI109" s="41">
        <f t="shared" ca="1" si="179"/>
        <v>857.47847683707164</v>
      </c>
      <c r="AJ109" s="13">
        <f t="shared" ca="1" si="180"/>
        <v>-1.0123094047348449E-14</v>
      </c>
      <c r="AK109" s="11"/>
      <c r="AL109" s="6">
        <v>0</v>
      </c>
      <c r="AM109" s="6">
        <v>720</v>
      </c>
      <c r="AN109" s="41">
        <f t="shared" ca="1" si="181"/>
        <v>171.49569536741433</v>
      </c>
      <c r="AO109" s="41">
        <f t="shared" ca="1" si="182"/>
        <v>38.57951091385501</v>
      </c>
      <c r="AP109" s="67">
        <f t="shared" si="202"/>
        <v>0.77247612666560972</v>
      </c>
      <c r="AQ109" s="11">
        <f t="shared" si="183"/>
        <v>1.0314301707183759</v>
      </c>
      <c r="AR109" s="11">
        <f t="shared" si="184"/>
        <v>0.8962407041850623</v>
      </c>
      <c r="AS109" s="11">
        <f t="shared" si="185"/>
        <v>0.86893008332386068</v>
      </c>
      <c r="AT109" s="11">
        <f t="shared" si="186"/>
        <v>534.97188664650002</v>
      </c>
      <c r="AU109" s="11">
        <f t="shared" si="187"/>
        <v>1896.6425030105124</v>
      </c>
      <c r="AV109" s="11">
        <f t="shared" si="188"/>
        <v>2.0653599150524844E-3</v>
      </c>
      <c r="AW109" s="11">
        <f t="shared" si="189"/>
        <v>3.8278171249107636E-7</v>
      </c>
      <c r="AX109" s="41">
        <f t="shared" ca="1" si="190"/>
        <v>1.2118188664413005</v>
      </c>
      <c r="AY109" s="41">
        <f t="shared" ca="1" si="191"/>
        <v>1.6323440889679506</v>
      </c>
      <c r="AZ109" s="41">
        <f t="shared" si="192"/>
        <v>0.21025417408998501</v>
      </c>
      <c r="BA109" s="167">
        <f t="shared" ca="1" si="203"/>
        <v>0.87972932553045213</v>
      </c>
    </row>
    <row r="110" spans="1:53" ht="14.5">
      <c r="A110" s="41">
        <f t="shared" ca="1" si="193"/>
        <v>9896.3926546203347</v>
      </c>
      <c r="B110" s="41">
        <f t="shared" ca="1" si="194"/>
        <v>164.93987757700557</v>
      </c>
      <c r="C110" s="41">
        <f t="shared" ca="1" si="194"/>
        <v>2.7489979596167595</v>
      </c>
      <c r="D110" s="41">
        <f t="shared" ca="1" si="195"/>
        <v>14453.879002099849</v>
      </c>
      <c r="E110" s="41">
        <f t="shared" ca="1" si="196"/>
        <v>582.79755377198785</v>
      </c>
      <c r="F110" s="41">
        <f t="shared" ca="1" si="197"/>
        <v>462.95413096626015</v>
      </c>
      <c r="G110" s="41"/>
      <c r="H110" s="7">
        <f t="shared" si="198"/>
        <v>3000</v>
      </c>
      <c r="I110" s="6">
        <v>15</v>
      </c>
      <c r="J110" s="41">
        <f t="shared" si="157"/>
        <v>0.28713835631100121</v>
      </c>
      <c r="K110" s="41">
        <f t="shared" si="158"/>
        <v>325.57428482334547</v>
      </c>
      <c r="L110" s="6">
        <f t="shared" si="199"/>
        <v>180</v>
      </c>
      <c r="M110" s="41">
        <f t="shared" si="159"/>
        <v>192.89755456927503</v>
      </c>
      <c r="N110" s="41">
        <f t="shared" si="160"/>
        <v>109.46264517225482</v>
      </c>
      <c r="O110" s="41">
        <f t="shared" si="161"/>
        <v>1756688.0948151206</v>
      </c>
      <c r="P110" s="41">
        <f t="shared" si="162"/>
        <v>11279171.965623073</v>
      </c>
      <c r="Q110" s="41">
        <f t="shared" si="163"/>
        <v>2.9240838430518376E-3</v>
      </c>
      <c r="R110" s="41">
        <f t="shared" si="164"/>
        <v>2.277736369419613E-2</v>
      </c>
      <c r="S110" s="24">
        <f t="shared" ca="1" si="200"/>
        <v>1.802637475155552E-15</v>
      </c>
      <c r="T110" s="10">
        <f t="shared" ca="1" si="165"/>
        <v>-2.7039562127333286E-15</v>
      </c>
      <c r="U110" s="41">
        <f t="shared" ca="1" si="166"/>
        <v>0.57410408897163612</v>
      </c>
      <c r="V110" s="41">
        <f t="shared" ca="1" si="167"/>
        <v>4.3593535851923874E-2</v>
      </c>
      <c r="W110" s="41">
        <f t="shared" ca="1" si="168"/>
        <v>13.169477486793484</v>
      </c>
      <c r="X110" s="20">
        <f t="shared" ca="1" si="169"/>
        <v>1097.5286617555157</v>
      </c>
      <c r="Y110" s="41">
        <f t="shared" si="170"/>
        <v>0.60053999049783546</v>
      </c>
      <c r="Z110" s="41">
        <f t="shared" ca="1" si="171"/>
        <v>159.23546278672956</v>
      </c>
      <c r="AA110" s="14">
        <f t="shared" ca="1" si="172"/>
        <v>1097.5286617555159</v>
      </c>
      <c r="AB110" s="14">
        <f t="shared" si="201"/>
        <v>5234.4042087224379</v>
      </c>
      <c r="AC110" s="25">
        <f t="shared" ca="1" si="173"/>
        <v>357327.10912417551</v>
      </c>
      <c r="AD110" s="41">
        <f t="shared" si="174"/>
        <v>1704187.4067311173</v>
      </c>
      <c r="AE110" s="5">
        <f t="shared" ca="1" si="175"/>
        <v>20.967594744147394</v>
      </c>
      <c r="AF110" s="7">
        <f t="shared" ca="1" si="176"/>
        <v>1097.5286617555159</v>
      </c>
      <c r="AG110" s="41">
        <f t="shared" ca="1" si="177"/>
        <v>4136.8755469669222</v>
      </c>
      <c r="AH110" s="41">
        <f t="shared" ca="1" si="178"/>
        <v>1346860.2976069418</v>
      </c>
      <c r="AI110" s="41">
        <f t="shared" ca="1" si="179"/>
        <v>847.81468953739102</v>
      </c>
      <c r="AJ110" s="13">
        <f t="shared" ca="1" si="180"/>
        <v>-1.5364807279623239E-14</v>
      </c>
      <c r="AK110" s="11"/>
      <c r="AL110" s="6">
        <v>0</v>
      </c>
      <c r="AM110" s="6">
        <v>720</v>
      </c>
      <c r="AN110" s="41">
        <f t="shared" ca="1" si="181"/>
        <v>169.56293790747822</v>
      </c>
      <c r="AO110" s="41">
        <f t="shared" ca="1" si="182"/>
        <v>38.57951091385501</v>
      </c>
      <c r="AP110" s="67">
        <f t="shared" si="202"/>
        <v>0.77247612666560972</v>
      </c>
      <c r="AQ110" s="11">
        <f t="shared" si="183"/>
        <v>1.0314301707183759</v>
      </c>
      <c r="AR110" s="11">
        <f t="shared" si="184"/>
        <v>0.8962407041850623</v>
      </c>
      <c r="AS110" s="11">
        <f t="shared" si="185"/>
        <v>0.86893008332386068</v>
      </c>
      <c r="AT110" s="11">
        <f t="shared" si="186"/>
        <v>534.97188664650002</v>
      </c>
      <c r="AU110" s="11">
        <f t="shared" si="187"/>
        <v>1896.6425030105124</v>
      </c>
      <c r="AV110" s="11">
        <f t="shared" si="188"/>
        <v>2.0653599150524844E-3</v>
      </c>
      <c r="AW110" s="11">
        <f t="shared" si="189"/>
        <v>3.8278171249107636E-7</v>
      </c>
      <c r="AX110" s="41">
        <f t="shared" ca="1" si="190"/>
        <v>1.220782671289409</v>
      </c>
      <c r="AY110" s="41">
        <f t="shared" ca="1" si="191"/>
        <v>1.6444185121871908</v>
      </c>
      <c r="AZ110" s="41">
        <f t="shared" si="192"/>
        <v>0.21025417408998501</v>
      </c>
      <c r="BA110" s="167">
        <f t="shared" ca="1" si="203"/>
        <v>0.88361312160089622</v>
      </c>
    </row>
    <row r="111" spans="1:53" ht="14.5">
      <c r="A111" s="41">
        <f t="shared" ca="1" si="193"/>
        <v>10616.392654620335</v>
      </c>
      <c r="B111" s="41">
        <f t="shared" ca="1" si="194"/>
        <v>176.93987757700557</v>
      </c>
      <c r="C111" s="41">
        <f t="shared" ca="1" si="194"/>
        <v>2.9489979596167597</v>
      </c>
      <c r="D111" s="41">
        <f t="shared" ca="1" si="195"/>
        <v>14284.316064192371</v>
      </c>
      <c r="E111" s="41">
        <f t="shared" ca="1" si="196"/>
        <v>621.37706468584281</v>
      </c>
      <c r="F111" s="41">
        <f t="shared" ca="1" si="197"/>
        <v>501.53364188011517</v>
      </c>
      <c r="G111" s="41"/>
      <c r="H111" s="7">
        <f t="shared" si="198"/>
        <v>3000</v>
      </c>
      <c r="I111" s="6">
        <v>15</v>
      </c>
      <c r="J111" s="41">
        <f t="shared" si="157"/>
        <v>0.28713835631100121</v>
      </c>
      <c r="K111" s="41">
        <f t="shared" si="158"/>
        <v>325.57428482334547</v>
      </c>
      <c r="L111" s="6">
        <f t="shared" si="199"/>
        <v>180</v>
      </c>
      <c r="M111" s="41">
        <f t="shared" si="159"/>
        <v>192.89755456927503</v>
      </c>
      <c r="N111" s="41">
        <f t="shared" si="160"/>
        <v>109.46264517225482</v>
      </c>
      <c r="O111" s="41">
        <f t="shared" si="161"/>
        <v>1756688.0948151206</v>
      </c>
      <c r="P111" s="41">
        <f t="shared" si="162"/>
        <v>11279171.965623073</v>
      </c>
      <c r="Q111" s="41">
        <f t="shared" si="163"/>
        <v>2.9240838430518376E-3</v>
      </c>
      <c r="R111" s="41">
        <f t="shared" si="164"/>
        <v>2.277736369419613E-2</v>
      </c>
      <c r="S111" s="24">
        <f t="shared" ca="1" si="200"/>
        <v>2.7360537074501788E-15</v>
      </c>
      <c r="T111" s="10">
        <f t="shared" ca="1" si="165"/>
        <v>-1.8240358049667861E-15</v>
      </c>
      <c r="U111" s="41">
        <f t="shared" ca="1" si="166"/>
        <v>0.56736909582712569</v>
      </c>
      <c r="V111" s="41">
        <f t="shared" ca="1" si="167"/>
        <v>4.3107998704507093E-2</v>
      </c>
      <c r="W111" s="41">
        <f t="shared" ca="1" si="168"/>
        <v>13.161573556598563</v>
      </c>
      <c r="X111" s="20">
        <f t="shared" ca="1" si="169"/>
        <v>1085.3045802438205</v>
      </c>
      <c r="Y111" s="41">
        <f t="shared" si="170"/>
        <v>0.60053999049783546</v>
      </c>
      <c r="Z111" s="41">
        <f t="shared" ca="1" si="171"/>
        <v>158.29868697659398</v>
      </c>
      <c r="AA111" s="14">
        <f t="shared" ca="1" si="172"/>
        <v>1085.3045802438205</v>
      </c>
      <c r="AB111" s="14">
        <f t="shared" si="201"/>
        <v>5234.4042087224379</v>
      </c>
      <c r="AC111" s="25">
        <f t="shared" ca="1" si="173"/>
        <v>353347.262528383</v>
      </c>
      <c r="AD111" s="41">
        <f t="shared" si="174"/>
        <v>1704187.4067311173</v>
      </c>
      <c r="AE111" s="5">
        <f t="shared" ca="1" si="175"/>
        <v>20.73406135573758</v>
      </c>
      <c r="AF111" s="7">
        <f t="shared" ca="1" si="176"/>
        <v>1085.3045802438205</v>
      </c>
      <c r="AG111" s="41">
        <f t="shared" ca="1" si="177"/>
        <v>4149.0996284786179</v>
      </c>
      <c r="AH111" s="41">
        <f t="shared" ca="1" si="178"/>
        <v>1350840.1442027343</v>
      </c>
      <c r="AI111" s="41">
        <f t="shared" ca="1" si="179"/>
        <v>838.37187839919193</v>
      </c>
      <c r="AJ111" s="13">
        <f t="shared" ca="1" si="180"/>
        <v>-1.0364797507618185E-14</v>
      </c>
      <c r="AK111" s="11"/>
      <c r="AL111" s="6">
        <v>0</v>
      </c>
      <c r="AM111" s="6">
        <v>720</v>
      </c>
      <c r="AN111" s="41">
        <f t="shared" ca="1" si="181"/>
        <v>167.67437567983839</v>
      </c>
      <c r="AO111" s="41">
        <f t="shared" ca="1" si="182"/>
        <v>38.57951091385501</v>
      </c>
      <c r="AP111" s="67">
        <f t="shared" si="202"/>
        <v>0.77247612666560972</v>
      </c>
      <c r="AQ111" s="11">
        <f t="shared" si="183"/>
        <v>1.0314301707183759</v>
      </c>
      <c r="AR111" s="11">
        <f t="shared" si="184"/>
        <v>0.8962407041850623</v>
      </c>
      <c r="AS111" s="11">
        <f t="shared" si="185"/>
        <v>0.86893008332386068</v>
      </c>
      <c r="AT111" s="11">
        <f t="shared" si="186"/>
        <v>534.97188664650002</v>
      </c>
      <c r="AU111" s="11">
        <f t="shared" si="187"/>
        <v>1896.6425030105124</v>
      </c>
      <c r="AV111" s="11">
        <f t="shared" si="188"/>
        <v>2.0653599150524844E-3</v>
      </c>
      <c r="AW111" s="11">
        <f t="shared" si="189"/>
        <v>3.8278171249107636E-7</v>
      </c>
      <c r="AX111" s="41">
        <f t="shared" ca="1" si="190"/>
        <v>1.2299362016594424</v>
      </c>
      <c r="AY111" s="41">
        <f t="shared" ca="1" si="191"/>
        <v>1.6567484994538451</v>
      </c>
      <c r="AZ111" s="41">
        <f t="shared" si="192"/>
        <v>0.21025417408998501</v>
      </c>
      <c r="BA111" s="167">
        <f t="shared" ca="1" si="203"/>
        <v>0.88751561565228065</v>
      </c>
    </row>
    <row r="112" spans="1:53" ht="14.5">
      <c r="A112" s="41">
        <f t="shared" ca="1" si="193"/>
        <v>11336.392654620335</v>
      </c>
      <c r="B112" s="41">
        <f t="shared" ca="1" si="194"/>
        <v>188.93987757700557</v>
      </c>
      <c r="C112" s="41">
        <f t="shared" ca="1" si="194"/>
        <v>3.1489979596167594</v>
      </c>
      <c r="D112" s="41">
        <f t="shared" ca="1" si="195"/>
        <v>14116.641688512533</v>
      </c>
      <c r="E112" s="41">
        <f t="shared" ca="1" si="196"/>
        <v>659.95657559969777</v>
      </c>
      <c r="F112" s="41">
        <f t="shared" ca="1" si="197"/>
        <v>540.11315279397013</v>
      </c>
      <c r="G112" s="41"/>
      <c r="H112" s="7">
        <f t="shared" si="198"/>
        <v>3000</v>
      </c>
      <c r="I112" s="6">
        <v>15</v>
      </c>
      <c r="J112" s="41">
        <f t="shared" si="157"/>
        <v>0.28713835631100121</v>
      </c>
      <c r="K112" s="41">
        <f t="shared" si="158"/>
        <v>325.57428482334547</v>
      </c>
      <c r="L112" s="6">
        <f t="shared" si="199"/>
        <v>180</v>
      </c>
      <c r="M112" s="41">
        <f t="shared" si="159"/>
        <v>192.89755456927503</v>
      </c>
      <c r="N112" s="41">
        <f t="shared" si="160"/>
        <v>109.46264517225482</v>
      </c>
      <c r="O112" s="41">
        <f t="shared" si="161"/>
        <v>1756688.0948151206</v>
      </c>
      <c r="P112" s="41">
        <f t="shared" si="162"/>
        <v>11279171.965623073</v>
      </c>
      <c r="Q112" s="41">
        <f t="shared" si="163"/>
        <v>2.9240838430518376E-3</v>
      </c>
      <c r="R112" s="41">
        <f t="shared" si="164"/>
        <v>2.277736369419613E-2</v>
      </c>
      <c r="S112" s="24">
        <f t="shared" ca="1" si="200"/>
        <v>3.6914026048775549E-15</v>
      </c>
      <c r="T112" s="10">
        <f t="shared" ca="1" si="165"/>
        <v>-3.6914026048775557E-15</v>
      </c>
      <c r="U112" s="41">
        <f t="shared" ca="1" si="166"/>
        <v>0.56070911585361294</v>
      </c>
      <c r="V112" s="41">
        <f t="shared" ca="1" si="167"/>
        <v>4.2633503611838638E-2</v>
      </c>
      <c r="W112" s="41">
        <f t="shared" ca="1" si="168"/>
        <v>13.151842291889729</v>
      </c>
      <c r="X112" s="20">
        <f t="shared" ca="1" si="169"/>
        <v>1073.3584980119294</v>
      </c>
      <c r="Y112" s="41">
        <f t="shared" si="170"/>
        <v>0.60053999049783546</v>
      </c>
      <c r="Z112" s="41">
        <f t="shared" ca="1" si="171"/>
        <v>157.36686127184376</v>
      </c>
      <c r="AA112" s="14">
        <f t="shared" ca="1" si="172"/>
        <v>1073.3584980119297</v>
      </c>
      <c r="AB112" s="14">
        <f t="shared" si="201"/>
        <v>5234.4042087224379</v>
      </c>
      <c r="AC112" s="25">
        <f t="shared" ca="1" si="173"/>
        <v>349457.92534929427</v>
      </c>
      <c r="AD112" s="41">
        <f t="shared" si="174"/>
        <v>1704187.4067311173</v>
      </c>
      <c r="AE112" s="5">
        <f t="shared" ca="1" si="175"/>
        <v>20.505838968708616</v>
      </c>
      <c r="AF112" s="7">
        <f t="shared" ca="1" si="176"/>
        <v>1073.3584980119297</v>
      </c>
      <c r="AG112" s="41">
        <f t="shared" ca="1" si="177"/>
        <v>4161.0457107105085</v>
      </c>
      <c r="AH112" s="41">
        <f t="shared" ca="1" si="178"/>
        <v>1354729.4813818231</v>
      </c>
      <c r="AI112" s="41">
        <f t="shared" ca="1" si="179"/>
        <v>829.14381506787197</v>
      </c>
      <c r="AJ112" s="13">
        <f t="shared" ca="1" si="180"/>
        <v>-2.0975816601005178E-14</v>
      </c>
      <c r="AK112" s="11"/>
      <c r="AL112" s="6">
        <v>0</v>
      </c>
      <c r="AM112" s="6">
        <v>720</v>
      </c>
      <c r="AN112" s="41">
        <f t="shared" ca="1" si="181"/>
        <v>165.82876301357442</v>
      </c>
      <c r="AO112" s="41">
        <f t="shared" ca="1" si="182"/>
        <v>38.57951091385501</v>
      </c>
      <c r="AP112" s="67">
        <f t="shared" si="202"/>
        <v>0.77247612666560972</v>
      </c>
      <c r="AQ112" s="11">
        <f t="shared" si="183"/>
        <v>1.0314301707183759</v>
      </c>
      <c r="AR112" s="11">
        <f t="shared" si="184"/>
        <v>0.8962407041850623</v>
      </c>
      <c r="AS112" s="11">
        <f t="shared" si="185"/>
        <v>0.86893008332386068</v>
      </c>
      <c r="AT112" s="11">
        <f t="shared" si="186"/>
        <v>534.97188664650002</v>
      </c>
      <c r="AU112" s="11">
        <f t="shared" si="187"/>
        <v>1896.6425030105124</v>
      </c>
      <c r="AV112" s="11">
        <f t="shared" si="188"/>
        <v>2.0653599150524844E-3</v>
      </c>
      <c r="AW112" s="11">
        <f t="shared" si="189"/>
        <v>3.8278171249107636E-7</v>
      </c>
      <c r="AX112" s="41">
        <f t="shared" ca="1" si="190"/>
        <v>1.2392817496719595</v>
      </c>
      <c r="AY112" s="41">
        <f t="shared" ca="1" si="191"/>
        <v>1.6693371382998448</v>
      </c>
      <c r="AZ112" s="41">
        <f t="shared" si="192"/>
        <v>0.21025417408998501</v>
      </c>
      <c r="BA112" s="167">
        <f t="shared" ca="1" si="203"/>
        <v>0.89143462165156551</v>
      </c>
    </row>
    <row r="113" spans="1:53" ht="14.5">
      <c r="A113" s="41">
        <f t="shared" ca="1" si="193"/>
        <v>12056.392654620335</v>
      </c>
      <c r="B113" s="41">
        <f t="shared" ca="1" si="194"/>
        <v>200.93987757700557</v>
      </c>
      <c r="C113" s="41">
        <f t="shared" ca="1" si="194"/>
        <v>3.3489979596167596</v>
      </c>
      <c r="D113" s="41">
        <f t="shared" ca="1" si="195"/>
        <v>13950.812925498958</v>
      </c>
      <c r="E113" s="41">
        <f t="shared" ca="1" si="196"/>
        <v>698.53608651355273</v>
      </c>
      <c r="F113" s="41">
        <f t="shared" ca="1" si="197"/>
        <v>578.69266370782509</v>
      </c>
      <c r="G113" s="41"/>
      <c r="H113" s="7">
        <f t="shared" si="198"/>
        <v>3000</v>
      </c>
      <c r="I113" s="6">
        <v>15</v>
      </c>
      <c r="J113" s="41">
        <f t="shared" si="157"/>
        <v>0.28713835631100121</v>
      </c>
      <c r="K113" s="41">
        <f t="shared" si="158"/>
        <v>325.57428482334547</v>
      </c>
      <c r="L113" s="6">
        <f t="shared" si="199"/>
        <v>180</v>
      </c>
      <c r="M113" s="41">
        <f t="shared" si="159"/>
        <v>192.89755456927503</v>
      </c>
      <c r="N113" s="41">
        <f t="shared" si="160"/>
        <v>109.46264517225482</v>
      </c>
      <c r="O113" s="41">
        <f t="shared" si="161"/>
        <v>1756688.0948151206</v>
      </c>
      <c r="P113" s="41">
        <f t="shared" si="162"/>
        <v>11279171.965623073</v>
      </c>
      <c r="Q113" s="41">
        <f t="shared" si="163"/>
        <v>2.9240838430518376E-3</v>
      </c>
      <c r="R113" s="41">
        <f t="shared" si="164"/>
        <v>2.277736369419613E-2</v>
      </c>
      <c r="S113" s="24">
        <f t="shared" ca="1" si="200"/>
        <v>1.8676405518223409E-15</v>
      </c>
      <c r="T113" s="10">
        <f t="shared" ca="1" si="165"/>
        <v>-2.8014608277335125E-15</v>
      </c>
      <c r="U113" s="41">
        <f t="shared" ca="1" si="166"/>
        <v>0.55412244310636138</v>
      </c>
      <c r="V113" s="41">
        <f t="shared" ca="1" si="167"/>
        <v>4.2169741855976106E-2</v>
      </c>
      <c r="W113" s="41">
        <f t="shared" ca="1" si="168"/>
        <v>13.140285397024162</v>
      </c>
      <c r="X113" s="20">
        <f t="shared" ca="1" si="169"/>
        <v>1061.6826426508476</v>
      </c>
      <c r="Y113" s="41">
        <f t="shared" si="170"/>
        <v>0.60053999049783546</v>
      </c>
      <c r="Z113" s="41">
        <f t="shared" ca="1" si="171"/>
        <v>156.43983331655025</v>
      </c>
      <c r="AA113" s="14">
        <f t="shared" ca="1" si="172"/>
        <v>1061.6826426508478</v>
      </c>
      <c r="AB113" s="14">
        <f t="shared" si="201"/>
        <v>5234.4042087224379</v>
      </c>
      <c r="AC113" s="25">
        <f t="shared" ca="1" si="173"/>
        <v>345656.56709040923</v>
      </c>
      <c r="AD113" s="41">
        <f t="shared" si="174"/>
        <v>1704187.4067311173</v>
      </c>
      <c r="AE113" s="5">
        <f t="shared" ca="1" si="175"/>
        <v>20.282779096075444</v>
      </c>
      <c r="AF113" s="7">
        <f t="shared" ca="1" si="176"/>
        <v>1061.6826426508478</v>
      </c>
      <c r="AG113" s="41">
        <f t="shared" ca="1" si="177"/>
        <v>4172.7215660715901</v>
      </c>
      <c r="AH113" s="41">
        <f t="shared" ca="1" si="178"/>
        <v>1358530.8396407082</v>
      </c>
      <c r="AI113" s="41">
        <f t="shared" ca="1" si="179"/>
        <v>820.12449554303555</v>
      </c>
      <c r="AJ113" s="13">
        <f t="shared" ca="1" si="180"/>
        <v>-1.5918861968562624E-14</v>
      </c>
      <c r="AK113" s="11"/>
      <c r="AL113" s="6">
        <v>0</v>
      </c>
      <c r="AM113" s="6">
        <v>720</v>
      </c>
      <c r="AN113" s="41">
        <f t="shared" ca="1" si="181"/>
        <v>164.02489910860712</v>
      </c>
      <c r="AO113" s="41">
        <f t="shared" ca="1" si="182"/>
        <v>38.57951091385501</v>
      </c>
      <c r="AP113" s="67">
        <f t="shared" si="202"/>
        <v>0.77247612666560972</v>
      </c>
      <c r="AQ113" s="11">
        <f t="shared" si="183"/>
        <v>1.0314301707183759</v>
      </c>
      <c r="AR113" s="11">
        <f t="shared" si="184"/>
        <v>0.8962407041850623</v>
      </c>
      <c r="AS113" s="11">
        <f t="shared" si="185"/>
        <v>0.86893008332386068</v>
      </c>
      <c r="AT113" s="11">
        <f t="shared" si="186"/>
        <v>534.97188664650002</v>
      </c>
      <c r="AU113" s="11">
        <f t="shared" si="187"/>
        <v>1896.6425030105124</v>
      </c>
      <c r="AV113" s="11">
        <f t="shared" si="188"/>
        <v>2.0653599150524844E-3</v>
      </c>
      <c r="AW113" s="11">
        <f t="shared" si="189"/>
        <v>3.8278171249107636E-7</v>
      </c>
      <c r="AX113" s="41">
        <f t="shared" ca="1" si="190"/>
        <v>1.2488217655994147</v>
      </c>
      <c r="AY113" s="41">
        <f t="shared" ca="1" si="191"/>
        <v>1.6821877292908674</v>
      </c>
      <c r="AZ113" s="41">
        <f t="shared" si="192"/>
        <v>0.21025417408998501</v>
      </c>
      <c r="BA113" s="167">
        <f t="shared" ca="1" si="203"/>
        <v>0.8953679883529867</v>
      </c>
    </row>
    <row r="114" spans="1:53" ht="14.5">
      <c r="A114" s="41">
        <f t="shared" ca="1" si="193"/>
        <v>12776.392654620335</v>
      </c>
      <c r="B114" s="41">
        <f t="shared" ca="1" si="194"/>
        <v>212.93987757700557</v>
      </c>
      <c r="C114" s="41">
        <f t="shared" ca="1" si="194"/>
        <v>3.5489979596167598</v>
      </c>
      <c r="D114" s="41">
        <f t="shared" ca="1" si="195"/>
        <v>13786.788026390352</v>
      </c>
      <c r="E114" s="41">
        <f t="shared" ca="1" si="196"/>
        <v>737.11559742740769</v>
      </c>
      <c r="F114" s="41">
        <f t="shared" ca="1" si="197"/>
        <v>617.27217462168005</v>
      </c>
      <c r="G114" s="41"/>
      <c r="H114" s="7">
        <f t="shared" si="198"/>
        <v>3000</v>
      </c>
      <c r="I114" s="6">
        <v>15</v>
      </c>
      <c r="J114" s="41">
        <f t="shared" si="157"/>
        <v>0.28713835631100121</v>
      </c>
      <c r="K114" s="41">
        <f t="shared" si="158"/>
        <v>325.57428482334547</v>
      </c>
      <c r="L114" s="6">
        <f t="shared" si="199"/>
        <v>180</v>
      </c>
      <c r="M114" s="41">
        <f t="shared" si="159"/>
        <v>192.89755456927503</v>
      </c>
      <c r="N114" s="41">
        <f t="shared" si="160"/>
        <v>109.46264517225482</v>
      </c>
      <c r="O114" s="41">
        <f t="shared" si="161"/>
        <v>1756688.0948151206</v>
      </c>
      <c r="P114" s="41">
        <f t="shared" si="162"/>
        <v>11279171.965623073</v>
      </c>
      <c r="Q114" s="41">
        <f t="shared" si="163"/>
        <v>2.9240838430518376E-3</v>
      </c>
      <c r="R114" s="41">
        <f t="shared" si="164"/>
        <v>2.277736369419613E-2</v>
      </c>
      <c r="S114" s="24">
        <f t="shared" ca="1" si="200"/>
        <v>1.8898603431542606E-15</v>
      </c>
      <c r="T114" s="10">
        <f t="shared" ca="1" si="165"/>
        <v>-3.7797206863085219E-15</v>
      </c>
      <c r="U114" s="41">
        <f t="shared" ca="1" si="166"/>
        <v>0.54760741933608281</v>
      </c>
      <c r="V114" s="41">
        <f t="shared" ca="1" si="167"/>
        <v>4.1716415763730606E-2</v>
      </c>
      <c r="W114" s="41">
        <f t="shared" ca="1" si="168"/>
        <v>13.126904824172064</v>
      </c>
      <c r="X114" s="20">
        <f t="shared" ca="1" si="169"/>
        <v>1050.2695198188051</v>
      </c>
      <c r="Y114" s="41">
        <f t="shared" si="170"/>
        <v>0.60053999049783546</v>
      </c>
      <c r="Z114" s="41">
        <f t="shared" ca="1" si="171"/>
        <v>155.51745344109139</v>
      </c>
      <c r="AA114" s="14">
        <f t="shared" ca="1" si="172"/>
        <v>1050.2695198188053</v>
      </c>
      <c r="AB114" s="14">
        <f t="shared" si="201"/>
        <v>5234.4042087224379</v>
      </c>
      <c r="AC114" s="25">
        <f t="shared" ca="1" si="173"/>
        <v>341940.74778676598</v>
      </c>
      <c r="AD114" s="41">
        <f t="shared" si="174"/>
        <v>1704187.4067311173</v>
      </c>
      <c r="AE114" s="5">
        <f t="shared" ca="1" si="175"/>
        <v>20.064738563152439</v>
      </c>
      <c r="AF114" s="7">
        <f t="shared" ca="1" si="176"/>
        <v>1050.2695198188053</v>
      </c>
      <c r="AG114" s="41">
        <f t="shared" ca="1" si="177"/>
        <v>4184.1346889036322</v>
      </c>
      <c r="AH114" s="41">
        <f t="shared" ca="1" si="178"/>
        <v>1362246.6589443514</v>
      </c>
      <c r="AI114" s="41">
        <f t="shared" ca="1" si="179"/>
        <v>811.30813062458049</v>
      </c>
      <c r="AJ114" s="13">
        <f t="shared" ca="1" si="180"/>
        <v>-2.147767025311042E-14</v>
      </c>
      <c r="AK114" s="11"/>
      <c r="AL114" s="6">
        <v>0</v>
      </c>
      <c r="AM114" s="6">
        <v>720</v>
      </c>
      <c r="AN114" s="41">
        <f t="shared" ca="1" si="181"/>
        <v>162.26162612491612</v>
      </c>
      <c r="AO114" s="41">
        <f t="shared" ca="1" si="182"/>
        <v>38.57951091385501</v>
      </c>
      <c r="AP114" s="67">
        <f t="shared" si="202"/>
        <v>0.77247612666560972</v>
      </c>
      <c r="AQ114" s="11">
        <f t="shared" si="183"/>
        <v>1.0314301707183759</v>
      </c>
      <c r="AR114" s="11">
        <f t="shared" si="184"/>
        <v>0.8962407041850623</v>
      </c>
      <c r="AS114" s="11">
        <f t="shared" si="185"/>
        <v>0.86893008332386068</v>
      </c>
      <c r="AT114" s="11">
        <f t="shared" si="186"/>
        <v>534.97188664650002</v>
      </c>
      <c r="AU114" s="11">
        <f t="shared" si="187"/>
        <v>1896.6425030105124</v>
      </c>
      <c r="AV114" s="11">
        <f t="shared" si="188"/>
        <v>2.0653599150524844E-3</v>
      </c>
      <c r="AW114" s="11">
        <f t="shared" si="189"/>
        <v>3.8278171249107636E-7</v>
      </c>
      <c r="AX114" s="41">
        <f t="shared" ca="1" si="190"/>
        <v>1.2585588600835398</v>
      </c>
      <c r="AY114" s="41">
        <f t="shared" ca="1" si="191"/>
        <v>1.6953037890131921</v>
      </c>
      <c r="AZ114" s="41">
        <f t="shared" si="192"/>
        <v>0.21025417408998501</v>
      </c>
      <c r="BA114" s="167">
        <f t="shared" ca="1" si="203"/>
        <v>0.89931360294910967</v>
      </c>
    </row>
    <row r="115" spans="1:53" ht="14.5">
      <c r="A115" s="41">
        <f t="shared" ca="1" si="193"/>
        <v>13496.392654620335</v>
      </c>
      <c r="B115" s="41">
        <f t="shared" ref="B115:C118" ca="1" si="204">A115/60</f>
        <v>224.93987757700557</v>
      </c>
      <c r="C115" s="41">
        <f t="shared" ca="1" si="204"/>
        <v>3.7489979596167595</v>
      </c>
      <c r="D115" s="41">
        <f t="shared" ca="1" si="195"/>
        <v>13624.526400265435</v>
      </c>
      <c r="E115" s="41">
        <f t="shared" ca="1" si="196"/>
        <v>775.69510834126265</v>
      </c>
      <c r="F115" s="41">
        <f t="shared" ca="1" si="197"/>
        <v>655.85168553553501</v>
      </c>
      <c r="G115" s="41"/>
      <c r="H115" s="7">
        <f t="shared" si="198"/>
        <v>3000</v>
      </c>
      <c r="I115" s="6">
        <v>15</v>
      </c>
      <c r="J115" s="41">
        <f t="shared" si="157"/>
        <v>0.28713835631100121</v>
      </c>
      <c r="K115" s="41">
        <f t="shared" si="158"/>
        <v>325.57428482334547</v>
      </c>
      <c r="L115" s="6">
        <f t="shared" si="199"/>
        <v>180</v>
      </c>
      <c r="M115" s="41">
        <f t="shared" si="159"/>
        <v>192.89755456927503</v>
      </c>
      <c r="N115" s="41">
        <f t="shared" si="160"/>
        <v>109.46264517225482</v>
      </c>
      <c r="O115" s="41">
        <f t="shared" si="161"/>
        <v>1756688.0948151206</v>
      </c>
      <c r="P115" s="41">
        <f t="shared" si="162"/>
        <v>11279171.965623073</v>
      </c>
      <c r="Q115" s="41">
        <f t="shared" si="163"/>
        <v>2.9240838430518376E-3</v>
      </c>
      <c r="R115" s="41">
        <f t="shared" si="164"/>
        <v>2.277736369419613E-2</v>
      </c>
      <c r="S115" s="24">
        <f t="shared" ca="1" si="200"/>
        <v>1.9123676805412856E-15</v>
      </c>
      <c r="T115" s="10">
        <f t="shared" ca="1" si="165"/>
        <v>-2.8685515208119293E-15</v>
      </c>
      <c r="U115" s="41">
        <f t="shared" ca="1" si="166"/>
        <v>0.54116243228257499</v>
      </c>
      <c r="V115" s="41">
        <f t="shared" ca="1" si="167"/>
        <v>4.1273238239754997E-2</v>
      </c>
      <c r="W115" s="41">
        <f t="shared" ca="1" si="168"/>
        <v>13.111702773089398</v>
      </c>
      <c r="X115" s="20">
        <f t="shared" ca="1" si="169"/>
        <v>1039.1119014860949</v>
      </c>
      <c r="Y115" s="41">
        <f t="shared" si="170"/>
        <v>0.60053999049783546</v>
      </c>
      <c r="Z115" s="41">
        <f t="shared" ca="1" si="171"/>
        <v>154.59957454469028</v>
      </c>
      <c r="AA115" s="14">
        <f t="shared" ca="1" si="172"/>
        <v>1039.1119014860953</v>
      </c>
      <c r="AB115" s="14">
        <f t="shared" si="201"/>
        <v>5234.4042087224379</v>
      </c>
      <c r="AC115" s="25">
        <f t="shared" ca="1" si="173"/>
        <v>338308.11417776212</v>
      </c>
      <c r="AD115" s="41">
        <f t="shared" si="174"/>
        <v>1704187.4067311173</v>
      </c>
      <c r="AE115" s="5">
        <f t="shared" ca="1" si="175"/>
        <v>19.851579282978445</v>
      </c>
      <c r="AF115" s="7">
        <f t="shared" ca="1" si="176"/>
        <v>1039.1119014860953</v>
      </c>
      <c r="AG115" s="41">
        <f t="shared" ca="1" si="177"/>
        <v>4195.2923072363428</v>
      </c>
      <c r="AH115" s="41">
        <f t="shared" ca="1" si="178"/>
        <v>1365879.2925533552</v>
      </c>
      <c r="AI115" s="41">
        <f t="shared" ca="1" si="179"/>
        <v>802.68913683211554</v>
      </c>
      <c r="AJ115" s="13">
        <f t="shared" ca="1" si="180"/>
        <v>-1.6300094314172318E-14</v>
      </c>
      <c r="AK115" s="11"/>
      <c r="AL115" s="6">
        <v>0</v>
      </c>
      <c r="AM115" s="6">
        <v>720</v>
      </c>
      <c r="AN115" s="41">
        <f t="shared" ca="1" si="181"/>
        <v>160.53782736642313</v>
      </c>
      <c r="AO115" s="41">
        <f t="shared" ca="1" si="182"/>
        <v>38.57951091385501</v>
      </c>
      <c r="AP115" s="67">
        <f t="shared" si="202"/>
        <v>0.77247612666560972</v>
      </c>
      <c r="AQ115" s="11">
        <f t="shared" si="183"/>
        <v>1.0314301707183759</v>
      </c>
      <c r="AR115" s="11">
        <f t="shared" si="184"/>
        <v>0.8962407041850623</v>
      </c>
      <c r="AS115" s="11">
        <f t="shared" si="185"/>
        <v>0.86893008332386068</v>
      </c>
      <c r="AT115" s="11">
        <f t="shared" si="186"/>
        <v>534.97188664650002</v>
      </c>
      <c r="AU115" s="11">
        <f t="shared" si="187"/>
        <v>1896.6425030105124</v>
      </c>
      <c r="AV115" s="11">
        <f t="shared" si="188"/>
        <v>2.0653599150524844E-3</v>
      </c>
      <c r="AW115" s="11">
        <f t="shared" si="189"/>
        <v>3.8278171249107636E-7</v>
      </c>
      <c r="AX115" s="41">
        <f t="shared" ca="1" si="190"/>
        <v>1.2684958066846985</v>
      </c>
      <c r="AY115" s="41">
        <f t="shared" ca="1" si="191"/>
        <v>1.708689053507733</v>
      </c>
      <c r="AZ115" s="41">
        <f t="shared" si="192"/>
        <v>0.21025417408998501</v>
      </c>
      <c r="BA115" s="167">
        <f t="shared" ca="1" si="203"/>
        <v>0.90326939419601759</v>
      </c>
    </row>
    <row r="116" spans="1:53" ht="14.5">
      <c r="A116" s="41">
        <f t="shared" ca="1" si="193"/>
        <v>14216.392654620335</v>
      </c>
      <c r="B116" s="41">
        <f t="shared" ca="1" si="204"/>
        <v>236.93987757700557</v>
      </c>
      <c r="C116" s="41">
        <f t="shared" ca="1" si="204"/>
        <v>3.9489979596167597</v>
      </c>
      <c r="D116" s="41">
        <f t="shared" ca="1" si="195"/>
        <v>13463.988572899012</v>
      </c>
      <c r="E116" s="41">
        <f t="shared" ca="1" si="196"/>
        <v>814.27461925511761</v>
      </c>
      <c r="F116" s="41">
        <f t="shared" ca="1" si="197"/>
        <v>694.43119644938997</v>
      </c>
      <c r="G116" s="41"/>
      <c r="H116" s="7">
        <f t="shared" si="198"/>
        <v>3000</v>
      </c>
      <c r="I116" s="6">
        <v>15</v>
      </c>
      <c r="J116" s="41">
        <f t="shared" si="157"/>
        <v>0.28713835631100121</v>
      </c>
      <c r="K116" s="41">
        <f t="shared" si="158"/>
        <v>325.57428482334547</v>
      </c>
      <c r="L116" s="6">
        <f t="shared" si="199"/>
        <v>180</v>
      </c>
      <c r="M116" s="41">
        <f t="shared" si="159"/>
        <v>192.89755456927503</v>
      </c>
      <c r="N116" s="41">
        <f t="shared" si="160"/>
        <v>109.46264517225482</v>
      </c>
      <c r="O116" s="41">
        <f t="shared" si="161"/>
        <v>1756688.0948151206</v>
      </c>
      <c r="P116" s="41">
        <f t="shared" si="162"/>
        <v>11279171.965623073</v>
      </c>
      <c r="Q116" s="41">
        <f t="shared" si="163"/>
        <v>2.9240838430518376E-3</v>
      </c>
      <c r="R116" s="41">
        <f t="shared" si="164"/>
        <v>2.277736369419613E-2</v>
      </c>
      <c r="S116" s="24">
        <f t="shared" ca="1" si="200"/>
        <v>1.9351697908444558E-15</v>
      </c>
      <c r="T116" s="10">
        <f t="shared" ca="1" si="165"/>
        <v>-2.9027546862666842E-15</v>
      </c>
      <c r="U116" s="41">
        <f t="shared" ca="1" si="166"/>
        <v>0.53478591404049647</v>
      </c>
      <c r="V116" s="41">
        <f t="shared" ca="1" si="167"/>
        <v>4.083993232260226E-2</v>
      </c>
      <c r="W116" s="41">
        <f t="shared" ca="1" si="168"/>
        <v>13.094681690854005</v>
      </c>
      <c r="X116" s="20">
        <f t="shared" ca="1" si="169"/>
        <v>1028.2028147582196</v>
      </c>
      <c r="Y116" s="41">
        <f t="shared" si="170"/>
        <v>0.60053999049783546</v>
      </c>
      <c r="Z116" s="41">
        <f t="shared" ca="1" si="171"/>
        <v>153.6860519814793</v>
      </c>
      <c r="AA116" s="14">
        <f t="shared" ca="1" si="172"/>
        <v>1028.2028147582198</v>
      </c>
      <c r="AB116" s="14">
        <f t="shared" si="201"/>
        <v>5234.4042087224379</v>
      </c>
      <c r="AC116" s="25">
        <f t="shared" ca="1" si="173"/>
        <v>334756.39606825815</v>
      </c>
      <c r="AD116" s="41">
        <f t="shared" si="174"/>
        <v>1704187.4067311173</v>
      </c>
      <c r="AE116" s="5">
        <f t="shared" ca="1" si="175"/>
        <v>19.643168042789981</v>
      </c>
      <c r="AF116" s="7">
        <f t="shared" ca="1" si="176"/>
        <v>1028.2028147582196</v>
      </c>
      <c r="AG116" s="41">
        <f t="shared" ca="1" si="177"/>
        <v>4206.2013939642184</v>
      </c>
      <c r="AH116" s="41">
        <f t="shared" ca="1" si="178"/>
        <v>1369431.0106628591</v>
      </c>
      <c r="AI116" s="41">
        <f t="shared" ca="1" si="179"/>
        <v>794.26212777110686</v>
      </c>
      <c r="AJ116" s="13">
        <f t="shared" ca="1" si="180"/>
        <v>-1.6494448439838481E-14</v>
      </c>
      <c r="AK116" s="11"/>
      <c r="AL116" s="6">
        <v>0</v>
      </c>
      <c r="AM116" s="6">
        <v>720</v>
      </c>
      <c r="AN116" s="41">
        <f t="shared" ca="1" si="181"/>
        <v>158.85242555422138</v>
      </c>
      <c r="AO116" s="41">
        <f t="shared" ca="1" si="182"/>
        <v>38.57951091385501</v>
      </c>
      <c r="AP116" s="67">
        <f t="shared" si="202"/>
        <v>0.77247612666560972</v>
      </c>
      <c r="AQ116" s="11">
        <f t="shared" si="183"/>
        <v>1.0314301707183759</v>
      </c>
      <c r="AR116" s="11">
        <f t="shared" si="184"/>
        <v>0.8962407041850623</v>
      </c>
      <c r="AS116" s="11">
        <f t="shared" si="185"/>
        <v>0.86893008332386068</v>
      </c>
      <c r="AT116" s="11">
        <f t="shared" si="186"/>
        <v>534.97188664650002</v>
      </c>
      <c r="AU116" s="11">
        <f t="shared" si="187"/>
        <v>1896.6425030105124</v>
      </c>
      <c r="AV116" s="11">
        <f t="shared" si="188"/>
        <v>2.0653599150524844E-3</v>
      </c>
      <c r="AW116" s="11">
        <f t="shared" si="189"/>
        <v>3.8278171249107636E-7</v>
      </c>
      <c r="AX116" s="41">
        <f t="shared" ca="1" si="190"/>
        <v>1.2786355447677018</v>
      </c>
      <c r="AY116" s="41">
        <f t="shared" ca="1" si="191"/>
        <v>1.7223474821572884</v>
      </c>
      <c r="AZ116" s="41">
        <f t="shared" si="192"/>
        <v>0.21025417408998501</v>
      </c>
      <c r="BA116" s="167">
        <f t="shared" ca="1" si="203"/>
        <v>0.90723333505968062</v>
      </c>
    </row>
    <row r="117" spans="1:53" ht="14.5">
      <c r="A117" s="41">
        <f t="shared" ca="1" si="193"/>
        <v>14936.392654620335</v>
      </c>
      <c r="B117" s="41">
        <f t="shared" ca="1" si="204"/>
        <v>248.93987757700557</v>
      </c>
      <c r="C117" s="41">
        <f t="shared" ca="1" si="204"/>
        <v>4.1489979596167599</v>
      </c>
      <c r="D117" s="41">
        <f t="shared" ca="1" si="195"/>
        <v>13305.136147344791</v>
      </c>
      <c r="E117" s="41">
        <f t="shared" ca="1" si="196"/>
        <v>852.85413016897257</v>
      </c>
      <c r="F117" s="41">
        <f t="shared" ca="1" si="197"/>
        <v>733.01070736324493</v>
      </c>
      <c r="G117" s="41"/>
      <c r="H117" s="7">
        <f t="shared" si="198"/>
        <v>3000</v>
      </c>
      <c r="I117" s="6">
        <v>15</v>
      </c>
      <c r="J117" s="41">
        <f t="shared" si="157"/>
        <v>0.28713835631100121</v>
      </c>
      <c r="K117" s="41">
        <f t="shared" si="158"/>
        <v>325.57428482334547</v>
      </c>
      <c r="L117" s="6">
        <f t="shared" si="199"/>
        <v>180</v>
      </c>
      <c r="M117" s="41">
        <f t="shared" si="159"/>
        <v>192.89755456927503</v>
      </c>
      <c r="N117" s="41">
        <f t="shared" si="160"/>
        <v>109.46264517225482</v>
      </c>
      <c r="O117" s="41">
        <f t="shared" si="161"/>
        <v>1756688.0948151206</v>
      </c>
      <c r="P117" s="41">
        <f t="shared" si="162"/>
        <v>11279171.965623073</v>
      </c>
      <c r="Q117" s="41">
        <f t="shared" si="163"/>
        <v>2.9240838430518376E-3</v>
      </c>
      <c r="R117" s="41">
        <f t="shared" si="164"/>
        <v>2.277736369419613E-2</v>
      </c>
      <c r="S117" s="24">
        <f t="shared" ca="1" si="200"/>
        <v>2.4478426659832369E-15</v>
      </c>
      <c r="T117" s="10">
        <f t="shared" ca="1" si="165"/>
        <v>-3.9165482655731804E-15</v>
      </c>
      <c r="U117" s="41">
        <f t="shared" ca="1" si="166"/>
        <v>0.52847633949372663</v>
      </c>
      <c r="V117" s="41">
        <f t="shared" ca="1" si="167"/>
        <v>4.0416230762472187E-2</v>
      </c>
      <c r="W117" s="41">
        <f t="shared" ca="1" si="168"/>
        <v>13.075844271565137</v>
      </c>
      <c r="X117" s="20">
        <f t="shared" ca="1" si="169"/>
        <v>1017.5355312450663</v>
      </c>
      <c r="Y117" s="41">
        <f t="shared" si="170"/>
        <v>0.60053999049783546</v>
      </c>
      <c r="Z117" s="41">
        <f t="shared" ca="1" si="171"/>
        <v>152.77674344988174</v>
      </c>
      <c r="AA117" s="14">
        <f t="shared" ca="1" si="172"/>
        <v>1017.5355312450665</v>
      </c>
      <c r="AB117" s="14">
        <f t="shared" si="201"/>
        <v>5234.4042087224379</v>
      </c>
      <c r="AC117" s="25">
        <f t="shared" ca="1" si="173"/>
        <v>331283.40286745544</v>
      </c>
      <c r="AD117" s="41">
        <f t="shared" si="174"/>
        <v>1704187.4067311173</v>
      </c>
      <c r="AE117" s="5">
        <f t="shared" ca="1" si="175"/>
        <v>19.439376300926074</v>
      </c>
      <c r="AF117" s="7">
        <f t="shared" ca="1" si="176"/>
        <v>1017.5355312450666</v>
      </c>
      <c r="AG117" s="41">
        <f t="shared" ca="1" si="177"/>
        <v>4216.8686774773714</v>
      </c>
      <c r="AH117" s="41">
        <f t="shared" ca="1" si="178"/>
        <v>1372904.0038636618</v>
      </c>
      <c r="AI117" s="41">
        <f t="shared" ca="1" si="179"/>
        <v>786.02190592082252</v>
      </c>
      <c r="AJ117" s="13">
        <f t="shared" ca="1" si="180"/>
        <v>-2.2255171521821309E-14</v>
      </c>
      <c r="AK117" s="11"/>
      <c r="AL117" s="6">
        <v>0</v>
      </c>
      <c r="AM117" s="6">
        <v>720</v>
      </c>
      <c r="AN117" s="41">
        <f t="shared" ca="1" si="181"/>
        <v>157.2043811841645</v>
      </c>
      <c r="AO117" s="41">
        <f t="shared" ca="1" si="182"/>
        <v>38.57951091385501</v>
      </c>
      <c r="AP117" s="67">
        <f t="shared" si="202"/>
        <v>0.77247612666560972</v>
      </c>
      <c r="AQ117" s="11">
        <f t="shared" si="183"/>
        <v>1.0314301707183759</v>
      </c>
      <c r="AR117" s="11">
        <f t="shared" si="184"/>
        <v>0.8962407041850623</v>
      </c>
      <c r="AS117" s="11">
        <f t="shared" si="185"/>
        <v>0.86893008332386068</v>
      </c>
      <c r="AT117" s="11">
        <f t="shared" si="186"/>
        <v>534.97188664650002</v>
      </c>
      <c r="AU117" s="11">
        <f t="shared" si="187"/>
        <v>1896.6425030105124</v>
      </c>
      <c r="AV117" s="11">
        <f t="shared" si="188"/>
        <v>2.0653599150524844E-3</v>
      </c>
      <c r="AW117" s="11">
        <f t="shared" si="189"/>
        <v>3.8278171249107636E-7</v>
      </c>
      <c r="AX117" s="41">
        <f t="shared" ca="1" si="190"/>
        <v>1.288981182729863</v>
      </c>
      <c r="AY117" s="41">
        <f t="shared" ca="1" si="191"/>
        <v>1.7362832620347957</v>
      </c>
      <c r="AZ117" s="41">
        <f t="shared" si="192"/>
        <v>0.21025417408998501</v>
      </c>
      <c r="BA117" s="167">
        <f t="shared" ca="1" si="203"/>
        <v>0.91120344492714789</v>
      </c>
    </row>
    <row r="118" spans="1:53" ht="14.5">
      <c r="A118" s="41">
        <f t="shared" ca="1" si="193"/>
        <v>15656.392654620335</v>
      </c>
      <c r="B118" s="41">
        <f t="shared" ca="1" si="204"/>
        <v>260.93987757700557</v>
      </c>
      <c r="C118" s="41">
        <f t="shared" ca="1" si="204"/>
        <v>4.3489979596167592</v>
      </c>
      <c r="D118" s="41">
        <f t="shared" ca="1" si="195"/>
        <v>13147.931766160626</v>
      </c>
      <c r="E118" s="41">
        <f t="shared" ca="1" si="196"/>
        <v>891.43364108282753</v>
      </c>
      <c r="F118" s="41">
        <f t="shared" ca="1" si="197"/>
        <v>771.59021827709989</v>
      </c>
      <c r="G118" s="41"/>
      <c r="H118" s="7">
        <f t="shared" si="198"/>
        <v>3000</v>
      </c>
      <c r="I118" s="6">
        <v>15</v>
      </c>
      <c r="J118" s="41">
        <f t="shared" si="157"/>
        <v>0.28713835631100121</v>
      </c>
      <c r="K118" s="41">
        <f t="shared" si="158"/>
        <v>325.57428482334547</v>
      </c>
      <c r="L118" s="6">
        <f t="shared" si="199"/>
        <v>180</v>
      </c>
      <c r="M118" s="41">
        <f t="shared" si="159"/>
        <v>192.89755456927503</v>
      </c>
      <c r="N118" s="41">
        <f t="shared" si="160"/>
        <v>109.46264517225482</v>
      </c>
      <c r="O118" s="41">
        <f t="shared" si="161"/>
        <v>1756688.0948151206</v>
      </c>
      <c r="P118" s="41">
        <f t="shared" si="162"/>
        <v>11279171.965623073</v>
      </c>
      <c r="Q118" s="41">
        <f t="shared" si="163"/>
        <v>2.9240838430518376E-3</v>
      </c>
      <c r="R118" s="41">
        <f t="shared" si="164"/>
        <v>2.277736369419613E-2</v>
      </c>
      <c r="S118" s="24">
        <f t="shared" ca="1" si="200"/>
        <v>1.9816884065072666E-15</v>
      </c>
      <c r="T118" s="10">
        <f t="shared" ca="1" si="165"/>
        <v>-2.9725326097609007E-15</v>
      </c>
      <c r="U118" s="41">
        <f t="shared" ca="1" si="166"/>
        <v>0.52223222481496301</v>
      </c>
      <c r="V118" s="41">
        <f t="shared" ca="1" si="167"/>
        <v>4.0001875619444162E-2</v>
      </c>
      <c r="W118" s="41">
        <f t="shared" ca="1" si="168"/>
        <v>13.055193456006741</v>
      </c>
      <c r="X118" s="20">
        <f t="shared" ca="1" si="169"/>
        <v>1007.1035569458538</v>
      </c>
      <c r="Y118" s="41">
        <f t="shared" si="170"/>
        <v>0.60053999049783546</v>
      </c>
      <c r="Z118" s="41">
        <f t="shared" ca="1" si="171"/>
        <v>151.87150888511252</v>
      </c>
      <c r="AA118" s="14">
        <f t="shared" ca="1" si="172"/>
        <v>1007.1035569458541</v>
      </c>
      <c r="AB118" s="14">
        <f t="shared" si="201"/>
        <v>5234.4042087224379</v>
      </c>
      <c r="AC118" s="25">
        <f t="shared" ca="1" si="173"/>
        <v>327887.02029569383</v>
      </c>
      <c r="AD118" s="41">
        <f t="shared" si="174"/>
        <v>1704187.4067311173</v>
      </c>
      <c r="AE118" s="5">
        <f t="shared" ca="1" si="175"/>
        <v>19.240079993586473</v>
      </c>
      <c r="AF118" s="7">
        <f t="shared" ca="1" si="176"/>
        <v>1007.1035569458542</v>
      </c>
      <c r="AG118" s="41">
        <f t="shared" ca="1" si="177"/>
        <v>4227.3006517765843</v>
      </c>
      <c r="AH118" s="41">
        <f t="shared" ca="1" si="178"/>
        <v>1376300.3864354235</v>
      </c>
      <c r="AI118" s="41">
        <f t="shared" ca="1" si="179"/>
        <v>777.96345482069171</v>
      </c>
      <c r="AJ118" s="13">
        <f t="shared" ca="1" si="180"/>
        <v>-1.6890950551008823E-14</v>
      </c>
      <c r="AK118" s="11"/>
      <c r="AL118" s="6">
        <v>0</v>
      </c>
      <c r="AM118" s="6">
        <v>0</v>
      </c>
      <c r="AN118" s="41">
        <f t="shared" ca="1" si="181"/>
        <v>0</v>
      </c>
      <c r="AO118" s="41">
        <f t="shared" ca="1" si="182"/>
        <v>0</v>
      </c>
      <c r="AP118" s="67">
        <f t="shared" si="202"/>
        <v>0.77247612666560972</v>
      </c>
      <c r="AQ118" s="11">
        <f t="shared" si="183"/>
        <v>1.0314301707183759</v>
      </c>
      <c r="AR118" s="11">
        <f t="shared" si="184"/>
        <v>0.8962407041850623</v>
      </c>
      <c r="AS118" s="11">
        <f t="shared" si="185"/>
        <v>0.86893008332386068</v>
      </c>
      <c r="AT118" s="11">
        <f t="shared" si="186"/>
        <v>534.97188664650002</v>
      </c>
      <c r="AU118" s="11">
        <f t="shared" si="187"/>
        <v>1896.6425030105124</v>
      </c>
      <c r="AV118" s="11">
        <f t="shared" si="188"/>
        <v>2.0653599150524844E-3</v>
      </c>
      <c r="AW118" s="11">
        <f t="shared" si="189"/>
        <v>3.8278171249107636E-7</v>
      </c>
      <c r="AX118" s="41">
        <f t="shared" ca="1" si="190"/>
        <v>1.2995360015784094</v>
      </c>
      <c r="AY118" s="41">
        <f t="shared" ca="1" si="191"/>
        <v>1.7505008127221755</v>
      </c>
      <c r="AZ118" s="41">
        <f t="shared" si="192"/>
        <v>0.21025417408998501</v>
      </c>
      <c r="BA118" s="167">
        <f ca="1">2.12 - (0.00251*AF118) + (1.94*10^(-6)*AF118^2) - (7.84*10^(-10)*AF118^3) + (1.7*10^(-13)*AF118^4) - (1.89*10^(-17)*AF118^5) + (8.37*10^(-22)*AF118^6)</f>
        <v>0.91517779142300149</v>
      </c>
    </row>
    <row r="119" spans="1:53" ht="14.5">
      <c r="B119" s="135">
        <f ca="1">B118-B98</f>
        <v>240</v>
      </c>
      <c r="X119" s="32">
        <f ca="1">AVERAGE(X98:X118)</f>
        <v>1128.4334476751428</v>
      </c>
      <c r="AC119" s="3"/>
      <c r="AD119" s="3"/>
      <c r="AN119" s="32">
        <f ca="1">SUM(AN98:AN118)</f>
        <v>3505.4964842479221</v>
      </c>
      <c r="AP119" s="135"/>
    </row>
    <row r="120" spans="1:53" s="89" customFormat="1" ht="14.5">
      <c r="A120" s="124" t="s">
        <v>240</v>
      </c>
      <c r="B120" s="82" t="s">
        <v>22</v>
      </c>
      <c r="C120" s="125">
        <v>10000</v>
      </c>
      <c r="D120" s="82" t="s">
        <v>9</v>
      </c>
      <c r="E120" s="82"/>
      <c r="F120" s="82"/>
      <c r="G120" s="82"/>
      <c r="H120" s="82"/>
      <c r="I120" s="83"/>
      <c r="J120" s="82"/>
      <c r="K120" s="82"/>
      <c r="L120" s="84" t="s">
        <v>60</v>
      </c>
      <c r="M120" s="82"/>
      <c r="N120" s="82"/>
      <c r="O120" s="82"/>
      <c r="P120" s="82"/>
      <c r="Q120" s="81"/>
      <c r="R120" s="82"/>
      <c r="S120" s="85"/>
      <c r="T120" s="86"/>
      <c r="U120" s="81"/>
      <c r="V120" s="81"/>
      <c r="W120" s="81"/>
      <c r="X120" s="81"/>
      <c r="Y120" s="82"/>
      <c r="Z120" s="82"/>
      <c r="AA120" s="87"/>
      <c r="AB120" s="87"/>
      <c r="AC120" s="82"/>
      <c r="AD120" s="82"/>
      <c r="AE120" s="83"/>
      <c r="AF120" s="81"/>
      <c r="AG120" s="82"/>
      <c r="AH120" s="82"/>
      <c r="AI120" s="82"/>
      <c r="AJ120" s="81" t="s">
        <v>61</v>
      </c>
      <c r="AK120" s="88"/>
      <c r="AL120" s="83"/>
      <c r="AM120" s="82"/>
      <c r="AN120" s="82"/>
      <c r="AO120" s="82"/>
      <c r="AP120" s="67"/>
      <c r="AQ120" s="88"/>
      <c r="AR120" s="88"/>
      <c r="AS120" s="88"/>
      <c r="AT120" s="88"/>
      <c r="AU120" s="88"/>
      <c r="AV120" s="88"/>
      <c r="AW120" s="88"/>
      <c r="AX120" s="82"/>
      <c r="AY120" s="82"/>
      <c r="AZ120" s="82"/>
    </row>
    <row r="121" spans="1:53" ht="14.5">
      <c r="A121" s="41" t="s">
        <v>2</v>
      </c>
      <c r="B121" s="41" t="s">
        <v>2</v>
      </c>
      <c r="C121" s="41" t="s">
        <v>2</v>
      </c>
      <c r="D121" s="41" t="s">
        <v>23</v>
      </c>
      <c r="E121" s="41" t="s">
        <v>24</v>
      </c>
      <c r="F121" s="41" t="s">
        <v>25</v>
      </c>
      <c r="G121" s="41"/>
      <c r="H121" s="41" t="s">
        <v>0</v>
      </c>
      <c r="I121" s="5" t="s">
        <v>26</v>
      </c>
      <c r="J121" s="41" t="s">
        <v>27</v>
      </c>
      <c r="K121" s="41" t="s">
        <v>28</v>
      </c>
      <c r="L121" s="12" t="s">
        <v>29</v>
      </c>
      <c r="M121" s="13" t="s">
        <v>30</v>
      </c>
      <c r="N121" s="41" t="s">
        <v>31</v>
      </c>
      <c r="O121" s="41" t="s">
        <v>32</v>
      </c>
      <c r="P121" s="41" t="s">
        <v>33</v>
      </c>
      <c r="Q121" s="41" t="s">
        <v>34</v>
      </c>
      <c r="R121" s="41" t="s">
        <v>13</v>
      </c>
      <c r="S121" s="24" t="s">
        <v>35</v>
      </c>
      <c r="T121" s="10" t="s">
        <v>35</v>
      </c>
      <c r="U121" s="41" t="s">
        <v>36</v>
      </c>
      <c r="V121" s="41" t="s">
        <v>37</v>
      </c>
      <c r="W121" s="41" t="s">
        <v>38</v>
      </c>
      <c r="X121" s="41" t="s">
        <v>39</v>
      </c>
      <c r="Y121" s="41" t="s">
        <v>40</v>
      </c>
      <c r="Z121" s="35" t="s">
        <v>108</v>
      </c>
      <c r="AA121" s="35" t="s">
        <v>109</v>
      </c>
      <c r="AB121" s="9" t="s">
        <v>110</v>
      </c>
      <c r="AC121" s="7" t="s">
        <v>111</v>
      </c>
      <c r="AD121" s="7" t="s">
        <v>112</v>
      </c>
      <c r="AE121" s="5" t="s">
        <v>41</v>
      </c>
      <c r="AF121" s="7" t="s">
        <v>113</v>
      </c>
      <c r="AG121" s="7" t="s">
        <v>114</v>
      </c>
      <c r="AH121" s="7" t="s">
        <v>115</v>
      </c>
      <c r="AI121" s="41" t="s">
        <v>42</v>
      </c>
      <c r="AJ121" s="41" t="s">
        <v>43</v>
      </c>
      <c r="AK121" s="36"/>
      <c r="AL121" s="5" t="s">
        <v>44</v>
      </c>
      <c r="AM121" s="41" t="s">
        <v>45</v>
      </c>
      <c r="AN121" s="41" t="s">
        <v>46</v>
      </c>
      <c r="AO121" s="41" t="s">
        <v>47</v>
      </c>
      <c r="AP121" s="67"/>
      <c r="AQ121" s="15" t="s">
        <v>62</v>
      </c>
      <c r="AR121" s="16" t="s">
        <v>63</v>
      </c>
      <c r="AS121" s="16" t="s">
        <v>64</v>
      </c>
      <c r="AT121" s="17" t="s">
        <v>65</v>
      </c>
      <c r="AU121" s="18" t="s">
        <v>66</v>
      </c>
      <c r="AV121" s="18" t="s">
        <v>67</v>
      </c>
      <c r="AW121" s="19" t="s">
        <v>68</v>
      </c>
      <c r="AX121" s="7" t="s">
        <v>207</v>
      </c>
      <c r="AY121" s="7" t="s">
        <v>208</v>
      </c>
      <c r="AZ121" s="7" t="s">
        <v>209</v>
      </c>
    </row>
    <row r="122" spans="1:53" ht="14.5">
      <c r="A122" s="41" t="s">
        <v>18</v>
      </c>
      <c r="B122" s="41" t="s">
        <v>21</v>
      </c>
      <c r="C122" s="41" t="s">
        <v>48</v>
      </c>
      <c r="D122" s="41" t="s">
        <v>8</v>
      </c>
      <c r="E122" s="41" t="s">
        <v>49</v>
      </c>
      <c r="F122" s="41" t="s">
        <v>49</v>
      </c>
      <c r="G122" s="41"/>
      <c r="H122" s="41" t="s">
        <v>9</v>
      </c>
      <c r="I122" s="5" t="s">
        <v>50</v>
      </c>
      <c r="J122" s="41"/>
      <c r="K122" s="41" t="s">
        <v>51</v>
      </c>
      <c r="L122" s="5" t="s">
        <v>52</v>
      </c>
      <c r="M122" s="41" t="s">
        <v>52</v>
      </c>
      <c r="N122" s="41" t="s">
        <v>53</v>
      </c>
      <c r="O122" s="41" t="s">
        <v>54</v>
      </c>
      <c r="P122" s="41"/>
      <c r="Q122" s="41"/>
      <c r="R122" s="41"/>
      <c r="S122" s="24" t="s">
        <v>55</v>
      </c>
      <c r="T122" s="10" t="s">
        <v>55</v>
      </c>
      <c r="U122" s="41"/>
      <c r="V122" s="41"/>
      <c r="W122" s="41"/>
      <c r="X122" s="41"/>
      <c r="Y122" s="41"/>
      <c r="Z122" s="41"/>
      <c r="AA122" s="9" t="s">
        <v>118</v>
      </c>
      <c r="AB122" s="9" t="s">
        <v>118</v>
      </c>
      <c r="AC122" s="7" t="s">
        <v>119</v>
      </c>
      <c r="AD122" s="7" t="s">
        <v>119</v>
      </c>
      <c r="AE122" s="5" t="s">
        <v>20</v>
      </c>
      <c r="AF122" s="7" t="s">
        <v>118</v>
      </c>
      <c r="AG122" s="7" t="s">
        <v>118</v>
      </c>
      <c r="AH122" s="7" t="s">
        <v>119</v>
      </c>
      <c r="AI122" s="41" t="s">
        <v>56</v>
      </c>
      <c r="AJ122" s="41" t="s">
        <v>57</v>
      </c>
      <c r="AK122" s="11"/>
      <c r="AL122" s="5" t="s">
        <v>9</v>
      </c>
      <c r="AM122" s="41" t="s">
        <v>18</v>
      </c>
      <c r="AN122" s="41" t="s">
        <v>8</v>
      </c>
      <c r="AO122" s="41" t="s">
        <v>49</v>
      </c>
      <c r="AP122" s="67"/>
      <c r="AQ122" s="11"/>
      <c r="AR122" s="11"/>
      <c r="AS122" s="11"/>
      <c r="AT122" s="11"/>
      <c r="AU122" s="11"/>
      <c r="AV122" s="11"/>
      <c r="AW122" s="11"/>
      <c r="AX122" s="41"/>
      <c r="AY122" s="41"/>
      <c r="AZ122" s="41"/>
    </row>
    <row r="123" spans="1:53" ht="14.5">
      <c r="A123" s="41">
        <f ca="1">A118</f>
        <v>15656.392654620335</v>
      </c>
      <c r="B123" s="41">
        <f t="shared" ref="B123:C138" ca="1" si="205">A123/60</f>
        <v>260.93987757700557</v>
      </c>
      <c r="C123" s="41">
        <f t="shared" ca="1" si="205"/>
        <v>4.3489979596167592</v>
      </c>
      <c r="D123" s="41">
        <f t="shared" ref="D123:E123" ca="1" si="206">D118</f>
        <v>13147.931766160626</v>
      </c>
      <c r="E123" s="7">
        <f t="shared" ca="1" si="206"/>
        <v>891.43364108282753</v>
      </c>
      <c r="F123" s="7">
        <v>0</v>
      </c>
      <c r="G123" s="41"/>
      <c r="H123" s="7">
        <f>H118</f>
        <v>3000</v>
      </c>
      <c r="I123" s="6">
        <v>15</v>
      </c>
      <c r="J123" s="41">
        <f t="shared" ref="J123:J143" si="207">SQRT((((((((L123^2)*(0.2))/(661.477)^2) + 1)^(3.5) - 1)*(1/AR123) + 1)^(1/3.5) - 1)*(5))</f>
        <v>0.28713835631100121</v>
      </c>
      <c r="K123" s="41">
        <f t="shared" ref="K123:K143" si="208">SQRT((1.4*2116.22*AR123*(J123)^2)/AV123)</f>
        <v>325.57428482334547</v>
      </c>
      <c r="L123" s="6">
        <f>L118</f>
        <v>180</v>
      </c>
      <c r="M123" s="41">
        <f t="shared" ref="M123:M143" si="209">K123*0.592484</f>
        <v>192.89755456927503</v>
      </c>
      <c r="N123" s="41">
        <f t="shared" ref="N123:N143" si="210">0.5*AV123*K123^2</f>
        <v>109.46264517225482</v>
      </c>
      <c r="O123" s="41">
        <f t="shared" ref="O123:O143" si="211">P123/$B$7</f>
        <v>1756688.0948151206</v>
      </c>
      <c r="P123" s="41">
        <f t="shared" ref="P123:P143" si="212">(AV123*K123*$B$7)/(AW123)</f>
        <v>11279171.965623073</v>
      </c>
      <c r="Q123" s="41">
        <f t="shared" ref="Q123:Q143" si="213">0.455/(LOG10(P123)^2.58 * (1+0.144*J123*J123)^0.65)</f>
        <v>2.9240838430518376E-3</v>
      </c>
      <c r="R123" s="41">
        <f t="shared" ref="R123:R143" si="214">(((Q123*$B$4)+$B$17)+(0.1*(Q123*$B$4)))</f>
        <v>2.277736369419613E-2</v>
      </c>
      <c r="S123" s="24">
        <f ca="1">T123</f>
        <v>18.965703311687943</v>
      </c>
      <c r="T123" s="10">
        <f t="shared" ref="T123:T143" ca="1" si="215">DEGREES(ASIN(((AF123-X123)/(D123))))</f>
        <v>18.965703311687946</v>
      </c>
      <c r="U123" s="41">
        <f t="shared" ref="U123:U143" ca="1" si="216">(D123*COS(RADIANS(S123)))/(N123*$B$3)</f>
        <v>0.4938819544702035</v>
      </c>
      <c r="V123" s="41">
        <f t="shared" ref="V123:V143" ca="1" si="217">(X123)/(N123*$B$3)</f>
        <v>3.8182512833456278E-2</v>
      </c>
      <c r="W123" s="41">
        <f t="shared" ref="W123:W143" ca="1" si="218">U123/V123</f>
        <v>12.93476824389238</v>
      </c>
      <c r="X123" s="20">
        <f t="shared" ref="X123:X143" ca="1" si="219">(N123*$B$3*R123)+((N123*$B$3)*((U123^2)/(PI()*$B$6*$B$5)))</f>
        <v>961.29853643694878</v>
      </c>
      <c r="Y123" s="41">
        <f t="shared" ref="Y123:Y143" si="220">SQRT(PI()*$B$6*$B$5*R123)</f>
        <v>0.60053999049783546</v>
      </c>
      <c r="Z123" s="41">
        <f t="shared" ref="Z123:Z143" ca="1" si="221">SQRT((2*((U123*N123*$B$3)/(D123))*D123)/(AV123*$B$3*$B$18))</f>
        <v>147.69168775531028</v>
      </c>
      <c r="AA123" s="14">
        <f t="shared" ref="AA123:AA143" ca="1" si="222">D123/W123</f>
        <v>1016.4798872503106</v>
      </c>
      <c r="AB123" s="14">
        <f>$B$15*AR123*0.93</f>
        <v>5234.4042087224379</v>
      </c>
      <c r="AC123" s="25">
        <f t="shared" ref="AC123:AC143" ca="1" si="223">AA123*K123</f>
        <v>330939.71232883469</v>
      </c>
      <c r="AD123" s="41">
        <f t="shared" ref="AD123:AD143" si="224">AB123*K123</f>
        <v>1704187.4067311173</v>
      </c>
      <c r="AE123" s="6">
        <v>100</v>
      </c>
      <c r="AF123" s="41">
        <f t="shared" ref="AF123:AF143" si="225">AB123*(AE123/100)</f>
        <v>5234.4042087224379</v>
      </c>
      <c r="AG123" s="41">
        <f t="shared" ref="AG123:AG143" ca="1" si="226">AB123-AA123</f>
        <v>4217.9243214721273</v>
      </c>
      <c r="AH123" s="41">
        <f t="shared" ref="AH123:AH143" ca="1" si="227">AD123-AC123</f>
        <v>1373247.6944022826</v>
      </c>
      <c r="AI123" s="41">
        <f t="shared" ref="AI123:AI143" si="228">(AP123*AF123)</f>
        <v>3992.9947054057498</v>
      </c>
      <c r="AJ123" s="13">
        <f t="shared" ref="AJ123:AJ143" ca="1" si="229">K123*SIN(RADIANS(T123))</f>
        <v>105.81233215778866</v>
      </c>
      <c r="AK123" s="11"/>
      <c r="AL123" s="6">
        <v>350</v>
      </c>
      <c r="AM123" s="41">
        <f t="shared" ref="AM123:AM143" ca="1" si="230">AL123/AJ123</f>
        <v>3.3077429904680264</v>
      </c>
      <c r="AN123" s="41">
        <f t="shared" ref="AN123:AN143" ca="1" si="231">AI123*(AM123/3600)</f>
        <v>3.668833402161614</v>
      </c>
      <c r="AO123" s="41">
        <f t="shared" ref="AO123:AO143" ca="1" si="232">M123*COS(RADIANS(T123))*(AM123/3600)</f>
        <v>0.16761599917788025</v>
      </c>
      <c r="AP123" s="67">
        <f>0.701 + 0.301*AZ123 + -0.0328*AZ123^2</f>
        <v>0.76283652277979519</v>
      </c>
      <c r="AQ123" s="11">
        <f t="shared" ref="AQ123:AQ143" si="233">IF(H123 &lt;= 36089, ((1 - 6.87535*10^(-6)*H123) + ((I123*1.8)/518.67)), 0.75187 + ((I123*1.8)/518.67))</f>
        <v>1.0314301707183759</v>
      </c>
      <c r="AR123" s="11">
        <f t="shared" ref="AR123:AR143" si="234">IF(H123 &lt;= 36089, (1 - 6.87535*10^(-6)*H123)^5.2561, 0.22336*EXP((36089 - H123)/(20806.7)))</f>
        <v>0.8962407041850623</v>
      </c>
      <c r="AS123" s="11">
        <f t="shared" ref="AS123:AS143" si="235">(AR123/AQ123)</f>
        <v>0.86893008332386068</v>
      </c>
      <c r="AT123" s="11">
        <f t="shared" ref="AT123:AT143" si="236">(518.67*AQ123)</f>
        <v>534.97188664650002</v>
      </c>
      <c r="AU123" s="11">
        <f t="shared" ref="AU123:AU143" si="237">2116.22*AR123</f>
        <v>1896.6425030105124</v>
      </c>
      <c r="AV123" s="11">
        <f t="shared" ref="AV123:AV143" si="238">(0.0023769*AS123)</f>
        <v>2.0653599150524844E-3</v>
      </c>
      <c r="AW123" s="11">
        <f t="shared" ref="AW123:AW143" si="239">((2.2697*10^-8)*(AT123^1.5))/(AT123+198.72)</f>
        <v>3.8278171249107636E-7</v>
      </c>
      <c r="AX123" s="41">
        <f t="shared" ref="AX123:AX143" ca="1" si="240">(1/U123)*(((1 + 0.2*(U123)^2)/1.2)^3)</f>
        <v>1.3517336045189225</v>
      </c>
      <c r="AY123" s="41">
        <f t="shared" ref="AY123:AY143" ca="1" si="241">($H$4/$H$3)*AX123</f>
        <v>1.8208120209215157</v>
      </c>
      <c r="AZ123" s="41">
        <f t="shared" ref="AZ123:AZ143" si="242">-6.6*10^(-3) + 0.825*J123 - 0.243*(J123^2)</f>
        <v>0.21025417408998501</v>
      </c>
      <c r="BA123" s="167">
        <f>2.12-0.00251*AF123+1.94*10^-6*AF123^2-7.84*10^-10*AF123^3+1.7*10^-13*AF123^4-1.89*10^-17*AF123^5+8.37*10^-22*AF123^6</f>
        <v>0.26471968006634228</v>
      </c>
    </row>
    <row r="124" spans="1:53" ht="14.5">
      <c r="A124" s="41">
        <f t="shared" ref="A124:A143" ca="1" si="243">A123+AM123</f>
        <v>15659.700397610803</v>
      </c>
      <c r="B124" s="41">
        <f t="shared" ca="1" si="205"/>
        <v>260.9950066268467</v>
      </c>
      <c r="C124" s="41">
        <f t="shared" ca="1" si="205"/>
        <v>4.3499167771141121</v>
      </c>
      <c r="D124" s="41">
        <f t="shared" ref="D124:D143" ca="1" si="244">D123-AN123</f>
        <v>13144.262932758464</v>
      </c>
      <c r="E124" s="41">
        <f t="shared" ref="E124:E143" ca="1" si="245">E123+AO123</f>
        <v>891.60125708200542</v>
      </c>
      <c r="F124" s="41">
        <f t="shared" ref="F124:F143" ca="1" si="246">F123+AO123</f>
        <v>0.16761599917788025</v>
      </c>
      <c r="G124" s="41"/>
      <c r="H124" s="7">
        <f t="shared" ref="H124:H143" si="247">H123+AL123</f>
        <v>3350</v>
      </c>
      <c r="I124" s="6">
        <v>15</v>
      </c>
      <c r="J124" s="41">
        <f t="shared" si="207"/>
        <v>0.29336731460688248</v>
      </c>
      <c r="K124" s="41">
        <f t="shared" si="208"/>
        <v>332.2487874423141</v>
      </c>
      <c r="L124" s="6">
        <f>L123+($L$148-$L$118)/20</f>
        <v>182.75</v>
      </c>
      <c r="M124" s="41">
        <f t="shared" si="209"/>
        <v>196.85209057897202</v>
      </c>
      <c r="N124" s="41">
        <f t="shared" si="210"/>
        <v>112.79539451075611</v>
      </c>
      <c r="O124" s="41">
        <f t="shared" si="211"/>
        <v>1777006.3125475037</v>
      </c>
      <c r="P124" s="41">
        <f t="shared" si="212"/>
        <v>11409629.200754868</v>
      </c>
      <c r="Q124" s="41">
        <f t="shared" si="213"/>
        <v>2.9177721163961045E-3</v>
      </c>
      <c r="R124" s="41">
        <f t="shared" si="214"/>
        <v>2.2738990697278156E-2</v>
      </c>
      <c r="S124" s="24">
        <f t="shared" ref="S124:S143" ca="1" si="248">T124</f>
        <v>18.632598111622432</v>
      </c>
      <c r="T124" s="10">
        <f t="shared" ca="1" si="215"/>
        <v>18.632598111622436</v>
      </c>
      <c r="U124" s="41">
        <f t="shared" ca="1" si="216"/>
        <v>0.48010478070491297</v>
      </c>
      <c r="V124" s="41">
        <f t="shared" ca="1" si="217"/>
        <v>3.729665337512604E-2</v>
      </c>
      <c r="W124" s="41">
        <f t="shared" ca="1" si="218"/>
        <v>12.87259679510831</v>
      </c>
      <c r="X124" s="20">
        <f t="shared" ca="1" si="219"/>
        <v>967.5848682170008</v>
      </c>
      <c r="Y124" s="41">
        <f t="shared" si="220"/>
        <v>0.60003391276498963</v>
      </c>
      <c r="Z124" s="41">
        <f t="shared" ca="1" si="221"/>
        <v>148.60239161860201</v>
      </c>
      <c r="AA124" s="14">
        <f t="shared" ca="1" si="222"/>
        <v>1021.1042217801298</v>
      </c>
      <c r="AB124" s="14">
        <f t="shared" ref="AB124:AB143" si="249">$B$15*AR124*0.93</f>
        <v>5167.1569636999984</v>
      </c>
      <c r="AC124" s="25">
        <f t="shared" ca="1" si="223"/>
        <v>339260.6395386759</v>
      </c>
      <c r="AD124" s="41">
        <f t="shared" si="224"/>
        <v>1716781.6357134338</v>
      </c>
      <c r="AE124" s="6">
        <v>100</v>
      </c>
      <c r="AF124" s="41">
        <f t="shared" si="225"/>
        <v>5167.1569636999984</v>
      </c>
      <c r="AG124" s="41">
        <f t="shared" ca="1" si="226"/>
        <v>4146.0527419198688</v>
      </c>
      <c r="AH124" s="41">
        <f t="shared" ca="1" si="227"/>
        <v>1377520.9961747578</v>
      </c>
      <c r="AI124" s="41">
        <f t="shared" si="228"/>
        <v>3948.015328230194</v>
      </c>
      <c r="AJ124" s="13">
        <f t="shared" ca="1" si="229"/>
        <v>106.15298428209279</v>
      </c>
      <c r="AK124" s="11"/>
      <c r="AL124" s="6">
        <v>350</v>
      </c>
      <c r="AM124" s="41">
        <f t="shared" ca="1" si="230"/>
        <v>3.2971282189288611</v>
      </c>
      <c r="AN124" s="41">
        <f t="shared" ca="1" si="231"/>
        <v>3.6158646520754063</v>
      </c>
      <c r="AO124" s="41">
        <f t="shared" ca="1" si="232"/>
        <v>0.17084110158308505</v>
      </c>
      <c r="AP124" s="67">
        <f t="shared" ref="AP124:AP142" si="250">0.701 + 0.301*AZ124 + -0.0328*AZ124^2</f>
        <v>0.7640594926698675</v>
      </c>
      <c r="AQ124" s="11">
        <f t="shared" si="233"/>
        <v>1.0290237982183759</v>
      </c>
      <c r="AR124" s="11">
        <f t="shared" si="234"/>
        <v>0.8847265536093416</v>
      </c>
      <c r="AS124" s="11">
        <f t="shared" si="235"/>
        <v>0.85977268469508028</v>
      </c>
      <c r="AT124" s="11">
        <f t="shared" si="236"/>
        <v>533.72377342192499</v>
      </c>
      <c r="AU124" s="11">
        <f t="shared" si="237"/>
        <v>1872.2760272791606</v>
      </c>
      <c r="AV124" s="11">
        <f t="shared" si="238"/>
        <v>2.0435936942517362E-3</v>
      </c>
      <c r="AW124" s="11">
        <f t="shared" si="239"/>
        <v>3.8209291781665951E-7</v>
      </c>
      <c r="AX124" s="41">
        <f t="shared" ca="1" si="240"/>
        <v>1.3798757651804399</v>
      </c>
      <c r="AY124" s="41">
        <f t="shared" ca="1" si="241"/>
        <v>1.8587200704483542</v>
      </c>
      <c r="AZ124" s="41">
        <f t="shared" si="242"/>
        <v>0.21451438989972221</v>
      </c>
      <c r="BA124" s="167">
        <f t="shared" ref="BA124:BA142" si="251">2.12-0.00251*AF124+1.94*10^-6*AF124^2-7.84*10^-10*AF124^3+1.7*10^-13*AF124^4-1.89*10^-17*AF124^5+8.37*10^-22*AF124^6</f>
        <v>0.2862208859334352</v>
      </c>
    </row>
    <row r="125" spans="1:53" ht="14.5">
      <c r="A125" s="41">
        <f t="shared" ca="1" si="243"/>
        <v>15662.997525829731</v>
      </c>
      <c r="B125" s="41">
        <f t="shared" ca="1" si="205"/>
        <v>261.04995876382884</v>
      </c>
      <c r="C125" s="41">
        <f t="shared" ca="1" si="205"/>
        <v>4.3508326460638136</v>
      </c>
      <c r="D125" s="41">
        <f t="shared" ca="1" si="244"/>
        <v>13140.647068106387</v>
      </c>
      <c r="E125" s="41">
        <f t="shared" ca="1" si="245"/>
        <v>891.77209818358847</v>
      </c>
      <c r="F125" s="41">
        <f t="shared" ca="1" si="246"/>
        <v>0.3384571007609653</v>
      </c>
      <c r="G125" s="41"/>
      <c r="H125" s="7">
        <f t="shared" si="247"/>
        <v>3700</v>
      </c>
      <c r="I125" s="6">
        <v>15</v>
      </c>
      <c r="J125" s="41">
        <f t="shared" si="207"/>
        <v>0.29966517763673856</v>
      </c>
      <c r="K125" s="41">
        <f t="shared" si="208"/>
        <v>338.98428456624777</v>
      </c>
      <c r="L125" s="6">
        <f t="shared" ref="L125:L143" si="252">L124+($L$148-$L$118)/20</f>
        <v>185.5</v>
      </c>
      <c r="M125" s="41">
        <f t="shared" si="209"/>
        <v>200.84276485694875</v>
      </c>
      <c r="N125" s="41">
        <f t="shared" si="210"/>
        <v>116.17455662400374</v>
      </c>
      <c r="O125" s="41">
        <f t="shared" si="211"/>
        <v>1797119.5187735665</v>
      </c>
      <c r="P125" s="41">
        <f t="shared" si="212"/>
        <v>11538770.117957747</v>
      </c>
      <c r="Q125" s="41">
        <f t="shared" si="213"/>
        <v>2.9115593787813927E-3</v>
      </c>
      <c r="R125" s="41">
        <f t="shared" si="214"/>
        <v>2.2701219517639863E-2</v>
      </c>
      <c r="S125" s="24">
        <f t="shared" ca="1" si="248"/>
        <v>18.300289231962811</v>
      </c>
      <c r="T125" s="10">
        <f t="shared" ca="1" si="215"/>
        <v>18.300289231962818</v>
      </c>
      <c r="U125" s="41">
        <f t="shared" ca="1" si="216"/>
        <v>0.46691523862223938</v>
      </c>
      <c r="V125" s="41">
        <f t="shared" ca="1" si="217"/>
        <v>3.6470006695358333E-2</v>
      </c>
      <c r="W125" s="41">
        <f t="shared" ca="1" si="218"/>
        <v>12.802718752493822</v>
      </c>
      <c r="X125" s="20">
        <f t="shared" ca="1" si="219"/>
        <v>974.48397731877139</v>
      </c>
      <c r="Y125" s="41">
        <f t="shared" si="220"/>
        <v>0.59953535483680942</v>
      </c>
      <c r="Z125" s="41">
        <f t="shared" ca="1" si="221"/>
        <v>149.51782396706835</v>
      </c>
      <c r="AA125" s="14">
        <f t="shared" ca="1" si="222"/>
        <v>1026.3950432830325</v>
      </c>
      <c r="AB125" s="14">
        <f t="shared" si="249"/>
        <v>5100.6110029829915</v>
      </c>
      <c r="AC125" s="25">
        <f t="shared" ca="1" si="223"/>
        <v>347931.78942964168</v>
      </c>
      <c r="AD125" s="41">
        <f t="shared" si="224"/>
        <v>1729026.9716969209</v>
      </c>
      <c r="AE125" s="6">
        <v>100</v>
      </c>
      <c r="AF125" s="41">
        <f t="shared" si="225"/>
        <v>5100.6110029829915</v>
      </c>
      <c r="AG125" s="41">
        <f t="shared" ca="1" si="226"/>
        <v>4074.2159596999591</v>
      </c>
      <c r="AH125" s="41">
        <f t="shared" ca="1" si="227"/>
        <v>1381095.1822672794</v>
      </c>
      <c r="AI125" s="41">
        <f t="shared" si="228"/>
        <v>3903.4429495114787</v>
      </c>
      <c r="AJ125" s="13">
        <f t="shared" ca="1" si="229"/>
        <v>106.44013270997939</v>
      </c>
      <c r="AK125" s="11"/>
      <c r="AL125" s="6">
        <v>350</v>
      </c>
      <c r="AM125" s="41">
        <f t="shared" ca="1" si="230"/>
        <v>3.2882334049099264</v>
      </c>
      <c r="AN125" s="41">
        <f t="shared" ca="1" si="231"/>
        <v>3.5653976390954929</v>
      </c>
      <c r="AO125" s="41">
        <f t="shared" ca="1" si="232"/>
        <v>0.17417125624012805</v>
      </c>
      <c r="AP125" s="67">
        <f t="shared" si="250"/>
        <v>0.76528928538730501</v>
      </c>
      <c r="AQ125" s="11">
        <f t="shared" si="233"/>
        <v>1.0266174257183758</v>
      </c>
      <c r="AR125" s="11">
        <f t="shared" si="234"/>
        <v>0.87333247773833833</v>
      </c>
      <c r="AS125" s="11">
        <f t="shared" si="235"/>
        <v>0.85068931800687464</v>
      </c>
      <c r="AT125" s="11">
        <f t="shared" si="236"/>
        <v>532.47566019734995</v>
      </c>
      <c r="AU125" s="11">
        <f t="shared" si="237"/>
        <v>1848.1636560394261</v>
      </c>
      <c r="AV125" s="11">
        <f t="shared" si="238"/>
        <v>2.0220034399705401E-3</v>
      </c>
      <c r="AW125" s="11">
        <f t="shared" si="239"/>
        <v>3.8140334147428954E-7</v>
      </c>
      <c r="AX125" s="41">
        <f t="shared" ca="1" si="240"/>
        <v>1.4087141662533944</v>
      </c>
      <c r="AY125" s="41">
        <f t="shared" ca="1" si="241"/>
        <v>1.8975659696419898</v>
      </c>
      <c r="AZ125" s="41">
        <f t="shared" si="242"/>
        <v>0.2188025614091112</v>
      </c>
      <c r="BA125" s="167">
        <f t="shared" si="251"/>
        <v>0.30657083149941222</v>
      </c>
    </row>
    <row r="126" spans="1:53" ht="14.5">
      <c r="A126" s="41">
        <f t="shared" ca="1" si="243"/>
        <v>15666.285759234641</v>
      </c>
      <c r="B126" s="41">
        <f t="shared" ca="1" si="205"/>
        <v>261.10476265391065</v>
      </c>
      <c r="C126" s="41">
        <f t="shared" ca="1" si="205"/>
        <v>4.3517460442318443</v>
      </c>
      <c r="D126" s="41">
        <f t="shared" ca="1" si="244"/>
        <v>13137.081670467292</v>
      </c>
      <c r="E126" s="41">
        <f t="shared" ca="1" si="245"/>
        <v>891.9462694398286</v>
      </c>
      <c r="F126" s="41">
        <f t="shared" ca="1" si="246"/>
        <v>0.51262835700109333</v>
      </c>
      <c r="G126" s="41"/>
      <c r="H126" s="7">
        <f t="shared" si="247"/>
        <v>4050</v>
      </c>
      <c r="I126" s="6">
        <v>15</v>
      </c>
      <c r="J126" s="41">
        <f t="shared" si="207"/>
        <v>0.30603256446368543</v>
      </c>
      <c r="K126" s="41">
        <f t="shared" si="208"/>
        <v>345.78117084898116</v>
      </c>
      <c r="L126" s="6">
        <f t="shared" si="252"/>
        <v>188.25</v>
      </c>
      <c r="M126" s="41">
        <f t="shared" si="209"/>
        <v>204.86981122928776</v>
      </c>
      <c r="N126" s="41">
        <f t="shared" si="210"/>
        <v>119.59977990587626</v>
      </c>
      <c r="O126" s="41">
        <f t="shared" si="211"/>
        <v>1817026.8723761521</v>
      </c>
      <c r="P126" s="41">
        <f t="shared" si="212"/>
        <v>11666589.316668523</v>
      </c>
      <c r="Q126" s="41">
        <f t="shared" si="213"/>
        <v>2.9054411803845059E-3</v>
      </c>
      <c r="R126" s="41">
        <f t="shared" si="214"/>
        <v>2.2664023101978546E-2</v>
      </c>
      <c r="S126" s="24">
        <f t="shared" ca="1" si="248"/>
        <v>17.968859401149892</v>
      </c>
      <c r="T126" s="10">
        <f t="shared" ca="1" si="215"/>
        <v>17.968859401149899</v>
      </c>
      <c r="U126" s="41">
        <f t="shared" ca="1" si="216"/>
        <v>0.45428001619688618</v>
      </c>
      <c r="V126" s="41">
        <f t="shared" ca="1" si="217"/>
        <v>3.5697697158687869E-2</v>
      </c>
      <c r="W126" s="41">
        <f t="shared" ca="1" si="218"/>
        <v>12.725751304838063</v>
      </c>
      <c r="X126" s="20">
        <f t="shared" ca="1" si="219"/>
        <v>981.97044636490955</v>
      </c>
      <c r="Y126" s="41">
        <f t="shared" si="220"/>
        <v>0.59904397795900122</v>
      </c>
      <c r="Z126" s="41">
        <f t="shared" ca="1" si="221"/>
        <v>150.43799477589687</v>
      </c>
      <c r="AA126" s="14">
        <f t="shared" ca="1" si="222"/>
        <v>1032.322678306062</v>
      </c>
      <c r="AB126" s="14">
        <f t="shared" si="249"/>
        <v>5034.7607178166854</v>
      </c>
      <c r="AC126" s="25">
        <f t="shared" ca="1" si="223"/>
        <v>356957.74439862627</v>
      </c>
      <c r="AD126" s="41">
        <f t="shared" si="224"/>
        <v>1740925.4559511102</v>
      </c>
      <c r="AE126" s="6">
        <v>100</v>
      </c>
      <c r="AF126" s="41">
        <f t="shared" si="225"/>
        <v>5034.7607178166854</v>
      </c>
      <c r="AG126" s="41">
        <f t="shared" ca="1" si="226"/>
        <v>4002.4380395106236</v>
      </c>
      <c r="AH126" s="41">
        <f t="shared" ca="1" si="227"/>
        <v>1383967.711552484</v>
      </c>
      <c r="AI126" s="41">
        <f t="shared" si="228"/>
        <v>3859.274067809903</v>
      </c>
      <c r="AJ126" s="13">
        <f t="shared" ca="1" si="229"/>
        <v>106.6735063707728</v>
      </c>
      <c r="AK126" s="11"/>
      <c r="AL126" s="6">
        <v>350</v>
      </c>
      <c r="AM126" s="41">
        <f t="shared" ca="1" si="230"/>
        <v>3.2810396124364729</v>
      </c>
      <c r="AN126" s="41">
        <f t="shared" ca="1" si="231"/>
        <v>3.5173419699258703</v>
      </c>
      <c r="AO126" s="41">
        <f t="shared" ca="1" si="232"/>
        <v>0.1776110122508141</v>
      </c>
      <c r="AP126" s="67">
        <f t="shared" si="250"/>
        <v>0.76652581604383974</v>
      </c>
      <c r="AQ126" s="11">
        <f t="shared" si="233"/>
        <v>1.0242110532183759</v>
      </c>
      <c r="AR126" s="11">
        <f t="shared" si="234"/>
        <v>0.86205751623462168</v>
      </c>
      <c r="AS126" s="11">
        <f t="shared" si="235"/>
        <v>0.8416795674346419</v>
      </c>
      <c r="AT126" s="11">
        <f t="shared" si="236"/>
        <v>531.22754697277503</v>
      </c>
      <c r="AU126" s="11">
        <f t="shared" si="237"/>
        <v>1824.3033570060309</v>
      </c>
      <c r="AV126" s="11">
        <f t="shared" si="238"/>
        <v>2.0005881638354003E-3</v>
      </c>
      <c r="AW126" s="11">
        <f t="shared" si="239"/>
        <v>3.8071298129619079E-7</v>
      </c>
      <c r="AX126" s="41">
        <f t="shared" ca="1" si="240"/>
        <v>1.4382281538209267</v>
      </c>
      <c r="AY126" s="41">
        <f t="shared" ca="1" si="241"/>
        <v>1.9373218972660697</v>
      </c>
      <c r="AZ126" s="41">
        <f t="shared" si="242"/>
        <v>0.22311847456807107</v>
      </c>
      <c r="BA126" s="167">
        <f t="shared" si="251"/>
        <v>0.32581620863209615</v>
      </c>
    </row>
    <row r="127" spans="1:53" ht="14.5">
      <c r="A127" s="41">
        <f t="shared" ca="1" si="243"/>
        <v>15669.566798847078</v>
      </c>
      <c r="B127" s="41">
        <f t="shared" ca="1" si="205"/>
        <v>261.15944664745132</v>
      </c>
      <c r="C127" s="41">
        <f t="shared" ca="1" si="205"/>
        <v>4.3526574441241888</v>
      </c>
      <c r="D127" s="41">
        <f t="shared" ca="1" si="244"/>
        <v>13133.564328497367</v>
      </c>
      <c r="E127" s="41">
        <f t="shared" ca="1" si="245"/>
        <v>892.12388045207945</v>
      </c>
      <c r="F127" s="41">
        <f t="shared" ca="1" si="246"/>
        <v>0.69023936925190743</v>
      </c>
      <c r="G127" s="41"/>
      <c r="H127" s="7">
        <f t="shared" si="247"/>
        <v>4400</v>
      </c>
      <c r="I127" s="6">
        <v>15</v>
      </c>
      <c r="J127" s="41">
        <f t="shared" si="207"/>
        <v>0.31247009207247756</v>
      </c>
      <c r="K127" s="41">
        <f t="shared" si="208"/>
        <v>352.6398345197228</v>
      </c>
      <c r="L127" s="6">
        <f t="shared" si="252"/>
        <v>191</v>
      </c>
      <c r="M127" s="41">
        <f t="shared" si="209"/>
        <v>208.93345971558344</v>
      </c>
      <c r="N127" s="41">
        <f t="shared" si="210"/>
        <v>123.07069507601375</v>
      </c>
      <c r="O127" s="41">
        <f t="shared" si="211"/>
        <v>1836727.5033735516</v>
      </c>
      <c r="P127" s="41">
        <f t="shared" si="212"/>
        <v>11793081.210993303</v>
      </c>
      <c r="Q127" s="41">
        <f t="shared" si="213"/>
        <v>2.8994132507073841E-3</v>
      </c>
      <c r="R127" s="41">
        <f t="shared" si="214"/>
        <v>2.2627375487222944E-2</v>
      </c>
      <c r="S127" s="24">
        <f t="shared" ca="1" si="248"/>
        <v>17.638383550424297</v>
      </c>
      <c r="T127" s="10">
        <f t="shared" ca="1" si="215"/>
        <v>17.638383550424305</v>
      </c>
      <c r="U127" s="41">
        <f t="shared" ca="1" si="216"/>
        <v>0.44216819256576534</v>
      </c>
      <c r="V127" s="41">
        <f t="shared" ca="1" si="217"/>
        <v>3.4975317676133884E-2</v>
      </c>
      <c r="W127" s="41">
        <f t="shared" ca="1" si="218"/>
        <v>12.642292392028443</v>
      </c>
      <c r="X127" s="20">
        <f t="shared" ca="1" si="219"/>
        <v>990.02043108842292</v>
      </c>
      <c r="Y127" s="41">
        <f t="shared" si="220"/>
        <v>0.5985594564180019</v>
      </c>
      <c r="Z127" s="41">
        <f t="shared" ca="1" si="221"/>
        <v>151.36292002336091</v>
      </c>
      <c r="AA127" s="14">
        <f t="shared" ca="1" si="222"/>
        <v>1038.859403123653</v>
      </c>
      <c r="AB127" s="14">
        <f t="shared" si="249"/>
        <v>4969.6005306042962</v>
      </c>
      <c r="AC127" s="25">
        <f t="shared" ca="1" si="223"/>
        <v>366343.20800678298</v>
      </c>
      <c r="AD127" s="41">
        <f t="shared" si="224"/>
        <v>1752479.1087414257</v>
      </c>
      <c r="AE127" s="6">
        <v>100</v>
      </c>
      <c r="AF127" s="41">
        <f t="shared" si="225"/>
        <v>4969.6005306042962</v>
      </c>
      <c r="AG127" s="41">
        <f t="shared" ca="1" si="226"/>
        <v>3930.7411274806432</v>
      </c>
      <c r="AH127" s="41">
        <f t="shared" ca="1" si="227"/>
        <v>1386135.9007346428</v>
      </c>
      <c r="AI127" s="41">
        <f t="shared" si="228"/>
        <v>3815.505206149996</v>
      </c>
      <c r="AJ127" s="13">
        <f t="shared" ca="1" si="229"/>
        <v>106.85282628922262</v>
      </c>
      <c r="AK127" s="11"/>
      <c r="AL127" s="6">
        <v>350</v>
      </c>
      <c r="AM127" s="41">
        <f t="shared" ca="1" si="230"/>
        <v>3.2755333869470298</v>
      </c>
      <c r="AN127" s="41">
        <f t="shared" ca="1" si="231"/>
        <v>3.4716151918929228</v>
      </c>
      <c r="AO127" s="41">
        <f t="shared" ca="1" si="232"/>
        <v>0.18116525416556586</v>
      </c>
      <c r="AP127" s="67">
        <f t="shared" si="250"/>
        <v>0.76776899524478204</v>
      </c>
      <c r="AQ127" s="11">
        <f t="shared" si="233"/>
        <v>1.0218046807183758</v>
      </c>
      <c r="AR127" s="11">
        <f t="shared" si="234"/>
        <v>0.85090071409566059</v>
      </c>
      <c r="AS127" s="11">
        <f t="shared" si="235"/>
        <v>0.83274301845773313</v>
      </c>
      <c r="AT127" s="11">
        <f t="shared" si="236"/>
        <v>529.97943374819999</v>
      </c>
      <c r="AU127" s="11">
        <f t="shared" si="237"/>
        <v>1800.6931091835188</v>
      </c>
      <c r="AV127" s="11">
        <f t="shared" si="238"/>
        <v>1.9793468805721858E-3</v>
      </c>
      <c r="AW127" s="11">
        <f t="shared" si="239"/>
        <v>3.8002183510623204E-7</v>
      </c>
      <c r="AX127" s="41">
        <f t="shared" ca="1" si="240"/>
        <v>1.4683986799958291</v>
      </c>
      <c r="AY127" s="41">
        <f t="shared" ca="1" si="241"/>
        <v>1.9779621954380904</v>
      </c>
      <c r="AZ127" s="41">
        <f t="shared" si="242"/>
        <v>0.22746189925892682</v>
      </c>
      <c r="BA127" s="167">
        <f t="shared" si="251"/>
        <v>0.34400864514781482</v>
      </c>
    </row>
    <row r="128" spans="1:53" ht="14.5">
      <c r="A128" s="41">
        <f t="shared" ca="1" si="243"/>
        <v>15672.842332234024</v>
      </c>
      <c r="B128" s="41">
        <f t="shared" ca="1" si="205"/>
        <v>261.21403887056709</v>
      </c>
      <c r="C128" s="41">
        <f t="shared" ca="1" si="205"/>
        <v>4.3535673145094513</v>
      </c>
      <c r="D128" s="41">
        <f t="shared" ca="1" si="244"/>
        <v>13130.092713305474</v>
      </c>
      <c r="E128" s="41">
        <f t="shared" ca="1" si="245"/>
        <v>892.30504570624498</v>
      </c>
      <c r="F128" s="41">
        <f t="shared" ca="1" si="246"/>
        <v>0.87140462341747327</v>
      </c>
      <c r="G128" s="41"/>
      <c r="H128" s="7">
        <f t="shared" si="247"/>
        <v>4750</v>
      </c>
      <c r="I128" s="6">
        <v>15</v>
      </c>
      <c r="J128" s="41">
        <f t="shared" si="207"/>
        <v>0.31897837503200854</v>
      </c>
      <c r="K128" s="41">
        <f t="shared" si="208"/>
        <v>359.56065700186934</v>
      </c>
      <c r="L128" s="6">
        <f t="shared" si="252"/>
        <v>193.75</v>
      </c>
      <c r="M128" s="41">
        <f t="shared" si="209"/>
        <v>213.03393630309557</v>
      </c>
      <c r="N128" s="41">
        <f t="shared" si="210"/>
        <v>126.58691463622566</v>
      </c>
      <c r="O128" s="41">
        <f t="shared" si="211"/>
        <v>1856220.5129371211</v>
      </c>
      <c r="P128" s="41">
        <f t="shared" si="212"/>
        <v>11918240.029820601</v>
      </c>
      <c r="Q128" s="41">
        <f t="shared" si="213"/>
        <v>2.8934714873964369E-3</v>
      </c>
      <c r="R128" s="41">
        <f t="shared" si="214"/>
        <v>2.2591251732558888E-2</v>
      </c>
      <c r="S128" s="24">
        <f t="shared" ca="1" si="248"/>
        <v>17.308929615322434</v>
      </c>
      <c r="T128" s="10">
        <f t="shared" ca="1" si="215"/>
        <v>17.308929615322437</v>
      </c>
      <c r="U128" s="41">
        <f t="shared" ca="1" si="216"/>
        <v>0.430551031488142</v>
      </c>
      <c r="V128" s="41">
        <f t="shared" ca="1" si="217"/>
        <v>3.4298878230190656E-2</v>
      </c>
      <c r="W128" s="41">
        <f t="shared" ca="1" si="218"/>
        <v>12.552918745580465</v>
      </c>
      <c r="X128" s="20">
        <f t="shared" ca="1" si="219"/>
        <v>998.61150924799176</v>
      </c>
      <c r="Y128" s="41">
        <f t="shared" si="220"/>
        <v>0.59808147673302814</v>
      </c>
      <c r="Z128" s="41">
        <f t="shared" ca="1" si="221"/>
        <v>152.29262113945947</v>
      </c>
      <c r="AA128" s="14">
        <f t="shared" ca="1" si="222"/>
        <v>1045.9792642191853</v>
      </c>
      <c r="AB128" s="14">
        <f t="shared" si="249"/>
        <v>4905.1248948103803</v>
      </c>
      <c r="AC128" s="25">
        <f t="shared" ca="1" si="223"/>
        <v>376092.99145298218</v>
      </c>
      <c r="AD128" s="41">
        <f t="shared" si="224"/>
        <v>1763689.9298542456</v>
      </c>
      <c r="AE128" s="6">
        <v>100</v>
      </c>
      <c r="AF128" s="41">
        <f t="shared" si="225"/>
        <v>4905.1248948103803</v>
      </c>
      <c r="AG128" s="41">
        <f t="shared" ca="1" si="226"/>
        <v>3859.1456305911952</v>
      </c>
      <c r="AH128" s="41">
        <f t="shared" ca="1" si="227"/>
        <v>1387596.9384012634</v>
      </c>
      <c r="AI128" s="41">
        <f t="shared" si="228"/>
        <v>3772.1329121965782</v>
      </c>
      <c r="AJ128" s="13">
        <f t="shared" ca="1" si="229"/>
        <v>106.97780664381898</v>
      </c>
      <c r="AK128" s="11"/>
      <c r="AL128" s="6">
        <v>350</v>
      </c>
      <c r="AM128" s="41">
        <f t="shared" ca="1" si="230"/>
        <v>3.2717066369225516</v>
      </c>
      <c r="AN128" s="41">
        <f t="shared" ca="1" si="231"/>
        <v>3.4281423011632048</v>
      </c>
      <c r="AO128" s="41">
        <f t="shared" ca="1" si="232"/>
        <v>0.18483922475256559</v>
      </c>
      <c r="AP128" s="67">
        <f t="shared" si="250"/>
        <v>0.76901872900066071</v>
      </c>
      <c r="AQ128" s="11">
        <f t="shared" si="233"/>
        <v>1.0193983082183757</v>
      </c>
      <c r="AR128" s="11">
        <f t="shared" si="234"/>
        <v>0.83986112163728166</v>
      </c>
      <c r="AS128" s="11">
        <f t="shared" si="235"/>
        <v>0.8238792578586136</v>
      </c>
      <c r="AT128" s="11">
        <f t="shared" si="236"/>
        <v>528.73132052362485</v>
      </c>
      <c r="AU128" s="11">
        <f t="shared" si="237"/>
        <v>1777.3309028312481</v>
      </c>
      <c r="AV128" s="11">
        <f t="shared" si="238"/>
        <v>1.9582786080041387E-3</v>
      </c>
      <c r="AW128" s="11">
        <f t="shared" si="239"/>
        <v>3.7932990071989691E-7</v>
      </c>
      <c r="AX128" s="41">
        <f t="shared" ca="1" si="240"/>
        <v>1.4992081000990016</v>
      </c>
      <c r="AY128" s="41">
        <f t="shared" ca="1" si="241"/>
        <v>2.0194630964247482</v>
      </c>
      <c r="AZ128" s="41">
        <f t="shared" si="242"/>
        <v>0.2318325888930583</v>
      </c>
      <c r="BA128" s="167">
        <f t="shared" si="251"/>
        <v>0.36120314990113833</v>
      </c>
    </row>
    <row r="129" spans="1:53" ht="14.5">
      <c r="A129" s="41">
        <f t="shared" ca="1" si="243"/>
        <v>15676.114038870946</v>
      </c>
      <c r="B129" s="41">
        <f t="shared" ca="1" si="205"/>
        <v>261.26856731451579</v>
      </c>
      <c r="C129" s="41">
        <f t="shared" ca="1" si="205"/>
        <v>4.3544761219085961</v>
      </c>
      <c r="D129" s="41">
        <f t="shared" ca="1" si="244"/>
        <v>13126.66457100431</v>
      </c>
      <c r="E129" s="41">
        <f t="shared" ca="1" si="245"/>
        <v>892.4898849309975</v>
      </c>
      <c r="F129" s="41">
        <f t="shared" ca="1" si="246"/>
        <v>1.0562438481700389</v>
      </c>
      <c r="G129" s="41"/>
      <c r="H129" s="7">
        <f t="shared" si="247"/>
        <v>5100</v>
      </c>
      <c r="I129" s="6">
        <v>15</v>
      </c>
      <c r="J129" s="41">
        <f t="shared" si="207"/>
        <v>0.32555802514884485</v>
      </c>
      <c r="K129" s="41">
        <f t="shared" si="208"/>
        <v>366.54401252435537</v>
      </c>
      <c r="L129" s="6">
        <f t="shared" si="252"/>
        <v>196.5</v>
      </c>
      <c r="M129" s="41">
        <f t="shared" si="209"/>
        <v>217.17146271648016</v>
      </c>
      <c r="N129" s="41">
        <f t="shared" si="210"/>
        <v>130.14803232366486</v>
      </c>
      <c r="O129" s="41">
        <f t="shared" si="211"/>
        <v>1875504.9734391675</v>
      </c>
      <c r="P129" s="41">
        <f t="shared" si="212"/>
        <v>12042059.817128796</v>
      </c>
      <c r="Q129" s="41">
        <f t="shared" si="213"/>
        <v>2.8876119459091921E-3</v>
      </c>
      <c r="R129" s="41">
        <f t="shared" si="214"/>
        <v>2.2555627856606256E-2</v>
      </c>
      <c r="S129" s="24">
        <f t="shared" ca="1" si="248"/>
        <v>16.980559253533457</v>
      </c>
      <c r="T129" s="10">
        <f t="shared" ca="1" si="215"/>
        <v>16.98055925353346</v>
      </c>
      <c r="U129" s="41">
        <f t="shared" ca="1" si="216"/>
        <v>0.41940179559967289</v>
      </c>
      <c r="V129" s="41">
        <f t="shared" ca="1" si="217"/>
        <v>3.3664760744480847E-2</v>
      </c>
      <c r="W129" s="41">
        <f t="shared" ca="1" si="218"/>
        <v>12.458184354345413</v>
      </c>
      <c r="X129" s="20">
        <f t="shared" ca="1" si="219"/>
        <v>1007.7225449944615</v>
      </c>
      <c r="Y129" s="41">
        <f t="shared" si="220"/>
        <v>0.59760973690859009</v>
      </c>
      <c r="Z129" s="41">
        <f t="shared" ca="1" si="221"/>
        <v>153.22712451398786</v>
      </c>
      <c r="AA129" s="14">
        <f t="shared" ca="1" si="222"/>
        <v>1053.6579165667695</v>
      </c>
      <c r="AB129" s="14">
        <f t="shared" si="249"/>
        <v>4841.32829486429</v>
      </c>
      <c r="AC129" s="25">
        <f t="shared" ca="1" si="223"/>
        <v>386212.00056643615</v>
      </c>
      <c r="AD129" s="41">
        <f t="shared" si="224"/>
        <v>1774559.8991472523</v>
      </c>
      <c r="AE129" s="6">
        <v>100</v>
      </c>
      <c r="AF129" s="41">
        <f t="shared" si="225"/>
        <v>4841.32829486429</v>
      </c>
      <c r="AG129" s="41">
        <f t="shared" ca="1" si="226"/>
        <v>3787.6703782975205</v>
      </c>
      <c r="AH129" s="41">
        <f t="shared" ca="1" si="227"/>
        <v>1388347.8985808161</v>
      </c>
      <c r="AI129" s="41">
        <f t="shared" si="228"/>
        <v>3729.1537584355342</v>
      </c>
      <c r="AJ129" s="13">
        <f t="shared" ca="1" si="229"/>
        <v>107.04815578952648</v>
      </c>
      <c r="AK129" s="11"/>
      <c r="AL129" s="6">
        <v>350</v>
      </c>
      <c r="AM129" s="41">
        <f t="shared" ca="1" si="230"/>
        <v>3.2695565600229033</v>
      </c>
      <c r="AN129" s="41">
        <f t="shared" ca="1" si="231"/>
        <v>3.3868553150630465</v>
      </c>
      <c r="AO129" s="41">
        <f t="shared" ca="1" si="232"/>
        <v>0.18863855047430084</v>
      </c>
      <c r="AP129" s="67">
        <f t="shared" si="250"/>
        <v>0.77027491863987885</v>
      </c>
      <c r="AQ129" s="11">
        <f t="shared" si="233"/>
        <v>1.0169919357183759</v>
      </c>
      <c r="AR129" s="11">
        <f t="shared" si="234"/>
        <v>0.82893779447714022</v>
      </c>
      <c r="AS129" s="11">
        <f t="shared" si="235"/>
        <v>0.81508787372202784</v>
      </c>
      <c r="AT129" s="11">
        <f t="shared" si="236"/>
        <v>527.48320729904992</v>
      </c>
      <c r="AU129" s="11">
        <f t="shared" si="237"/>
        <v>1754.2147394284136</v>
      </c>
      <c r="AV129" s="11">
        <f t="shared" si="238"/>
        <v>1.937382367049888E-3</v>
      </c>
      <c r="AW129" s="11">
        <f t="shared" si="239"/>
        <v>3.7863717594424859E-7</v>
      </c>
      <c r="AX129" s="41">
        <f t="shared" ca="1" si="240"/>
        <v>1.5306399958889834</v>
      </c>
      <c r="AY129" s="41">
        <f t="shared" ca="1" si="241"/>
        <v>2.061802484528604</v>
      </c>
      <c r="AZ129" s="41">
        <f t="shared" si="242"/>
        <v>0.23623028000726473</v>
      </c>
      <c r="BA129" s="167">
        <f t="shared" si="251"/>
        <v>0.37745678686669848</v>
      </c>
    </row>
    <row r="130" spans="1:53" ht="14.5">
      <c r="A130" s="41">
        <f t="shared" ca="1" si="243"/>
        <v>15679.383595430969</v>
      </c>
      <c r="B130" s="41">
        <f t="shared" ca="1" si="205"/>
        <v>261.32305992384948</v>
      </c>
      <c r="C130" s="41">
        <f t="shared" ca="1" si="205"/>
        <v>4.3553843320641583</v>
      </c>
      <c r="D130" s="41">
        <f t="shared" ca="1" si="244"/>
        <v>13123.277715689248</v>
      </c>
      <c r="E130" s="41">
        <f t="shared" ca="1" si="245"/>
        <v>892.67852348147176</v>
      </c>
      <c r="F130" s="41">
        <f t="shared" ca="1" si="246"/>
        <v>1.2448823986443398</v>
      </c>
      <c r="G130" s="41"/>
      <c r="H130" s="7">
        <f t="shared" si="247"/>
        <v>5450</v>
      </c>
      <c r="I130" s="6">
        <v>15</v>
      </c>
      <c r="J130" s="41">
        <f t="shared" si="207"/>
        <v>0.33220965111188555</v>
      </c>
      <c r="K130" s="41">
        <f t="shared" si="208"/>
        <v>373.59026772573736</v>
      </c>
      <c r="L130" s="6">
        <f t="shared" si="252"/>
        <v>199.25</v>
      </c>
      <c r="M130" s="41">
        <f t="shared" si="209"/>
        <v>221.34625618321579</v>
      </c>
      <c r="N130" s="41">
        <f t="shared" si="210"/>
        <v>133.75362256149072</v>
      </c>
      <c r="O130" s="41">
        <f t="shared" si="211"/>
        <v>1894579.9285323727</v>
      </c>
      <c r="P130" s="41">
        <f t="shared" si="212"/>
        <v>12164534.432496097</v>
      </c>
      <c r="Q130" s="41">
        <f t="shared" si="213"/>
        <v>2.8818308299564709E-3</v>
      </c>
      <c r="R130" s="41">
        <f t="shared" si="214"/>
        <v>2.2520480779310896E-2</v>
      </c>
      <c r="S130" s="24">
        <f t="shared" ca="1" si="248"/>
        <v>16.653328489007645</v>
      </c>
      <c r="T130" s="10">
        <f t="shared" ca="1" si="215"/>
        <v>16.653328489007649</v>
      </c>
      <c r="U130" s="41">
        <f t="shared" ca="1" si="216"/>
        <v>0.40869557907681114</v>
      </c>
      <c r="V130" s="41">
        <f t="shared" ca="1" si="217"/>
        <v>3.3069679432925311E-2</v>
      </c>
      <c r="W130" s="41">
        <f t="shared" ca="1" si="218"/>
        <v>12.358619317909074</v>
      </c>
      <c r="X130" s="20">
        <f t="shared" ca="1" si="219"/>
        <v>1017.3335668532262</v>
      </c>
      <c r="Y130" s="41">
        <f t="shared" si="220"/>
        <v>0.59714394574242313</v>
      </c>
      <c r="Z130" s="41">
        <f t="shared" ca="1" si="221"/>
        <v>154.16646105711132</v>
      </c>
      <c r="AA130" s="14">
        <f t="shared" ca="1" si="222"/>
        <v>1061.8724776700658</v>
      </c>
      <c r="AB130" s="14">
        <f t="shared" si="249"/>
        <v>4778.2052460636796</v>
      </c>
      <c r="AC130" s="25">
        <f t="shared" ca="1" si="223"/>
        <v>396705.22322335193</v>
      </c>
      <c r="AD130" s="41">
        <f t="shared" si="224"/>
        <v>1785090.9771254528</v>
      </c>
      <c r="AE130" s="6">
        <v>100</v>
      </c>
      <c r="AF130" s="41">
        <f t="shared" si="225"/>
        <v>4778.2052460636796</v>
      </c>
      <c r="AG130" s="41">
        <f t="shared" ca="1" si="226"/>
        <v>3716.3327683936141</v>
      </c>
      <c r="AH130" s="41">
        <f t="shared" ca="1" si="227"/>
        <v>1388385.753902101</v>
      </c>
      <c r="AI130" s="41">
        <f t="shared" si="228"/>
        <v>3686.5643423590964</v>
      </c>
      <c r="AJ130" s="13">
        <f t="shared" ca="1" si="229"/>
        <v>107.06357725239857</v>
      </c>
      <c r="AK130" s="11"/>
      <c r="AL130" s="6">
        <v>350</v>
      </c>
      <c r="AM130" s="41">
        <f t="shared" ca="1" si="230"/>
        <v>3.2690856123262857</v>
      </c>
      <c r="AN130" s="41">
        <f t="shared" ca="1" si="231"/>
        <v>3.3476929029225659</v>
      </c>
      <c r="AO130" s="41">
        <f t="shared" ca="1" si="232"/>
        <v>0.19256926992546672</v>
      </c>
      <c r="AP130" s="67">
        <f t="shared" si="250"/>
        <v>0.77153746072254115</v>
      </c>
      <c r="AQ130" s="11">
        <f t="shared" si="233"/>
        <v>1.0145855632183758</v>
      </c>
      <c r="AR130" s="11">
        <f t="shared" si="234"/>
        <v>0.81812979351819726</v>
      </c>
      <c r="AS130" s="11">
        <f t="shared" si="235"/>
        <v>0.80636845543415825</v>
      </c>
      <c r="AT130" s="11">
        <f t="shared" si="236"/>
        <v>526.23509407447489</v>
      </c>
      <c r="AU130" s="11">
        <f t="shared" si="237"/>
        <v>1731.3426316390792</v>
      </c>
      <c r="AV130" s="11">
        <f t="shared" si="238"/>
        <v>1.9166571817214506E-3</v>
      </c>
      <c r="AW130" s="11">
        <f t="shared" si="239"/>
        <v>3.7794365857789621E-7</v>
      </c>
      <c r="AX130" s="41">
        <f t="shared" ca="1" si="240"/>
        <v>1.5626790209304826</v>
      </c>
      <c r="AY130" s="41">
        <f t="shared" ca="1" si="241"/>
        <v>2.1049596877964252</v>
      </c>
      <c r="AZ130" s="41">
        <f t="shared" si="242"/>
        <v>0.24065469186037858</v>
      </c>
      <c r="BA130" s="167">
        <f t="shared" si="251"/>
        <v>0.392827553519977</v>
      </c>
    </row>
    <row r="131" spans="1:53" ht="14.5">
      <c r="A131" s="41">
        <f t="shared" ca="1" si="243"/>
        <v>15682.652681043295</v>
      </c>
      <c r="B131" s="41">
        <f t="shared" ca="1" si="205"/>
        <v>261.3775446840549</v>
      </c>
      <c r="C131" s="41">
        <f t="shared" ca="1" si="205"/>
        <v>4.3562924114009149</v>
      </c>
      <c r="D131" s="41">
        <f t="shared" ca="1" si="244"/>
        <v>13119.930022786326</v>
      </c>
      <c r="E131" s="41">
        <f t="shared" ca="1" si="245"/>
        <v>892.87109275139721</v>
      </c>
      <c r="F131" s="41">
        <f t="shared" ca="1" si="246"/>
        <v>1.4374516685698064</v>
      </c>
      <c r="G131" s="41"/>
      <c r="H131" s="7">
        <f t="shared" si="247"/>
        <v>5800</v>
      </c>
      <c r="I131" s="6">
        <v>15</v>
      </c>
      <c r="J131" s="41">
        <f t="shared" si="207"/>
        <v>0.33893385812836951</v>
      </c>
      <c r="K131" s="41">
        <f t="shared" si="208"/>
        <v>380.69978125135475</v>
      </c>
      <c r="L131" s="6">
        <f t="shared" si="252"/>
        <v>202</v>
      </c>
      <c r="M131" s="41">
        <f t="shared" si="209"/>
        <v>225.55852919492767</v>
      </c>
      <c r="N131" s="41">
        <f t="shared" si="210"/>
        <v>137.40323990787863</v>
      </c>
      <c r="O131" s="41">
        <f t="shared" si="211"/>
        <v>1913444.3932627013</v>
      </c>
      <c r="P131" s="41">
        <f t="shared" si="212"/>
        <v>12285657.551825486</v>
      </c>
      <c r="Q131" s="41">
        <f t="shared" si="213"/>
        <v>2.8761244826552936E-3</v>
      </c>
      <c r="R131" s="41">
        <f t="shared" si="214"/>
        <v>2.2485788268157541E-2</v>
      </c>
      <c r="S131" s="24">
        <f t="shared" ca="1" si="248"/>
        <v>16.327288290902295</v>
      </c>
      <c r="T131" s="10">
        <f t="shared" ca="1" si="215"/>
        <v>16.327288290902295</v>
      </c>
      <c r="U131" s="41">
        <f t="shared" ca="1" si="216"/>
        <v>0.39840915663325643</v>
      </c>
      <c r="V131" s="41">
        <f t="shared" ca="1" si="217"/>
        <v>3.2510645892310314E-2</v>
      </c>
      <c r="W131" s="41">
        <f t="shared" ca="1" si="218"/>
        <v>12.254729049461655</v>
      </c>
      <c r="X131" s="20">
        <f t="shared" ca="1" si="219"/>
        <v>1027.4256577332765</v>
      </c>
      <c r="Y131" s="41">
        <f t="shared" si="220"/>
        <v>0.59668382218427307</v>
      </c>
      <c r="Z131" s="41">
        <f t="shared" ca="1" si="221"/>
        <v>155.11066580637515</v>
      </c>
      <c r="AA131" s="14">
        <f t="shared" ca="1" si="222"/>
        <v>1070.6013955781975</v>
      </c>
      <c r="AB131" s="14">
        <f t="shared" si="249"/>
        <v>4715.7502944780908</v>
      </c>
      <c r="AC131" s="25">
        <f t="shared" ca="1" si="223"/>
        <v>407577.71710401494</v>
      </c>
      <c r="AD131" s="41">
        <f t="shared" si="224"/>
        <v>1795285.1055438209</v>
      </c>
      <c r="AE131" s="6">
        <v>100</v>
      </c>
      <c r="AF131" s="41">
        <f t="shared" si="225"/>
        <v>4715.7502944780908</v>
      </c>
      <c r="AG131" s="41">
        <f t="shared" ca="1" si="226"/>
        <v>3645.1488988998935</v>
      </c>
      <c r="AH131" s="41">
        <f t="shared" ca="1" si="227"/>
        <v>1387707.3884398059</v>
      </c>
      <c r="AI131" s="41">
        <f t="shared" si="228"/>
        <v>3644.3612866555673</v>
      </c>
      <c r="AJ131" s="13">
        <f t="shared" ca="1" si="229"/>
        <v>107.02377070259176</v>
      </c>
      <c r="AK131" s="11"/>
      <c r="AL131" s="6">
        <v>350</v>
      </c>
      <c r="AM131" s="41">
        <f t="shared" ca="1" si="230"/>
        <v>3.2703015199549883</v>
      </c>
      <c r="AN131" s="41">
        <f t="shared" ca="1" si="231"/>
        <v>3.3106000708374497</v>
      </c>
      <c r="AO131" s="41">
        <f t="shared" ca="1" si="232"/>
        <v>0.19663786552901538</v>
      </c>
      <c r="AP131" s="67">
        <f t="shared" si="250"/>
        <v>0.77280624695563993</v>
      </c>
      <c r="AQ131" s="11">
        <f t="shared" si="233"/>
        <v>1.0121791907183759</v>
      </c>
      <c r="AR131" s="11">
        <f t="shared" si="234"/>
        <v>0.80743618493221192</v>
      </c>
      <c r="AS131" s="11">
        <f t="shared" si="235"/>
        <v>0.79772059368178538</v>
      </c>
      <c r="AT131" s="11">
        <f t="shared" si="236"/>
        <v>524.98698084989996</v>
      </c>
      <c r="AU131" s="11">
        <f t="shared" si="237"/>
        <v>1708.7126032772453</v>
      </c>
      <c r="AV131" s="11">
        <f t="shared" si="238"/>
        <v>1.8961020791222357E-3</v>
      </c>
      <c r="AW131" s="11">
        <f t="shared" si="239"/>
        <v>3.7724934641096215E-7</v>
      </c>
      <c r="AX131" s="41">
        <f t="shared" ca="1" si="240"/>
        <v>1.595310764844551</v>
      </c>
      <c r="AY131" s="41">
        <f t="shared" ca="1" si="241"/>
        <v>2.1489152951614683</v>
      </c>
      <c r="AZ131" s="41">
        <f t="shared" si="242"/>
        <v>0.24510552603075988</v>
      </c>
      <c r="BA131" s="167">
        <f t="shared" si="251"/>
        <v>0.40737344100534223</v>
      </c>
    </row>
    <row r="132" spans="1:53" ht="14.5">
      <c r="A132" s="41">
        <f t="shared" ca="1" si="243"/>
        <v>15685.92298256325</v>
      </c>
      <c r="B132" s="41">
        <f t="shared" ca="1" si="205"/>
        <v>261.43204970938751</v>
      </c>
      <c r="C132" s="41">
        <f t="shared" ca="1" si="205"/>
        <v>4.3572008284897921</v>
      </c>
      <c r="D132" s="41">
        <f t="shared" ca="1" si="244"/>
        <v>13116.619422715488</v>
      </c>
      <c r="E132" s="41">
        <f t="shared" ca="1" si="245"/>
        <v>893.06773061692627</v>
      </c>
      <c r="F132" s="41">
        <f t="shared" ca="1" si="246"/>
        <v>1.6340895340988217</v>
      </c>
      <c r="G132" s="41"/>
      <c r="H132" s="7">
        <f t="shared" si="247"/>
        <v>6150</v>
      </c>
      <c r="I132" s="6">
        <v>15</v>
      </c>
      <c r="J132" s="41">
        <f t="shared" si="207"/>
        <v>0.34573124755136675</v>
      </c>
      <c r="K132" s="41">
        <f t="shared" si="208"/>
        <v>387.87290334381288</v>
      </c>
      <c r="L132" s="6">
        <f t="shared" si="252"/>
        <v>204.75</v>
      </c>
      <c r="M132" s="41">
        <f t="shared" si="209"/>
        <v>229.80848926475562</v>
      </c>
      <c r="N132" s="41">
        <f t="shared" si="210"/>
        <v>141.09641850419857</v>
      </c>
      <c r="O132" s="41">
        <f t="shared" si="211"/>
        <v>1932097.3542170902</v>
      </c>
      <c r="P132" s="41">
        <f t="shared" si="212"/>
        <v>12405422.668292986</v>
      </c>
      <c r="Q132" s="41">
        <f t="shared" si="213"/>
        <v>2.8704893783342645E-3</v>
      </c>
      <c r="R132" s="41">
        <f t="shared" si="214"/>
        <v>2.24515288883495E-2</v>
      </c>
      <c r="S132" s="24">
        <f t="shared" ca="1" si="248"/>
        <v>16.002485094836015</v>
      </c>
      <c r="T132" s="10">
        <f t="shared" ca="1" si="215"/>
        <v>16.002485094836015</v>
      </c>
      <c r="U132" s="41">
        <f t="shared" ca="1" si="216"/>
        <v>0.38852084703275941</v>
      </c>
      <c r="V132" s="41">
        <f t="shared" ca="1" si="217"/>
        <v>3.1984938310337226E-2</v>
      </c>
      <c r="W132" s="41">
        <f t="shared" ca="1" si="218"/>
        <v>12.146993790111303</v>
      </c>
      <c r="X132" s="20">
        <f t="shared" ca="1" si="219"/>
        <v>1037.9808555832522</v>
      </c>
      <c r="Y132" s="41">
        <f t="shared" si="220"/>
        <v>0.59622909474143315</v>
      </c>
      <c r="Z132" s="41">
        <f t="shared" ca="1" si="221"/>
        <v>156.05977757483066</v>
      </c>
      <c r="AA132" s="14">
        <f t="shared" ca="1" si="222"/>
        <v>1079.8243293244741</v>
      </c>
      <c r="AB132" s="14">
        <f t="shared" si="249"/>
        <v>4653.958016852589</v>
      </c>
      <c r="AC132" s="25">
        <f t="shared" ca="1" si="223"/>
        <v>418834.59771636932</v>
      </c>
      <c r="AD132" s="41">
        <f t="shared" si="224"/>
        <v>1805144.2080368274</v>
      </c>
      <c r="AE132" s="6">
        <v>100</v>
      </c>
      <c r="AF132" s="41">
        <f t="shared" si="225"/>
        <v>4653.958016852589</v>
      </c>
      <c r="AG132" s="41">
        <f t="shared" ca="1" si="226"/>
        <v>3574.1336875281149</v>
      </c>
      <c r="AH132" s="41">
        <f t="shared" ca="1" si="227"/>
        <v>1386309.6103204582</v>
      </c>
      <c r="AI132" s="41">
        <f t="shared" si="228"/>
        <v>3602.5412394032292</v>
      </c>
      <c r="AJ132" s="13">
        <f t="shared" ca="1" si="229"/>
        <v>106.92843291141958</v>
      </c>
      <c r="AK132" s="11"/>
      <c r="AL132" s="6">
        <v>350</v>
      </c>
      <c r="AM132" s="41">
        <f t="shared" ca="1" si="230"/>
        <v>3.2732173330356669</v>
      </c>
      <c r="AN132" s="41">
        <f t="shared" ca="1" si="231"/>
        <v>3.2755278966084567</v>
      </c>
      <c r="AO132" s="41">
        <f t="shared" ca="1" si="232"/>
        <v>0.2008512988352526</v>
      </c>
      <c r="AP132" s="67">
        <f t="shared" si="250"/>
        <v>0.7740811641097658</v>
      </c>
      <c r="AQ132" s="11">
        <f t="shared" si="233"/>
        <v>1.0097728182183758</v>
      </c>
      <c r="AR132" s="11">
        <f t="shared" si="234"/>
        <v>0.79685604014324174</v>
      </c>
      <c r="AS132" s="11">
        <f t="shared" si="235"/>
        <v>0.78914388045144601</v>
      </c>
      <c r="AT132" s="11">
        <f t="shared" si="236"/>
        <v>523.73886762532493</v>
      </c>
      <c r="AU132" s="11">
        <f t="shared" si="237"/>
        <v>1686.3226892719308</v>
      </c>
      <c r="AV132" s="11">
        <f t="shared" si="238"/>
        <v>1.875716089445042E-3</v>
      </c>
      <c r="AW132" s="11">
        <f t="shared" si="239"/>
        <v>3.7655423722504886E-7</v>
      </c>
      <c r="AX132" s="41">
        <f t="shared" ca="1" si="240"/>
        <v>1.6285216337172426</v>
      </c>
      <c r="AY132" s="41">
        <f t="shared" ca="1" si="241"/>
        <v>2.1936509953515704</v>
      </c>
      <c r="AZ132" s="41">
        <f t="shared" si="242"/>
        <v>0.24958246601525541</v>
      </c>
      <c r="BA132" s="167">
        <f t="shared" si="251"/>
        <v>0.42115165559486378</v>
      </c>
    </row>
    <row r="133" spans="1:53" ht="14.5">
      <c r="A133" s="41">
        <f t="shared" ca="1" si="243"/>
        <v>15689.196199896285</v>
      </c>
      <c r="B133" s="41">
        <f t="shared" ca="1" si="205"/>
        <v>261.48660333160473</v>
      </c>
      <c r="C133" s="41">
        <f t="shared" ca="1" si="205"/>
        <v>4.3581100555267458</v>
      </c>
      <c r="D133" s="41">
        <f t="shared" ca="1" si="244"/>
        <v>13113.34389481888</v>
      </c>
      <c r="E133" s="41">
        <f t="shared" ca="1" si="245"/>
        <v>893.2685819157615</v>
      </c>
      <c r="F133" s="41">
        <f t="shared" ca="1" si="246"/>
        <v>1.8349408329340744</v>
      </c>
      <c r="G133" s="41"/>
      <c r="H133" s="7">
        <f t="shared" si="247"/>
        <v>6500</v>
      </c>
      <c r="I133" s="6">
        <v>15</v>
      </c>
      <c r="J133" s="41">
        <f t="shared" si="207"/>
        <v>0.35260241649905016</v>
      </c>
      <c r="K133" s="41">
        <f t="shared" si="208"/>
        <v>395.10997542721122</v>
      </c>
      <c r="L133" s="6">
        <f t="shared" si="252"/>
        <v>207.5</v>
      </c>
      <c r="M133" s="41">
        <f t="shared" si="209"/>
        <v>234.09633868101582</v>
      </c>
      <c r="N133" s="41">
        <f t="shared" si="210"/>
        <v>144.8326715233427</v>
      </c>
      <c r="O133" s="41">
        <f t="shared" si="211"/>
        <v>1950537.7697079622</v>
      </c>
      <c r="P133" s="41">
        <f t="shared" si="212"/>
        <v>12523823.093532376</v>
      </c>
      <c r="Q133" s="41">
        <f t="shared" si="213"/>
        <v>2.8649221149386521E-3</v>
      </c>
      <c r="R133" s="41">
        <f t="shared" si="214"/>
        <v>2.2417681956634336E-2</v>
      </c>
      <c r="S133" s="24">
        <f t="shared" ca="1" si="248"/>
        <v>15.678961272964038</v>
      </c>
      <c r="T133" s="10">
        <f t="shared" ca="1" si="215"/>
        <v>15.67896127296404</v>
      </c>
      <c r="U133" s="41">
        <f t="shared" ca="1" si="216"/>
        <v>0.37901038952805893</v>
      </c>
      <c r="V133" s="41">
        <f t="shared" ca="1" si="217"/>
        <v>3.1490074252174302E-2</v>
      </c>
      <c r="W133" s="41">
        <f t="shared" ca="1" si="218"/>
        <v>12.035868397544007</v>
      </c>
      <c r="X133" s="20">
        <f t="shared" ca="1" si="219"/>
        <v>1048.9820634944913</v>
      </c>
      <c r="Y133" s="41">
        <f t="shared" si="220"/>
        <v>0.59577950092730902</v>
      </c>
      <c r="Z133" s="41">
        <f t="shared" ca="1" si="221"/>
        <v>157.01383863559343</v>
      </c>
      <c r="AA133" s="14">
        <f t="shared" ca="1" si="222"/>
        <v>1089.52204042832</v>
      </c>
      <c r="AB133" s="14">
        <f t="shared" si="249"/>
        <v>4592.8230205114587</v>
      </c>
      <c r="AC133" s="25">
        <f t="shared" ca="1" si="223"/>
        <v>430481.02662103856</v>
      </c>
      <c r="AD133" s="41">
        <f t="shared" si="224"/>
        <v>1814670.1907758124</v>
      </c>
      <c r="AE133" s="6">
        <v>100</v>
      </c>
      <c r="AF133" s="41">
        <f t="shared" si="225"/>
        <v>4592.8230205114587</v>
      </c>
      <c r="AG133" s="41">
        <f t="shared" ca="1" si="226"/>
        <v>3503.3009800831387</v>
      </c>
      <c r="AH133" s="41">
        <f t="shared" ca="1" si="227"/>
        <v>1384189.1641547738</v>
      </c>
      <c r="AI133" s="41">
        <f t="shared" si="228"/>
        <v>3561.1008742683102</v>
      </c>
      <c r="AJ133" s="13">
        <f t="shared" ca="1" si="229"/>
        <v>106.77725869739027</v>
      </c>
      <c r="AK133" s="11"/>
      <c r="AL133" s="6">
        <v>350</v>
      </c>
      <c r="AM133" s="41">
        <f t="shared" ca="1" si="230"/>
        <v>3.2778515225972393</v>
      </c>
      <c r="AN133" s="41">
        <f t="shared" ca="1" si="231"/>
        <v>3.2424333119007613</v>
      </c>
      <c r="AO133" s="41">
        <f t="shared" ca="1" si="232"/>
        <v>0.20521704982343811</v>
      </c>
      <c r="AP133" s="67">
        <f t="shared" si="250"/>
        <v>0.77536209393754185</v>
      </c>
      <c r="AQ133" s="11">
        <f t="shared" si="233"/>
        <v>1.0073664457183757</v>
      </c>
      <c r="AR133" s="11">
        <f t="shared" si="234"/>
        <v>0.78638843581115314</v>
      </c>
      <c r="AS133" s="11">
        <f t="shared" si="235"/>
        <v>0.78063790902858765</v>
      </c>
      <c r="AT133" s="11">
        <f t="shared" si="236"/>
        <v>522.49075440074989</v>
      </c>
      <c r="AU133" s="11">
        <f t="shared" si="237"/>
        <v>1664.1709356322783</v>
      </c>
      <c r="AV133" s="11">
        <f t="shared" si="238"/>
        <v>1.85549824597005E-3</v>
      </c>
      <c r="AW133" s="11">
        <f t="shared" si="239"/>
        <v>3.7585832879320501E-7</v>
      </c>
      <c r="AX133" s="41">
        <f t="shared" ca="1" si="240"/>
        <v>1.6622987443842052</v>
      </c>
      <c r="AY133" s="41">
        <f t="shared" ca="1" si="241"/>
        <v>2.2391494344883931</v>
      </c>
      <c r="AZ133" s="41">
        <f t="shared" si="242"/>
        <v>0.25408517683032078</v>
      </c>
      <c r="BA133" s="167">
        <f t="shared" si="251"/>
        <v>0.43421798280182067</v>
      </c>
    </row>
    <row r="134" spans="1:53" ht="14.5">
      <c r="A134" s="41">
        <f t="shared" ca="1" si="243"/>
        <v>15692.474051418882</v>
      </c>
      <c r="B134" s="41">
        <f t="shared" ca="1" si="205"/>
        <v>261.5412341903147</v>
      </c>
      <c r="C134" s="41">
        <f t="shared" ca="1" si="205"/>
        <v>4.3590205698385782</v>
      </c>
      <c r="D134" s="41">
        <f t="shared" ca="1" si="244"/>
        <v>13110.101461506978</v>
      </c>
      <c r="E134" s="41">
        <f t="shared" ca="1" si="245"/>
        <v>893.47379896558493</v>
      </c>
      <c r="F134" s="41">
        <f t="shared" ca="1" si="246"/>
        <v>2.0401578827575126</v>
      </c>
      <c r="G134" s="41"/>
      <c r="H134" s="7">
        <f t="shared" si="247"/>
        <v>6850</v>
      </c>
      <c r="I134" s="6">
        <v>15</v>
      </c>
      <c r="J134" s="41">
        <f t="shared" si="207"/>
        <v>0.35954795746593787</v>
      </c>
      <c r="K134" s="41">
        <f t="shared" si="208"/>
        <v>402.41132968541916</v>
      </c>
      <c r="L134" s="6">
        <f t="shared" si="252"/>
        <v>210.25</v>
      </c>
      <c r="M134" s="41">
        <f t="shared" si="209"/>
        <v>238.42227425733589</v>
      </c>
      <c r="N134" s="41">
        <f t="shared" si="210"/>
        <v>148.61149061913324</v>
      </c>
      <c r="O134" s="41">
        <f t="shared" si="211"/>
        <v>1968764.5699958606</v>
      </c>
      <c r="P134" s="41">
        <f t="shared" si="212"/>
        <v>12640851.959064655</v>
      </c>
      <c r="Q134" s="41">
        <f t="shared" si="213"/>
        <v>2.859419406987656E-3</v>
      </c>
      <c r="R134" s="41">
        <f t="shared" si="214"/>
        <v>2.2384227498486616E-2</v>
      </c>
      <c r="S134" s="24">
        <f t="shared" ca="1" si="248"/>
        <v>15.356755558564794</v>
      </c>
      <c r="T134" s="10">
        <f t="shared" ca="1" si="215"/>
        <v>15.356755558564794</v>
      </c>
      <c r="U134" s="41">
        <f t="shared" ca="1" si="216"/>
        <v>0.36985883183087698</v>
      </c>
      <c r="V134" s="41">
        <f t="shared" ca="1" si="217"/>
        <v>3.102378656522034E-2</v>
      </c>
      <c r="W134" s="41">
        <f t="shared" ca="1" si="218"/>
        <v>11.921782373448654</v>
      </c>
      <c r="X134" s="20">
        <f t="shared" ca="1" si="219"/>
        <v>1060.4129682046637</v>
      </c>
      <c r="Y134" s="41">
        <f t="shared" si="220"/>
        <v>0.59533478674965912</v>
      </c>
      <c r="Z134" s="41">
        <f t="shared" ca="1" si="221"/>
        <v>157.97289443870085</v>
      </c>
      <c r="AA134" s="14">
        <f t="shared" ca="1" si="222"/>
        <v>1099.6762942682853</v>
      </c>
      <c r="AB134" s="14">
        <f t="shared" si="249"/>
        <v>4532.3399432619817</v>
      </c>
      <c r="AC134" s="25">
        <f t="shared" ca="1" si="223"/>
        <v>442522.19980003498</v>
      </c>
      <c r="AD134" s="41">
        <f t="shared" si="224"/>
        <v>1823864.9431543914</v>
      </c>
      <c r="AE134" s="6">
        <v>100</v>
      </c>
      <c r="AF134" s="41">
        <f t="shared" si="225"/>
        <v>4532.3399432619817</v>
      </c>
      <c r="AG134" s="41">
        <f t="shared" ca="1" si="226"/>
        <v>3432.6636489936964</v>
      </c>
      <c r="AH134" s="41">
        <f t="shared" ca="1" si="227"/>
        <v>1381342.7433543564</v>
      </c>
      <c r="AI134" s="41">
        <f t="shared" si="228"/>
        <v>3520.0368907067541</v>
      </c>
      <c r="AJ134" s="13">
        <f t="shared" ca="1" si="229"/>
        <v>106.56994186549123</v>
      </c>
      <c r="AK134" s="11"/>
      <c r="AL134" s="6">
        <v>350</v>
      </c>
      <c r="AM134" s="41">
        <f t="shared" ca="1" si="230"/>
        <v>3.284228121675786</v>
      </c>
      <c r="AN134" s="41">
        <f t="shared" ca="1" si="231"/>
        <v>3.2112789293875883</v>
      </c>
      <c r="AO134" s="41">
        <f t="shared" ca="1" si="232"/>
        <v>0.2097431606676432</v>
      </c>
      <c r="AP134" s="67">
        <f t="shared" si="250"/>
        <v>0.776648913093959</v>
      </c>
      <c r="AQ134" s="11">
        <f t="shared" si="233"/>
        <v>1.0049600732183759</v>
      </c>
      <c r="AR134" s="11">
        <f t="shared" si="234"/>
        <v>0.77603245381514641</v>
      </c>
      <c r="AS134" s="11">
        <f t="shared" si="235"/>
        <v>0.77220227399672625</v>
      </c>
      <c r="AT134" s="11">
        <f t="shared" si="236"/>
        <v>521.24264117617497</v>
      </c>
      <c r="AU134" s="11">
        <f t="shared" si="237"/>
        <v>1642.255399412689</v>
      </c>
      <c r="AV134" s="11">
        <f t="shared" si="238"/>
        <v>1.8354475850628185E-3</v>
      </c>
      <c r="AW134" s="11">
        <f t="shared" si="239"/>
        <v>3.7516161887989139E-7</v>
      </c>
      <c r="AX134" s="41">
        <f t="shared" ca="1" si="240"/>
        <v>1.6966298306702361</v>
      </c>
      <c r="AY134" s="41">
        <f t="shared" ca="1" si="241"/>
        <v>2.2853940897902385</v>
      </c>
      <c r="AZ134" s="41">
        <f t="shared" si="242"/>
        <v>0.25861330461594223</v>
      </c>
      <c r="BA134" s="167">
        <f t="shared" si="251"/>
        <v>0.44662627722841552</v>
      </c>
    </row>
    <row r="135" spans="1:53" ht="14.5">
      <c r="A135" s="41">
        <f t="shared" ca="1" si="243"/>
        <v>15695.758279540558</v>
      </c>
      <c r="B135" s="41">
        <f t="shared" ca="1" si="205"/>
        <v>261.59597132567598</v>
      </c>
      <c r="C135" s="41">
        <f t="shared" ca="1" si="205"/>
        <v>4.3599328554279326</v>
      </c>
      <c r="D135" s="41">
        <f t="shared" ca="1" si="244"/>
        <v>13106.89018257759</v>
      </c>
      <c r="E135" s="41">
        <f t="shared" ca="1" si="245"/>
        <v>893.68354212625263</v>
      </c>
      <c r="F135" s="41">
        <f t="shared" ca="1" si="246"/>
        <v>2.2499010434251558</v>
      </c>
      <c r="G135" s="41"/>
      <c r="H135" s="7">
        <f t="shared" si="247"/>
        <v>7200</v>
      </c>
      <c r="I135" s="6">
        <v>15</v>
      </c>
      <c r="J135" s="41">
        <f t="shared" si="207"/>
        <v>0.36656845792646392</v>
      </c>
      <c r="K135" s="41">
        <f t="shared" si="208"/>
        <v>409.77728863488534</v>
      </c>
      <c r="L135" s="6">
        <f t="shared" si="252"/>
        <v>213</v>
      </c>
      <c r="M135" s="41">
        <f t="shared" si="209"/>
        <v>242.78648707955142</v>
      </c>
      <c r="N135" s="41">
        <f t="shared" si="210"/>
        <v>152.43234537790283</v>
      </c>
      <c r="O135" s="41">
        <f t="shared" si="211"/>
        <v>1986776.6575522211</v>
      </c>
      <c r="P135" s="41">
        <f t="shared" si="212"/>
        <v>12756502.217985224</v>
      </c>
      <c r="Q135" s="41">
        <f t="shared" si="213"/>
        <v>2.8539780790406448E-3</v>
      </c>
      <c r="R135" s="41">
        <f t="shared" si="214"/>
        <v>2.2351146208385013E-2</v>
      </c>
      <c r="S135" s="24">
        <f t="shared" ca="1" si="248"/>
        <v>15.035903430116539</v>
      </c>
      <c r="T135" s="10">
        <f t="shared" ca="1" si="215"/>
        <v>15.035903430116541</v>
      </c>
      <c r="U135" s="41">
        <f t="shared" ca="1" si="216"/>
        <v>0.36104842838607065</v>
      </c>
      <c r="V135" s="41">
        <f t="shared" ca="1" si="217"/>
        <v>3.0584002006576034E-2</v>
      </c>
      <c r="W135" s="41">
        <f t="shared" ca="1" si="218"/>
        <v>11.805140096068515</v>
      </c>
      <c r="X135" s="20">
        <f t="shared" ca="1" si="219"/>
        <v>1072.2579660881202</v>
      </c>
      <c r="Y135" s="41">
        <f t="shared" si="220"/>
        <v>0.5948947062354577</v>
      </c>
      <c r="Z135" s="41">
        <f t="shared" ca="1" si="221"/>
        <v>158.93699335661</v>
      </c>
      <c r="AA135" s="14">
        <f t="shared" ca="1" si="222"/>
        <v>1110.2697702793548</v>
      </c>
      <c r="AB135" s="14">
        <f t="shared" si="249"/>
        <v>4472.5034532982363</v>
      </c>
      <c r="AC135" s="25">
        <f t="shared" ca="1" si="223"/>
        <v>454963.33611835103</v>
      </c>
      <c r="AD135" s="41">
        <f t="shared" si="224"/>
        <v>1832730.3385027128</v>
      </c>
      <c r="AE135" s="6">
        <v>100</v>
      </c>
      <c r="AF135" s="41">
        <f t="shared" si="225"/>
        <v>4472.5034532982363</v>
      </c>
      <c r="AG135" s="41">
        <f t="shared" ca="1" si="226"/>
        <v>3362.2336830188815</v>
      </c>
      <c r="AH135" s="41">
        <f t="shared" ca="1" si="227"/>
        <v>1377767.0023843618</v>
      </c>
      <c r="AI135" s="41">
        <f t="shared" si="228"/>
        <v>3479.346014169555</v>
      </c>
      <c r="AJ135" s="13">
        <f t="shared" ca="1" si="229"/>
        <v>106.30617614345132</v>
      </c>
      <c r="AK135" s="11"/>
      <c r="AL135" s="6">
        <v>350</v>
      </c>
      <c r="AM135" s="41">
        <f t="shared" ca="1" si="230"/>
        <v>3.2923769125860023</v>
      </c>
      <c r="AN135" s="41">
        <f t="shared" ca="1" si="231"/>
        <v>3.1820329133194369</v>
      </c>
      <c r="AO135" s="41">
        <f t="shared" ca="1" si="232"/>
        <v>0.21443828450027236</v>
      </c>
      <c r="AP135" s="67">
        <f t="shared" si="250"/>
        <v>0.77794149305881921</v>
      </c>
      <c r="AQ135" s="11">
        <f t="shared" si="233"/>
        <v>1.0025537007183758</v>
      </c>
      <c r="AR135" s="11">
        <f t="shared" si="234"/>
        <v>0.7657871812372844</v>
      </c>
      <c r="AS135" s="11">
        <f t="shared" si="235"/>
        <v>0.76383657123659576</v>
      </c>
      <c r="AT135" s="11">
        <f t="shared" si="236"/>
        <v>519.99452795159993</v>
      </c>
      <c r="AU135" s="11">
        <f t="shared" si="237"/>
        <v>1620.5741486779659</v>
      </c>
      <c r="AV135" s="11">
        <f t="shared" si="238"/>
        <v>1.8155631461722645E-3</v>
      </c>
      <c r="AW135" s="11">
        <f t="shared" si="239"/>
        <v>3.7446410524094736E-7</v>
      </c>
      <c r="AX135" s="41">
        <f t="shared" ca="1" si="240"/>
        <v>1.7315031599640676</v>
      </c>
      <c r="AY135" s="41">
        <f t="shared" ca="1" si="241"/>
        <v>2.3323691571966316</v>
      </c>
      <c r="AZ135" s="41">
        <f t="shared" si="242"/>
        <v>0.2631664762431124</v>
      </c>
      <c r="BA135" s="167">
        <f t="shared" si="251"/>
        <v>0.45842806280763604</v>
      </c>
    </row>
    <row r="136" spans="1:53" ht="14.5">
      <c r="A136" s="41">
        <f t="shared" ca="1" si="243"/>
        <v>15699.050656453144</v>
      </c>
      <c r="B136" s="41">
        <f t="shared" ca="1" si="205"/>
        <v>261.65084427421908</v>
      </c>
      <c r="C136" s="41">
        <f t="shared" ca="1" si="205"/>
        <v>4.3608474045703183</v>
      </c>
      <c r="D136" s="41">
        <f t="shared" ca="1" si="244"/>
        <v>13103.708149664271</v>
      </c>
      <c r="E136" s="41">
        <f t="shared" ca="1" si="245"/>
        <v>893.89798041075289</v>
      </c>
      <c r="F136" s="41">
        <f t="shared" ca="1" si="246"/>
        <v>2.464339327925428</v>
      </c>
      <c r="G136" s="41"/>
      <c r="H136" s="7">
        <f t="shared" si="247"/>
        <v>7550</v>
      </c>
      <c r="I136" s="6">
        <v>15</v>
      </c>
      <c r="J136" s="41">
        <f t="shared" si="207"/>
        <v>0.37366449993115985</v>
      </c>
      <c r="K136" s="41">
        <f t="shared" si="208"/>
        <v>417.208164692384</v>
      </c>
      <c r="L136" s="6">
        <f t="shared" si="252"/>
        <v>215.75</v>
      </c>
      <c r="M136" s="41">
        <f t="shared" si="209"/>
        <v>247.18916224960245</v>
      </c>
      <c r="N136" s="41">
        <f t="shared" si="210"/>
        <v>156.29468277331699</v>
      </c>
      <c r="O136" s="41">
        <f t="shared" si="211"/>
        <v>2004572.9073637347</v>
      </c>
      <c r="P136" s="41">
        <f t="shared" si="212"/>
        <v>12870766.646918111</v>
      </c>
      <c r="Q136" s="41">
        <f t="shared" si="213"/>
        <v>2.8485950596333545E-3</v>
      </c>
      <c r="R136" s="41">
        <f t="shared" si="214"/>
        <v>2.2318419412946603E-2</v>
      </c>
      <c r="S136" s="24">
        <f t="shared" ca="1" si="248"/>
        <v>14.716437459230738</v>
      </c>
      <c r="T136" s="10">
        <f t="shared" ca="1" si="215"/>
        <v>14.716437459230738</v>
      </c>
      <c r="U136" s="41">
        <f t="shared" ca="1" si="216"/>
        <v>0.35256254786928681</v>
      </c>
      <c r="V136" s="41">
        <f t="shared" ca="1" si="217"/>
        <v>3.0168822252641333E-2</v>
      </c>
      <c r="W136" s="41">
        <f t="shared" ca="1" si="218"/>
        <v>11.686321226491344</v>
      </c>
      <c r="X136" s="20">
        <f t="shared" ca="1" si="219"/>
        <v>1084.5020958328673</v>
      </c>
      <c r="Y136" s="41">
        <f t="shared" si="220"/>
        <v>0.594459020989624</v>
      </c>
      <c r="Z136" s="41">
        <f t="shared" ca="1" si="221"/>
        <v>159.90618645508277</v>
      </c>
      <c r="AA136" s="14">
        <f t="shared" ca="1" si="222"/>
        <v>1121.2859800533206</v>
      </c>
      <c r="AB136" s="14">
        <f t="shared" si="249"/>
        <v>4413.3082491050009</v>
      </c>
      <c r="AC136" s="25">
        <f t="shared" ca="1" si="223"/>
        <v>467809.66583334701</v>
      </c>
      <c r="AD136" s="41">
        <f t="shared" si="224"/>
        <v>1841268.2348308561</v>
      </c>
      <c r="AE136" s="6">
        <v>100</v>
      </c>
      <c r="AF136" s="41">
        <f t="shared" si="225"/>
        <v>4413.3082491050009</v>
      </c>
      <c r="AG136" s="41">
        <f t="shared" ca="1" si="226"/>
        <v>3292.0222690516803</v>
      </c>
      <c r="AH136" s="41">
        <f t="shared" ca="1" si="227"/>
        <v>1373458.5689975091</v>
      </c>
      <c r="AI136" s="41">
        <f t="shared" si="228"/>
        <v>3439.0249963114429</v>
      </c>
      <c r="AJ136" s="13">
        <f t="shared" ca="1" si="229"/>
        <v>105.98565611818543</v>
      </c>
      <c r="AK136" s="11"/>
      <c r="AL136" s="6">
        <v>350</v>
      </c>
      <c r="AM136" s="41">
        <f t="shared" ca="1" si="230"/>
        <v>3.3023336630544824</v>
      </c>
      <c r="AN136" s="41">
        <f t="shared" ca="1" si="231"/>
        <v>3.1546688926125266</v>
      </c>
      <c r="AO136" s="41">
        <f t="shared" ca="1" si="232"/>
        <v>0.2193117397894539</v>
      </c>
      <c r="AP136" s="67">
        <f t="shared" si="250"/>
        <v>0.77923970006148147</v>
      </c>
      <c r="AQ136" s="11">
        <f t="shared" si="233"/>
        <v>1.0001473282183759</v>
      </c>
      <c r="AR136" s="11">
        <f t="shared" si="234"/>
        <v>0.75565171034603806</v>
      </c>
      <c r="AS136" s="11">
        <f t="shared" si="235"/>
        <v>0.7555403979253007</v>
      </c>
      <c r="AT136" s="11">
        <f t="shared" si="236"/>
        <v>518.74641472702501</v>
      </c>
      <c r="AU136" s="11">
        <f t="shared" si="237"/>
        <v>1599.1252624684926</v>
      </c>
      <c r="AV136" s="11">
        <f t="shared" si="238"/>
        <v>1.7958439718286472E-3</v>
      </c>
      <c r="AW136" s="11">
        <f t="shared" si="239"/>
        <v>3.7376578562356062E-7</v>
      </c>
      <c r="AX136" s="41">
        <f t="shared" ca="1" si="240"/>
        <v>1.7669074587574174</v>
      </c>
      <c r="AY136" s="41">
        <f t="shared" ca="1" si="241"/>
        <v>2.3800594510679387</v>
      </c>
      <c r="AZ136" s="41">
        <f t="shared" si="242"/>
        <v>0.26774429892556756</v>
      </c>
      <c r="BA136" s="167">
        <f t="shared" si="251"/>
        <v>0.46967222955606402</v>
      </c>
    </row>
    <row r="137" spans="1:53" ht="14.5">
      <c r="A137" s="41">
        <f t="shared" ca="1" si="243"/>
        <v>15702.352990116198</v>
      </c>
      <c r="B137" s="41">
        <f t="shared" ca="1" si="205"/>
        <v>261.70588316860329</v>
      </c>
      <c r="C137" s="41">
        <f t="shared" ca="1" si="205"/>
        <v>4.3617647194767217</v>
      </c>
      <c r="D137" s="41">
        <f t="shared" ca="1" si="244"/>
        <v>13100.553480771659</v>
      </c>
      <c r="E137" s="41">
        <f t="shared" ca="1" si="245"/>
        <v>894.11729215054231</v>
      </c>
      <c r="F137" s="41">
        <f t="shared" ca="1" si="246"/>
        <v>2.6836510677148819</v>
      </c>
      <c r="G137" s="41"/>
      <c r="H137" s="7">
        <f t="shared" si="247"/>
        <v>7900</v>
      </c>
      <c r="I137" s="6">
        <v>15</v>
      </c>
      <c r="J137" s="41">
        <f t="shared" si="207"/>
        <v>0.38083665969583808</v>
      </c>
      <c r="K137" s="41">
        <f t="shared" si="208"/>
        <v>424.70425973821244</v>
      </c>
      <c r="L137" s="6">
        <f t="shared" si="252"/>
        <v>218.5</v>
      </c>
      <c r="M137" s="41">
        <f t="shared" si="209"/>
        <v>251.63047862673506</v>
      </c>
      <c r="N137" s="41">
        <f t="shared" si="210"/>
        <v>160.19792662562065</v>
      </c>
      <c r="O137" s="41">
        <f t="shared" si="211"/>
        <v>2022152.1672801836</v>
      </c>
      <c r="P137" s="41">
        <f t="shared" si="212"/>
        <v>12983637.848249318</v>
      </c>
      <c r="Q137" s="41">
        <f t="shared" si="213"/>
        <v>2.8432673756484802E-3</v>
      </c>
      <c r="R137" s="41">
        <f t="shared" si="214"/>
        <v>2.2286029036702123E-2</v>
      </c>
      <c r="S137" s="24">
        <f t="shared" ca="1" si="248"/>
        <v>14.39838762627636</v>
      </c>
      <c r="T137" s="10">
        <f t="shared" ca="1" si="215"/>
        <v>14.398387626276362</v>
      </c>
      <c r="U137" s="41">
        <f t="shared" ca="1" si="216"/>
        <v>0.34438558895414656</v>
      </c>
      <c r="V137" s="41">
        <f t="shared" ca="1" si="217"/>
        <v>2.9776506996891126E-2</v>
      </c>
      <c r="W137" s="41">
        <f t="shared" ca="1" si="218"/>
        <v>11.56568125972945</v>
      </c>
      <c r="X137" s="20">
        <f t="shared" ca="1" si="219"/>
        <v>1097.1309771027063</v>
      </c>
      <c r="Y137" s="41">
        <f t="shared" si="220"/>
        <v>0.59402749978509972</v>
      </c>
      <c r="Z137" s="41">
        <f t="shared" ca="1" si="221"/>
        <v>160.88052728655649</v>
      </c>
      <c r="AA137" s="14">
        <f t="shared" ca="1" si="222"/>
        <v>1132.7091925303598</v>
      </c>
      <c r="AB137" s="14">
        <f t="shared" si="249"/>
        <v>4354.7490593616949</v>
      </c>
      <c r="AC137" s="25">
        <f t="shared" ca="1" si="223"/>
        <v>481066.41911227483</v>
      </c>
      <c r="AD137" s="41">
        <f t="shared" si="224"/>
        <v>1849480.4756018855</v>
      </c>
      <c r="AE137" s="6">
        <v>100</v>
      </c>
      <c r="AF137" s="41">
        <f t="shared" si="225"/>
        <v>4354.7490593616949</v>
      </c>
      <c r="AG137" s="41">
        <f t="shared" ca="1" si="226"/>
        <v>3222.0398668313351</v>
      </c>
      <c r="AH137" s="41">
        <f t="shared" ca="1" si="227"/>
        <v>1368414.0564896106</v>
      </c>
      <c r="AI137" s="41">
        <f t="shared" si="228"/>
        <v>3399.0706152025773</v>
      </c>
      <c r="AJ137" s="13">
        <f t="shared" ca="1" si="229"/>
        <v>105.60807817519213</v>
      </c>
      <c r="AK137" s="11"/>
      <c r="AL137" s="6">
        <v>350</v>
      </c>
      <c r="AM137" s="41">
        <f t="shared" ca="1" si="230"/>
        <v>3.314140414707563</v>
      </c>
      <c r="AN137" s="41">
        <f t="shared" ca="1" si="231"/>
        <v>3.1291659161910448</v>
      </c>
      <c r="AO137" s="41">
        <f t="shared" ca="1" si="232"/>
        <v>0.22437357104272532</v>
      </c>
      <c r="AP137" s="67">
        <f t="shared" si="250"/>
        <v>0.78054339500811609</v>
      </c>
      <c r="AQ137" s="11">
        <f t="shared" si="233"/>
        <v>0.99774095571837584</v>
      </c>
      <c r="AR137" s="11">
        <f t="shared" si="234"/>
        <v>0.74562513857983947</v>
      </c>
      <c r="AS137" s="11">
        <f t="shared" si="235"/>
        <v>0.74731335253546605</v>
      </c>
      <c r="AT137" s="11">
        <f t="shared" si="236"/>
        <v>517.49830150244998</v>
      </c>
      <c r="AU137" s="11">
        <f t="shared" si="237"/>
        <v>1577.9068307654277</v>
      </c>
      <c r="AV137" s="11">
        <f t="shared" si="238"/>
        <v>1.7762891076415492E-3</v>
      </c>
      <c r="AW137" s="11">
        <f t="shared" si="239"/>
        <v>3.730666577662288E-7</v>
      </c>
      <c r="AX137" s="41">
        <f t="shared" ca="1" si="240"/>
        <v>1.802831845986067</v>
      </c>
      <c r="AY137" s="41">
        <f t="shared" ca="1" si="241"/>
        <v>2.4284503143944773</v>
      </c>
      <c r="AZ137" s="41">
        <f t="shared" si="242"/>
        <v>0.27234635983657346</v>
      </c>
      <c r="BA137" s="167">
        <f t="shared" si="251"/>
        <v>0.4804048142920827</v>
      </c>
    </row>
    <row r="138" spans="1:53" ht="14.5">
      <c r="A138" s="41">
        <f t="shared" ca="1" si="243"/>
        <v>15705.667130530906</v>
      </c>
      <c r="B138" s="41">
        <f t="shared" ca="1" si="205"/>
        <v>261.76111884218176</v>
      </c>
      <c r="C138" s="41">
        <f t="shared" ca="1" si="205"/>
        <v>4.3626853140363631</v>
      </c>
      <c r="D138" s="41">
        <f t="shared" ca="1" si="244"/>
        <v>13097.424314855469</v>
      </c>
      <c r="E138" s="41">
        <f t="shared" ca="1" si="245"/>
        <v>894.34166572158506</v>
      </c>
      <c r="F138" s="41">
        <f t="shared" ca="1" si="246"/>
        <v>2.9080246387576074</v>
      </c>
      <c r="G138" s="41"/>
      <c r="H138" s="7">
        <f t="shared" si="247"/>
        <v>8250</v>
      </c>
      <c r="I138" s="6">
        <v>15</v>
      </c>
      <c r="J138" s="41">
        <f t="shared" si="207"/>
        <v>0.38808550718415225</v>
      </c>
      <c r="K138" s="41">
        <f t="shared" si="208"/>
        <v>432.26586467534122</v>
      </c>
      <c r="L138" s="6">
        <f t="shared" si="252"/>
        <v>221.25</v>
      </c>
      <c r="M138" s="41">
        <f t="shared" si="209"/>
        <v>256.11060856630485</v>
      </c>
      <c r="N138" s="41">
        <f t="shared" si="210"/>
        <v>164.14147706651246</v>
      </c>
      <c r="O138" s="41">
        <f t="shared" si="211"/>
        <v>2039513.2584072396</v>
      </c>
      <c r="P138" s="41">
        <f t="shared" si="212"/>
        <v>13095108.252648868</v>
      </c>
      <c r="Q138" s="41">
        <f t="shared" si="213"/>
        <v>2.8379921470884782E-3</v>
      </c>
      <c r="R138" s="41">
        <f t="shared" si="214"/>
        <v>2.2253957570316504E-2</v>
      </c>
      <c r="S138" s="24">
        <f t="shared" ca="1" si="248"/>
        <v>14.081781607068681</v>
      </c>
      <c r="T138" s="10">
        <f t="shared" ca="1" si="215"/>
        <v>14.081781607068685</v>
      </c>
      <c r="U138" s="41">
        <f t="shared" ca="1" si="216"/>
        <v>0.33650290350546269</v>
      </c>
      <c r="V138" s="41">
        <f t="shared" ca="1" si="217"/>
        <v>2.9405458881600642E-2</v>
      </c>
      <c r="W138" s="41">
        <f t="shared" ca="1" si="218"/>
        <v>11.443552194181764</v>
      </c>
      <c r="X138" s="20">
        <f t="shared" ca="1" si="219"/>
        <v>1110.1307545682409</v>
      </c>
      <c r="Y138" s="41">
        <f t="shared" si="220"/>
        <v>0.59359991818199798</v>
      </c>
      <c r="Z138" s="41">
        <f t="shared" ca="1" si="221"/>
        <v>161.86007170339687</v>
      </c>
      <c r="AA138" s="14">
        <f t="shared" ca="1" si="222"/>
        <v>1144.524365564967</v>
      </c>
      <c r="AB138" s="14">
        <f t="shared" si="249"/>
        <v>4296.8206428463982</v>
      </c>
      <c r="AC138" s="25">
        <f t="shared" ca="1" si="223"/>
        <v>494738.81452293677</v>
      </c>
      <c r="AD138" s="41">
        <f t="shared" si="224"/>
        <v>1857368.8905348538</v>
      </c>
      <c r="AE138" s="6">
        <v>100</v>
      </c>
      <c r="AF138" s="41">
        <f t="shared" si="225"/>
        <v>4296.8206428463982</v>
      </c>
      <c r="AG138" s="41">
        <f t="shared" ca="1" si="226"/>
        <v>3152.2962772814312</v>
      </c>
      <c r="AH138" s="41">
        <f t="shared" ca="1" si="227"/>
        <v>1362630.0760119171</v>
      </c>
      <c r="AI138" s="41">
        <f t="shared" si="228"/>
        <v>3359.479675542982</v>
      </c>
      <c r="AJ138" s="13">
        <f t="shared" ca="1" si="229"/>
        <v>105.17314144326284</v>
      </c>
      <c r="AK138" s="11"/>
      <c r="AL138" s="6">
        <v>350</v>
      </c>
      <c r="AM138" s="41">
        <f t="shared" ca="1" si="230"/>
        <v>3.3278458282888939</v>
      </c>
      <c r="AN138" s="41">
        <f t="shared" ca="1" si="231"/>
        <v>3.1055084509658442</v>
      </c>
      <c r="AO138" s="41">
        <f t="shared" ca="1" si="232"/>
        <v>0.22963461666168208</v>
      </c>
      <c r="AP138" s="67">
        <f t="shared" si="250"/>
        <v>0.78185243341167687</v>
      </c>
      <c r="AQ138" s="11">
        <f t="shared" si="233"/>
        <v>0.99533458321837587</v>
      </c>
      <c r="AR138" s="11">
        <f t="shared" si="234"/>
        <v>0.73570656853064831</v>
      </c>
      <c r="AS138" s="11">
        <f t="shared" si="235"/>
        <v>0.7391550348343866</v>
      </c>
      <c r="AT138" s="11">
        <f t="shared" si="236"/>
        <v>516.25018827787494</v>
      </c>
      <c r="AU138" s="11">
        <f t="shared" si="237"/>
        <v>1556.9169544559284</v>
      </c>
      <c r="AV138" s="11">
        <f t="shared" si="238"/>
        <v>1.7568976022978534E-3</v>
      </c>
      <c r="AW138" s="11">
        <f t="shared" si="239"/>
        <v>3.7236671939872864E-7</v>
      </c>
      <c r="AX138" s="41">
        <f t="shared" ca="1" si="240"/>
        <v>1.8392657731847477</v>
      </c>
      <c r="AY138" s="41">
        <f t="shared" ca="1" si="241"/>
        <v>2.4775275381839585</v>
      </c>
      <c r="AZ138" s="41">
        <f t="shared" si="242"/>
        <v>0.27697222573153507</v>
      </c>
      <c r="BA138" s="167">
        <f t="shared" si="251"/>
        <v>0.49066885400609106</v>
      </c>
    </row>
    <row r="139" spans="1:53" ht="14.5">
      <c r="A139" s="41">
        <f t="shared" ca="1" si="243"/>
        <v>15708.994976359196</v>
      </c>
      <c r="B139" s="41">
        <f t="shared" ref="B139:C143" ca="1" si="253">A139/60</f>
        <v>261.81658293931991</v>
      </c>
      <c r="C139" s="41">
        <f t="shared" ca="1" si="253"/>
        <v>4.3636097156553317</v>
      </c>
      <c r="D139" s="41">
        <f t="shared" ca="1" si="244"/>
        <v>13094.318806404503</v>
      </c>
      <c r="E139" s="41">
        <f t="shared" ca="1" si="245"/>
        <v>894.57130033824672</v>
      </c>
      <c r="F139" s="41">
        <f t="shared" ca="1" si="246"/>
        <v>3.1376592554192895</v>
      </c>
      <c r="G139" s="41"/>
      <c r="H139" s="7">
        <f t="shared" si="247"/>
        <v>8600</v>
      </c>
      <c r="I139" s="6">
        <v>15</v>
      </c>
      <c r="J139" s="41">
        <f t="shared" si="207"/>
        <v>0.39541160568397987</v>
      </c>
      <c r="K139" s="41">
        <f t="shared" si="208"/>
        <v>439.89325898508525</v>
      </c>
      <c r="L139" s="6">
        <f t="shared" si="252"/>
        <v>224</v>
      </c>
      <c r="M139" s="41">
        <f t="shared" si="209"/>
        <v>260.62971765651923</v>
      </c>
      <c r="N139" s="41">
        <f t="shared" si="210"/>
        <v>168.12471001093186</v>
      </c>
      <c r="O139" s="41">
        <f t="shared" si="211"/>
        <v>2056654.9755459696</v>
      </c>
      <c r="P139" s="41">
        <f t="shared" si="212"/>
        <v>13205170.121892737</v>
      </c>
      <c r="Q139" s="41">
        <f t="shared" si="213"/>
        <v>2.8327665822211875E-3</v>
      </c>
      <c r="R139" s="41">
        <f t="shared" si="214"/>
        <v>2.2222188041076032E-2</v>
      </c>
      <c r="S139" s="24">
        <f t="shared" ca="1" si="248"/>
        <v>13.766645033594433</v>
      </c>
      <c r="T139" s="10">
        <f t="shared" ca="1" si="215"/>
        <v>13.766645033594434</v>
      </c>
      <c r="U139" s="41">
        <f t="shared" ca="1" si="216"/>
        <v>0.32890072645120305</v>
      </c>
      <c r="V139" s="41">
        <f t="shared" ca="1" si="217"/>
        <v>2.9054210043181386E-2</v>
      </c>
      <c r="W139" s="41">
        <f t="shared" ca="1" si="218"/>
        <v>11.32024329563183</v>
      </c>
      <c r="X139" s="20">
        <f t="shared" ca="1" si="219"/>
        <v>1123.4880467645121</v>
      </c>
      <c r="Y139" s="41">
        <f t="shared" si="220"/>
        <v>0.59317605817374197</v>
      </c>
      <c r="Z139" s="41">
        <f t="shared" ca="1" si="221"/>
        <v>162.84487768868786</v>
      </c>
      <c r="AA139" s="14">
        <f t="shared" ca="1" si="222"/>
        <v>1156.7170832324107</v>
      </c>
      <c r="AB139" s="14">
        <f t="shared" si="249"/>
        <v>4239.5177883399092</v>
      </c>
      <c r="AC139" s="25">
        <f t="shared" ca="1" si="223"/>
        <v>508832.04746682727</v>
      </c>
      <c r="AD139" s="41">
        <f t="shared" si="224"/>
        <v>1864935.2964380835</v>
      </c>
      <c r="AE139" s="6">
        <v>100</v>
      </c>
      <c r="AF139" s="41">
        <f t="shared" si="225"/>
        <v>4239.5177883399092</v>
      </c>
      <c r="AG139" s="41">
        <f t="shared" ca="1" si="226"/>
        <v>3082.8007051074983</v>
      </c>
      <c r="AH139" s="41">
        <f t="shared" ca="1" si="227"/>
        <v>1356103.2489712562</v>
      </c>
      <c r="AI139" s="41">
        <f t="shared" si="228"/>
        <v>3320.2490088793411</v>
      </c>
      <c r="AJ139" s="13">
        <f t="shared" ca="1" si="229"/>
        <v>104.68054874650123</v>
      </c>
      <c r="AK139" s="11"/>
      <c r="AL139" s="6">
        <v>350</v>
      </c>
      <c r="AM139" s="41">
        <f t="shared" ca="1" si="230"/>
        <v>3.3435055909725362</v>
      </c>
      <c r="AN139" s="41">
        <f t="shared" ca="1" si="231"/>
        <v>3.0836864235025274</v>
      </c>
      <c r="AO139" s="41">
        <f t="shared" ca="1" si="232"/>
        <v>0.23510658490377701</v>
      </c>
      <c r="AP139" s="67">
        <f t="shared" si="250"/>
        <v>0.78316666532480073</v>
      </c>
      <c r="AQ139" s="11">
        <f t="shared" si="233"/>
        <v>0.99292821071837589</v>
      </c>
      <c r="AR139" s="11">
        <f t="shared" si="234"/>
        <v>0.72589510792752365</v>
      </c>
      <c r="AS139" s="11">
        <f t="shared" si="235"/>
        <v>0.73106504588317034</v>
      </c>
      <c r="AT139" s="11">
        <f t="shared" si="236"/>
        <v>515.00207505330002</v>
      </c>
      <c r="AU139" s="11">
        <f t="shared" si="237"/>
        <v>1536.1537452983839</v>
      </c>
      <c r="AV139" s="11">
        <f t="shared" si="238"/>
        <v>1.7376685075597075E-3</v>
      </c>
      <c r="AW139" s="11">
        <f t="shared" si="239"/>
        <v>3.7166596824208236E-7</v>
      </c>
      <c r="AX139" s="41">
        <f t="shared" ca="1" si="240"/>
        <v>1.8761989706143616</v>
      </c>
      <c r="AY139" s="41">
        <f t="shared" ca="1" si="241"/>
        <v>2.5272772888937824</v>
      </c>
      <c r="AZ139" s="41">
        <f t="shared" si="242"/>
        <v>0.28162144257725469</v>
      </c>
      <c r="BA139" s="167">
        <f t="shared" si="251"/>
        <v>0.50050430169883242</v>
      </c>
    </row>
    <row r="140" spans="1:53" ht="14.5">
      <c r="A140" s="41">
        <f t="shared" ca="1" si="243"/>
        <v>15712.338481950168</v>
      </c>
      <c r="B140" s="41">
        <f t="shared" ca="1" si="253"/>
        <v>261.87230803250281</v>
      </c>
      <c r="C140" s="41">
        <f t="shared" ca="1" si="253"/>
        <v>4.36453846720838</v>
      </c>
      <c r="D140" s="41">
        <f t="shared" ca="1" si="244"/>
        <v>13091.235119981</v>
      </c>
      <c r="E140" s="41">
        <f t="shared" ca="1" si="245"/>
        <v>894.80640692315046</v>
      </c>
      <c r="F140" s="41">
        <f t="shared" ca="1" si="246"/>
        <v>3.3727658403230665</v>
      </c>
      <c r="G140" s="41"/>
      <c r="H140" s="7">
        <f t="shared" si="247"/>
        <v>8950</v>
      </c>
      <c r="I140" s="6">
        <v>15</v>
      </c>
      <c r="J140" s="41">
        <f t="shared" si="207"/>
        <v>0.40281551137812982</v>
      </c>
      <c r="K140" s="41">
        <f t="shared" si="208"/>
        <v>447.58671027992921</v>
      </c>
      <c r="L140" s="6">
        <f t="shared" si="252"/>
        <v>226.75</v>
      </c>
      <c r="M140" s="41">
        <f t="shared" si="209"/>
        <v>265.18796445349358</v>
      </c>
      <c r="N140" s="41">
        <f t="shared" si="210"/>
        <v>172.14697663712593</v>
      </c>
      <c r="O140" s="41">
        <f t="shared" si="211"/>
        <v>2073576.0876808634</v>
      </c>
      <c r="P140" s="41">
        <f t="shared" si="212"/>
        <v>13313815.551996335</v>
      </c>
      <c r="Q140" s="41">
        <f t="shared" si="213"/>
        <v>2.8275879730714003E-3</v>
      </c>
      <c r="R140" s="41">
        <f t="shared" si="214"/>
        <v>2.2190703985478712E-2</v>
      </c>
      <c r="S140" s="24">
        <f t="shared" ca="1" si="248"/>
        <v>13.45300173139556</v>
      </c>
      <c r="T140" s="10">
        <f t="shared" ca="1" si="215"/>
        <v>13.453001731395561</v>
      </c>
      <c r="U140" s="41">
        <f t="shared" ca="1" si="216"/>
        <v>0.32156611166999732</v>
      </c>
      <c r="V140" s="41">
        <f t="shared" ca="1" si="217"/>
        <v>2.872141007977758E-2</v>
      </c>
      <c r="W140" s="41">
        <f t="shared" ca="1" si="218"/>
        <v>11.196041934459492</v>
      </c>
      <c r="X140" s="20">
        <f t="shared" ca="1" si="219"/>
        <v>1137.1898992974204</v>
      </c>
      <c r="Y140" s="41">
        <f t="shared" si="220"/>
        <v>0.59275570785828702</v>
      </c>
      <c r="Z140" s="41">
        <f t="shared" ca="1" si="221"/>
        <v>163.83500520242694</v>
      </c>
      <c r="AA140" s="14">
        <f t="shared" ca="1" si="222"/>
        <v>1169.273498314474</v>
      </c>
      <c r="AB140" s="14">
        <f t="shared" si="249"/>
        <v>4182.8353145298888</v>
      </c>
      <c r="AC140" s="25">
        <f t="shared" ca="1" si="223"/>
        <v>523351.27852807974</v>
      </c>
      <c r="AD140" s="41">
        <f t="shared" si="224"/>
        <v>1872181.498073146</v>
      </c>
      <c r="AE140" s="6">
        <v>100</v>
      </c>
      <c r="AF140" s="41">
        <f t="shared" si="225"/>
        <v>4182.8353145298888</v>
      </c>
      <c r="AG140" s="41">
        <f t="shared" ca="1" si="226"/>
        <v>3013.5618162154151</v>
      </c>
      <c r="AH140" s="41">
        <f t="shared" ca="1" si="227"/>
        <v>1348830.2195450664</v>
      </c>
      <c r="AI140" s="41">
        <f t="shared" si="228"/>
        <v>3281.3754738238704</v>
      </c>
      <c r="AJ140" s="13">
        <f t="shared" ca="1" si="229"/>
        <v>104.13000756532345</v>
      </c>
      <c r="AK140" s="11"/>
      <c r="AL140" s="6">
        <v>350</v>
      </c>
      <c r="AM140" s="41">
        <f t="shared" ca="1" si="230"/>
        <v>3.3611828922650941</v>
      </c>
      <c r="AN140" s="41">
        <f t="shared" ca="1" si="231"/>
        <v>3.0636953071430724</v>
      </c>
      <c r="AO140" s="41">
        <f t="shared" ca="1" si="232"/>
        <v>0.24080213906213013</v>
      </c>
      <c r="AP140" s="67">
        <f t="shared" si="250"/>
        <v>0.78448593527585864</v>
      </c>
      <c r="AQ140" s="11">
        <f t="shared" si="233"/>
        <v>0.99052183821837592</v>
      </c>
      <c r="AR140" s="11">
        <f t="shared" si="234"/>
        <v>0.71618986962021247</v>
      </c>
      <c r="AS140" s="11">
        <f t="shared" si="235"/>
        <v>0.72304298803588551</v>
      </c>
      <c r="AT140" s="11">
        <f t="shared" si="236"/>
        <v>513.75396182872498</v>
      </c>
      <c r="AU140" s="11">
        <f t="shared" si="237"/>
        <v>1515.6153258876859</v>
      </c>
      <c r="AV140" s="11">
        <f t="shared" si="238"/>
        <v>1.7186008782624962E-3</v>
      </c>
      <c r="AW140" s="11">
        <f t="shared" si="239"/>
        <v>3.7096440200852477E-7</v>
      </c>
      <c r="AX140" s="41">
        <f t="shared" ca="1" si="240"/>
        <v>1.9136213986440669</v>
      </c>
      <c r="AY140" s="41">
        <f t="shared" ca="1" si="241"/>
        <v>2.5776860429417434</v>
      </c>
      <c r="AZ140" s="41">
        <f t="shared" si="242"/>
        <v>0.28629353518869882</v>
      </c>
      <c r="BA140" s="167">
        <f t="shared" si="251"/>
        <v>0.50994799554071957</v>
      </c>
    </row>
    <row r="141" spans="1:53" ht="14.5">
      <c r="A141" s="41">
        <f t="shared" ca="1" si="243"/>
        <v>15715.699664842434</v>
      </c>
      <c r="B141" s="41">
        <f t="shared" ca="1" si="253"/>
        <v>261.92832774737388</v>
      </c>
      <c r="C141" s="41">
        <f t="shared" ca="1" si="253"/>
        <v>4.3654721291228977</v>
      </c>
      <c r="D141" s="41">
        <f t="shared" ca="1" si="244"/>
        <v>13088.171424673857</v>
      </c>
      <c r="E141" s="41">
        <f t="shared" ca="1" si="245"/>
        <v>895.04720906221257</v>
      </c>
      <c r="F141" s="41">
        <f t="shared" ca="1" si="246"/>
        <v>3.6135679793851967</v>
      </c>
      <c r="G141" s="41"/>
      <c r="H141" s="7">
        <f t="shared" si="247"/>
        <v>9300</v>
      </c>
      <c r="I141" s="6">
        <v>15</v>
      </c>
      <c r="J141" s="41">
        <f t="shared" si="207"/>
        <v>0.41029777290982267</v>
      </c>
      <c r="K141" s="41">
        <f t="shared" si="208"/>
        <v>455.34647385407106</v>
      </c>
      <c r="L141" s="6">
        <f t="shared" si="252"/>
        <v>229.5</v>
      </c>
      <c r="M141" s="41">
        <f t="shared" si="209"/>
        <v>269.78550021495545</v>
      </c>
      <c r="N141" s="41">
        <f t="shared" si="210"/>
        <v>176.2076028763359</v>
      </c>
      <c r="O141" s="41">
        <f t="shared" si="211"/>
        <v>2090275.3385176582</v>
      </c>
      <c r="P141" s="41">
        <f t="shared" si="212"/>
        <v>13421036.476667715</v>
      </c>
      <c r="Q141" s="41">
        <f t="shared" si="213"/>
        <v>2.8224536912341007E-3</v>
      </c>
      <c r="R141" s="41">
        <f t="shared" si="214"/>
        <v>2.2159489423780331E-2</v>
      </c>
      <c r="S141" s="24">
        <f t="shared" ca="1" si="248"/>
        <v>13.140873935928948</v>
      </c>
      <c r="T141" s="10">
        <f t="shared" ca="1" si="215"/>
        <v>13.140873935928949</v>
      </c>
      <c r="U141" s="41">
        <f t="shared" ca="1" si="216"/>
        <v>0.31448687330479669</v>
      </c>
      <c r="V141" s="41">
        <f t="shared" ca="1" si="217"/>
        <v>2.8405815274632679E-2</v>
      </c>
      <c r="W141" s="41">
        <f t="shared" ca="1" si="218"/>
        <v>11.071214477186428</v>
      </c>
      <c r="X141" s="20">
        <f t="shared" ca="1" si="219"/>
        <v>1151.2237419769369</v>
      </c>
      <c r="Y141" s="41">
        <f t="shared" si="220"/>
        <v>0.59233866113270617</v>
      </c>
      <c r="Z141" s="41">
        <f t="shared" ca="1" si="221"/>
        <v>164.83051604117918</v>
      </c>
      <c r="AA141" s="14">
        <f t="shared" ca="1" si="222"/>
        <v>1182.1802794665041</v>
      </c>
      <c r="AB141" s="14">
        <f t="shared" si="249"/>
        <v>4126.7680699150587</v>
      </c>
      <c r="AC141" s="25">
        <f t="shared" ca="1" si="223"/>
        <v>538301.62171489291</v>
      </c>
      <c r="AD141" s="41">
        <f t="shared" si="224"/>
        <v>1879109.2890493926</v>
      </c>
      <c r="AE141" s="6">
        <v>100</v>
      </c>
      <c r="AF141" s="41">
        <f t="shared" si="225"/>
        <v>4126.7680699150587</v>
      </c>
      <c r="AG141" s="41">
        <f t="shared" ca="1" si="226"/>
        <v>2944.5877904485546</v>
      </c>
      <c r="AH141" s="41">
        <f t="shared" ca="1" si="227"/>
        <v>1340807.6673344998</v>
      </c>
      <c r="AI141" s="41">
        <f t="shared" si="228"/>
        <v>3242.8559562747937</v>
      </c>
      <c r="AJ141" s="13">
        <f t="shared" ca="1" si="229"/>
        <v>103.52123100778137</v>
      </c>
      <c r="AK141" s="11"/>
      <c r="AL141" s="6">
        <v>350</v>
      </c>
      <c r="AM141" s="41">
        <f t="shared" ca="1" si="230"/>
        <v>3.380948976289623</v>
      </c>
      <c r="AN141" s="41">
        <f t="shared" ca="1" si="231"/>
        <v>3.045536257117214</v>
      </c>
      <c r="AO141" s="41">
        <f t="shared" ca="1" si="232"/>
        <v>0.24673499315678463</v>
      </c>
      <c r="AP141" s="67">
        <f t="shared" si="250"/>
        <v>0.78581008220836157</v>
      </c>
      <c r="AQ141" s="11">
        <f t="shared" si="233"/>
        <v>0.98811546571837594</v>
      </c>
      <c r="AR141" s="11">
        <f t="shared" si="234"/>
        <v>0.70658997156274539</v>
      </c>
      <c r="AS141" s="11">
        <f t="shared" si="235"/>
        <v>0.71508846493870337</v>
      </c>
      <c r="AT141" s="11">
        <f t="shared" si="236"/>
        <v>512.50584860415006</v>
      </c>
      <c r="AU141" s="11">
        <f t="shared" si="237"/>
        <v>1495.2998296205128</v>
      </c>
      <c r="AV141" s="11">
        <f t="shared" si="238"/>
        <v>1.6996937723128039E-3</v>
      </c>
      <c r="AW141" s="11">
        <f t="shared" si="239"/>
        <v>3.7026201840146783E-7</v>
      </c>
      <c r="AX141" s="41">
        <f t="shared" ca="1" si="240"/>
        <v>1.951523203774673</v>
      </c>
      <c r="AY141" s="41">
        <f t="shared" ca="1" si="241"/>
        <v>2.6287405274686657</v>
      </c>
      <c r="AZ141" s="41">
        <f t="shared" si="242"/>
        <v>0.29098800687409687</v>
      </c>
      <c r="BA141" s="167">
        <f t="shared" si="251"/>
        <v>0.51903367315523052</v>
      </c>
    </row>
    <row r="142" spans="1:53" ht="14.5">
      <c r="A142" s="41">
        <f t="shared" ca="1" si="243"/>
        <v>15719.080613818724</v>
      </c>
      <c r="B142" s="41">
        <f t="shared" ca="1" si="253"/>
        <v>261.98467689697873</v>
      </c>
      <c r="C142" s="41">
        <f t="shared" ca="1" si="253"/>
        <v>4.3664112816163119</v>
      </c>
      <c r="D142" s="41">
        <f t="shared" ca="1" si="244"/>
        <v>13085.12588841674</v>
      </c>
      <c r="E142" s="41">
        <f t="shared" ca="1" si="245"/>
        <v>895.29394405536937</v>
      </c>
      <c r="F142" s="41">
        <f t="shared" ca="1" si="246"/>
        <v>3.8603029725419815</v>
      </c>
      <c r="G142" s="41"/>
      <c r="H142" s="7">
        <f t="shared" si="247"/>
        <v>9650</v>
      </c>
      <c r="I142" s="6">
        <v>15</v>
      </c>
      <c r="J142" s="41">
        <f t="shared" si="207"/>
        <v>0.4178589309435688</v>
      </c>
      <c r="K142" s="41">
        <f t="shared" si="208"/>
        <v>463.172792232441</v>
      </c>
      <c r="L142" s="6">
        <f t="shared" si="252"/>
        <v>232.25</v>
      </c>
      <c r="M142" s="41">
        <f t="shared" si="209"/>
        <v>274.42246863304558</v>
      </c>
      <c r="N142" s="41">
        <f t="shared" si="210"/>
        <v>180.30588891362015</v>
      </c>
      <c r="O142" s="41">
        <f t="shared" si="211"/>
        <v>2106751.4470728957</v>
      </c>
      <c r="P142" s="41">
        <f t="shared" si="212"/>
        <v>13526824.671092952</v>
      </c>
      <c r="Q142" s="41">
        <f t="shared" si="213"/>
        <v>2.8173611839868882E-3</v>
      </c>
      <c r="R142" s="41">
        <f t="shared" si="214"/>
        <v>2.2128528836359369E-2</v>
      </c>
      <c r="S142" s="24">
        <f t="shared" ca="1" si="248"/>
        <v>12.830282489950871</v>
      </c>
      <c r="T142" s="10">
        <f t="shared" ca="1" si="215"/>
        <v>12.830282489950873</v>
      </c>
      <c r="U142" s="41">
        <f t="shared" ca="1" si="216"/>
        <v>0.30765153197765072</v>
      </c>
      <c r="V142" s="41">
        <f t="shared" ca="1" si="217"/>
        <v>2.8106278930072177E-2</v>
      </c>
      <c r="W142" s="41">
        <f t="shared" ca="1" si="218"/>
        <v>10.94600721579264</v>
      </c>
      <c r="X142" s="20">
        <f t="shared" ca="1" si="219"/>
        <v>1165.5773495043877</v>
      </c>
      <c r="Y142" s="41">
        <f t="shared" si="220"/>
        <v>0.59192471740954078</v>
      </c>
      <c r="Z142" s="41">
        <f t="shared" ca="1" si="221"/>
        <v>165.83147370939218</v>
      </c>
      <c r="AA142" s="14">
        <f t="shared" ca="1" si="222"/>
        <v>1195.424562623879</v>
      </c>
      <c r="AB142" s="14">
        <f t="shared" si="249"/>
        <v>4071.3109327094548</v>
      </c>
      <c r="AC142" s="25">
        <f t="shared" ca="1" si="223"/>
        <v>553688.13257374649</v>
      </c>
      <c r="AD142" s="41">
        <f t="shared" si="224"/>
        <v>1885720.4527495019</v>
      </c>
      <c r="AE142" s="6">
        <v>100</v>
      </c>
      <c r="AF142" s="41">
        <f t="shared" si="225"/>
        <v>4071.3109327094548</v>
      </c>
      <c r="AG142" s="41">
        <f t="shared" ca="1" si="226"/>
        <v>2875.8863700855759</v>
      </c>
      <c r="AH142" s="41">
        <f t="shared" ca="1" si="227"/>
        <v>1332032.3201757553</v>
      </c>
      <c r="AI142" s="41">
        <f t="shared" si="228"/>
        <v>3204.6873696380758</v>
      </c>
      <c r="AJ142" s="13">
        <f t="shared" ca="1" si="229"/>
        <v>102.85393879229323</v>
      </c>
      <c r="AK142" s="11"/>
      <c r="AL142" s="6">
        <v>350</v>
      </c>
      <c r="AM142" s="41">
        <f t="shared" ca="1" si="230"/>
        <v>3.4028837797529756</v>
      </c>
      <c r="AN142" s="41">
        <f t="shared" ca="1" si="231"/>
        <v>3.0292162970335101</v>
      </c>
      <c r="AO142" s="41">
        <f t="shared" ca="1" si="232"/>
        <v>0.25292001964721528</v>
      </c>
      <c r="AP142" s="67">
        <f t="shared" si="250"/>
        <v>0.78713893942395563</v>
      </c>
      <c r="AQ142" s="11">
        <f t="shared" si="233"/>
        <v>0.98570909321837585</v>
      </c>
      <c r="AR142" s="11">
        <f t="shared" si="234"/>
        <v>0.69709453679704381</v>
      </c>
      <c r="AS142" s="11">
        <f t="shared" si="235"/>
        <v>0.70720108152903904</v>
      </c>
      <c r="AT142" s="11">
        <f t="shared" si="236"/>
        <v>511.25773537957497</v>
      </c>
      <c r="AU142" s="11">
        <f t="shared" si="237"/>
        <v>1475.20540066064</v>
      </c>
      <c r="AV142" s="11">
        <f t="shared" si="238"/>
        <v>1.6809462506863729E-3</v>
      </c>
      <c r="AW142" s="11">
        <f t="shared" si="239"/>
        <v>3.6955881511546951E-7</v>
      </c>
      <c r="AX142" s="41">
        <f t="shared" ca="1" si="240"/>
        <v>1.9898946787801981</v>
      </c>
      <c r="AY142" s="41">
        <f t="shared" ca="1" si="241"/>
        <v>2.6804276666482933</v>
      </c>
      <c r="AZ142" s="41">
        <f t="shared" si="242"/>
        <v>0.29570433908930377</v>
      </c>
      <c r="BA142" s="167">
        <f t="shared" si="251"/>
        <v>0.52779202369881473</v>
      </c>
    </row>
    <row r="143" spans="1:53" ht="14.5">
      <c r="A143" s="41">
        <f t="shared" ca="1" si="243"/>
        <v>15722.483497598476</v>
      </c>
      <c r="B143" s="41">
        <f t="shared" ca="1" si="253"/>
        <v>262.04139162664126</v>
      </c>
      <c r="C143" s="41">
        <f t="shared" ca="1" si="253"/>
        <v>4.3673565271106876</v>
      </c>
      <c r="D143" s="41">
        <f t="shared" ca="1" si="244"/>
        <v>13082.096672119707</v>
      </c>
      <c r="E143" s="41">
        <f t="shared" ca="1" si="245"/>
        <v>895.54686407501663</v>
      </c>
      <c r="F143" s="41">
        <f t="shared" ca="1" si="246"/>
        <v>4.113222992189197</v>
      </c>
      <c r="G143" s="41"/>
      <c r="H143" s="7">
        <f t="shared" si="247"/>
        <v>10000</v>
      </c>
      <c r="I143" s="6">
        <v>15</v>
      </c>
      <c r="J143" s="41">
        <f t="shared" si="207"/>
        <v>0.42549951772196798</v>
      </c>
      <c r="K143" s="41">
        <f t="shared" si="208"/>
        <v>471.06589471883535</v>
      </c>
      <c r="L143" s="6">
        <f t="shared" si="252"/>
        <v>235</v>
      </c>
      <c r="M143" s="41">
        <f t="shared" si="209"/>
        <v>279.09900556659443</v>
      </c>
      <c r="N143" s="41">
        <f t="shared" si="210"/>
        <v>184.44110870126713</v>
      </c>
      <c r="O143" s="41">
        <f t="shared" si="211"/>
        <v>2123003.108316463</v>
      </c>
      <c r="P143" s="41">
        <f t="shared" si="212"/>
        <v>13631171.75606169</v>
      </c>
      <c r="Q143" s="41">
        <f t="shared" si="213"/>
        <v>2.8123079706811947E-3</v>
      </c>
      <c r="R143" s="41">
        <f t="shared" si="214"/>
        <v>2.2097807141776935E-2</v>
      </c>
      <c r="S143" s="24">
        <f t="shared" ca="1" si="248"/>
        <v>12.521247023742289</v>
      </c>
      <c r="T143" s="10">
        <f t="shared" ca="1" si="215"/>
        <v>12.521247023742291</v>
      </c>
      <c r="U143" s="41">
        <f t="shared" ca="1" si="216"/>
        <v>0.30104926543754712</v>
      </c>
      <c r="V143" s="41">
        <f t="shared" ca="1" si="217"/>
        <v>2.7821742685337443E-2</v>
      </c>
      <c r="W143" s="41">
        <f t="shared" ca="1" si="218"/>
        <v>10.820647320421287</v>
      </c>
      <c r="X143" s="20">
        <f t="shared" ca="1" si="219"/>
        <v>1180.2388053835514</v>
      </c>
      <c r="Y143" s="41">
        <f t="shared" si="220"/>
        <v>0.59151368135346993</v>
      </c>
      <c r="Z143" s="41">
        <f t="shared" ca="1" si="221"/>
        <v>166.83794330069475</v>
      </c>
      <c r="AA143" s="14">
        <f t="shared" ca="1" si="222"/>
        <v>1208.9939062546189</v>
      </c>
      <c r="AB143" s="14">
        <f t="shared" si="249"/>
        <v>4016.4588107467653</v>
      </c>
      <c r="AC143" s="25">
        <f t="shared" ca="1" si="223"/>
        <v>569515.79615945183</v>
      </c>
      <c r="AD143" s="41">
        <f t="shared" si="224"/>
        <v>1892016.7632857743</v>
      </c>
      <c r="AE143" s="6">
        <v>100</v>
      </c>
      <c r="AF143" s="41">
        <f t="shared" si="225"/>
        <v>4016.4588107467653</v>
      </c>
      <c r="AG143" s="41">
        <f t="shared" ca="1" si="226"/>
        <v>2807.4649044921462</v>
      </c>
      <c r="AH143" s="41">
        <f t="shared" ca="1" si="227"/>
        <v>1322500.9671263224</v>
      </c>
      <c r="AI143" s="41">
        <f t="shared" si="228"/>
        <v>3166.8666550499343</v>
      </c>
      <c r="AJ143" s="13">
        <f t="shared" ca="1" si="229"/>
        <v>102.12785824257337</v>
      </c>
      <c r="AK143" s="11"/>
      <c r="AL143" s="6">
        <v>0</v>
      </c>
      <c r="AM143" s="41">
        <f t="shared" ca="1" si="230"/>
        <v>0</v>
      </c>
      <c r="AN143" s="41">
        <f t="shared" ca="1" si="231"/>
        <v>0</v>
      </c>
      <c r="AO143" s="41">
        <f t="shared" ca="1" si="232"/>
        <v>0</v>
      </c>
      <c r="AP143" s="67">
        <f>0.701 + 0.301*AZ143 + -0.0328*AZ143^2</f>
        <v>0.78847233452921439</v>
      </c>
      <c r="AQ143" s="11">
        <f t="shared" si="233"/>
        <v>0.98330272071837588</v>
      </c>
      <c r="AR143" s="11">
        <f t="shared" si="234"/>
        <v>0.68770269343653956</v>
      </c>
      <c r="AS143" s="11">
        <f t="shared" si="235"/>
        <v>0.69938044403469313</v>
      </c>
      <c r="AT143" s="11">
        <f t="shared" si="236"/>
        <v>510.00962215499999</v>
      </c>
      <c r="AU143" s="11">
        <f t="shared" si="237"/>
        <v>1455.3301939042735</v>
      </c>
      <c r="AV143" s="11">
        <f t="shared" si="238"/>
        <v>1.6623573774260621E-3</v>
      </c>
      <c r="AW143" s="11">
        <f t="shared" si="239"/>
        <v>3.6885478983619832E-7</v>
      </c>
      <c r="AX143" s="41">
        <f t="shared" ca="1" si="240"/>
        <v>2.0287262265195101</v>
      </c>
      <c r="AY143" s="41">
        <f t="shared" ca="1" si="241"/>
        <v>2.7327345329408503</v>
      </c>
      <c r="AZ143" s="41">
        <f t="shared" si="242"/>
        <v>0.30044199110228809</v>
      </c>
      <c r="BA143" s="167">
        <f>2.12 - (0.00251*AF143) + (1.94*10^(-6)*AF143^2) - (7.84*10^(-10)*AF143^3) + (1.7*10^(-13)*AF143^4) - (1.89*10^(-17)*AF143^5) + (8.37*10^(-22)*AF143^6)</f>
        <v>0.53625077120483677</v>
      </c>
    </row>
    <row r="144" spans="1:53" ht="14.5">
      <c r="B144" s="135">
        <f ca="1">B143-B123</f>
        <v>1.1015140496356821</v>
      </c>
      <c r="X144" s="32">
        <f ca="1">AVERAGE(X123:X143)</f>
        <v>1056.9317648598171</v>
      </c>
      <c r="AC144" s="3"/>
      <c r="AD144" s="3"/>
      <c r="AN144" s="32">
        <f ca="1">SUM(AN123:AN143)</f>
        <v>65.835094040919557</v>
      </c>
      <c r="AP144" s="145"/>
    </row>
    <row r="145" spans="1:53" ht="14.5">
      <c r="A145" s="67" t="s">
        <v>236</v>
      </c>
      <c r="B145" s="67" t="s">
        <v>120</v>
      </c>
      <c r="C145" s="67">
        <v>100</v>
      </c>
      <c r="D145" s="67" t="s">
        <v>49</v>
      </c>
      <c r="E145" s="53"/>
      <c r="F145" s="53"/>
      <c r="G145" s="53"/>
      <c r="H145" s="53"/>
      <c r="I145" s="53"/>
      <c r="J145" s="53"/>
      <c r="K145" s="53"/>
      <c r="L145" s="67" t="s">
        <v>60</v>
      </c>
      <c r="M145" s="53"/>
      <c r="N145" s="53"/>
      <c r="O145" s="53"/>
      <c r="P145" s="53"/>
      <c r="Q145" s="67"/>
      <c r="R145" s="53"/>
      <c r="S145" s="53"/>
      <c r="T145" s="53"/>
      <c r="U145" s="67"/>
      <c r="V145" s="67"/>
      <c r="W145" s="67"/>
      <c r="X145" s="67"/>
      <c r="Y145" s="53"/>
      <c r="Z145" s="53"/>
      <c r="AA145" s="67"/>
      <c r="AB145" s="67"/>
      <c r="AC145" s="53"/>
      <c r="AD145" s="53"/>
      <c r="AE145" s="53"/>
      <c r="AF145" s="67"/>
      <c r="AG145" s="53"/>
      <c r="AH145" s="53"/>
      <c r="AI145" s="53"/>
      <c r="AJ145" s="67" t="s">
        <v>61</v>
      </c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</row>
    <row r="146" spans="1:53" ht="14.5">
      <c r="A146" s="41" t="s">
        <v>2</v>
      </c>
      <c r="B146" s="41" t="s">
        <v>2</v>
      </c>
      <c r="C146" s="41" t="s">
        <v>2</v>
      </c>
      <c r="D146" s="41" t="s">
        <v>23</v>
      </c>
      <c r="E146" s="41" t="s">
        <v>24</v>
      </c>
      <c r="F146" s="41" t="s">
        <v>25</v>
      </c>
      <c r="G146" s="41"/>
      <c r="H146" s="41" t="s">
        <v>0</v>
      </c>
      <c r="I146" s="5" t="s">
        <v>26</v>
      </c>
      <c r="J146" s="41" t="s">
        <v>27</v>
      </c>
      <c r="K146" s="41" t="s">
        <v>28</v>
      </c>
      <c r="L146" s="12" t="s">
        <v>29</v>
      </c>
      <c r="M146" s="13" t="s">
        <v>30</v>
      </c>
      <c r="N146" s="41" t="s">
        <v>31</v>
      </c>
      <c r="O146" s="41" t="s">
        <v>32</v>
      </c>
      <c r="P146" s="41" t="s">
        <v>33</v>
      </c>
      <c r="Q146" s="41" t="s">
        <v>34</v>
      </c>
      <c r="R146" s="41" t="s">
        <v>13</v>
      </c>
      <c r="S146" s="24" t="s">
        <v>35</v>
      </c>
      <c r="T146" s="10" t="s">
        <v>35</v>
      </c>
      <c r="U146" s="41" t="s">
        <v>36</v>
      </c>
      <c r="V146" s="41" t="s">
        <v>37</v>
      </c>
      <c r="W146" s="41" t="s">
        <v>38</v>
      </c>
      <c r="X146" s="41" t="s">
        <v>39</v>
      </c>
      <c r="Y146" s="41" t="s">
        <v>40</v>
      </c>
      <c r="Z146" s="35" t="s">
        <v>108</v>
      </c>
      <c r="AA146" s="35" t="s">
        <v>109</v>
      </c>
      <c r="AB146" s="9" t="s">
        <v>110</v>
      </c>
      <c r="AC146" s="7" t="s">
        <v>111</v>
      </c>
      <c r="AD146" s="7" t="s">
        <v>112</v>
      </c>
      <c r="AE146" s="5" t="s">
        <v>41</v>
      </c>
      <c r="AF146" s="7" t="s">
        <v>113</v>
      </c>
      <c r="AG146" s="7" t="s">
        <v>114</v>
      </c>
      <c r="AH146" s="7" t="s">
        <v>115</v>
      </c>
      <c r="AI146" s="41" t="s">
        <v>42</v>
      </c>
      <c r="AJ146" s="41" t="s">
        <v>43</v>
      </c>
      <c r="AK146" s="36"/>
      <c r="AL146" s="5" t="s">
        <v>44</v>
      </c>
      <c r="AM146" s="41" t="s">
        <v>45</v>
      </c>
      <c r="AN146" s="41" t="s">
        <v>46</v>
      </c>
      <c r="AO146" s="5" t="s">
        <v>47</v>
      </c>
      <c r="AP146" s="53"/>
      <c r="AQ146" s="15" t="s">
        <v>62</v>
      </c>
      <c r="AR146" s="16" t="s">
        <v>63</v>
      </c>
      <c r="AS146" s="16" t="s">
        <v>64</v>
      </c>
      <c r="AT146" s="17" t="s">
        <v>65</v>
      </c>
      <c r="AU146" s="18" t="s">
        <v>66</v>
      </c>
      <c r="AV146" s="18" t="s">
        <v>67</v>
      </c>
      <c r="AW146" s="19" t="s">
        <v>68</v>
      </c>
      <c r="AX146" s="7" t="s">
        <v>207</v>
      </c>
      <c r="AY146" s="7" t="s">
        <v>208</v>
      </c>
      <c r="AZ146" s="7" t="s">
        <v>209</v>
      </c>
    </row>
    <row r="147" spans="1:53" ht="14.5">
      <c r="A147" s="41" t="s">
        <v>18</v>
      </c>
      <c r="B147" s="41" t="s">
        <v>21</v>
      </c>
      <c r="C147" s="41" t="s">
        <v>48</v>
      </c>
      <c r="D147" s="41" t="s">
        <v>8</v>
      </c>
      <c r="E147" s="41" t="s">
        <v>49</v>
      </c>
      <c r="F147" s="41" t="s">
        <v>49</v>
      </c>
      <c r="G147" s="41"/>
      <c r="H147" s="41" t="s">
        <v>9</v>
      </c>
      <c r="I147" s="5" t="s">
        <v>50</v>
      </c>
      <c r="J147" s="41"/>
      <c r="K147" s="41" t="s">
        <v>51</v>
      </c>
      <c r="L147" s="5" t="s">
        <v>52</v>
      </c>
      <c r="M147" s="41" t="s">
        <v>52</v>
      </c>
      <c r="N147" s="41" t="s">
        <v>53</v>
      </c>
      <c r="O147" s="41" t="s">
        <v>54</v>
      </c>
      <c r="P147" s="41"/>
      <c r="Q147" s="41"/>
      <c r="R147" s="41"/>
      <c r="S147" s="24" t="s">
        <v>55</v>
      </c>
      <c r="T147" s="10" t="s">
        <v>55</v>
      </c>
      <c r="U147" s="41"/>
      <c r="V147" s="41"/>
      <c r="W147" s="41"/>
      <c r="X147" s="41"/>
      <c r="Y147" s="41"/>
      <c r="Z147" s="41"/>
      <c r="AA147" s="9" t="s">
        <v>118</v>
      </c>
      <c r="AB147" s="9" t="s">
        <v>118</v>
      </c>
      <c r="AC147" s="7" t="s">
        <v>119</v>
      </c>
      <c r="AD147" s="7" t="s">
        <v>119</v>
      </c>
      <c r="AE147" s="5" t="s">
        <v>20</v>
      </c>
      <c r="AF147" s="7" t="s">
        <v>118</v>
      </c>
      <c r="AG147" s="7" t="s">
        <v>118</v>
      </c>
      <c r="AH147" s="7" t="s">
        <v>119</v>
      </c>
      <c r="AI147" s="41" t="s">
        <v>56</v>
      </c>
      <c r="AJ147" s="41" t="s">
        <v>57</v>
      </c>
      <c r="AK147" s="11"/>
      <c r="AL147" s="5" t="s">
        <v>9</v>
      </c>
      <c r="AM147" s="41" t="s">
        <v>18</v>
      </c>
      <c r="AN147" s="41" t="s">
        <v>8</v>
      </c>
      <c r="AO147" s="5" t="s">
        <v>49</v>
      </c>
      <c r="AP147" s="53"/>
      <c r="AQ147" s="11"/>
      <c r="AR147" s="11"/>
      <c r="AS147" s="11"/>
      <c r="AT147" s="11"/>
      <c r="AU147" s="11"/>
      <c r="AV147" s="11"/>
      <c r="AW147" s="11"/>
      <c r="AX147" s="41"/>
      <c r="AY147" s="41"/>
      <c r="AZ147" s="41"/>
    </row>
    <row r="148" spans="1:53" ht="14.5">
      <c r="A148" s="41">
        <f ca="1">A143</f>
        <v>15722.483497598476</v>
      </c>
      <c r="B148" s="41">
        <f t="shared" ref="B148:C148" ca="1" si="254">(A148/60)</f>
        <v>262.04139162664126</v>
      </c>
      <c r="C148" s="41">
        <f t="shared" ca="1" si="254"/>
        <v>4.3673565271106876</v>
      </c>
      <c r="D148" s="41">
        <f t="shared" ref="D148:E148" ca="1" si="255">D143</f>
        <v>13082.096672119707</v>
      </c>
      <c r="E148" s="41">
        <f t="shared" ca="1" si="255"/>
        <v>895.54686407501663</v>
      </c>
      <c r="F148" s="7">
        <v>0</v>
      </c>
      <c r="G148" s="41"/>
      <c r="H148" s="7">
        <f>H143</f>
        <v>10000</v>
      </c>
      <c r="I148" s="6">
        <v>15</v>
      </c>
      <c r="J148" s="41">
        <f t="shared" ref="J148:J168" si="256">SQRT((((((((L148^2)*(0.2))/(661.477)^2) + 1)^(3.5) - 1)*(1/AR148) + 1)^(1/3.5) - 1)*(5))</f>
        <v>0.42549951772196798</v>
      </c>
      <c r="K148" s="41">
        <f t="shared" ref="K148:K168" si="257">SQRT((1.4*2116.22*AR148*(J148)^2)/AV148)</f>
        <v>471.06589471883535</v>
      </c>
      <c r="L148" s="120">
        <v>235</v>
      </c>
      <c r="M148" s="41">
        <f t="shared" ref="M148:M168" si="258">K148*0.592484</f>
        <v>279.09900556659443</v>
      </c>
      <c r="N148" s="41">
        <f t="shared" ref="N148:N168" si="259">0.5*AV148*K148^2</f>
        <v>184.44110870126713</v>
      </c>
      <c r="O148" s="41">
        <f t="shared" ref="O148:O168" si="260">P148/$B$7</f>
        <v>2123003.108316463</v>
      </c>
      <c r="P148" s="41">
        <f t="shared" ref="P148:P168" si="261">(AV148*K148*$B$7)/(AW148)</f>
        <v>13631171.75606169</v>
      </c>
      <c r="Q148" s="41">
        <f t="shared" ref="Q148:Q168" si="262">0.455/(LOG10(P148)^2.58 * (1+0.144*J148*J148)^0.65)</f>
        <v>2.8123079706811947E-3</v>
      </c>
      <c r="R148" s="41">
        <f t="shared" ref="R148:R168" si="263">(((Q148*$B$4)+$B$17)+(0.1*(Q148*$B$4)))</f>
        <v>2.2097807141776935E-2</v>
      </c>
      <c r="S148" s="24">
        <f ca="1">T148</f>
        <v>9.958305844841072E-16</v>
      </c>
      <c r="T148" s="10">
        <f t="shared" ref="T148:T168" ca="1" si="264">DEGREES(ASIN(((AF148-X148)/(D148))))</f>
        <v>-1.9916611689682148E-15</v>
      </c>
      <c r="U148" s="41">
        <f t="shared" ref="U148:U168" ca="1" si="265">(D148*COS(RADIANS(S148)))/(N148*$B$3)</f>
        <v>0.30838396919015265</v>
      </c>
      <c r="V148" s="41">
        <f t="shared" ref="V148:V168" ca="1" si="266">(X148)/(N148*$B$3)</f>
        <v>2.8104054011750541E-2</v>
      </c>
      <c r="W148" s="41">
        <f t="shared" ref="W148:W168" ca="1" si="267">U148/V148</f>
        <v>10.972935401462534</v>
      </c>
      <c r="X148" s="20">
        <f t="shared" ref="X148:X168" ca="1" si="268">(N148*$B$3*R148)+((N148*$B$3)*((U148^2)/(PI()*$B$6*$B$5)))</f>
        <v>1192.2148626133396</v>
      </c>
      <c r="Y148" s="41">
        <f t="shared" ref="Y148:Y168" si="269">SQRT(PI()*$B$6*$B$5*R148)</f>
        <v>0.59151368135346993</v>
      </c>
      <c r="Z148" s="41">
        <f t="shared" ref="Z148:Z168" ca="1" si="270">SQRT((2*((U148*N148*$B$3)/(D148))*D148)/(AV148*$B$3*$B$18))</f>
        <v>168.85811562811568</v>
      </c>
      <c r="AA148" s="14">
        <f t="shared" ref="AA148:AA168" ca="1" si="271">D148/W148</f>
        <v>1192.2148626133398</v>
      </c>
      <c r="AB148" s="14">
        <f>$B$15*AR148*0.93</f>
        <v>4016.4588107467653</v>
      </c>
      <c r="AC148" s="25">
        <f t="shared" ref="AC148:AC168" ca="1" si="272">AA148*K148</f>
        <v>561611.76095404627</v>
      </c>
      <c r="AD148" s="41">
        <f t="shared" ref="AD148:AD168" si="273">AB148*K148</f>
        <v>1892016.7632857743</v>
      </c>
      <c r="AE148" s="5">
        <f t="shared" ref="AE148:AE168" ca="1" si="274">(AA148/AB148)*100</f>
        <v>29.683233883124917</v>
      </c>
      <c r="AF148" s="7">
        <f t="shared" ref="AF148:AF168" ca="1" si="275">(AB148)*(AE148/100)</f>
        <v>1192.2148626133398</v>
      </c>
      <c r="AG148" s="41">
        <f t="shared" ref="AG148:AG168" ca="1" si="276">AB148-AA148</f>
        <v>2824.2439481334254</v>
      </c>
      <c r="AH148" s="41">
        <f t="shared" ref="AH148:AH168" ca="1" si="277">AD148-AC148</f>
        <v>1330405.0023317281</v>
      </c>
      <c r="AI148" s="41">
        <f t="shared" ref="AI148:AI168" ca="1" si="278">(AP148*AF148)</f>
        <v>928.19164327834324</v>
      </c>
      <c r="AJ148" s="13">
        <f t="shared" ref="AJ148:AJ168" ca="1" si="279">K148*SIN(RADIANS(T148))</f>
        <v>-1.6374742756096964E-14</v>
      </c>
      <c r="AK148" s="11"/>
      <c r="AL148" s="6">
        <v>0</v>
      </c>
      <c r="AM148" s="41">
        <f t="shared" ref="AM148:AM168" si="280">(AO148/M148)*3600</f>
        <v>64.493243046346549</v>
      </c>
      <c r="AN148" s="41">
        <f t="shared" ref="AN148:AN168" ca="1" si="281">AI148*(AM148/3600)</f>
        <v>16.628358123204993</v>
      </c>
      <c r="AO148" s="6">
        <v>5</v>
      </c>
      <c r="AP148" s="67">
        <f>0.692 + 0.298*AZ148 + -0.0331*AZ148^2</f>
        <v>0.77854392893890234</v>
      </c>
      <c r="AQ148" s="11">
        <f t="shared" ref="AQ148:AQ168" si="282">IF(H148 &lt;= 36089, ((1 - 6.87535*10^(-6)*H148) + ((I148*1.8)/518.67)), 0.75187 + ((I148*1.8)/518.67))</f>
        <v>0.98330272071837588</v>
      </c>
      <c r="AR148" s="11">
        <f t="shared" ref="AR148:AR168" si="283">IF(H148 &lt;= 36089, (1 - 6.87535*10^(-6)*H148)^5.2561, 0.22336*EXP((36089 - H148)/(20806.7)))</f>
        <v>0.68770269343653956</v>
      </c>
      <c r="AS148" s="11">
        <f t="shared" ref="AS148:AS168" si="284">(AR148/AQ148)</f>
        <v>0.69938044403469313</v>
      </c>
      <c r="AT148" s="11">
        <f t="shared" ref="AT148:AT168" si="285">(518.67*AQ148)</f>
        <v>510.00962215499999</v>
      </c>
      <c r="AU148" s="11">
        <f t="shared" ref="AU148:AU168" si="286">2116.22*AR148</f>
        <v>1455.3301939042735</v>
      </c>
      <c r="AV148" s="11">
        <f t="shared" ref="AV148:AV168" si="287">(0.0023769*AS148)</f>
        <v>1.6623573774260621E-3</v>
      </c>
      <c r="AW148" s="11">
        <f t="shared" ref="AW148:AW168" si="288">((2.2697*10^-8)*(AT148^1.5))/(AT148+198.72)</f>
        <v>3.6885478983619832E-7</v>
      </c>
      <c r="AX148" s="41">
        <f t="shared" ref="AX148:AX168" ca="1" si="289">(1/U148)*(((1 + 0.2*(U148)^2)/1.2)^3)</f>
        <v>1.9856960114660025</v>
      </c>
      <c r="AY148" s="41">
        <f t="shared" ref="AY148:AY168" ca="1" si="290">($H$4/$H$3)*AX148</f>
        <v>2.6747719783588408</v>
      </c>
      <c r="AZ148" s="41">
        <f t="shared" ref="AZ148:AZ168" si="291">-6.6*10^(-3) + 0.825*J148 - 0.243*(J148^2)</f>
        <v>0.30044199110228809</v>
      </c>
      <c r="BA148" s="167">
        <f ca="1">2.12-0.00251*AF148+1.94*10^-6*AF148^2-7.84*10^-10*AF148^3+1.7*10^-13*AF148^4-1.89*10^-17*AF148^5+8.37*10^-22*AF148^6</f>
        <v>0.85678827082264153</v>
      </c>
    </row>
    <row r="149" spans="1:53" ht="14.5">
      <c r="A149" s="41">
        <f t="shared" ref="A149:A168" ca="1" si="292">A148+AM148</f>
        <v>15786.976740644823</v>
      </c>
      <c r="B149" s="41">
        <f t="shared" ref="B149:C164" ca="1" si="293">A149/60</f>
        <v>263.11627901074706</v>
      </c>
      <c r="C149" s="41">
        <f t="shared" ca="1" si="293"/>
        <v>4.3852713168457846</v>
      </c>
      <c r="D149" s="41">
        <f t="shared" ref="D149:D168" ca="1" si="294">D148-AN148</f>
        <v>13065.468313996502</v>
      </c>
      <c r="E149" s="41">
        <f t="shared" ref="E149:E168" ca="1" si="295">E148+AO148</f>
        <v>900.54686407501663</v>
      </c>
      <c r="F149" s="7">
        <f t="shared" ref="F149:F168" si="296">F148+AO148</f>
        <v>5</v>
      </c>
      <c r="G149" s="41"/>
      <c r="H149" s="7">
        <f t="shared" ref="H149:H168" si="297">H148+AL148</f>
        <v>10000</v>
      </c>
      <c r="I149" s="6">
        <v>15</v>
      </c>
      <c r="J149" s="41">
        <f t="shared" si="256"/>
        <v>0.42549951772196798</v>
      </c>
      <c r="K149" s="41">
        <f t="shared" si="257"/>
        <v>471.06589471883535</v>
      </c>
      <c r="L149" s="6">
        <f t="shared" ref="L149:L168" si="298">L148</f>
        <v>235</v>
      </c>
      <c r="M149" s="41">
        <f t="shared" si="258"/>
        <v>279.09900556659443</v>
      </c>
      <c r="N149" s="41">
        <f t="shared" si="259"/>
        <v>184.44110870126713</v>
      </c>
      <c r="O149" s="41">
        <f t="shared" si="260"/>
        <v>2123003.108316463</v>
      </c>
      <c r="P149" s="41">
        <f t="shared" si="261"/>
        <v>13631171.75606169</v>
      </c>
      <c r="Q149" s="41">
        <f t="shared" si="262"/>
        <v>2.8123079706811947E-3</v>
      </c>
      <c r="R149" s="41">
        <f t="shared" si="263"/>
        <v>2.2097807141776935E-2</v>
      </c>
      <c r="S149" s="24">
        <f t="shared" ref="S149:S168" ca="1" si="299">T149</f>
        <v>9.9709797323672483E-16</v>
      </c>
      <c r="T149" s="10">
        <f t="shared" ca="1" si="264"/>
        <v>-1.9941959464734505E-15</v>
      </c>
      <c r="U149" s="41">
        <f t="shared" ca="1" si="265"/>
        <v>0.30799198927992327</v>
      </c>
      <c r="V149" s="41">
        <f t="shared" ca="1" si="266"/>
        <v>2.8088794905718553E-2</v>
      </c>
      <c r="W149" s="41">
        <f t="shared" ca="1" si="267"/>
        <v>10.964941369457602</v>
      </c>
      <c r="X149" s="20">
        <f t="shared" ca="1" si="268"/>
        <v>1191.5675491334437</v>
      </c>
      <c r="Y149" s="41">
        <f t="shared" si="269"/>
        <v>0.59151368135346993</v>
      </c>
      <c r="Z149" s="41">
        <f t="shared" ca="1" si="270"/>
        <v>168.75076563292953</v>
      </c>
      <c r="AA149" s="14">
        <f t="shared" ca="1" si="271"/>
        <v>1191.5675491334439</v>
      </c>
      <c r="AB149" s="14">
        <f t="shared" ref="AB149:AB168" si="300">$B$15*AR149*0.93</f>
        <v>4016.4588107467653</v>
      </c>
      <c r="AC149" s="25">
        <f t="shared" ca="1" si="272"/>
        <v>561306.8336504756</v>
      </c>
      <c r="AD149" s="41">
        <f t="shared" si="273"/>
        <v>1892016.7632857743</v>
      </c>
      <c r="AE149" s="5">
        <f t="shared" ca="1" si="274"/>
        <v>29.667117360825124</v>
      </c>
      <c r="AF149" s="7">
        <f t="shared" ca="1" si="275"/>
        <v>1191.5675491334439</v>
      </c>
      <c r="AG149" s="41">
        <f t="shared" ca="1" si="276"/>
        <v>2824.8912616133211</v>
      </c>
      <c r="AH149" s="41">
        <f t="shared" ca="1" si="277"/>
        <v>1330709.9296352987</v>
      </c>
      <c r="AI149" s="41">
        <f t="shared" ca="1" si="278"/>
        <v>927.68768129845</v>
      </c>
      <c r="AJ149" s="13">
        <f t="shared" ca="1" si="279"/>
        <v>-1.6395582811744421E-14</v>
      </c>
      <c r="AK149" s="11"/>
      <c r="AL149" s="6">
        <v>0</v>
      </c>
      <c r="AM149" s="41">
        <f t="shared" si="280"/>
        <v>64.493243046346549</v>
      </c>
      <c r="AN149" s="41">
        <f t="shared" ca="1" si="281"/>
        <v>16.619329750300725</v>
      </c>
      <c r="AO149" s="6">
        <v>5</v>
      </c>
      <c r="AP149" s="67">
        <f t="shared" ref="AP149:AP168" si="301">0.692 + 0.298*AZ149 + -0.0331*AZ149^2</f>
        <v>0.77854392893890234</v>
      </c>
      <c r="AQ149" s="11">
        <f t="shared" si="282"/>
        <v>0.98330272071837588</v>
      </c>
      <c r="AR149" s="11">
        <f t="shared" si="283"/>
        <v>0.68770269343653956</v>
      </c>
      <c r="AS149" s="11">
        <f t="shared" si="284"/>
        <v>0.69938044403469313</v>
      </c>
      <c r="AT149" s="11">
        <f t="shared" si="285"/>
        <v>510.00962215499999</v>
      </c>
      <c r="AU149" s="11">
        <f t="shared" si="286"/>
        <v>1455.3301939042735</v>
      </c>
      <c r="AV149" s="11">
        <f t="shared" si="287"/>
        <v>1.6623573774260621E-3</v>
      </c>
      <c r="AW149" s="11">
        <f t="shared" si="288"/>
        <v>3.6885478983619832E-7</v>
      </c>
      <c r="AX149" s="41">
        <f t="shared" ca="1" si="289"/>
        <v>1.9879403690627697</v>
      </c>
      <c r="AY149" s="41">
        <f t="shared" ca="1" si="290"/>
        <v>2.6777951726315723</v>
      </c>
      <c r="AZ149" s="41">
        <f t="shared" si="291"/>
        <v>0.30044199110228809</v>
      </c>
      <c r="BA149" s="167">
        <f t="shared" ref="BA149:BA167" ca="1" si="302">2.12-0.00251*AF149+1.94*10^-6*AF149^2-7.84*10^-10*AF149^3+1.7*10^-13*AF149^4-1.89*10^-17*AF149^5+8.37*10^-22*AF149^6</f>
        <v>0.85695267315369228</v>
      </c>
    </row>
    <row r="150" spans="1:53" ht="14.5">
      <c r="A150" s="41">
        <f t="shared" ca="1" si="292"/>
        <v>15851.46998369117</v>
      </c>
      <c r="B150" s="41">
        <f t="shared" ca="1" si="293"/>
        <v>264.19116639485281</v>
      </c>
      <c r="C150" s="41">
        <f t="shared" ca="1" si="293"/>
        <v>4.4031861065808799</v>
      </c>
      <c r="D150" s="41">
        <f t="shared" ca="1" si="294"/>
        <v>13048.8489842462</v>
      </c>
      <c r="E150" s="41">
        <f t="shared" ca="1" si="295"/>
        <v>905.54686407501663</v>
      </c>
      <c r="F150" s="7">
        <f t="shared" si="296"/>
        <v>10</v>
      </c>
      <c r="G150" s="41"/>
      <c r="H150" s="7">
        <f t="shared" si="297"/>
        <v>10000</v>
      </c>
      <c r="I150" s="6">
        <v>15</v>
      </c>
      <c r="J150" s="41">
        <f t="shared" si="256"/>
        <v>0.42549951772196798</v>
      </c>
      <c r="K150" s="41">
        <f t="shared" si="257"/>
        <v>471.06589471883535</v>
      </c>
      <c r="L150" s="6">
        <f t="shared" si="298"/>
        <v>235</v>
      </c>
      <c r="M150" s="41">
        <f t="shared" si="258"/>
        <v>279.09900556659443</v>
      </c>
      <c r="N150" s="41">
        <f t="shared" si="259"/>
        <v>184.44110870126713</v>
      </c>
      <c r="O150" s="41">
        <f t="shared" si="260"/>
        <v>2123003.108316463</v>
      </c>
      <c r="P150" s="41">
        <f t="shared" si="261"/>
        <v>13631171.75606169</v>
      </c>
      <c r="Q150" s="41">
        <f t="shared" si="262"/>
        <v>2.8123079706811947E-3</v>
      </c>
      <c r="R150" s="41">
        <f t="shared" si="263"/>
        <v>2.2097807141776935E-2</v>
      </c>
      <c r="S150" s="24">
        <f t="shared" ca="1" si="299"/>
        <v>9.9836790133770799E-16</v>
      </c>
      <c r="T150" s="10">
        <f t="shared" ca="1" si="264"/>
        <v>-1.9967358026754164E-15</v>
      </c>
      <c r="U150" s="41">
        <f t="shared" ca="1" si="265"/>
        <v>0.30760022219532435</v>
      </c>
      <c r="V150" s="41">
        <f t="shared" ca="1" si="266"/>
        <v>2.8073563476660256E-2</v>
      </c>
      <c r="W150" s="41">
        <f t="shared" ca="1" si="267"/>
        <v>10.956935426136992</v>
      </c>
      <c r="X150" s="20">
        <f t="shared" ca="1" si="268"/>
        <v>1190.9214097510417</v>
      </c>
      <c r="Y150" s="41">
        <f t="shared" si="269"/>
        <v>0.59151368135346993</v>
      </c>
      <c r="Z150" s="41">
        <f t="shared" ca="1" si="270"/>
        <v>168.64340564545554</v>
      </c>
      <c r="AA150" s="14">
        <f t="shared" ca="1" si="271"/>
        <v>1190.9214097510419</v>
      </c>
      <c r="AB150" s="14">
        <f t="shared" si="300"/>
        <v>4016.4588107467653</v>
      </c>
      <c r="AC150" s="25">
        <f t="shared" ca="1" si="272"/>
        <v>561002.45942419127</v>
      </c>
      <c r="AD150" s="41">
        <f t="shared" si="273"/>
        <v>1892016.7632857743</v>
      </c>
      <c r="AE150" s="5">
        <f t="shared" ca="1" si="274"/>
        <v>29.651030070681049</v>
      </c>
      <c r="AF150" s="7">
        <f t="shared" ca="1" si="275"/>
        <v>1190.9214097510419</v>
      </c>
      <c r="AG150" s="41">
        <f t="shared" ca="1" si="276"/>
        <v>2825.5374009957231</v>
      </c>
      <c r="AH150" s="41">
        <f t="shared" ca="1" si="277"/>
        <v>1331014.3038615831</v>
      </c>
      <c r="AI150" s="41">
        <f t="shared" ca="1" si="278"/>
        <v>927.18463340503251</v>
      </c>
      <c r="AJ150" s="13">
        <f t="shared" ca="1" si="279"/>
        <v>-1.6416464622663201E-14</v>
      </c>
      <c r="AK150" s="11"/>
      <c r="AL150" s="6">
        <v>0</v>
      </c>
      <c r="AM150" s="41">
        <f t="shared" si="280"/>
        <v>64.493243046346549</v>
      </c>
      <c r="AN150" s="41">
        <f t="shared" ca="1" si="281"/>
        <v>16.610317753063466</v>
      </c>
      <c r="AO150" s="6">
        <v>5</v>
      </c>
      <c r="AP150" s="67">
        <f t="shared" si="301"/>
        <v>0.77854392893890234</v>
      </c>
      <c r="AQ150" s="11">
        <f t="shared" si="282"/>
        <v>0.98330272071837588</v>
      </c>
      <c r="AR150" s="11">
        <f t="shared" si="283"/>
        <v>0.68770269343653956</v>
      </c>
      <c r="AS150" s="11">
        <f t="shared" si="284"/>
        <v>0.69938044403469313</v>
      </c>
      <c r="AT150" s="11">
        <f t="shared" si="285"/>
        <v>510.00962215499999</v>
      </c>
      <c r="AU150" s="11">
        <f t="shared" si="286"/>
        <v>1455.3301939042735</v>
      </c>
      <c r="AV150" s="11">
        <f t="shared" si="287"/>
        <v>1.6623573774260621E-3</v>
      </c>
      <c r="AW150" s="11">
        <f t="shared" si="288"/>
        <v>3.6885478983619832E-7</v>
      </c>
      <c r="AX150" s="41">
        <f t="shared" ca="1" si="289"/>
        <v>1.9901896101431835</v>
      </c>
      <c r="AY150" s="41">
        <f t="shared" ca="1" si="290"/>
        <v>2.6808249450537982</v>
      </c>
      <c r="AZ150" s="41">
        <f t="shared" si="291"/>
        <v>0.30044199110228809</v>
      </c>
      <c r="BA150" s="167">
        <f t="shared" ca="1" si="302"/>
        <v>0.85711702067691031</v>
      </c>
    </row>
    <row r="151" spans="1:53" ht="14.5">
      <c r="A151" s="41">
        <f t="shared" ca="1" si="292"/>
        <v>15915.963226737516</v>
      </c>
      <c r="B151" s="41">
        <f t="shared" ca="1" si="293"/>
        <v>265.26605377895862</v>
      </c>
      <c r="C151" s="41">
        <f t="shared" ca="1" si="293"/>
        <v>4.421100896315977</v>
      </c>
      <c r="D151" s="41">
        <f t="shared" ca="1" si="294"/>
        <v>13032.238666493136</v>
      </c>
      <c r="E151" s="41">
        <f t="shared" ca="1" si="295"/>
        <v>910.54686407501663</v>
      </c>
      <c r="F151" s="7">
        <f t="shared" si="296"/>
        <v>15</v>
      </c>
      <c r="G151" s="41"/>
      <c r="H151" s="7">
        <f t="shared" si="297"/>
        <v>10000</v>
      </c>
      <c r="I151" s="6">
        <v>15</v>
      </c>
      <c r="J151" s="41">
        <f t="shared" si="256"/>
        <v>0.42549951772196798</v>
      </c>
      <c r="K151" s="41">
        <f t="shared" si="257"/>
        <v>471.06589471883535</v>
      </c>
      <c r="L151" s="6">
        <f t="shared" si="298"/>
        <v>235</v>
      </c>
      <c r="M151" s="41">
        <f t="shared" si="258"/>
        <v>279.09900556659443</v>
      </c>
      <c r="N151" s="41">
        <f t="shared" si="259"/>
        <v>184.44110870126713</v>
      </c>
      <c r="O151" s="41">
        <f t="shared" si="260"/>
        <v>2123003.108316463</v>
      </c>
      <c r="P151" s="41">
        <f t="shared" si="261"/>
        <v>13631171.75606169</v>
      </c>
      <c r="Q151" s="41">
        <f t="shared" si="262"/>
        <v>2.8123079706811947E-3</v>
      </c>
      <c r="R151" s="41">
        <f t="shared" si="263"/>
        <v>2.2097807141776935E-2</v>
      </c>
      <c r="S151" s="24">
        <f t="shared" ca="1" si="299"/>
        <v>9.9964037711873518E-16</v>
      </c>
      <c r="T151" s="10">
        <f t="shared" ca="1" si="264"/>
        <v>-1.9992807542374708E-15</v>
      </c>
      <c r="U151" s="41">
        <f t="shared" ca="1" si="265"/>
        <v>0.3072086675503326</v>
      </c>
      <c r="V151" s="41">
        <f t="shared" ca="1" si="266"/>
        <v>2.8058359678000855E-2</v>
      </c>
      <c r="W151" s="41">
        <f t="shared" ca="1" si="267"/>
        <v>10.948917580210486</v>
      </c>
      <c r="X151" s="20">
        <f t="shared" ca="1" si="268"/>
        <v>1190.2764424903633</v>
      </c>
      <c r="Y151" s="41">
        <f t="shared" si="269"/>
        <v>0.59151368135346993</v>
      </c>
      <c r="Z151" s="41">
        <f t="shared" ca="1" si="270"/>
        <v>168.53603554071111</v>
      </c>
      <c r="AA151" s="14">
        <f t="shared" ca="1" si="271"/>
        <v>1190.2764424903635</v>
      </c>
      <c r="AB151" s="14">
        <f t="shared" si="300"/>
        <v>4016.4588107467653</v>
      </c>
      <c r="AC151" s="25">
        <f t="shared" ca="1" si="272"/>
        <v>560698.63734447549</v>
      </c>
      <c r="AD151" s="41">
        <f t="shared" si="273"/>
        <v>1892016.7632857743</v>
      </c>
      <c r="AE151" s="5">
        <f t="shared" ca="1" si="274"/>
        <v>29.634971963500849</v>
      </c>
      <c r="AF151" s="7">
        <f t="shared" ca="1" si="275"/>
        <v>1190.2764424903635</v>
      </c>
      <c r="AG151" s="41">
        <f t="shared" ca="1" si="276"/>
        <v>2826.1823682564018</v>
      </c>
      <c r="AH151" s="41">
        <f t="shared" ca="1" si="277"/>
        <v>1331318.1259412989</v>
      </c>
      <c r="AI151" s="41">
        <f t="shared" ca="1" si="278"/>
        <v>926.68249805986704</v>
      </c>
      <c r="AJ151" s="13">
        <f t="shared" ca="1" si="279"/>
        <v>-1.6437388325853617E-14</v>
      </c>
      <c r="AK151" s="11"/>
      <c r="AL151" s="6">
        <v>0</v>
      </c>
      <c r="AM151" s="41">
        <f t="shared" si="280"/>
        <v>64.493243046346549</v>
      </c>
      <c r="AN151" s="41">
        <f t="shared" ca="1" si="281"/>
        <v>16.601322103936269</v>
      </c>
      <c r="AO151" s="6">
        <v>5</v>
      </c>
      <c r="AP151" s="67">
        <f t="shared" si="301"/>
        <v>0.77854392893890234</v>
      </c>
      <c r="AQ151" s="11">
        <f t="shared" si="282"/>
        <v>0.98330272071837588</v>
      </c>
      <c r="AR151" s="11">
        <f t="shared" si="283"/>
        <v>0.68770269343653956</v>
      </c>
      <c r="AS151" s="11">
        <f t="shared" si="284"/>
        <v>0.69938044403469313</v>
      </c>
      <c r="AT151" s="11">
        <f t="shared" si="285"/>
        <v>510.00962215499999</v>
      </c>
      <c r="AU151" s="11">
        <f t="shared" si="286"/>
        <v>1455.3301939042735</v>
      </c>
      <c r="AV151" s="11">
        <f t="shared" si="287"/>
        <v>1.6623573774260621E-3</v>
      </c>
      <c r="AW151" s="11">
        <f t="shared" si="288"/>
        <v>3.6885478983619832E-7</v>
      </c>
      <c r="AX151" s="41">
        <f t="shared" ca="1" si="289"/>
        <v>1.9924437502065744</v>
      </c>
      <c r="AY151" s="41">
        <f t="shared" ca="1" si="290"/>
        <v>2.6838613165034255</v>
      </c>
      <c r="AZ151" s="41">
        <f t="shared" si="291"/>
        <v>0.30044199110228809</v>
      </c>
      <c r="BA151" s="167">
        <f t="shared" ca="1" si="302"/>
        <v>0.85728131291559628</v>
      </c>
    </row>
    <row r="152" spans="1:53" ht="14.5">
      <c r="A152" s="41">
        <f t="shared" ca="1" si="292"/>
        <v>15980.456469783863</v>
      </c>
      <c r="B152" s="41">
        <f t="shared" ca="1" si="293"/>
        <v>266.34094116306437</v>
      </c>
      <c r="C152" s="41">
        <f t="shared" ca="1" si="293"/>
        <v>4.4390156860510732</v>
      </c>
      <c r="D152" s="41">
        <f t="shared" ca="1" si="294"/>
        <v>13015.637344389201</v>
      </c>
      <c r="E152" s="41">
        <f t="shared" ca="1" si="295"/>
        <v>915.54686407501663</v>
      </c>
      <c r="F152" s="7">
        <f t="shared" si="296"/>
        <v>20</v>
      </c>
      <c r="G152" s="41"/>
      <c r="H152" s="7">
        <f t="shared" si="297"/>
        <v>10000</v>
      </c>
      <c r="I152" s="6">
        <v>15</v>
      </c>
      <c r="J152" s="41">
        <f t="shared" si="256"/>
        <v>0.42549951772196798</v>
      </c>
      <c r="K152" s="41">
        <f t="shared" si="257"/>
        <v>471.06589471883535</v>
      </c>
      <c r="L152" s="6">
        <f t="shared" si="298"/>
        <v>235</v>
      </c>
      <c r="M152" s="41">
        <f t="shared" si="258"/>
        <v>279.09900556659443</v>
      </c>
      <c r="N152" s="41">
        <f t="shared" si="259"/>
        <v>184.44110870126713</v>
      </c>
      <c r="O152" s="41">
        <f t="shared" si="260"/>
        <v>2123003.108316463</v>
      </c>
      <c r="P152" s="41">
        <f t="shared" si="261"/>
        <v>13631171.75606169</v>
      </c>
      <c r="Q152" s="41">
        <f t="shared" si="262"/>
        <v>2.8123079706811947E-3</v>
      </c>
      <c r="R152" s="41">
        <f t="shared" si="263"/>
        <v>2.2097807141776935E-2</v>
      </c>
      <c r="S152" s="24">
        <f t="shared" ca="1" si="299"/>
        <v>2.0018308178954444E-15</v>
      </c>
      <c r="T152" s="10">
        <f t="shared" ca="1" si="264"/>
        <v>-1.0009154089477224E-15</v>
      </c>
      <c r="U152" s="41">
        <f t="shared" ca="1" si="265"/>
        <v>0.30681732495957448</v>
      </c>
      <c r="V152" s="41">
        <f t="shared" ca="1" si="266"/>
        <v>2.8043183463284233E-2</v>
      </c>
      <c r="W152" s="41">
        <f t="shared" ca="1" si="267"/>
        <v>10.940887840400771</v>
      </c>
      <c r="X152" s="20">
        <f t="shared" ca="1" si="268"/>
        <v>1189.6326453806723</v>
      </c>
      <c r="Y152" s="41">
        <f t="shared" si="269"/>
        <v>0.59151368135346993</v>
      </c>
      <c r="Z152" s="41">
        <f t="shared" ca="1" si="270"/>
        <v>168.42865519357125</v>
      </c>
      <c r="AA152" s="14">
        <f t="shared" ca="1" si="271"/>
        <v>1189.6326453806723</v>
      </c>
      <c r="AB152" s="14">
        <f t="shared" si="300"/>
        <v>4016.4588107467653</v>
      </c>
      <c r="AC152" s="25">
        <f t="shared" ca="1" si="272"/>
        <v>560395.36648298136</v>
      </c>
      <c r="AD152" s="41">
        <f t="shared" si="273"/>
        <v>1892016.7632857743</v>
      </c>
      <c r="AE152" s="5">
        <f t="shared" ca="1" si="274"/>
        <v>29.618942990217999</v>
      </c>
      <c r="AF152" s="7">
        <f t="shared" ca="1" si="275"/>
        <v>1189.6326453806723</v>
      </c>
      <c r="AG152" s="41">
        <f t="shared" ca="1" si="276"/>
        <v>2826.8261653660929</v>
      </c>
      <c r="AH152" s="41">
        <f t="shared" ca="1" si="277"/>
        <v>1331621.3968027928</v>
      </c>
      <c r="AI152" s="41">
        <f t="shared" ca="1" si="278"/>
        <v>926.18127372864853</v>
      </c>
      <c r="AJ152" s="13">
        <f t="shared" ca="1" si="279"/>
        <v>-8.2291770294559146E-15</v>
      </c>
      <c r="AK152" s="11"/>
      <c r="AL152" s="6">
        <v>0</v>
      </c>
      <c r="AM152" s="41">
        <f t="shared" si="280"/>
        <v>64.493243046346549</v>
      </c>
      <c r="AN152" s="41">
        <f t="shared" ca="1" si="281"/>
        <v>16.592342775432375</v>
      </c>
      <c r="AO152" s="6">
        <v>5</v>
      </c>
      <c r="AP152" s="67">
        <f t="shared" si="301"/>
        <v>0.77854392893890234</v>
      </c>
      <c r="AQ152" s="11">
        <f t="shared" si="282"/>
        <v>0.98330272071837588</v>
      </c>
      <c r="AR152" s="11">
        <f t="shared" si="283"/>
        <v>0.68770269343653956</v>
      </c>
      <c r="AS152" s="11">
        <f t="shared" si="284"/>
        <v>0.69938044403469313</v>
      </c>
      <c r="AT152" s="11">
        <f t="shared" si="285"/>
        <v>510.00962215499999</v>
      </c>
      <c r="AU152" s="11">
        <f t="shared" si="286"/>
        <v>1455.3301939042735</v>
      </c>
      <c r="AV152" s="11">
        <f t="shared" si="287"/>
        <v>1.6623573774260621E-3</v>
      </c>
      <c r="AW152" s="11">
        <f t="shared" si="288"/>
        <v>3.6885478983619832E-7</v>
      </c>
      <c r="AX152" s="41">
        <f t="shared" ca="1" si="289"/>
        <v>1.9947028048209903</v>
      </c>
      <c r="AY152" s="41">
        <f t="shared" ca="1" si="290"/>
        <v>2.6869043079509236</v>
      </c>
      <c r="AZ152" s="41">
        <f t="shared" si="291"/>
        <v>0.30044199110228809</v>
      </c>
      <c r="BA152" s="167">
        <f t="shared" ca="1" si="302"/>
        <v>0.85744554939369788</v>
      </c>
    </row>
    <row r="153" spans="1:53" ht="14.5">
      <c r="A153" s="41">
        <f t="shared" ca="1" si="292"/>
        <v>16044.94971283021</v>
      </c>
      <c r="B153" s="41">
        <f t="shared" ca="1" si="293"/>
        <v>267.41582854717018</v>
      </c>
      <c r="C153" s="41">
        <f t="shared" ca="1" si="293"/>
        <v>4.4569304757861694</v>
      </c>
      <c r="D153" s="41">
        <f t="shared" ca="1" si="294"/>
        <v>12999.045001613767</v>
      </c>
      <c r="E153" s="41">
        <f t="shared" ca="1" si="295"/>
        <v>920.54686407501663</v>
      </c>
      <c r="F153" s="7">
        <f t="shared" si="296"/>
        <v>25</v>
      </c>
      <c r="G153" s="41"/>
      <c r="H153" s="7">
        <f t="shared" si="297"/>
        <v>10000</v>
      </c>
      <c r="I153" s="6">
        <v>15</v>
      </c>
      <c r="J153" s="41">
        <f t="shared" si="256"/>
        <v>0.42549951772196798</v>
      </c>
      <c r="K153" s="41">
        <f t="shared" si="257"/>
        <v>471.06589471883535</v>
      </c>
      <c r="L153" s="6">
        <f t="shared" si="298"/>
        <v>235</v>
      </c>
      <c r="M153" s="41">
        <f t="shared" si="258"/>
        <v>279.09900556659443</v>
      </c>
      <c r="N153" s="41">
        <f t="shared" si="259"/>
        <v>184.44110870126713</v>
      </c>
      <c r="O153" s="41">
        <f t="shared" si="260"/>
        <v>2123003.108316463</v>
      </c>
      <c r="P153" s="41">
        <f t="shared" si="261"/>
        <v>13631171.75606169</v>
      </c>
      <c r="Q153" s="41">
        <f t="shared" si="262"/>
        <v>2.8123079706811947E-3</v>
      </c>
      <c r="R153" s="41">
        <f t="shared" si="263"/>
        <v>2.2097807141776935E-2</v>
      </c>
      <c r="S153" s="24">
        <f t="shared" ca="1" si="299"/>
        <v>0</v>
      </c>
      <c r="T153" s="10">
        <f t="shared" ca="1" si="264"/>
        <v>-3.0065790156870582E-15</v>
      </c>
      <c r="U153" s="41">
        <f t="shared" ca="1" si="265"/>
        <v>0.30642619403832416</v>
      </c>
      <c r="V153" s="41">
        <f t="shared" ca="1" si="266"/>
        <v>2.8028034786172617E-2</v>
      </c>
      <c r="W153" s="41">
        <f t="shared" ca="1" si="267"/>
        <v>10.932846215443432</v>
      </c>
      <c r="X153" s="20">
        <f t="shared" ca="1" si="268"/>
        <v>1188.9900164562525</v>
      </c>
      <c r="Y153" s="41">
        <f t="shared" si="269"/>
        <v>0.59151368135346993</v>
      </c>
      <c r="Z153" s="41">
        <f t="shared" ca="1" si="270"/>
        <v>168.32126447876774</v>
      </c>
      <c r="AA153" s="14">
        <f t="shared" ca="1" si="271"/>
        <v>1188.9900164562528</v>
      </c>
      <c r="AB153" s="14">
        <f t="shared" si="300"/>
        <v>4016.4588107467653</v>
      </c>
      <c r="AC153" s="25">
        <f t="shared" ca="1" si="272"/>
        <v>560092.64591372747</v>
      </c>
      <c r="AD153" s="41">
        <f t="shared" si="273"/>
        <v>1892016.7632857743</v>
      </c>
      <c r="AE153" s="5">
        <f t="shared" ca="1" si="274"/>
        <v>29.602943101891</v>
      </c>
      <c r="AF153" s="7">
        <f t="shared" ca="1" si="275"/>
        <v>1188.9900164562528</v>
      </c>
      <c r="AG153" s="41">
        <f t="shared" ca="1" si="276"/>
        <v>2827.4687942905125</v>
      </c>
      <c r="AH153" s="41">
        <f t="shared" ca="1" si="277"/>
        <v>1331924.1173720467</v>
      </c>
      <c r="AI153" s="41">
        <f t="shared" ca="1" si="278"/>
        <v>925.68095888098117</v>
      </c>
      <c r="AJ153" s="13">
        <f t="shared" ca="1" si="279"/>
        <v>-2.4719042940049657E-14</v>
      </c>
      <c r="AK153" s="11"/>
      <c r="AL153" s="6">
        <v>0</v>
      </c>
      <c r="AM153" s="41">
        <f t="shared" si="280"/>
        <v>64.493243046346549</v>
      </c>
      <c r="AN153" s="41">
        <f t="shared" ca="1" si="281"/>
        <v>16.583379740135065</v>
      </c>
      <c r="AO153" s="6">
        <v>5</v>
      </c>
      <c r="AP153" s="67">
        <f t="shared" si="301"/>
        <v>0.77854392893890234</v>
      </c>
      <c r="AQ153" s="11">
        <f t="shared" si="282"/>
        <v>0.98330272071837588</v>
      </c>
      <c r="AR153" s="11">
        <f t="shared" si="283"/>
        <v>0.68770269343653956</v>
      </c>
      <c r="AS153" s="11">
        <f t="shared" si="284"/>
        <v>0.69938044403469313</v>
      </c>
      <c r="AT153" s="11">
        <f t="shared" si="285"/>
        <v>510.00962215499999</v>
      </c>
      <c r="AU153" s="11">
        <f t="shared" si="286"/>
        <v>1455.3301939042735</v>
      </c>
      <c r="AV153" s="11">
        <f t="shared" si="287"/>
        <v>1.6623573774260621E-3</v>
      </c>
      <c r="AW153" s="11">
        <f t="shared" si="288"/>
        <v>3.6885478983619832E-7</v>
      </c>
      <c r="AX153" s="41">
        <f t="shared" ca="1" si="289"/>
        <v>1.9969667896235563</v>
      </c>
      <c r="AY153" s="41">
        <f t="shared" ca="1" si="290"/>
        <v>2.6899539404598105</v>
      </c>
      <c r="AZ153" s="41">
        <f t="shared" si="291"/>
        <v>0.30044199110228809</v>
      </c>
      <c r="BA153" s="167">
        <f t="shared" ca="1" si="302"/>
        <v>0.85760972963581084</v>
      </c>
    </row>
    <row r="154" spans="1:53" ht="14.5">
      <c r="A154" s="41">
        <f t="shared" ca="1" si="292"/>
        <v>16109.442955876557</v>
      </c>
      <c r="B154" s="41">
        <f t="shared" ca="1" si="293"/>
        <v>268.49071593127593</v>
      </c>
      <c r="C154" s="41">
        <f t="shared" ca="1" si="293"/>
        <v>4.4748452655212656</v>
      </c>
      <c r="D154" s="41">
        <f t="shared" ca="1" si="294"/>
        <v>12982.461621873632</v>
      </c>
      <c r="E154" s="41">
        <f t="shared" ca="1" si="295"/>
        <v>925.54686407501663</v>
      </c>
      <c r="F154" s="7">
        <f t="shared" si="296"/>
        <v>30</v>
      </c>
      <c r="G154" s="41"/>
      <c r="H154" s="7">
        <f t="shared" si="297"/>
        <v>10000</v>
      </c>
      <c r="I154" s="6">
        <v>15</v>
      </c>
      <c r="J154" s="41">
        <f t="shared" si="256"/>
        <v>0.42549951772196798</v>
      </c>
      <c r="K154" s="41">
        <f t="shared" si="257"/>
        <v>471.06589471883535</v>
      </c>
      <c r="L154" s="6">
        <f t="shared" si="298"/>
        <v>235</v>
      </c>
      <c r="M154" s="41">
        <f t="shared" si="258"/>
        <v>279.09900556659443</v>
      </c>
      <c r="N154" s="41">
        <f t="shared" si="259"/>
        <v>184.44110870126713</v>
      </c>
      <c r="O154" s="41">
        <f t="shared" si="260"/>
        <v>2123003.108316463</v>
      </c>
      <c r="P154" s="41">
        <f t="shared" si="261"/>
        <v>13631171.75606169</v>
      </c>
      <c r="Q154" s="41">
        <f t="shared" si="262"/>
        <v>2.8123079706811947E-3</v>
      </c>
      <c r="R154" s="41">
        <f t="shared" si="263"/>
        <v>2.2097807141776935E-2</v>
      </c>
      <c r="S154" s="24">
        <f t="shared" ca="1" si="299"/>
        <v>1.0034731744036091E-15</v>
      </c>
      <c r="T154" s="10">
        <f t="shared" ca="1" si="264"/>
        <v>-2.0069463488072189E-15</v>
      </c>
      <c r="U154" s="41">
        <f t="shared" ca="1" si="265"/>
        <v>0.30603527440250233</v>
      </c>
      <c r="V154" s="41">
        <f t="shared" ca="1" si="266"/>
        <v>2.8012913600446214E-2</v>
      </c>
      <c r="W154" s="41">
        <f t="shared" ca="1" si="267"/>
        <v>10.92479271408696</v>
      </c>
      <c r="X154" s="20">
        <f t="shared" ca="1" si="268"/>
        <v>1188.3485537563938</v>
      </c>
      <c r="Y154" s="41">
        <f t="shared" si="269"/>
        <v>0.59151368135346993</v>
      </c>
      <c r="Z154" s="41">
        <f t="shared" ca="1" si="270"/>
        <v>168.21386327088837</v>
      </c>
      <c r="AA154" s="14">
        <f t="shared" ca="1" si="271"/>
        <v>1188.3485537563943</v>
      </c>
      <c r="AB154" s="14">
        <f t="shared" si="300"/>
        <v>4016.4588107467653</v>
      </c>
      <c r="AC154" s="25">
        <f t="shared" ca="1" si="272"/>
        <v>559790.47471308988</v>
      </c>
      <c r="AD154" s="41">
        <f t="shared" si="273"/>
        <v>1892016.7632857743</v>
      </c>
      <c r="AE154" s="5">
        <f t="shared" ca="1" si="274"/>
        <v>29.586972249702942</v>
      </c>
      <c r="AF154" s="7">
        <f t="shared" ca="1" si="275"/>
        <v>1188.3485537563943</v>
      </c>
      <c r="AG154" s="41">
        <f t="shared" ca="1" si="276"/>
        <v>2828.110256990371</v>
      </c>
      <c r="AH154" s="41">
        <f t="shared" ca="1" si="277"/>
        <v>1332226.2885726844</v>
      </c>
      <c r="AI154" s="41">
        <f t="shared" ca="1" si="278"/>
        <v>925.18155199036562</v>
      </c>
      <c r="AJ154" s="13">
        <f t="shared" ca="1" si="279"/>
        <v>-1.6500412168015074E-14</v>
      </c>
      <c r="AK154" s="11"/>
      <c r="AL154" s="6">
        <v>0</v>
      </c>
      <c r="AM154" s="41">
        <f t="shared" si="280"/>
        <v>64.493243046346549</v>
      </c>
      <c r="AN154" s="41">
        <f t="shared" ca="1" si="281"/>
        <v>16.57443297069743</v>
      </c>
      <c r="AO154" s="6">
        <v>5</v>
      </c>
      <c r="AP154" s="67">
        <f t="shared" si="301"/>
        <v>0.77854392893890234</v>
      </c>
      <c r="AQ154" s="11">
        <f t="shared" si="282"/>
        <v>0.98330272071837588</v>
      </c>
      <c r="AR154" s="11">
        <f t="shared" si="283"/>
        <v>0.68770269343653956</v>
      </c>
      <c r="AS154" s="11">
        <f t="shared" si="284"/>
        <v>0.69938044403469313</v>
      </c>
      <c r="AT154" s="11">
        <f t="shared" si="285"/>
        <v>510.00962215499999</v>
      </c>
      <c r="AU154" s="11">
        <f t="shared" si="286"/>
        <v>1455.3301939042735</v>
      </c>
      <c r="AV154" s="11">
        <f t="shared" si="287"/>
        <v>1.6623573774260621E-3</v>
      </c>
      <c r="AW154" s="11">
        <f t="shared" si="288"/>
        <v>3.6885478983619832E-7</v>
      </c>
      <c r="AX154" s="41">
        <f t="shared" ca="1" si="289"/>
        <v>1.9992357203208555</v>
      </c>
      <c r="AY154" s="41">
        <f t="shared" ca="1" si="290"/>
        <v>2.6930102351871659</v>
      </c>
      <c r="AZ154" s="41">
        <f t="shared" si="291"/>
        <v>0.30044199110228809</v>
      </c>
      <c r="BA154" s="167">
        <f t="shared" ca="1" si="302"/>
        <v>0.85777385316718124</v>
      </c>
    </row>
    <row r="155" spans="1:53" ht="14.5">
      <c r="A155" s="41">
        <f t="shared" ca="1" si="292"/>
        <v>16173.936198922904</v>
      </c>
      <c r="B155" s="41">
        <f t="shared" ca="1" si="293"/>
        <v>269.56560331538174</v>
      </c>
      <c r="C155" s="41">
        <f t="shared" ca="1" si="293"/>
        <v>4.4927600552563627</v>
      </c>
      <c r="D155" s="41">
        <f t="shared" ca="1" si="294"/>
        <v>12965.887188902934</v>
      </c>
      <c r="E155" s="41">
        <f t="shared" ca="1" si="295"/>
        <v>930.54686407501663</v>
      </c>
      <c r="F155" s="7">
        <f t="shared" si="296"/>
        <v>35</v>
      </c>
      <c r="G155" s="41"/>
      <c r="H155" s="7">
        <f t="shared" si="297"/>
        <v>10000</v>
      </c>
      <c r="I155" s="6">
        <v>15</v>
      </c>
      <c r="J155" s="41">
        <f t="shared" si="256"/>
        <v>0.42549951772196798</v>
      </c>
      <c r="K155" s="41">
        <f t="shared" si="257"/>
        <v>471.06589471883535</v>
      </c>
      <c r="L155" s="6">
        <f t="shared" si="298"/>
        <v>235</v>
      </c>
      <c r="M155" s="41">
        <f t="shared" si="258"/>
        <v>279.09900556659443</v>
      </c>
      <c r="N155" s="41">
        <f t="shared" si="259"/>
        <v>184.44110870126713</v>
      </c>
      <c r="O155" s="41">
        <f t="shared" si="260"/>
        <v>2123003.108316463</v>
      </c>
      <c r="P155" s="41">
        <f t="shared" si="261"/>
        <v>13631171.75606169</v>
      </c>
      <c r="Q155" s="41">
        <f t="shared" si="262"/>
        <v>2.8123079706811947E-3</v>
      </c>
      <c r="R155" s="41">
        <f t="shared" si="263"/>
        <v>2.2097807141776935E-2</v>
      </c>
      <c r="S155" s="24">
        <f t="shared" ca="1" si="299"/>
        <v>1.0047559249493087E-15</v>
      </c>
      <c r="T155" s="10">
        <f t="shared" ca="1" si="264"/>
        <v>0</v>
      </c>
      <c r="U155" s="41">
        <f t="shared" ca="1" si="265"/>
        <v>0.30564456566867432</v>
      </c>
      <c r="V155" s="41">
        <f t="shared" ca="1" si="266"/>
        <v>2.7997819860002951E-2</v>
      </c>
      <c r="W155" s="41">
        <f t="shared" ca="1" si="267"/>
        <v>10.916727345092722</v>
      </c>
      <c r="X155" s="20">
        <f t="shared" ca="1" si="268"/>
        <v>1187.708255325379</v>
      </c>
      <c r="Y155" s="41">
        <f t="shared" si="269"/>
        <v>0.59151368135346993</v>
      </c>
      <c r="Z155" s="41">
        <f t="shared" ca="1" si="270"/>
        <v>168.10645144437567</v>
      </c>
      <c r="AA155" s="14">
        <f t="shared" ca="1" si="271"/>
        <v>1187.708255325379</v>
      </c>
      <c r="AB155" s="14">
        <f t="shared" si="300"/>
        <v>4016.4588107467653</v>
      </c>
      <c r="AC155" s="25">
        <f t="shared" ca="1" si="272"/>
        <v>559488.85195979662</v>
      </c>
      <c r="AD155" s="41">
        <f t="shared" si="273"/>
        <v>1892016.7632857743</v>
      </c>
      <c r="AE155" s="5">
        <f t="shared" ca="1" si="274"/>
        <v>29.571030384961244</v>
      </c>
      <c r="AF155" s="7">
        <f t="shared" ca="1" si="275"/>
        <v>1187.708255325379</v>
      </c>
      <c r="AG155" s="41">
        <f t="shared" ca="1" si="276"/>
        <v>2828.7505554213863</v>
      </c>
      <c r="AH155" s="41">
        <f t="shared" ca="1" si="277"/>
        <v>1332527.9113259776</v>
      </c>
      <c r="AI155" s="41">
        <f t="shared" ca="1" si="278"/>
        <v>924.68305153418953</v>
      </c>
      <c r="AJ155" s="13">
        <f t="shared" ca="1" si="279"/>
        <v>0</v>
      </c>
      <c r="AK155" s="11"/>
      <c r="AL155" s="6">
        <v>0</v>
      </c>
      <c r="AM155" s="41">
        <f t="shared" si="280"/>
        <v>64.493243046346549</v>
      </c>
      <c r="AN155" s="41">
        <f t="shared" ca="1" si="281"/>
        <v>16.565502439842188</v>
      </c>
      <c r="AO155" s="6">
        <v>5</v>
      </c>
      <c r="AP155" s="67">
        <f t="shared" si="301"/>
        <v>0.77854392893890234</v>
      </c>
      <c r="AQ155" s="11">
        <f t="shared" si="282"/>
        <v>0.98330272071837588</v>
      </c>
      <c r="AR155" s="11">
        <f t="shared" si="283"/>
        <v>0.68770269343653956</v>
      </c>
      <c r="AS155" s="11">
        <f t="shared" si="284"/>
        <v>0.69938044403469313</v>
      </c>
      <c r="AT155" s="11">
        <f t="shared" si="285"/>
        <v>510.00962215499999</v>
      </c>
      <c r="AU155" s="11">
        <f t="shared" si="286"/>
        <v>1455.3301939042735</v>
      </c>
      <c r="AV155" s="11">
        <f t="shared" si="287"/>
        <v>1.6623573774260621E-3</v>
      </c>
      <c r="AW155" s="11">
        <f t="shared" si="288"/>
        <v>3.6885478983619832E-7</v>
      </c>
      <c r="AX155" s="41">
        <f t="shared" ca="1" si="289"/>
        <v>2.0015096126893028</v>
      </c>
      <c r="AY155" s="41">
        <f t="shared" ca="1" si="290"/>
        <v>2.6960732133841341</v>
      </c>
      <c r="AZ155" s="41">
        <f t="shared" si="291"/>
        <v>0.30044199110228809</v>
      </c>
      <c r="BA155" s="167">
        <f t="shared" ca="1" si="302"/>
        <v>0.85793791951370968</v>
      </c>
    </row>
    <row r="156" spans="1:53" ht="14.5">
      <c r="A156" s="41">
        <f t="shared" ca="1" si="292"/>
        <v>16238.429441969251</v>
      </c>
      <c r="B156" s="41">
        <f t="shared" ca="1" si="293"/>
        <v>270.64049069948749</v>
      </c>
      <c r="C156" s="41">
        <f t="shared" ca="1" si="293"/>
        <v>4.510674844991458</v>
      </c>
      <c r="D156" s="41">
        <f t="shared" ca="1" si="294"/>
        <v>12949.321686463092</v>
      </c>
      <c r="E156" s="41">
        <f t="shared" ca="1" si="295"/>
        <v>935.54686407501663</v>
      </c>
      <c r="F156" s="7">
        <f t="shared" si="296"/>
        <v>40</v>
      </c>
      <c r="G156" s="41"/>
      <c r="H156" s="7">
        <f t="shared" si="297"/>
        <v>10000</v>
      </c>
      <c r="I156" s="6">
        <v>15</v>
      </c>
      <c r="J156" s="41">
        <f t="shared" si="256"/>
        <v>0.42549951772196798</v>
      </c>
      <c r="K156" s="41">
        <f t="shared" si="257"/>
        <v>471.06589471883535</v>
      </c>
      <c r="L156" s="6">
        <f t="shared" si="298"/>
        <v>235</v>
      </c>
      <c r="M156" s="41">
        <f t="shared" si="258"/>
        <v>279.09900556659443</v>
      </c>
      <c r="N156" s="41">
        <f t="shared" si="259"/>
        <v>184.44110870126713</v>
      </c>
      <c r="O156" s="41">
        <f t="shared" si="260"/>
        <v>2123003.108316463</v>
      </c>
      <c r="P156" s="41">
        <f t="shared" si="261"/>
        <v>13631171.75606169</v>
      </c>
      <c r="Q156" s="41">
        <f t="shared" si="262"/>
        <v>2.8123079706811947E-3</v>
      </c>
      <c r="R156" s="41">
        <f t="shared" si="263"/>
        <v>2.2097807141776935E-2</v>
      </c>
      <c r="S156" s="24">
        <f t="shared" ca="1" si="299"/>
        <v>1.0060412653809694E-15</v>
      </c>
      <c r="T156" s="10">
        <f t="shared" ca="1" si="264"/>
        <v>-2.0120825307619399E-15</v>
      </c>
      <c r="U156" s="41">
        <f t="shared" ca="1" si="265"/>
        <v>0.30525406745404832</v>
      </c>
      <c r="V156" s="41">
        <f t="shared" ca="1" si="266"/>
        <v>2.7982753518858112E-2</v>
      </c>
      <c r="W156" s="41">
        <f t="shared" ca="1" si="267"/>
        <v>10.908650117234952</v>
      </c>
      <c r="X156" s="20">
        <f t="shared" ca="1" si="268"/>
        <v>1187.0691192124689</v>
      </c>
      <c r="Y156" s="41">
        <f t="shared" si="269"/>
        <v>0.59151368135346993</v>
      </c>
      <c r="Z156" s="41">
        <f t="shared" ca="1" si="270"/>
        <v>167.99902887352593</v>
      </c>
      <c r="AA156" s="14">
        <f t="shared" ca="1" si="271"/>
        <v>1187.0691192124691</v>
      </c>
      <c r="AB156" s="14">
        <f t="shared" si="300"/>
        <v>4016.4588107467653</v>
      </c>
      <c r="AC156" s="25">
        <f t="shared" ca="1" si="272"/>
        <v>559187.77673492162</v>
      </c>
      <c r="AD156" s="41">
        <f t="shared" si="273"/>
        <v>1892016.7632857743</v>
      </c>
      <c r="AE156" s="5">
        <f t="shared" ca="1" si="274"/>
        <v>29.555117459097303</v>
      </c>
      <c r="AF156" s="7">
        <f t="shared" ca="1" si="275"/>
        <v>1187.0691192124691</v>
      </c>
      <c r="AG156" s="41">
        <f t="shared" ca="1" si="276"/>
        <v>2829.3896915342962</v>
      </c>
      <c r="AH156" s="41">
        <f t="shared" ca="1" si="277"/>
        <v>1332828.9865508527</v>
      </c>
      <c r="AI156" s="41">
        <f t="shared" ca="1" si="278"/>
        <v>924.18545599371794</v>
      </c>
      <c r="AJ156" s="13">
        <f t="shared" ca="1" si="279"/>
        <v>-1.6542640062783255E-14</v>
      </c>
      <c r="AK156" s="11"/>
      <c r="AL156" s="6">
        <v>0</v>
      </c>
      <c r="AM156" s="41">
        <f t="shared" si="280"/>
        <v>64.493243046346549</v>
      </c>
      <c r="AN156" s="41">
        <f t="shared" ca="1" si="281"/>
        <v>16.556588120361518</v>
      </c>
      <c r="AO156" s="6">
        <v>5</v>
      </c>
      <c r="AP156" s="67">
        <f t="shared" si="301"/>
        <v>0.77854392893890234</v>
      </c>
      <c r="AQ156" s="11">
        <f t="shared" si="282"/>
        <v>0.98330272071837588</v>
      </c>
      <c r="AR156" s="11">
        <f t="shared" si="283"/>
        <v>0.68770269343653956</v>
      </c>
      <c r="AS156" s="11">
        <f t="shared" si="284"/>
        <v>0.69938044403469313</v>
      </c>
      <c r="AT156" s="11">
        <f t="shared" si="285"/>
        <v>510.00962215499999</v>
      </c>
      <c r="AU156" s="11">
        <f t="shared" si="286"/>
        <v>1455.3301939042735</v>
      </c>
      <c r="AV156" s="11">
        <f t="shared" si="287"/>
        <v>1.6623573774260621E-3</v>
      </c>
      <c r="AW156" s="11">
        <f t="shared" si="288"/>
        <v>3.6885478983619832E-7</v>
      </c>
      <c r="AX156" s="41">
        <f t="shared" ca="1" si="289"/>
        <v>2.0037884825755246</v>
      </c>
      <c r="AY156" s="41">
        <f t="shared" ca="1" si="290"/>
        <v>2.6991428963964355</v>
      </c>
      <c r="AZ156" s="41">
        <f t="shared" si="291"/>
        <v>0.30044199110228809</v>
      </c>
      <c r="BA156" s="167">
        <f t="shared" ca="1" si="302"/>
        <v>0.8581019282019543</v>
      </c>
    </row>
    <row r="157" spans="1:53" ht="14.5">
      <c r="A157" s="41">
        <f t="shared" ca="1" si="292"/>
        <v>16302.922685015597</v>
      </c>
      <c r="B157" s="41">
        <f t="shared" ca="1" si="293"/>
        <v>271.71537808359329</v>
      </c>
      <c r="C157" s="41">
        <f t="shared" ca="1" si="293"/>
        <v>4.5285896347265551</v>
      </c>
      <c r="D157" s="41">
        <f t="shared" ca="1" si="294"/>
        <v>12932.76509834273</v>
      </c>
      <c r="E157" s="41">
        <f t="shared" ca="1" si="295"/>
        <v>940.54686407501663</v>
      </c>
      <c r="F157" s="7">
        <f t="shared" si="296"/>
        <v>45</v>
      </c>
      <c r="G157" s="41"/>
      <c r="H157" s="7">
        <f t="shared" si="297"/>
        <v>10000</v>
      </c>
      <c r="I157" s="6">
        <v>15</v>
      </c>
      <c r="J157" s="41">
        <f t="shared" si="256"/>
        <v>0.42549951772196798</v>
      </c>
      <c r="K157" s="41">
        <f t="shared" si="257"/>
        <v>471.06589471883535</v>
      </c>
      <c r="L157" s="6">
        <f t="shared" si="298"/>
        <v>235</v>
      </c>
      <c r="M157" s="41">
        <f t="shared" si="258"/>
        <v>279.09900556659443</v>
      </c>
      <c r="N157" s="41">
        <f t="shared" si="259"/>
        <v>184.44110870126713</v>
      </c>
      <c r="O157" s="41">
        <f t="shared" si="260"/>
        <v>2123003.108316463</v>
      </c>
      <c r="P157" s="41">
        <f t="shared" si="261"/>
        <v>13631171.75606169</v>
      </c>
      <c r="Q157" s="41">
        <f t="shared" si="262"/>
        <v>2.8123079706811947E-3</v>
      </c>
      <c r="R157" s="41">
        <f t="shared" si="263"/>
        <v>2.2097807141776935E-2</v>
      </c>
      <c r="S157" s="24">
        <f t="shared" ca="1" si="299"/>
        <v>1.0073292042506806E-15</v>
      </c>
      <c r="T157" s="10">
        <f t="shared" ca="1" si="264"/>
        <v>-3.0219876127520435E-15</v>
      </c>
      <c r="U157" s="41">
        <f t="shared" ca="1" si="265"/>
        <v>0.30486377937647391</v>
      </c>
      <c r="V157" s="41">
        <f t="shared" ca="1" si="266"/>
        <v>2.7967714531143995E-2</v>
      </c>
      <c r="W157" s="41">
        <f t="shared" ca="1" si="267"/>
        <v>10.900561039300758</v>
      </c>
      <c r="X157" s="20">
        <f t="shared" ca="1" si="268"/>
        <v>1186.4311434718893</v>
      </c>
      <c r="Y157" s="41">
        <f t="shared" si="269"/>
        <v>0.59151368135346993</v>
      </c>
      <c r="Z157" s="41">
        <f t="shared" ca="1" si="270"/>
        <v>167.8915954324884</v>
      </c>
      <c r="AA157" s="14">
        <f t="shared" ca="1" si="271"/>
        <v>1186.4311434718898</v>
      </c>
      <c r="AB157" s="14">
        <f t="shared" si="300"/>
        <v>4016.4588107467653</v>
      </c>
      <c r="AC157" s="25">
        <f t="shared" ca="1" si="272"/>
        <v>558887.24812187662</v>
      </c>
      <c r="AD157" s="41">
        <f t="shared" si="273"/>
        <v>1892016.7632857743</v>
      </c>
      <c r="AE157" s="5">
        <f t="shared" ca="1" si="274"/>
        <v>29.539233423666083</v>
      </c>
      <c r="AF157" s="7">
        <f t="shared" ca="1" si="275"/>
        <v>1186.4311434718898</v>
      </c>
      <c r="AG157" s="41">
        <f t="shared" ca="1" si="276"/>
        <v>2830.0276672748755</v>
      </c>
      <c r="AH157" s="41">
        <f t="shared" ca="1" si="277"/>
        <v>1333129.5151638975</v>
      </c>
      <c r="AI157" s="41">
        <f t="shared" ca="1" si="278"/>
        <v>923.68876385407964</v>
      </c>
      <c r="AJ157" s="13">
        <f t="shared" ca="1" si="279"/>
        <v>-2.4845727045309487E-14</v>
      </c>
      <c r="AK157" s="11"/>
      <c r="AL157" s="6">
        <v>0</v>
      </c>
      <c r="AM157" s="41">
        <f t="shared" si="280"/>
        <v>64.493243046346549</v>
      </c>
      <c r="AN157" s="41">
        <f t="shared" ca="1" si="281"/>
        <v>16.547689985116822</v>
      </c>
      <c r="AO157" s="6">
        <v>5</v>
      </c>
      <c r="AP157" s="67">
        <f t="shared" si="301"/>
        <v>0.77854392893890234</v>
      </c>
      <c r="AQ157" s="11">
        <f t="shared" si="282"/>
        <v>0.98330272071837588</v>
      </c>
      <c r="AR157" s="11">
        <f t="shared" si="283"/>
        <v>0.68770269343653956</v>
      </c>
      <c r="AS157" s="11">
        <f t="shared" si="284"/>
        <v>0.69938044403469313</v>
      </c>
      <c r="AT157" s="11">
        <f t="shared" si="285"/>
        <v>510.00962215499999</v>
      </c>
      <c r="AU157" s="11">
        <f t="shared" si="286"/>
        <v>1455.3301939042735</v>
      </c>
      <c r="AV157" s="11">
        <f t="shared" si="287"/>
        <v>1.6623573774260621E-3</v>
      </c>
      <c r="AW157" s="11">
        <f t="shared" si="288"/>
        <v>3.6885478983619832E-7</v>
      </c>
      <c r="AX157" s="41">
        <f t="shared" ca="1" si="289"/>
        <v>2.0060723458967362</v>
      </c>
      <c r="AY157" s="41">
        <f t="shared" ca="1" si="290"/>
        <v>2.7022193056648751</v>
      </c>
      <c r="AZ157" s="41">
        <f t="shared" si="291"/>
        <v>0.30044199110228809</v>
      </c>
      <c r="BA157" s="167">
        <f t="shared" ca="1" si="302"/>
        <v>0.85826587875912919</v>
      </c>
    </row>
    <row r="158" spans="1:53" ht="14.5">
      <c r="A158" s="41">
        <f t="shared" ca="1" si="292"/>
        <v>16367.415928061944</v>
      </c>
      <c r="B158" s="41">
        <f t="shared" ca="1" si="293"/>
        <v>272.79026546769904</v>
      </c>
      <c r="C158" s="41">
        <f t="shared" ca="1" si="293"/>
        <v>4.5465044244616504</v>
      </c>
      <c r="D158" s="41">
        <f t="shared" ca="1" si="294"/>
        <v>12916.217408357614</v>
      </c>
      <c r="E158" s="41">
        <f t="shared" ca="1" si="295"/>
        <v>945.54686407501663</v>
      </c>
      <c r="F158" s="7">
        <f t="shared" si="296"/>
        <v>50</v>
      </c>
      <c r="G158" s="41"/>
      <c r="H158" s="7">
        <f t="shared" si="297"/>
        <v>10000</v>
      </c>
      <c r="I158" s="6">
        <v>15</v>
      </c>
      <c r="J158" s="41">
        <f t="shared" si="256"/>
        <v>0.42549951772196798</v>
      </c>
      <c r="K158" s="41">
        <f t="shared" si="257"/>
        <v>471.06589471883535</v>
      </c>
      <c r="L158" s="6">
        <f t="shared" si="298"/>
        <v>235</v>
      </c>
      <c r="M158" s="41">
        <f t="shared" si="258"/>
        <v>279.09900556659443</v>
      </c>
      <c r="N158" s="41">
        <f t="shared" si="259"/>
        <v>184.44110870126713</v>
      </c>
      <c r="O158" s="41">
        <f t="shared" si="260"/>
        <v>2123003.108316463</v>
      </c>
      <c r="P158" s="41">
        <f t="shared" si="261"/>
        <v>13631171.75606169</v>
      </c>
      <c r="Q158" s="41">
        <f t="shared" si="262"/>
        <v>2.8123079706811947E-3</v>
      </c>
      <c r="R158" s="41">
        <f t="shared" si="263"/>
        <v>2.2097807141776935E-2</v>
      </c>
      <c r="S158" s="24">
        <f t="shared" ca="1" si="299"/>
        <v>1.0086197501479732E-15</v>
      </c>
      <c r="T158" s="10">
        <f t="shared" ca="1" si="264"/>
        <v>-2.0172395002959476E-15</v>
      </c>
      <c r="U158" s="41">
        <f t="shared" ca="1" si="265"/>
        <v>0.3044737010544406</v>
      </c>
      <c r="V158" s="41">
        <f t="shared" ca="1" si="266"/>
        <v>2.795270285110963E-2</v>
      </c>
      <c r="W158" s="41">
        <f t="shared" ca="1" si="267"/>
        <v>10.892460120090105</v>
      </c>
      <c r="X158" s="20">
        <f t="shared" ca="1" si="268"/>
        <v>1185.7943261628179</v>
      </c>
      <c r="Y158" s="41">
        <f t="shared" si="269"/>
        <v>0.59151368135346993</v>
      </c>
      <c r="Z158" s="41">
        <f t="shared" ca="1" si="270"/>
        <v>167.78415099526413</v>
      </c>
      <c r="AA158" s="14">
        <f t="shared" ca="1" si="271"/>
        <v>1185.7943261628179</v>
      </c>
      <c r="AB158" s="14">
        <f t="shared" si="300"/>
        <v>4016.4588107467653</v>
      </c>
      <c r="AC158" s="25">
        <f t="shared" ca="1" si="272"/>
        <v>558587.26520640624</v>
      </c>
      <c r="AD158" s="41">
        <f t="shared" si="273"/>
        <v>1892016.7632857743</v>
      </c>
      <c r="AE158" s="5">
        <f t="shared" ca="1" si="274"/>
        <v>29.523378230345841</v>
      </c>
      <c r="AF158" s="7">
        <f t="shared" ca="1" si="275"/>
        <v>1185.7943261628179</v>
      </c>
      <c r="AG158" s="41">
        <f t="shared" ca="1" si="276"/>
        <v>2830.6644845839473</v>
      </c>
      <c r="AH158" s="41">
        <f t="shared" ca="1" si="277"/>
        <v>1333429.4980793679</v>
      </c>
      <c r="AI158" s="41">
        <f t="shared" ca="1" si="278"/>
        <v>923.19297360425855</v>
      </c>
      <c r="AJ158" s="13">
        <f t="shared" ca="1" si="279"/>
        <v>-1.6585038865770488E-14</v>
      </c>
      <c r="AK158" s="11"/>
      <c r="AL158" s="6">
        <v>0</v>
      </c>
      <c r="AM158" s="41">
        <f t="shared" si="280"/>
        <v>64.493243046346549</v>
      </c>
      <c r="AN158" s="41">
        <f t="shared" ca="1" si="281"/>
        <v>16.538808007038565</v>
      </c>
      <c r="AO158" s="6">
        <v>5</v>
      </c>
      <c r="AP158" s="67">
        <f t="shared" si="301"/>
        <v>0.77854392893890234</v>
      </c>
      <c r="AQ158" s="11">
        <f t="shared" si="282"/>
        <v>0.98330272071837588</v>
      </c>
      <c r="AR158" s="11">
        <f t="shared" si="283"/>
        <v>0.68770269343653956</v>
      </c>
      <c r="AS158" s="11">
        <f t="shared" si="284"/>
        <v>0.69938044403469313</v>
      </c>
      <c r="AT158" s="11">
        <f t="shared" si="285"/>
        <v>510.00962215499999</v>
      </c>
      <c r="AU158" s="11">
        <f t="shared" si="286"/>
        <v>1455.3301939042735</v>
      </c>
      <c r="AV158" s="11">
        <f t="shared" si="287"/>
        <v>1.6623573774260621E-3</v>
      </c>
      <c r="AW158" s="11">
        <f t="shared" si="288"/>
        <v>3.6885478983619832E-7</v>
      </c>
      <c r="AX158" s="41">
        <f t="shared" ca="1" si="289"/>
        <v>2.0083612186411273</v>
      </c>
      <c r="AY158" s="41">
        <f t="shared" ca="1" si="290"/>
        <v>2.7053024627258631</v>
      </c>
      <c r="AZ158" s="41">
        <f t="shared" si="291"/>
        <v>0.30044199110228809</v>
      </c>
      <c r="BA158" s="167">
        <f t="shared" ca="1" si="302"/>
        <v>0.85842977071311266</v>
      </c>
    </row>
    <row r="159" spans="1:53" ht="14.5">
      <c r="A159" s="41">
        <f t="shared" ca="1" si="292"/>
        <v>16431.909171108291</v>
      </c>
      <c r="B159" s="41">
        <f t="shared" ca="1" si="293"/>
        <v>273.86515285180485</v>
      </c>
      <c r="C159" s="41">
        <f t="shared" ca="1" si="293"/>
        <v>4.5644192141967475</v>
      </c>
      <c r="D159" s="41">
        <f t="shared" ca="1" si="294"/>
        <v>12899.678600350575</v>
      </c>
      <c r="E159" s="41">
        <f t="shared" ca="1" si="295"/>
        <v>950.54686407501663</v>
      </c>
      <c r="F159" s="7">
        <f t="shared" si="296"/>
        <v>55</v>
      </c>
      <c r="G159" s="41"/>
      <c r="H159" s="7">
        <f t="shared" si="297"/>
        <v>10000</v>
      </c>
      <c r="I159" s="6">
        <v>15</v>
      </c>
      <c r="J159" s="41">
        <f t="shared" si="256"/>
        <v>0.42549951772196798</v>
      </c>
      <c r="K159" s="41">
        <f t="shared" si="257"/>
        <v>471.06589471883535</v>
      </c>
      <c r="L159" s="6">
        <f t="shared" si="298"/>
        <v>235</v>
      </c>
      <c r="M159" s="41">
        <f t="shared" si="258"/>
        <v>279.09900556659443</v>
      </c>
      <c r="N159" s="41">
        <f t="shared" si="259"/>
        <v>184.44110870126713</v>
      </c>
      <c r="O159" s="41">
        <f t="shared" si="260"/>
        <v>2123003.108316463</v>
      </c>
      <c r="P159" s="41">
        <f t="shared" si="261"/>
        <v>13631171.75606169</v>
      </c>
      <c r="Q159" s="41">
        <f t="shared" si="262"/>
        <v>2.8123079706811947E-3</v>
      </c>
      <c r="R159" s="41">
        <f t="shared" si="263"/>
        <v>2.2097807141776935E-2</v>
      </c>
      <c r="S159" s="24">
        <f t="shared" ca="1" si="299"/>
        <v>1.0099129117000256E-15</v>
      </c>
      <c r="T159" s="10">
        <f t="shared" ca="1" si="264"/>
        <v>-1.009912911700026E-15</v>
      </c>
      <c r="U159" s="41">
        <f t="shared" ca="1" si="265"/>
        <v>0.30408383210707574</v>
      </c>
      <c r="V159" s="41">
        <f t="shared" ca="1" si="266"/>
        <v>2.7937718433120446E-2</v>
      </c>
      <c r="W159" s="41">
        <f t="shared" ca="1" si="267"/>
        <v>10.884347368415787</v>
      </c>
      <c r="X159" s="20">
        <f t="shared" ca="1" si="268"/>
        <v>1185.1586653493691</v>
      </c>
      <c r="Y159" s="41">
        <f t="shared" si="269"/>
        <v>0.59151368135346993</v>
      </c>
      <c r="Z159" s="41">
        <f t="shared" ca="1" si="270"/>
        <v>167.67669543570497</v>
      </c>
      <c r="AA159" s="14">
        <f t="shared" ca="1" si="271"/>
        <v>1185.1586653493694</v>
      </c>
      <c r="AB159" s="14">
        <f t="shared" si="300"/>
        <v>4016.4588107467653</v>
      </c>
      <c r="AC159" s="25">
        <f t="shared" ca="1" si="272"/>
        <v>558287.82707658142</v>
      </c>
      <c r="AD159" s="41">
        <f t="shared" si="273"/>
        <v>1892016.7632857743</v>
      </c>
      <c r="AE159" s="5">
        <f t="shared" ca="1" si="274"/>
        <v>29.507551830937789</v>
      </c>
      <c r="AF159" s="7">
        <f t="shared" ca="1" si="275"/>
        <v>1185.1586653493694</v>
      </c>
      <c r="AG159" s="41">
        <f t="shared" ca="1" si="276"/>
        <v>2831.3001453973957</v>
      </c>
      <c r="AH159" s="41">
        <f t="shared" ca="1" si="277"/>
        <v>1333728.936209193</v>
      </c>
      <c r="AI159" s="41">
        <f t="shared" ca="1" si="278"/>
        <v>922.69808373708372</v>
      </c>
      <c r="AJ159" s="13">
        <f t="shared" ca="1" si="279"/>
        <v>-8.3031513556675213E-15</v>
      </c>
      <c r="AK159" s="11"/>
      <c r="AL159" s="6">
        <v>0</v>
      </c>
      <c r="AM159" s="41">
        <f t="shared" si="280"/>
        <v>64.493243046346549</v>
      </c>
      <c r="AN159" s="41">
        <f t="shared" ca="1" si="281"/>
        <v>16.529942159126097</v>
      </c>
      <c r="AO159" s="6">
        <v>5</v>
      </c>
      <c r="AP159" s="67">
        <f t="shared" si="301"/>
        <v>0.77854392893890234</v>
      </c>
      <c r="AQ159" s="11">
        <f t="shared" si="282"/>
        <v>0.98330272071837588</v>
      </c>
      <c r="AR159" s="11">
        <f t="shared" si="283"/>
        <v>0.68770269343653956</v>
      </c>
      <c r="AS159" s="11">
        <f t="shared" si="284"/>
        <v>0.69938044403469313</v>
      </c>
      <c r="AT159" s="11">
        <f t="shared" si="285"/>
        <v>510.00962215499999</v>
      </c>
      <c r="AU159" s="11">
        <f t="shared" si="286"/>
        <v>1455.3301939042735</v>
      </c>
      <c r="AV159" s="11">
        <f t="shared" si="287"/>
        <v>1.6623573774260621E-3</v>
      </c>
      <c r="AW159" s="11">
        <f t="shared" si="288"/>
        <v>3.6885478983619832E-7</v>
      </c>
      <c r="AX159" s="41">
        <f t="shared" ca="1" si="289"/>
        <v>2.0106551168682509</v>
      </c>
      <c r="AY159" s="41">
        <f t="shared" ca="1" si="290"/>
        <v>2.7083923892119355</v>
      </c>
      <c r="AZ159" s="41">
        <f t="shared" si="291"/>
        <v>0.30044199110228809</v>
      </c>
      <c r="BA159" s="167">
        <f t="shared" ca="1" si="302"/>
        <v>0.85859360359244619</v>
      </c>
    </row>
    <row r="160" spans="1:53" ht="14.5">
      <c r="A160" s="41">
        <f t="shared" ca="1" si="292"/>
        <v>16496.402414154636</v>
      </c>
      <c r="B160" s="41">
        <f t="shared" ca="1" si="293"/>
        <v>274.9400402359106</v>
      </c>
      <c r="C160" s="41">
        <f t="shared" ca="1" si="293"/>
        <v>4.5823340039318436</v>
      </c>
      <c r="D160" s="41">
        <f t="shared" ca="1" si="294"/>
        <v>12883.148658191449</v>
      </c>
      <c r="E160" s="41">
        <f t="shared" ca="1" si="295"/>
        <v>955.54686407501663</v>
      </c>
      <c r="F160" s="7">
        <f t="shared" si="296"/>
        <v>60</v>
      </c>
      <c r="G160" s="41"/>
      <c r="H160" s="7">
        <f t="shared" si="297"/>
        <v>10000</v>
      </c>
      <c r="I160" s="6">
        <v>15</v>
      </c>
      <c r="J160" s="41">
        <f t="shared" si="256"/>
        <v>0.42549951772196798</v>
      </c>
      <c r="K160" s="41">
        <f t="shared" si="257"/>
        <v>471.06589471883535</v>
      </c>
      <c r="L160" s="6">
        <f t="shared" si="298"/>
        <v>235</v>
      </c>
      <c r="M160" s="41">
        <f t="shared" si="258"/>
        <v>279.09900556659443</v>
      </c>
      <c r="N160" s="41">
        <f t="shared" si="259"/>
        <v>184.44110870126713</v>
      </c>
      <c r="O160" s="41">
        <f t="shared" si="260"/>
        <v>2123003.108316463</v>
      </c>
      <c r="P160" s="41">
        <f t="shared" si="261"/>
        <v>13631171.75606169</v>
      </c>
      <c r="Q160" s="41">
        <f t="shared" si="262"/>
        <v>2.8123079706811947E-3</v>
      </c>
      <c r="R160" s="41">
        <f t="shared" si="263"/>
        <v>2.2097807141776935E-2</v>
      </c>
      <c r="S160" s="24">
        <f t="shared" ca="1" si="299"/>
        <v>1.0112086975718699E-15</v>
      </c>
      <c r="T160" s="10">
        <f t="shared" ca="1" si="264"/>
        <v>-2.0224173951437406E-15</v>
      </c>
      <c r="U160" s="41">
        <f t="shared" ca="1" si="265"/>
        <v>0.30369417215414335</v>
      </c>
      <c r="V160" s="41">
        <f t="shared" ca="1" si="266"/>
        <v>2.7922761231657933E-2</v>
      </c>
      <c r="W160" s="41">
        <f t="shared" ca="1" si="267"/>
        <v>10.87622279310345</v>
      </c>
      <c r="X160" s="20">
        <f t="shared" ca="1" si="268"/>
        <v>1184.524159100582</v>
      </c>
      <c r="Y160" s="41">
        <f t="shared" si="269"/>
        <v>0.59151368135346993</v>
      </c>
      <c r="Z160" s="41">
        <f t="shared" ca="1" si="270"/>
        <v>167.56922862751267</v>
      </c>
      <c r="AA160" s="14">
        <f t="shared" ca="1" si="271"/>
        <v>1184.5241591005822</v>
      </c>
      <c r="AB160" s="14">
        <f t="shared" si="300"/>
        <v>4016.4588107467653</v>
      </c>
      <c r="AC160" s="25">
        <f t="shared" ca="1" si="272"/>
        <v>557988.93282279186</v>
      </c>
      <c r="AD160" s="41">
        <f t="shared" si="273"/>
        <v>1892016.7632857743</v>
      </c>
      <c r="AE160" s="5">
        <f t="shared" ca="1" si="274"/>
        <v>29.49175417736571</v>
      </c>
      <c r="AF160" s="7">
        <f t="shared" ca="1" si="275"/>
        <v>1184.5241591005822</v>
      </c>
      <c r="AG160" s="41">
        <f t="shared" ca="1" si="276"/>
        <v>2831.9346516461828</v>
      </c>
      <c r="AH160" s="41">
        <f t="shared" ca="1" si="277"/>
        <v>1334027.8304629824</v>
      </c>
      <c r="AI160" s="41">
        <f t="shared" ca="1" si="278"/>
        <v>922.20409274921667</v>
      </c>
      <c r="AJ160" s="13">
        <f t="shared" ca="1" si="279"/>
        <v>-1.6627609709381732E-14</v>
      </c>
      <c r="AK160" s="11"/>
      <c r="AL160" s="6">
        <v>0</v>
      </c>
      <c r="AM160" s="41">
        <f t="shared" si="280"/>
        <v>64.493243046346549</v>
      </c>
      <c r="AN160" s="41">
        <f t="shared" ca="1" si="281"/>
        <v>16.521092414447427</v>
      </c>
      <c r="AO160" s="6">
        <v>5</v>
      </c>
      <c r="AP160" s="67">
        <f t="shared" si="301"/>
        <v>0.77854392893890234</v>
      </c>
      <c r="AQ160" s="11">
        <f t="shared" si="282"/>
        <v>0.98330272071837588</v>
      </c>
      <c r="AR160" s="11">
        <f t="shared" si="283"/>
        <v>0.68770269343653956</v>
      </c>
      <c r="AS160" s="11">
        <f t="shared" si="284"/>
        <v>0.69938044403469313</v>
      </c>
      <c r="AT160" s="11">
        <f t="shared" si="285"/>
        <v>510.00962215499999</v>
      </c>
      <c r="AU160" s="11">
        <f t="shared" si="286"/>
        <v>1455.3301939042735</v>
      </c>
      <c r="AV160" s="11">
        <f t="shared" si="287"/>
        <v>1.6623573774260621E-3</v>
      </c>
      <c r="AW160" s="11">
        <f t="shared" si="288"/>
        <v>3.6885478983619832E-7</v>
      </c>
      <c r="AX160" s="41">
        <f t="shared" ca="1" si="289"/>
        <v>2.0129540567094084</v>
      </c>
      <c r="AY160" s="41">
        <f t="shared" ca="1" si="290"/>
        <v>2.7114891068522762</v>
      </c>
      <c r="AZ160" s="41">
        <f t="shared" si="291"/>
        <v>0.30044199110228809</v>
      </c>
      <c r="BA160" s="167">
        <f t="shared" ca="1" si="302"/>
        <v>0.85875737692633758</v>
      </c>
    </row>
    <row r="161" spans="1:53" ht="14.5">
      <c r="A161" s="41">
        <f t="shared" ca="1" si="292"/>
        <v>16560.895657200981</v>
      </c>
      <c r="B161" s="41">
        <f t="shared" ca="1" si="293"/>
        <v>276.01492762001635</v>
      </c>
      <c r="C161" s="41">
        <f t="shared" ca="1" si="293"/>
        <v>4.600248793666939</v>
      </c>
      <c r="D161" s="41">
        <f t="shared" ca="1" si="294"/>
        <v>12866.627565777002</v>
      </c>
      <c r="E161" s="41">
        <f t="shared" ca="1" si="295"/>
        <v>960.54686407501663</v>
      </c>
      <c r="F161" s="7">
        <f t="shared" si="296"/>
        <v>65</v>
      </c>
      <c r="G161" s="41"/>
      <c r="H161" s="7">
        <f t="shared" si="297"/>
        <v>10000</v>
      </c>
      <c r="I161" s="6">
        <v>15</v>
      </c>
      <c r="J161" s="41">
        <f t="shared" si="256"/>
        <v>0.42549951772196798</v>
      </c>
      <c r="K161" s="41">
        <f t="shared" si="257"/>
        <v>471.06589471883535</v>
      </c>
      <c r="L161" s="6">
        <f t="shared" si="298"/>
        <v>235</v>
      </c>
      <c r="M161" s="41">
        <f t="shared" si="258"/>
        <v>279.09900556659443</v>
      </c>
      <c r="N161" s="41">
        <f t="shared" si="259"/>
        <v>184.44110870126713</v>
      </c>
      <c r="O161" s="41">
        <f t="shared" si="260"/>
        <v>2123003.108316463</v>
      </c>
      <c r="P161" s="41">
        <f t="shared" si="261"/>
        <v>13631171.75606169</v>
      </c>
      <c r="Q161" s="41">
        <f t="shared" si="262"/>
        <v>2.8123079706811947E-3</v>
      </c>
      <c r="R161" s="41">
        <f t="shared" si="263"/>
        <v>2.2097807141776935E-2</v>
      </c>
      <c r="S161" s="24">
        <f t="shared" ca="1" si="299"/>
        <v>1.0125071164666014E-15</v>
      </c>
      <c r="T161" s="10">
        <f t="shared" ca="1" si="264"/>
        <v>-2.0250142329332039E-15</v>
      </c>
      <c r="U161" s="41">
        <f t="shared" ca="1" si="265"/>
        <v>0.30330472081604232</v>
      </c>
      <c r="V161" s="41">
        <f t="shared" ca="1" si="266"/>
        <v>2.7907831201319348E-2</v>
      </c>
      <c r="W161" s="41">
        <f t="shared" ca="1" si="267"/>
        <v>10.868086402991556</v>
      </c>
      <c r="X161" s="20">
        <f t="shared" ca="1" si="268"/>
        <v>1183.8908054904057</v>
      </c>
      <c r="Y161" s="41">
        <f t="shared" si="269"/>
        <v>0.59151368135346993</v>
      </c>
      <c r="Z161" s="41">
        <f t="shared" ca="1" si="270"/>
        <v>167.46175044423768</v>
      </c>
      <c r="AA161" s="14">
        <f t="shared" ca="1" si="271"/>
        <v>1183.8908054904059</v>
      </c>
      <c r="AB161" s="14">
        <f t="shared" si="300"/>
        <v>4016.4588107467653</v>
      </c>
      <c r="AC161" s="25">
        <f t="shared" ca="1" si="272"/>
        <v>557690.58153774077</v>
      </c>
      <c r="AD161" s="41">
        <f t="shared" si="273"/>
        <v>1892016.7632857743</v>
      </c>
      <c r="AE161" s="5">
        <f t="shared" ca="1" si="274"/>
        <v>29.475985221675643</v>
      </c>
      <c r="AF161" s="7">
        <f t="shared" ca="1" si="275"/>
        <v>1183.8908054904059</v>
      </c>
      <c r="AG161" s="41">
        <f t="shared" ca="1" si="276"/>
        <v>2832.5680052563594</v>
      </c>
      <c r="AH161" s="41">
        <f t="shared" ca="1" si="277"/>
        <v>1334326.1817480335</v>
      </c>
      <c r="AI161" s="41">
        <f t="shared" ca="1" si="278"/>
        <v>921.71099914114245</v>
      </c>
      <c r="AJ161" s="13">
        <f t="shared" ca="1" si="279"/>
        <v>-1.6648960003018174E-14</v>
      </c>
      <c r="AK161" s="11"/>
      <c r="AL161" s="6">
        <v>0</v>
      </c>
      <c r="AM161" s="41">
        <f t="shared" si="280"/>
        <v>64.493243046346549</v>
      </c>
      <c r="AN161" s="41">
        <f t="shared" ca="1" si="281"/>
        <v>16.512258746139057</v>
      </c>
      <c r="AO161" s="6">
        <v>5</v>
      </c>
      <c r="AP161" s="67">
        <f t="shared" si="301"/>
        <v>0.77854392893890234</v>
      </c>
      <c r="AQ161" s="11">
        <f t="shared" si="282"/>
        <v>0.98330272071837588</v>
      </c>
      <c r="AR161" s="11">
        <f t="shared" si="283"/>
        <v>0.68770269343653956</v>
      </c>
      <c r="AS161" s="11">
        <f t="shared" si="284"/>
        <v>0.69938044403469313</v>
      </c>
      <c r="AT161" s="11">
        <f t="shared" si="285"/>
        <v>510.00962215499999</v>
      </c>
      <c r="AU161" s="11">
        <f t="shared" si="286"/>
        <v>1455.3301939042735</v>
      </c>
      <c r="AV161" s="11">
        <f t="shared" si="287"/>
        <v>1.6623573774260621E-3</v>
      </c>
      <c r="AW161" s="11">
        <f t="shared" si="288"/>
        <v>3.6885478983619832E-7</v>
      </c>
      <c r="AX161" s="41">
        <f t="shared" ca="1" si="289"/>
        <v>2.0152580543680383</v>
      </c>
      <c r="AY161" s="41">
        <f t="shared" ca="1" si="290"/>
        <v>2.7145926374732383</v>
      </c>
      <c r="AZ161" s="41">
        <f t="shared" si="291"/>
        <v>0.30044199110228809</v>
      </c>
      <c r="BA161" s="167">
        <f t="shared" ca="1" si="302"/>
        <v>0.85892109024466301</v>
      </c>
    </row>
    <row r="162" spans="1:53" ht="14.5">
      <c r="A162" s="41">
        <f t="shared" ca="1" si="292"/>
        <v>16625.388900247326</v>
      </c>
      <c r="B162" s="41">
        <f t="shared" ca="1" si="293"/>
        <v>277.0898150041221</v>
      </c>
      <c r="C162" s="41">
        <f t="shared" ca="1" si="293"/>
        <v>4.6181635834020351</v>
      </c>
      <c r="D162" s="41">
        <f t="shared" ca="1" si="294"/>
        <v>12850.115307030863</v>
      </c>
      <c r="E162" s="41">
        <f t="shared" ca="1" si="295"/>
        <v>965.54686407501663</v>
      </c>
      <c r="F162" s="7">
        <f t="shared" si="296"/>
        <v>70</v>
      </c>
      <c r="G162" s="41"/>
      <c r="H162" s="7">
        <f t="shared" si="297"/>
        <v>10000</v>
      </c>
      <c r="I162" s="6">
        <v>15</v>
      </c>
      <c r="J162" s="41">
        <f t="shared" si="256"/>
        <v>0.42549951772196798</v>
      </c>
      <c r="K162" s="41">
        <f t="shared" si="257"/>
        <v>471.06589471883535</v>
      </c>
      <c r="L162" s="6">
        <f t="shared" si="298"/>
        <v>235</v>
      </c>
      <c r="M162" s="41">
        <f t="shared" si="258"/>
        <v>279.09900556659443</v>
      </c>
      <c r="N162" s="41">
        <f t="shared" si="259"/>
        <v>184.44110870126713</v>
      </c>
      <c r="O162" s="41">
        <f t="shared" si="260"/>
        <v>2123003.108316463</v>
      </c>
      <c r="P162" s="41">
        <f t="shared" si="261"/>
        <v>13631171.75606169</v>
      </c>
      <c r="Q162" s="41">
        <f t="shared" si="262"/>
        <v>2.8123079706811947E-3</v>
      </c>
      <c r="R162" s="41">
        <f t="shared" si="263"/>
        <v>2.2097807141776935E-2</v>
      </c>
      <c r="S162" s="24">
        <f t="shared" ca="1" si="299"/>
        <v>0</v>
      </c>
      <c r="T162" s="10">
        <f t="shared" ca="1" si="264"/>
        <v>-2.0276163542511744E-15</v>
      </c>
      <c r="U162" s="41">
        <f t="shared" ca="1" si="265"/>
        <v>0.30291547771380462</v>
      </c>
      <c r="V162" s="41">
        <f t="shared" ca="1" si="266"/>
        <v>2.7892928296817367E-2</v>
      </c>
      <c r="W162" s="41">
        <f t="shared" ca="1" si="267"/>
        <v>10.859938206931389</v>
      </c>
      <c r="X162" s="20">
        <f t="shared" ca="1" si="268"/>
        <v>1183.2586025976864</v>
      </c>
      <c r="Y162" s="41">
        <f t="shared" si="269"/>
        <v>0.59151368135346993</v>
      </c>
      <c r="Z162" s="41">
        <f t="shared" ca="1" si="270"/>
        <v>167.35426075927833</v>
      </c>
      <c r="AA162" s="14">
        <f t="shared" ca="1" si="271"/>
        <v>1183.2586025976866</v>
      </c>
      <c r="AB162" s="14">
        <f t="shared" si="300"/>
        <v>4016.4588107467653</v>
      </c>
      <c r="AC162" s="25">
        <f t="shared" ca="1" si="272"/>
        <v>557392.77231643803</v>
      </c>
      <c r="AD162" s="41">
        <f t="shared" si="273"/>
        <v>1892016.7632857743</v>
      </c>
      <c r="AE162" s="5">
        <f t="shared" ca="1" si="274"/>
        <v>29.46024491603557</v>
      </c>
      <c r="AF162" s="7">
        <f t="shared" ca="1" si="275"/>
        <v>1183.2586025976866</v>
      </c>
      <c r="AG162" s="41">
        <f t="shared" ca="1" si="276"/>
        <v>2833.2002081490787</v>
      </c>
      <c r="AH162" s="41">
        <f t="shared" ca="1" si="277"/>
        <v>1334623.9909693361</v>
      </c>
      <c r="AI162" s="41">
        <f t="shared" ca="1" si="278"/>
        <v>921.21880141715826</v>
      </c>
      <c r="AJ162" s="13">
        <f t="shared" ca="1" si="279"/>
        <v>-1.6670353735981299E-14</v>
      </c>
      <c r="AK162" s="11"/>
      <c r="AL162" s="6">
        <v>0</v>
      </c>
      <c r="AM162" s="41">
        <f t="shared" si="280"/>
        <v>64.493243046346549</v>
      </c>
      <c r="AN162" s="41">
        <f t="shared" ca="1" si="281"/>
        <v>16.50344112740579</v>
      </c>
      <c r="AO162" s="6">
        <v>5</v>
      </c>
      <c r="AP162" s="67">
        <f t="shared" si="301"/>
        <v>0.77854392893890234</v>
      </c>
      <c r="AQ162" s="11">
        <f t="shared" si="282"/>
        <v>0.98330272071837588</v>
      </c>
      <c r="AR162" s="11">
        <f t="shared" si="283"/>
        <v>0.68770269343653956</v>
      </c>
      <c r="AS162" s="11">
        <f t="shared" si="284"/>
        <v>0.69938044403469313</v>
      </c>
      <c r="AT162" s="11">
        <f t="shared" si="285"/>
        <v>510.00962215499999</v>
      </c>
      <c r="AU162" s="11">
        <f t="shared" si="286"/>
        <v>1455.3301939042735</v>
      </c>
      <c r="AV162" s="11">
        <f t="shared" si="287"/>
        <v>1.6623573774260621E-3</v>
      </c>
      <c r="AW162" s="11">
        <f t="shared" si="288"/>
        <v>3.6885478983619832E-7</v>
      </c>
      <c r="AX162" s="41">
        <f t="shared" ca="1" si="289"/>
        <v>2.0175671261201171</v>
      </c>
      <c r="AY162" s="41">
        <f t="shared" ca="1" si="290"/>
        <v>2.7177030029988862</v>
      </c>
      <c r="AZ162" s="41">
        <f t="shared" si="291"/>
        <v>0.30044199110228809</v>
      </c>
      <c r="BA162" s="167">
        <f t="shared" ca="1" si="302"/>
        <v>0.85908474307797056</v>
      </c>
    </row>
    <row r="163" spans="1:53" ht="14.5">
      <c r="A163" s="41">
        <f t="shared" ca="1" si="292"/>
        <v>16689.882143293671</v>
      </c>
      <c r="B163" s="41">
        <f t="shared" ca="1" si="293"/>
        <v>278.16470238822785</v>
      </c>
      <c r="C163" s="41">
        <f t="shared" ca="1" si="293"/>
        <v>4.6360783731371304</v>
      </c>
      <c r="D163" s="41">
        <f t="shared" ca="1" si="294"/>
        <v>12833.611865903456</v>
      </c>
      <c r="E163" s="41">
        <f t="shared" ca="1" si="295"/>
        <v>970.54686407501663</v>
      </c>
      <c r="F163" s="7">
        <f t="shared" si="296"/>
        <v>75</v>
      </c>
      <c r="G163" s="41"/>
      <c r="H163" s="7">
        <f t="shared" si="297"/>
        <v>10000</v>
      </c>
      <c r="I163" s="6">
        <v>15</v>
      </c>
      <c r="J163" s="41">
        <f t="shared" si="256"/>
        <v>0.42549951772196798</v>
      </c>
      <c r="K163" s="41">
        <f t="shared" si="257"/>
        <v>471.06589471883535</v>
      </c>
      <c r="L163" s="6">
        <f t="shared" si="298"/>
        <v>235</v>
      </c>
      <c r="M163" s="41">
        <f t="shared" si="258"/>
        <v>279.09900556659443</v>
      </c>
      <c r="N163" s="41">
        <f t="shared" si="259"/>
        <v>184.44110870126713</v>
      </c>
      <c r="O163" s="41">
        <f t="shared" si="260"/>
        <v>2123003.108316463</v>
      </c>
      <c r="P163" s="41">
        <f t="shared" si="261"/>
        <v>13631171.75606169</v>
      </c>
      <c r="Q163" s="41">
        <f t="shared" si="262"/>
        <v>2.8123079706811947E-3</v>
      </c>
      <c r="R163" s="41">
        <f t="shared" si="263"/>
        <v>2.2097807141776935E-2</v>
      </c>
      <c r="S163" s="24">
        <f t="shared" ca="1" si="299"/>
        <v>1.015111888328676E-15</v>
      </c>
      <c r="T163" s="10">
        <f t="shared" ca="1" si="264"/>
        <v>-2.0302237766573524E-15</v>
      </c>
      <c r="U163" s="41">
        <f t="shared" ca="1" si="265"/>
        <v>0.30252644246909405</v>
      </c>
      <c r="V163" s="41">
        <f t="shared" ca="1" si="266"/>
        <v>2.7878052472979795E-2</v>
      </c>
      <c r="W163" s="41">
        <f t="shared" ca="1" si="267"/>
        <v>10.851778213787039</v>
      </c>
      <c r="X163" s="20">
        <f t="shared" ca="1" si="268"/>
        <v>1182.6275485061537</v>
      </c>
      <c r="Y163" s="41">
        <f t="shared" si="269"/>
        <v>0.59151368135346993</v>
      </c>
      <c r="Z163" s="41">
        <f t="shared" ca="1" si="270"/>
        <v>167.24675944587969</v>
      </c>
      <c r="AA163" s="14">
        <f t="shared" ca="1" si="271"/>
        <v>1182.627548506154</v>
      </c>
      <c r="AB163" s="14">
        <f t="shared" si="300"/>
        <v>4016.4588107467653</v>
      </c>
      <c r="AC163" s="25">
        <f t="shared" ca="1" si="272"/>
        <v>557095.50425619422</v>
      </c>
      <c r="AD163" s="41">
        <f t="shared" si="273"/>
        <v>1892016.7632857743</v>
      </c>
      <c r="AE163" s="5">
        <f t="shared" ca="1" si="274"/>
        <v>29.444533212735035</v>
      </c>
      <c r="AF163" s="7">
        <f t="shared" ca="1" si="275"/>
        <v>1182.627548506154</v>
      </c>
      <c r="AG163" s="41">
        <f t="shared" ca="1" si="276"/>
        <v>2833.8312622406111</v>
      </c>
      <c r="AH163" s="41">
        <f t="shared" ca="1" si="277"/>
        <v>1334921.25902958</v>
      </c>
      <c r="AI163" s="41">
        <f t="shared" ca="1" si="278"/>
        <v>920.72749808536344</v>
      </c>
      <c r="AJ163" s="13">
        <f t="shared" ca="1" si="279"/>
        <v>-1.669179105264082E-14</v>
      </c>
      <c r="AK163" s="11"/>
      <c r="AL163" s="6">
        <v>0</v>
      </c>
      <c r="AM163" s="41">
        <f t="shared" si="280"/>
        <v>64.493243046346549</v>
      </c>
      <c r="AN163" s="41">
        <f t="shared" ca="1" si="281"/>
        <v>16.494639531520534</v>
      </c>
      <c r="AO163" s="6">
        <v>5</v>
      </c>
      <c r="AP163" s="67">
        <f t="shared" si="301"/>
        <v>0.77854392893890234</v>
      </c>
      <c r="AQ163" s="11">
        <f t="shared" si="282"/>
        <v>0.98330272071837588</v>
      </c>
      <c r="AR163" s="11">
        <f t="shared" si="283"/>
        <v>0.68770269343653956</v>
      </c>
      <c r="AS163" s="11">
        <f t="shared" si="284"/>
        <v>0.69938044403469313</v>
      </c>
      <c r="AT163" s="11">
        <f t="shared" si="285"/>
        <v>510.00962215499999</v>
      </c>
      <c r="AU163" s="11">
        <f t="shared" si="286"/>
        <v>1455.3301939042735</v>
      </c>
      <c r="AV163" s="11">
        <f t="shared" si="287"/>
        <v>1.6623573774260621E-3</v>
      </c>
      <c r="AW163" s="11">
        <f t="shared" si="288"/>
        <v>3.6885478983619832E-7</v>
      </c>
      <c r="AX163" s="41">
        <f t="shared" ca="1" si="289"/>
        <v>2.0198812883145503</v>
      </c>
      <c r="AY163" s="41">
        <f t="shared" ca="1" si="290"/>
        <v>2.7208202254515204</v>
      </c>
      <c r="AZ163" s="41">
        <f t="shared" si="291"/>
        <v>0.30044199110228809</v>
      </c>
      <c r="BA163" s="167">
        <f t="shared" ca="1" si="302"/>
        <v>0.85924833495748254</v>
      </c>
    </row>
    <row r="164" spans="1:53" ht="14.5">
      <c r="A164" s="41">
        <f t="shared" ca="1" si="292"/>
        <v>16754.375386340016</v>
      </c>
      <c r="B164" s="41">
        <f t="shared" ca="1" si="293"/>
        <v>279.2395897723336</v>
      </c>
      <c r="C164" s="41">
        <f t="shared" ca="1" si="293"/>
        <v>4.6539931628722266</v>
      </c>
      <c r="D164" s="41">
        <f t="shared" ca="1" si="294"/>
        <v>12817.117226371936</v>
      </c>
      <c r="E164" s="41">
        <f t="shared" ca="1" si="295"/>
        <v>975.54686407501663</v>
      </c>
      <c r="F164" s="7">
        <f t="shared" si="296"/>
        <v>80</v>
      </c>
      <c r="G164" s="41"/>
      <c r="H164" s="7">
        <f t="shared" si="297"/>
        <v>10000</v>
      </c>
      <c r="I164" s="6">
        <v>15</v>
      </c>
      <c r="J164" s="41">
        <f t="shared" si="256"/>
        <v>0.42549951772196798</v>
      </c>
      <c r="K164" s="41">
        <f t="shared" si="257"/>
        <v>471.06589471883535</v>
      </c>
      <c r="L164" s="6">
        <f t="shared" si="298"/>
        <v>235</v>
      </c>
      <c r="M164" s="41">
        <f t="shared" si="258"/>
        <v>279.09900556659443</v>
      </c>
      <c r="N164" s="41">
        <f t="shared" si="259"/>
        <v>184.44110870126713</v>
      </c>
      <c r="O164" s="41">
        <f t="shared" si="260"/>
        <v>2123003.108316463</v>
      </c>
      <c r="P164" s="41">
        <f t="shared" si="261"/>
        <v>13631171.75606169</v>
      </c>
      <c r="Q164" s="41">
        <f t="shared" si="262"/>
        <v>2.8123079706811947E-3</v>
      </c>
      <c r="R164" s="41">
        <f t="shared" si="263"/>
        <v>2.2097807141776935E-2</v>
      </c>
      <c r="S164" s="24">
        <f t="shared" ca="1" si="299"/>
        <v>1.0164182588944136E-15</v>
      </c>
      <c r="T164" s="10">
        <f t="shared" ca="1" si="264"/>
        <v>-1.016418258894414E-15</v>
      </c>
      <c r="U164" s="41">
        <f t="shared" ca="1" si="265"/>
        <v>0.30213761470420436</v>
      </c>
      <c r="V164" s="41">
        <f t="shared" ca="1" si="266"/>
        <v>2.7863203684749243E-2</v>
      </c>
      <c r="W164" s="41">
        <f t="shared" ca="1" si="267"/>
        <v>10.84360643243539</v>
      </c>
      <c r="X164" s="20">
        <f t="shared" ca="1" si="268"/>
        <v>1181.9976413044078</v>
      </c>
      <c r="Y164" s="41">
        <f t="shared" si="269"/>
        <v>0.59151368135346993</v>
      </c>
      <c r="Z164" s="41">
        <f t="shared" ca="1" si="270"/>
        <v>167.13924637713259</v>
      </c>
      <c r="AA164" s="14">
        <f t="shared" ca="1" si="271"/>
        <v>1181.9976413044078</v>
      </c>
      <c r="AB164" s="14">
        <f t="shared" si="300"/>
        <v>4016.4588107467653</v>
      </c>
      <c r="AC164" s="25">
        <f t="shared" ca="1" si="272"/>
        <v>556798.77645661391</v>
      </c>
      <c r="AD164" s="41">
        <f t="shared" si="273"/>
        <v>1892016.7632857743</v>
      </c>
      <c r="AE164" s="5">
        <f t="shared" ca="1" si="274"/>
        <v>29.428850064184857</v>
      </c>
      <c r="AF164" s="7">
        <f t="shared" ca="1" si="275"/>
        <v>1181.9976413044078</v>
      </c>
      <c r="AG164" s="41">
        <f t="shared" ca="1" si="276"/>
        <v>2834.4611694423575</v>
      </c>
      <c r="AH164" s="41">
        <f t="shared" ca="1" si="277"/>
        <v>1335217.9868291602</v>
      </c>
      <c r="AI164" s="41">
        <f t="shared" ca="1" si="278"/>
        <v>920.237087657649</v>
      </c>
      <c r="AJ164" s="13">
        <f t="shared" ca="1" si="279"/>
        <v>-8.3566360490013715E-15</v>
      </c>
      <c r="AK164" s="11"/>
      <c r="AL164" s="6">
        <v>0</v>
      </c>
      <c r="AM164" s="41">
        <f t="shared" si="280"/>
        <v>64.493243046346549</v>
      </c>
      <c r="AN164" s="41">
        <f t="shared" ca="1" si="281"/>
        <v>16.485853931824128</v>
      </c>
      <c r="AO164" s="6">
        <v>5</v>
      </c>
      <c r="AP164" s="67">
        <f t="shared" si="301"/>
        <v>0.77854392893890234</v>
      </c>
      <c r="AQ164" s="11">
        <f t="shared" si="282"/>
        <v>0.98330272071837588</v>
      </c>
      <c r="AR164" s="11">
        <f t="shared" si="283"/>
        <v>0.68770269343653956</v>
      </c>
      <c r="AS164" s="11">
        <f t="shared" si="284"/>
        <v>0.69938044403469313</v>
      </c>
      <c r="AT164" s="11">
        <f t="shared" si="285"/>
        <v>510.00962215499999</v>
      </c>
      <c r="AU164" s="11">
        <f t="shared" si="286"/>
        <v>1455.3301939042735</v>
      </c>
      <c r="AV164" s="11">
        <f t="shared" si="287"/>
        <v>1.6623573774260621E-3</v>
      </c>
      <c r="AW164" s="11">
        <f t="shared" si="288"/>
        <v>3.6885478983619832E-7</v>
      </c>
      <c r="AX164" s="41">
        <f t="shared" ca="1" si="289"/>
        <v>2.0222005573735706</v>
      </c>
      <c r="AY164" s="41">
        <f t="shared" ca="1" si="290"/>
        <v>2.7239443269522137</v>
      </c>
      <c r="AZ164" s="41">
        <f t="shared" si="291"/>
        <v>0.30044199110228809</v>
      </c>
      <c r="BA164" s="167">
        <f t="shared" ca="1" si="302"/>
        <v>0.85941186541509573</v>
      </c>
    </row>
    <row r="165" spans="1:53" ht="14.5">
      <c r="A165" s="41">
        <f t="shared" ca="1" si="292"/>
        <v>16818.868629386361</v>
      </c>
      <c r="B165" s="41">
        <f t="shared" ref="B165:C168" ca="1" si="303">A165/60</f>
        <v>280.31447715643935</v>
      </c>
      <c r="C165" s="41">
        <f t="shared" ca="1" si="303"/>
        <v>4.6719079526073228</v>
      </c>
      <c r="D165" s="41">
        <f t="shared" ca="1" si="294"/>
        <v>12800.631372440112</v>
      </c>
      <c r="E165" s="41">
        <f t="shared" ca="1" si="295"/>
        <v>980.54686407501663</v>
      </c>
      <c r="F165" s="7">
        <f t="shared" si="296"/>
        <v>85</v>
      </c>
      <c r="G165" s="41"/>
      <c r="H165" s="7">
        <f t="shared" si="297"/>
        <v>10000</v>
      </c>
      <c r="I165" s="6">
        <v>15</v>
      </c>
      <c r="J165" s="41">
        <f t="shared" si="256"/>
        <v>0.42549951772196798</v>
      </c>
      <c r="K165" s="41">
        <f t="shared" si="257"/>
        <v>471.06589471883535</v>
      </c>
      <c r="L165" s="6">
        <f t="shared" si="298"/>
        <v>235</v>
      </c>
      <c r="M165" s="41">
        <f t="shared" si="258"/>
        <v>279.09900556659443</v>
      </c>
      <c r="N165" s="41">
        <f t="shared" si="259"/>
        <v>184.44110870126713</v>
      </c>
      <c r="O165" s="41">
        <f t="shared" si="260"/>
        <v>2123003.108316463</v>
      </c>
      <c r="P165" s="41">
        <f t="shared" si="261"/>
        <v>13631171.75606169</v>
      </c>
      <c r="Q165" s="41">
        <f t="shared" si="262"/>
        <v>2.8123079706811947E-3</v>
      </c>
      <c r="R165" s="41">
        <f t="shared" si="263"/>
        <v>2.2097807141776935E-2</v>
      </c>
      <c r="S165" s="24">
        <f t="shared" ca="1" si="299"/>
        <v>3.0531818930407631E-15</v>
      </c>
      <c r="T165" s="10">
        <f t="shared" ca="1" si="264"/>
        <v>-1.0177272976802547E-15</v>
      </c>
      <c r="U165" s="41">
        <f t="shared" ca="1" si="265"/>
        <v>0.30174899404205774</v>
      </c>
      <c r="V165" s="41">
        <f t="shared" ca="1" si="266"/>
        <v>2.7848381887182808E-2</v>
      </c>
      <c r="W165" s="41">
        <f t="shared" ca="1" si="267"/>
        <v>10.835422871766113</v>
      </c>
      <c r="X165" s="20">
        <f t="shared" ca="1" si="268"/>
        <v>1181.3688790859051</v>
      </c>
      <c r="Y165" s="41">
        <f t="shared" si="269"/>
        <v>0.59151368135346993</v>
      </c>
      <c r="Z165" s="41">
        <f t="shared" ca="1" si="270"/>
        <v>167.03172142597256</v>
      </c>
      <c r="AA165" s="14">
        <f t="shared" ca="1" si="271"/>
        <v>1181.3688790859051</v>
      </c>
      <c r="AB165" s="14">
        <f t="shared" si="300"/>
        <v>4016.4588107467653</v>
      </c>
      <c r="AC165" s="25">
        <f t="shared" ca="1" si="272"/>
        <v>556502.58801958954</v>
      </c>
      <c r="AD165" s="41">
        <f t="shared" si="273"/>
        <v>1892016.7632857743</v>
      </c>
      <c r="AE165" s="5">
        <f t="shared" ca="1" si="274"/>
        <v>29.413195422916775</v>
      </c>
      <c r="AF165" s="7">
        <f t="shared" ca="1" si="275"/>
        <v>1181.3688790859051</v>
      </c>
      <c r="AG165" s="41">
        <f t="shared" ca="1" si="276"/>
        <v>2835.0899316608602</v>
      </c>
      <c r="AH165" s="41">
        <f t="shared" ca="1" si="277"/>
        <v>1335514.1752661848</v>
      </c>
      <c r="AI165" s="41">
        <f t="shared" ca="1" si="278"/>
        <v>919.74756864968754</v>
      </c>
      <c r="AJ165" s="13">
        <f t="shared" ca="1" si="279"/>
        <v>-8.3673985088564275E-15</v>
      </c>
      <c r="AK165" s="11"/>
      <c r="AL165" s="6">
        <v>0</v>
      </c>
      <c r="AM165" s="41">
        <f t="shared" si="280"/>
        <v>64.493243046346549</v>
      </c>
      <c r="AN165" s="41">
        <f t="shared" ca="1" si="281"/>
        <v>16.477084301725167</v>
      </c>
      <c r="AO165" s="6">
        <v>5</v>
      </c>
      <c r="AP165" s="67">
        <f t="shared" si="301"/>
        <v>0.77854392893890234</v>
      </c>
      <c r="AQ165" s="11">
        <f t="shared" si="282"/>
        <v>0.98330272071837588</v>
      </c>
      <c r="AR165" s="11">
        <f t="shared" si="283"/>
        <v>0.68770269343653956</v>
      </c>
      <c r="AS165" s="11">
        <f t="shared" si="284"/>
        <v>0.69938044403469313</v>
      </c>
      <c r="AT165" s="11">
        <f t="shared" si="285"/>
        <v>510.00962215499999</v>
      </c>
      <c r="AU165" s="11">
        <f t="shared" si="286"/>
        <v>1455.3301939042735</v>
      </c>
      <c r="AV165" s="11">
        <f t="shared" si="287"/>
        <v>1.6623573774260621E-3</v>
      </c>
      <c r="AW165" s="11">
        <f t="shared" si="288"/>
        <v>3.6885478983619832E-7</v>
      </c>
      <c r="AX165" s="41">
        <f t="shared" ca="1" si="289"/>
        <v>2.0245249497931441</v>
      </c>
      <c r="AY165" s="41">
        <f t="shared" ca="1" si="290"/>
        <v>2.727075329721361</v>
      </c>
      <c r="AZ165" s="41">
        <f t="shared" si="291"/>
        <v>0.30044199110228809</v>
      </c>
      <c r="BA165" s="167">
        <f t="shared" ca="1" si="302"/>
        <v>0.85957533398338581</v>
      </c>
    </row>
    <row r="166" spans="1:53" ht="14.5">
      <c r="A166" s="41">
        <f t="shared" ca="1" si="292"/>
        <v>16883.361872432706</v>
      </c>
      <c r="B166" s="41">
        <f t="shared" ca="1" si="303"/>
        <v>281.3893645405451</v>
      </c>
      <c r="C166" s="41">
        <f t="shared" ca="1" si="303"/>
        <v>4.6898227423424181</v>
      </c>
      <c r="D166" s="41">
        <f t="shared" ca="1" si="294"/>
        <v>12784.154288138387</v>
      </c>
      <c r="E166" s="41">
        <f t="shared" ca="1" si="295"/>
        <v>985.54686407501663</v>
      </c>
      <c r="F166" s="7">
        <f t="shared" si="296"/>
        <v>90</v>
      </c>
      <c r="G166" s="41"/>
      <c r="H166" s="7">
        <f t="shared" si="297"/>
        <v>10000</v>
      </c>
      <c r="I166" s="6">
        <v>15</v>
      </c>
      <c r="J166" s="41">
        <f t="shared" si="256"/>
        <v>0.42549951772196798</v>
      </c>
      <c r="K166" s="41">
        <f t="shared" si="257"/>
        <v>471.06589471883535</v>
      </c>
      <c r="L166" s="6">
        <f t="shared" si="298"/>
        <v>235</v>
      </c>
      <c r="M166" s="41">
        <f t="shared" si="258"/>
        <v>279.09900556659443</v>
      </c>
      <c r="N166" s="41">
        <f t="shared" si="259"/>
        <v>184.44110870126713</v>
      </c>
      <c r="O166" s="41">
        <f t="shared" si="260"/>
        <v>2123003.108316463</v>
      </c>
      <c r="P166" s="41">
        <f t="shared" si="261"/>
        <v>13631171.75606169</v>
      </c>
      <c r="Q166" s="41">
        <f t="shared" si="262"/>
        <v>2.8123079706811947E-3</v>
      </c>
      <c r="R166" s="41">
        <f t="shared" si="263"/>
        <v>2.2097807141776935E-2</v>
      </c>
      <c r="S166" s="24">
        <f t="shared" ca="1" si="299"/>
        <v>1.0190390135827761E-15</v>
      </c>
      <c r="T166" s="10">
        <f t="shared" ca="1" si="264"/>
        <v>-2.0380780271655531E-15</v>
      </c>
      <c r="U166" s="41">
        <f t="shared" ca="1" si="265"/>
        <v>0.30136058010620326</v>
      </c>
      <c r="V166" s="41">
        <f t="shared" ca="1" si="266"/>
        <v>2.7833587035451763E-2</v>
      </c>
      <c r="W166" s="41">
        <f t="shared" ca="1" si="267"/>
        <v>10.827227540681658</v>
      </c>
      <c r="X166" s="20">
        <f t="shared" ca="1" si="268"/>
        <v>1180.7412599489455</v>
      </c>
      <c r="Y166" s="41">
        <f t="shared" si="269"/>
        <v>0.59151368135346993</v>
      </c>
      <c r="Z166" s="41">
        <f t="shared" ca="1" si="270"/>
        <v>166.92418446517883</v>
      </c>
      <c r="AA166" s="14">
        <f t="shared" ca="1" si="271"/>
        <v>1180.7412599489458</v>
      </c>
      <c r="AB166" s="14">
        <f t="shared" si="300"/>
        <v>4016.4588107467653</v>
      </c>
      <c r="AC166" s="25">
        <f t="shared" ca="1" si="272"/>
        <v>556206.9380492951</v>
      </c>
      <c r="AD166" s="41">
        <f t="shared" si="273"/>
        <v>1892016.7632857743</v>
      </c>
      <c r="AE166" s="5">
        <f t="shared" ca="1" si="274"/>
        <v>29.39756924158311</v>
      </c>
      <c r="AF166" s="7">
        <f t="shared" ca="1" si="275"/>
        <v>1180.7412599489458</v>
      </c>
      <c r="AG166" s="41">
        <f t="shared" ca="1" si="276"/>
        <v>2835.7175507978195</v>
      </c>
      <c r="AH166" s="41">
        <f t="shared" ca="1" si="277"/>
        <v>1335809.8252364793</v>
      </c>
      <c r="AI166" s="41">
        <f t="shared" ca="1" si="278"/>
        <v>919.25893958092206</v>
      </c>
      <c r="AJ166" s="13">
        <f t="shared" ca="1" si="279"/>
        <v>-1.675636595806028E-14</v>
      </c>
      <c r="AK166" s="11"/>
      <c r="AL166" s="6">
        <v>0</v>
      </c>
      <c r="AM166" s="41">
        <f t="shared" si="280"/>
        <v>64.493243046346549</v>
      </c>
      <c r="AN166" s="41">
        <f t="shared" ca="1" si="281"/>
        <v>16.468330614699777</v>
      </c>
      <c r="AO166" s="6">
        <v>5</v>
      </c>
      <c r="AP166" s="67">
        <f t="shared" si="301"/>
        <v>0.77854392893890234</v>
      </c>
      <c r="AQ166" s="11">
        <f t="shared" si="282"/>
        <v>0.98330272071837588</v>
      </c>
      <c r="AR166" s="11">
        <f t="shared" si="283"/>
        <v>0.68770269343653956</v>
      </c>
      <c r="AS166" s="11">
        <f t="shared" si="284"/>
        <v>0.69938044403469313</v>
      </c>
      <c r="AT166" s="11">
        <f t="shared" si="285"/>
        <v>510.00962215499999</v>
      </c>
      <c r="AU166" s="11">
        <f t="shared" si="286"/>
        <v>1455.3301939042735</v>
      </c>
      <c r="AV166" s="11">
        <f t="shared" si="287"/>
        <v>1.6623573774260621E-3</v>
      </c>
      <c r="AW166" s="11">
        <f t="shared" si="288"/>
        <v>3.6885478983619832E-7</v>
      </c>
      <c r="AX166" s="41">
        <f t="shared" ca="1" si="289"/>
        <v>2.0268544821433694</v>
      </c>
      <c r="AY166" s="41">
        <f t="shared" ca="1" si="290"/>
        <v>2.7302132560792143</v>
      </c>
      <c r="AZ166" s="41">
        <f t="shared" si="291"/>
        <v>0.30044199110228809</v>
      </c>
      <c r="BA166" s="167">
        <f t="shared" ca="1" si="302"/>
        <v>0.85973874019560947</v>
      </c>
    </row>
    <row r="167" spans="1:53" ht="14.5">
      <c r="A167" s="41">
        <f t="shared" ca="1" si="292"/>
        <v>16947.855115479051</v>
      </c>
      <c r="B167" s="41">
        <f t="shared" ca="1" si="303"/>
        <v>282.46425192465085</v>
      </c>
      <c r="C167" s="41">
        <f t="shared" ca="1" si="303"/>
        <v>4.7077375320775143</v>
      </c>
      <c r="D167" s="41">
        <f t="shared" ca="1" si="294"/>
        <v>12767.685957523687</v>
      </c>
      <c r="E167" s="41">
        <f t="shared" ca="1" si="295"/>
        <v>990.54686407501663</v>
      </c>
      <c r="F167" s="7">
        <f t="shared" si="296"/>
        <v>95</v>
      </c>
      <c r="G167" s="41"/>
      <c r="H167" s="7">
        <f t="shared" si="297"/>
        <v>10000</v>
      </c>
      <c r="I167" s="6">
        <v>15</v>
      </c>
      <c r="J167" s="41">
        <f t="shared" si="256"/>
        <v>0.42549951772196798</v>
      </c>
      <c r="K167" s="41">
        <f t="shared" si="257"/>
        <v>471.06589471883535</v>
      </c>
      <c r="L167" s="6">
        <f t="shared" si="298"/>
        <v>235</v>
      </c>
      <c r="M167" s="41">
        <f t="shared" si="258"/>
        <v>279.09900556659443</v>
      </c>
      <c r="N167" s="41">
        <f t="shared" si="259"/>
        <v>184.44110870126713</v>
      </c>
      <c r="O167" s="41">
        <f t="shared" si="260"/>
        <v>2123003.108316463</v>
      </c>
      <c r="P167" s="41">
        <f t="shared" si="261"/>
        <v>13631171.75606169</v>
      </c>
      <c r="Q167" s="41">
        <f t="shared" si="262"/>
        <v>2.8123079706811947E-3</v>
      </c>
      <c r="R167" s="41">
        <f t="shared" si="263"/>
        <v>2.2097807141776935E-2</v>
      </c>
      <c r="S167" s="24">
        <f t="shared" ca="1" si="299"/>
        <v>1.0203534155378985E-15</v>
      </c>
      <c r="T167" s="10">
        <f t="shared" ca="1" si="264"/>
        <v>-1.0203534155378991E-15</v>
      </c>
      <c r="U167" s="41">
        <f t="shared" ca="1" si="265"/>
        <v>0.30097237252081521</v>
      </c>
      <c r="V167" s="41">
        <f t="shared" ca="1" si="266"/>
        <v>2.7818819084841226E-2</v>
      </c>
      <c r="W167" s="41">
        <f t="shared" ca="1" si="267"/>
        <v>10.819020448097248</v>
      </c>
      <c r="X167" s="20">
        <f t="shared" ca="1" si="268"/>
        <v>1180.1147819966595</v>
      </c>
      <c r="Y167" s="41">
        <f t="shared" si="269"/>
        <v>0.59151368135346993</v>
      </c>
      <c r="Z167" s="41">
        <f t="shared" ca="1" si="270"/>
        <v>166.81663536737332</v>
      </c>
      <c r="AA167" s="14">
        <f t="shared" ca="1" si="271"/>
        <v>1180.1147819966595</v>
      </c>
      <c r="AB167" s="14">
        <f t="shared" si="300"/>
        <v>4016.4588107467653</v>
      </c>
      <c r="AC167" s="25">
        <f t="shared" ca="1" si="272"/>
        <v>555911.82565217977</v>
      </c>
      <c r="AD167" s="41">
        <f t="shared" si="273"/>
        <v>1892016.7632857743</v>
      </c>
      <c r="AE167" s="5">
        <f t="shared" ca="1" si="274"/>
        <v>29.381971472956426</v>
      </c>
      <c r="AF167" s="7">
        <f t="shared" ca="1" si="275"/>
        <v>1180.1147819966595</v>
      </c>
      <c r="AG167" s="41">
        <f t="shared" ca="1" si="276"/>
        <v>2836.3440287501057</v>
      </c>
      <c r="AH167" s="41">
        <f t="shared" ca="1" si="277"/>
        <v>1336104.9376335945</v>
      </c>
      <c r="AI167" s="41">
        <f t="shared" ca="1" si="278"/>
        <v>918.77119897455555</v>
      </c>
      <c r="AJ167" s="13">
        <f t="shared" ca="1" si="279"/>
        <v>-8.3889895329905148E-15</v>
      </c>
      <c r="AK167" s="11"/>
      <c r="AL167" s="6">
        <v>0</v>
      </c>
      <c r="AM167" s="41">
        <f t="shared" si="280"/>
        <v>64.493243046346549</v>
      </c>
      <c r="AN167" s="41">
        <f t="shared" ca="1" si="281"/>
        <v>16.459592844291453</v>
      </c>
      <c r="AO167" s="6">
        <v>5</v>
      </c>
      <c r="AP167" s="67">
        <f t="shared" si="301"/>
        <v>0.77854392893890234</v>
      </c>
      <c r="AQ167" s="11">
        <f t="shared" si="282"/>
        <v>0.98330272071837588</v>
      </c>
      <c r="AR167" s="11">
        <f t="shared" si="283"/>
        <v>0.68770269343653956</v>
      </c>
      <c r="AS167" s="11">
        <f t="shared" si="284"/>
        <v>0.69938044403469313</v>
      </c>
      <c r="AT167" s="11">
        <f t="shared" si="285"/>
        <v>510.00962215499999</v>
      </c>
      <c r="AU167" s="11">
        <f t="shared" si="286"/>
        <v>1455.3301939042735</v>
      </c>
      <c r="AV167" s="11">
        <f t="shared" si="287"/>
        <v>1.6623573774260621E-3</v>
      </c>
      <c r="AW167" s="11">
        <f t="shared" si="288"/>
        <v>3.6885478983619832E-7</v>
      </c>
      <c r="AX167" s="41">
        <f t="shared" ca="1" si="289"/>
        <v>2.029189171068889</v>
      </c>
      <c r="AY167" s="41">
        <f t="shared" ca="1" si="290"/>
        <v>2.7333581284464374</v>
      </c>
      <c r="AZ167" s="41">
        <f t="shared" si="291"/>
        <v>0.30044199110228809</v>
      </c>
      <c r="BA167" s="167">
        <f t="shared" ca="1" si="302"/>
        <v>0.85990208358570575</v>
      </c>
    </row>
    <row r="168" spans="1:53" ht="14.5">
      <c r="A168" s="41">
        <f t="shared" ca="1" si="292"/>
        <v>17012.348358525396</v>
      </c>
      <c r="B168" s="41">
        <f t="shared" ca="1" si="303"/>
        <v>283.5391393087566</v>
      </c>
      <c r="C168" s="41">
        <f t="shared" ca="1" si="303"/>
        <v>4.7256523218126096</v>
      </c>
      <c r="D168" s="41">
        <f t="shared" ca="1" si="294"/>
        <v>12751.226364679394</v>
      </c>
      <c r="E168" s="41">
        <f t="shared" ca="1" si="295"/>
        <v>995.54686407501663</v>
      </c>
      <c r="F168" s="7">
        <f t="shared" si="296"/>
        <v>100</v>
      </c>
      <c r="G168" s="41"/>
      <c r="H168" s="7">
        <f t="shared" si="297"/>
        <v>10000</v>
      </c>
      <c r="I168" s="6">
        <v>15</v>
      </c>
      <c r="J168" s="41">
        <f t="shared" si="256"/>
        <v>0.42549951772196798</v>
      </c>
      <c r="K168" s="41">
        <f t="shared" si="257"/>
        <v>471.06589471883535</v>
      </c>
      <c r="L168" s="6">
        <f t="shared" si="298"/>
        <v>235</v>
      </c>
      <c r="M168" s="41">
        <f t="shared" si="258"/>
        <v>279.09900556659443</v>
      </c>
      <c r="N168" s="41">
        <f t="shared" si="259"/>
        <v>184.44110870126713</v>
      </c>
      <c r="O168" s="41">
        <f t="shared" si="260"/>
        <v>2123003.108316463</v>
      </c>
      <c r="P168" s="41">
        <f t="shared" si="261"/>
        <v>13631171.75606169</v>
      </c>
      <c r="Q168" s="41">
        <f t="shared" si="262"/>
        <v>2.8123079706811947E-3</v>
      </c>
      <c r="R168" s="41">
        <f t="shared" si="263"/>
        <v>2.2097807141776935E-2</v>
      </c>
      <c r="S168" s="24">
        <f t="shared" ca="1" si="299"/>
        <v>3.0650115375632996E-15</v>
      </c>
      <c r="T168" s="10">
        <f t="shared" ca="1" si="264"/>
        <v>-3.0650115375633012E-15</v>
      </c>
      <c r="U168" s="41">
        <f t="shared" ca="1" si="265"/>
        <v>0.30058437091069146</v>
      </c>
      <c r="V168" s="41">
        <f t="shared" ca="1" si="266"/>
        <v>2.7804077990749892E-2</v>
      </c>
      <c r="W168" s="41">
        <f t="shared" ca="1" si="267"/>
        <v>10.810801602940854</v>
      </c>
      <c r="X168" s="20">
        <f t="shared" ca="1" si="268"/>
        <v>1179.4894433369941</v>
      </c>
      <c r="Y168" s="41">
        <f t="shared" si="269"/>
        <v>0.59151368135346993</v>
      </c>
      <c r="Z168" s="41">
        <f t="shared" ca="1" si="270"/>
        <v>166.70907400501946</v>
      </c>
      <c r="AA168" s="14">
        <f t="shared" ca="1" si="271"/>
        <v>1179.4894433369943</v>
      </c>
      <c r="AB168" s="14">
        <f t="shared" si="300"/>
        <v>4016.4588107467653</v>
      </c>
      <c r="AC168" s="25">
        <f t="shared" ca="1" si="272"/>
        <v>555617.24993696227</v>
      </c>
      <c r="AD168" s="41">
        <f t="shared" si="273"/>
        <v>1892016.7632857743</v>
      </c>
      <c r="AE168" s="5">
        <f t="shared" ca="1" si="274"/>
        <v>29.366402069929265</v>
      </c>
      <c r="AF168" s="7">
        <f t="shared" ca="1" si="275"/>
        <v>1179.4894433369943</v>
      </c>
      <c r="AG168" s="41">
        <f t="shared" ca="1" si="276"/>
        <v>2836.9693674097707</v>
      </c>
      <c r="AH168" s="41">
        <f t="shared" ca="1" si="277"/>
        <v>1336399.513348812</v>
      </c>
      <c r="AI168" s="41">
        <f t="shared" ca="1" si="278"/>
        <v>918.28434535754241</v>
      </c>
      <c r="AJ168" s="13">
        <f t="shared" ca="1" si="279"/>
        <v>-2.5199454733592417E-14</v>
      </c>
      <c r="AK168" s="11"/>
      <c r="AL168" s="6">
        <v>0</v>
      </c>
      <c r="AM168" s="41">
        <f t="shared" si="280"/>
        <v>0</v>
      </c>
      <c r="AN168" s="41">
        <f t="shared" ca="1" si="281"/>
        <v>0</v>
      </c>
      <c r="AO168" s="6">
        <v>0</v>
      </c>
      <c r="AP168" s="67">
        <f t="shared" si="301"/>
        <v>0.77854392893890234</v>
      </c>
      <c r="AQ168" s="11">
        <f t="shared" si="282"/>
        <v>0.98330272071837588</v>
      </c>
      <c r="AR168" s="11">
        <f t="shared" si="283"/>
        <v>0.68770269343653956</v>
      </c>
      <c r="AS168" s="11">
        <f t="shared" si="284"/>
        <v>0.69938044403469313</v>
      </c>
      <c r="AT168" s="11">
        <f t="shared" si="285"/>
        <v>510.00962215499999</v>
      </c>
      <c r="AU168" s="11">
        <f t="shared" si="286"/>
        <v>1455.3301939042735</v>
      </c>
      <c r="AV168" s="11">
        <f t="shared" si="287"/>
        <v>1.6623573774260621E-3</v>
      </c>
      <c r="AW168" s="11">
        <f t="shared" si="288"/>
        <v>3.6885478983619832E-7</v>
      </c>
      <c r="AX168" s="41">
        <f t="shared" ca="1" si="289"/>
        <v>2.0315290332892979</v>
      </c>
      <c r="AY168" s="41">
        <f t="shared" ca="1" si="290"/>
        <v>2.7365099693446573</v>
      </c>
      <c r="AZ168" s="41">
        <f t="shared" si="291"/>
        <v>0.30044199110228809</v>
      </c>
      <c r="BA168" s="167">
        <f ca="1">2.12 - (0.00251*AF168) + (1.94*10^(-6)*AF168^2) - (7.84*10^(-10)*AF168^3) + (1.7*10^(-13)*AF168^4) - (1.89*10^(-17)*AF168^5) + (8.37*10^(-22)*AF168^6)</f>
        <v>0.86006536368829989</v>
      </c>
    </row>
    <row r="169" spans="1:53" ht="14.5">
      <c r="B169" s="135">
        <f ca="1">B168-B148</f>
        <v>21.497747682115346</v>
      </c>
      <c r="X169" s="32">
        <f ca="1">AVERAGE(X148:X168)</f>
        <v>1185.8155290700556</v>
      </c>
      <c r="AC169" s="3"/>
      <c r="AD169" s="3"/>
      <c r="AN169" s="32">
        <f ca="1">SUM(AN148:AN168)</f>
        <v>330.87030744030881</v>
      </c>
      <c r="AP169" s="145"/>
    </row>
    <row r="170" spans="1:53" s="89" customFormat="1" ht="14.5">
      <c r="A170" s="126" t="s">
        <v>241</v>
      </c>
      <c r="B170" s="82" t="s">
        <v>22</v>
      </c>
      <c r="C170" s="81">
        <v>0</v>
      </c>
      <c r="D170" s="82" t="s">
        <v>9</v>
      </c>
      <c r="E170" s="82"/>
      <c r="F170" s="82"/>
      <c r="G170" s="82"/>
      <c r="H170" s="82"/>
      <c r="I170" s="83"/>
      <c r="J170" s="82"/>
      <c r="K170" s="82"/>
      <c r="L170" s="84" t="s">
        <v>60</v>
      </c>
      <c r="M170" s="82"/>
      <c r="N170" s="82"/>
      <c r="O170" s="82"/>
      <c r="P170" s="82"/>
      <c r="Q170" s="81"/>
      <c r="R170" s="82"/>
      <c r="S170" s="85"/>
      <c r="T170" s="86"/>
      <c r="U170" s="81"/>
      <c r="V170" s="81"/>
      <c r="W170" s="81"/>
      <c r="X170" s="81"/>
      <c r="Y170" s="82"/>
      <c r="Z170" s="82"/>
      <c r="AA170" s="87"/>
      <c r="AB170" s="87"/>
      <c r="AC170" s="82"/>
      <c r="AD170" s="82"/>
      <c r="AE170" s="83"/>
      <c r="AF170" s="81"/>
      <c r="AG170" s="82"/>
      <c r="AH170" s="82"/>
      <c r="AI170" s="82"/>
      <c r="AJ170" s="81" t="s">
        <v>61</v>
      </c>
      <c r="AK170" s="88"/>
      <c r="AL170" s="83"/>
      <c r="AM170" s="82"/>
      <c r="AN170" s="82"/>
      <c r="AO170" s="82"/>
      <c r="AP170" s="53"/>
      <c r="AQ170" s="88"/>
      <c r="AR170" s="88"/>
      <c r="AS170" s="88"/>
      <c r="AT170" s="88"/>
      <c r="AU170" s="88"/>
      <c r="AV170" s="88"/>
      <c r="AW170" s="88"/>
      <c r="AX170" s="82"/>
      <c r="AY170" s="82"/>
      <c r="AZ170" s="82"/>
    </row>
    <row r="171" spans="1:53" ht="14.5">
      <c r="A171" s="41" t="s">
        <v>2</v>
      </c>
      <c r="B171" s="41" t="s">
        <v>2</v>
      </c>
      <c r="C171" s="41" t="s">
        <v>2</v>
      </c>
      <c r="D171" s="41" t="s">
        <v>23</v>
      </c>
      <c r="E171" s="41" t="s">
        <v>24</v>
      </c>
      <c r="F171" s="41" t="s">
        <v>25</v>
      </c>
      <c r="G171" s="41"/>
      <c r="H171" s="41" t="s">
        <v>0</v>
      </c>
      <c r="I171" s="5" t="s">
        <v>26</v>
      </c>
      <c r="J171" s="41" t="s">
        <v>27</v>
      </c>
      <c r="K171" s="41" t="s">
        <v>28</v>
      </c>
      <c r="L171" s="12" t="s">
        <v>29</v>
      </c>
      <c r="M171" s="13" t="s">
        <v>30</v>
      </c>
      <c r="N171" s="41" t="s">
        <v>31</v>
      </c>
      <c r="O171" s="41" t="s">
        <v>32</v>
      </c>
      <c r="P171" s="41" t="s">
        <v>33</v>
      </c>
      <c r="Q171" s="41" t="s">
        <v>34</v>
      </c>
      <c r="R171" s="41" t="s">
        <v>13</v>
      </c>
      <c r="S171" s="24" t="s">
        <v>35</v>
      </c>
      <c r="T171" s="10" t="s">
        <v>35</v>
      </c>
      <c r="U171" s="41" t="s">
        <v>36</v>
      </c>
      <c r="V171" s="41" t="s">
        <v>37</v>
      </c>
      <c r="W171" s="41" t="s">
        <v>38</v>
      </c>
      <c r="X171" s="41" t="s">
        <v>39</v>
      </c>
      <c r="Y171" s="41" t="s">
        <v>40</v>
      </c>
      <c r="Z171" s="35" t="s">
        <v>108</v>
      </c>
      <c r="AA171" s="35" t="s">
        <v>109</v>
      </c>
      <c r="AB171" s="9" t="s">
        <v>110</v>
      </c>
      <c r="AC171" s="7" t="s">
        <v>111</v>
      </c>
      <c r="AD171" s="7" t="s">
        <v>112</v>
      </c>
      <c r="AE171" s="5" t="s">
        <v>41</v>
      </c>
      <c r="AF171" s="7" t="s">
        <v>113</v>
      </c>
      <c r="AG171" s="7" t="s">
        <v>114</v>
      </c>
      <c r="AH171" s="7" t="s">
        <v>115</v>
      </c>
      <c r="AI171" s="41" t="s">
        <v>42</v>
      </c>
      <c r="AJ171" s="41" t="s">
        <v>43</v>
      </c>
      <c r="AK171" s="36"/>
      <c r="AL171" s="5" t="s">
        <v>44</v>
      </c>
      <c r="AM171" s="41" t="s">
        <v>45</v>
      </c>
      <c r="AN171" s="41" t="s">
        <v>46</v>
      </c>
      <c r="AO171" s="41" t="s">
        <v>47</v>
      </c>
      <c r="AP171" s="53"/>
      <c r="AQ171" s="15" t="s">
        <v>62</v>
      </c>
      <c r="AR171" s="16" t="s">
        <v>63</v>
      </c>
      <c r="AS171" s="16" t="s">
        <v>64</v>
      </c>
      <c r="AT171" s="17" t="s">
        <v>65</v>
      </c>
      <c r="AU171" s="18" t="s">
        <v>66</v>
      </c>
      <c r="AV171" s="18" t="s">
        <v>67</v>
      </c>
      <c r="AW171" s="19" t="s">
        <v>68</v>
      </c>
      <c r="AX171" s="7" t="s">
        <v>207</v>
      </c>
      <c r="AY171" s="7" t="s">
        <v>208</v>
      </c>
      <c r="AZ171" s="7" t="s">
        <v>209</v>
      </c>
    </row>
    <row r="172" spans="1:53" ht="14.5">
      <c r="A172" s="41" t="s">
        <v>18</v>
      </c>
      <c r="B172" s="41" t="s">
        <v>21</v>
      </c>
      <c r="C172" s="41" t="s">
        <v>48</v>
      </c>
      <c r="D172" s="41" t="s">
        <v>8</v>
      </c>
      <c r="E172" s="41" t="s">
        <v>49</v>
      </c>
      <c r="F172" s="41" t="s">
        <v>49</v>
      </c>
      <c r="G172" s="41"/>
      <c r="H172" s="41" t="s">
        <v>9</v>
      </c>
      <c r="I172" s="5" t="s">
        <v>50</v>
      </c>
      <c r="J172" s="41"/>
      <c r="K172" s="41" t="s">
        <v>51</v>
      </c>
      <c r="L172" s="5" t="s">
        <v>52</v>
      </c>
      <c r="M172" s="41" t="s">
        <v>52</v>
      </c>
      <c r="N172" s="41" t="s">
        <v>53</v>
      </c>
      <c r="O172" s="41" t="s">
        <v>54</v>
      </c>
      <c r="P172" s="41"/>
      <c r="Q172" s="41"/>
      <c r="R172" s="41"/>
      <c r="S172" s="24" t="s">
        <v>55</v>
      </c>
      <c r="T172" s="10" t="s">
        <v>55</v>
      </c>
      <c r="U172" s="41"/>
      <c r="V172" s="41"/>
      <c r="W172" s="41"/>
      <c r="X172" s="41"/>
      <c r="Y172" s="41"/>
      <c r="Z172" s="41"/>
      <c r="AA172" s="9" t="s">
        <v>118</v>
      </c>
      <c r="AB172" s="9" t="s">
        <v>118</v>
      </c>
      <c r="AC172" s="7" t="s">
        <v>119</v>
      </c>
      <c r="AD172" s="7" t="s">
        <v>119</v>
      </c>
      <c r="AE172" s="5" t="s">
        <v>20</v>
      </c>
      <c r="AF172" s="7" t="s">
        <v>118</v>
      </c>
      <c r="AG172" s="7" t="s">
        <v>118</v>
      </c>
      <c r="AH172" s="7" t="s">
        <v>119</v>
      </c>
      <c r="AI172" s="41" t="s">
        <v>56</v>
      </c>
      <c r="AJ172" s="41" t="s">
        <v>57</v>
      </c>
      <c r="AK172" s="11"/>
      <c r="AL172" s="5" t="s">
        <v>9</v>
      </c>
      <c r="AM172" s="41" t="s">
        <v>18</v>
      </c>
      <c r="AN172" s="41" t="s">
        <v>8</v>
      </c>
      <c r="AO172" s="41" t="s">
        <v>49</v>
      </c>
      <c r="AP172" s="53"/>
      <c r="AQ172" s="11"/>
      <c r="AR172" s="11"/>
      <c r="AS172" s="11"/>
      <c r="AT172" s="11"/>
      <c r="AU172" s="11"/>
      <c r="AV172" s="11"/>
      <c r="AW172" s="11"/>
      <c r="AX172" s="41"/>
      <c r="AY172" s="41"/>
      <c r="AZ172" s="41"/>
    </row>
    <row r="173" spans="1:53" ht="14.5">
      <c r="A173" s="41">
        <f ca="1">A168</f>
        <v>17012.348358525396</v>
      </c>
      <c r="B173" s="41">
        <f t="shared" ref="B173:C188" ca="1" si="304">A173/60</f>
        <v>283.5391393087566</v>
      </c>
      <c r="C173" s="41">
        <f t="shared" ca="1" si="304"/>
        <v>4.7256523218126096</v>
      </c>
      <c r="D173" s="41">
        <f t="shared" ref="D173:E173" ca="1" si="305">D168</f>
        <v>12751.226364679394</v>
      </c>
      <c r="E173" s="7">
        <f t="shared" ca="1" si="305"/>
        <v>995.54686407501663</v>
      </c>
      <c r="F173" s="7">
        <v>0</v>
      </c>
      <c r="G173" s="41"/>
      <c r="H173" s="7">
        <f>H168</f>
        <v>10000</v>
      </c>
      <c r="I173" s="6">
        <v>15</v>
      </c>
      <c r="J173" s="41">
        <f t="shared" ref="J173:J193" si="306">SQRT((((((((L173^2)*(0.2))/(661.477)^2) + 1)^(3.5) - 1)*(1/AR173) + 1)^(1/3.5) - 1)*(5))</f>
        <v>0.42549951772196798</v>
      </c>
      <c r="K173" s="41">
        <f t="shared" ref="K173:K193" si="307">SQRT((1.4*2116.22*AR173*(J173)^2)/AV173)</f>
        <v>471.06589471883535</v>
      </c>
      <c r="L173" s="6">
        <f t="shared" ref="L173:L192" si="308">L174+($L$168-$L$193)/20</f>
        <v>235</v>
      </c>
      <c r="M173" s="41">
        <f t="shared" ref="M173:M193" si="309">K173*0.592484</f>
        <v>279.09900556659443</v>
      </c>
      <c r="N173" s="41">
        <f t="shared" ref="N173:N193" si="310">0.5*AV173*K173^2</f>
        <v>184.44110870126713</v>
      </c>
      <c r="O173" s="41">
        <f t="shared" ref="O173:O193" si="311">P173/$B$7</f>
        <v>2123003.108316463</v>
      </c>
      <c r="P173" s="41">
        <f t="shared" ref="P173:P193" si="312">(AV173*K173*$B$7)/(AW173)</f>
        <v>13631171.75606169</v>
      </c>
      <c r="Q173" s="41">
        <f t="shared" ref="Q173:Q193" si="313">0.455/(LOG10(P173)^2.58 * (1+0.144*J173*J173)^0.65)</f>
        <v>2.8123079706811947E-3</v>
      </c>
      <c r="R173" s="41">
        <f t="shared" ref="R173:R193" si="314">(((Q173*$B$4)+$B$17)+(0.1*(Q173*$B$4)))</f>
        <v>2.2097807141776935E-2</v>
      </c>
      <c r="S173" s="24">
        <f ca="1">T173</f>
        <v>-4.3954167718366746</v>
      </c>
      <c r="T173" s="10">
        <f t="shared" ref="T173:T193" ca="1" si="315">DEGREES(ASIN(((AF173-X173)/(D173))))</f>
        <v>-4.3954167718366799</v>
      </c>
      <c r="U173" s="41">
        <f t="shared" ref="U173:U193" ca="1" si="316">(D173*COS(RADIANS(S173)))/(N173*$B$3)</f>
        <v>0.29970031800255453</v>
      </c>
      <c r="V173" s="41">
        <f t="shared" ref="V173:V193" ca="1" si="317">(X173)/(N173*$B$3)</f>
        <v>2.7770561764441662E-2</v>
      </c>
      <c r="W173" s="41">
        <f t="shared" ref="W173:W193" ca="1" si="318">U173/V173</f>
        <v>10.792014959751397</v>
      </c>
      <c r="X173" s="20">
        <f t="shared" ref="X173:X193" ca="1" si="319">(N173*$B$3*R173)+((N173*$B$3)*((U173^2)/(PI()*$B$6*$B$5)))</f>
        <v>1178.0676362508461</v>
      </c>
      <c r="Y173" s="41">
        <f t="shared" ref="Y173:Y193" si="320">SQRT(PI()*$B$6*$B$5*R173)</f>
        <v>0.59151368135346993</v>
      </c>
      <c r="Z173" s="41">
        <f t="shared" ref="Z173:Z193" ca="1" si="321">SQRT((2*((U173*N173*$B$3)/(D173))*D173)/(AV173*$B$3*$B$18))</f>
        <v>166.46373828451382</v>
      </c>
      <c r="AA173" s="14">
        <f t="shared" ref="AA173:AA193" ca="1" si="322">D173/W173</f>
        <v>1181.5426880183948</v>
      </c>
      <c r="AB173" s="14">
        <f>$B$15*AR173*0.93</f>
        <v>4016.4588107467653</v>
      </c>
      <c r="AC173" s="25">
        <f t="shared" ref="AC173:AC193" ca="1" si="323">AA173*K173</f>
        <v>556584.46347988292</v>
      </c>
      <c r="AD173" s="41">
        <f t="shared" ref="AD173:AD193" si="324">AB173*K173</f>
        <v>1892016.7632857743</v>
      </c>
      <c r="AE173" s="6">
        <v>5</v>
      </c>
      <c r="AF173" s="41">
        <f t="shared" ref="AF173:AF193" si="325">AB173*(AE173/100)</f>
        <v>200.82294053733827</v>
      </c>
      <c r="AG173" s="41">
        <f t="shared" ref="AG173:AG193" ca="1" si="326">AB173-AA173</f>
        <v>2834.9161227283703</v>
      </c>
      <c r="AH173" s="41">
        <f t="shared" ref="AH173:AH193" ca="1" si="327">AD173-AC173</f>
        <v>1335432.2998058912</v>
      </c>
      <c r="AI173" s="41">
        <f t="shared" ref="AI173:AI193" si="328">(AP173*AF173)</f>
        <v>159.20877289486532</v>
      </c>
      <c r="AJ173" s="13">
        <f t="shared" ref="AJ173:AJ193" ca="1" si="329">K173*SIN(RADIANS(T173))</f>
        <v>-36.102146866490386</v>
      </c>
      <c r="AK173" s="11"/>
      <c r="AL173" s="6">
        <v>-200</v>
      </c>
      <c r="AM173" s="41">
        <f t="shared" ref="AM173:AM192" ca="1" si="330">AL173/AJ173</f>
        <v>5.5398367509727739</v>
      </c>
      <c r="AN173" s="41">
        <f t="shared" ref="AN173:AN193" ca="1" si="331">AI173*(AM173/3600)</f>
        <v>0.24499739198895915</v>
      </c>
      <c r="AO173" s="41">
        <f t="shared" ref="AO173:AO193" ca="1" si="332">M173*COS(RADIANS(T173))*(AM173/3600)</f>
        <v>0.4282265240914056</v>
      </c>
      <c r="AP173" s="67">
        <f>0.705 + 0.302*AZ173 + -0.0327*AZ173^2</f>
        <v>0.79278180305931845</v>
      </c>
      <c r="AQ173" s="11">
        <f t="shared" ref="AQ173:AQ193" si="333">IF(H173 &lt;= 36089, ((1 - 6.87535*10^(-6)*H173) + ((I173*1.8)/518.67)), 0.75187 + ((I173*1.8)/518.67))</f>
        <v>0.98330272071837588</v>
      </c>
      <c r="AR173" s="11">
        <f t="shared" ref="AR173:AR193" si="334">IF(H173 &lt;= 36089, (1 - 6.87535*10^(-6)*H173)^5.2561, 0.22336*EXP((36089 - H173)/(20806.7)))</f>
        <v>0.68770269343653956</v>
      </c>
      <c r="AS173" s="11">
        <f t="shared" ref="AS173:AS193" si="335">(AR173/AQ173)</f>
        <v>0.69938044403469313</v>
      </c>
      <c r="AT173" s="11">
        <f t="shared" ref="AT173:AT193" si="336">(518.67*AQ173)</f>
        <v>510.00962215499999</v>
      </c>
      <c r="AU173" s="11">
        <f t="shared" ref="AU173:AU193" si="337">2116.22*AR173</f>
        <v>1455.3301939042735</v>
      </c>
      <c r="AV173" s="11">
        <f t="shared" ref="AV173:AV193" si="338">(0.0023769*AS173)</f>
        <v>1.6623573774260621E-3</v>
      </c>
      <c r="AW173" s="11">
        <f t="shared" ref="AW173:AW193" si="339">((2.2697*10^-8)*(AT173^1.5))/(AT173+198.72)</f>
        <v>3.6885478983619832E-7</v>
      </c>
      <c r="AX173" s="41">
        <f t="shared" ref="AX173:AX193" ca="1" si="340">(1/U173)*(((1 + 0.2*(U173)^2)/1.2)^3)</f>
        <v>2.0368844310180503</v>
      </c>
      <c r="AY173" s="41">
        <f t="shared" ref="AY173:AY193" ca="1" si="341">($H$4/$H$3)*AX173</f>
        <v>2.7437237964839167</v>
      </c>
      <c r="AZ173" s="41">
        <f t="shared" ref="AZ173:AZ193" si="342">-6.6*10^(-3) + 0.825*J173 - 0.243*(J173^2)</f>
        <v>0.30044199110228809</v>
      </c>
      <c r="BA173" s="167">
        <f>2.12-0.00251*AF173+1.94*10^-6*AF173^2-7.84*10^-10*AF173^3+1.7*10^-13*AF173^4-1.89*10^-17*AF173^5+8.37*10^-22*AF173^6</f>
        <v>1.6880949796352283</v>
      </c>
    </row>
    <row r="174" spans="1:53" ht="14.5">
      <c r="A174" s="41">
        <f t="shared" ref="A174:A192" ca="1" si="343">A173+AM173</f>
        <v>17017.88819527637</v>
      </c>
      <c r="B174" s="41">
        <f t="shared" ca="1" si="304"/>
        <v>283.63146992127281</v>
      </c>
      <c r="C174" s="41">
        <f t="shared" ca="1" si="304"/>
        <v>4.7271911653545464</v>
      </c>
      <c r="D174" s="41">
        <f t="shared" ref="D174:D192" ca="1" si="344">D173-AN173</f>
        <v>12750.981367287406</v>
      </c>
      <c r="E174" s="41">
        <f t="shared" ref="E174:E192" ca="1" si="345">E173+AO173</f>
        <v>995.97509059910806</v>
      </c>
      <c r="F174" s="41">
        <f t="shared" ref="F174:F192" ca="1" si="346">F173+AO173</f>
        <v>0.4282265240914056</v>
      </c>
      <c r="G174" s="41"/>
      <c r="H174" s="7">
        <f t="shared" ref="H174:H192" si="347">H173+AL173</f>
        <v>9800</v>
      </c>
      <c r="I174" s="6">
        <v>15</v>
      </c>
      <c r="J174" s="41">
        <f t="shared" si="306"/>
        <v>0.41189391460464148</v>
      </c>
      <c r="K174" s="41">
        <f t="shared" si="307"/>
        <v>456.32200989593849</v>
      </c>
      <c r="L174" s="6">
        <f t="shared" si="308"/>
        <v>228.25</v>
      </c>
      <c r="M174" s="41">
        <f t="shared" si="309"/>
        <v>270.36348971118525</v>
      </c>
      <c r="N174" s="41">
        <f t="shared" si="310"/>
        <v>174.18006641284779</v>
      </c>
      <c r="O174" s="41">
        <f t="shared" si="311"/>
        <v>2067416.9348570851</v>
      </c>
      <c r="P174" s="41">
        <f t="shared" si="312"/>
        <v>13274269.462928509</v>
      </c>
      <c r="Q174" s="41">
        <f t="shared" si="313"/>
        <v>2.8269992246437955E-3</v>
      </c>
      <c r="R174" s="41">
        <f t="shared" si="314"/>
        <v>2.2187124609686602E-2</v>
      </c>
      <c r="S174" s="24">
        <f t="shared" ref="S174:S193" ca="1" si="348">T174</f>
        <v>-4.2339004885496028</v>
      </c>
      <c r="T174" s="10">
        <f t="shared" ca="1" si="315"/>
        <v>-4.2339004885496063</v>
      </c>
      <c r="U174" s="41">
        <f t="shared" ca="1" si="316"/>
        <v>0.31741723207097583</v>
      </c>
      <c r="V174" s="41">
        <f t="shared" ca="1" si="317"/>
        <v>2.8550398127526574E-2</v>
      </c>
      <c r="W174" s="41">
        <f t="shared" ca="1" si="318"/>
        <v>11.117786542000662</v>
      </c>
      <c r="X174" s="20">
        <f t="shared" ca="1" si="319"/>
        <v>1143.7693556521392</v>
      </c>
      <c r="Y174" s="41">
        <f t="shared" si="320"/>
        <v>0.59270789997897488</v>
      </c>
      <c r="Z174" s="41">
        <f t="shared" ca="1" si="321"/>
        <v>165.95144791949127</v>
      </c>
      <c r="AA174" s="14">
        <f t="shared" ca="1" si="322"/>
        <v>1146.8992788372827</v>
      </c>
      <c r="AB174" s="14">
        <f t="shared" ref="AB174:AB193" si="349">$B$15*AR174*0.93</f>
        <v>4047.7290928136481</v>
      </c>
      <c r="AC174" s="25">
        <f t="shared" ca="1" si="323"/>
        <v>523355.38406723127</v>
      </c>
      <c r="AD174" s="41">
        <f t="shared" si="324"/>
        <v>1847067.8751469876</v>
      </c>
      <c r="AE174" s="6">
        <v>5</v>
      </c>
      <c r="AF174" s="41">
        <f t="shared" si="325"/>
        <v>202.38645464068242</v>
      </c>
      <c r="AG174" s="41">
        <f t="shared" ca="1" si="326"/>
        <v>2900.8298139763656</v>
      </c>
      <c r="AH174" s="41">
        <f t="shared" ca="1" si="327"/>
        <v>1323712.4910797563</v>
      </c>
      <c r="AI174" s="41">
        <f t="shared" si="328"/>
        <v>159.96461153507036</v>
      </c>
      <c r="AJ174" s="13">
        <f t="shared" ca="1" si="329"/>
        <v>-33.689464763338698</v>
      </c>
      <c r="AK174" s="11"/>
      <c r="AL174" s="6">
        <f>AL173</f>
        <v>-200</v>
      </c>
      <c r="AM174" s="41">
        <f t="shared" ca="1" si="330"/>
        <v>5.9365739825478778</v>
      </c>
      <c r="AN174" s="41">
        <f t="shared" ca="1" si="331"/>
        <v>0.26378937526874358</v>
      </c>
      <c r="AO174" s="41">
        <f t="shared" ca="1" si="332"/>
        <v>0.44462574308975905</v>
      </c>
      <c r="AP174" s="67">
        <f t="shared" ref="AP174:AP193" si="350">0.705 + 0.302*AZ174 + -0.0327*AZ174^2</f>
        <v>0.79039188575674235</v>
      </c>
      <c r="AQ174" s="11">
        <f t="shared" si="333"/>
        <v>0.98467779071837591</v>
      </c>
      <c r="AR174" s="11">
        <f t="shared" si="334"/>
        <v>0.69305682706897609</v>
      </c>
      <c r="AS174" s="11">
        <f t="shared" si="335"/>
        <v>0.70384122969134244</v>
      </c>
      <c r="AT174" s="11">
        <f t="shared" si="336"/>
        <v>510.72282971189998</v>
      </c>
      <c r="AU174" s="11">
        <f t="shared" si="337"/>
        <v>1466.6607185799085</v>
      </c>
      <c r="AV174" s="11">
        <f t="shared" si="338"/>
        <v>1.6729602188533517E-3</v>
      </c>
      <c r="AW174" s="11">
        <f t="shared" si="339"/>
        <v>3.692571907832819E-7</v>
      </c>
      <c r="AX174" s="41">
        <f t="shared" ca="1" si="340"/>
        <v>1.9356142389396072</v>
      </c>
      <c r="AY174" s="41">
        <f t="shared" ca="1" si="341"/>
        <v>2.6073108357636827</v>
      </c>
      <c r="AZ174" s="41">
        <f t="shared" si="342"/>
        <v>0.29198592650496363</v>
      </c>
      <c r="BA174" s="167">
        <f t="shared" ref="BA174:BA192" si="351">2.12-0.00251*AF174+1.94*10^-6*AF174^2-7.84*10^-10*AF174^3+1.7*10^-13*AF174^4-1.89*10^-17*AF174^5+8.37*10^-22*AF174^6</f>
        <v>1.6852525854634117</v>
      </c>
    </row>
    <row r="175" spans="1:53" ht="14.5">
      <c r="A175" s="41">
        <f t="shared" ca="1" si="343"/>
        <v>17023.824769258918</v>
      </c>
      <c r="B175" s="41">
        <f t="shared" ca="1" si="304"/>
        <v>283.73041282098194</v>
      </c>
      <c r="C175" s="41">
        <f t="shared" ca="1" si="304"/>
        <v>4.7288402136830321</v>
      </c>
      <c r="D175" s="41">
        <f t="shared" ca="1" si="344"/>
        <v>12750.717577912137</v>
      </c>
      <c r="E175" s="41">
        <f t="shared" ca="1" si="345"/>
        <v>996.41971634219783</v>
      </c>
      <c r="F175" s="41">
        <f t="shared" ca="1" si="346"/>
        <v>0.87285226718116471</v>
      </c>
      <c r="G175" s="41"/>
      <c r="H175" s="7">
        <f t="shared" si="347"/>
        <v>9600</v>
      </c>
      <c r="I175" s="6">
        <v>15</v>
      </c>
      <c r="J175" s="41">
        <f t="shared" si="306"/>
        <v>0.39836609683773794</v>
      </c>
      <c r="K175" s="41">
        <f t="shared" si="307"/>
        <v>441.64308910788196</v>
      </c>
      <c r="L175" s="6">
        <f t="shared" si="308"/>
        <v>221.5</v>
      </c>
      <c r="M175" s="41">
        <f t="shared" si="309"/>
        <v>261.66646400699432</v>
      </c>
      <c r="N175" s="41">
        <f t="shared" si="310"/>
        <v>164.19336359971356</v>
      </c>
      <c r="O175" s="41">
        <f t="shared" si="311"/>
        <v>2011465.0580422494</v>
      </c>
      <c r="P175" s="41">
        <f t="shared" si="312"/>
        <v>12915019.097279331</v>
      </c>
      <c r="Q175" s="41">
        <f t="shared" si="313"/>
        <v>2.8420839722536327E-3</v>
      </c>
      <c r="R175" s="41">
        <f t="shared" si="314"/>
        <v>2.2278834375510332E-2</v>
      </c>
      <c r="S175" s="24">
        <f t="shared" ca="1" si="348"/>
        <v>-4.0831692723081217</v>
      </c>
      <c r="T175" s="10">
        <f t="shared" ca="1" si="315"/>
        <v>-4.0831692723081252</v>
      </c>
      <c r="U175" s="41">
        <f t="shared" ca="1" si="316"/>
        <v>0.33678088822942293</v>
      </c>
      <c r="V175" s="41">
        <f t="shared" ca="1" si="317"/>
        <v>2.9442156263930624E-2</v>
      </c>
      <c r="W175" s="41">
        <f t="shared" ca="1" si="318"/>
        <v>11.438730411264435</v>
      </c>
      <c r="X175" s="20">
        <f t="shared" ca="1" si="319"/>
        <v>1111.8675337787233</v>
      </c>
      <c r="Y175" s="41">
        <f t="shared" si="320"/>
        <v>0.59393160626407215</v>
      </c>
      <c r="Z175" s="41">
        <f t="shared" ca="1" si="321"/>
        <v>165.4396250282268</v>
      </c>
      <c r="AA175" s="14">
        <f t="shared" ca="1" si="322"/>
        <v>1114.6969217279311</v>
      </c>
      <c r="AB175" s="14">
        <f t="shared" si="349"/>
        <v>4079.1962206845465</v>
      </c>
      <c r="AC175" s="25">
        <f t="shared" ca="1" si="323"/>
        <v>492298.19193097041</v>
      </c>
      <c r="AD175" s="41">
        <f t="shared" si="324"/>
        <v>1801548.8199803205</v>
      </c>
      <c r="AE175" s="6">
        <v>5</v>
      </c>
      <c r="AF175" s="41">
        <f t="shared" si="325"/>
        <v>203.95981103422733</v>
      </c>
      <c r="AG175" s="41">
        <f t="shared" ca="1" si="326"/>
        <v>2964.4992989566153</v>
      </c>
      <c r="AH175" s="41">
        <f t="shared" ca="1" si="327"/>
        <v>1309250.6280493501</v>
      </c>
      <c r="AI175" s="41">
        <f t="shared" si="328"/>
        <v>160.71741707147376</v>
      </c>
      <c r="AJ175" s="13">
        <f t="shared" ca="1" si="329"/>
        <v>-31.44694946364255</v>
      </c>
      <c r="AK175" s="11"/>
      <c r="AL175" s="6">
        <f t="shared" ref="AL175:AL192" si="352">AL174</f>
        <v>-200</v>
      </c>
      <c r="AM175" s="41">
        <f t="shared" ca="1" si="330"/>
        <v>6.3599173659508814</v>
      </c>
      <c r="AN175" s="41">
        <f t="shared" ca="1" si="331"/>
        <v>0.28393041440101019</v>
      </c>
      <c r="AO175" s="41">
        <f t="shared" ca="1" si="332"/>
        <v>0.46109804954404437</v>
      </c>
      <c r="AP175" s="67">
        <f t="shared" si="350"/>
        <v>0.7879857127564367</v>
      </c>
      <c r="AQ175" s="11">
        <f t="shared" si="333"/>
        <v>0.98605286071837595</v>
      </c>
      <c r="AR175" s="11">
        <f t="shared" si="334"/>
        <v>0.69844466486619861</v>
      </c>
      <c r="AS175" s="11">
        <f t="shared" si="335"/>
        <v>0.70832375493272826</v>
      </c>
      <c r="AT175" s="11">
        <f t="shared" si="336"/>
        <v>511.43603726880002</v>
      </c>
      <c r="AU175" s="11">
        <f t="shared" si="337"/>
        <v>1478.0625686831468</v>
      </c>
      <c r="AV175" s="11">
        <f t="shared" si="338"/>
        <v>1.6836147330996018E-3</v>
      </c>
      <c r="AW175" s="11">
        <f t="shared" si="339"/>
        <v>3.6965932299979949E-7</v>
      </c>
      <c r="AX175" s="41">
        <f t="shared" ca="1" si="340"/>
        <v>1.8379494233940643</v>
      </c>
      <c r="AY175" s="41">
        <f t="shared" ca="1" si="341"/>
        <v>2.4757543888632632</v>
      </c>
      <c r="AZ175" s="41">
        <f t="shared" si="342"/>
        <v>0.28348901194346843</v>
      </c>
      <c r="BA175" s="167">
        <f t="shared" si="351"/>
        <v>1.6823997224012934</v>
      </c>
    </row>
    <row r="176" spans="1:53" ht="14.5">
      <c r="A176" s="41">
        <f t="shared" ca="1" si="343"/>
        <v>17030.184686624867</v>
      </c>
      <c r="B176" s="41">
        <f t="shared" ca="1" si="304"/>
        <v>283.83641144374781</v>
      </c>
      <c r="C176" s="41">
        <f t="shared" ca="1" si="304"/>
        <v>4.7306068573957969</v>
      </c>
      <c r="D176" s="41">
        <f t="shared" ca="1" si="344"/>
        <v>12750.433647497735</v>
      </c>
      <c r="E176" s="41">
        <f t="shared" ca="1" si="345"/>
        <v>996.88081439174186</v>
      </c>
      <c r="F176" s="41">
        <f t="shared" ca="1" si="346"/>
        <v>1.3339503167252091</v>
      </c>
      <c r="G176" s="41"/>
      <c r="H176" s="7">
        <f t="shared" si="347"/>
        <v>9400</v>
      </c>
      <c r="I176" s="6">
        <v>15</v>
      </c>
      <c r="J176" s="41">
        <f t="shared" si="306"/>
        <v>0.38491674982475105</v>
      </c>
      <c r="K176" s="41">
        <f t="shared" si="307"/>
        <v>427.03009555088153</v>
      </c>
      <c r="L176" s="6">
        <f t="shared" si="308"/>
        <v>214.75</v>
      </c>
      <c r="M176" s="41">
        <f t="shared" si="309"/>
        <v>253.00849913236848</v>
      </c>
      <c r="N176" s="41">
        <f t="shared" si="310"/>
        <v>154.48370956295233</v>
      </c>
      <c r="O176" s="41">
        <f t="shared" si="311"/>
        <v>1955152.6191534062</v>
      </c>
      <c r="P176" s="41">
        <f t="shared" si="312"/>
        <v>12553453.669753764</v>
      </c>
      <c r="Q176" s="41">
        <f t="shared" si="313"/>
        <v>2.8575949375152523E-3</v>
      </c>
      <c r="R176" s="41">
        <f t="shared" si="314"/>
        <v>2.2373135389265143E-2</v>
      </c>
      <c r="S176" s="24">
        <f t="shared" ca="1" si="348"/>
        <v>-3.9440734879406247</v>
      </c>
      <c r="T176" s="10">
        <f t="shared" ca="1" si="315"/>
        <v>-3.9440734879406287</v>
      </c>
      <c r="U176" s="41">
        <f t="shared" ca="1" si="316"/>
        <v>0.35800134238640324</v>
      </c>
      <c r="V176" s="41">
        <f t="shared" ca="1" si="317"/>
        <v>3.0467614396518128E-2</v>
      </c>
      <c r="W176" s="41">
        <f t="shared" ca="1" si="318"/>
        <v>11.750225591253249</v>
      </c>
      <c r="X176" s="20">
        <f t="shared" ca="1" si="319"/>
        <v>1082.552521506778</v>
      </c>
      <c r="Y176" s="41">
        <f t="shared" si="320"/>
        <v>0.59518726464407268</v>
      </c>
      <c r="Z176" s="41">
        <f t="shared" ca="1" si="321"/>
        <v>164.92830296789955</v>
      </c>
      <c r="AA176" s="14">
        <f t="shared" ca="1" si="322"/>
        <v>1085.1224556053655</v>
      </c>
      <c r="AB176" s="14">
        <f t="shared" si="349"/>
        <v>4110.8611409563209</v>
      </c>
      <c r="AC176" s="25">
        <f t="shared" ca="1" si="323"/>
        <v>463379.94590156642</v>
      </c>
      <c r="AD176" s="41">
        <f t="shared" si="324"/>
        <v>1755461.4258189835</v>
      </c>
      <c r="AE176" s="6">
        <v>5</v>
      </c>
      <c r="AF176" s="41">
        <f t="shared" si="325"/>
        <v>205.54305704781606</v>
      </c>
      <c r="AG176" s="41">
        <f t="shared" ca="1" si="326"/>
        <v>3025.7386853509552</v>
      </c>
      <c r="AH176" s="41">
        <f t="shared" ca="1" si="327"/>
        <v>1292081.479917417</v>
      </c>
      <c r="AI176" s="41">
        <f t="shared" si="328"/>
        <v>161.46718000110101</v>
      </c>
      <c r="AJ176" s="13">
        <f t="shared" ca="1" si="329"/>
        <v>-29.372290053870859</v>
      </c>
      <c r="AK176" s="11"/>
      <c r="AL176" s="6">
        <f t="shared" si="352"/>
        <v>-200</v>
      </c>
      <c r="AM176" s="41">
        <f t="shared" ca="1" si="330"/>
        <v>6.8091388050841744</v>
      </c>
      <c r="AN176" s="41">
        <f t="shared" ca="1" si="331"/>
        <v>0.30540345585916895</v>
      </c>
      <c r="AO176" s="41">
        <f t="shared" ca="1" si="332"/>
        <v>0.47741385889737359</v>
      </c>
      <c r="AP176" s="67">
        <f t="shared" si="350"/>
        <v>0.78556377588340753</v>
      </c>
      <c r="AQ176" s="11">
        <f t="shared" si="333"/>
        <v>0.98742793071837587</v>
      </c>
      <c r="AR176" s="11">
        <f t="shared" si="334"/>
        <v>0.70386636890560939</v>
      </c>
      <c r="AS176" s="11">
        <f t="shared" si="335"/>
        <v>0.71282809307766981</v>
      </c>
      <c r="AT176" s="11">
        <f t="shared" si="336"/>
        <v>512.14924482569995</v>
      </c>
      <c r="AU176" s="11">
        <f t="shared" si="337"/>
        <v>1489.5360872054287</v>
      </c>
      <c r="AV176" s="11">
        <f t="shared" si="338"/>
        <v>1.6943210944363133E-3</v>
      </c>
      <c r="AW176" s="11">
        <f t="shared" si="339"/>
        <v>3.7006118691864808E-7</v>
      </c>
      <c r="AX176" s="41">
        <f t="shared" ca="1" si="340"/>
        <v>1.7440043132155452</v>
      </c>
      <c r="AY176" s="41">
        <f t="shared" ca="1" si="341"/>
        <v>2.349208458993655</v>
      </c>
      <c r="AZ176" s="41">
        <f t="shared" si="342"/>
        <v>0.27495321886157664</v>
      </c>
      <c r="BA176" s="167">
        <f t="shared" si="351"/>
        <v>1.679536429310885</v>
      </c>
    </row>
    <row r="177" spans="1:53" ht="14.5">
      <c r="A177" s="41">
        <f t="shared" ca="1" si="343"/>
        <v>17036.993825429952</v>
      </c>
      <c r="B177" s="41">
        <f t="shared" ca="1" si="304"/>
        <v>283.94989709049918</v>
      </c>
      <c r="C177" s="41">
        <f t="shared" ca="1" si="304"/>
        <v>4.732498284841653</v>
      </c>
      <c r="D177" s="41">
        <f t="shared" ca="1" si="344"/>
        <v>12750.128244041876</v>
      </c>
      <c r="E177" s="41">
        <f t="shared" ca="1" si="345"/>
        <v>997.35822825063929</v>
      </c>
      <c r="F177" s="41">
        <f t="shared" ca="1" si="346"/>
        <v>1.8113641756225827</v>
      </c>
      <c r="G177" s="41"/>
      <c r="H177" s="7">
        <f t="shared" si="347"/>
        <v>9200</v>
      </c>
      <c r="I177" s="6">
        <v>15</v>
      </c>
      <c r="J177" s="41">
        <f t="shared" si="306"/>
        <v>0.371546520964528</v>
      </c>
      <c r="K177" s="41">
        <f t="shared" si="307"/>
        <v>412.4839520322347</v>
      </c>
      <c r="L177" s="6">
        <f t="shared" si="308"/>
        <v>208</v>
      </c>
      <c r="M177" s="41">
        <f t="shared" si="309"/>
        <v>244.39014183586656</v>
      </c>
      <c r="N177" s="41">
        <f t="shared" si="310"/>
        <v>145.05367787553996</v>
      </c>
      <c r="O177" s="41">
        <f t="shared" si="311"/>
        <v>1898484.6892058637</v>
      </c>
      <c r="P177" s="41">
        <f t="shared" si="312"/>
        <v>12189605.739833409</v>
      </c>
      <c r="Q177" s="41">
        <f t="shared" si="313"/>
        <v>2.8735682688417496E-3</v>
      </c>
      <c r="R177" s="41">
        <f t="shared" si="314"/>
        <v>2.2470247420123556E-2</v>
      </c>
      <c r="S177" s="24">
        <f t="shared" ca="1" si="348"/>
        <v>-3.8175858823683506</v>
      </c>
      <c r="T177" s="10">
        <f t="shared" ca="1" si="315"/>
        <v>-3.8175858823683555</v>
      </c>
      <c r="U177" s="41">
        <f t="shared" ca="1" si="316"/>
        <v>0.38132320670668729</v>
      </c>
      <c r="V177" s="41">
        <f t="shared" ca="1" si="317"/>
        <v>3.165370160980422E-2</v>
      </c>
      <c r="W177" s="41">
        <f t="shared" ca="1" si="318"/>
        <v>12.046717676411616</v>
      </c>
      <c r="X177" s="20">
        <f t="shared" ca="1" si="319"/>
        <v>1056.0417424817101</v>
      </c>
      <c r="Y177" s="41">
        <f t="shared" si="320"/>
        <v>0.59647759024610636</v>
      </c>
      <c r="Z177" s="41">
        <f t="shared" ca="1" si="321"/>
        <v>164.417505192324</v>
      </c>
      <c r="AA177" s="14">
        <f t="shared" ca="1" si="322"/>
        <v>1058.3902259955501</v>
      </c>
      <c r="AB177" s="14">
        <f t="shared" si="349"/>
        <v>4142.7248033752157</v>
      </c>
      <c r="AC177" s="25">
        <f t="shared" ca="1" si="323"/>
        <v>436568.9832109345</v>
      </c>
      <c r="AD177" s="41">
        <f t="shared" si="324"/>
        <v>1708807.4990781713</v>
      </c>
      <c r="AE177" s="6">
        <v>5</v>
      </c>
      <c r="AF177" s="41">
        <f t="shared" si="325"/>
        <v>207.13624016876079</v>
      </c>
      <c r="AG177" s="41">
        <f t="shared" ca="1" si="326"/>
        <v>3084.3345773796655</v>
      </c>
      <c r="AH177" s="41">
        <f t="shared" ca="1" si="327"/>
        <v>1272238.5158672368</v>
      </c>
      <c r="AI177" s="41">
        <f t="shared" si="328"/>
        <v>162.2138925917175</v>
      </c>
      <c r="AJ177" s="13">
        <f t="shared" ca="1" si="329"/>
        <v>-27.463245058698465</v>
      </c>
      <c r="AK177" s="11"/>
      <c r="AL177" s="6">
        <f t="shared" si="352"/>
        <v>-200</v>
      </c>
      <c r="AM177" s="41">
        <f t="shared" ca="1" si="330"/>
        <v>7.2824605967914842</v>
      </c>
      <c r="AN177" s="41">
        <f t="shared" ca="1" si="331"/>
        <v>0.3281434114031524</v>
      </c>
      <c r="AO177" s="41">
        <f t="shared" ca="1" si="332"/>
        <v>0.49328123031747961</v>
      </c>
      <c r="AP177" s="67">
        <f t="shared" si="350"/>
        <v>0.78312656664790492</v>
      </c>
      <c r="AQ177" s="11">
        <f t="shared" si="333"/>
        <v>0.9888030007183759</v>
      </c>
      <c r="AR177" s="11">
        <f t="shared" si="334"/>
        <v>0.70932210180385169</v>
      </c>
      <c r="AS177" s="11">
        <f t="shared" si="335"/>
        <v>0.7173543175824928</v>
      </c>
      <c r="AT177" s="11">
        <f t="shared" si="336"/>
        <v>512.86245238259994</v>
      </c>
      <c r="AU177" s="11">
        <f t="shared" si="337"/>
        <v>1501.0816182793469</v>
      </c>
      <c r="AV177" s="11">
        <f t="shared" si="338"/>
        <v>1.705079477461827E-3</v>
      </c>
      <c r="AW177" s="11">
        <f t="shared" si="339"/>
        <v>3.7046278297177631E-7</v>
      </c>
      <c r="AX177" s="41">
        <f t="shared" ca="1" si="340"/>
        <v>1.6539116623484</v>
      </c>
      <c r="AY177" s="41">
        <f t="shared" ca="1" si="341"/>
        <v>2.2278518683553945</v>
      </c>
      <c r="AZ177" s="41">
        <f t="shared" si="342"/>
        <v>0.26638050320621037</v>
      </c>
      <c r="BA177" s="167">
        <f t="shared" si="351"/>
        <v>1.6766627459918924</v>
      </c>
    </row>
    <row r="178" spans="1:53" ht="14.5">
      <c r="A178" s="41">
        <f t="shared" ca="1" si="343"/>
        <v>17044.276286026743</v>
      </c>
      <c r="B178" s="41">
        <f t="shared" ca="1" si="304"/>
        <v>284.07127143377903</v>
      </c>
      <c r="C178" s="41">
        <f t="shared" ca="1" si="304"/>
        <v>4.734521190562984</v>
      </c>
      <c r="D178" s="41">
        <f t="shared" ca="1" si="344"/>
        <v>12749.800100630473</v>
      </c>
      <c r="E178" s="41">
        <f t="shared" ca="1" si="345"/>
        <v>997.85150948095679</v>
      </c>
      <c r="F178" s="41">
        <f t="shared" ca="1" si="346"/>
        <v>2.3046454059400623</v>
      </c>
      <c r="G178" s="41"/>
      <c r="H178" s="7">
        <f t="shared" si="347"/>
        <v>9000</v>
      </c>
      <c r="I178" s="6">
        <v>15</v>
      </c>
      <c r="J178" s="41">
        <f t="shared" si="306"/>
        <v>0.35825601899432646</v>
      </c>
      <c r="K178" s="41">
        <f t="shared" si="307"/>
        <v>398.00554009132173</v>
      </c>
      <c r="L178" s="6">
        <f t="shared" si="308"/>
        <v>201.25</v>
      </c>
      <c r="M178" s="41">
        <f t="shared" si="309"/>
        <v>235.81191441546667</v>
      </c>
      <c r="N178" s="41">
        <f t="shared" si="310"/>
        <v>135.90570779155132</v>
      </c>
      <c r="O178" s="41">
        <f t="shared" si="311"/>
        <v>1841466.2610132897</v>
      </c>
      <c r="P178" s="41">
        <f t="shared" si="312"/>
        <v>11823507.364890385</v>
      </c>
      <c r="Q178" s="41">
        <f t="shared" si="313"/>
        <v>2.8900440136460878E-3</v>
      </c>
      <c r="R178" s="41">
        <f t="shared" si="314"/>
        <v>2.2570413941755779E-2</v>
      </c>
      <c r="S178" s="24">
        <f t="shared" ca="1" si="348"/>
        <v>-3.7048269593687517</v>
      </c>
      <c r="T178" s="10">
        <f t="shared" ca="1" si="315"/>
        <v>-3.7048269593687557</v>
      </c>
      <c r="U178" s="41">
        <f t="shared" ca="1" si="316"/>
        <v>0.40703269476059972</v>
      </c>
      <c r="V178" s="41">
        <f t="shared" ca="1" si="317"/>
        <v>3.3033942915575799E-2</v>
      </c>
      <c r="W178" s="41">
        <f t="shared" ca="1" si="318"/>
        <v>12.321650364319064</v>
      </c>
      <c r="X178" s="20">
        <f t="shared" ca="1" si="319"/>
        <v>1032.5853204100169</v>
      </c>
      <c r="Y178" s="41">
        <f t="shared" si="320"/>
        <v>0.59780558294868658</v>
      </c>
      <c r="Z178" s="41">
        <f t="shared" ca="1" si="321"/>
        <v>163.90724253369351</v>
      </c>
      <c r="AA178" s="14">
        <f t="shared" ca="1" si="322"/>
        <v>1034.74775891639</v>
      </c>
      <c r="AB178" s="14">
        <f t="shared" si="349"/>
        <v>4174.7881608426615</v>
      </c>
      <c r="AC178" s="25">
        <f t="shared" ca="1" si="323"/>
        <v>411835.34064580256</v>
      </c>
      <c r="AD178" s="41">
        <f t="shared" si="324"/>
        <v>1661588.8167230391</v>
      </c>
      <c r="AE178" s="6">
        <v>5</v>
      </c>
      <c r="AF178" s="41">
        <f t="shared" si="325"/>
        <v>208.73940804213308</v>
      </c>
      <c r="AG178" s="41">
        <f t="shared" ca="1" si="326"/>
        <v>3140.0404019262714</v>
      </c>
      <c r="AH178" s="41">
        <f t="shared" ca="1" si="327"/>
        <v>1249753.4760772367</v>
      </c>
      <c r="AI178" s="41">
        <f t="shared" si="328"/>
        <v>162.95754880597477</v>
      </c>
      <c r="AJ178" s="13">
        <f t="shared" ca="1" si="329"/>
        <v>-25.717676725597695</v>
      </c>
      <c r="AK178" s="11"/>
      <c r="AL178" s="6">
        <f t="shared" si="352"/>
        <v>-200</v>
      </c>
      <c r="AM178" s="41">
        <f t="shared" ca="1" si="330"/>
        <v>7.776752236757571</v>
      </c>
      <c r="AN178" s="41">
        <f t="shared" ca="1" si="331"/>
        <v>0.35202235615927652</v>
      </c>
      <c r="AO178" s="41">
        <f t="shared" ca="1" si="332"/>
        <v>0.50833844758061619</v>
      </c>
      <c r="AP178" s="67">
        <f t="shared" si="350"/>
        <v>0.78067457570389653</v>
      </c>
      <c r="AQ178" s="11">
        <f t="shared" si="333"/>
        <v>0.99017807071837594</v>
      </c>
      <c r="AR178" s="11">
        <f t="shared" si="334"/>
        <v>0.71481202671780375</v>
      </c>
      <c r="AS178" s="11">
        <f t="shared" si="335"/>
        <v>0.72190250204107864</v>
      </c>
      <c r="AT178" s="11">
        <f t="shared" si="336"/>
        <v>513.57565993950004</v>
      </c>
      <c r="AU178" s="11">
        <f t="shared" si="337"/>
        <v>1512.6995071807505</v>
      </c>
      <c r="AV178" s="11">
        <f t="shared" si="338"/>
        <v>1.7158900571014398E-3</v>
      </c>
      <c r="AW178" s="11">
        <f t="shared" si="339"/>
        <v>3.7086411159018176E-7</v>
      </c>
      <c r="AX178" s="41">
        <f t="shared" ca="1" si="340"/>
        <v>1.5678277443341291</v>
      </c>
      <c r="AY178" s="41">
        <f t="shared" ca="1" si="341"/>
        <v>2.1118951205136547</v>
      </c>
      <c r="AZ178" s="41">
        <f t="shared" si="342"/>
        <v>0.25777280350992321</v>
      </c>
      <c r="BA178" s="167">
        <f t="shared" si="351"/>
        <v>1.6737787131866557</v>
      </c>
    </row>
    <row r="179" spans="1:53" ht="14.5">
      <c r="A179" s="41">
        <f t="shared" ca="1" si="343"/>
        <v>17052.053038263501</v>
      </c>
      <c r="B179" s="41">
        <f t="shared" ca="1" si="304"/>
        <v>284.20088397105832</v>
      </c>
      <c r="C179" s="41">
        <f t="shared" ca="1" si="304"/>
        <v>4.7366813995176384</v>
      </c>
      <c r="D179" s="41">
        <f t="shared" ca="1" si="344"/>
        <v>12749.448078274314</v>
      </c>
      <c r="E179" s="41">
        <f t="shared" ca="1" si="345"/>
        <v>998.35984792853742</v>
      </c>
      <c r="F179" s="41">
        <f t="shared" ca="1" si="346"/>
        <v>2.8129838535206786</v>
      </c>
      <c r="G179" s="41"/>
      <c r="H179" s="7">
        <f t="shared" si="347"/>
        <v>8800</v>
      </c>
      <c r="I179" s="6">
        <v>15</v>
      </c>
      <c r="J179" s="41">
        <f t="shared" si="306"/>
        <v>0.34504581342044982</v>
      </c>
      <c r="K179" s="41">
        <f t="shared" si="307"/>
        <v>383.59569921524417</v>
      </c>
      <c r="L179" s="6">
        <f t="shared" si="308"/>
        <v>194.5</v>
      </c>
      <c r="M179" s="41">
        <f t="shared" si="309"/>
        <v>227.27431425384472</v>
      </c>
      <c r="N179" s="41">
        <f t="shared" si="310"/>
        <v>127.04210594834348</v>
      </c>
      <c r="O179" s="41">
        <f t="shared" si="311"/>
        <v>1784102.241513045</v>
      </c>
      <c r="P179" s="41">
        <f t="shared" si="312"/>
        <v>11455190.050910575</v>
      </c>
      <c r="Q179" s="41">
        <f t="shared" si="313"/>
        <v>2.907066678417925E-3</v>
      </c>
      <c r="R179" s="41">
        <f t="shared" si="314"/>
        <v>2.2673905537392618E-2</v>
      </c>
      <c r="S179" s="24">
        <f t="shared" ca="1" si="348"/>
        <v>-3.6070965733039633</v>
      </c>
      <c r="T179" s="10">
        <f t="shared" ca="1" si="315"/>
        <v>-3.6070965733039677</v>
      </c>
      <c r="U179" s="41">
        <f t="shared" ca="1" si="316"/>
        <v>0.43546639801542009</v>
      </c>
      <c r="V179" s="41">
        <f t="shared" ca="1" si="317"/>
        <v>3.4650377138675401E-2</v>
      </c>
      <c r="W179" s="41">
        <f t="shared" ca="1" si="318"/>
        <v>12.567436027395196</v>
      </c>
      <c r="X179" s="20">
        <f t="shared" ca="1" si="319"/>
        <v>1012.473083228381</v>
      </c>
      <c r="Y179" s="41">
        <f t="shared" si="320"/>
        <v>0.59917456748837927</v>
      </c>
      <c r="Z179" s="41">
        <f t="shared" ca="1" si="321"/>
        <v>163.397509597712</v>
      </c>
      <c r="AA179" s="14">
        <f t="shared" ca="1" si="322"/>
        <v>1014.4828309038023</v>
      </c>
      <c r="AB179" s="14">
        <f t="shared" si="349"/>
        <v>4207.0521694211193</v>
      </c>
      <c r="AC179" s="25">
        <f t="shared" ca="1" si="323"/>
        <v>389151.25086240435</v>
      </c>
      <c r="AD179" s="41">
        <f t="shared" si="324"/>
        <v>1613807.1185641042</v>
      </c>
      <c r="AE179" s="6">
        <v>5</v>
      </c>
      <c r="AF179" s="41">
        <f t="shared" si="325"/>
        <v>210.35260847105599</v>
      </c>
      <c r="AG179" s="41">
        <f t="shared" ca="1" si="326"/>
        <v>3192.5693385173172</v>
      </c>
      <c r="AH179" s="41">
        <f t="shared" ca="1" si="327"/>
        <v>1224655.8677017</v>
      </c>
      <c r="AI179" s="41">
        <f t="shared" si="328"/>
        <v>163.69814422182964</v>
      </c>
      <c r="AJ179" s="13">
        <f t="shared" ca="1" si="329"/>
        <v>-24.133590919415454</v>
      </c>
      <c r="AK179" s="11"/>
      <c r="AL179" s="6">
        <f t="shared" si="352"/>
        <v>-200</v>
      </c>
      <c r="AM179" s="41">
        <f t="shared" ca="1" si="330"/>
        <v>8.2872043645647508</v>
      </c>
      <c r="AN179" s="41">
        <f t="shared" ca="1" si="331"/>
        <v>0.37683332646286016</v>
      </c>
      <c r="AO179" s="41">
        <f t="shared" ca="1" si="332"/>
        <v>0.52214928649776282</v>
      </c>
      <c r="AP179" s="67">
        <f t="shared" si="350"/>
        <v>0.77820829231292421</v>
      </c>
      <c r="AQ179" s="11">
        <f t="shared" si="333"/>
        <v>0.99155314071837586</v>
      </c>
      <c r="AR179" s="11">
        <f t="shared" si="334"/>
        <v>0.72033630734557885</v>
      </c>
      <c r="AS179" s="11">
        <f t="shared" si="335"/>
        <v>0.7264727201849196</v>
      </c>
      <c r="AT179" s="11">
        <f t="shared" si="336"/>
        <v>514.28886749639992</v>
      </c>
      <c r="AU179" s="11">
        <f t="shared" si="337"/>
        <v>1524.3901003308608</v>
      </c>
      <c r="AV179" s="11">
        <f t="shared" si="338"/>
        <v>1.7267530086075354E-3</v>
      </c>
      <c r="AW179" s="11">
        <f t="shared" si="339"/>
        <v>3.7126517320391516E-7</v>
      </c>
      <c r="AX179" s="41">
        <f t="shared" ca="1" si="340"/>
        <v>1.4859391773776494</v>
      </c>
      <c r="AY179" s="41">
        <f t="shared" ca="1" si="341"/>
        <v>2.0015895938981054</v>
      </c>
      <c r="AZ179" s="41">
        <f t="shared" si="342"/>
        <v>0.24913203902563896</v>
      </c>
      <c r="BA179" s="167">
        <f t="shared" si="351"/>
        <v>1.670884372585034</v>
      </c>
    </row>
    <row r="180" spans="1:53" ht="14.5">
      <c r="A180" s="41">
        <f t="shared" ca="1" si="343"/>
        <v>17060.340242628066</v>
      </c>
      <c r="B180" s="41">
        <f t="shared" ca="1" si="304"/>
        <v>284.33900404380108</v>
      </c>
      <c r="C180" s="41">
        <f t="shared" ca="1" si="304"/>
        <v>4.7389834007300182</v>
      </c>
      <c r="D180" s="41">
        <f t="shared" ca="1" si="344"/>
        <v>12749.071244947851</v>
      </c>
      <c r="E180" s="41">
        <f t="shared" ca="1" si="345"/>
        <v>998.8819972150352</v>
      </c>
      <c r="F180" s="41">
        <f t="shared" ca="1" si="346"/>
        <v>3.3351331400184412</v>
      </c>
      <c r="G180" s="41"/>
      <c r="H180" s="7">
        <f t="shared" si="347"/>
        <v>8600</v>
      </c>
      <c r="I180" s="6">
        <v>15</v>
      </c>
      <c r="J180" s="41">
        <f t="shared" si="306"/>
        <v>0.33191643403665116</v>
      </c>
      <c r="K180" s="41">
        <f t="shared" si="307"/>
        <v>369.25522614979252</v>
      </c>
      <c r="L180" s="6">
        <f t="shared" si="308"/>
        <v>187.75</v>
      </c>
      <c r="M180" s="41">
        <f t="shared" si="309"/>
        <v>218.77781341013369</v>
      </c>
      <c r="N180" s="41">
        <f t="shared" si="310"/>
        <v>118.46504835051194</v>
      </c>
      <c r="O180" s="41">
        <f t="shared" si="311"/>
        <v>1726397.4443697301</v>
      </c>
      <c r="P180" s="41">
        <f t="shared" si="312"/>
        <v>11084684.7050032</v>
      </c>
      <c r="Q180" s="41">
        <f t="shared" si="313"/>
        <v>2.9246858932727021E-3</v>
      </c>
      <c r="R180" s="41">
        <f t="shared" si="314"/>
        <v>2.278102394004165E-2</v>
      </c>
      <c r="S180" s="24">
        <f t="shared" ca="1" si="348"/>
        <v>-3.5259135327234534</v>
      </c>
      <c r="T180" s="10">
        <f t="shared" ca="1" si="315"/>
        <v>-3.5259135327234583</v>
      </c>
      <c r="U180" s="41">
        <f t="shared" ca="1" si="316"/>
        <v>0.46702229606580259</v>
      </c>
      <c r="V180" s="41">
        <f t="shared" ca="1" si="317"/>
        <v>3.6556125840538106E-2</v>
      </c>
      <c r="W180" s="41">
        <f t="shared" ca="1" si="318"/>
        <v>12.775486606622536</v>
      </c>
      <c r="X180" s="20">
        <f t="shared" ca="1" si="319"/>
        <v>996.04333949755119</v>
      </c>
      <c r="Y180" s="41">
        <f t="shared" si="320"/>
        <v>0.6005882409392409</v>
      </c>
      <c r="Z180" s="41">
        <f t="shared" ca="1" si="321"/>
        <v>162.88827989845819</v>
      </c>
      <c r="AA180" s="14">
        <f t="shared" ca="1" si="322"/>
        <v>997.93234007532897</v>
      </c>
      <c r="AB180" s="14">
        <f t="shared" si="349"/>
        <v>4239.5177883399092</v>
      </c>
      <c r="AC180" s="25">
        <f t="shared" ca="1" si="323"/>
        <v>368491.73191670724</v>
      </c>
      <c r="AD180" s="41">
        <f t="shared" si="324"/>
        <v>1565464.0996995214</v>
      </c>
      <c r="AE180" s="6">
        <v>5</v>
      </c>
      <c r="AF180" s="41">
        <f t="shared" si="325"/>
        <v>211.97588941699547</v>
      </c>
      <c r="AG180" s="41">
        <f t="shared" ca="1" si="326"/>
        <v>3241.58544826458</v>
      </c>
      <c r="AH180" s="41">
        <f t="shared" ca="1" si="327"/>
        <v>1196972.3677828142</v>
      </c>
      <c r="AI180" s="41">
        <f t="shared" si="328"/>
        <v>164.43567594952572</v>
      </c>
      <c r="AJ180" s="13">
        <f t="shared" ca="1" si="329"/>
        <v>-22.7091839110176</v>
      </c>
      <c r="AK180" s="11"/>
      <c r="AL180" s="6">
        <f t="shared" si="352"/>
        <v>-200</v>
      </c>
      <c r="AM180" s="41">
        <f t="shared" ca="1" si="330"/>
        <v>8.8070095686251371</v>
      </c>
      <c r="AN180" s="41">
        <f t="shared" ca="1" si="331"/>
        <v>0.40227404764189312</v>
      </c>
      <c r="AO180" s="41">
        <f t="shared" ca="1" si="332"/>
        <v>0.53420307487977459</v>
      </c>
      <c r="AP180" s="67">
        <f t="shared" si="350"/>
        <v>0.77572820381496577</v>
      </c>
      <c r="AQ180" s="11">
        <f t="shared" si="333"/>
        <v>0.99292821071837589</v>
      </c>
      <c r="AR180" s="11">
        <f t="shared" si="334"/>
        <v>0.72589510792752365</v>
      </c>
      <c r="AS180" s="11">
        <f t="shared" si="335"/>
        <v>0.73106504588317034</v>
      </c>
      <c r="AT180" s="11">
        <f t="shared" si="336"/>
        <v>515.00207505330002</v>
      </c>
      <c r="AU180" s="11">
        <f t="shared" si="337"/>
        <v>1536.1537452983839</v>
      </c>
      <c r="AV180" s="11">
        <f t="shared" si="338"/>
        <v>1.7376685075597075E-3</v>
      </c>
      <c r="AW180" s="11">
        <f t="shared" si="339"/>
        <v>3.7166596824208236E-7</v>
      </c>
      <c r="AX180" s="41">
        <f t="shared" ca="1" si="340"/>
        <v>1.4084722031794652</v>
      </c>
      <c r="AY180" s="41">
        <f t="shared" ca="1" si="341"/>
        <v>1.8972400405741936</v>
      </c>
      <c r="AZ180" s="41">
        <f t="shared" si="342"/>
        <v>0.24046010791862082</v>
      </c>
      <c r="BA180" s="167">
        <f t="shared" si="351"/>
        <v>1.6679797668292264</v>
      </c>
    </row>
    <row r="181" spans="1:53" ht="14.5">
      <c r="A181" s="41">
        <f t="shared" ca="1" si="343"/>
        <v>17069.14725219669</v>
      </c>
      <c r="B181" s="41">
        <f t="shared" ca="1" si="304"/>
        <v>284.4857875366115</v>
      </c>
      <c r="C181" s="41">
        <f t="shared" ca="1" si="304"/>
        <v>4.7414297922768585</v>
      </c>
      <c r="D181" s="41">
        <f t="shared" ca="1" si="344"/>
        <v>12748.668970900209</v>
      </c>
      <c r="E181" s="41">
        <f t="shared" ca="1" si="345"/>
        <v>999.41620028991497</v>
      </c>
      <c r="F181" s="41">
        <f t="shared" ca="1" si="346"/>
        <v>3.8693362148982158</v>
      </c>
      <c r="G181" s="41"/>
      <c r="H181" s="7">
        <f t="shared" si="347"/>
        <v>8400</v>
      </c>
      <c r="I181" s="6">
        <v>15</v>
      </c>
      <c r="J181" s="41">
        <f t="shared" si="306"/>
        <v>0.31886837053007588</v>
      </c>
      <c r="K181" s="41">
        <f t="shared" si="307"/>
        <v>354.98487430596225</v>
      </c>
      <c r="L181" s="6">
        <f t="shared" si="308"/>
        <v>181</v>
      </c>
      <c r="M181" s="41">
        <f t="shared" si="309"/>
        <v>210.32285826829374</v>
      </c>
      <c r="N181" s="41">
        <f t="shared" si="310"/>
        <v>110.17658262346676</v>
      </c>
      <c r="O181" s="41">
        <f t="shared" si="311"/>
        <v>1668356.5828724296</v>
      </c>
      <c r="P181" s="41">
        <f t="shared" si="312"/>
        <v>10712021.589796137</v>
      </c>
      <c r="Q181" s="41">
        <f t="shared" si="313"/>
        <v>2.9429572050262594E-3</v>
      </c>
      <c r="R181" s="41">
        <f t="shared" si="314"/>
        <v>2.2892106854091751E-2</v>
      </c>
      <c r="S181" s="24">
        <f t="shared" ca="1" si="348"/>
        <v>-3.4630656025344986</v>
      </c>
      <c r="T181" s="10">
        <f t="shared" ca="1" si="315"/>
        <v>-3.4630656025345039</v>
      </c>
      <c r="U181" s="41">
        <f t="shared" ca="1" si="316"/>
        <v>0.50217367238591815</v>
      </c>
      <c r="V181" s="41">
        <f t="shared" ca="1" si="317"/>
        <v>3.8818868148277938E-2</v>
      </c>
      <c r="W181" s="41">
        <f t="shared" ca="1" si="318"/>
        <v>12.936329582504721</v>
      </c>
      <c r="X181" s="20">
        <f t="shared" ca="1" si="319"/>
        <v>983.69395379428715</v>
      </c>
      <c r="Y181" s="41">
        <f t="shared" si="320"/>
        <v>0.6020507292402828</v>
      </c>
      <c r="Z181" s="41">
        <f t="shared" ca="1" si="321"/>
        <v>162.37949918368582</v>
      </c>
      <c r="AA181" s="14">
        <f t="shared" ca="1" si="322"/>
        <v>985.49351959474609</v>
      </c>
      <c r="AB181" s="14">
        <f t="shared" si="349"/>
        <v>4272.1859800010343</v>
      </c>
      <c r="AC181" s="25">
        <f t="shared" ca="1" si="323"/>
        <v>349835.29318268131</v>
      </c>
      <c r="AD181" s="41">
        <f t="shared" si="324"/>
        <v>1516561.4031223613</v>
      </c>
      <c r="AE181" s="6">
        <v>5</v>
      </c>
      <c r="AF181" s="41">
        <f t="shared" si="325"/>
        <v>213.60929900005172</v>
      </c>
      <c r="AG181" s="41">
        <f t="shared" ca="1" si="326"/>
        <v>3286.6924604062883</v>
      </c>
      <c r="AH181" s="41">
        <f t="shared" ca="1" si="327"/>
        <v>1166726.10993968</v>
      </c>
      <c r="AI181" s="41">
        <f t="shared" si="328"/>
        <v>165.17014254543486</v>
      </c>
      <c r="AJ181" s="13">
        <f t="shared" ca="1" si="329"/>
        <v>-21.442897686893112</v>
      </c>
      <c r="AK181" s="11"/>
      <c r="AL181" s="6">
        <f t="shared" si="352"/>
        <v>-200</v>
      </c>
      <c r="AM181" s="41">
        <f t="shared" ca="1" si="330"/>
        <v>9.3270976208709531</v>
      </c>
      <c r="AN181" s="41">
        <f t="shared" ca="1" si="331"/>
        <v>0.42793278988178934</v>
      </c>
      <c r="AO181" s="41">
        <f t="shared" ca="1" si="332"/>
        <v>0.54392212629806291</v>
      </c>
      <c r="AP181" s="67">
        <f t="shared" si="350"/>
        <v>0.77323479510784254</v>
      </c>
      <c r="AQ181" s="11">
        <f t="shared" si="333"/>
        <v>0.99430328071837593</v>
      </c>
      <c r="AR181" s="11">
        <f t="shared" si="334"/>
        <v>0.73148859324721494</v>
      </c>
      <c r="AS181" s="11">
        <f t="shared" si="335"/>
        <v>0.7356795531426995</v>
      </c>
      <c r="AT181" s="11">
        <f t="shared" si="336"/>
        <v>515.71528261020001</v>
      </c>
      <c r="AU181" s="11">
        <f t="shared" si="337"/>
        <v>1547.990790801621</v>
      </c>
      <c r="AV181" s="11">
        <f t="shared" si="338"/>
        <v>1.7486367298648823E-3</v>
      </c>
      <c r="AW181" s="11">
        <f t="shared" si="339"/>
        <v>3.7206649713284872E-7</v>
      </c>
      <c r="AX181" s="41">
        <f t="shared" ca="1" si="340"/>
        <v>1.3357055051757027</v>
      </c>
      <c r="AY181" s="41">
        <f t="shared" ca="1" si="341"/>
        <v>1.7992218526671389</v>
      </c>
      <c r="AZ181" s="41">
        <f t="shared" si="342"/>
        <v>0.2317588855202577</v>
      </c>
      <c r="BA181" s="167">
        <f t="shared" si="351"/>
        <v>1.6650649395185351</v>
      </c>
    </row>
    <row r="182" spans="1:53" ht="14.5">
      <c r="A182" s="41">
        <f t="shared" ca="1" si="343"/>
        <v>17078.474349817559</v>
      </c>
      <c r="B182" s="41">
        <f t="shared" ca="1" si="304"/>
        <v>284.64123916362598</v>
      </c>
      <c r="C182" s="41">
        <f t="shared" ca="1" si="304"/>
        <v>4.7440206527270998</v>
      </c>
      <c r="D182" s="41">
        <f t="shared" ca="1" si="344"/>
        <v>12748.241038110327</v>
      </c>
      <c r="E182" s="41">
        <f t="shared" ca="1" si="345"/>
        <v>999.96012241621304</v>
      </c>
      <c r="F182" s="41">
        <f t="shared" ca="1" si="346"/>
        <v>4.4132583411962791</v>
      </c>
      <c r="G182" s="41"/>
      <c r="H182" s="7">
        <f t="shared" si="347"/>
        <v>8200</v>
      </c>
      <c r="I182" s="6">
        <v>15</v>
      </c>
      <c r="J182" s="41">
        <f t="shared" si="306"/>
        <v>0.3059020721741445</v>
      </c>
      <c r="K182" s="41">
        <f t="shared" si="307"/>
        <v>340.78535326182953</v>
      </c>
      <c r="L182" s="6">
        <f t="shared" si="308"/>
        <v>174.25</v>
      </c>
      <c r="M182" s="41">
        <f t="shared" si="309"/>
        <v>201.90986924198182</v>
      </c>
      <c r="N182" s="41">
        <f t="shared" si="310"/>
        <v>102.17863052365938</v>
      </c>
      <c r="O182" s="41">
        <f t="shared" si="311"/>
        <v>1609984.263139568</v>
      </c>
      <c r="P182" s="41">
        <f t="shared" si="312"/>
        <v>10337230.279806318</v>
      </c>
      <c r="Q182" s="41">
        <f t="shared" si="313"/>
        <v>2.9619430295127745E-3</v>
      </c>
      <c r="R182" s="41">
        <f t="shared" si="314"/>
        <v>2.3007533745058973E-2</v>
      </c>
      <c r="S182" s="24">
        <f t="shared" ca="1" si="348"/>
        <v>-3.4206731189189332</v>
      </c>
      <c r="T182" s="10">
        <f t="shared" ca="1" si="315"/>
        <v>-3.4206731189189385</v>
      </c>
      <c r="U182" s="41">
        <f t="shared" ca="1" si="316"/>
        <v>0.54148684227410038</v>
      </c>
      <c r="V182" s="41">
        <f t="shared" ca="1" si="317"/>
        <v>4.1525590336624014E-2</v>
      </c>
      <c r="W182" s="41">
        <f t="shared" ca="1" si="318"/>
        <v>13.039834903840712</v>
      </c>
      <c r="X182" s="20">
        <f t="shared" ca="1" si="319"/>
        <v>975.89642902503101</v>
      </c>
      <c r="Y182" s="41">
        <f t="shared" si="320"/>
        <v>0.60356665490491646</v>
      </c>
      <c r="Z182" s="41">
        <f t="shared" ca="1" si="321"/>
        <v>161.87107613818145</v>
      </c>
      <c r="AA182" s="14">
        <f t="shared" ca="1" si="322"/>
        <v>977.63822411244644</v>
      </c>
      <c r="AB182" s="14">
        <f t="shared" si="349"/>
        <v>4305.057709985017</v>
      </c>
      <c r="AC182" s="25">
        <f t="shared" ca="1" si="323"/>
        <v>333164.78756642772</v>
      </c>
      <c r="AD182" s="41">
        <f t="shared" si="324"/>
        <v>1467100.6125098069</v>
      </c>
      <c r="AE182" s="6">
        <v>5</v>
      </c>
      <c r="AF182" s="41">
        <f t="shared" si="325"/>
        <v>215.25288549925085</v>
      </c>
      <c r="AG182" s="41">
        <f t="shared" ca="1" si="326"/>
        <v>3327.4194858725705</v>
      </c>
      <c r="AH182" s="41">
        <f t="shared" ca="1" si="327"/>
        <v>1133935.824943379</v>
      </c>
      <c r="AI182" s="41">
        <f t="shared" si="328"/>
        <v>165.90154392306241</v>
      </c>
      <c r="AJ182" s="13">
        <f t="shared" ca="1" si="329"/>
        <v>-20.333485844191927</v>
      </c>
      <c r="AK182" s="11"/>
      <c r="AL182" s="6">
        <f t="shared" si="352"/>
        <v>-200</v>
      </c>
      <c r="AM182" s="41">
        <f t="shared" ca="1" si="330"/>
        <v>9.8359917985792951</v>
      </c>
      <c r="AN182" s="41">
        <f t="shared" ca="1" si="331"/>
        <v>0.45327950705524572</v>
      </c>
      <c r="AO182" s="41">
        <f t="shared" ca="1" si="332"/>
        <v>0.5506793106660447</v>
      </c>
      <c r="AP182" s="67">
        <f t="shared" si="350"/>
        <v>0.77072854813665104</v>
      </c>
      <c r="AQ182" s="11">
        <f t="shared" si="333"/>
        <v>0.99567835071837585</v>
      </c>
      <c r="AR182" s="11">
        <f t="shared" si="334"/>
        <v>0.73711692863245948</v>
      </c>
      <c r="AS182" s="11">
        <f t="shared" si="335"/>
        <v>0.74031631610814286</v>
      </c>
      <c r="AT182" s="11">
        <f t="shared" si="336"/>
        <v>516.42849016709999</v>
      </c>
      <c r="AU182" s="11">
        <f t="shared" si="337"/>
        <v>1559.9015867105832</v>
      </c>
      <c r="AV182" s="11">
        <f t="shared" si="338"/>
        <v>1.7596578517574447E-3</v>
      </c>
      <c r="AW182" s="11">
        <f t="shared" si="339"/>
        <v>3.7246676030343812E-7</v>
      </c>
      <c r="AX182" s="41">
        <f t="shared" ca="1" si="340"/>
        <v>1.267988227774949</v>
      </c>
      <c r="AY182" s="41">
        <f t="shared" ca="1" si="341"/>
        <v>1.7080053346319513</v>
      </c>
      <c r="AZ182" s="41">
        <f t="shared" si="342"/>
        <v>0.22303022264788339</v>
      </c>
      <c r="BA182" s="167">
        <f t="shared" si="351"/>
        <v>1.6621399352140658</v>
      </c>
    </row>
    <row r="183" spans="1:53" ht="14.5">
      <c r="A183" s="41">
        <f t="shared" ca="1" si="343"/>
        <v>17088.310341616139</v>
      </c>
      <c r="B183" s="41">
        <f t="shared" ca="1" si="304"/>
        <v>284.80517236026901</v>
      </c>
      <c r="C183" s="41">
        <f t="shared" ca="1" si="304"/>
        <v>4.7467528726711503</v>
      </c>
      <c r="D183" s="41">
        <f t="shared" ca="1" si="344"/>
        <v>12747.787758603272</v>
      </c>
      <c r="E183" s="41">
        <f t="shared" ca="1" si="345"/>
        <v>1000.5108017268791</v>
      </c>
      <c r="F183" s="41">
        <f t="shared" ca="1" si="346"/>
        <v>4.9639376518623237</v>
      </c>
      <c r="G183" s="41"/>
      <c r="H183" s="7">
        <f t="shared" si="347"/>
        <v>8000</v>
      </c>
      <c r="I183" s="6">
        <v>15</v>
      </c>
      <c r="J183" s="41">
        <f t="shared" si="306"/>
        <v>0.29301794760742417</v>
      </c>
      <c r="K183" s="41">
        <f t="shared" si="307"/>
        <v>326.65732835919488</v>
      </c>
      <c r="L183" s="6">
        <f t="shared" si="308"/>
        <v>167.5</v>
      </c>
      <c r="M183" s="41">
        <f t="shared" si="309"/>
        <v>193.53924053556923</v>
      </c>
      <c r="N183" s="41">
        <f t="shared" si="310"/>
        <v>94.472990691771969</v>
      </c>
      <c r="O183" s="41">
        <f t="shared" si="311"/>
        <v>1551284.977643471</v>
      </c>
      <c r="P183" s="41">
        <f t="shared" si="312"/>
        <v>9960339.6198628619</v>
      </c>
      <c r="Q183" s="41">
        <f t="shared" si="313"/>
        <v>2.9817138027148789E-3</v>
      </c>
      <c r="R183" s="41">
        <f t="shared" si="314"/>
        <v>2.3127732838037939E-2</v>
      </c>
      <c r="S183" s="24">
        <f t="shared" ca="1" si="348"/>
        <v>-3.4012705821311897</v>
      </c>
      <c r="T183" s="10">
        <f t="shared" ca="1" si="315"/>
        <v>-3.4012705821311955</v>
      </c>
      <c r="U183" s="41">
        <f t="shared" ca="1" si="316"/>
        <v>0.58564392880305194</v>
      </c>
      <c r="V183" s="41">
        <f t="shared" ca="1" si="317"/>
        <v>4.4789150775006288E-2</v>
      </c>
      <c r="W183" s="41">
        <f t="shared" ca="1" si="318"/>
        <v>13.075575639845779</v>
      </c>
      <c r="X183" s="20">
        <f t="shared" ca="1" si="319"/>
        <v>973.21395557969402</v>
      </c>
      <c r="Y183" s="41">
        <f t="shared" si="320"/>
        <v>0.60514121865393022</v>
      </c>
      <c r="Z183" s="41">
        <f t="shared" ca="1" si="321"/>
        <v>161.36286925665593</v>
      </c>
      <c r="AA183" s="14">
        <f t="shared" ca="1" si="322"/>
        <v>974.93128484197484</v>
      </c>
      <c r="AB183" s="14">
        <f t="shared" si="349"/>
        <v>4338.1339470567436</v>
      </c>
      <c r="AC183" s="25">
        <f t="shared" ca="1" si="323"/>
        <v>318468.44884027675</v>
      </c>
      <c r="AD183" s="41">
        <f t="shared" si="324"/>
        <v>1417083.2452098848</v>
      </c>
      <c r="AE183" s="6">
        <v>5</v>
      </c>
      <c r="AF183" s="41">
        <f t="shared" si="325"/>
        <v>216.9066973528372</v>
      </c>
      <c r="AG183" s="41">
        <f t="shared" ca="1" si="326"/>
        <v>3363.2026622147687</v>
      </c>
      <c r="AH183" s="41">
        <f t="shared" ca="1" si="327"/>
        <v>1098614.796369608</v>
      </c>
      <c r="AI183" s="41">
        <f t="shared" si="328"/>
        <v>166.62988126152155</v>
      </c>
      <c r="AJ183" s="13">
        <f t="shared" ca="1" si="329"/>
        <v>-19.380092692892589</v>
      </c>
      <c r="AK183" s="11"/>
      <c r="AL183" s="6">
        <f t="shared" si="352"/>
        <v>-200</v>
      </c>
      <c r="AM183" s="41">
        <f t="shared" ca="1" si="330"/>
        <v>10.319868081608689</v>
      </c>
      <c r="AN183" s="41">
        <f t="shared" ca="1" si="331"/>
        <v>0.47766622029806166</v>
      </c>
      <c r="AO183" s="41">
        <f t="shared" ca="1" si="332"/>
        <v>0.55382811471654325</v>
      </c>
      <c r="AP183" s="67">
        <f t="shared" si="350"/>
        <v>0.7682099413946103</v>
      </c>
      <c r="AQ183" s="11">
        <f t="shared" si="333"/>
        <v>0.99705342071837588</v>
      </c>
      <c r="AR183" s="11">
        <f t="shared" si="334"/>
        <v>0.7427802799562947</v>
      </c>
      <c r="AS183" s="11">
        <f t="shared" si="335"/>
        <v>0.74497540906195614</v>
      </c>
      <c r="AT183" s="11">
        <f t="shared" si="336"/>
        <v>517.14169772399998</v>
      </c>
      <c r="AU183" s="11">
        <f t="shared" si="337"/>
        <v>1571.8864840491099</v>
      </c>
      <c r="AV183" s="11">
        <f t="shared" si="338"/>
        <v>1.7707320497993635E-3</v>
      </c>
      <c r="AW183" s="11">
        <f t="shared" si="339"/>
        <v>3.7286675818013285E-7</v>
      </c>
      <c r="AX183" s="41">
        <f t="shared" ca="1" si="340"/>
        <v>1.2057657933937713</v>
      </c>
      <c r="AY183" s="41">
        <f t="shared" ca="1" si="341"/>
        <v>1.6241904793131994</v>
      </c>
      <c r="AZ183" s="41">
        <f t="shared" si="342"/>
        <v>0.2142759439944486</v>
      </c>
      <c r="BA183" s="167">
        <f t="shared" si="351"/>
        <v>1.6592047994433585</v>
      </c>
    </row>
    <row r="184" spans="1:53" ht="14.5">
      <c r="A184" s="41">
        <f t="shared" ca="1" si="343"/>
        <v>17098.630209697749</v>
      </c>
      <c r="B184" s="41">
        <f t="shared" ca="1" si="304"/>
        <v>284.97717016162915</v>
      </c>
      <c r="C184" s="41">
        <f t="shared" ca="1" si="304"/>
        <v>4.7496195026938191</v>
      </c>
      <c r="D184" s="41">
        <f t="shared" ca="1" si="344"/>
        <v>12747.310092382973</v>
      </c>
      <c r="E184" s="41">
        <f t="shared" ca="1" si="345"/>
        <v>1001.0646298415957</v>
      </c>
      <c r="F184" s="41">
        <f t="shared" ca="1" si="346"/>
        <v>5.5177657665788669</v>
      </c>
      <c r="G184" s="41"/>
      <c r="H184" s="7">
        <f t="shared" si="347"/>
        <v>7800</v>
      </c>
      <c r="I184" s="6">
        <v>15</v>
      </c>
      <c r="J184" s="41">
        <f t="shared" si="306"/>
        <v>0.28021636469723654</v>
      </c>
      <c r="K184" s="41">
        <f t="shared" si="307"/>
        <v>312.6014203940627</v>
      </c>
      <c r="L184" s="6">
        <f t="shared" si="308"/>
        <v>160.75</v>
      </c>
      <c r="M184" s="41">
        <f t="shared" si="309"/>
        <v>185.21133996075585</v>
      </c>
      <c r="N184" s="41">
        <f t="shared" si="310"/>
        <v>87.061341634593091</v>
      </c>
      <c r="O184" s="41">
        <f t="shared" si="311"/>
        <v>1492263.0990652535</v>
      </c>
      <c r="P184" s="41">
        <f t="shared" si="312"/>
        <v>9581377.6856511422</v>
      </c>
      <c r="Q184" s="41">
        <f t="shared" si="313"/>
        <v>3.0023493821487463E-3</v>
      </c>
      <c r="R184" s="41">
        <f t="shared" si="314"/>
        <v>2.3253189637612283E-2</v>
      </c>
      <c r="S184" s="24">
        <f t="shared" ca="1" si="348"/>
        <v>-3.4079122132871063</v>
      </c>
      <c r="T184" s="10">
        <f t="shared" ca="1" si="315"/>
        <v>-3.4079122132871111</v>
      </c>
      <c r="U184" s="41">
        <f t="shared" ca="1" si="316"/>
        <v>0.63547238893396452</v>
      </c>
      <c r="V184" s="41">
        <f t="shared" ca="1" si="317"/>
        <v>4.8757463406230848E-2</v>
      </c>
      <c r="W184" s="41">
        <f t="shared" ca="1" si="318"/>
        <v>13.033335709846542</v>
      </c>
      <c r="X184" s="20">
        <f t="shared" ca="1" si="319"/>
        <v>976.32474113458773</v>
      </c>
      <c r="Y184" s="41">
        <f t="shared" si="320"/>
        <v>0.60678029852640014</v>
      </c>
      <c r="Z184" s="41">
        <f t="shared" ca="1" si="321"/>
        <v>160.8546680766604</v>
      </c>
      <c r="AA184" s="14">
        <f t="shared" ca="1" si="322"/>
        <v>978.0543044519693</v>
      </c>
      <c r="AB184" s="14">
        <f t="shared" si="349"/>
        <v>4371.4156631712922</v>
      </c>
      <c r="AC184" s="25">
        <f t="shared" ca="1" si="323"/>
        <v>305741.16479421267</v>
      </c>
      <c r="AD184" s="41">
        <f t="shared" si="324"/>
        <v>1366510.7454401995</v>
      </c>
      <c r="AE184" s="6">
        <v>5</v>
      </c>
      <c r="AF184" s="41">
        <f t="shared" si="325"/>
        <v>218.57078315856461</v>
      </c>
      <c r="AG184" s="41">
        <f t="shared" ca="1" si="326"/>
        <v>3393.3613587193231</v>
      </c>
      <c r="AH184" s="41">
        <f t="shared" ca="1" si="327"/>
        <v>1060769.5806459868</v>
      </c>
      <c r="AI184" s="41">
        <f t="shared" si="328"/>
        <v>167.35515691178588</v>
      </c>
      <c r="AJ184" s="13">
        <f t="shared" ca="1" si="329"/>
        <v>-18.582348892106271</v>
      </c>
      <c r="AK184" s="11"/>
      <c r="AL184" s="6">
        <f t="shared" si="352"/>
        <v>-200</v>
      </c>
      <c r="AM184" s="41">
        <f t="shared" ca="1" si="330"/>
        <v>10.762901997010692</v>
      </c>
      <c r="AN184" s="41">
        <f t="shared" ca="1" si="331"/>
        <v>0.5003408757044161</v>
      </c>
      <c r="AO184" s="41">
        <f t="shared" ca="1" si="332"/>
        <v>0.55274622464684253</v>
      </c>
      <c r="AP184" s="67">
        <f t="shared" si="350"/>
        <v>0.76567944943664412</v>
      </c>
      <c r="AQ184" s="11">
        <f t="shared" si="333"/>
        <v>0.99842849071837592</v>
      </c>
      <c r="AR184" s="11">
        <f t="shared" si="334"/>
        <v>0.74847881363798574</v>
      </c>
      <c r="AS184" s="11">
        <f t="shared" si="335"/>
        <v>0.74965690642446536</v>
      </c>
      <c r="AT184" s="11">
        <f t="shared" si="336"/>
        <v>517.85490528089997</v>
      </c>
      <c r="AU184" s="11">
        <f t="shared" si="337"/>
        <v>1583.945834996978</v>
      </c>
      <c r="AV184" s="11">
        <f t="shared" si="338"/>
        <v>1.7818595008803116E-3</v>
      </c>
      <c r="AW184" s="11">
        <f t="shared" si="339"/>
        <v>3.7326649118828344E-7</v>
      </c>
      <c r="AX184" s="41">
        <f t="shared" ca="1" si="340"/>
        <v>1.1496176686702686</v>
      </c>
      <c r="AY184" s="41">
        <f t="shared" ca="1" si="341"/>
        <v>1.5485578397849844</v>
      </c>
      <c r="AZ184" s="41">
        <f t="shared" si="342"/>
        <v>0.20549784659149539</v>
      </c>
      <c r="BA184" s="167">
        <f t="shared" si="351"/>
        <v>1.656259578704957</v>
      </c>
    </row>
    <row r="185" spans="1:53" ht="14.5">
      <c r="A185" s="41">
        <f t="shared" ca="1" si="343"/>
        <v>17109.393111694761</v>
      </c>
      <c r="B185" s="41">
        <f t="shared" ca="1" si="304"/>
        <v>285.15655186157932</v>
      </c>
      <c r="C185" s="41">
        <f t="shared" ca="1" si="304"/>
        <v>4.7526091976929887</v>
      </c>
      <c r="D185" s="41">
        <f t="shared" ca="1" si="344"/>
        <v>12746.80975150727</v>
      </c>
      <c r="E185" s="41">
        <f t="shared" ca="1" si="345"/>
        <v>1001.6173760662425</v>
      </c>
      <c r="F185" s="41">
        <f t="shared" ca="1" si="346"/>
        <v>6.0705119912257093</v>
      </c>
      <c r="G185" s="41"/>
      <c r="H185" s="7">
        <f t="shared" si="347"/>
        <v>7600</v>
      </c>
      <c r="I185" s="6">
        <v>15</v>
      </c>
      <c r="J185" s="41">
        <f t="shared" si="306"/>
        <v>0.26749765048632362</v>
      </c>
      <c r="K185" s="41">
        <f t="shared" si="307"/>
        <v>298.61820539953942</v>
      </c>
      <c r="L185" s="6">
        <f t="shared" si="308"/>
        <v>154</v>
      </c>
      <c r="M185" s="41">
        <f t="shared" si="309"/>
        <v>176.92650880794071</v>
      </c>
      <c r="N185" s="41">
        <f t="shared" si="310"/>
        <v>79.945244920724761</v>
      </c>
      <c r="O185" s="41">
        <f t="shared" si="311"/>
        <v>1432922.8744885155</v>
      </c>
      <c r="P185" s="41">
        <f t="shared" si="312"/>
        <v>9200371.746432228</v>
      </c>
      <c r="Q185" s="41">
        <f t="shared" si="313"/>
        <v>3.0239407660539053E-3</v>
      </c>
      <c r="R185" s="41">
        <f t="shared" si="314"/>
        <v>2.3384457379901923E-2</v>
      </c>
      <c r="S185" s="24">
        <f t="shared" ca="1" si="348"/>
        <v>-3.4443097680965735</v>
      </c>
      <c r="T185" s="10">
        <f t="shared" ca="1" si="315"/>
        <v>-3.4443097680965793</v>
      </c>
      <c r="U185" s="41">
        <f t="shared" ca="1" si="316"/>
        <v>0.69198366045828463</v>
      </c>
      <c r="V185" s="41">
        <f t="shared" ca="1" si="317"/>
        <v>5.3626510393070738E-2</v>
      </c>
      <c r="W185" s="41">
        <f t="shared" ca="1" si="318"/>
        <v>12.903760759113242</v>
      </c>
      <c r="X185" s="20">
        <f t="shared" ca="1" si="319"/>
        <v>986.05243675210102</v>
      </c>
      <c r="Y185" s="41">
        <f t="shared" si="320"/>
        <v>0.60849057112245608</v>
      </c>
      <c r="Z185" s="41">
        <f t="shared" ca="1" si="321"/>
        <v>160.34616604038621</v>
      </c>
      <c r="AA185" s="14">
        <f t="shared" ca="1" si="322"/>
        <v>987.83680118254472</v>
      </c>
      <c r="AB185" s="14">
        <f t="shared" si="349"/>
        <v>4404.9038334797742</v>
      </c>
      <c r="AC185" s="25">
        <f t="shared" ca="1" si="323"/>
        <v>294986.05279675312</v>
      </c>
      <c r="AD185" s="41">
        <f t="shared" si="324"/>
        <v>1315384.4777112817</v>
      </c>
      <c r="AE185" s="6">
        <v>5</v>
      </c>
      <c r="AF185" s="41">
        <f t="shared" si="325"/>
        <v>220.24519167398873</v>
      </c>
      <c r="AG185" s="41">
        <f t="shared" ca="1" si="326"/>
        <v>3417.0670322972296</v>
      </c>
      <c r="AH185" s="41">
        <f t="shared" ca="1" si="327"/>
        <v>1020398.4249145286</v>
      </c>
      <c r="AI185" s="41">
        <f t="shared" si="328"/>
        <v>168.07737430102534</v>
      </c>
      <c r="AJ185" s="13">
        <f t="shared" ca="1" si="329"/>
        <v>-17.940487829133097</v>
      </c>
      <c r="AK185" s="11"/>
      <c r="AL185" s="6">
        <f t="shared" si="352"/>
        <v>-200</v>
      </c>
      <c r="AM185" s="41">
        <f t="shared" ca="1" si="330"/>
        <v>11.14796887937602</v>
      </c>
      <c r="AN185" s="41">
        <f t="shared" ca="1" si="331"/>
        <v>0.5204781494541848</v>
      </c>
      <c r="AO185" s="41">
        <f t="shared" ca="1" si="332"/>
        <v>0.54689123624637503</v>
      </c>
      <c r="AP185" s="67">
        <f t="shared" si="350"/>
        <v>0.76313754240690435</v>
      </c>
      <c r="AQ185" s="11">
        <f t="shared" si="333"/>
        <v>0.99980356071837595</v>
      </c>
      <c r="AR185" s="11">
        <f t="shared" si="334"/>
        <v>0.75421269664402679</v>
      </c>
      <c r="AS185" s="11">
        <f t="shared" si="335"/>
        <v>0.75436088275392021</v>
      </c>
      <c r="AT185" s="11">
        <f t="shared" si="336"/>
        <v>518.56811283779996</v>
      </c>
      <c r="AU185" s="11">
        <f t="shared" si="337"/>
        <v>1596.0799928920221</v>
      </c>
      <c r="AV185" s="11">
        <f t="shared" si="338"/>
        <v>1.7930403822177929E-3</v>
      </c>
      <c r="AW185" s="11">
        <f t="shared" si="339"/>
        <v>3.7366595975230416E-7</v>
      </c>
      <c r="AX185" s="41">
        <f t="shared" ca="1" si="340"/>
        <v>1.1003138818997438</v>
      </c>
      <c r="AY185" s="41">
        <f t="shared" ca="1" si="341"/>
        <v>1.482144659459655</v>
      </c>
      <c r="AZ185" s="41">
        <f t="shared" si="342"/>
        <v>0.19669769834840106</v>
      </c>
      <c r="BA185" s="167">
        <f t="shared" si="351"/>
        <v>1.6533043204729092</v>
      </c>
    </row>
    <row r="186" spans="1:53" ht="14.5">
      <c r="A186" s="41">
        <f t="shared" ca="1" si="343"/>
        <v>17120.541080574138</v>
      </c>
      <c r="B186" s="41">
        <f t="shared" ca="1" si="304"/>
        <v>285.3423513429023</v>
      </c>
      <c r="C186" s="41">
        <f t="shared" ca="1" si="304"/>
        <v>4.7557058557150382</v>
      </c>
      <c r="D186" s="41">
        <f t="shared" ca="1" si="344"/>
        <v>12746.289273357816</v>
      </c>
      <c r="E186" s="41">
        <f t="shared" ca="1" si="345"/>
        <v>1002.1642673024888</v>
      </c>
      <c r="F186" s="41">
        <f t="shared" ca="1" si="346"/>
        <v>6.6174032274720842</v>
      </c>
      <c r="G186" s="41"/>
      <c r="H186" s="7">
        <f t="shared" si="347"/>
        <v>7400</v>
      </c>
      <c r="I186" s="6">
        <v>15</v>
      </c>
      <c r="J186" s="41">
        <f t="shared" si="306"/>
        <v>0.25486209122071324</v>
      </c>
      <c r="K186" s="41">
        <f t="shared" si="307"/>
        <v>284.70821451952094</v>
      </c>
      <c r="L186" s="6">
        <f t="shared" si="308"/>
        <v>147.25</v>
      </c>
      <c r="M186" s="41">
        <f t="shared" si="309"/>
        <v>168.68506177138386</v>
      </c>
      <c r="N186" s="41">
        <f t="shared" si="310"/>
        <v>73.126148574942746</v>
      </c>
      <c r="O186" s="41">
        <f t="shared" si="311"/>
        <v>1373268.419939057</v>
      </c>
      <c r="P186" s="41">
        <f t="shared" si="312"/>
        <v>8817348.2299840208</v>
      </c>
      <c r="Q186" s="41">
        <f t="shared" si="313"/>
        <v>3.0465922200441442E-3</v>
      </c>
      <c r="R186" s="41">
        <f t="shared" si="314"/>
        <v>2.3522169961825205E-2</v>
      </c>
      <c r="S186" s="24">
        <f t="shared" ca="1" si="348"/>
        <v>-3.5150142186120408</v>
      </c>
      <c r="T186" s="10">
        <f t="shared" ca="1" si="315"/>
        <v>-3.5150142186120483</v>
      </c>
      <c r="U186" s="41">
        <f t="shared" ca="1" si="316"/>
        <v>0.75642427059593798</v>
      </c>
      <c r="V186" s="41">
        <f t="shared" ca="1" si="317"/>
        <v>5.9659037281158372E-2</v>
      </c>
      <c r="W186" s="41">
        <f t="shared" ca="1" si="318"/>
        <v>12.679122980665886</v>
      </c>
      <c r="X186" s="20">
        <f t="shared" ca="1" si="319"/>
        <v>1003.4061935338077</v>
      </c>
      <c r="Y186" s="41">
        <f t="shared" si="320"/>
        <v>0.61027966113638854</v>
      </c>
      <c r="Z186" s="41">
        <f t="shared" ca="1" si="321"/>
        <v>159.83692081985814</v>
      </c>
      <c r="AA186" s="14">
        <f t="shared" ca="1" si="322"/>
        <v>1005.2973926346759</v>
      </c>
      <c r="AB186" s="14">
        <f t="shared" si="349"/>
        <v>4438.599436335182</v>
      </c>
      <c r="AC186" s="25">
        <f t="shared" ca="1" si="323"/>
        <v>286216.42571814836</v>
      </c>
      <c r="AD186" s="41">
        <f t="shared" si="324"/>
        <v>1263705.7204863417</v>
      </c>
      <c r="AE186" s="6">
        <v>5</v>
      </c>
      <c r="AF186" s="41">
        <f t="shared" si="325"/>
        <v>221.92997181675912</v>
      </c>
      <c r="AG186" s="41">
        <f t="shared" ca="1" si="326"/>
        <v>3433.3020437005061</v>
      </c>
      <c r="AH186" s="41">
        <f t="shared" ca="1" si="327"/>
        <v>977489.29476819339</v>
      </c>
      <c r="AI186" s="41">
        <f t="shared" si="328"/>
        <v>168.79653783533249</v>
      </c>
      <c r="AJ186" s="13">
        <f t="shared" ca="1" si="329"/>
        <v>-17.455488025018749</v>
      </c>
      <c r="AK186" s="11"/>
      <c r="AL186" s="6">
        <f t="shared" si="352"/>
        <v>-200</v>
      </c>
      <c r="AM186" s="41">
        <f t="shared" ca="1" si="330"/>
        <v>11.45771460032182</v>
      </c>
      <c r="AN186" s="41">
        <f t="shared" ca="1" si="331"/>
        <v>0.53722848778879539</v>
      </c>
      <c r="AO186" s="41">
        <f t="shared" ca="1" si="332"/>
        <v>0.53586370832745189</v>
      </c>
      <c r="AP186" s="67">
        <f t="shared" si="350"/>
        <v>0.76058468558137204</v>
      </c>
      <c r="AQ186" s="11">
        <f t="shared" si="333"/>
        <v>1.0011786307183759</v>
      </c>
      <c r="AR186" s="11">
        <f t="shared" si="334"/>
        <v>0.75998209648914139</v>
      </c>
      <c r="AS186" s="11">
        <f t="shared" si="335"/>
        <v>0.7590874127465459</v>
      </c>
      <c r="AT186" s="11">
        <f t="shared" si="336"/>
        <v>519.28132039469995</v>
      </c>
      <c r="AU186" s="11">
        <f t="shared" si="337"/>
        <v>1608.2893122322507</v>
      </c>
      <c r="AV186" s="11">
        <f t="shared" si="338"/>
        <v>1.8042748713572648E-3</v>
      </c>
      <c r="AW186" s="11">
        <f t="shared" si="339"/>
        <v>3.7406516429567484E-7</v>
      </c>
      <c r="AX186" s="41">
        <f t="shared" ca="1" si="340"/>
        <v>1.0589017401068292</v>
      </c>
      <c r="AY186" s="41">
        <f t="shared" ca="1" si="341"/>
        <v>1.4263616817068152</v>
      </c>
      <c r="AZ186" s="41">
        <f t="shared" si="342"/>
        <v>0.18787723667052939</v>
      </c>
      <c r="BA186" s="167">
        <f t="shared" si="351"/>
        <v>1.6503390732011969</v>
      </c>
    </row>
    <row r="187" spans="1:53" ht="14.5">
      <c r="A187" s="41">
        <f t="shared" ca="1" si="343"/>
        <v>17131.998795174459</v>
      </c>
      <c r="B187" s="41">
        <f t="shared" ca="1" si="304"/>
        <v>285.53331325290765</v>
      </c>
      <c r="C187" s="41">
        <f t="shared" ca="1" si="304"/>
        <v>4.7588885542151278</v>
      </c>
      <c r="D187" s="41">
        <f t="shared" ca="1" si="344"/>
        <v>12745.752044870027</v>
      </c>
      <c r="E187" s="41">
        <f t="shared" ca="1" si="345"/>
        <v>1002.7001310108163</v>
      </c>
      <c r="F187" s="41">
        <f t="shared" ca="1" si="346"/>
        <v>7.153266935799536</v>
      </c>
      <c r="G187" s="41"/>
      <c r="H187" s="7">
        <f t="shared" si="347"/>
        <v>7200</v>
      </c>
      <c r="I187" s="6">
        <v>15</v>
      </c>
      <c r="J187" s="41">
        <f t="shared" si="306"/>
        <v>0.24230993245656166</v>
      </c>
      <c r="K187" s="41">
        <f t="shared" si="307"/>
        <v>270.87193397111901</v>
      </c>
      <c r="L187" s="6">
        <f t="shared" si="308"/>
        <v>140.5</v>
      </c>
      <c r="M187" s="41">
        <f t="shared" si="309"/>
        <v>160.48728692694448</v>
      </c>
      <c r="N187" s="41">
        <f t="shared" si="310"/>
        <v>66.605390655673659</v>
      </c>
      <c r="O187" s="41">
        <f t="shared" si="311"/>
        <v>1313303.7152758171</v>
      </c>
      <c r="P187" s="41">
        <f t="shared" si="312"/>
        <v>8432332.6897974946</v>
      </c>
      <c r="Q187" s="41">
        <f t="shared" si="313"/>
        <v>3.0704239316089459E-3</v>
      </c>
      <c r="R187" s="41">
        <f t="shared" si="314"/>
        <v>2.3667058079499863E-2</v>
      </c>
      <c r="S187" s="24">
        <f t="shared" ca="1" si="348"/>
        <v>-3.6256577382162622</v>
      </c>
      <c r="T187" s="10">
        <f t="shared" ca="1" si="315"/>
        <v>-3.6256577382162685</v>
      </c>
      <c r="U187" s="41">
        <f t="shared" ca="1" si="316"/>
        <v>0.83034417331581512</v>
      </c>
      <c r="V187" s="41">
        <f t="shared" ca="1" si="317"/>
        <v>6.721181553069272E-2</v>
      </c>
      <c r="W187" s="41">
        <f t="shared" ca="1" si="318"/>
        <v>12.35413991958948</v>
      </c>
      <c r="X187" s="20">
        <f t="shared" ca="1" si="319"/>
        <v>1029.6339229227376</v>
      </c>
      <c r="Y187" s="41">
        <f t="shared" si="320"/>
        <v>0.61215632742379145</v>
      </c>
      <c r="Z187" s="41">
        <f t="shared" ca="1" si="321"/>
        <v>159.32629566585393</v>
      </c>
      <c r="AA187" s="14">
        <f t="shared" ca="1" si="322"/>
        <v>1031.6988578589419</v>
      </c>
      <c r="AB187" s="14">
        <f t="shared" si="349"/>
        <v>4472.5034532982363</v>
      </c>
      <c r="AC187" s="25">
        <f t="shared" ca="1" si="323"/>
        <v>279458.2649040462</v>
      </c>
      <c r="AD187" s="41">
        <f t="shared" si="324"/>
        <v>1211475.6600874015</v>
      </c>
      <c r="AE187" s="6">
        <v>5</v>
      </c>
      <c r="AF187" s="41">
        <f t="shared" si="325"/>
        <v>223.62517266491182</v>
      </c>
      <c r="AG187" s="41">
        <f t="shared" ca="1" si="326"/>
        <v>3440.8045954392946</v>
      </c>
      <c r="AH187" s="41">
        <f t="shared" ca="1" si="327"/>
        <v>932017.39518335531</v>
      </c>
      <c r="AI187" s="41">
        <f t="shared" si="328"/>
        <v>169.51265280113998</v>
      </c>
      <c r="AJ187" s="13">
        <f t="shared" ca="1" si="329"/>
        <v>-17.129248098612955</v>
      </c>
      <c r="AK187" s="11"/>
      <c r="AL187" s="6">
        <f t="shared" si="352"/>
        <v>-200</v>
      </c>
      <c r="AM187" s="41">
        <f t="shared" ca="1" si="330"/>
        <v>11.675935735684455</v>
      </c>
      <c r="AN187" s="41">
        <f t="shared" ca="1" si="331"/>
        <v>0.5497830112476394</v>
      </c>
      <c r="AO187" s="41">
        <f t="shared" ca="1" si="332"/>
        <v>0.51946910501539079</v>
      </c>
      <c r="AP187" s="67">
        <f t="shared" si="350"/>
        <v>0.75802133892656165</v>
      </c>
      <c r="AQ187" s="11">
        <f t="shared" si="333"/>
        <v>1.0025537007183758</v>
      </c>
      <c r="AR187" s="11">
        <f t="shared" si="334"/>
        <v>0.7657871812372844</v>
      </c>
      <c r="AS187" s="11">
        <f t="shared" si="335"/>
        <v>0.76383657123659576</v>
      </c>
      <c r="AT187" s="11">
        <f t="shared" si="336"/>
        <v>519.99452795159993</v>
      </c>
      <c r="AU187" s="11">
        <f t="shared" si="337"/>
        <v>1620.5741486779659</v>
      </c>
      <c r="AV187" s="11">
        <f t="shared" si="338"/>
        <v>1.8155631461722645E-3</v>
      </c>
      <c r="AW187" s="11">
        <f t="shared" si="339"/>
        <v>3.7446410524094736E-7</v>
      </c>
      <c r="AX187" s="41">
        <f t="shared" ca="1" si="340"/>
        <v>1.0268425885759564</v>
      </c>
      <c r="AY187" s="41">
        <f t="shared" ca="1" si="341"/>
        <v>1.383177367657944</v>
      </c>
      <c r="AZ187" s="41">
        <f t="shared" si="342"/>
        <v>0.17903816715845722</v>
      </c>
      <c r="BA187" s="167">
        <f t="shared" si="351"/>
        <v>1.6473638863280942</v>
      </c>
    </row>
    <row r="188" spans="1:53" ht="14.5">
      <c r="A188" s="41">
        <f t="shared" ca="1" si="343"/>
        <v>17143.674730910145</v>
      </c>
      <c r="B188" s="41">
        <f t="shared" ca="1" si="304"/>
        <v>285.72791218183573</v>
      </c>
      <c r="C188" s="41">
        <f t="shared" ca="1" si="304"/>
        <v>4.7621318696972619</v>
      </c>
      <c r="D188" s="41">
        <f t="shared" ca="1" si="344"/>
        <v>12745.20226185878</v>
      </c>
      <c r="E188" s="41">
        <f t="shared" ca="1" si="345"/>
        <v>1003.2196001158318</v>
      </c>
      <c r="F188" s="41">
        <f t="shared" ca="1" si="346"/>
        <v>7.672736040814927</v>
      </c>
      <c r="G188" s="41"/>
      <c r="H188" s="7">
        <f t="shared" si="347"/>
        <v>7000</v>
      </c>
      <c r="I188" s="6">
        <v>15</v>
      </c>
      <c r="J188" s="41">
        <f t="shared" si="306"/>
        <v>0.22984137924351983</v>
      </c>
      <c r="K188" s="41">
        <f t="shared" si="307"/>
        <v>257.10980509350344</v>
      </c>
      <c r="L188" s="6">
        <f t="shared" si="308"/>
        <v>133.75</v>
      </c>
      <c r="M188" s="41">
        <f t="shared" si="309"/>
        <v>152.33344576101931</v>
      </c>
      <c r="N188" s="41">
        <f t="shared" si="310"/>
        <v>60.384202999870503</v>
      </c>
      <c r="O188" s="41">
        <f t="shared" si="311"/>
        <v>1253032.5994367374</v>
      </c>
      <c r="P188" s="41">
        <f t="shared" si="312"/>
        <v>8045349.7745517958</v>
      </c>
      <c r="Q188" s="41">
        <f t="shared" si="313"/>
        <v>3.0955753561764613E-3</v>
      </c>
      <c r="R188" s="41">
        <f t="shared" si="314"/>
        <v>2.381996957108596E-2</v>
      </c>
      <c r="S188" s="24">
        <f t="shared" ca="1" si="348"/>
        <v>-3.7832795126537553</v>
      </c>
      <c r="T188" s="10">
        <f t="shared" ca="1" si="315"/>
        <v>-3.7832795126537633</v>
      </c>
      <c r="U188" s="41">
        <f t="shared" ca="1" si="316"/>
        <v>0.91568920753301175</v>
      </c>
      <c r="V188" s="41">
        <f t="shared" ca="1" si="317"/>
        <v>7.677604376459779E-2</v>
      </c>
      <c r="W188" s="41">
        <f t="shared" ca="1" si="318"/>
        <v>11.926756871461059</v>
      </c>
      <c r="X188" s="20">
        <f t="shared" ca="1" si="319"/>
        <v>1066.2938488079349</v>
      </c>
      <c r="Y188" s="41">
        <f t="shared" si="320"/>
        <v>0.61413069677619159</v>
      </c>
      <c r="Z188" s="41">
        <f t="shared" ca="1" si="321"/>
        <v>158.81337165736289</v>
      </c>
      <c r="AA188" s="14">
        <f t="shared" ca="1" si="322"/>
        <v>1068.6226271918176</v>
      </c>
      <c r="AB188" s="14">
        <f t="shared" si="349"/>
        <v>4506.6168691432204</v>
      </c>
      <c r="AC188" s="25">
        <f t="shared" ca="1" si="323"/>
        <v>274753.35539579584</v>
      </c>
      <c r="AD188" s="41">
        <f t="shared" si="324"/>
        <v>1158695.3848565081</v>
      </c>
      <c r="AE188" s="6">
        <v>5</v>
      </c>
      <c r="AF188" s="41">
        <f t="shared" si="325"/>
        <v>225.33084345716102</v>
      </c>
      <c r="AG188" s="41">
        <f t="shared" ca="1" si="326"/>
        <v>3437.9942419514027</v>
      </c>
      <c r="AH188" s="41">
        <f t="shared" ca="1" si="327"/>
        <v>883942.02946071234</v>
      </c>
      <c r="AI188" s="41">
        <f t="shared" si="328"/>
        <v>170.22572526562388</v>
      </c>
      <c r="AJ188" s="13">
        <f t="shared" ca="1" si="329"/>
        <v>-16.964802123512996</v>
      </c>
      <c r="AK188" s="11"/>
      <c r="AL188" s="6">
        <f t="shared" si="352"/>
        <v>-200</v>
      </c>
      <c r="AM188" s="41">
        <f t="shared" ca="1" si="330"/>
        <v>11.789114812179424</v>
      </c>
      <c r="AN188" s="41">
        <f t="shared" ca="1" si="331"/>
        <v>0.55744739420637546</v>
      </c>
      <c r="AO188" s="41">
        <f t="shared" ca="1" si="332"/>
        <v>0.49776745759961871</v>
      </c>
      <c r="AP188" s="67">
        <f t="shared" si="350"/>
        <v>0.75544795667525422</v>
      </c>
      <c r="AQ188" s="11">
        <f t="shared" si="333"/>
        <v>1.0039287707183759</v>
      </c>
      <c r="AR188" s="11">
        <f t="shared" si="334"/>
        <v>0.77162811950264032</v>
      </c>
      <c r="AS188" s="11">
        <f t="shared" si="335"/>
        <v>0.76860843319640149</v>
      </c>
      <c r="AT188" s="11">
        <f t="shared" si="336"/>
        <v>520.70773550850004</v>
      </c>
      <c r="AU188" s="11">
        <f t="shared" si="337"/>
        <v>1632.9348590538773</v>
      </c>
      <c r="AV188" s="11">
        <f t="shared" si="338"/>
        <v>1.8269053848645267E-3</v>
      </c>
      <c r="AW188" s="11">
        <f t="shared" si="339"/>
        <v>3.7486278300974495E-7</v>
      </c>
      <c r="AX188" s="41">
        <f t="shared" ca="1" si="340"/>
        <v>1.0062341314796484</v>
      </c>
      <c r="AY188" s="41">
        <f t="shared" ca="1" si="341"/>
        <v>1.355417366509672</v>
      </c>
      <c r="AZ188" s="41">
        <f t="shared" si="342"/>
        <v>0.17018216239005091</v>
      </c>
      <c r="BA188" s="167">
        <f t="shared" si="351"/>
        <v>1.644378810280454</v>
      </c>
    </row>
    <row r="189" spans="1:53" ht="14.5">
      <c r="A189" s="41">
        <f t="shared" ca="1" si="343"/>
        <v>17155.463845722323</v>
      </c>
      <c r="B189" s="41">
        <f t="shared" ref="B189:C193" ca="1" si="353">A189/60</f>
        <v>285.92439742870539</v>
      </c>
      <c r="C189" s="41">
        <f t="shared" ca="1" si="353"/>
        <v>4.7654066238117565</v>
      </c>
      <c r="D189" s="41">
        <f t="shared" ca="1" si="344"/>
        <v>12744.644814464573</v>
      </c>
      <c r="E189" s="41">
        <f t="shared" ca="1" si="345"/>
        <v>1003.7173675734314</v>
      </c>
      <c r="F189" s="41">
        <f t="shared" ca="1" si="346"/>
        <v>8.1705034984145453</v>
      </c>
      <c r="G189" s="41"/>
      <c r="H189" s="7">
        <f t="shared" si="347"/>
        <v>6800</v>
      </c>
      <c r="I189" s="6">
        <v>15</v>
      </c>
      <c r="J189" s="41">
        <f t="shared" si="306"/>
        <v>0.2174565963819389</v>
      </c>
      <c r="K189" s="41">
        <f t="shared" si="307"/>
        <v>243.42222448056461</v>
      </c>
      <c r="L189" s="6">
        <f t="shared" si="308"/>
        <v>127</v>
      </c>
      <c r="M189" s="41">
        <f t="shared" si="309"/>
        <v>144.22377324914285</v>
      </c>
      <c r="N189" s="41">
        <f t="shared" si="310"/>
        <v>54.463715119469398</v>
      </c>
      <c r="O189" s="41">
        <f t="shared" si="311"/>
        <v>1192458.7660416467</v>
      </c>
      <c r="P189" s="41">
        <f t="shared" si="312"/>
        <v>7656423.1998816729</v>
      </c>
      <c r="Q189" s="41">
        <f t="shared" si="313"/>
        <v>3.1222094804442867E-3</v>
      </c>
      <c r="R189" s="41">
        <f t="shared" si="314"/>
        <v>2.3981895336282685E-2</v>
      </c>
      <c r="S189" s="24">
        <f t="shared" ca="1" si="348"/>
        <v>-3.9967694150463045</v>
      </c>
      <c r="T189" s="10">
        <f t="shared" ca="1" si="315"/>
        <v>-3.9967694150463138</v>
      </c>
      <c r="U189" s="41">
        <f t="shared" ca="1" si="316"/>
        <v>1.0149277789837721</v>
      </c>
      <c r="V189" s="41">
        <f t="shared" ca="1" si="317"/>
        <v>8.9038271758335452E-2</v>
      </c>
      <c r="W189" s="41">
        <f t="shared" ca="1" si="318"/>
        <v>11.398781208809323</v>
      </c>
      <c r="X189" s="20">
        <f t="shared" ca="1" si="319"/>
        <v>1115.3516655884514</v>
      </c>
      <c r="Y189" s="41">
        <f t="shared" si="320"/>
        <v>0.61621456075496139</v>
      </c>
      <c r="Z189" s="41">
        <f t="shared" ca="1" si="321"/>
        <v>158.29681462648242</v>
      </c>
      <c r="AA189" s="14">
        <f t="shared" ca="1" si="322"/>
        <v>1118.070834153315</v>
      </c>
      <c r="AB189" s="14">
        <f t="shared" si="349"/>
        <v>4540.9406718638411</v>
      </c>
      <c r="AC189" s="25">
        <f t="shared" ca="1" si="323"/>
        <v>272163.28957644035</v>
      </c>
      <c r="AD189" s="41">
        <f t="shared" si="324"/>
        <v>1105365.8795793657</v>
      </c>
      <c r="AE189" s="6">
        <v>5</v>
      </c>
      <c r="AF189" s="41">
        <f t="shared" si="325"/>
        <v>227.04703359319205</v>
      </c>
      <c r="AG189" s="41">
        <f t="shared" ca="1" si="326"/>
        <v>3422.8698377105261</v>
      </c>
      <c r="AH189" s="41">
        <f t="shared" ca="1" si="327"/>
        <v>833202.59000292537</v>
      </c>
      <c r="AI189" s="41">
        <f t="shared" si="328"/>
        <v>170.93576197638359</v>
      </c>
      <c r="AJ189" s="13">
        <f t="shared" ca="1" si="329"/>
        <v>-16.966584215141186</v>
      </c>
      <c r="AK189" s="11"/>
      <c r="AL189" s="6">
        <f t="shared" si="352"/>
        <v>-200</v>
      </c>
      <c r="AM189" s="41">
        <f t="shared" ca="1" si="330"/>
        <v>11.787876538019807</v>
      </c>
      <c r="AN189" s="41">
        <f t="shared" ca="1" si="331"/>
        <v>0.55971379391943066</v>
      </c>
      <c r="AO189" s="41">
        <f t="shared" ca="1" si="332"/>
        <v>0.47109927172851834</v>
      </c>
      <c r="AP189" s="67">
        <f t="shared" si="350"/>
        <v>0.75286498692008919</v>
      </c>
      <c r="AQ189" s="11">
        <f t="shared" si="333"/>
        <v>1.0053038407183759</v>
      </c>
      <c r="AR189" s="11">
        <f t="shared" si="334"/>
        <v>0.77750508045062683</v>
      </c>
      <c r="AS189" s="11">
        <f t="shared" si="335"/>
        <v>0.77340307373642647</v>
      </c>
      <c r="AT189" s="11">
        <f t="shared" si="336"/>
        <v>521.42094306540002</v>
      </c>
      <c r="AU189" s="11">
        <f t="shared" si="337"/>
        <v>1645.3718013512253</v>
      </c>
      <c r="AV189" s="11">
        <f t="shared" si="338"/>
        <v>1.8383017659641121E-3</v>
      </c>
      <c r="AW189" s="11">
        <f t="shared" si="339"/>
        <v>3.7526119802276337E-7</v>
      </c>
      <c r="AX189" s="41">
        <f t="shared" ca="1" si="340"/>
        <v>1.0001841882486797</v>
      </c>
      <c r="AY189" s="41">
        <f t="shared" ca="1" si="341"/>
        <v>1.3472679727800096</v>
      </c>
      <c r="AZ189" s="41">
        <f t="shared" si="342"/>
        <v>0.16131086078676535</v>
      </c>
      <c r="BA189" s="167">
        <f t="shared" si="351"/>
        <v>1.6413838964779193</v>
      </c>
    </row>
    <row r="190" spans="1:53" ht="14.5">
      <c r="A190" s="41">
        <f t="shared" ca="1" si="343"/>
        <v>17167.251722260342</v>
      </c>
      <c r="B190" s="41">
        <f t="shared" ca="1" si="353"/>
        <v>286.12086203767234</v>
      </c>
      <c r="C190" s="41">
        <f t="shared" ca="1" si="353"/>
        <v>4.7686810339612054</v>
      </c>
      <c r="D190" s="41">
        <f t="shared" ca="1" si="344"/>
        <v>12744.085100670653</v>
      </c>
      <c r="E190" s="41">
        <f t="shared" ca="1" si="345"/>
        <v>1004.1884668451598</v>
      </c>
      <c r="F190" s="41">
        <f t="shared" ca="1" si="346"/>
        <v>8.6416027701430629</v>
      </c>
      <c r="G190" s="41"/>
      <c r="H190" s="7">
        <f t="shared" si="347"/>
        <v>6600</v>
      </c>
      <c r="I190" s="6">
        <v>15</v>
      </c>
      <c r="J190" s="41">
        <f t="shared" si="306"/>
        <v>0.20515570875101108</v>
      </c>
      <c r="K190" s="41">
        <f t="shared" si="307"/>
        <v>229.80954419453315</v>
      </c>
      <c r="L190" s="6">
        <f t="shared" si="308"/>
        <v>120.25</v>
      </c>
      <c r="M190" s="41">
        <f t="shared" si="309"/>
        <v>136.15847798255379</v>
      </c>
      <c r="N190" s="41">
        <f t="shared" si="310"/>
        <v>48.844958233592365</v>
      </c>
      <c r="O190" s="41">
        <f t="shared" si="311"/>
        <v>1131585.7593526335</v>
      </c>
      <c r="P190" s="41">
        <f t="shared" si="312"/>
        <v>7265575.7224402297</v>
      </c>
      <c r="Q190" s="41">
        <f t="shared" si="313"/>
        <v>3.1505183188797708E-3</v>
      </c>
      <c r="R190" s="41">
        <f t="shared" si="314"/>
        <v>2.4154002753046286E-2</v>
      </c>
      <c r="S190" s="24">
        <f t="shared" ca="1" si="348"/>
        <v>-4.2774793134087696</v>
      </c>
      <c r="T190" s="10">
        <f t="shared" ca="1" si="315"/>
        <v>-4.2774793134087794</v>
      </c>
      <c r="U190" s="41">
        <f t="shared" ca="1" si="316"/>
        <v>1.1312267884449876</v>
      </c>
      <c r="V190" s="41">
        <f t="shared" ca="1" si="317"/>
        <v>0.10497402263790288</v>
      </c>
      <c r="W190" s="41">
        <f t="shared" ca="1" si="318"/>
        <v>10.776254543917387</v>
      </c>
      <c r="X190" s="20">
        <f t="shared" ca="1" si="319"/>
        <v>1179.3139028129244</v>
      </c>
      <c r="Y190" s="41">
        <f t="shared" si="320"/>
        <v>0.61842175699350965</v>
      </c>
      <c r="Z190" s="41">
        <f t="shared" ca="1" si="321"/>
        <v>157.77467019981398</v>
      </c>
      <c r="AA190" s="14">
        <f t="shared" ca="1" si="322"/>
        <v>1182.6080247764748</v>
      </c>
      <c r="AB190" s="14">
        <f t="shared" si="349"/>
        <v>4575.4758526790793</v>
      </c>
      <c r="AC190" s="25">
        <f t="shared" ca="1" si="323"/>
        <v>271774.61113467882</v>
      </c>
      <c r="AD190" s="41">
        <f t="shared" si="324"/>
        <v>1051488.0201772721</v>
      </c>
      <c r="AE190" s="6">
        <v>5</v>
      </c>
      <c r="AF190" s="41">
        <f t="shared" si="325"/>
        <v>228.77379263395397</v>
      </c>
      <c r="AG190" s="41">
        <f t="shared" ca="1" si="326"/>
        <v>3392.8678279026044</v>
      </c>
      <c r="AH190" s="41">
        <f t="shared" ca="1" si="327"/>
        <v>779713.40904259332</v>
      </c>
      <c r="AI190" s="41">
        <f t="shared" si="328"/>
        <v>171.6427702606787</v>
      </c>
      <c r="AJ190" s="13">
        <f t="shared" ca="1" si="329"/>
        <v>-17.14075100199663</v>
      </c>
      <c r="AK190" s="11"/>
      <c r="AL190" s="6">
        <f t="shared" si="352"/>
        <v>-200</v>
      </c>
      <c r="AM190" s="41">
        <f t="shared" ca="1" si="330"/>
        <v>11.668100188650026</v>
      </c>
      <c r="AN190" s="41">
        <f t="shared" ca="1" si="331"/>
        <v>0.55631806668306627</v>
      </c>
      <c r="AO190" s="41">
        <f t="shared" ca="1" si="332"/>
        <v>0.44007929242225335</v>
      </c>
      <c r="AP190" s="67">
        <f t="shared" si="350"/>
        <v>0.75027287122574005</v>
      </c>
      <c r="AQ190" s="11">
        <f t="shared" si="333"/>
        <v>1.0066789107183758</v>
      </c>
      <c r="AR190" s="11">
        <f t="shared" si="334"/>
        <v>0.78341823379889719</v>
      </c>
      <c r="AS190" s="11">
        <f t="shared" si="335"/>
        <v>0.77822056810531803</v>
      </c>
      <c r="AT190" s="11">
        <f t="shared" si="336"/>
        <v>522.1341506222999</v>
      </c>
      <c r="AU190" s="11">
        <f t="shared" si="337"/>
        <v>1657.8853347299021</v>
      </c>
      <c r="AV190" s="11">
        <f t="shared" si="338"/>
        <v>1.8497524683295304E-3</v>
      </c>
      <c r="AW190" s="11">
        <f t="shared" si="339"/>
        <v>3.7565935069977488E-7</v>
      </c>
      <c r="AX190" s="41">
        <f t="shared" ca="1" si="340"/>
        <v>1.0134629424590491</v>
      </c>
      <c r="AY190" s="41">
        <f t="shared" ca="1" si="341"/>
        <v>1.365154718517686</v>
      </c>
      <c r="AZ190" s="41">
        <f t="shared" si="342"/>
        <v>0.15242586556513363</v>
      </c>
      <c r="BA190" s="167">
        <f t="shared" si="351"/>
        <v>1.6383791973370583</v>
      </c>
    </row>
    <row r="191" spans="1:53" ht="14.5">
      <c r="A191" s="41">
        <f t="shared" ca="1" si="343"/>
        <v>17178.919822448992</v>
      </c>
      <c r="B191" s="41">
        <f t="shared" ca="1" si="353"/>
        <v>286.31533037414988</v>
      </c>
      <c r="C191" s="41">
        <f t="shared" ca="1" si="353"/>
        <v>4.7719221729024976</v>
      </c>
      <c r="D191" s="41">
        <f t="shared" ca="1" si="344"/>
        <v>12743.528782603969</v>
      </c>
      <c r="E191" s="41">
        <f t="shared" ca="1" si="345"/>
        <v>1004.6285461375821</v>
      </c>
      <c r="F191" s="41">
        <f t="shared" ca="1" si="346"/>
        <v>9.0816820625653154</v>
      </c>
      <c r="G191" s="41"/>
      <c r="H191" s="7">
        <f t="shared" si="347"/>
        <v>6400</v>
      </c>
      <c r="I191" s="6">
        <v>15</v>
      </c>
      <c r="J191" s="41">
        <f t="shared" si="306"/>
        <v>0.19293880170475677</v>
      </c>
      <c r="K191" s="41">
        <f t="shared" si="307"/>
        <v>216.27207205747115</v>
      </c>
      <c r="L191" s="6">
        <f t="shared" si="308"/>
        <v>113.5</v>
      </c>
      <c r="M191" s="41">
        <f t="shared" si="309"/>
        <v>128.13774234089874</v>
      </c>
      <c r="N191" s="41">
        <f t="shared" si="310"/>
        <v>43.528869420745629</v>
      </c>
      <c r="O191" s="41">
        <f t="shared" si="311"/>
        <v>1070416.9705909614</v>
      </c>
      <c r="P191" s="41">
        <f t="shared" si="312"/>
        <v>6872829.1162509378</v>
      </c>
      <c r="Q191" s="41">
        <f t="shared" si="313"/>
        <v>3.1807300929131495E-3</v>
      </c>
      <c r="R191" s="41">
        <f t="shared" si="314"/>
        <v>2.4337679324466923E-2</v>
      </c>
      <c r="S191" s="24">
        <f t="shared" ca="1" si="348"/>
        <v>-4.6400754452421067</v>
      </c>
      <c r="T191" s="10">
        <f t="shared" ca="1" si="315"/>
        <v>-4.6400754452421165</v>
      </c>
      <c r="U191" s="41">
        <f t="shared" ca="1" si="316"/>
        <v>1.2686994752181402</v>
      </c>
      <c r="V191" s="41">
        <f t="shared" ca="1" si="317"/>
        <v>0.12599463771135183</v>
      </c>
      <c r="W191" s="41">
        <f t="shared" ca="1" si="318"/>
        <v>10.069471989154609</v>
      </c>
      <c r="X191" s="20">
        <f t="shared" ca="1" si="319"/>
        <v>1261.4129505098642</v>
      </c>
      <c r="Y191" s="41">
        <f t="shared" si="320"/>
        <v>0.62076866531639163</v>
      </c>
      <c r="Z191" s="41">
        <f t="shared" ca="1" si="321"/>
        <v>157.24404252790387</v>
      </c>
      <c r="AA191" s="14">
        <f t="shared" ca="1" si="322"/>
        <v>1265.5607758112312</v>
      </c>
      <c r="AB191" s="14">
        <f t="shared" si="349"/>
        <v>4610.2234060390356</v>
      </c>
      <c r="AC191" s="25">
        <f t="shared" ca="1" si="323"/>
        <v>273705.45129935571</v>
      </c>
      <c r="AD191" s="41">
        <f t="shared" si="324"/>
        <v>997062.5686719144</v>
      </c>
      <c r="AE191" s="6">
        <v>5</v>
      </c>
      <c r="AF191" s="41">
        <f t="shared" si="325"/>
        <v>230.51117030195178</v>
      </c>
      <c r="AG191" s="41">
        <f t="shared" ca="1" si="326"/>
        <v>3344.6626302278046</v>
      </c>
      <c r="AH191" s="41">
        <f t="shared" ca="1" si="327"/>
        <v>723357.11737255869</v>
      </c>
      <c r="AI191" s="41">
        <f t="shared" si="328"/>
        <v>172.34675792449337</v>
      </c>
      <c r="AJ191" s="13">
        <f t="shared" ca="1" si="329"/>
        <v>-17.495567193103884</v>
      </c>
      <c r="AK191" s="11"/>
      <c r="AL191" s="6">
        <f t="shared" si="352"/>
        <v>-200</v>
      </c>
      <c r="AM191" s="41">
        <f t="shared" ca="1" si="330"/>
        <v>11.431467056342861</v>
      </c>
      <c r="AN191" s="41">
        <f t="shared" ca="1" si="331"/>
        <v>0.54727119041148442</v>
      </c>
      <c r="AO191" s="41">
        <f t="shared" ca="1" si="332"/>
        <v>0.40555598568837914</v>
      </c>
      <c r="AP191" s="67">
        <f t="shared" si="350"/>
        <v>0.74767204426029532</v>
      </c>
      <c r="AQ191" s="11">
        <f t="shared" si="333"/>
        <v>1.0080539807183759</v>
      </c>
      <c r="AR191" s="11">
        <f t="shared" si="334"/>
        <v>0.78936774981834046</v>
      </c>
      <c r="AS191" s="11">
        <f t="shared" si="335"/>
        <v>0.78306099168995724</v>
      </c>
      <c r="AT191" s="11">
        <f t="shared" si="336"/>
        <v>522.8473581792</v>
      </c>
      <c r="AU191" s="11">
        <f t="shared" si="337"/>
        <v>1670.4758195205684</v>
      </c>
      <c r="AV191" s="11">
        <f t="shared" si="338"/>
        <v>1.8612576711478594E-3</v>
      </c>
      <c r="AW191" s="11">
        <f t="shared" si="339"/>
        <v>3.7605724145962998E-7</v>
      </c>
      <c r="AX191" s="41">
        <f t="shared" ca="1" si="340"/>
        <v>1.0536896106294011</v>
      </c>
      <c r="AY191" s="41">
        <f t="shared" ca="1" si="341"/>
        <v>1.4193408397484781</v>
      </c>
      <c r="AZ191" s="41">
        <f t="shared" si="342"/>
        <v>0.14352874377403035</v>
      </c>
      <c r="BA191" s="167">
        <f t="shared" si="351"/>
        <v>1.6353647662754229</v>
      </c>
    </row>
    <row r="192" spans="1:53" ht="14.5">
      <c r="A192" s="41">
        <f t="shared" ca="1" si="343"/>
        <v>17190.351289505335</v>
      </c>
      <c r="B192" s="41">
        <f t="shared" ca="1" si="353"/>
        <v>286.50585482508893</v>
      </c>
      <c r="C192" s="41">
        <f t="shared" ca="1" si="353"/>
        <v>4.7750975804181488</v>
      </c>
      <c r="D192" s="41">
        <f t="shared" ca="1" si="344"/>
        <v>12742.981511413558</v>
      </c>
      <c r="E192" s="41">
        <f t="shared" ca="1" si="345"/>
        <v>1005.0341021232705</v>
      </c>
      <c r="F192" s="41">
        <f t="shared" ca="1" si="346"/>
        <v>9.487238048253694</v>
      </c>
      <c r="G192" s="41"/>
      <c r="H192" s="7">
        <f t="shared" si="347"/>
        <v>6200</v>
      </c>
      <c r="I192" s="6">
        <v>15</v>
      </c>
      <c r="J192" s="41">
        <f t="shared" si="306"/>
        <v>0.1808059215326196</v>
      </c>
      <c r="K192" s="41">
        <f t="shared" si="307"/>
        <v>202.81007201735957</v>
      </c>
      <c r="L192" s="6">
        <f t="shared" si="308"/>
        <v>106.75</v>
      </c>
      <c r="M192" s="41">
        <f t="shared" si="309"/>
        <v>120.16172270913327</v>
      </c>
      <c r="N192" s="41">
        <f t="shared" si="310"/>
        <v>38.516295875432313</v>
      </c>
      <c r="O192" s="41">
        <f t="shared" si="311"/>
        <v>1008955.6346082021</v>
      </c>
      <c r="P192" s="41">
        <f t="shared" si="312"/>
        <v>6478204.1513339663</v>
      </c>
      <c r="Q192" s="41">
        <f t="shared" si="313"/>
        <v>3.213118744299586E-3</v>
      </c>
      <c r="R192" s="41">
        <f t="shared" si="314"/>
        <v>2.4534590516541454E-2</v>
      </c>
      <c r="S192" s="24">
        <f t="shared" ca="1" si="348"/>
        <v>-5.103740926313133</v>
      </c>
      <c r="T192" s="10">
        <f t="shared" ca="1" si="315"/>
        <v>-5.1037409263131481</v>
      </c>
      <c r="U192" s="41">
        <f t="shared" ca="1" si="316"/>
        <v>1.4327598910968362</v>
      </c>
      <c r="V192" s="41">
        <f t="shared" ca="1" si="317"/>
        <v>0.15418276960366234</v>
      </c>
      <c r="W192" s="41">
        <f t="shared" ca="1" si="318"/>
        <v>9.2926070453906515</v>
      </c>
      <c r="X192" s="20">
        <f t="shared" ca="1" si="319"/>
        <v>1365.8663097781009</v>
      </c>
      <c r="Y192" s="41">
        <f t="shared" si="320"/>
        <v>0.62327486248125408</v>
      </c>
      <c r="Z192" s="41">
        <f t="shared" ca="1" si="321"/>
        <v>156.70058076654669</v>
      </c>
      <c r="AA192" s="14">
        <f t="shared" ca="1" si="322"/>
        <v>1371.303171345696</v>
      </c>
      <c r="AB192" s="14">
        <f t="shared" si="349"/>
        <v>4645.1843296307907</v>
      </c>
      <c r="AC192" s="25">
        <f t="shared" ca="1" si="323"/>
        <v>278114.09493825416</v>
      </c>
      <c r="AD192" s="41">
        <f t="shared" si="324"/>
        <v>942090.16842633078</v>
      </c>
      <c r="AE192" s="6">
        <v>5</v>
      </c>
      <c r="AF192" s="41">
        <f t="shared" si="325"/>
        <v>232.25921648153954</v>
      </c>
      <c r="AG192" s="41">
        <f t="shared" ca="1" si="326"/>
        <v>3273.8811582850949</v>
      </c>
      <c r="AH192" s="41">
        <f t="shared" ca="1" si="327"/>
        <v>663976.07348807668</v>
      </c>
      <c r="AI192" s="41">
        <f t="shared" si="328"/>
        <v>173.04773315169081</v>
      </c>
      <c r="AJ192" s="13">
        <f t="shared" ca="1" si="329"/>
        <v>-18.041848057689155</v>
      </c>
      <c r="AK192" s="11"/>
      <c r="AL192" s="6">
        <f t="shared" si="352"/>
        <v>-200</v>
      </c>
      <c r="AM192" s="41">
        <f t="shared" ca="1" si="330"/>
        <v>11.08533889435806</v>
      </c>
      <c r="AN192" s="41">
        <f t="shared" ca="1" si="331"/>
        <v>0.53285910191303687</v>
      </c>
      <c r="AO192" s="41">
        <f t="shared" ca="1" si="332"/>
        <v>0.36854229199528704</v>
      </c>
      <c r="AP192" s="67">
        <f t="shared" si="350"/>
        <v>0.74506293344636776</v>
      </c>
      <c r="AQ192" s="11">
        <f t="shared" si="333"/>
        <v>1.0094290507183759</v>
      </c>
      <c r="AR192" s="11">
        <f t="shared" si="334"/>
        <v>0.79535379933408512</v>
      </c>
      <c r="AS192" s="11">
        <f t="shared" si="335"/>
        <v>0.78792442001551199</v>
      </c>
      <c r="AT192" s="11">
        <f t="shared" si="336"/>
        <v>523.56056573609999</v>
      </c>
      <c r="AU192" s="11">
        <f t="shared" si="337"/>
        <v>1683.1436172267775</v>
      </c>
      <c r="AV192" s="11">
        <f t="shared" si="338"/>
        <v>1.8728175539348703E-3</v>
      </c>
      <c r="AW192" s="11">
        <f t="shared" si="339"/>
        <v>3.7645487072025763E-7</v>
      </c>
      <c r="AX192" s="41">
        <f t="shared" ca="1" si="340"/>
        <v>1.1335944378819383</v>
      </c>
      <c r="AY192" s="41">
        <f t="shared" ca="1" si="341"/>
        <v>1.52697422957077</v>
      </c>
      <c r="AZ192" s="41">
        <f t="shared" si="342"/>
        <v>0.13462102541792503</v>
      </c>
      <c r="BA192" s="167">
        <f t="shared" si="351"/>
        <v>1.6323406577155242</v>
      </c>
    </row>
    <row r="193" spans="1:53" ht="14.5">
      <c r="A193" s="41">
        <f ca="1">A192+AM192</f>
        <v>17201.436628399693</v>
      </c>
      <c r="B193" s="41">
        <f t="shared" ca="1" si="353"/>
        <v>286.69061047332821</v>
      </c>
      <c r="C193" s="41">
        <f t="shared" ca="1" si="353"/>
        <v>4.7781768412221366</v>
      </c>
      <c r="D193" s="41">
        <f ca="1">D192-AN192</f>
        <v>12742.448652311645</v>
      </c>
      <c r="E193" s="41">
        <f ca="1">E192+AO192</f>
        <v>1005.4026444152657</v>
      </c>
      <c r="F193" s="41">
        <f ca="1">F192+AO192</f>
        <v>9.8557803402489803</v>
      </c>
      <c r="G193" s="41"/>
      <c r="H193" s="7">
        <f>H192+AL192</f>
        <v>6000</v>
      </c>
      <c r="I193" s="6">
        <v>15</v>
      </c>
      <c r="J193" s="41">
        <f t="shared" si="306"/>
        <v>0.16875707598129183</v>
      </c>
      <c r="K193" s="41">
        <f t="shared" si="307"/>
        <v>189.42376458533053</v>
      </c>
      <c r="L193" s="120">
        <v>100</v>
      </c>
      <c r="M193" s="41">
        <f t="shared" si="309"/>
        <v>112.23054973657497</v>
      </c>
      <c r="N193" s="41">
        <f t="shared" si="310"/>
        <v>33.807999253839412</v>
      </c>
      <c r="O193" s="41">
        <f t="shared" si="311"/>
        <v>947204.82690790039</v>
      </c>
      <c r="P193" s="41">
        <f t="shared" si="312"/>
        <v>6081720.5745831793</v>
      </c>
      <c r="Q193" s="41">
        <f t="shared" si="313"/>
        <v>3.2480167461938396E-3</v>
      </c>
      <c r="R193" s="41">
        <f t="shared" si="314"/>
        <v>2.474675764483672E-2</v>
      </c>
      <c r="S193" s="24">
        <f t="shared" ca="1" si="348"/>
        <v>-5.6938906698970699</v>
      </c>
      <c r="T193" s="10">
        <f t="shared" ca="1" si="315"/>
        <v>-5.693890669897085</v>
      </c>
      <c r="U193" s="41">
        <f t="shared" ca="1" si="316"/>
        <v>1.630637932367782</v>
      </c>
      <c r="V193" s="41">
        <f t="shared" ca="1" si="317"/>
        <v>0.19267922636014609</v>
      </c>
      <c r="W193" s="41">
        <f t="shared" ca="1" si="318"/>
        <v>8.462966990120032</v>
      </c>
      <c r="X193" s="20">
        <f t="shared" ca="1" si="319"/>
        <v>1498.2428024332592</v>
      </c>
      <c r="Y193" s="41">
        <f t="shared" si="320"/>
        <v>0.62596400005640729</v>
      </c>
      <c r="Z193" s="41">
        <f t="shared" ca="1" si="321"/>
        <v>156.13764080634698</v>
      </c>
      <c r="AA193" s="14">
        <f t="shared" ca="1" si="322"/>
        <v>1505.6715531547779</v>
      </c>
      <c r="AB193" s="14">
        <f t="shared" si="349"/>
        <v>4680.3596243842703</v>
      </c>
      <c r="AC193" s="25">
        <f t="shared" ca="1" si="323"/>
        <v>285209.97382761963</v>
      </c>
      <c r="AD193" s="41">
        <f t="shared" si="324"/>
        <v>886571.33966405201</v>
      </c>
      <c r="AE193" s="6">
        <v>5</v>
      </c>
      <c r="AF193" s="41">
        <f t="shared" si="325"/>
        <v>234.01798121921354</v>
      </c>
      <c r="AG193" s="41">
        <f t="shared" ca="1" si="326"/>
        <v>3174.6880712294924</v>
      </c>
      <c r="AH193" s="41">
        <f t="shared" ca="1" si="327"/>
        <v>601361.36583643244</v>
      </c>
      <c r="AI193" s="41">
        <f t="shared" si="328"/>
        <v>173.74570440350789</v>
      </c>
      <c r="AJ193" s="13">
        <f t="shared" ca="1" si="329"/>
        <v>-18.79342279108478</v>
      </c>
      <c r="AK193" s="11"/>
      <c r="AL193" s="6">
        <v>0</v>
      </c>
      <c r="AM193" s="7">
        <v>0</v>
      </c>
      <c r="AN193" s="41">
        <f t="shared" si="331"/>
        <v>0</v>
      </c>
      <c r="AO193" s="41">
        <f t="shared" ca="1" si="332"/>
        <v>0</v>
      </c>
      <c r="AP193" s="67">
        <f t="shared" si="350"/>
        <v>0.74244595863235685</v>
      </c>
      <c r="AQ193" s="11">
        <f t="shared" si="333"/>
        <v>1.0108041207183758</v>
      </c>
      <c r="AR193" s="11">
        <f t="shared" si="334"/>
        <v>0.80137655372650329</v>
      </c>
      <c r="AS193" s="11">
        <f t="shared" si="335"/>
        <v>0.79281092874548942</v>
      </c>
      <c r="AT193" s="11">
        <f t="shared" si="336"/>
        <v>524.27377329299998</v>
      </c>
      <c r="AU193" s="11">
        <f t="shared" si="337"/>
        <v>1695.8890905271007</v>
      </c>
      <c r="AV193" s="11">
        <f t="shared" si="338"/>
        <v>1.8844322965351538E-3</v>
      </c>
      <c r="AW193" s="11">
        <f t="shared" si="339"/>
        <v>3.7685223889866925E-7</v>
      </c>
      <c r="AX193" s="41">
        <f t="shared" ca="1" si="340"/>
        <v>1.2755618617216882</v>
      </c>
      <c r="AY193" s="41">
        <f t="shared" ca="1" si="341"/>
        <v>1.7182071700277575</v>
      </c>
      <c r="AZ193" s="41">
        <f t="shared" si="342"/>
        <v>0.12570420266598317</v>
      </c>
      <c r="BA193" s="167">
        <f>2.12 - (0.00251*AF193) + (1.94*10^(-6)*AF193^2) - (7.84*10^(-10)*AF193^3) + (1.7*10^(-13)*AF193^4) - (1.89*10^(-17)*AF193^5) + (8.37*10^(-22)*AF193^6)</f>
        <v>1.6293069270887282</v>
      </c>
    </row>
    <row r="194" spans="1:53" s="148" customFormat="1" ht="14.5">
      <c r="A194" s="145"/>
      <c r="B194" s="135">
        <f ca="1">B193-B173</f>
        <v>3.1514711645716034</v>
      </c>
      <c r="C194" s="145"/>
      <c r="D194" s="145"/>
      <c r="E194" s="145"/>
      <c r="F194" s="145"/>
      <c r="G194" s="145"/>
      <c r="H194" s="135"/>
      <c r="I194" s="135"/>
      <c r="J194" s="145"/>
      <c r="K194" s="145"/>
      <c r="L194" s="13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32">
        <f ca="1">AVERAGE(X173:X193)</f>
        <v>1096.5763640704249</v>
      </c>
      <c r="Y194" s="145"/>
      <c r="Z194" s="145"/>
      <c r="AA194" s="145"/>
      <c r="AB194" s="145"/>
      <c r="AC194" s="146"/>
      <c r="AD194" s="145"/>
      <c r="AE194" s="135"/>
      <c r="AF194" s="145"/>
      <c r="AG194" s="145"/>
      <c r="AH194" s="145"/>
      <c r="AI194" s="145"/>
      <c r="AJ194" s="147"/>
      <c r="AK194" s="145"/>
      <c r="AL194" s="135"/>
      <c r="AM194" s="135"/>
      <c r="AN194" s="32">
        <f ca="1">SUM(AN173:AN193)</f>
        <v>8.77771236774859</v>
      </c>
      <c r="AO194" s="145"/>
      <c r="AP194" s="135"/>
      <c r="AQ194" s="145"/>
      <c r="AR194" s="145"/>
      <c r="AS194" s="145"/>
      <c r="AT194" s="145"/>
      <c r="AU194" s="145"/>
      <c r="AV194" s="145"/>
      <c r="AW194" s="145"/>
      <c r="AX194" s="145"/>
      <c r="AY194" s="145"/>
      <c r="AZ194" s="145"/>
    </row>
    <row r="195" spans="1:53" s="101" customFormat="1" ht="14.5">
      <c r="A195" s="90">
        <f ca="1">A193+AM193</f>
        <v>17201.436628399693</v>
      </c>
      <c r="B195" s="90">
        <f t="shared" ref="B195:C195" ca="1" si="354">A195/60</f>
        <v>286.69061047332821</v>
      </c>
      <c r="C195" s="90">
        <f t="shared" ca="1" si="354"/>
        <v>4.7781768412221366</v>
      </c>
      <c r="D195" s="90">
        <f ca="1">0.85*$B$12</f>
        <v>14552.775038601623</v>
      </c>
      <c r="E195" s="90">
        <f ca="1">E193+AO193</f>
        <v>1005.4026444152657</v>
      </c>
      <c r="F195" s="90">
        <f ca="1">F193+AO193</f>
        <v>9.8557803402489803</v>
      </c>
      <c r="G195" s="90"/>
      <c r="H195" s="91">
        <f>H193+AL193</f>
        <v>6000</v>
      </c>
      <c r="I195" s="92">
        <v>15</v>
      </c>
      <c r="J195" s="90">
        <f t="shared" ref="J195" si="355">SQRT((((((((L195^2)*(0.2))/(661.477)^2) + 1)^(3.5) - 1)*(1/AR195) + 1)^(1/3.5) - 1)*(5))</f>
        <v>0.17718229445255015</v>
      </c>
      <c r="K195" s="90">
        <f t="shared" ref="K195" si="356">SQRT((1.4*2116.22*AR195*(J195)^2)/AV195)</f>
        <v>198.88077011235529</v>
      </c>
      <c r="L195" s="92">
        <v>105</v>
      </c>
      <c r="M195" s="90">
        <f t="shared" ref="M195" si="357">K195*0.592484</f>
        <v>117.83367419924872</v>
      </c>
      <c r="N195" s="90">
        <f t="shared" ref="N195" si="358">0.5*AV195*K195^2</f>
        <v>37.268003632321701</v>
      </c>
      <c r="O195" s="90">
        <f t="shared" ref="O195" si="359">P195/$B$7</f>
        <v>994494.14830272109</v>
      </c>
      <c r="P195" s="90">
        <f t="shared" ref="P195" si="360">(AV195*K195*$B$7)/(AW195)</f>
        <v>6385351.2473953245</v>
      </c>
      <c r="Q195" s="90">
        <f t="shared" ref="Q195" si="361">0.455/(LOG10(P195)^2.58 * (1+0.144*J195*J195)^0.65)</f>
        <v>3.221151299786435E-3</v>
      </c>
      <c r="R195" s="90">
        <f t="shared" ref="R195" si="362">(((Q195*$B$4)+$B$17)+(0.1*(Q195*$B$4)))</f>
        <v>2.4583425525367495E-2</v>
      </c>
      <c r="S195" s="93">
        <f t="shared" ref="S195" ca="1" si="363">T195</f>
        <v>-5.995795284554065</v>
      </c>
      <c r="T195" s="94">
        <f t="shared" ref="T195" ca="1" si="364">DEGREES(ASIN(((AF195-X195)/(D195))))</f>
        <v>-5.9957952845540685</v>
      </c>
      <c r="U195" s="90">
        <f t="shared" ref="U195" ca="1" si="365">(D195*COS(RADIANS(S195)))/(N195*$B$3)</f>
        <v>1.6884941035920193</v>
      </c>
      <c r="V195" s="90">
        <f t="shared" ref="V195" ca="1" si="366">(X195)/(N195*$B$3)</f>
        <v>0.20464402329806525</v>
      </c>
      <c r="W195" s="90">
        <f t="shared" ref="W195" ca="1" si="367">U195/V195</f>
        <v>8.2508840296436006</v>
      </c>
      <c r="X195" s="95">
        <f t="shared" ref="X195" ca="1" si="368">(N195*$B$3*R195)+((N195*$B$3)*((U195^2)/(PI()*$B$6*$B$5)))</f>
        <v>1754.1350668292012</v>
      </c>
      <c r="Y195" s="90">
        <f t="shared" ref="Y195" si="369">SQRT(PI()*$B$6*$B$5*R195)</f>
        <v>0.62389485453404259</v>
      </c>
      <c r="Z195" s="90">
        <f t="shared" ref="Z195" ca="1" si="370">SQRT((2*((U195*N195*$B$3)/(D195))*D195)/(AV195*$B$3*$B$18))</f>
        <v>166.81570925800787</v>
      </c>
      <c r="AA195" s="96">
        <f t="shared" ref="AA195" ca="1" si="371">D195/W195</f>
        <v>1763.7837335147026</v>
      </c>
      <c r="AB195" s="96">
        <f>$B$15*AR195*0.93</f>
        <v>4680.3596243842703</v>
      </c>
      <c r="AC195" s="97">
        <f t="shared" ref="AC195" ca="1" si="372">AA195*K195</f>
        <v>350782.66723304929</v>
      </c>
      <c r="AD195" s="90">
        <f t="shared" ref="AD195" si="373">AB195*K195</f>
        <v>930833.52650031762</v>
      </c>
      <c r="AE195" s="92">
        <v>5</v>
      </c>
      <c r="AF195" s="90">
        <f t="shared" ref="AF195" si="374">AB195*(AE195/100)</f>
        <v>234.01798121921354</v>
      </c>
      <c r="AG195" s="90">
        <f t="shared" ref="AG195" ca="1" si="375">AB195-AA195</f>
        <v>2916.575890869568</v>
      </c>
      <c r="AH195" s="90">
        <f t="shared" ref="AH195" ca="1" si="376">AD195-AC195</f>
        <v>580050.85926726833</v>
      </c>
      <c r="AI195" s="90">
        <f t="shared" ref="AI195" si="377">(AP195*AF195)</f>
        <v>188.1380106566358</v>
      </c>
      <c r="AJ195" s="98">
        <f t="shared" ref="AJ195" ca="1" si="378">K195*SIN(RADIANS(T195))</f>
        <v>-20.774186081015213</v>
      </c>
      <c r="AK195" s="99"/>
      <c r="AL195" s="92">
        <v>0</v>
      </c>
      <c r="AM195" s="91">
        <v>0</v>
      </c>
      <c r="AN195" s="90">
        <f t="shared" ref="AN195" si="379">AI195*(AM195/3600)</f>
        <v>0</v>
      </c>
      <c r="AO195" s="90">
        <f t="shared" ref="AO195" ca="1" si="380">M195*COS(RADIANS(T195))*(AM195/3600)</f>
        <v>0</v>
      </c>
      <c r="AP195" s="100">
        <f t="shared" ref="AP195" si="381">-18.066*(AZ195^6) + 34.325*(AZ195^5) - 25.292*(AZ195^4) + 8.7618*(AZ195^3) - 1.317*(AZ195^2) + 0.358*(AZ195^1) + 0.7659</f>
        <v>0.80394681501161991</v>
      </c>
      <c r="AQ195" s="99">
        <f t="shared" ref="AQ195" si="382">IF(H195 &lt;= 36089, ((1 - 6.87535*10^(-6)*H195) + ((I195*1.8)/518.67)), 0.75187 + ((I195*1.8)/518.67))</f>
        <v>1.0108041207183758</v>
      </c>
      <c r="AR195" s="99">
        <f t="shared" ref="AR195" si="383">IF(H195 &lt;= 36089, (1 - 6.87535*10^(-6)*H195)^5.2561, 0.22336*EXP((36089 - H195)/(20806.7)))</f>
        <v>0.80137655372650329</v>
      </c>
      <c r="AS195" s="99">
        <f t="shared" ref="AS195" si="384">(AR195/AQ195)</f>
        <v>0.79281092874548942</v>
      </c>
      <c r="AT195" s="99">
        <f t="shared" ref="AT195" si="385">(518.67*AQ195)</f>
        <v>524.27377329299998</v>
      </c>
      <c r="AU195" s="99">
        <f t="shared" ref="AU195" si="386">2116.22*AR195</f>
        <v>1695.8890905271007</v>
      </c>
      <c r="AV195" s="99">
        <f t="shared" ref="AV195" si="387">(0.0023769*AS195)</f>
        <v>1.8844322965351538E-3</v>
      </c>
      <c r="AW195" s="99">
        <f t="shared" ref="AW195" si="388">((2.2697*10^-8)*(AT195^1.5))/(AT195+198.72)</f>
        <v>3.7685223889866925E-7</v>
      </c>
      <c r="AX195" s="90">
        <f t="shared" ref="AX195" ca="1" si="389">(1/U195)*(((1 + 0.2*(U195)^2)/1.2)^3)</f>
        <v>1.3268556559662019</v>
      </c>
      <c r="AY195" s="90">
        <f t="shared" ref="AY195" ca="1" si="390">($H$4/$H$3)*AX195</f>
        <v>1.7873009299571225</v>
      </c>
      <c r="AZ195" s="90">
        <f t="shared" ref="AZ195" si="391">-6.6*10^(-3) + 0.825*J195 - 0.243*(J195^2)</f>
        <v>0.13194675651475862</v>
      </c>
    </row>
    <row r="196" spans="1:53" ht="14.5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3"/>
      <c r="AD196" s="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5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</row>
    <row r="197" spans="1:53" ht="14.5">
      <c r="B197" s="75" t="s">
        <v>218</v>
      </c>
      <c r="C197" s="167">
        <f ca="1">C198+C199+C201</f>
        <v>12710.599159378238</v>
      </c>
      <c r="F197" s="167" t="s">
        <v>229</v>
      </c>
      <c r="G197" s="167">
        <f ca="1">1.2*Z193</f>
        <v>187.36516896761637</v>
      </c>
      <c r="AC197" s="3"/>
      <c r="AD197" s="3"/>
      <c r="AP197" s="53"/>
    </row>
    <row r="198" spans="1:53" ht="14.5">
      <c r="B198" s="132" t="s">
        <v>58</v>
      </c>
      <c r="C198" s="21">
        <f>K6</f>
        <v>9120</v>
      </c>
      <c r="AC198" s="3"/>
      <c r="AD198" s="3"/>
      <c r="AP198" s="53"/>
    </row>
    <row r="199" spans="1:53" ht="14.5">
      <c r="B199" s="132" t="s">
        <v>59</v>
      </c>
      <c r="C199" s="21">
        <f>K7</f>
        <v>3000</v>
      </c>
      <c r="AC199" s="3"/>
      <c r="AD199" s="3"/>
      <c r="AP199" s="53"/>
    </row>
    <row r="200" spans="1:53" ht="14.5">
      <c r="B200" s="70" t="s">
        <v>125</v>
      </c>
      <c r="C200" s="32">
        <f ca="1">C201</f>
        <v>590.59915937823882</v>
      </c>
      <c r="AC200" s="3"/>
      <c r="AD200" s="3"/>
      <c r="AP200" s="53"/>
    </row>
    <row r="201" spans="1:53" ht="14.5">
      <c r="B201" s="70" t="s">
        <v>126</v>
      </c>
      <c r="C201" s="32">
        <f ca="1">SUM(AN207:AN227)+SUM(AN232:AN252)</f>
        <v>590.59915937823882</v>
      </c>
      <c r="AC201" s="3"/>
      <c r="AD201" s="3"/>
      <c r="AP201" s="53"/>
    </row>
    <row r="202" spans="1:53" ht="14.5">
      <c r="F202" s="167" t="s">
        <v>222</v>
      </c>
      <c r="G202" s="167">
        <f ca="1">1.1*Z207</f>
        <v>152.14551954890277</v>
      </c>
      <c r="AC202" s="3"/>
      <c r="AD202" s="3"/>
      <c r="AP202" s="53"/>
    </row>
    <row r="203" spans="1:53" ht="14.5">
      <c r="AC203" s="3"/>
      <c r="AD203" s="3"/>
      <c r="AP203" s="53"/>
    </row>
    <row r="204" spans="1:53" s="89" customFormat="1" ht="14.5">
      <c r="A204" s="124" t="s">
        <v>3</v>
      </c>
      <c r="B204" s="82" t="s">
        <v>22</v>
      </c>
      <c r="C204" s="81">
        <v>3000</v>
      </c>
      <c r="D204" s="82" t="s">
        <v>9</v>
      </c>
      <c r="E204" s="82"/>
      <c r="F204" s="82"/>
      <c r="G204" s="82"/>
      <c r="H204" s="82"/>
      <c r="I204" s="83"/>
      <c r="J204" s="82"/>
      <c r="K204" s="82"/>
      <c r="L204" s="84" t="s">
        <v>60</v>
      </c>
      <c r="M204" s="82"/>
      <c r="N204" s="82"/>
      <c r="O204" s="82"/>
      <c r="P204" s="82"/>
      <c r="Q204" s="81"/>
      <c r="R204" s="82"/>
      <c r="S204" s="85"/>
      <c r="T204" s="86"/>
      <c r="U204" s="81"/>
      <c r="V204" s="81"/>
      <c r="W204" s="81"/>
      <c r="X204" s="81"/>
      <c r="Y204" s="82"/>
      <c r="Z204" s="82"/>
      <c r="AA204" s="87"/>
      <c r="AB204" s="87"/>
      <c r="AC204" s="82"/>
      <c r="AD204" s="82"/>
      <c r="AE204" s="83"/>
      <c r="AF204" s="81"/>
      <c r="AG204" s="82"/>
      <c r="AH204" s="82"/>
      <c r="AI204" s="82"/>
      <c r="AJ204" s="81" t="s">
        <v>61</v>
      </c>
      <c r="AK204" s="88"/>
      <c r="AL204" s="83"/>
      <c r="AM204" s="82"/>
      <c r="AN204" s="82"/>
      <c r="AO204" s="82"/>
      <c r="AP204" s="53"/>
      <c r="AQ204" s="88"/>
      <c r="AR204" s="88"/>
      <c r="AS204" s="88"/>
      <c r="AT204" s="88"/>
      <c r="AU204" s="88"/>
      <c r="AV204" s="88"/>
      <c r="AW204" s="88"/>
      <c r="AX204" s="82"/>
      <c r="AY204" s="82"/>
      <c r="AZ204" s="82"/>
    </row>
    <row r="205" spans="1:53" ht="14.5">
      <c r="A205" s="41" t="s">
        <v>2</v>
      </c>
      <c r="B205" s="41" t="s">
        <v>2</v>
      </c>
      <c r="C205" s="41" t="s">
        <v>2</v>
      </c>
      <c r="D205" s="41" t="s">
        <v>23</v>
      </c>
      <c r="E205" s="41" t="s">
        <v>24</v>
      </c>
      <c r="F205" s="41" t="s">
        <v>25</v>
      </c>
      <c r="G205" s="41"/>
      <c r="H205" s="41" t="s">
        <v>0</v>
      </c>
      <c r="I205" s="5" t="s">
        <v>26</v>
      </c>
      <c r="J205" s="41" t="s">
        <v>27</v>
      </c>
      <c r="K205" s="41" t="s">
        <v>28</v>
      </c>
      <c r="L205" s="12" t="s">
        <v>29</v>
      </c>
      <c r="M205" s="13" t="s">
        <v>30</v>
      </c>
      <c r="N205" s="41" t="s">
        <v>31</v>
      </c>
      <c r="O205" s="41" t="s">
        <v>32</v>
      </c>
      <c r="P205" s="41" t="s">
        <v>33</v>
      </c>
      <c r="Q205" s="41" t="s">
        <v>34</v>
      </c>
      <c r="R205" s="41" t="s">
        <v>13</v>
      </c>
      <c r="S205" s="24" t="s">
        <v>35</v>
      </c>
      <c r="T205" s="10" t="s">
        <v>35</v>
      </c>
      <c r="U205" s="41" t="s">
        <v>36</v>
      </c>
      <c r="V205" s="41" t="s">
        <v>37</v>
      </c>
      <c r="W205" s="41" t="s">
        <v>38</v>
      </c>
      <c r="X205" s="41" t="s">
        <v>39</v>
      </c>
      <c r="Y205" s="41" t="s">
        <v>40</v>
      </c>
      <c r="Z205" s="35" t="s">
        <v>108</v>
      </c>
      <c r="AA205" s="35" t="s">
        <v>109</v>
      </c>
      <c r="AB205" s="9" t="s">
        <v>110</v>
      </c>
      <c r="AC205" s="7" t="s">
        <v>111</v>
      </c>
      <c r="AD205" s="7" t="s">
        <v>112</v>
      </c>
      <c r="AE205" s="5" t="s">
        <v>41</v>
      </c>
      <c r="AF205" s="7" t="s">
        <v>113</v>
      </c>
      <c r="AG205" s="41"/>
      <c r="AH205" s="41"/>
      <c r="AI205" s="41" t="s">
        <v>42</v>
      </c>
      <c r="AJ205" s="41" t="s">
        <v>43</v>
      </c>
      <c r="AK205" s="11"/>
      <c r="AL205" s="5" t="s">
        <v>44</v>
      </c>
      <c r="AM205" s="41" t="s">
        <v>45</v>
      </c>
      <c r="AN205" s="41" t="s">
        <v>46</v>
      </c>
      <c r="AO205" s="41" t="s">
        <v>47</v>
      </c>
      <c r="AP205" s="53"/>
      <c r="AQ205" s="15" t="s">
        <v>62</v>
      </c>
      <c r="AR205" s="16" t="s">
        <v>63</v>
      </c>
      <c r="AS205" s="16" t="s">
        <v>64</v>
      </c>
      <c r="AT205" s="17" t="s">
        <v>65</v>
      </c>
      <c r="AU205" s="18" t="s">
        <v>66</v>
      </c>
      <c r="AV205" s="18" t="s">
        <v>67</v>
      </c>
      <c r="AW205" s="19" t="s">
        <v>68</v>
      </c>
      <c r="AX205" s="7" t="s">
        <v>207</v>
      </c>
      <c r="AY205" s="7" t="s">
        <v>208</v>
      </c>
      <c r="AZ205" s="7" t="s">
        <v>209</v>
      </c>
    </row>
    <row r="206" spans="1:53" ht="14.5">
      <c r="A206" s="41" t="s">
        <v>18</v>
      </c>
      <c r="B206" s="41" t="s">
        <v>21</v>
      </c>
      <c r="C206" s="41" t="s">
        <v>48</v>
      </c>
      <c r="D206" s="41" t="s">
        <v>8</v>
      </c>
      <c r="E206" s="41" t="s">
        <v>49</v>
      </c>
      <c r="F206" s="41" t="s">
        <v>49</v>
      </c>
      <c r="G206" s="41"/>
      <c r="H206" s="41" t="s">
        <v>9</v>
      </c>
      <c r="I206" s="5" t="s">
        <v>50</v>
      </c>
      <c r="J206" s="41"/>
      <c r="K206" s="41" t="s">
        <v>51</v>
      </c>
      <c r="L206" s="5" t="s">
        <v>52</v>
      </c>
      <c r="M206" s="41" t="s">
        <v>52</v>
      </c>
      <c r="N206" s="41" t="s">
        <v>53</v>
      </c>
      <c r="O206" s="41" t="s">
        <v>54</v>
      </c>
      <c r="P206" s="41"/>
      <c r="Q206" s="41"/>
      <c r="R206" s="41"/>
      <c r="S206" s="24" t="s">
        <v>55</v>
      </c>
      <c r="T206" s="10" t="s">
        <v>55</v>
      </c>
      <c r="U206" s="41"/>
      <c r="V206" s="41"/>
      <c r="W206" s="41"/>
      <c r="X206" s="41"/>
      <c r="Y206" s="41"/>
      <c r="Z206" s="41"/>
      <c r="AA206" s="9" t="s">
        <v>118</v>
      </c>
      <c r="AB206" s="9" t="s">
        <v>118</v>
      </c>
      <c r="AC206" s="7" t="s">
        <v>119</v>
      </c>
      <c r="AD206" s="7" t="s">
        <v>119</v>
      </c>
      <c r="AE206" s="5" t="s">
        <v>20</v>
      </c>
      <c r="AF206" s="7" t="s">
        <v>118</v>
      </c>
      <c r="AG206" s="41"/>
      <c r="AH206" s="41"/>
      <c r="AI206" s="41" t="s">
        <v>56</v>
      </c>
      <c r="AJ206" s="41" t="s">
        <v>57</v>
      </c>
      <c r="AK206" s="11"/>
      <c r="AL206" s="5" t="s">
        <v>9</v>
      </c>
      <c r="AM206" s="41" t="s">
        <v>18</v>
      </c>
      <c r="AN206" s="41" t="s">
        <v>8</v>
      </c>
      <c r="AO206" s="41" t="s">
        <v>49</v>
      </c>
      <c r="AP206" s="53"/>
      <c r="AQ206" s="11"/>
      <c r="AR206" s="11"/>
      <c r="AS206" s="11"/>
      <c r="AT206" s="11"/>
      <c r="AU206" s="11"/>
      <c r="AV206" s="11"/>
      <c r="AW206" s="11"/>
      <c r="AX206" s="41"/>
      <c r="AY206" s="41"/>
      <c r="AZ206" s="41"/>
    </row>
    <row r="207" spans="1:53" ht="14.5">
      <c r="A207" s="41">
        <f ca="1">H207/(K207*SIN(RADIANS(T207)))</f>
        <v>0</v>
      </c>
      <c r="B207" s="41">
        <v>0</v>
      </c>
      <c r="C207" s="41">
        <v>0</v>
      </c>
      <c r="D207" s="41">
        <f ca="1">C198+C199+C200</f>
        <v>12710.599159378238</v>
      </c>
      <c r="E207" s="7">
        <v>0</v>
      </c>
      <c r="F207" s="7">
        <v>0</v>
      </c>
      <c r="G207" s="41"/>
      <c r="H207" s="41">
        <v>0</v>
      </c>
      <c r="I207" s="6">
        <v>15</v>
      </c>
      <c r="J207" s="41">
        <f t="shared" ref="J207:J227" si="392">SQRT((((((((L207^2)*(0.2))/(661.477)^2) + 1)^(3.5) - 1)*(1/AR207) + 1)^(1/3.5) - 1)*(5))</f>
        <v>0.14361799427644542</v>
      </c>
      <c r="K207" s="41">
        <f t="shared" ref="K207:K227" si="393">SQRT((1.4*2116.22*AR207*(J207)^2)/AV207)</f>
        <v>164.46265663021146</v>
      </c>
      <c r="L207" s="120">
        <v>95</v>
      </c>
      <c r="M207" s="41">
        <f t="shared" ref="M207:M227" si="394">K207*0.592484</f>
        <v>97.441492650894205</v>
      </c>
      <c r="N207" s="41">
        <f t="shared" ref="N207:N227" si="395">0.5*AV207*K207^2</f>
        <v>30.55459763207498</v>
      </c>
      <c r="O207" s="41">
        <f t="shared" ref="O207:O227" si="396">P207/$B$7</f>
        <v>956040.34382917057</v>
      </c>
      <c r="P207" s="41">
        <f t="shared" ref="P207:P227" si="397">(AV207*K207*$B$7)/(AW207)</f>
        <v>6138450.8017955786</v>
      </c>
      <c r="Q207" s="41">
        <f t="shared" ref="Q207:Q227" si="398">0.455/(LOG10(P207)^2.58 * (1+0.144*J207*J207)^0.65)</f>
        <v>3.2454173580935435E-3</v>
      </c>
      <c r="R207" s="41">
        <f t="shared" ref="R207:R227" si="399">(((Q207*$B$4)+$B$17)+(0.1*(Q207*$B$4)))</f>
        <v>2.4730954312879899E-2</v>
      </c>
      <c r="S207" s="24">
        <f ca="1">T207</f>
        <v>20.193925659563664</v>
      </c>
      <c r="T207" s="10">
        <f t="shared" ref="T207:T227" ca="1" si="400">DEGREES(ASIN(((AF207-X207)/(D207))))</f>
        <v>20.193925659563664</v>
      </c>
      <c r="U207" s="41">
        <f t="shared" ref="U207:U227" ca="1" si="401">(D207*COS(RADIANS(S207)))/(N207*$B$3)</f>
        <v>1.6974993002800407</v>
      </c>
      <c r="V207" s="41">
        <f t="shared" ref="V207:V227" ca="1" si="402">(X207)/(N207*$B$3)</f>
        <v>0.20671729762929306</v>
      </c>
      <c r="W207" s="41">
        <f t="shared" ref="W207:W227" ca="1" si="403">U207/V207</f>
        <v>8.2116945207177245</v>
      </c>
      <c r="X207" s="20">
        <f t="shared" ref="X207:X227" ca="1" si="404">(N207*$B$3*R207)+((N207*$B$3)*((U207^2)/(PI()*$B$6*$B$5)))</f>
        <v>1452.7176861101755</v>
      </c>
      <c r="Y207" s="41">
        <f t="shared" ref="Y207:Y227" si="405">SQRT(PI()*$B$6*$B$5*R207)</f>
        <v>0.62576409716718795</v>
      </c>
      <c r="Z207" s="41">
        <f t="shared" ref="Z207:Z227" ca="1" si="406">SQRT((2*((U207*N207*$B$3)/(D207))*D207)/(AV207*$B$3*$B$18))</f>
        <v>138.31410868082068</v>
      </c>
      <c r="AA207" s="14">
        <f t="shared" ref="AA207:AA227" ca="1" si="407">D207/W207</f>
        <v>1547.8655626204782</v>
      </c>
      <c r="AB207" s="14">
        <f>$B$15*AR207*0.93</f>
        <v>5840.4000000000005</v>
      </c>
      <c r="AC207" s="25">
        <f t="shared" ref="AC207:AC227" ca="1" si="408">AA207*K207</f>
        <v>254566.08253498076</v>
      </c>
      <c r="AD207" s="41">
        <f t="shared" ref="AD207:AD227" si="409">AB207*K207</f>
        <v>960527.69978308713</v>
      </c>
      <c r="AE207" s="6">
        <v>100</v>
      </c>
      <c r="AF207" s="41">
        <f t="shared" ref="AF207:AF227" si="410">AB207*(AE207/100)</f>
        <v>5840.4000000000005</v>
      </c>
      <c r="AG207" s="41"/>
      <c r="AH207" s="41"/>
      <c r="AI207" s="41">
        <f t="shared" ref="AI207:AI227" si="411">(AP207*AF207)</f>
        <v>4303.8028043138838</v>
      </c>
      <c r="AJ207" s="13">
        <f t="shared" ref="AJ207:AJ227" ca="1" si="412">K207*SIN(RADIANS(T207))</f>
        <v>56.772295368884322</v>
      </c>
      <c r="AK207" s="11"/>
      <c r="AL207" s="6">
        <v>150</v>
      </c>
      <c r="AM207" s="41">
        <f t="shared" ref="AM207:AM227" ca="1" si="413">AL207/AJ207</f>
        <v>2.6421337912331757</v>
      </c>
      <c r="AN207" s="41">
        <f t="shared" ref="AN207:AN227" ca="1" si="414">AI207*(AM207/3600)</f>
        <v>3.1586730055782821</v>
      </c>
      <c r="AO207" s="41">
        <f t="shared" ref="AO207:AO227" ca="1" si="415">M207*COS(RADIANS(T207))*(AM207/3600)</f>
        <v>6.7118805460404884E-2</v>
      </c>
      <c r="AP207" s="67">
        <f>0.705 + 0.302*AZ207 + -0.0327*AZ207^2</f>
        <v>0.73690206224126487</v>
      </c>
      <c r="AQ207" s="11">
        <f t="shared" ref="AQ207:AQ227" si="416">IF(H207 &lt;= 36089, ((1 - 6.87535*10^(-6)*H207) + ((I207*1.8)/518.67)), 0.75187 + ((I207*1.8)/518.67))</f>
        <v>1.0520562207183759</v>
      </c>
      <c r="AR207" s="11">
        <f t="shared" ref="AR207:AR227" si="417">IF(H207 &lt;= 36089, (1 - 6.87535*10^(-6)*H207)^5.2561, 0.22336*EXP((36089 - H207)/(20806.7)))</f>
        <v>1</v>
      </c>
      <c r="AS207" s="11">
        <f t="shared" ref="AS207:AS227" si="418">(AR207/AQ207)</f>
        <v>0.95051954477981193</v>
      </c>
      <c r="AT207" s="11">
        <f t="shared" ref="AT207:AT227" si="419">(518.67*AQ207)</f>
        <v>545.66999999999996</v>
      </c>
      <c r="AU207" s="11">
        <f t="shared" ref="AU207:AU227" si="420">2116.22*AR207</f>
        <v>2116.2199999999998</v>
      </c>
      <c r="AV207" s="11">
        <f t="shared" ref="AV207:AV227" si="421">(0.0023769*AS207)</f>
        <v>2.259289905987135E-3</v>
      </c>
      <c r="AW207" s="11">
        <f t="shared" ref="AW207:AW227" si="422">((2.2697*10^-8)*(AT207^1.5))/(AT207+198.72)</f>
        <v>3.8865391239478742E-7</v>
      </c>
      <c r="AX207" s="41">
        <f t="shared" ref="AX207:AX227" ca="1" si="423">(1/U207)*(((1 + 0.2*(U207)^2)/1.2)^3)</f>
        <v>1.3352541150476174</v>
      </c>
      <c r="AY207" s="41">
        <f t="shared" ref="AY207:AY227" ca="1" si="424">($H$4/$H$3)*AX207</f>
        <v>1.7986138211965921</v>
      </c>
      <c r="AZ207" s="41">
        <f t="shared" ref="AZ207:AZ227" si="425">-6.6*10^(-3) + 0.825*J207 - 0.243*(J207^2)</f>
        <v>0.10687269610603012</v>
      </c>
    </row>
    <row r="208" spans="1:53" ht="14.5">
      <c r="A208" s="41">
        <f t="shared" ref="A208:A227" ca="1" si="426">A207+AM207</f>
        <v>2.6421337912331757</v>
      </c>
      <c r="B208" s="41">
        <f t="shared" ref="B208:C223" ca="1" si="427">A208/60</f>
        <v>4.4035563187219594E-2</v>
      </c>
      <c r="C208" s="41">
        <f t="shared" ca="1" si="427"/>
        <v>7.3392605312032658E-4</v>
      </c>
      <c r="D208" s="41">
        <f t="shared" ref="D208:D227" ca="1" si="428">D207-AN207</f>
        <v>12707.44048637266</v>
      </c>
      <c r="E208" s="41">
        <f t="shared" ref="E208:E227" ca="1" si="429">E207+AO207</f>
        <v>6.7118805460404884E-2</v>
      </c>
      <c r="F208" s="41">
        <f t="shared" ref="F208:F227" ca="1" si="430">F207+AO207</f>
        <v>6.7118805460404884E-2</v>
      </c>
      <c r="G208" s="41"/>
      <c r="H208" s="7">
        <f t="shared" ref="H208:H227" si="431">H207+AL207</f>
        <v>150</v>
      </c>
      <c r="I208" s="6">
        <v>15</v>
      </c>
      <c r="J208" s="41">
        <f t="shared" si="392"/>
        <v>0.14931129484890579</v>
      </c>
      <c r="K208" s="41">
        <f t="shared" si="393"/>
        <v>170.89845551322179</v>
      </c>
      <c r="L208" s="6">
        <f>L207+($L$232-$L$207)/20</f>
        <v>98.5</v>
      </c>
      <c r="M208" s="41">
        <f t="shared" si="394"/>
        <v>101.2546005162957</v>
      </c>
      <c r="N208" s="41">
        <f t="shared" si="395"/>
        <v>32.846478398916183</v>
      </c>
      <c r="O208" s="41">
        <f t="shared" si="396"/>
        <v>989792.92082567269</v>
      </c>
      <c r="P208" s="41">
        <f t="shared" si="397"/>
        <v>6355166.0635145614</v>
      </c>
      <c r="Q208" s="41">
        <f t="shared" si="398"/>
        <v>3.226402066500733E-3</v>
      </c>
      <c r="R208" s="41">
        <f t="shared" si="399"/>
        <v>2.461534827264961E-2</v>
      </c>
      <c r="S208" s="24">
        <f t="shared" ref="S208:S227" ca="1" si="432">T208</f>
        <v>20.438760833174829</v>
      </c>
      <c r="T208" s="10">
        <f t="shared" ca="1" si="400"/>
        <v>20.438760833174829</v>
      </c>
      <c r="U208" s="41">
        <f t="shared" ca="1" si="401"/>
        <v>1.5761673580269409</v>
      </c>
      <c r="V208" s="41">
        <f t="shared" ca="1" si="402"/>
        <v>0.18151581994439714</v>
      </c>
      <c r="W208" s="41">
        <f t="shared" ca="1" si="403"/>
        <v>8.6833608140037626</v>
      </c>
      <c r="X208" s="20">
        <f t="shared" ca="1" si="404"/>
        <v>1371.295755538996</v>
      </c>
      <c r="Y208" s="41">
        <f t="shared" si="405"/>
        <v>0.624299801687064</v>
      </c>
      <c r="Z208" s="41">
        <f t="shared" ca="1" si="406"/>
        <v>138.49486827182162</v>
      </c>
      <c r="AA208" s="14">
        <f t="shared" ca="1" si="407"/>
        <v>1463.4242154119881</v>
      </c>
      <c r="AB208" s="14">
        <f t="shared" ref="AB208:AB227" si="433">$B$15*AR208*0.93</f>
        <v>5808.8107603107364</v>
      </c>
      <c r="AC208" s="25">
        <f t="shared" ca="1" si="408"/>
        <v>250096.93817455714</v>
      </c>
      <c r="AD208" s="41">
        <f t="shared" si="409"/>
        <v>992716.78730568849</v>
      </c>
      <c r="AE208" s="6">
        <v>100</v>
      </c>
      <c r="AF208" s="41">
        <f t="shared" si="410"/>
        <v>5808.8107603107364</v>
      </c>
      <c r="AG208" s="41"/>
      <c r="AH208" s="41"/>
      <c r="AI208" s="41">
        <f t="shared" si="411"/>
        <v>4287.8756689225665</v>
      </c>
      <c r="AJ208" s="13">
        <f t="shared" ca="1" si="412"/>
        <v>59.678773349007656</v>
      </c>
      <c r="AK208" s="11"/>
      <c r="AL208" s="6">
        <v>150</v>
      </c>
      <c r="AM208" s="41">
        <f t="shared" ca="1" si="413"/>
        <v>2.513456486827979</v>
      </c>
      <c r="AN208" s="41">
        <f t="shared" ca="1" si="414"/>
        <v>2.9937191429903569</v>
      </c>
      <c r="AO208" s="41">
        <f t="shared" ca="1" si="415"/>
        <v>6.6243692051784417E-2</v>
      </c>
      <c r="AP208" s="67">
        <f t="shared" ref="AP208:AP227" si="434">0.705 + 0.302*AZ208 + -0.0327*AZ208^2</f>
        <v>0.73816756059947641</v>
      </c>
      <c r="AQ208" s="11">
        <f t="shared" si="416"/>
        <v>1.0510249182183757</v>
      </c>
      <c r="AR208" s="11">
        <f t="shared" si="417"/>
        <v>0.99459125407690152</v>
      </c>
      <c r="AS208" s="11">
        <f t="shared" si="418"/>
        <v>0.94630606452496235</v>
      </c>
      <c r="AT208" s="11">
        <f t="shared" si="419"/>
        <v>545.13509433232491</v>
      </c>
      <c r="AU208" s="11">
        <f t="shared" si="420"/>
        <v>2104.7739037026204</v>
      </c>
      <c r="AV208" s="11">
        <f t="shared" si="421"/>
        <v>2.2492748847693831E-3</v>
      </c>
      <c r="AW208" s="11">
        <f t="shared" si="422"/>
        <v>3.8836164185848879E-7</v>
      </c>
      <c r="AX208" s="41">
        <f t="shared" ca="1" si="423"/>
        <v>1.2313970199276734</v>
      </c>
      <c r="AY208" s="41">
        <f t="shared" ca="1" si="424"/>
        <v>1.6587162506840316</v>
      </c>
      <c r="AZ208" s="41">
        <f t="shared" si="425"/>
        <v>0.11116440959736926</v>
      </c>
    </row>
    <row r="209" spans="1:52" ht="14.5">
      <c r="A209" s="41">
        <f t="shared" ca="1" si="426"/>
        <v>5.1555902780611547</v>
      </c>
      <c r="B209" s="41">
        <f t="shared" ca="1" si="427"/>
        <v>8.5926504634352571E-2</v>
      </c>
      <c r="C209" s="41">
        <f t="shared" ca="1" si="427"/>
        <v>1.4321084105725428E-3</v>
      </c>
      <c r="D209" s="41">
        <f t="shared" ca="1" si="428"/>
        <v>12704.446767229669</v>
      </c>
      <c r="E209" s="41">
        <f t="shared" ca="1" si="429"/>
        <v>0.13336249751218932</v>
      </c>
      <c r="F209" s="41">
        <f t="shared" ca="1" si="430"/>
        <v>0.13336249751218932</v>
      </c>
      <c r="G209" s="41"/>
      <c r="H209" s="7">
        <f t="shared" si="431"/>
        <v>300</v>
      </c>
      <c r="I209" s="6">
        <v>15</v>
      </c>
      <c r="J209" s="41">
        <f t="shared" si="392"/>
        <v>0.15503438118767573</v>
      </c>
      <c r="K209" s="41">
        <f t="shared" si="393"/>
        <v>177.36189452076079</v>
      </c>
      <c r="L209" s="6">
        <f t="shared" ref="L209:L227" si="435">L208+($L$232-$L$207)/20</f>
        <v>102</v>
      </c>
      <c r="M209" s="41">
        <f t="shared" si="394"/>
        <v>105.08408471323844</v>
      </c>
      <c r="N209" s="41">
        <f t="shared" si="395"/>
        <v>35.221004174346916</v>
      </c>
      <c r="O209" s="41">
        <f t="shared" si="396"/>
        <v>1023439.559592862</v>
      </c>
      <c r="P209" s="41">
        <f t="shared" si="397"/>
        <v>6571201.1273602406</v>
      </c>
      <c r="Q209" s="41">
        <f t="shared" si="398"/>
        <v>3.2081847133082803E-3</v>
      </c>
      <c r="R209" s="41">
        <f t="shared" si="399"/>
        <v>2.450459340697864E-2</v>
      </c>
      <c r="S209" s="24">
        <f t="shared" ca="1" si="432"/>
        <v>20.632752204818061</v>
      </c>
      <c r="T209" s="10">
        <f t="shared" ca="1" si="400"/>
        <v>20.632752204818061</v>
      </c>
      <c r="U209" s="41">
        <f t="shared" ca="1" si="401"/>
        <v>1.4676965217441471</v>
      </c>
      <c r="V209" s="41">
        <f t="shared" ca="1" si="402"/>
        <v>0.1605525806094385</v>
      </c>
      <c r="W209" s="41">
        <f t="shared" ca="1" si="403"/>
        <v>9.1415318033067159</v>
      </c>
      <c r="X209" s="20">
        <f t="shared" ca="1" si="404"/>
        <v>1300.6093157248567</v>
      </c>
      <c r="Y209" s="41">
        <f t="shared" si="405"/>
        <v>0.62289372380680452</v>
      </c>
      <c r="Z209" s="41">
        <f t="shared" ca="1" si="406"/>
        <v>138.69884059998364</v>
      </c>
      <c r="AA209" s="14">
        <f t="shared" ca="1" si="407"/>
        <v>1389.7503220011945</v>
      </c>
      <c r="AB209" s="14">
        <f t="shared" si="433"/>
        <v>5777.3600147416428</v>
      </c>
      <c r="AC209" s="25">
        <f t="shared" ca="1" si="408"/>
        <v>246488.75002096919</v>
      </c>
      <c r="AD209" s="41">
        <f t="shared" si="409"/>
        <v>1024683.5175430683</v>
      </c>
      <c r="AE209" s="6">
        <v>100</v>
      </c>
      <c r="AF209" s="41">
        <f t="shared" si="410"/>
        <v>5777.3600147416428</v>
      </c>
      <c r="AG209" s="41"/>
      <c r="AH209" s="41"/>
      <c r="AI209" s="41">
        <f t="shared" si="411"/>
        <v>4271.9752160196276</v>
      </c>
      <c r="AJ209" s="13">
        <f t="shared" ca="1" si="412"/>
        <v>62.498194515863837</v>
      </c>
      <c r="AK209" s="11"/>
      <c r="AL209" s="6">
        <v>150</v>
      </c>
      <c r="AM209" s="41">
        <f t="shared" ca="1" si="413"/>
        <v>2.400069332593691</v>
      </c>
      <c r="AN209" s="41">
        <f t="shared" ca="1" si="414"/>
        <v>2.8480657515469492</v>
      </c>
      <c r="AO209" s="41">
        <f t="shared" ca="1" si="415"/>
        <v>6.5564433000428357E-2</v>
      </c>
      <c r="AP209" s="67">
        <f t="shared" si="434"/>
        <v>0.73943379071395221</v>
      </c>
      <c r="AQ209" s="11">
        <f t="shared" si="416"/>
        <v>1.0499936157183758</v>
      </c>
      <c r="AR209" s="11">
        <f t="shared" si="417"/>
        <v>0.98920622127622115</v>
      </c>
      <c r="AS209" s="11">
        <f t="shared" si="418"/>
        <v>0.94210689138279602</v>
      </c>
      <c r="AT209" s="11">
        <f t="shared" si="419"/>
        <v>544.60018866464998</v>
      </c>
      <c r="AU209" s="11">
        <f t="shared" si="420"/>
        <v>2093.3779895891644</v>
      </c>
      <c r="AV209" s="11">
        <f t="shared" si="421"/>
        <v>2.2392938701277679E-3</v>
      </c>
      <c r="AW209" s="11">
        <f t="shared" si="422"/>
        <v>3.8806923132088533E-7</v>
      </c>
      <c r="AX209" s="41">
        <f t="shared" ca="1" si="423"/>
        <v>1.1549974556374483</v>
      </c>
      <c r="AY209" s="41">
        <f t="shared" ca="1" si="424"/>
        <v>1.5558045197129602</v>
      </c>
      <c r="AZ209" s="41">
        <f t="shared" si="425"/>
        <v>0.1154626992577228</v>
      </c>
    </row>
    <row r="210" spans="1:52" ht="14.5">
      <c r="A210" s="41">
        <f t="shared" ca="1" si="426"/>
        <v>7.5556596106548461</v>
      </c>
      <c r="B210" s="41">
        <f t="shared" ca="1" si="427"/>
        <v>0.12592766017758078</v>
      </c>
      <c r="C210" s="41">
        <f t="shared" ca="1" si="427"/>
        <v>2.0987943362930131E-3</v>
      </c>
      <c r="D210" s="41">
        <f t="shared" ca="1" si="428"/>
        <v>12701.598701478122</v>
      </c>
      <c r="E210" s="41">
        <f t="shared" ca="1" si="429"/>
        <v>0.19892693051261767</v>
      </c>
      <c r="F210" s="41">
        <f t="shared" ca="1" si="430"/>
        <v>0.19892693051261767</v>
      </c>
      <c r="G210" s="41"/>
      <c r="H210" s="7">
        <f t="shared" si="431"/>
        <v>450</v>
      </c>
      <c r="I210" s="6">
        <v>15</v>
      </c>
      <c r="J210" s="41">
        <f t="shared" si="392"/>
        <v>0.16078736145654363</v>
      </c>
      <c r="K210" s="41">
        <f t="shared" si="393"/>
        <v>183.85304234676579</v>
      </c>
      <c r="L210" s="6">
        <f t="shared" si="435"/>
        <v>105.5</v>
      </c>
      <c r="M210" s="41">
        <f t="shared" si="394"/>
        <v>108.92998594178118</v>
      </c>
      <c r="N210" s="41">
        <f t="shared" si="395"/>
        <v>37.678124396868071</v>
      </c>
      <c r="O210" s="41">
        <f t="shared" si="396"/>
        <v>1056979.9804756858</v>
      </c>
      <c r="P210" s="41">
        <f t="shared" si="397"/>
        <v>6786554.1977506671</v>
      </c>
      <c r="Q210" s="41">
        <f t="shared" si="398"/>
        <v>3.1907037534728076E-3</v>
      </c>
      <c r="R210" s="41">
        <f t="shared" si="399"/>
        <v>2.4398315544441537E-2</v>
      </c>
      <c r="S210" s="24">
        <f t="shared" ca="1" si="432"/>
        <v>20.782901446518636</v>
      </c>
      <c r="T210" s="10">
        <f t="shared" ca="1" si="400"/>
        <v>20.782901446518636</v>
      </c>
      <c r="U210" s="41">
        <f t="shared" ca="1" si="401"/>
        <v>1.3703172293856267</v>
      </c>
      <c r="V210" s="41">
        <f t="shared" ca="1" si="402"/>
        <v>0.14299207250382684</v>
      </c>
      <c r="W210" s="41">
        <f t="shared" ca="1" si="403"/>
        <v>9.5831692302309524</v>
      </c>
      <c r="X210" s="20">
        <f t="shared" ca="1" si="404"/>
        <v>1239.1648119799884</v>
      </c>
      <c r="Y210" s="41">
        <f t="shared" si="405"/>
        <v>0.62154149268322478</v>
      </c>
      <c r="Z210" s="41">
        <f t="shared" ca="1" si="406"/>
        <v>138.92351370726604</v>
      </c>
      <c r="AA210" s="14">
        <f t="shared" ca="1" si="407"/>
        <v>1325.406908333603</v>
      </c>
      <c r="AB210" s="14">
        <f t="shared" si="433"/>
        <v>5746.0472982881147</v>
      </c>
      <c r="AC210" s="25">
        <f t="shared" ca="1" si="408"/>
        <v>243680.09244455385</v>
      </c>
      <c r="AD210" s="41">
        <f t="shared" si="409"/>
        <v>1056428.2772586839</v>
      </c>
      <c r="AE210" s="6">
        <v>100</v>
      </c>
      <c r="AF210" s="41">
        <f t="shared" si="410"/>
        <v>5746.0472982881147</v>
      </c>
      <c r="AG210" s="41"/>
      <c r="AH210" s="41"/>
      <c r="AI210" s="41">
        <f t="shared" si="411"/>
        <v>4256.1012428026979</v>
      </c>
      <c r="AJ210" s="13">
        <f t="shared" ca="1" si="412"/>
        <v>65.236201842109693</v>
      </c>
      <c r="AK210" s="11"/>
      <c r="AL210" s="6">
        <v>150</v>
      </c>
      <c r="AM210" s="41">
        <f t="shared" ca="1" si="413"/>
        <v>2.2993368063187214</v>
      </c>
      <c r="AN210" s="41">
        <f t="shared" ca="1" si="414"/>
        <v>2.7183917330541933</v>
      </c>
      <c r="AO210" s="41">
        <f t="shared" ca="1" si="415"/>
        <v>6.5047016350714762E-2</v>
      </c>
      <c r="AP210" s="67">
        <f t="shared" si="434"/>
        <v>0.74070069769016567</v>
      </c>
      <c r="AQ210" s="11">
        <f t="shared" si="416"/>
        <v>1.0489623132183759</v>
      </c>
      <c r="AR210" s="11">
        <f t="shared" si="417"/>
        <v>0.98384482197933598</v>
      </c>
      <c r="AS210" s="11">
        <f t="shared" si="418"/>
        <v>0.93792199164977674</v>
      </c>
      <c r="AT210" s="11">
        <f t="shared" si="419"/>
        <v>544.06528299697493</v>
      </c>
      <c r="AU210" s="11">
        <f t="shared" si="420"/>
        <v>2082.0320891691103</v>
      </c>
      <c r="AV210" s="11">
        <f t="shared" si="421"/>
        <v>2.2293467819523541E-3</v>
      </c>
      <c r="AW210" s="11">
        <f t="shared" si="422"/>
        <v>3.8777668061740615E-7</v>
      </c>
      <c r="AX210" s="41">
        <f t="shared" ca="1" si="423"/>
        <v>1.0991777916037235</v>
      </c>
      <c r="AY210" s="41">
        <f t="shared" ca="1" si="424"/>
        <v>1.4806143232595852</v>
      </c>
      <c r="AZ210" s="41">
        <f t="shared" si="425"/>
        <v>0.11976739732983829</v>
      </c>
    </row>
    <row r="211" spans="1:52" ht="14.5">
      <c r="A211" s="41">
        <f t="shared" ca="1" si="426"/>
        <v>9.8549964169735667</v>
      </c>
      <c r="B211" s="41">
        <f t="shared" ca="1" si="427"/>
        <v>0.16424994028289278</v>
      </c>
      <c r="C211" s="41">
        <f t="shared" ca="1" si="427"/>
        <v>2.7374990047148795E-3</v>
      </c>
      <c r="D211" s="41">
        <f t="shared" ca="1" si="428"/>
        <v>12698.880309745067</v>
      </c>
      <c r="E211" s="41">
        <f t="shared" ca="1" si="429"/>
        <v>0.26397394686333242</v>
      </c>
      <c r="F211" s="41">
        <f t="shared" ca="1" si="430"/>
        <v>0.26397394686333242</v>
      </c>
      <c r="G211" s="41"/>
      <c r="H211" s="7">
        <f t="shared" si="431"/>
        <v>600</v>
      </c>
      <c r="I211" s="6">
        <v>15</v>
      </c>
      <c r="J211" s="41">
        <f t="shared" si="392"/>
        <v>0.16657034126224995</v>
      </c>
      <c r="K211" s="41">
        <f t="shared" si="393"/>
        <v>190.37196446069328</v>
      </c>
      <c r="L211" s="6">
        <f t="shared" si="435"/>
        <v>109</v>
      </c>
      <c r="M211" s="41">
        <f t="shared" si="394"/>
        <v>112.7923429915294</v>
      </c>
      <c r="N211" s="41">
        <f t="shared" si="395"/>
        <v>40.217783514977498</v>
      </c>
      <c r="O211" s="41">
        <f t="shared" si="396"/>
        <v>1090413.8865185396</v>
      </c>
      <c r="P211" s="41">
        <f t="shared" si="397"/>
        <v>7001223.3680221951</v>
      </c>
      <c r="Q211" s="41">
        <f t="shared" si="398"/>
        <v>3.1739041282071493E-3</v>
      </c>
      <c r="R211" s="41">
        <f t="shared" si="399"/>
        <v>2.4296179947685834E-2</v>
      </c>
      <c r="S211" s="24">
        <f t="shared" ca="1" si="432"/>
        <v>20.895030244503303</v>
      </c>
      <c r="T211" s="10">
        <f t="shared" ca="1" si="400"/>
        <v>20.895030244503303</v>
      </c>
      <c r="U211" s="41">
        <f t="shared" ca="1" si="401"/>
        <v>1.2825543787273848</v>
      </c>
      <c r="V211" s="41">
        <f t="shared" ca="1" si="402"/>
        <v>0.12818556278361445</v>
      </c>
      <c r="W211" s="41">
        <f t="shared" ca="1" si="403"/>
        <v>10.005451088843911</v>
      </c>
      <c r="X211" s="20">
        <f t="shared" ca="1" si="404"/>
        <v>1185.7280191687014</v>
      </c>
      <c r="Y211" s="41">
        <f t="shared" si="405"/>
        <v>0.62023918788406551</v>
      </c>
      <c r="Z211" s="41">
        <f t="shared" ca="1" si="406"/>
        <v>139.16667927542019</v>
      </c>
      <c r="AA211" s="14">
        <f t="shared" ca="1" si="407"/>
        <v>1269.1961808602846</v>
      </c>
      <c r="AB211" s="14">
        <f t="shared" si="433"/>
        <v>5714.8721470284681</v>
      </c>
      <c r="AC211" s="25">
        <f t="shared" ca="1" si="408"/>
        <v>241619.37023638174</v>
      </c>
      <c r="AD211" s="41">
        <f t="shared" si="409"/>
        <v>1087951.4372715093</v>
      </c>
      <c r="AE211" s="6">
        <v>100</v>
      </c>
      <c r="AF211" s="41">
        <f t="shared" si="410"/>
        <v>5714.8721470284681</v>
      </c>
      <c r="AG211" s="41"/>
      <c r="AH211" s="41"/>
      <c r="AI211" s="41">
        <f t="shared" si="411"/>
        <v>4240.2535459910605</v>
      </c>
      <c r="AJ211" s="13">
        <f t="shared" ca="1" si="412"/>
        <v>67.897487330801241</v>
      </c>
      <c r="AK211" s="11"/>
      <c r="AL211" s="6">
        <v>150</v>
      </c>
      <c r="AM211" s="41">
        <f t="shared" ca="1" si="413"/>
        <v>2.2092128279974435</v>
      </c>
      <c r="AN211" s="41">
        <f t="shared" ca="1" si="414"/>
        <v>2.6021173688236385</v>
      </c>
      <c r="AO211" s="41">
        <f t="shared" ca="1" si="415"/>
        <v>6.4665255769005989E-2</v>
      </c>
      <c r="AP211" s="67">
        <f t="shared" si="434"/>
        <v>0.7419682255176685</v>
      </c>
      <c r="AQ211" s="11">
        <f t="shared" si="416"/>
        <v>1.0479310107183759</v>
      </c>
      <c r="AR211" s="11">
        <f t="shared" si="417"/>
        <v>0.97850697675304221</v>
      </c>
      <c r="AS211" s="11">
        <f t="shared" si="418"/>
        <v>0.93375133166663116</v>
      </c>
      <c r="AT211" s="11">
        <f t="shared" si="419"/>
        <v>543.53037732929999</v>
      </c>
      <c r="AU211" s="11">
        <f t="shared" si="420"/>
        <v>2070.7360343443229</v>
      </c>
      <c r="AV211" s="11">
        <f t="shared" si="421"/>
        <v>2.2194335402384155E-3</v>
      </c>
      <c r="AW211" s="11">
        <f t="shared" si="422"/>
        <v>3.8748398958321087E-7</v>
      </c>
      <c r="AX211" s="41">
        <f t="shared" ca="1" si="423"/>
        <v>1.0591190438137865</v>
      </c>
      <c r="AY211" s="41">
        <f t="shared" ca="1" si="424"/>
        <v>1.4266543941173788</v>
      </c>
      <c r="AZ211" s="41">
        <f t="shared" si="425"/>
        <v>0.12407833164441816</v>
      </c>
    </row>
    <row r="212" spans="1:52" ht="14.5">
      <c r="A212" s="41">
        <f t="shared" ca="1" si="426"/>
        <v>12.064209244971011</v>
      </c>
      <c r="B212" s="41">
        <f t="shared" ca="1" si="427"/>
        <v>0.20107015408285017</v>
      </c>
      <c r="C212" s="41">
        <f t="shared" ca="1" si="427"/>
        <v>3.3511692347141697E-3</v>
      </c>
      <c r="D212" s="41">
        <f t="shared" ca="1" si="428"/>
        <v>12696.278192376243</v>
      </c>
      <c r="E212" s="41">
        <f t="shared" ca="1" si="429"/>
        <v>0.32863920263233842</v>
      </c>
      <c r="F212" s="41">
        <f t="shared" ca="1" si="430"/>
        <v>0.32863920263233842</v>
      </c>
      <c r="G212" s="41"/>
      <c r="H212" s="7">
        <f t="shared" si="431"/>
        <v>750</v>
      </c>
      <c r="I212" s="6">
        <v>15</v>
      </c>
      <c r="J212" s="41">
        <f t="shared" si="392"/>
        <v>0.17238342359095954</v>
      </c>
      <c r="K212" s="41">
        <f t="shared" si="393"/>
        <v>196.91872304169127</v>
      </c>
      <c r="L212" s="6">
        <f t="shared" si="435"/>
        <v>112.5</v>
      </c>
      <c r="M212" s="41">
        <f t="shared" si="394"/>
        <v>116.67119270263341</v>
      </c>
      <c r="N212" s="41">
        <f t="shared" si="395"/>
        <v>42.839920744839262</v>
      </c>
      <c r="O212" s="41">
        <f t="shared" si="396"/>
        <v>1123740.963445819</v>
      </c>
      <c r="P212" s="41">
        <f t="shared" si="397"/>
        <v>7215206.6203046059</v>
      </c>
      <c r="Q212" s="41">
        <f t="shared" si="398"/>
        <v>3.157736396219136E-3</v>
      </c>
      <c r="R212" s="41">
        <f t="shared" si="399"/>
        <v>2.4197886031680597E-2</v>
      </c>
      <c r="S212" s="24">
        <f t="shared" ca="1" si="432"/>
        <v>20.974009121402961</v>
      </c>
      <c r="T212" s="10">
        <f t="shared" ca="1" si="400"/>
        <v>20.974009121402961</v>
      </c>
      <c r="U212" s="41">
        <f t="shared" ca="1" si="401"/>
        <v>1.2031706953014141</v>
      </c>
      <c r="V212" s="41">
        <f t="shared" ca="1" si="402"/>
        <v>0.11562480447561804</v>
      </c>
      <c r="W212" s="41">
        <f t="shared" ca="1" si="403"/>
        <v>10.40581820447643</v>
      </c>
      <c r="X212" s="20">
        <f t="shared" ca="1" si="404"/>
        <v>1139.2722157707929</v>
      </c>
      <c r="Y212" s="41">
        <f t="shared" si="405"/>
        <v>0.61898328005466785</v>
      </c>
      <c r="Z212" s="41">
        <f t="shared" ca="1" si="406"/>
        <v>139.42639961132014</v>
      </c>
      <c r="AA212" s="14">
        <f t="shared" ca="1" si="407"/>
        <v>1220.1133964568485</v>
      </c>
      <c r="AB212" s="14">
        <f t="shared" si="433"/>
        <v>5683.8340981225128</v>
      </c>
      <c r="AC212" s="25">
        <f t="shared" ca="1" si="408"/>
        <v>240263.17199634339</v>
      </c>
      <c r="AD212" s="41">
        <f t="shared" si="409"/>
        <v>1119253.3525831082</v>
      </c>
      <c r="AE212" s="6">
        <v>100</v>
      </c>
      <c r="AF212" s="41">
        <f t="shared" si="410"/>
        <v>5683.8340981225128</v>
      </c>
      <c r="AG212" s="41"/>
      <c r="AH212" s="41"/>
      <c r="AI212" s="41">
        <f t="shared" si="411"/>
        <v>4224.4319219207437</v>
      </c>
      <c r="AJ212" s="13">
        <f t="shared" ca="1" si="412"/>
        <v>70.485957309443108</v>
      </c>
      <c r="AK212" s="11"/>
      <c r="AL212" s="6">
        <v>150</v>
      </c>
      <c r="AM212" s="41">
        <f t="shared" ca="1" si="413"/>
        <v>2.1280834612414958</v>
      </c>
      <c r="AN212" s="41">
        <f t="shared" ca="1" si="414"/>
        <v>2.4972065850500447</v>
      </c>
      <c r="AO212" s="41">
        <f t="shared" ca="1" si="415"/>
        <v>6.4398700503602302E-2</v>
      </c>
      <c r="AP212" s="67">
        <f t="shared" si="434"/>
        <v>0.74323631706916993</v>
      </c>
      <c r="AQ212" s="11">
        <f t="shared" si="416"/>
        <v>1.0468997082183757</v>
      </c>
      <c r="AR212" s="11">
        <f t="shared" si="417"/>
        <v>0.97319260634931037</v>
      </c>
      <c r="AS212" s="11">
        <f t="shared" si="418"/>
        <v>0.92959487781833383</v>
      </c>
      <c r="AT212" s="11">
        <f t="shared" si="419"/>
        <v>542.99547166162495</v>
      </c>
      <c r="AU212" s="11">
        <f t="shared" si="420"/>
        <v>2059.4896574085374</v>
      </c>
      <c r="AV212" s="11">
        <f t="shared" si="421"/>
        <v>2.2095540650863975E-3</v>
      </c>
      <c r="AW212" s="11">
        <f t="shared" si="422"/>
        <v>3.8719115805318761E-7</v>
      </c>
      <c r="AX212" s="41">
        <f t="shared" ca="1" si="423"/>
        <v>1.0313765394840588</v>
      </c>
      <c r="AY212" s="41">
        <f t="shared" ca="1" si="424"/>
        <v>1.3892846896096529</v>
      </c>
      <c r="AZ212" s="41">
        <f t="shared" si="425"/>
        <v>0.12839532559340916</v>
      </c>
    </row>
    <row r="213" spans="1:52" ht="14.5">
      <c r="A213" s="41">
        <f t="shared" ca="1" si="426"/>
        <v>14.192292706212505</v>
      </c>
      <c r="B213" s="41">
        <f t="shared" ca="1" si="427"/>
        <v>0.23653821177020842</v>
      </c>
      <c r="C213" s="41">
        <f t="shared" ca="1" si="427"/>
        <v>3.9423035295034735E-3</v>
      </c>
      <c r="D213" s="41">
        <f t="shared" ca="1" si="428"/>
        <v>12693.780985791193</v>
      </c>
      <c r="E213" s="41">
        <f t="shared" ca="1" si="429"/>
        <v>0.39303790313594072</v>
      </c>
      <c r="F213" s="41">
        <f t="shared" ca="1" si="430"/>
        <v>0.39303790313594072</v>
      </c>
      <c r="G213" s="41"/>
      <c r="H213" s="7">
        <f t="shared" si="431"/>
        <v>900</v>
      </c>
      <c r="I213" s="6">
        <v>15</v>
      </c>
      <c r="J213" s="41">
        <f t="shared" si="392"/>
        <v>0.1782267087448241</v>
      </c>
      <c r="K213" s="41">
        <f t="shared" si="393"/>
        <v>203.49337691309842</v>
      </c>
      <c r="L213" s="6">
        <f t="shared" si="435"/>
        <v>116</v>
      </c>
      <c r="M213" s="41">
        <f t="shared" si="394"/>
        <v>120.56656992698021</v>
      </c>
      <c r="N213" s="41">
        <f t="shared" si="395"/>
        <v>45.5444698263478</v>
      </c>
      <c r="O213" s="41">
        <f t="shared" si="396"/>
        <v>1156960.8796498121</v>
      </c>
      <c r="P213" s="41">
        <f t="shared" si="397"/>
        <v>7428501.8254433768</v>
      </c>
      <c r="Q213" s="41">
        <f t="shared" si="398"/>
        <v>3.1421560043766736E-3</v>
      </c>
      <c r="R213" s="41">
        <f t="shared" si="399"/>
        <v>2.4103162929626019E-2</v>
      </c>
      <c r="S213" s="24">
        <f t="shared" ca="1" si="432"/>
        <v>21.023936988202895</v>
      </c>
      <c r="T213" s="10">
        <f t="shared" ca="1" si="400"/>
        <v>21.023936988202895</v>
      </c>
      <c r="U213" s="41">
        <f t="shared" ca="1" si="401"/>
        <v>1.1311222885228995</v>
      </c>
      <c r="V213" s="41">
        <f t="shared" ca="1" si="402"/>
        <v>0.1049082515986173</v>
      </c>
      <c r="W213" s="41">
        <f t="shared" ca="1" si="403"/>
        <v>10.782014486816667</v>
      </c>
      <c r="X213" s="20">
        <f t="shared" ca="1" si="404"/>
        <v>1098.9378608776697</v>
      </c>
      <c r="Y213" s="41">
        <f t="shared" si="405"/>
        <v>0.61777058097927773</v>
      </c>
      <c r="Z213" s="41">
        <f t="shared" ca="1" si="406"/>
        <v>139.70097529092519</v>
      </c>
      <c r="AA213" s="14">
        <f t="shared" ca="1" si="407"/>
        <v>1177.3106965597265</v>
      </c>
      <c r="AB213" s="14">
        <f t="shared" si="433"/>
        <v>5652.9326898101672</v>
      </c>
      <c r="AC213" s="25">
        <f t="shared" ca="1" si="408"/>
        <v>239574.92931885086</v>
      </c>
      <c r="AD213" s="41">
        <f t="shared" si="409"/>
        <v>1150334.3625119156</v>
      </c>
      <c r="AE213" s="6">
        <v>100</v>
      </c>
      <c r="AF213" s="41">
        <f t="shared" si="410"/>
        <v>5652.9326898101672</v>
      </c>
      <c r="AG213" s="41"/>
      <c r="AH213" s="41"/>
      <c r="AI213" s="41">
        <f t="shared" si="411"/>
        <v>4208.6361666410767</v>
      </c>
      <c r="AJ213" s="13">
        <f t="shared" ca="1" si="412"/>
        <v>73.004866494984753</v>
      </c>
      <c r="AK213" s="11"/>
      <c r="AL213" s="6">
        <v>150</v>
      </c>
      <c r="AM213" s="41">
        <f t="shared" ca="1" si="413"/>
        <v>2.0546575482102227</v>
      </c>
      <c r="AN213" s="41">
        <f t="shared" ca="1" si="414"/>
        <v>2.4020294631832293</v>
      </c>
      <c r="AO213" s="41">
        <f t="shared" ca="1" si="415"/>
        <v>6.4231179762876206E-2</v>
      </c>
      <c r="AP213" s="67">
        <f t="shared" si="434"/>
        <v>0.74450491410015496</v>
      </c>
      <c r="AQ213" s="11">
        <f t="shared" si="416"/>
        <v>1.0458684057183758</v>
      </c>
      <c r="AR213" s="11">
        <f t="shared" si="417"/>
        <v>0.96790163170504873</v>
      </c>
      <c r="AS213" s="11">
        <f t="shared" si="418"/>
        <v>0.92545259653409839</v>
      </c>
      <c r="AT213" s="11">
        <f t="shared" si="419"/>
        <v>542.4605659939499</v>
      </c>
      <c r="AU213" s="11">
        <f t="shared" si="420"/>
        <v>2048.2927910468579</v>
      </c>
      <c r="AV213" s="11">
        <f t="shared" si="421"/>
        <v>2.1997082767018982E-3</v>
      </c>
      <c r="AW213" s="11">
        <f t="shared" si="422"/>
        <v>3.8689818586195294E-7</v>
      </c>
      <c r="AX213" s="41">
        <f t="shared" ca="1" si="423"/>
        <v>1.0134421023785076</v>
      </c>
      <c r="AY213" s="41">
        <f t="shared" ca="1" si="424"/>
        <v>1.3651266465151555</v>
      </c>
      <c r="AZ213" s="41">
        <f t="shared" si="425"/>
        <v>0.13271819810494687</v>
      </c>
    </row>
    <row r="214" spans="1:52" ht="14.5">
      <c r="A214" s="41">
        <f t="shared" ca="1" si="426"/>
        <v>16.246950254422728</v>
      </c>
      <c r="B214" s="41">
        <f t="shared" ca="1" si="427"/>
        <v>0.27078250424037881</v>
      </c>
      <c r="C214" s="41">
        <f t="shared" ca="1" si="427"/>
        <v>4.5130417373396466E-3</v>
      </c>
      <c r="D214" s="41">
        <f t="shared" ca="1" si="428"/>
        <v>12691.37895632801</v>
      </c>
      <c r="E214" s="41">
        <f t="shared" ca="1" si="429"/>
        <v>0.45726908289881696</v>
      </c>
      <c r="F214" s="41">
        <f t="shared" ca="1" si="430"/>
        <v>0.45726908289881696</v>
      </c>
      <c r="G214" s="41"/>
      <c r="H214" s="7">
        <f t="shared" si="431"/>
        <v>1050</v>
      </c>
      <c r="I214" s="6">
        <v>15</v>
      </c>
      <c r="J214" s="41">
        <f t="shared" si="392"/>
        <v>0.18410029427866442</v>
      </c>
      <c r="K214" s="41">
        <f t="shared" si="393"/>
        <v>210.09598147730367</v>
      </c>
      <c r="L214" s="6">
        <f t="shared" si="435"/>
        <v>119.5</v>
      </c>
      <c r="M214" s="41">
        <f t="shared" si="394"/>
        <v>124.47850748959878</v>
      </c>
      <c r="N214" s="41">
        <f t="shared" si="395"/>
        <v>48.331358777720524</v>
      </c>
      <c r="O214" s="41">
        <f t="shared" si="396"/>
        <v>1190073.2861860069</v>
      </c>
      <c r="P214" s="41">
        <f t="shared" si="397"/>
        <v>7641106.7429695399</v>
      </c>
      <c r="Q214" s="41">
        <f t="shared" si="398"/>
        <v>3.1271226719461337E-3</v>
      </c>
      <c r="R214" s="41">
        <f t="shared" si="399"/>
        <v>2.4011765749347314E-2</v>
      </c>
      <c r="S214" s="24">
        <f t="shared" ca="1" si="432"/>
        <v>21.048282883215528</v>
      </c>
      <c r="T214" s="10">
        <f t="shared" ca="1" si="400"/>
        <v>21.048282883215528</v>
      </c>
      <c r="U214" s="41">
        <f t="shared" ca="1" si="401"/>
        <v>1.0655235332615827</v>
      </c>
      <c r="V214" s="41">
        <f t="shared" ca="1" si="402"/>
        <v>9.5716145408658734E-2</v>
      </c>
      <c r="W214" s="41">
        <f t="shared" ca="1" si="403"/>
        <v>11.132119129038731</v>
      </c>
      <c r="X214" s="20">
        <f t="shared" ca="1" si="404"/>
        <v>1064.001013850261</v>
      </c>
      <c r="Y214" s="41">
        <f t="shared" si="405"/>
        <v>0.6165982013146466</v>
      </c>
      <c r="Z214" s="41">
        <f t="shared" ca="1" si="406"/>
        <v>139.98891511547419</v>
      </c>
      <c r="AA214" s="14">
        <f t="shared" ca="1" si="407"/>
        <v>1140.0685538139694</v>
      </c>
      <c r="AB214" s="14">
        <f t="shared" si="433"/>
        <v>5622.1674614100302</v>
      </c>
      <c r="AC214" s="25">
        <f t="shared" ca="1" si="408"/>
        <v>239523.82176495608</v>
      </c>
      <c r="AD214" s="41">
        <f t="shared" si="409"/>
        <v>1181194.7908347012</v>
      </c>
      <c r="AE214" s="6">
        <v>100</v>
      </c>
      <c r="AF214" s="41">
        <f t="shared" si="410"/>
        <v>5622.1674614100302</v>
      </c>
      <c r="AG214" s="41"/>
      <c r="AH214" s="41"/>
      <c r="AI214" s="41">
        <f t="shared" si="411"/>
        <v>4192.8660760125922</v>
      </c>
      <c r="AJ214" s="13">
        <f t="shared" ca="1" si="412"/>
        <v>75.456926850292504</v>
      </c>
      <c r="AK214" s="11"/>
      <c r="AL214" s="6">
        <v>150</v>
      </c>
      <c r="AM214" s="41">
        <f t="shared" ca="1" si="413"/>
        <v>1.9878890681249435</v>
      </c>
      <c r="AN214" s="41">
        <f t="shared" ca="1" si="414"/>
        <v>2.3152646212826</v>
      </c>
      <c r="AO214" s="41">
        <f t="shared" ca="1" si="415"/>
        <v>6.4149768295199014E-2</v>
      </c>
      <c r="AP214" s="67">
        <f t="shared" si="434"/>
        <v>0.74577395724904794</v>
      </c>
      <c r="AQ214" s="11">
        <f t="shared" si="416"/>
        <v>1.0448371032183759</v>
      </c>
      <c r="AR214" s="11">
        <f t="shared" si="417"/>
        <v>0.96263397394185846</v>
      </c>
      <c r="AS214" s="11">
        <f t="shared" si="418"/>
        <v>0.9213244542873622</v>
      </c>
      <c r="AT214" s="11">
        <f t="shared" si="419"/>
        <v>541.92566032627496</v>
      </c>
      <c r="AU214" s="11">
        <f t="shared" si="420"/>
        <v>2037.1452683352395</v>
      </c>
      <c r="AV214" s="11">
        <f t="shared" si="421"/>
        <v>2.1898960953956313E-3</v>
      </c>
      <c r="AW214" s="11">
        <f t="shared" si="422"/>
        <v>3.8660507284384917E-7</v>
      </c>
      <c r="AX214" s="41">
        <f t="shared" ca="1" si="423"/>
        <v>1.0034579830958485</v>
      </c>
      <c r="AY214" s="41">
        <f t="shared" ca="1" si="424"/>
        <v>1.3516778394814279</v>
      </c>
      <c r="AZ214" s="41">
        <f t="shared" si="425"/>
        <v>0.13704676361999987</v>
      </c>
    </row>
    <row r="215" spans="1:52" ht="14.5">
      <c r="A215" s="41">
        <f t="shared" ca="1" si="426"/>
        <v>18.234839322547671</v>
      </c>
      <c r="B215" s="41">
        <f t="shared" ca="1" si="427"/>
        <v>0.30391398870912784</v>
      </c>
      <c r="C215" s="41">
        <f t="shared" ca="1" si="427"/>
        <v>5.0652331451521305E-3</v>
      </c>
      <c r="D215" s="41">
        <f t="shared" ca="1" si="428"/>
        <v>12689.063691706728</v>
      </c>
      <c r="E215" s="41">
        <f t="shared" ca="1" si="429"/>
        <v>0.52141885119401599</v>
      </c>
      <c r="F215" s="41">
        <f t="shared" ca="1" si="430"/>
        <v>0.52141885119401599</v>
      </c>
      <c r="G215" s="41"/>
      <c r="H215" s="7">
        <f t="shared" si="431"/>
        <v>1200</v>
      </c>
      <c r="I215" s="6">
        <v>15</v>
      </c>
      <c r="J215" s="41">
        <f t="shared" si="392"/>
        <v>0.19000427493684688</v>
      </c>
      <c r="K215" s="41">
        <f t="shared" si="393"/>
        <v>216.72658865105112</v>
      </c>
      <c r="L215" s="6">
        <f t="shared" si="435"/>
        <v>123</v>
      </c>
      <c r="M215" s="41">
        <f t="shared" si="394"/>
        <v>128.40703615032936</v>
      </c>
      <c r="N215" s="41">
        <f t="shared" si="395"/>
        <v>51.200509648781015</v>
      </c>
      <c r="O215" s="41">
        <f t="shared" si="396"/>
        <v>1223077.8167761604</v>
      </c>
      <c r="P215" s="41">
        <f t="shared" si="397"/>
        <v>7853019.021119399</v>
      </c>
      <c r="Q215" s="41">
        <f t="shared" si="398"/>
        <v>3.1125998679524267E-3</v>
      </c>
      <c r="R215" s="41">
        <f t="shared" si="399"/>
        <v>2.3923472395834512E-2</v>
      </c>
      <c r="S215" s="24">
        <f t="shared" ca="1" si="432"/>
        <v>21.0499985507521</v>
      </c>
      <c r="T215" s="10">
        <f t="shared" ca="1" si="400"/>
        <v>21.0499985507521</v>
      </c>
      <c r="U215" s="41">
        <f t="shared" ca="1" si="401"/>
        <v>1.0056191326070425</v>
      </c>
      <c r="V215" s="41">
        <f t="shared" ca="1" si="402"/>
        <v>8.7791962004691027E-2</v>
      </c>
      <c r="W215" s="41">
        <f t="shared" ca="1" si="403"/>
        <v>11.454569526004088</v>
      </c>
      <c r="X215" s="20">
        <f t="shared" ca="1" si="404"/>
        <v>1033.8484354725178</v>
      </c>
      <c r="Y215" s="41">
        <f t="shared" si="405"/>
        <v>0.61546351462994453</v>
      </c>
      <c r="Z215" s="41">
        <f t="shared" ca="1" si="406"/>
        <v>140.28890906280776</v>
      </c>
      <c r="AA215" s="14">
        <f t="shared" ca="1" si="407"/>
        <v>1107.7730736978024</v>
      </c>
      <c r="AB215" s="14">
        <f t="shared" si="433"/>
        <v>5591.5379533180067</v>
      </c>
      <c r="AC215" s="25">
        <f t="shared" ca="1" si="408"/>
        <v>240083.87926201415</v>
      </c>
      <c r="AD215" s="41">
        <f t="shared" si="409"/>
        <v>1211834.9459354919</v>
      </c>
      <c r="AE215" s="6">
        <v>100</v>
      </c>
      <c r="AF215" s="41">
        <f t="shared" si="410"/>
        <v>5591.5379533180067</v>
      </c>
      <c r="AG215" s="41"/>
      <c r="AH215" s="41"/>
      <c r="AI215" s="41">
        <f t="shared" si="411"/>
        <v>4177.1214458063341</v>
      </c>
      <c r="AJ215" s="13">
        <f t="shared" ca="1" si="412"/>
        <v>77.84439619283269</v>
      </c>
      <c r="AK215" s="11"/>
      <c r="AL215" s="6">
        <v>150</v>
      </c>
      <c r="AM215" s="41">
        <f t="shared" ca="1" si="413"/>
        <v>1.9269209774384612</v>
      </c>
      <c r="AN215" s="41">
        <f t="shared" ca="1" si="414"/>
        <v>2.2358285942311946</v>
      </c>
      <c r="AO215" s="41">
        <f t="shared" ca="1" si="415"/>
        <v>6.4144037968812351E-2</v>
      </c>
      <c r="AP215" s="67">
        <f t="shared" si="434"/>
        <v>0.74704338603793952</v>
      </c>
      <c r="AQ215" s="11">
        <f t="shared" si="416"/>
        <v>1.0438058007183759</v>
      </c>
      <c r="AR215" s="11">
        <f t="shared" si="417"/>
        <v>0.95738955436579787</v>
      </c>
      <c r="AS215" s="11">
        <f t="shared" si="418"/>
        <v>0.91721041759577882</v>
      </c>
      <c r="AT215" s="11">
        <f t="shared" si="419"/>
        <v>541.39075465860003</v>
      </c>
      <c r="AU215" s="11">
        <f t="shared" si="420"/>
        <v>2026.0469227399885</v>
      </c>
      <c r="AV215" s="11">
        <f t="shared" si="421"/>
        <v>2.1801174415834066E-3</v>
      </c>
      <c r="AW215" s="11">
        <f t="shared" si="422"/>
        <v>3.8631181883294748E-7</v>
      </c>
      <c r="AX215" s="41">
        <f t="shared" ca="1" si="423"/>
        <v>1.0000262306663181</v>
      </c>
      <c r="AY215" s="41">
        <f t="shared" ca="1" si="424"/>
        <v>1.3470552007783385</v>
      </c>
      <c r="AZ215" s="41">
        <f t="shared" si="425"/>
        <v>0.14138083207078939</v>
      </c>
    </row>
    <row r="216" spans="1:52" ht="14.5">
      <c r="A216" s="41">
        <f t="shared" ca="1" si="426"/>
        <v>20.161760299986131</v>
      </c>
      <c r="B216" s="41">
        <f t="shared" ca="1" si="427"/>
        <v>0.33602933833310217</v>
      </c>
      <c r="C216" s="41">
        <f t="shared" ca="1" si="427"/>
        <v>5.6004889722183699E-3</v>
      </c>
      <c r="D216" s="41">
        <f t="shared" ca="1" si="428"/>
        <v>12686.827863112496</v>
      </c>
      <c r="E216" s="41">
        <f t="shared" ca="1" si="429"/>
        <v>0.58556288916282839</v>
      </c>
      <c r="F216" s="41">
        <f t="shared" ca="1" si="430"/>
        <v>0.58556288916282839</v>
      </c>
      <c r="G216" s="41"/>
      <c r="H216" s="7">
        <f t="shared" si="431"/>
        <v>1350</v>
      </c>
      <c r="I216" s="6">
        <v>15</v>
      </c>
      <c r="J216" s="41">
        <f t="shared" si="392"/>
        <v>0.19593874259034583</v>
      </c>
      <c r="K216" s="41">
        <f t="shared" si="393"/>
        <v>223.38524680118053</v>
      </c>
      <c r="L216" s="6">
        <f t="shared" si="435"/>
        <v>126.5</v>
      </c>
      <c r="M216" s="41">
        <f t="shared" si="394"/>
        <v>132.35218456575063</v>
      </c>
      <c r="N216" s="41">
        <f t="shared" si="395"/>
        <v>54.15183827305647</v>
      </c>
      <c r="O216" s="41">
        <f t="shared" si="396"/>
        <v>1255974.0878189618</v>
      </c>
      <c r="P216" s="41">
        <f t="shared" si="397"/>
        <v>8064236.1969029885</v>
      </c>
      <c r="Q216" s="41">
        <f t="shared" si="398"/>
        <v>3.0985543653626458E-3</v>
      </c>
      <c r="R216" s="41">
        <f t="shared" si="399"/>
        <v>2.3838080860841552E-2</v>
      </c>
      <c r="S216" s="24">
        <f t="shared" ca="1" si="432"/>
        <v>21.031608410093188</v>
      </c>
      <c r="T216" s="10">
        <f t="shared" ca="1" si="400"/>
        <v>21.031608410093188</v>
      </c>
      <c r="U216" s="41">
        <f t="shared" ca="1" si="401"/>
        <v>0.95076174716221218</v>
      </c>
      <c r="V216" s="41">
        <f t="shared" ca="1" si="402"/>
        <v>8.0928468385191354E-2</v>
      </c>
      <c r="W216" s="41">
        <f t="shared" ca="1" si="403"/>
        <v>11.748174235016002</v>
      </c>
      <c r="X216" s="20">
        <f t="shared" ca="1" si="404"/>
        <v>1007.9578262866405</v>
      </c>
      <c r="Y216" s="41">
        <f t="shared" si="405"/>
        <v>0.61436412666172191</v>
      </c>
      <c r="Z216" s="41">
        <f t="shared" ca="1" si="406"/>
        <v>140.59980438751921</v>
      </c>
      <c r="AA216" s="14">
        <f t="shared" ca="1" si="407"/>
        <v>1079.8978300218591</v>
      </c>
      <c r="AB216" s="14">
        <f t="shared" si="433"/>
        <v>5561.0437070058688</v>
      </c>
      <c r="AC216" s="25">
        <f t="shared" ca="1" si="408"/>
        <v>241233.24327949231</v>
      </c>
      <c r="AD216" s="41">
        <f t="shared" si="409"/>
        <v>1242255.120961658</v>
      </c>
      <c r="AE216" s="6">
        <v>100</v>
      </c>
      <c r="AF216" s="41">
        <f t="shared" si="410"/>
        <v>5561.0437070058688</v>
      </c>
      <c r="AG216" s="41"/>
      <c r="AH216" s="41"/>
      <c r="AI216" s="41">
        <f t="shared" si="411"/>
        <v>4161.4020718043803</v>
      </c>
      <c r="AJ216" s="13">
        <f t="shared" ca="1" si="412"/>
        <v>80.169150566681452</v>
      </c>
      <c r="AK216" s="11"/>
      <c r="AL216" s="6">
        <v>150</v>
      </c>
      <c r="AM216" s="41">
        <f t="shared" ca="1" si="413"/>
        <v>1.8710438983039501</v>
      </c>
      <c r="AN216" s="41">
        <f t="shared" ca="1" si="414"/>
        <v>2.1628238763441674</v>
      </c>
      <c r="AO216" s="41">
        <f t="shared" ca="1" si="415"/>
        <v>6.4205507491688837E-2</v>
      </c>
      <c r="AP216" s="67">
        <f t="shared" si="434"/>
        <v>0.74831313887387663</v>
      </c>
      <c r="AQ216" s="11">
        <f t="shared" si="416"/>
        <v>1.0427744982183758</v>
      </c>
      <c r="AR216" s="11">
        <f t="shared" si="417"/>
        <v>0.95216829446713724</v>
      </c>
      <c r="AS216" s="11">
        <f t="shared" si="418"/>
        <v>0.91311045302120153</v>
      </c>
      <c r="AT216" s="11">
        <f t="shared" si="419"/>
        <v>540.85584899092487</v>
      </c>
      <c r="AU216" s="11">
        <f t="shared" si="420"/>
        <v>2014.997588117245</v>
      </c>
      <c r="AV216" s="11">
        <f t="shared" si="421"/>
        <v>2.170372235786094E-3</v>
      </c>
      <c r="AW216" s="11">
        <f t="shared" si="422"/>
        <v>3.8601842366304506E-7</v>
      </c>
      <c r="AX216" s="41">
        <f t="shared" ca="1" si="423"/>
        <v>1.002079315804463</v>
      </c>
      <c r="AY216" s="41">
        <f t="shared" ca="1" si="424"/>
        <v>1.3498207472491905</v>
      </c>
      <c r="AZ216" s="41">
        <f t="shared" si="425"/>
        <v>0.14572020886099907</v>
      </c>
    </row>
    <row r="217" spans="1:52" ht="14.5">
      <c r="A217" s="41">
        <f t="shared" ca="1" si="426"/>
        <v>22.03280419829008</v>
      </c>
      <c r="B217" s="41">
        <f t="shared" ca="1" si="427"/>
        <v>0.36721340330483465</v>
      </c>
      <c r="C217" s="41">
        <f t="shared" ca="1" si="427"/>
        <v>6.1202233884139106E-3</v>
      </c>
      <c r="D217" s="41">
        <f t="shared" ca="1" si="428"/>
        <v>12684.665039236152</v>
      </c>
      <c r="E217" s="41">
        <f t="shared" ca="1" si="429"/>
        <v>0.64976839665451724</v>
      </c>
      <c r="F217" s="41">
        <f t="shared" ca="1" si="430"/>
        <v>0.64976839665451724</v>
      </c>
      <c r="G217" s="41"/>
      <c r="H217" s="7">
        <f t="shared" si="431"/>
        <v>1500</v>
      </c>
      <c r="I217" s="6">
        <v>15</v>
      </c>
      <c r="J217" s="41">
        <f t="shared" si="392"/>
        <v>0.20190378617420238</v>
      </c>
      <c r="K217" s="41">
        <f t="shared" si="393"/>
        <v>230.07200068104268</v>
      </c>
      <c r="L217" s="6">
        <f t="shared" si="435"/>
        <v>130</v>
      </c>
      <c r="M217" s="41">
        <f t="shared" si="394"/>
        <v>136.31397925150691</v>
      </c>
      <c r="N217" s="41">
        <f t="shared" si="395"/>
        <v>57.185254018937407</v>
      </c>
      <c r="O217" s="41">
        <f t="shared" si="396"/>
        <v>1288761.698409497</v>
      </c>
      <c r="P217" s="41">
        <f t="shared" si="397"/>
        <v>8274755.6962290499</v>
      </c>
      <c r="Q217" s="41">
        <f t="shared" si="398"/>
        <v>3.0849558590139515E-3</v>
      </c>
      <c r="R217" s="41">
        <f t="shared" si="399"/>
        <v>2.3755406900027122E-2</v>
      </c>
      <c r="S217" s="24">
        <f t="shared" ca="1" si="432"/>
        <v>20.995281892908924</v>
      </c>
      <c r="T217" s="10">
        <f t="shared" ca="1" si="400"/>
        <v>20.995281892908924</v>
      </c>
      <c r="U217" s="41">
        <f t="shared" ca="1" si="401"/>
        <v>0.90039396779249836</v>
      </c>
      <c r="V217" s="41">
        <f t="shared" ca="1" si="402"/>
        <v>7.4957149783298593E-2</v>
      </c>
      <c r="W217" s="41">
        <f t="shared" ca="1" si="403"/>
        <v>12.012115860802348</v>
      </c>
      <c r="X217" s="20">
        <f t="shared" ca="1" si="404"/>
        <v>985.88203970549785</v>
      </c>
      <c r="Y217" s="41">
        <f t="shared" si="405"/>
        <v>0.61329784890607097</v>
      </c>
      <c r="Z217" s="41">
        <f t="shared" ca="1" si="406"/>
        <v>140.92058474876634</v>
      </c>
      <c r="AA217" s="14">
        <f t="shared" ca="1" si="407"/>
        <v>1055.9892350546211</v>
      </c>
      <c r="AB217" s="14">
        <f t="shared" si="433"/>
        <v>5530.6842650198869</v>
      </c>
      <c r="AC217" s="25">
        <f t="shared" ca="1" si="408"/>
        <v>242953.55600666051</v>
      </c>
      <c r="AD217" s="41">
        <f t="shared" si="409"/>
        <v>1272455.5939882875</v>
      </c>
      <c r="AE217" s="6">
        <v>100</v>
      </c>
      <c r="AF217" s="41">
        <f t="shared" si="410"/>
        <v>5530.6842650198869</v>
      </c>
      <c r="AG217" s="41"/>
      <c r="AH217" s="41"/>
      <c r="AI217" s="41">
        <f t="shared" si="411"/>
        <v>4145.7077499018233</v>
      </c>
      <c r="AJ217" s="13">
        <f t="shared" ca="1" si="412"/>
        <v>82.432743587898671</v>
      </c>
      <c r="AK217" s="11"/>
      <c r="AL217" s="6">
        <v>150</v>
      </c>
      <c r="AM217" s="41">
        <f t="shared" ca="1" si="413"/>
        <v>1.8196652625064438</v>
      </c>
      <c r="AN217" s="41">
        <f t="shared" ca="1" si="414"/>
        <v>2.0955001058333611</v>
      </c>
      <c r="AO217" s="41">
        <f t="shared" ca="1" si="415"/>
        <v>6.4327231909202282E-2</v>
      </c>
      <c r="AP217" s="67">
        <f t="shared" si="434"/>
        <v>0.74958315305075851</v>
      </c>
      <c r="AQ217" s="11">
        <f t="shared" si="416"/>
        <v>1.0417431957183758</v>
      </c>
      <c r="AR217" s="11">
        <f t="shared" si="417"/>
        <v>0.94697011592012315</v>
      </c>
      <c r="AS217" s="11">
        <f t="shared" si="418"/>
        <v>0.9090245271696753</v>
      </c>
      <c r="AT217" s="11">
        <f t="shared" si="419"/>
        <v>540.32094332324994</v>
      </c>
      <c r="AU217" s="11">
        <f t="shared" si="420"/>
        <v>2003.9970987124827</v>
      </c>
      <c r="AV217" s="11">
        <f t="shared" si="421"/>
        <v>2.1606603986296011E-3</v>
      </c>
      <c r="AW217" s="11">
        <f t="shared" si="422"/>
        <v>3.8572488716766502E-7</v>
      </c>
      <c r="AX217" s="41">
        <f t="shared" ca="1" si="423"/>
        <v>1.008790812651692</v>
      </c>
      <c r="AY217" s="41">
        <f t="shared" ca="1" si="424"/>
        <v>1.358861266843405</v>
      </c>
      <c r="AZ217" s="41">
        <f t="shared" si="425"/>
        <v>0.15006469484794782</v>
      </c>
    </row>
    <row r="218" spans="1:52" ht="14.5">
      <c r="A218" s="41">
        <f t="shared" ca="1" si="426"/>
        <v>23.852469460796524</v>
      </c>
      <c r="B218" s="41">
        <f t="shared" ca="1" si="427"/>
        <v>0.39754115767994208</v>
      </c>
      <c r="C218" s="41">
        <f t="shared" ca="1" si="427"/>
        <v>6.625685961332368E-3</v>
      </c>
      <c r="D218" s="41">
        <f t="shared" ca="1" si="428"/>
        <v>12682.569539130318</v>
      </c>
      <c r="E218" s="41">
        <f t="shared" ca="1" si="429"/>
        <v>0.71409562856371955</v>
      </c>
      <c r="F218" s="41">
        <f t="shared" ca="1" si="430"/>
        <v>0.71409562856371955</v>
      </c>
      <c r="G218" s="41"/>
      <c r="H218" s="7">
        <f t="shared" si="431"/>
        <v>1650</v>
      </c>
      <c r="I218" s="6">
        <v>15</v>
      </c>
      <c r="J218" s="41">
        <f t="shared" si="392"/>
        <v>0.20789949162524371</v>
      </c>
      <c r="K218" s="41">
        <f t="shared" si="393"/>
        <v>236.78689136743398</v>
      </c>
      <c r="L218" s="6">
        <f t="shared" si="435"/>
        <v>133.5</v>
      </c>
      <c r="M218" s="41">
        <f t="shared" si="394"/>
        <v>140.29244454494275</v>
      </c>
      <c r="N218" s="41">
        <f t="shared" si="395"/>
        <v>60.300659539968223</v>
      </c>
      <c r="O218" s="41">
        <f t="shared" si="396"/>
        <v>1321440.2303664624</v>
      </c>
      <c r="P218" s="41">
        <f t="shared" si="397"/>
        <v>8484574.8340797629</v>
      </c>
      <c r="Q218" s="41">
        <f t="shared" si="398"/>
        <v>3.0717766367223441E-3</v>
      </c>
      <c r="R218" s="41">
        <f t="shared" si="399"/>
        <v>2.3675282033415897E-2</v>
      </c>
      <c r="S218" s="24">
        <f t="shared" ca="1" si="432"/>
        <v>20.942891950008171</v>
      </c>
      <c r="T218" s="10">
        <f t="shared" ca="1" si="400"/>
        <v>20.942891950008171</v>
      </c>
      <c r="U218" s="41">
        <f t="shared" ca="1" si="401"/>
        <v>0.85403369961933351</v>
      </c>
      <c r="V218" s="41">
        <f t="shared" ca="1" si="402"/>
        <v>6.9740126258867746E-2</v>
      </c>
      <c r="W218" s="41">
        <f t="shared" ca="1" si="403"/>
        <v>12.245944271010545</v>
      </c>
      <c r="X218" s="20">
        <f t="shared" ca="1" si="404"/>
        <v>967.23639025638772</v>
      </c>
      <c r="Y218" s="41">
        <f t="shared" si="405"/>
        <v>0.61226267583737526</v>
      </c>
      <c r="Z218" s="41">
        <f t="shared" ca="1" si="406"/>
        <v>141.25035211454849</v>
      </c>
      <c r="AA218" s="14">
        <f t="shared" ca="1" si="407"/>
        <v>1035.6546835798838</v>
      </c>
      <c r="AB218" s="14">
        <f t="shared" si="433"/>
        <v>5500.4591709793976</v>
      </c>
      <c r="AC218" s="25">
        <f t="shared" ca="1" si="408"/>
        <v>245229.45305500415</v>
      </c>
      <c r="AD218" s="41">
        <f t="shared" si="409"/>
        <v>1302436.6281897046</v>
      </c>
      <c r="AE218" s="6">
        <v>100</v>
      </c>
      <c r="AF218" s="41">
        <f t="shared" si="410"/>
        <v>5500.4591709793976</v>
      </c>
      <c r="AG218" s="41"/>
      <c r="AH218" s="41"/>
      <c r="AI218" s="41">
        <f t="shared" si="411"/>
        <v>4130.0382762098434</v>
      </c>
      <c r="AJ218" s="13">
        <f t="shared" ca="1" si="412"/>
        <v>84.636455318583899</v>
      </c>
      <c r="AK218" s="11"/>
      <c r="AL218" s="6">
        <v>150</v>
      </c>
      <c r="AM218" s="41">
        <f t="shared" ca="1" si="413"/>
        <v>1.7722859426872053</v>
      </c>
      <c r="AN218" s="41">
        <f t="shared" ca="1" si="414"/>
        <v>2.0332246610241116</v>
      </c>
      <c r="AO218" s="41">
        <f t="shared" ca="1" si="415"/>
        <v>6.4503492337629018E-2</v>
      </c>
      <c r="AP218" s="67">
        <f t="shared" si="434"/>
        <v>0.75085336475181208</v>
      </c>
      <c r="AQ218" s="11">
        <f t="shared" si="416"/>
        <v>1.0407118932183759</v>
      </c>
      <c r="AR218" s="11">
        <f t="shared" si="417"/>
        <v>0.94179494058273361</v>
      </c>
      <c r="AS218" s="11">
        <f t="shared" si="418"/>
        <v>0.90495260669142152</v>
      </c>
      <c r="AT218" s="11">
        <f t="shared" si="419"/>
        <v>539.786037655575</v>
      </c>
      <c r="AU218" s="11">
        <f t="shared" si="420"/>
        <v>1993.0452891599923</v>
      </c>
      <c r="AV218" s="11">
        <f t="shared" si="421"/>
        <v>2.1509818508448396E-3</v>
      </c>
      <c r="AW218" s="11">
        <f t="shared" si="422"/>
        <v>3.8543120918005736E-7</v>
      </c>
      <c r="AX218" s="41">
        <f t="shared" ca="1" si="423"/>
        <v>1.0195127454409412</v>
      </c>
      <c r="AY218" s="41">
        <f t="shared" ca="1" si="424"/>
        <v>1.373303923329056</v>
      </c>
      <c r="AZ218" s="41">
        <f t="shared" si="425"/>
        <v>0.15441408632664361</v>
      </c>
    </row>
    <row r="219" spans="1:52" ht="14.5">
      <c r="A219" s="41">
        <f t="shared" ca="1" si="426"/>
        <v>25.624755403483729</v>
      </c>
      <c r="B219" s="41">
        <f t="shared" ca="1" si="427"/>
        <v>0.4270792567247288</v>
      </c>
      <c r="C219" s="41">
        <f t="shared" ca="1" si="427"/>
        <v>7.1179876120788131E-3</v>
      </c>
      <c r="D219" s="41">
        <f t="shared" ca="1" si="428"/>
        <v>12680.536314469295</v>
      </c>
      <c r="E219" s="41">
        <f t="shared" ca="1" si="429"/>
        <v>0.77859912090134853</v>
      </c>
      <c r="F219" s="41">
        <f t="shared" ca="1" si="430"/>
        <v>0.77859912090134853</v>
      </c>
      <c r="G219" s="41"/>
      <c r="H219" s="7">
        <f t="shared" si="431"/>
        <v>1800</v>
      </c>
      <c r="I219" s="6">
        <v>15</v>
      </c>
      <c r="J219" s="41">
        <f t="shared" si="392"/>
        <v>0.2139259418202894</v>
      </c>
      <c r="K219" s="41">
        <f t="shared" si="393"/>
        <v>243.52995619830716</v>
      </c>
      <c r="L219" s="6">
        <f t="shared" si="435"/>
        <v>137</v>
      </c>
      <c r="M219" s="41">
        <f t="shared" si="394"/>
        <v>144.28760256819783</v>
      </c>
      <c r="N219" s="41">
        <f t="shared" si="395"/>
        <v>63.497950524538595</v>
      </c>
      <c r="O219" s="41">
        <f t="shared" si="396"/>
        <v>1354009.2482684581</v>
      </c>
      <c r="P219" s="41">
        <f t="shared" si="397"/>
        <v>8693690.8147437796</v>
      </c>
      <c r="Q219" s="41">
        <f t="shared" si="398"/>
        <v>3.0589912949866324E-3</v>
      </c>
      <c r="R219" s="41">
        <f t="shared" si="399"/>
        <v>2.3597551816982323E-2</v>
      </c>
      <c r="S219" s="24">
        <f t="shared" ca="1" si="432"/>
        <v>20.876062644594175</v>
      </c>
      <c r="T219" s="10">
        <f t="shared" ca="1" si="400"/>
        <v>20.876062644594175</v>
      </c>
      <c r="U219" s="41">
        <f t="shared" ca="1" si="401"/>
        <v>0.81126224221551502</v>
      </c>
      <c r="V219" s="41">
        <f t="shared" ca="1" si="402"/>
        <v>6.5163923610471158E-2</v>
      </c>
      <c r="W219" s="41">
        <f t="shared" ca="1" si="403"/>
        <v>12.449561003492946</v>
      </c>
      <c r="X219" s="20">
        <f t="shared" ca="1" si="404"/>
        <v>951.6883874025774</v>
      </c>
      <c r="Y219" s="41">
        <f t="shared" si="405"/>
        <v>0.61125676517476524</v>
      </c>
      <c r="Z219" s="41">
        <f t="shared" ca="1" si="406"/>
        <v>141.58831114212185</v>
      </c>
      <c r="AA219" s="14">
        <f t="shared" ca="1" si="407"/>
        <v>1018.5528880023596</v>
      </c>
      <c r="AB219" s="14">
        <f t="shared" si="433"/>
        <v>5470.3679695754226</v>
      </c>
      <c r="AC219" s="25">
        <f t="shared" ca="1" si="408"/>
        <v>248048.1402008739</v>
      </c>
      <c r="AD219" s="41">
        <f t="shared" si="409"/>
        <v>1332198.4720193252</v>
      </c>
      <c r="AE219" s="6">
        <v>100</v>
      </c>
      <c r="AF219" s="41">
        <f t="shared" si="410"/>
        <v>5470.3679695754226</v>
      </c>
      <c r="AG219" s="41"/>
      <c r="AH219" s="41"/>
      <c r="AI219" s="41">
        <f t="shared" si="411"/>
        <v>4114.393447160106</v>
      </c>
      <c r="AJ219" s="13">
        <f t="shared" ca="1" si="412"/>
        <v>86.781332700027306</v>
      </c>
      <c r="AK219" s="11"/>
      <c r="AL219" s="6">
        <v>150</v>
      </c>
      <c r="AM219" s="41">
        <f t="shared" ca="1" si="413"/>
        <v>1.7284823283193576</v>
      </c>
      <c r="AN219" s="41">
        <f t="shared" ca="1" si="414"/>
        <v>1.975460101435891</v>
      </c>
      <c r="AO219" s="41">
        <f t="shared" ca="1" si="415"/>
        <v>6.4729558658558728E-2</v>
      </c>
      <c r="AP219" s="67">
        <f t="shared" si="434"/>
        <v>0.75212370905269121</v>
      </c>
      <c r="AQ219" s="11">
        <f t="shared" si="416"/>
        <v>1.0396805907183759</v>
      </c>
      <c r="AR219" s="11">
        <f t="shared" si="417"/>
        <v>0.93664269049644233</v>
      </c>
      <c r="AS219" s="11">
        <f t="shared" si="418"/>
        <v>0.9008946582808296</v>
      </c>
      <c r="AT219" s="11">
        <f t="shared" si="419"/>
        <v>539.25113198789995</v>
      </c>
      <c r="AU219" s="11">
        <f t="shared" si="420"/>
        <v>1982.1419944823811</v>
      </c>
      <c r="AV219" s="11">
        <f t="shared" si="421"/>
        <v>2.1413365132677037E-3</v>
      </c>
      <c r="AW219" s="11">
        <f t="shared" si="422"/>
        <v>3.8513738953319646E-7</v>
      </c>
      <c r="AX219" s="41">
        <f t="shared" ca="1" si="423"/>
        <v>1.0337309805318002</v>
      </c>
      <c r="AY219" s="41">
        <f t="shared" ca="1" si="424"/>
        <v>1.3924561684779351</v>
      </c>
      <c r="AZ219" s="41">
        <f t="shared" si="425"/>
        <v>0.15876817501590018</v>
      </c>
    </row>
    <row r="220" spans="1:52" ht="14.5">
      <c r="A220" s="41">
        <f t="shared" ca="1" si="426"/>
        <v>27.353237731803087</v>
      </c>
      <c r="B220" s="41">
        <f t="shared" ca="1" si="427"/>
        <v>0.45588729553005147</v>
      </c>
      <c r="C220" s="41">
        <f t="shared" ca="1" si="427"/>
        <v>7.5981215921675244E-3</v>
      </c>
      <c r="D220" s="41">
        <f t="shared" ca="1" si="428"/>
        <v>12678.560854367859</v>
      </c>
      <c r="E220" s="41">
        <f t="shared" ca="1" si="429"/>
        <v>0.84332867955990731</v>
      </c>
      <c r="F220" s="41">
        <f t="shared" ca="1" si="430"/>
        <v>0.84332867955990731</v>
      </c>
      <c r="G220" s="41"/>
      <c r="H220" s="7">
        <f t="shared" si="431"/>
        <v>1950</v>
      </c>
      <c r="I220" s="6">
        <v>15</v>
      </c>
      <c r="J220" s="41">
        <f t="shared" si="392"/>
        <v>0.21998321651480485</v>
      </c>
      <c r="K220" s="41">
        <f t="shared" si="393"/>
        <v>250.30122871121151</v>
      </c>
      <c r="L220" s="6">
        <f t="shared" si="435"/>
        <v>140.5</v>
      </c>
      <c r="M220" s="41">
        <f t="shared" si="394"/>
        <v>148.29947319173345</v>
      </c>
      <c r="N220" s="41">
        <f t="shared" si="395"/>
        <v>66.777015445106656</v>
      </c>
      <c r="O220" s="41">
        <f t="shared" si="396"/>
        <v>1386468.2994988817</v>
      </c>
      <c r="P220" s="41">
        <f t="shared" si="397"/>
        <v>8902100.7321044635</v>
      </c>
      <c r="Q220" s="41">
        <f t="shared" si="398"/>
        <v>3.0465764922702854E-3</v>
      </c>
      <c r="R220" s="41">
        <f t="shared" si="399"/>
        <v>2.3522074342694224E-2</v>
      </c>
      <c r="S220" s="24">
        <f t="shared" ca="1" si="432"/>
        <v>20.796208083306844</v>
      </c>
      <c r="T220" s="10">
        <f t="shared" ca="1" si="400"/>
        <v>20.796208083306844</v>
      </c>
      <c r="U220" s="41">
        <f t="shared" ca="1" si="401"/>
        <v>0.77171451404905256</v>
      </c>
      <c r="V220" s="41">
        <f t="shared" ca="1" si="402"/>
        <v>6.1134637286636935E-2</v>
      </c>
      <c r="W220" s="41">
        <f t="shared" ca="1" si="403"/>
        <v>12.623196084909743</v>
      </c>
      <c r="X220" s="20">
        <f t="shared" ca="1" si="404"/>
        <v>938.94938221377197</v>
      </c>
      <c r="Y220" s="41">
        <f t="shared" si="405"/>
        <v>0.61027842072212724</v>
      </c>
      <c r="Z220" s="41">
        <f t="shared" ca="1" si="406"/>
        <v>141.93375572884756</v>
      </c>
      <c r="AA220" s="14">
        <f t="shared" ca="1" si="407"/>
        <v>1004.385954958293</v>
      </c>
      <c r="AB220" s="14">
        <f t="shared" si="433"/>
        <v>5440.4102065692432</v>
      </c>
      <c r="AC220" s="25">
        <f t="shared" ca="1" si="408"/>
        <v>251399.03862634429</v>
      </c>
      <c r="AD220" s="41">
        <f t="shared" si="409"/>
        <v>1361741.3593972975</v>
      </c>
      <c r="AE220" s="6">
        <v>100</v>
      </c>
      <c r="AF220" s="41">
        <f t="shared" si="410"/>
        <v>5440.4102065692432</v>
      </c>
      <c r="AG220" s="41"/>
      <c r="AH220" s="41"/>
      <c r="AI220" s="41">
        <f t="shared" si="411"/>
        <v>4098.7730596102583</v>
      </c>
      <c r="AJ220" s="13">
        <f t="shared" ca="1" si="412"/>
        <v>88.868223158261188</v>
      </c>
      <c r="AK220" s="11"/>
      <c r="AL220" s="6">
        <v>150</v>
      </c>
      <c r="AM220" s="41">
        <f t="shared" ca="1" si="413"/>
        <v>1.687892417212755</v>
      </c>
      <c r="AN220" s="41">
        <f t="shared" ca="1" si="414"/>
        <v>1.9217466575533551</v>
      </c>
      <c r="AO220" s="41">
        <f t="shared" ca="1" si="415"/>
        <v>6.5001506051679508E-2</v>
      </c>
      <c r="AP220" s="67">
        <f t="shared" si="434"/>
        <v>0.75339411992519045</v>
      </c>
      <c r="AQ220" s="11">
        <f t="shared" si="416"/>
        <v>1.0386492882183758</v>
      </c>
      <c r="AR220" s="11">
        <f t="shared" si="417"/>
        <v>0.9315132878859741</v>
      </c>
      <c r="AS220" s="11">
        <f t="shared" si="418"/>
        <v>0.89685064867644104</v>
      </c>
      <c r="AT220" s="11">
        <f t="shared" si="419"/>
        <v>538.71622632022491</v>
      </c>
      <c r="AU220" s="11">
        <f t="shared" si="420"/>
        <v>1971.2870500900558</v>
      </c>
      <c r="AV220" s="11">
        <f t="shared" si="421"/>
        <v>2.1317243068390327E-3</v>
      </c>
      <c r="AW220" s="11">
        <f t="shared" si="422"/>
        <v>3.8484342805978156E-7</v>
      </c>
      <c r="AX220" s="41">
        <f t="shared" ca="1" si="423"/>
        <v>1.0510330211796861</v>
      </c>
      <c r="AY220" s="41">
        <f t="shared" ca="1" si="424"/>
        <v>1.4157623609797891</v>
      </c>
      <c r="AZ220" s="41">
        <f t="shared" si="425"/>
        <v>0.16312674804650151</v>
      </c>
    </row>
    <row r="221" spans="1:52" ht="14.5">
      <c r="A221" s="41">
        <f t="shared" ca="1" si="426"/>
        <v>29.041130149015842</v>
      </c>
      <c r="B221" s="41">
        <f t="shared" ca="1" si="427"/>
        <v>0.48401883581693073</v>
      </c>
      <c r="C221" s="41">
        <f t="shared" ca="1" si="427"/>
        <v>8.0669805969488459E-3</v>
      </c>
      <c r="D221" s="41">
        <f t="shared" ca="1" si="428"/>
        <v>12676.639107710305</v>
      </c>
      <c r="E221" s="41">
        <f t="shared" ca="1" si="429"/>
        <v>0.90833018561158685</v>
      </c>
      <c r="F221" s="41">
        <f t="shared" ca="1" si="430"/>
        <v>0.90833018561158685</v>
      </c>
      <c r="G221" s="41"/>
      <c r="H221" s="7">
        <f t="shared" si="431"/>
        <v>2100</v>
      </c>
      <c r="I221" s="6">
        <v>15</v>
      </c>
      <c r="J221" s="41">
        <f t="shared" si="392"/>
        <v>0.22607139228212392</v>
      </c>
      <c r="K221" s="41">
        <f t="shared" si="393"/>
        <v>257.10073858260012</v>
      </c>
      <c r="L221" s="6">
        <f t="shared" si="435"/>
        <v>144</v>
      </c>
      <c r="M221" s="41">
        <f t="shared" si="394"/>
        <v>152.32807399837324</v>
      </c>
      <c r="N221" s="41">
        <f t="shared" si="395"/>
        <v>70.137735307182368</v>
      </c>
      <c r="O221" s="41">
        <f t="shared" si="396"/>
        <v>1418816.9143000515</v>
      </c>
      <c r="P221" s="41">
        <f t="shared" si="397"/>
        <v>9109801.5699874088</v>
      </c>
      <c r="Q221" s="41">
        <f t="shared" si="398"/>
        <v>3.0345107340932079E-3</v>
      </c>
      <c r="R221" s="41">
        <f t="shared" si="399"/>
        <v>2.344871893194914E-2</v>
      </c>
      <c r="S221" s="24">
        <f t="shared" ca="1" si="432"/>
        <v>20.704564432290226</v>
      </c>
      <c r="T221" s="10">
        <f t="shared" ca="1" si="400"/>
        <v>20.704564432290226</v>
      </c>
      <c r="U221" s="41">
        <f t="shared" ca="1" si="401"/>
        <v>0.7350709924267852</v>
      </c>
      <c r="V221" s="41">
        <f t="shared" ca="1" si="402"/>
        <v>5.7574151139705564E-2</v>
      </c>
      <c r="W221" s="41">
        <f t="shared" ca="1" si="403"/>
        <v>12.767378725968731</v>
      </c>
      <c r="X221" s="20">
        <f t="shared" ca="1" si="404"/>
        <v>928.76773182964757</v>
      </c>
      <c r="Y221" s="41">
        <f t="shared" si="405"/>
        <v>0.6093260773910999</v>
      </c>
      <c r="Z221" s="41">
        <f t="shared" ca="1" si="406"/>
        <v>142.28605744469479</v>
      </c>
      <c r="AA221" s="14">
        <f t="shared" ca="1" si="407"/>
        <v>992.89285450005002</v>
      </c>
      <c r="AB221" s="14">
        <f t="shared" si="433"/>
        <v>5410.5854287910297</v>
      </c>
      <c r="AC221" s="25">
        <f t="shared" ca="1" si="408"/>
        <v>255273.48622534898</v>
      </c>
      <c r="AD221" s="41">
        <f t="shared" si="409"/>
        <v>1391065.5099064279</v>
      </c>
      <c r="AE221" s="6">
        <v>100</v>
      </c>
      <c r="AF221" s="41">
        <f t="shared" si="410"/>
        <v>5410.5854287910297</v>
      </c>
      <c r="AG221" s="41"/>
      <c r="AH221" s="41"/>
      <c r="AI221" s="41">
        <f t="shared" si="411"/>
        <v>4083.1769109506172</v>
      </c>
      <c r="AJ221" s="13">
        <f t="shared" ca="1" si="412"/>
        <v>90.897802666046502</v>
      </c>
      <c r="AK221" s="11"/>
      <c r="AL221" s="6">
        <v>150</v>
      </c>
      <c r="AM221" s="41">
        <f t="shared" ca="1" si="413"/>
        <v>1.6502049070547029</v>
      </c>
      <c r="AN221" s="41">
        <f t="shared" ca="1" si="414"/>
        <v>1.8716884930064368</v>
      </c>
      <c r="AO221" s="41">
        <f t="shared" ca="1" si="415"/>
        <v>6.5316071757880984E-2</v>
      </c>
      <c r="AP221" s="67">
        <f t="shared" si="434"/>
        <v>0.75466453024159796</v>
      </c>
      <c r="AQ221" s="11">
        <f t="shared" si="416"/>
        <v>1.0376179857183758</v>
      </c>
      <c r="AR221" s="11">
        <f t="shared" si="417"/>
        <v>0.9264066551590695</v>
      </c>
      <c r="AS221" s="11">
        <f t="shared" si="418"/>
        <v>0.89282054466094163</v>
      </c>
      <c r="AT221" s="11">
        <f t="shared" si="419"/>
        <v>538.18132065254997</v>
      </c>
      <c r="AU221" s="11">
        <f t="shared" si="420"/>
        <v>1960.4802917807258</v>
      </c>
      <c r="AV221" s="11">
        <f t="shared" si="421"/>
        <v>2.1221451526045919E-3</v>
      </c>
      <c r="AW221" s="11">
        <f t="shared" si="422"/>
        <v>3.8454932459223593E-7</v>
      </c>
      <c r="AX221" s="41">
        <f t="shared" ca="1" si="423"/>
        <v>1.0710844514979971</v>
      </c>
      <c r="AY221" s="41">
        <f t="shared" ca="1" si="424"/>
        <v>1.4427720359913419</v>
      </c>
      <c r="AZ221" s="41">
        <f t="shared" si="425"/>
        <v>0.16748958795151639</v>
      </c>
    </row>
    <row r="222" spans="1:52" ht="14.5">
      <c r="A222" s="41">
        <f t="shared" ca="1" si="426"/>
        <v>30.691335056070546</v>
      </c>
      <c r="B222" s="41">
        <f t="shared" ca="1" si="427"/>
        <v>0.51152225093450909</v>
      </c>
      <c r="C222" s="41">
        <f t="shared" ca="1" si="427"/>
        <v>8.5253708489084843E-3</v>
      </c>
      <c r="D222" s="41">
        <f t="shared" ca="1" si="428"/>
        <v>12674.767419217298</v>
      </c>
      <c r="E222" s="41">
        <f t="shared" ca="1" si="429"/>
        <v>0.97364625736946786</v>
      </c>
      <c r="F222" s="41">
        <f t="shared" ca="1" si="430"/>
        <v>0.97364625736946786</v>
      </c>
      <c r="G222" s="41"/>
      <c r="H222" s="7">
        <f t="shared" si="431"/>
        <v>2250</v>
      </c>
      <c r="I222" s="6">
        <v>15</v>
      </c>
      <c r="J222" s="41">
        <f t="shared" si="392"/>
        <v>0.23219054245327941</v>
      </c>
      <c r="K222" s="41">
        <f t="shared" si="393"/>
        <v>263.92851156804522</v>
      </c>
      <c r="L222" s="6">
        <f t="shared" si="435"/>
        <v>147.5</v>
      </c>
      <c r="M222" s="41">
        <f t="shared" si="394"/>
        <v>156.37342024788171</v>
      </c>
      <c r="N222" s="41">
        <f t="shared" si="395"/>
        <v>73.579983398256417</v>
      </c>
      <c r="O222" s="41">
        <f t="shared" si="396"/>
        <v>1451054.6058365745</v>
      </c>
      <c r="P222" s="41">
        <f t="shared" si="397"/>
        <v>9316790.202567298</v>
      </c>
      <c r="Q222" s="41">
        <f t="shared" si="398"/>
        <v>3.0227741851682876E-3</v>
      </c>
      <c r="R222" s="41">
        <f t="shared" si="399"/>
        <v>2.3377364993433042E-2</v>
      </c>
      <c r="S222" s="24">
        <f t="shared" ca="1" si="432"/>
        <v>20.602216382061439</v>
      </c>
      <c r="T222" s="10">
        <f t="shared" ca="1" si="400"/>
        <v>20.602216382061439</v>
      </c>
      <c r="U222" s="41">
        <f t="shared" ca="1" si="401"/>
        <v>0.70105103383772893</v>
      </c>
      <c r="V222" s="41">
        <f t="shared" ca="1" si="402"/>
        <v>5.441716104579112E-2</v>
      </c>
      <c r="W222" s="41">
        <f t="shared" ca="1" si="403"/>
        <v>12.882903487886962</v>
      </c>
      <c r="X222" s="20">
        <f t="shared" ca="1" si="404"/>
        <v>920.92317545579795</v>
      </c>
      <c r="Y222" s="41">
        <f t="shared" si="405"/>
        <v>0.60839828808374252</v>
      </c>
      <c r="Z222" s="41">
        <f t="shared" ca="1" si="406"/>
        <v>142.6446555846652</v>
      </c>
      <c r="AA222" s="14">
        <f t="shared" ca="1" si="407"/>
        <v>983.84400932092979</v>
      </c>
      <c r="AB222" s="14">
        <f t="shared" si="433"/>
        <v>5380.8931841384037</v>
      </c>
      <c r="AC222" s="25">
        <f t="shared" ca="1" si="408"/>
        <v>259664.48499521101</v>
      </c>
      <c r="AD222" s="41">
        <f t="shared" si="409"/>
        <v>1420171.1289962884</v>
      </c>
      <c r="AE222" s="6">
        <v>100</v>
      </c>
      <c r="AF222" s="41">
        <f t="shared" si="410"/>
        <v>5380.8931841384037</v>
      </c>
      <c r="AG222" s="41"/>
      <c r="AH222" s="41"/>
      <c r="AI222" s="41">
        <f t="shared" si="411"/>
        <v>4067.6047992118752</v>
      </c>
      <c r="AJ222" s="13">
        <f t="shared" ca="1" si="412"/>
        <v>92.870599285711563</v>
      </c>
      <c r="AK222" s="11"/>
      <c r="AL222" s="6">
        <v>150</v>
      </c>
      <c r="AM222" s="41">
        <f t="shared" ca="1" si="413"/>
        <v>1.6151505552207412</v>
      </c>
      <c r="AN222" s="41">
        <f t="shared" ca="1" si="414"/>
        <v>1.8249428194071144</v>
      </c>
      <c r="AO222" s="41">
        <f t="shared" ca="1" si="415"/>
        <v>6.5670542255700654E-2</v>
      </c>
      <c r="AP222" s="67">
        <f t="shared" si="434"/>
        <v>0.75593487177969054</v>
      </c>
      <c r="AQ222" s="11">
        <f t="shared" si="416"/>
        <v>1.0365866832183759</v>
      </c>
      <c r="AR222" s="11">
        <f t="shared" si="417"/>
        <v>0.92132271490623985</v>
      </c>
      <c r="AS222" s="11">
        <f t="shared" si="418"/>
        <v>0.88880431306114549</v>
      </c>
      <c r="AT222" s="11">
        <f t="shared" si="419"/>
        <v>537.64641498487492</v>
      </c>
      <c r="AU222" s="11">
        <f t="shared" si="420"/>
        <v>1949.7215557388827</v>
      </c>
      <c r="AV222" s="11">
        <f t="shared" si="421"/>
        <v>2.1125989717150368E-3</v>
      </c>
      <c r="AW222" s="11">
        <f t="shared" si="422"/>
        <v>3.8425507896270701E-7</v>
      </c>
      <c r="AX222" s="41">
        <f t="shared" ca="1" si="423"/>
        <v>1.0936114948036533</v>
      </c>
      <c r="AY222" s="41">
        <f t="shared" ca="1" si="424"/>
        <v>1.4731164108812125</v>
      </c>
      <c r="AZ222" s="41">
        <f t="shared" si="425"/>
        <v>0.17185647265880172</v>
      </c>
    </row>
    <row r="223" spans="1:52" ht="14.5">
      <c r="A223" s="41">
        <f t="shared" ca="1" si="426"/>
        <v>32.306485611291286</v>
      </c>
      <c r="B223" s="41">
        <f t="shared" ca="1" si="427"/>
        <v>0.53844142685485474</v>
      </c>
      <c r="C223" s="41">
        <f t="shared" ca="1" si="427"/>
        <v>8.9740237809142458E-3</v>
      </c>
      <c r="D223" s="41">
        <f t="shared" ca="1" si="428"/>
        <v>12672.942476397891</v>
      </c>
      <c r="E223" s="41">
        <f t="shared" ca="1" si="429"/>
        <v>1.0393167996251684</v>
      </c>
      <c r="F223" s="41">
        <f t="shared" ca="1" si="430"/>
        <v>1.0393167996251684</v>
      </c>
      <c r="G223" s="41"/>
      <c r="H223" s="7">
        <f t="shared" si="431"/>
        <v>2400</v>
      </c>
      <c r="I223" s="6">
        <v>15</v>
      </c>
      <c r="J223" s="41">
        <f t="shared" si="392"/>
        <v>0.2383407370575244</v>
      </c>
      <c r="K223" s="41">
        <f t="shared" si="393"/>
        <v>270.78456944345629</v>
      </c>
      <c r="L223" s="6">
        <f t="shared" si="435"/>
        <v>151</v>
      </c>
      <c r="M223" s="41">
        <f t="shared" si="394"/>
        <v>160.43552484213677</v>
      </c>
      <c r="N223" s="41">
        <f t="shared" si="395"/>
        <v>77.10362503689548</v>
      </c>
      <c r="O223" s="41">
        <f t="shared" si="396"/>
        <v>1483180.8702683016</v>
      </c>
      <c r="P223" s="41">
        <f t="shared" si="397"/>
        <v>9523063.3948363364</v>
      </c>
      <c r="Q223" s="41">
        <f t="shared" si="398"/>
        <v>3.0113485046262692E-3</v>
      </c>
      <c r="R223" s="41">
        <f t="shared" si="399"/>
        <v>2.3307901021347631E-2</v>
      </c>
      <c r="S223" s="24">
        <f t="shared" ca="1" si="432"/>
        <v>20.490119131689617</v>
      </c>
      <c r="T223" s="10">
        <f t="shared" ca="1" si="400"/>
        <v>20.490119131689617</v>
      </c>
      <c r="U223" s="41">
        <f t="shared" ca="1" si="401"/>
        <v>0.66940731121318087</v>
      </c>
      <c r="V223" s="41">
        <f t="shared" ca="1" si="402"/>
        <v>5.1608817105758667E-2</v>
      </c>
      <c r="W223" s="41">
        <f t="shared" ca="1" si="403"/>
        <v>12.970793534008095</v>
      </c>
      <c r="X223" s="20">
        <f t="shared" ca="1" si="404"/>
        <v>915.22218302563078</v>
      </c>
      <c r="Y223" s="41">
        <f t="shared" si="405"/>
        <v>0.60749371216588677</v>
      </c>
      <c r="Z223" s="41">
        <f t="shared" ca="1" si="406"/>
        <v>143.00904860976709</v>
      </c>
      <c r="AA223" s="14">
        <f t="shared" ca="1" si="407"/>
        <v>977.03678985952024</v>
      </c>
      <c r="AB223" s="14">
        <f t="shared" si="433"/>
        <v>5351.3330215750666</v>
      </c>
      <c r="AC223" s="25">
        <f t="shared" ca="1" si="408"/>
        <v>264566.48647252686</v>
      </c>
      <c r="AD223" s="41">
        <f t="shared" si="409"/>
        <v>1449058.4081957545</v>
      </c>
      <c r="AE223" s="6">
        <v>100</v>
      </c>
      <c r="AF223" s="41">
        <f t="shared" si="410"/>
        <v>5351.3330215750666</v>
      </c>
      <c r="AG223" s="41"/>
      <c r="AH223" s="41"/>
      <c r="AI223" s="41">
        <f t="shared" si="411"/>
        <v>4052.0565231738883</v>
      </c>
      <c r="AJ223" s="13">
        <f t="shared" ca="1" si="412"/>
        <v>94.787013012742065</v>
      </c>
      <c r="AK223" s="11"/>
      <c r="AL223" s="6">
        <v>150</v>
      </c>
      <c r="AM223" s="41">
        <f t="shared" ca="1" si="413"/>
        <v>1.5824952726365134</v>
      </c>
      <c r="AN223" s="41">
        <f t="shared" ca="1" si="414"/>
        <v>1.7812111923273959</v>
      </c>
      <c r="AO223" s="41">
        <f t="shared" ca="1" si="415"/>
        <v>6.6062663679510303E-2</v>
      </c>
      <c r="AP223" s="67">
        <f t="shared" si="434"/>
        <v>0.75720507522838487</v>
      </c>
      <c r="AQ223" s="11">
        <f t="shared" si="416"/>
        <v>1.0355553807183759</v>
      </c>
      <c r="AR223" s="11">
        <f t="shared" si="417"/>
        <v>0.91626138990053196</v>
      </c>
      <c r="AS223" s="11">
        <f t="shared" si="418"/>
        <v>0.88480192074798703</v>
      </c>
      <c r="AT223" s="11">
        <f t="shared" si="419"/>
        <v>537.11150931719999</v>
      </c>
      <c r="AU223" s="11">
        <f t="shared" si="420"/>
        <v>1939.0106785353037</v>
      </c>
      <c r="AV223" s="11">
        <f t="shared" si="421"/>
        <v>2.1030856854258903E-3</v>
      </c>
      <c r="AW223" s="11">
        <f t="shared" si="422"/>
        <v>3.8396069100306597E-7</v>
      </c>
      <c r="AX223" s="41">
        <f t="shared" ca="1" si="423"/>
        <v>1.1183879501168119</v>
      </c>
      <c r="AY223" s="41">
        <f t="shared" ca="1" si="424"/>
        <v>1.5064907884354937</v>
      </c>
      <c r="AZ223" s="41">
        <f t="shared" si="425"/>
        <v>0.1762271754857645</v>
      </c>
    </row>
    <row r="224" spans="1:52" ht="14.5">
      <c r="A224" s="41">
        <f t="shared" ca="1" si="426"/>
        <v>33.8889808839278</v>
      </c>
      <c r="B224" s="41">
        <f t="shared" ref="B224:C227" ca="1" si="436">A224/60</f>
        <v>0.56481634806546333</v>
      </c>
      <c r="C224" s="41">
        <f t="shared" ca="1" si="436"/>
        <v>9.4136058010910548E-3</v>
      </c>
      <c r="D224" s="41">
        <f t="shared" ca="1" si="428"/>
        <v>12671.161265205565</v>
      </c>
      <c r="E224" s="41">
        <f t="shared" ca="1" si="429"/>
        <v>1.1053794633046787</v>
      </c>
      <c r="F224" s="41">
        <f t="shared" ca="1" si="430"/>
        <v>1.1053794633046787</v>
      </c>
      <c r="G224" s="41"/>
      <c r="H224" s="7">
        <f t="shared" si="431"/>
        <v>2550</v>
      </c>
      <c r="I224" s="6">
        <v>15</v>
      </c>
      <c r="J224" s="41">
        <f t="shared" si="392"/>
        <v>0.24452204276357467</v>
      </c>
      <c r="K224" s="41">
        <f t="shared" si="393"/>
        <v>277.66892994732956</v>
      </c>
      <c r="L224" s="6">
        <f t="shared" si="435"/>
        <v>154.5</v>
      </c>
      <c r="M224" s="41">
        <f t="shared" si="394"/>
        <v>164.51439829091362</v>
      </c>
      <c r="N224" s="41">
        <f t="shared" si="395"/>
        <v>80.708517322193202</v>
      </c>
      <c r="O224" s="41">
        <f t="shared" si="396"/>
        <v>1515195.1868328373</v>
      </c>
      <c r="P224" s="41">
        <f t="shared" si="397"/>
        <v>9728617.803134013</v>
      </c>
      <c r="Q224" s="41">
        <f t="shared" si="398"/>
        <v>3.0002167010289311E-3</v>
      </c>
      <c r="R224" s="41">
        <f t="shared" si="399"/>
        <v>2.3240223713943305E-2</v>
      </c>
      <c r="S224" s="24">
        <f t="shared" ca="1" si="432"/>
        <v>20.369116737277615</v>
      </c>
      <c r="T224" s="10">
        <f t="shared" ca="1" si="400"/>
        <v>20.369116737277615</v>
      </c>
      <c r="U224" s="41">
        <f t="shared" ca="1" si="401"/>
        <v>0.63992115972345054</v>
      </c>
      <c r="V224" s="41">
        <f t="shared" ca="1" si="402"/>
        <v>4.9102844535555461E-2</v>
      </c>
      <c r="W224" s="41">
        <f t="shared" ca="1" si="403"/>
        <v>13.032262504875506</v>
      </c>
      <c r="X224" s="20">
        <f t="shared" ca="1" si="404"/>
        <v>911.49408911637261</v>
      </c>
      <c r="Y224" s="41">
        <f t="shared" si="405"/>
        <v>0.6066111053063884</v>
      </c>
      <c r="Z224" s="41">
        <f t="shared" ca="1" si="406"/>
        <v>143.37878677522696</v>
      </c>
      <c r="AA224" s="14">
        <f t="shared" ca="1" si="407"/>
        <v>972.29174600075396</v>
      </c>
      <c r="AB224" s="14">
        <f t="shared" si="433"/>
        <v>5321.9044911293786</v>
      </c>
      <c r="AC224" s="25">
        <f t="shared" ca="1" si="408"/>
        <v>269975.20870865008</v>
      </c>
      <c r="AD224" s="41">
        <f t="shared" si="409"/>
        <v>1477727.525333782</v>
      </c>
      <c r="AE224" s="6">
        <v>100</v>
      </c>
      <c r="AF224" s="41">
        <f t="shared" si="410"/>
        <v>5321.9044911293786</v>
      </c>
      <c r="AG224" s="41"/>
      <c r="AH224" s="41"/>
      <c r="AI224" s="41">
        <f t="shared" si="411"/>
        <v>4036.5318824753767</v>
      </c>
      <c r="AJ224" s="13">
        <f t="shared" ca="1" si="412"/>
        <v>96.647332578610005</v>
      </c>
      <c r="AK224" s="11"/>
      <c r="AL224" s="6">
        <v>150</v>
      </c>
      <c r="AM224" s="41">
        <f t="shared" ca="1" si="413"/>
        <v>1.5520345569599094</v>
      </c>
      <c r="AN224" s="41">
        <f t="shared" ca="1" si="414"/>
        <v>1.740232492186728</v>
      </c>
      <c r="AO224" s="41">
        <f t="shared" ca="1" si="415"/>
        <v>6.6490570179331313E-2</v>
      </c>
      <c r="AP224" s="67">
        <f t="shared" si="434"/>
        <v>0.75847507019404836</v>
      </c>
      <c r="AQ224" s="11">
        <f t="shared" si="416"/>
        <v>1.0345240782183758</v>
      </c>
      <c r="AR224" s="11">
        <f t="shared" si="417"/>
        <v>0.91122260309728409</v>
      </c>
      <c r="AS224" s="11">
        <f t="shared" si="418"/>
        <v>0.88081333463650502</v>
      </c>
      <c r="AT224" s="11">
        <f t="shared" si="419"/>
        <v>536.57660364952494</v>
      </c>
      <c r="AU224" s="11">
        <f t="shared" si="420"/>
        <v>1928.3474971265343</v>
      </c>
      <c r="AV224" s="11">
        <f t="shared" si="421"/>
        <v>2.0936052150975089E-3</v>
      </c>
      <c r="AW224" s="11">
        <f t="shared" si="422"/>
        <v>3.8366616054490459E-7</v>
      </c>
      <c r="AX224" s="41">
        <f t="shared" ca="1" si="423"/>
        <v>1.1452253015936944</v>
      </c>
      <c r="AY224" s="41">
        <f t="shared" ca="1" si="424"/>
        <v>1.5426412340672679</v>
      </c>
      <c r="AZ224" s="41">
        <f t="shared" si="425"/>
        <v>0.18060146513641212</v>
      </c>
    </row>
    <row r="225" spans="1:52" ht="14.5">
      <c r="A225" s="41">
        <f t="shared" ca="1" si="426"/>
        <v>35.44101544088771</v>
      </c>
      <c r="B225" s="41">
        <f t="shared" ca="1" si="436"/>
        <v>0.59068359068146181</v>
      </c>
      <c r="C225" s="41">
        <f t="shared" ca="1" si="436"/>
        <v>9.8447265113576973E-3</v>
      </c>
      <c r="D225" s="41">
        <f t="shared" ca="1" si="428"/>
        <v>12669.421032713379</v>
      </c>
      <c r="E225" s="41">
        <f t="shared" ca="1" si="429"/>
        <v>1.17187003348401</v>
      </c>
      <c r="F225" s="41">
        <f t="shared" ca="1" si="430"/>
        <v>1.17187003348401</v>
      </c>
      <c r="G225" s="41"/>
      <c r="H225" s="7">
        <f t="shared" si="431"/>
        <v>2700</v>
      </c>
      <c r="I225" s="6">
        <v>15</v>
      </c>
      <c r="J225" s="41">
        <f t="shared" si="392"/>
        <v>0.25073452282170561</v>
      </c>
      <c r="K225" s="41">
        <f t="shared" si="393"/>
        <v>284.58160672418126</v>
      </c>
      <c r="L225" s="6">
        <f t="shared" si="435"/>
        <v>158</v>
      </c>
      <c r="M225" s="41">
        <f t="shared" si="394"/>
        <v>168.61004867836982</v>
      </c>
      <c r="N225" s="41">
        <f t="shared" si="395"/>
        <v>84.394508883842306</v>
      </c>
      <c r="O225" s="41">
        <f t="shared" si="396"/>
        <v>1547097.0179381738</v>
      </c>
      <c r="P225" s="41">
        <f t="shared" si="397"/>
        <v>9933449.9757418782</v>
      </c>
      <c r="Q225" s="41">
        <f t="shared" si="398"/>
        <v>2.9893630044052853E-3</v>
      </c>
      <c r="R225" s="41">
        <f t="shared" si="399"/>
        <v>2.3174237195545927E-2</v>
      </c>
      <c r="S225" s="24">
        <f t="shared" ca="1" si="432"/>
        <v>20.239957495375997</v>
      </c>
      <c r="T225" s="10">
        <f t="shared" ca="1" si="400"/>
        <v>20.239957495375997</v>
      </c>
      <c r="U225" s="41">
        <f t="shared" ca="1" si="401"/>
        <v>0.61239866537927778</v>
      </c>
      <c r="V225" s="41">
        <f t="shared" ca="1" si="402"/>
        <v>4.6860037421353896E-2</v>
      </c>
      <c r="W225" s="41">
        <f t="shared" ca="1" si="403"/>
        <v>13.068676404859435</v>
      </c>
      <c r="X225" s="20">
        <f t="shared" ca="1" si="404"/>
        <v>909.58786422433593</v>
      </c>
      <c r="Y225" s="41">
        <f t="shared" si="405"/>
        <v>0.60574931049355307</v>
      </c>
      <c r="Z225" s="41">
        <f t="shared" ca="1" si="406"/>
        <v>143.75346577256397</v>
      </c>
      <c r="AA225" s="14">
        <f t="shared" ca="1" si="407"/>
        <v>969.44944080200821</v>
      </c>
      <c r="AB225" s="14">
        <f t="shared" si="433"/>
        <v>5292.6071438929721</v>
      </c>
      <c r="AC225" s="25">
        <f t="shared" ca="1" si="408"/>
        <v>275887.47950129455</v>
      </c>
      <c r="AD225" s="41">
        <f t="shared" si="409"/>
        <v>1506178.6447689419</v>
      </c>
      <c r="AE225" s="6">
        <v>100</v>
      </c>
      <c r="AF225" s="41">
        <f t="shared" si="410"/>
        <v>5292.6071438929721</v>
      </c>
      <c r="AG225" s="41"/>
      <c r="AH225" s="41"/>
      <c r="AI225" s="41">
        <f t="shared" si="411"/>
        <v>4021.0306777245901</v>
      </c>
      <c r="AJ225" s="13">
        <f t="shared" ca="1" si="412"/>
        <v>98.451749743770833</v>
      </c>
      <c r="AK225" s="11"/>
      <c r="AL225" s="6">
        <v>150</v>
      </c>
      <c r="AM225" s="41">
        <f t="shared" ca="1" si="413"/>
        <v>1.5235889701339786</v>
      </c>
      <c r="AN225" s="41">
        <f t="shared" ca="1" si="414"/>
        <v>1.7017772192087617</v>
      </c>
      <c r="AO225" s="41">
        <f t="shared" ca="1" si="415"/>
        <v>6.6952726263134421E-2</v>
      </c>
      <c r="AP225" s="67">
        <f t="shared" si="434"/>
        <v>0.75974478520748945</v>
      </c>
      <c r="AQ225" s="11">
        <f t="shared" si="416"/>
        <v>1.0334927757183758</v>
      </c>
      <c r="AR225" s="11">
        <f t="shared" si="417"/>
        <v>0.90620627763389017</v>
      </c>
      <c r="AS225" s="11">
        <f t="shared" si="418"/>
        <v>0.87683852168583432</v>
      </c>
      <c r="AT225" s="11">
        <f t="shared" si="419"/>
        <v>536.04169798185001</v>
      </c>
      <c r="AU225" s="11">
        <f t="shared" si="420"/>
        <v>1917.7318488543908</v>
      </c>
      <c r="AV225" s="11">
        <f t="shared" si="421"/>
        <v>2.0841574821950596E-3</v>
      </c>
      <c r="AW225" s="11">
        <f t="shared" si="422"/>
        <v>3.8337148741954121E-7</v>
      </c>
      <c r="AX225" s="41">
        <f t="shared" ca="1" si="423"/>
        <v>1.1739651536841857</v>
      </c>
      <c r="AY225" s="41">
        <f t="shared" ca="1" si="424"/>
        <v>1.5813543858235986</v>
      </c>
      <c r="AZ225" s="41">
        <f t="shared" si="425"/>
        <v>0.18497910570079243</v>
      </c>
    </row>
    <row r="226" spans="1:52" ht="14.5">
      <c r="A226" s="41">
        <f t="shared" ca="1" si="426"/>
        <v>36.964604411021689</v>
      </c>
      <c r="B226" s="41">
        <f t="shared" ca="1" si="436"/>
        <v>0.61607674018369485</v>
      </c>
      <c r="C226" s="41">
        <f t="shared" ca="1" si="436"/>
        <v>1.0267945669728247E-2</v>
      </c>
      <c r="D226" s="41">
        <f t="shared" ca="1" si="428"/>
        <v>12667.71925549417</v>
      </c>
      <c r="E226" s="41">
        <f t="shared" ca="1" si="429"/>
        <v>1.2388227597471444</v>
      </c>
      <c r="F226" s="41">
        <f t="shared" ca="1" si="430"/>
        <v>1.2388227597471444</v>
      </c>
      <c r="G226" s="41"/>
      <c r="H226" s="7">
        <f t="shared" si="431"/>
        <v>2850</v>
      </c>
      <c r="I226" s="6">
        <v>15</v>
      </c>
      <c r="J226" s="41">
        <f t="shared" si="392"/>
        <v>0.25697823700672945</v>
      </c>
      <c r="K226" s="41">
        <f t="shared" si="393"/>
        <v>291.52260926918837</v>
      </c>
      <c r="L226" s="6">
        <f t="shared" si="435"/>
        <v>161.5</v>
      </c>
      <c r="M226" s="41">
        <f t="shared" si="394"/>
        <v>172.7224816302458</v>
      </c>
      <c r="N226" s="41">
        <f t="shared" si="395"/>
        <v>88.161439633028053</v>
      </c>
      <c r="O226" s="41">
        <f t="shared" si="396"/>
        <v>1578885.8092654536</v>
      </c>
      <c r="P226" s="41">
        <f t="shared" si="397"/>
        <v>10137556.353543358</v>
      </c>
      <c r="Q226" s="41">
        <f t="shared" si="398"/>
        <v>2.9787727529843469E-3</v>
      </c>
      <c r="R226" s="41">
        <f t="shared" si="399"/>
        <v>2.310985232793334E-2</v>
      </c>
      <c r="S226" s="24">
        <f t="shared" ca="1" si="432"/>
        <v>20.103306896404611</v>
      </c>
      <c r="T226" s="10">
        <f t="shared" ca="1" si="400"/>
        <v>20.103306896404611</v>
      </c>
      <c r="U226" s="41">
        <f t="shared" ca="1" si="401"/>
        <v>0.5866673639090948</v>
      </c>
      <c r="V226" s="41">
        <f t="shared" ca="1" si="402"/>
        <v>4.4847044724798654E-2</v>
      </c>
      <c r="W226" s="41">
        <f t="shared" ca="1" si="403"/>
        <v>13.081516686531872</v>
      </c>
      <c r="X226" s="20">
        <f t="shared" ca="1" si="404"/>
        <v>909.36940603176049</v>
      </c>
      <c r="Y226" s="41">
        <f t="shared" si="405"/>
        <v>0.60490725006967883</v>
      </c>
      <c r="Z226" s="41">
        <f t="shared" ca="1" si="406"/>
        <v>144.13272123720932</v>
      </c>
      <c r="AA226" s="14">
        <f t="shared" ca="1" si="407"/>
        <v>968.3677786793844</v>
      </c>
      <c r="AB226" s="14">
        <f t="shared" si="433"/>
        <v>5263.4405320193364</v>
      </c>
      <c r="AC226" s="25">
        <f t="shared" ca="1" si="408"/>
        <v>282301.10157282208</v>
      </c>
      <c r="AD226" s="41">
        <f t="shared" si="409"/>
        <v>1534411.917627482</v>
      </c>
      <c r="AE226" s="6">
        <v>100</v>
      </c>
      <c r="AF226" s="41">
        <f t="shared" si="410"/>
        <v>5263.4405320193364</v>
      </c>
      <c r="AG226" s="41"/>
      <c r="AH226" s="41"/>
      <c r="AI226" s="41">
        <f t="shared" si="411"/>
        <v>4005.5527106108066</v>
      </c>
      <c r="AJ226" s="13">
        <f t="shared" ca="1" si="412"/>
        <v>100.20037151052375</v>
      </c>
      <c r="AK226" s="11"/>
      <c r="AL226" s="6">
        <v>150</v>
      </c>
      <c r="AM226" s="41">
        <f t="shared" ca="1" si="413"/>
        <v>1.4970004376106125</v>
      </c>
      <c r="AN226" s="41">
        <f t="shared" ca="1" si="414"/>
        <v>1.6656428224046536</v>
      </c>
      <c r="AO226" s="41">
        <f t="shared" ca="1" si="415"/>
        <v>6.7447880134784671E-2</v>
      </c>
      <c r="AP226" s="67">
        <f t="shared" si="434"/>
        <v>0.7610141477316289</v>
      </c>
      <c r="AQ226" s="11">
        <f t="shared" si="416"/>
        <v>1.0324614732183759</v>
      </c>
      <c r="AR226" s="11">
        <f t="shared" si="417"/>
        <v>0.90121233682955559</v>
      </c>
      <c r="AS226" s="11">
        <f t="shared" si="418"/>
        <v>0.87287744889919028</v>
      </c>
      <c r="AT226" s="11">
        <f t="shared" si="419"/>
        <v>535.50679231417496</v>
      </c>
      <c r="AU226" s="11">
        <f t="shared" si="420"/>
        <v>1907.1635714454419</v>
      </c>
      <c r="AV226" s="11">
        <f t="shared" si="421"/>
        <v>2.0747424082884851E-3</v>
      </c>
      <c r="AW226" s="11">
        <f t="shared" si="422"/>
        <v>3.8307667145801163E-7</v>
      </c>
      <c r="AX226" s="41">
        <f t="shared" ca="1" si="423"/>
        <v>1.2044733893586634</v>
      </c>
      <c r="AY226" s="41">
        <f t="shared" ca="1" si="424"/>
        <v>1.6224495854010077</v>
      </c>
      <c r="AZ226" s="41">
        <f t="shared" si="425"/>
        <v>0.18935985665684568</v>
      </c>
    </row>
    <row r="227" spans="1:52" ht="14.5">
      <c r="A227" s="41">
        <f t="shared" ca="1" si="426"/>
        <v>38.461604848632305</v>
      </c>
      <c r="B227" s="41">
        <f t="shared" ca="1" si="436"/>
        <v>0.64102674747720512</v>
      </c>
      <c r="C227" s="41">
        <f t="shared" ca="1" si="436"/>
        <v>1.0683779124620086E-2</v>
      </c>
      <c r="D227" s="41">
        <f t="shared" ca="1" si="428"/>
        <v>12666.053612671765</v>
      </c>
      <c r="E227" s="41">
        <f t="shared" ca="1" si="429"/>
        <v>1.306270639881929</v>
      </c>
      <c r="F227" s="41">
        <f t="shared" ca="1" si="430"/>
        <v>1.306270639881929</v>
      </c>
      <c r="G227" s="41"/>
      <c r="H227" s="7">
        <f t="shared" si="431"/>
        <v>3000</v>
      </c>
      <c r="I227" s="6">
        <v>15</v>
      </c>
      <c r="J227" s="41">
        <f t="shared" si="392"/>
        <v>0.2632532415619146</v>
      </c>
      <c r="K227" s="41">
        <f t="shared" si="393"/>
        <v>298.49194287410489</v>
      </c>
      <c r="L227" s="6">
        <f t="shared" si="435"/>
        <v>165</v>
      </c>
      <c r="M227" s="41">
        <f t="shared" si="394"/>
        <v>176.85170028182117</v>
      </c>
      <c r="N227" s="41">
        <f t="shared" si="395"/>
        <v>92.009140514372376</v>
      </c>
      <c r="O227" s="41">
        <f t="shared" si="396"/>
        <v>1610560.9898818883</v>
      </c>
      <c r="P227" s="41">
        <f t="shared" si="397"/>
        <v>10340933.270748764</v>
      </c>
      <c r="Q227" s="41">
        <f t="shared" si="398"/>
        <v>2.9684322926589999E-3</v>
      </c>
      <c r="R227" s="41">
        <f t="shared" si="399"/>
        <v>2.3046986099112335E-2</v>
      </c>
      <c r="S227" s="24">
        <f t="shared" ca="1" si="432"/>
        <v>19.959758577207637</v>
      </c>
      <c r="T227" s="10">
        <f t="shared" ca="1" si="400"/>
        <v>19.959758577207637</v>
      </c>
      <c r="U227" s="41">
        <f t="shared" ca="1" si="401"/>
        <v>0.56257344337783199</v>
      </c>
      <c r="V227" s="41">
        <f t="shared" ca="1" si="402"/>
        <v>4.3035386717103344E-2</v>
      </c>
      <c r="W227" s="41">
        <f t="shared" ca="1" si="403"/>
        <v>13.072345488050447</v>
      </c>
      <c r="X227" s="20">
        <f t="shared" ca="1" si="404"/>
        <v>910.71925701519262</v>
      </c>
      <c r="Y227" s="41">
        <f t="shared" si="405"/>
        <v>0.60408391864909072</v>
      </c>
      <c r="Z227" s="41">
        <f t="shared" ca="1" si="406"/>
        <v>144.51622399531425</v>
      </c>
      <c r="AA227" s="14">
        <f t="shared" ca="1" si="407"/>
        <v>968.91974162172528</v>
      </c>
      <c r="AB227" s="14">
        <f t="shared" si="433"/>
        <v>5234.4042087224379</v>
      </c>
      <c r="AC227" s="25">
        <f t="shared" ca="1" si="408"/>
        <v>289214.73616574449</v>
      </c>
      <c r="AD227" s="41">
        <f t="shared" si="409"/>
        <v>1562427.4820499523</v>
      </c>
      <c r="AE227" s="6">
        <v>100</v>
      </c>
      <c r="AF227" s="41">
        <f t="shared" si="410"/>
        <v>5234.4042087224379</v>
      </c>
      <c r="AG227" s="41"/>
      <c r="AH227" s="41"/>
      <c r="AI227" s="41">
        <f t="shared" si="411"/>
        <v>3990.0977840166211</v>
      </c>
      <c r="AJ227" s="13">
        <f t="shared" ca="1" si="412"/>
        <v>101.89323060495015</v>
      </c>
      <c r="AK227" s="11"/>
      <c r="AL227" s="6">
        <v>0</v>
      </c>
      <c r="AM227" s="41">
        <f t="shared" ca="1" si="413"/>
        <v>0</v>
      </c>
      <c r="AN227" s="41">
        <f t="shared" ca="1" si="414"/>
        <v>0</v>
      </c>
      <c r="AO227" s="41">
        <f t="shared" ca="1" si="415"/>
        <v>0</v>
      </c>
      <c r="AP227" s="67">
        <f t="shared" si="434"/>
        <v>0.76228308416985724</v>
      </c>
      <c r="AQ227" s="11">
        <f t="shared" si="416"/>
        <v>1.0314301707183759</v>
      </c>
      <c r="AR227" s="11">
        <f t="shared" si="417"/>
        <v>0.8962407041850623</v>
      </c>
      <c r="AS227" s="11">
        <f t="shared" si="418"/>
        <v>0.86893008332386068</v>
      </c>
      <c r="AT227" s="11">
        <f t="shared" si="419"/>
        <v>534.97188664650002</v>
      </c>
      <c r="AU227" s="11">
        <f t="shared" si="420"/>
        <v>1896.6425030105124</v>
      </c>
      <c r="AV227" s="11">
        <f t="shared" si="421"/>
        <v>2.0653599150524844E-3</v>
      </c>
      <c r="AW227" s="11">
        <f t="shared" si="422"/>
        <v>3.8278171249107636E-7</v>
      </c>
      <c r="AX227" s="41">
        <f t="shared" ca="1" si="423"/>
        <v>1.2366356178771167</v>
      </c>
      <c r="AY227" s="41">
        <f t="shared" ca="1" si="424"/>
        <v>1.6657727462000369</v>
      </c>
      <c r="AZ227" s="41">
        <f t="shared" si="425"/>
        <v>0.19374347287471558</v>
      </c>
    </row>
    <row r="228" spans="1:52" ht="14.5">
      <c r="AC228" s="3"/>
      <c r="AD228" s="3"/>
      <c r="AP228" s="53"/>
    </row>
    <row r="229" spans="1:52" s="89" customFormat="1" ht="14.5">
      <c r="A229" s="123" t="s">
        <v>5</v>
      </c>
      <c r="B229" s="81" t="s">
        <v>122</v>
      </c>
      <c r="C229" s="81">
        <v>45</v>
      </c>
      <c r="D229" s="81" t="s">
        <v>21</v>
      </c>
      <c r="E229" s="82"/>
      <c r="F229" s="82"/>
      <c r="G229" s="82"/>
      <c r="H229" s="82"/>
      <c r="I229" s="83"/>
      <c r="J229" s="82"/>
      <c r="K229" s="82"/>
      <c r="L229" s="84" t="s">
        <v>60</v>
      </c>
      <c r="M229" s="82"/>
      <c r="N229" s="82"/>
      <c r="O229" s="82"/>
      <c r="P229" s="82"/>
      <c r="Q229" s="81"/>
      <c r="R229" s="82"/>
      <c r="S229" s="85"/>
      <c r="T229" s="86"/>
      <c r="U229" s="81"/>
      <c r="V229" s="81"/>
      <c r="W229" s="81"/>
      <c r="X229" s="81"/>
      <c r="Y229" s="82"/>
      <c r="Z229" s="82"/>
      <c r="AA229" s="87"/>
      <c r="AB229" s="87"/>
      <c r="AC229" s="82"/>
      <c r="AD229" s="82"/>
      <c r="AE229" s="83"/>
      <c r="AF229" s="81"/>
      <c r="AG229" s="82"/>
      <c r="AH229" s="82"/>
      <c r="AI229" s="82"/>
      <c r="AJ229" s="81" t="s">
        <v>61</v>
      </c>
      <c r="AK229" s="88"/>
      <c r="AL229" s="83"/>
      <c r="AM229" s="83"/>
      <c r="AN229" s="82"/>
      <c r="AO229" s="82"/>
      <c r="AP229" s="53"/>
      <c r="AQ229" s="88"/>
      <c r="AR229" s="88"/>
      <c r="AS229" s="88"/>
      <c r="AT229" s="88"/>
      <c r="AU229" s="88"/>
      <c r="AV229" s="88"/>
      <c r="AW229" s="88"/>
      <c r="AX229" s="82"/>
      <c r="AY229" s="82"/>
      <c r="AZ229" s="82"/>
    </row>
    <row r="230" spans="1:52" ht="14.5">
      <c r="A230" s="41" t="s">
        <v>2</v>
      </c>
      <c r="B230" s="41" t="s">
        <v>2</v>
      </c>
      <c r="C230" s="41" t="s">
        <v>2</v>
      </c>
      <c r="D230" s="41" t="s">
        <v>23</v>
      </c>
      <c r="E230" s="41" t="s">
        <v>24</v>
      </c>
      <c r="F230" s="41" t="s">
        <v>25</v>
      </c>
      <c r="G230" s="41"/>
      <c r="H230" s="41" t="s">
        <v>0</v>
      </c>
      <c r="I230" s="5" t="s">
        <v>26</v>
      </c>
      <c r="J230" s="41" t="s">
        <v>27</v>
      </c>
      <c r="K230" s="41" t="s">
        <v>28</v>
      </c>
      <c r="L230" s="12" t="s">
        <v>29</v>
      </c>
      <c r="M230" s="13" t="s">
        <v>30</v>
      </c>
      <c r="N230" s="41" t="s">
        <v>31</v>
      </c>
      <c r="O230" s="41" t="s">
        <v>32</v>
      </c>
      <c r="P230" s="41" t="s">
        <v>33</v>
      </c>
      <c r="Q230" s="41" t="s">
        <v>34</v>
      </c>
      <c r="R230" s="41" t="s">
        <v>13</v>
      </c>
      <c r="S230" s="24" t="s">
        <v>35</v>
      </c>
      <c r="T230" s="10" t="s">
        <v>35</v>
      </c>
      <c r="U230" s="41" t="s">
        <v>36</v>
      </c>
      <c r="V230" s="41" t="s">
        <v>37</v>
      </c>
      <c r="W230" s="41" t="s">
        <v>38</v>
      </c>
      <c r="X230" s="41" t="s">
        <v>39</v>
      </c>
      <c r="Y230" s="41" t="s">
        <v>40</v>
      </c>
      <c r="Z230" s="35" t="s">
        <v>108</v>
      </c>
      <c r="AA230" s="35" t="s">
        <v>109</v>
      </c>
      <c r="AB230" s="9" t="s">
        <v>110</v>
      </c>
      <c r="AC230" s="7" t="s">
        <v>111</v>
      </c>
      <c r="AD230" s="7" t="s">
        <v>112</v>
      </c>
      <c r="AE230" s="5" t="s">
        <v>41</v>
      </c>
      <c r="AF230" s="7" t="s">
        <v>113</v>
      </c>
      <c r="AG230" s="41"/>
      <c r="AH230" s="41"/>
      <c r="AI230" s="41" t="s">
        <v>42</v>
      </c>
      <c r="AJ230" s="41" t="s">
        <v>43</v>
      </c>
      <c r="AK230" s="11"/>
      <c r="AL230" s="5" t="s">
        <v>44</v>
      </c>
      <c r="AM230" s="5" t="s">
        <v>45</v>
      </c>
      <c r="AN230" s="41" t="s">
        <v>46</v>
      </c>
      <c r="AO230" s="41" t="s">
        <v>47</v>
      </c>
      <c r="AP230" s="53"/>
      <c r="AQ230" s="15" t="s">
        <v>62</v>
      </c>
      <c r="AR230" s="16" t="s">
        <v>63</v>
      </c>
      <c r="AS230" s="16" t="s">
        <v>64</v>
      </c>
      <c r="AT230" s="17" t="s">
        <v>65</v>
      </c>
      <c r="AU230" s="18" t="s">
        <v>66</v>
      </c>
      <c r="AV230" s="18" t="s">
        <v>67</v>
      </c>
      <c r="AW230" s="19" t="s">
        <v>68</v>
      </c>
      <c r="AX230" s="7" t="s">
        <v>207</v>
      </c>
      <c r="AY230" s="7" t="s">
        <v>208</v>
      </c>
      <c r="AZ230" s="7" t="s">
        <v>209</v>
      </c>
    </row>
    <row r="231" spans="1:52" ht="14.5">
      <c r="A231" s="41" t="s">
        <v>18</v>
      </c>
      <c r="B231" s="41" t="s">
        <v>21</v>
      </c>
      <c r="C231" s="41" t="s">
        <v>48</v>
      </c>
      <c r="D231" s="41" t="s">
        <v>8</v>
      </c>
      <c r="E231" s="41" t="s">
        <v>49</v>
      </c>
      <c r="F231" s="41" t="s">
        <v>49</v>
      </c>
      <c r="G231" s="41"/>
      <c r="H231" s="41" t="s">
        <v>9</v>
      </c>
      <c r="I231" s="5" t="s">
        <v>50</v>
      </c>
      <c r="J231" s="41"/>
      <c r="K231" s="41" t="s">
        <v>51</v>
      </c>
      <c r="L231" s="5" t="s">
        <v>52</v>
      </c>
      <c r="M231" s="41" t="s">
        <v>52</v>
      </c>
      <c r="N231" s="41" t="s">
        <v>53</v>
      </c>
      <c r="O231" s="41" t="s">
        <v>54</v>
      </c>
      <c r="P231" s="41"/>
      <c r="Q231" s="41"/>
      <c r="R231" s="41"/>
      <c r="S231" s="24" t="s">
        <v>55</v>
      </c>
      <c r="T231" s="10" t="s">
        <v>55</v>
      </c>
      <c r="U231" s="41"/>
      <c r="V231" s="41"/>
      <c r="W231" s="41"/>
      <c r="X231" s="41"/>
      <c r="Y231" s="41"/>
      <c r="Z231" s="41"/>
      <c r="AA231" s="9" t="s">
        <v>118</v>
      </c>
      <c r="AB231" s="9" t="s">
        <v>118</v>
      </c>
      <c r="AC231" s="7" t="s">
        <v>119</v>
      </c>
      <c r="AD231" s="7" t="s">
        <v>119</v>
      </c>
      <c r="AE231" s="5" t="s">
        <v>20</v>
      </c>
      <c r="AF231" s="7" t="s">
        <v>118</v>
      </c>
      <c r="AG231" s="41"/>
      <c r="AH231" s="41"/>
      <c r="AI231" s="41" t="s">
        <v>56</v>
      </c>
      <c r="AJ231" s="41" t="s">
        <v>57</v>
      </c>
      <c r="AK231" s="11"/>
      <c r="AL231" s="5" t="s">
        <v>9</v>
      </c>
      <c r="AM231" s="5" t="s">
        <v>18</v>
      </c>
      <c r="AN231" s="41" t="s">
        <v>8</v>
      </c>
      <c r="AO231" s="41" t="s">
        <v>49</v>
      </c>
      <c r="AP231" s="53"/>
      <c r="AQ231" s="11"/>
      <c r="AR231" s="11"/>
      <c r="AS231" s="11"/>
      <c r="AT231" s="11"/>
      <c r="AU231" s="11"/>
      <c r="AV231" s="11"/>
      <c r="AW231" s="11"/>
      <c r="AX231" s="41"/>
      <c r="AY231" s="41"/>
      <c r="AZ231" s="41"/>
    </row>
    <row r="232" spans="1:52" ht="14.5">
      <c r="A232" s="41">
        <f ca="1">A227</f>
        <v>38.461604848632305</v>
      </c>
      <c r="B232" s="41">
        <f t="shared" ref="B232:C232" ca="1" si="437">(A232/60)</f>
        <v>0.64102674747720512</v>
      </c>
      <c r="C232" s="41">
        <f t="shared" ca="1" si="437"/>
        <v>1.0683779124620086E-2</v>
      </c>
      <c r="D232" s="41">
        <f t="shared" ref="D232:E232" ca="1" si="438">D217</f>
        <v>12684.665039236152</v>
      </c>
      <c r="E232" s="41">
        <f t="shared" ca="1" si="438"/>
        <v>0.64976839665451724</v>
      </c>
      <c r="F232" s="7">
        <v>0</v>
      </c>
      <c r="G232" s="41"/>
      <c r="H232" s="7">
        <f>H227</f>
        <v>3000</v>
      </c>
      <c r="I232" s="6">
        <v>15</v>
      </c>
      <c r="J232" s="41">
        <f t="shared" ref="J232:J252" si="439">SQRT((((((((L232^2)*(0.2))/(661.477)^2) + 1)^(3.5) - 1)*(1/AR232) + 1)^(1/3.5) - 1)*(5))</f>
        <v>0.2632532415619146</v>
      </c>
      <c r="K232" s="41">
        <f t="shared" ref="K232:K252" si="440">SQRT((1.4*2116.22*AR232*(J232)^2)/AV232)</f>
        <v>298.49194287410489</v>
      </c>
      <c r="L232" s="120">
        <v>165</v>
      </c>
      <c r="M232" s="41">
        <f t="shared" ref="M232:M252" si="441">K232*0.592484</f>
        <v>176.85170028182117</v>
      </c>
      <c r="N232" s="41">
        <f t="shared" ref="N232:N252" si="442">0.5*AV232*K232^2</f>
        <v>92.009140514372376</v>
      </c>
      <c r="O232" s="41">
        <f t="shared" ref="O232:O252" si="443">P232/$B$7</f>
        <v>1610560.9898818883</v>
      </c>
      <c r="P232" s="41">
        <f t="shared" ref="P232:P252" si="444">(AV232*K232*$B$7)/(AW232)</f>
        <v>10340933.270748764</v>
      </c>
      <c r="Q232" s="41">
        <f t="shared" ref="Q232:Q252" si="445">0.455/(LOG10(P232)^2.58 * (1+0.144*J232*J232)^0.65)</f>
        <v>2.9684322926589999E-3</v>
      </c>
      <c r="R232" s="41">
        <f t="shared" ref="R232:R252" si="446">(((Q232*$B$4)+$B$17)+(0.1*(Q232*$B$4)))</f>
        <v>2.3046986099112335E-2</v>
      </c>
      <c r="S232" s="24">
        <f ca="1">T232</f>
        <v>1.5405474170951061E-15</v>
      </c>
      <c r="T232" s="10">
        <f t="shared" ref="T232:T252" ca="1" si="447">DEGREES(ASIN(((AF232-X232)/(D232))))</f>
        <v>1.5405474170951061E-15</v>
      </c>
      <c r="U232" s="41">
        <f t="shared" ref="U232:U252" ca="1" si="448">(D232*COS(RADIANS(S232)))/(N232*$B$3)</f>
        <v>0.59940476841299739</v>
      </c>
      <c r="V232" s="41">
        <f t="shared" ref="V232:V252" ca="1" si="449">(X232)/(N232*$B$3)</f>
        <v>4.5738317465205111E-2</v>
      </c>
      <c r="W232" s="41">
        <f t="shared" ref="W232:W252" ca="1" si="450">U232/V232</f>
        <v>13.105090034608018</v>
      </c>
      <c r="X232" s="20">
        <f t="shared" ref="X232:X252" ca="1" si="451">(N232*$B$3*R232)+((N232*$B$3)*((U232^2)/(PI()*$B$6*$B$5)))</f>
        <v>967.91895406581671</v>
      </c>
      <c r="Y232" s="41">
        <f t="shared" ref="Y232:Y252" si="452">SQRT(PI()*$B$6*$B$5*R232)</f>
        <v>0.60408391864909072</v>
      </c>
      <c r="Z232" s="41">
        <f t="shared" ref="Z232:Z252" ca="1" si="453">SQRT((2*((U232*N232*$B$3)/(D232))*D232)/(AV232*$B$3*$B$18))</f>
        <v>149.17192313718229</v>
      </c>
      <c r="AA232" s="14">
        <f t="shared" ref="AA232:AA252" ca="1" si="454">D232/W232</f>
        <v>967.91895406581682</v>
      </c>
      <c r="AB232" s="14">
        <f>$B$15*AR232*0.93</f>
        <v>5234.4042087224379</v>
      </c>
      <c r="AC232" s="25">
        <f t="shared" ref="AC232:AC252" ca="1" si="455">AA232*K232</f>
        <v>288916.00914377713</v>
      </c>
      <c r="AD232" s="41">
        <f t="shared" ref="AD232:AD252" si="456">AB232*K232</f>
        <v>1562427.4820499523</v>
      </c>
      <c r="AE232" s="5">
        <f t="shared" ref="AE232:AE252" ca="1" si="457">(AA232/AB232)*100</f>
        <v>18.491482802434493</v>
      </c>
      <c r="AF232" s="7">
        <f t="shared" ref="AF232:AF252" ca="1" si="458">(AB232)*(AE232/100)</f>
        <v>967.91895406581705</v>
      </c>
      <c r="AG232" s="41"/>
      <c r="AH232" s="41"/>
      <c r="AI232" s="41">
        <f t="shared" ref="AI232:AI252" ca="1" si="459">(AP232*AF232)</f>
        <v>743.04652949352965</v>
      </c>
      <c r="AJ232" s="13">
        <f t="shared" ref="AJ232:AJ252" ca="1" si="460">K232*SIN(RADIANS(T232))</f>
        <v>8.0257393393767686E-15</v>
      </c>
      <c r="AK232" s="11"/>
      <c r="AL232" s="6">
        <v>0</v>
      </c>
      <c r="AM232" s="6">
        <v>135</v>
      </c>
      <c r="AN232" s="41">
        <f t="shared" ref="AN232:AN252" ca="1" si="461">AI232*(AM232/3600)</f>
        <v>27.86424485600736</v>
      </c>
      <c r="AO232" s="41">
        <f t="shared" ref="AO232:AO252" ca="1" si="462">M232*COS(RADIANS(T232))*(AM232/3600)</f>
        <v>6.6319387605682936</v>
      </c>
      <c r="AP232" s="67">
        <f>0.71 + 0.304*AZ232 + -0.0326*AZ232^2</f>
        <v>0.76767432476893471</v>
      </c>
      <c r="AQ232" s="11">
        <f t="shared" ref="AQ232:AQ252" si="463">IF(H232 &lt;= 36089, ((1 - 6.87535*10^(-6)*H232) + ((I232*1.8)/518.67)), 0.75187 + ((I232*1.8)/518.67))</f>
        <v>1.0314301707183759</v>
      </c>
      <c r="AR232" s="11">
        <f t="shared" ref="AR232:AR252" si="464">IF(H232 &lt;= 36089, (1 - 6.87535*10^(-6)*H232)^5.2561, 0.22336*EXP((36089 - H232)/(20806.7)))</f>
        <v>0.8962407041850623</v>
      </c>
      <c r="AS232" s="11">
        <f t="shared" ref="AS232:AS252" si="465">(AR232/AQ232)</f>
        <v>0.86893008332386068</v>
      </c>
      <c r="AT232" s="11">
        <f t="shared" ref="AT232:AT252" si="466">(518.67*AQ232)</f>
        <v>534.97188664650002</v>
      </c>
      <c r="AU232" s="11">
        <f t="shared" ref="AU232:AU252" si="467">2116.22*AR232</f>
        <v>1896.6425030105124</v>
      </c>
      <c r="AV232" s="11">
        <f t="shared" ref="AV232:AV252" si="468">(0.0023769*AS232)</f>
        <v>2.0653599150524844E-3</v>
      </c>
      <c r="AW232" s="11">
        <f t="shared" ref="AW232:AW252" si="469">((2.2697*10^-8)*(AT232^1.5))/(AT232+198.72)</f>
        <v>3.8278171249107636E-7</v>
      </c>
      <c r="AX232" s="41">
        <f t="shared" ref="AX232:AX252" ca="1" si="470">(1/U232)*(((1 + 0.2*(U232)^2)/1.2)^3)</f>
        <v>1.1889042393661677</v>
      </c>
      <c r="AY232" s="41">
        <f t="shared" ref="AY232:AY252" ca="1" si="471">($H$4/$H$3)*AX232</f>
        <v>1.6014776310402552</v>
      </c>
      <c r="AZ232" s="41">
        <f t="shared" ref="AZ232:AZ252" si="472">-6.6*10^(-3) + 0.825*J232 - 0.243*(J232^2)</f>
        <v>0.19374347287471558</v>
      </c>
    </row>
    <row r="233" spans="1:52" ht="14.5">
      <c r="A233" s="41">
        <f t="shared" ref="A233:A252" ca="1" si="473">A232+AM232</f>
        <v>173.46160484863231</v>
      </c>
      <c r="B233" s="41">
        <f t="shared" ref="B233:C248" ca="1" si="474">A233/60</f>
        <v>2.8910267474772051</v>
      </c>
      <c r="C233" s="41">
        <f t="shared" ca="1" si="474"/>
        <v>4.8183779124620088E-2</v>
      </c>
      <c r="D233" s="41">
        <f t="shared" ref="D233:D252" ca="1" si="475">D232-AN232</f>
        <v>12656.800794380144</v>
      </c>
      <c r="E233" s="41">
        <f t="shared" ref="E233:E252" ca="1" si="476">E232+AO232</f>
        <v>7.2817071572228107</v>
      </c>
      <c r="F233" s="41">
        <f t="shared" ref="F233:F252" ca="1" si="477">F232+AO232</f>
        <v>6.6319387605682936</v>
      </c>
      <c r="G233" s="41"/>
      <c r="H233" s="7">
        <f t="shared" ref="H233:H252" si="478">H232+AL232</f>
        <v>3000</v>
      </c>
      <c r="I233" s="6">
        <v>15</v>
      </c>
      <c r="J233" s="41">
        <f t="shared" si="439"/>
        <v>0.2632532415619146</v>
      </c>
      <c r="K233" s="41">
        <f t="shared" si="440"/>
        <v>298.49194287410489</v>
      </c>
      <c r="L233" s="6">
        <f t="shared" ref="L233:L252" si="479">L232</f>
        <v>165</v>
      </c>
      <c r="M233" s="41">
        <f t="shared" si="441"/>
        <v>176.85170028182117</v>
      </c>
      <c r="N233" s="41">
        <f t="shared" si="442"/>
        <v>92.009140514372376</v>
      </c>
      <c r="O233" s="41">
        <f t="shared" si="443"/>
        <v>1610560.9898818883</v>
      </c>
      <c r="P233" s="41">
        <f t="shared" si="444"/>
        <v>10340933.270748764</v>
      </c>
      <c r="Q233" s="41">
        <f t="shared" si="445"/>
        <v>2.9684322926589999E-3</v>
      </c>
      <c r="R233" s="41">
        <f t="shared" si="446"/>
        <v>2.3046986099112335E-2</v>
      </c>
      <c r="S233" s="24">
        <f t="shared" ref="S233:S252" ca="1" si="480">T233</f>
        <v>-5.1464632283139994E-16</v>
      </c>
      <c r="T233" s="10">
        <f t="shared" ca="1" si="447"/>
        <v>-5.1464632283139994E-16</v>
      </c>
      <c r="U233" s="41">
        <f t="shared" ca="1" si="448"/>
        <v>0.5980880634638911</v>
      </c>
      <c r="V233" s="41">
        <f t="shared" ca="1" si="449"/>
        <v>4.5638735433821423E-2</v>
      </c>
      <c r="W233" s="41">
        <f t="shared" ca="1" si="450"/>
        <v>13.104834254909415</v>
      </c>
      <c r="X233" s="20">
        <f t="shared" ca="1" si="451"/>
        <v>965.81158892861038</v>
      </c>
      <c r="Y233" s="41">
        <f t="shared" si="452"/>
        <v>0.60408391864909072</v>
      </c>
      <c r="Z233" s="41">
        <f t="shared" ca="1" si="453"/>
        <v>149.00799101295428</v>
      </c>
      <c r="AA233" s="14">
        <f t="shared" ca="1" si="454"/>
        <v>965.81158892861038</v>
      </c>
      <c r="AB233" s="14">
        <f t="shared" ref="AB233:AB252" si="481">$B$15*AR233*0.93</f>
        <v>5234.4042087224379</v>
      </c>
      <c r="AC233" s="25">
        <f t="shared" ca="1" si="455"/>
        <v>288286.97762962722</v>
      </c>
      <c r="AD233" s="41">
        <f t="shared" si="456"/>
        <v>1562427.4820499523</v>
      </c>
      <c r="AE233" s="5">
        <f t="shared" ca="1" si="457"/>
        <v>18.451222917007705</v>
      </c>
      <c r="AF233" s="7">
        <f t="shared" ca="1" si="458"/>
        <v>965.81158892861026</v>
      </c>
      <c r="AG233" s="41"/>
      <c r="AH233" s="41"/>
      <c r="AI233" s="41">
        <f t="shared" ca="1" si="459"/>
        <v>741.42875938478278</v>
      </c>
      <c r="AJ233" s="13">
        <f t="shared" ca="1" si="460"/>
        <v>-2.6811360644789356E-15</v>
      </c>
      <c r="AK233" s="11"/>
      <c r="AL233" s="6">
        <v>0</v>
      </c>
      <c r="AM233" s="6">
        <v>135</v>
      </c>
      <c r="AN233" s="41">
        <f t="shared" ca="1" si="461"/>
        <v>27.803578476929353</v>
      </c>
      <c r="AO233" s="41">
        <f t="shared" ca="1" si="462"/>
        <v>6.6319387605682936</v>
      </c>
      <c r="AP233" s="67">
        <f t="shared" ref="AP233:AP252" si="482">0.71 + 0.304*AZ233 + -0.0326*AZ233^2</f>
        <v>0.76767432476893471</v>
      </c>
      <c r="AQ233" s="11">
        <f t="shared" si="463"/>
        <v>1.0314301707183759</v>
      </c>
      <c r="AR233" s="11">
        <f t="shared" si="464"/>
        <v>0.8962407041850623</v>
      </c>
      <c r="AS233" s="11">
        <f t="shared" si="465"/>
        <v>0.86893008332386068</v>
      </c>
      <c r="AT233" s="11">
        <f t="shared" si="466"/>
        <v>534.97188664650002</v>
      </c>
      <c r="AU233" s="11">
        <f t="shared" si="467"/>
        <v>1896.6425030105124</v>
      </c>
      <c r="AV233" s="11">
        <f t="shared" si="468"/>
        <v>2.0653599150524844E-3</v>
      </c>
      <c r="AW233" s="11">
        <f t="shared" si="469"/>
        <v>3.8278171249107636E-7</v>
      </c>
      <c r="AX233" s="41">
        <f t="shared" ca="1" si="470"/>
        <v>1.1904702838812962</v>
      </c>
      <c r="AY233" s="41">
        <f t="shared" ca="1" si="471"/>
        <v>1.6035871241156003</v>
      </c>
      <c r="AZ233" s="41">
        <f t="shared" si="472"/>
        <v>0.19374347287471558</v>
      </c>
    </row>
    <row r="234" spans="1:52" ht="14.5">
      <c r="A234" s="41">
        <f t="shared" ca="1" si="473"/>
        <v>308.46160484863231</v>
      </c>
      <c r="B234" s="41">
        <f t="shared" ca="1" si="474"/>
        <v>5.1410267474772047</v>
      </c>
      <c r="C234" s="41">
        <f t="shared" ca="1" si="474"/>
        <v>8.568377912462008E-2</v>
      </c>
      <c r="D234" s="41">
        <f t="shared" ca="1" si="475"/>
        <v>12628.997215903215</v>
      </c>
      <c r="E234" s="41">
        <f t="shared" ca="1" si="476"/>
        <v>13.913645917791104</v>
      </c>
      <c r="F234" s="41">
        <f t="shared" ca="1" si="477"/>
        <v>13.263877521136587</v>
      </c>
      <c r="G234" s="41"/>
      <c r="H234" s="7">
        <f t="shared" si="478"/>
        <v>3000</v>
      </c>
      <c r="I234" s="6">
        <v>15</v>
      </c>
      <c r="J234" s="41">
        <f t="shared" si="439"/>
        <v>0.2632532415619146</v>
      </c>
      <c r="K234" s="41">
        <f t="shared" si="440"/>
        <v>298.49194287410489</v>
      </c>
      <c r="L234" s="6">
        <f t="shared" si="479"/>
        <v>165</v>
      </c>
      <c r="M234" s="41">
        <f t="shared" si="441"/>
        <v>176.85170028182117</v>
      </c>
      <c r="N234" s="41">
        <f t="shared" si="442"/>
        <v>92.009140514372376</v>
      </c>
      <c r="O234" s="41">
        <f t="shared" si="443"/>
        <v>1610560.9898818883</v>
      </c>
      <c r="P234" s="41">
        <f t="shared" si="444"/>
        <v>10340933.270748764</v>
      </c>
      <c r="Q234" s="41">
        <f t="shared" si="445"/>
        <v>2.9684322926589999E-3</v>
      </c>
      <c r="R234" s="41">
        <f t="shared" si="446"/>
        <v>2.3046986099112335E-2</v>
      </c>
      <c r="S234" s="24">
        <f t="shared" ca="1" si="480"/>
        <v>-5.1577935098716564E-16</v>
      </c>
      <c r="T234" s="10">
        <f t="shared" ca="1" si="447"/>
        <v>-5.1577935098716564E-16</v>
      </c>
      <c r="U234" s="41">
        <f t="shared" ca="1" si="448"/>
        <v>0.59677422526111112</v>
      </c>
      <c r="V234" s="41">
        <f t="shared" ca="1" si="449"/>
        <v>4.5539588490132732E-2</v>
      </c>
      <c r="W234" s="41">
        <f t="shared" ca="1" si="450"/>
        <v>13.104515105366332</v>
      </c>
      <c r="X234" s="20">
        <f t="shared" ca="1" si="451"/>
        <v>963.71343116172307</v>
      </c>
      <c r="Y234" s="41">
        <f t="shared" si="452"/>
        <v>0.60408391864909072</v>
      </c>
      <c r="Z234" s="41">
        <f t="shared" ca="1" si="453"/>
        <v>148.8442358436744</v>
      </c>
      <c r="AA234" s="14">
        <f t="shared" ca="1" si="454"/>
        <v>963.71343116172295</v>
      </c>
      <c r="AB234" s="14">
        <f t="shared" si="481"/>
        <v>5234.4042087224379</v>
      </c>
      <c r="AC234" s="25">
        <f t="shared" ca="1" si="455"/>
        <v>287660.6944413326</v>
      </c>
      <c r="AD234" s="41">
        <f t="shared" si="456"/>
        <v>1562427.4820499523</v>
      </c>
      <c r="AE234" s="5">
        <f t="shared" ca="1" si="457"/>
        <v>18.411138932599489</v>
      </c>
      <c r="AF234" s="7">
        <f t="shared" ca="1" si="458"/>
        <v>963.71343116172295</v>
      </c>
      <c r="AG234" s="41"/>
      <c r="AH234" s="41"/>
      <c r="AI234" s="41">
        <f t="shared" ca="1" si="459"/>
        <v>739.81805753782896</v>
      </c>
      <c r="AJ234" s="13">
        <f t="shared" ca="1" si="460"/>
        <v>-2.6870387640917121E-15</v>
      </c>
      <c r="AK234" s="11"/>
      <c r="AL234" s="6">
        <v>0</v>
      </c>
      <c r="AM234" s="6">
        <v>135</v>
      </c>
      <c r="AN234" s="41">
        <f t="shared" ca="1" si="461"/>
        <v>27.743177157668587</v>
      </c>
      <c r="AO234" s="41">
        <f t="shared" ca="1" si="462"/>
        <v>6.6319387605682936</v>
      </c>
      <c r="AP234" s="67">
        <f t="shared" si="482"/>
        <v>0.76767432476893471</v>
      </c>
      <c r="AQ234" s="11">
        <f t="shared" si="463"/>
        <v>1.0314301707183759</v>
      </c>
      <c r="AR234" s="11">
        <f t="shared" si="464"/>
        <v>0.8962407041850623</v>
      </c>
      <c r="AS234" s="11">
        <f t="shared" si="465"/>
        <v>0.86893008332386068</v>
      </c>
      <c r="AT234" s="11">
        <f t="shared" si="466"/>
        <v>534.97188664650002</v>
      </c>
      <c r="AU234" s="11">
        <f t="shared" si="467"/>
        <v>1896.6425030105124</v>
      </c>
      <c r="AV234" s="11">
        <f t="shared" si="468"/>
        <v>2.0653599150524844E-3</v>
      </c>
      <c r="AW234" s="11">
        <f t="shared" si="469"/>
        <v>3.8278171249107636E-7</v>
      </c>
      <c r="AX234" s="41">
        <f t="shared" ca="1" si="470"/>
        <v>1.1920427322891984</v>
      </c>
      <c r="AY234" s="41">
        <f t="shared" ca="1" si="471"/>
        <v>1.6057052433617416</v>
      </c>
      <c r="AZ234" s="41">
        <f t="shared" si="472"/>
        <v>0.19374347287471558</v>
      </c>
    </row>
    <row r="235" spans="1:52" ht="14.5">
      <c r="A235" s="41">
        <f t="shared" ca="1" si="473"/>
        <v>443.46160484863231</v>
      </c>
      <c r="B235" s="41">
        <f t="shared" ca="1" si="474"/>
        <v>7.3910267474772047</v>
      </c>
      <c r="C235" s="41">
        <f t="shared" ca="1" si="474"/>
        <v>0.12318377912462007</v>
      </c>
      <c r="D235" s="41">
        <f t="shared" ca="1" si="475"/>
        <v>12601.254038745546</v>
      </c>
      <c r="E235" s="41">
        <f t="shared" ca="1" si="476"/>
        <v>20.545584678359397</v>
      </c>
      <c r="F235" s="41">
        <f t="shared" ca="1" si="477"/>
        <v>19.895816281704882</v>
      </c>
      <c r="G235" s="41"/>
      <c r="H235" s="7">
        <f t="shared" si="478"/>
        <v>3000</v>
      </c>
      <c r="I235" s="6">
        <v>15</v>
      </c>
      <c r="J235" s="41">
        <f t="shared" si="439"/>
        <v>0.2632532415619146</v>
      </c>
      <c r="K235" s="41">
        <f t="shared" si="440"/>
        <v>298.49194287410489</v>
      </c>
      <c r="L235" s="6">
        <f t="shared" si="479"/>
        <v>165</v>
      </c>
      <c r="M235" s="41">
        <f t="shared" si="441"/>
        <v>176.85170028182117</v>
      </c>
      <c r="N235" s="41">
        <f t="shared" si="442"/>
        <v>92.009140514372376</v>
      </c>
      <c r="O235" s="41">
        <f t="shared" si="443"/>
        <v>1610560.9898818883</v>
      </c>
      <c r="P235" s="41">
        <f t="shared" si="444"/>
        <v>10340933.270748764</v>
      </c>
      <c r="Q235" s="41">
        <f t="shared" si="445"/>
        <v>2.9684322926589999E-3</v>
      </c>
      <c r="R235" s="41">
        <f t="shared" si="446"/>
        <v>2.3046986099112335E-2</v>
      </c>
      <c r="S235" s="24">
        <f t="shared" ca="1" si="480"/>
        <v>0</v>
      </c>
      <c r="T235" s="10">
        <f t="shared" ca="1" si="447"/>
        <v>0</v>
      </c>
      <c r="U235" s="41">
        <f t="shared" ca="1" si="448"/>
        <v>0.59546324127944539</v>
      </c>
      <c r="V235" s="41">
        <f t="shared" ca="1" si="449"/>
        <v>4.5440874264798654E-2</v>
      </c>
      <c r="W235" s="41">
        <f t="shared" ca="1" si="450"/>
        <v>13.104132587975503</v>
      </c>
      <c r="X235" s="20">
        <f t="shared" ca="1" si="451"/>
        <v>961.62443062493094</v>
      </c>
      <c r="Y235" s="41">
        <f t="shared" si="452"/>
        <v>0.60408391864909072</v>
      </c>
      <c r="Z235" s="41">
        <f t="shared" ca="1" si="453"/>
        <v>148.6806566503268</v>
      </c>
      <c r="AA235" s="14">
        <f t="shared" ca="1" si="454"/>
        <v>961.62443062493105</v>
      </c>
      <c r="AB235" s="14">
        <f t="shared" si="481"/>
        <v>5234.4042087224379</v>
      </c>
      <c r="AC235" s="25">
        <f t="shared" ca="1" si="455"/>
        <v>287037.14461244055</v>
      </c>
      <c r="AD235" s="41">
        <f t="shared" si="456"/>
        <v>1562427.4820499523</v>
      </c>
      <c r="AE235" s="5">
        <f t="shared" ca="1" si="457"/>
        <v>18.371229891312403</v>
      </c>
      <c r="AF235" s="7">
        <f t="shared" ca="1" si="458"/>
        <v>961.62443062493094</v>
      </c>
      <c r="AG235" s="41"/>
      <c r="AH235" s="41"/>
      <c r="AI235" s="41">
        <f t="shared" ca="1" si="459"/>
        <v>738.21438546130514</v>
      </c>
      <c r="AJ235" s="13">
        <f t="shared" ca="1" si="460"/>
        <v>0</v>
      </c>
      <c r="AK235" s="11"/>
      <c r="AL235" s="6">
        <v>0</v>
      </c>
      <c r="AM235" s="6">
        <v>135</v>
      </c>
      <c r="AN235" s="41">
        <f t="shared" ca="1" si="461"/>
        <v>27.683039454798941</v>
      </c>
      <c r="AO235" s="41">
        <f t="shared" ca="1" si="462"/>
        <v>6.6319387605682936</v>
      </c>
      <c r="AP235" s="67">
        <f t="shared" si="482"/>
        <v>0.76767432476893471</v>
      </c>
      <c r="AQ235" s="11">
        <f t="shared" si="463"/>
        <v>1.0314301707183759</v>
      </c>
      <c r="AR235" s="11">
        <f t="shared" si="464"/>
        <v>0.8962407041850623</v>
      </c>
      <c r="AS235" s="11">
        <f t="shared" si="465"/>
        <v>0.86893008332386068</v>
      </c>
      <c r="AT235" s="11">
        <f t="shared" si="466"/>
        <v>534.97188664650002</v>
      </c>
      <c r="AU235" s="11">
        <f t="shared" si="467"/>
        <v>1896.6425030105124</v>
      </c>
      <c r="AV235" s="11">
        <f t="shared" si="468"/>
        <v>2.0653599150524844E-3</v>
      </c>
      <c r="AW235" s="11">
        <f t="shared" si="469"/>
        <v>3.8278171249107636E-7</v>
      </c>
      <c r="AX235" s="41">
        <f t="shared" ca="1" si="470"/>
        <v>1.1936215959986971</v>
      </c>
      <c r="AY235" s="41">
        <f t="shared" ca="1" si="471"/>
        <v>1.6078320041465894</v>
      </c>
      <c r="AZ235" s="41">
        <f t="shared" si="472"/>
        <v>0.19374347287471558</v>
      </c>
    </row>
    <row r="236" spans="1:52" ht="14.5">
      <c r="A236" s="41">
        <f t="shared" ca="1" si="473"/>
        <v>578.46160484863231</v>
      </c>
      <c r="B236" s="41">
        <f t="shared" ca="1" si="474"/>
        <v>9.6410267474772056</v>
      </c>
      <c r="C236" s="41">
        <f t="shared" ca="1" si="474"/>
        <v>0.16068377912462009</v>
      </c>
      <c r="D236" s="41">
        <f t="shared" ca="1" si="475"/>
        <v>12573.570999290747</v>
      </c>
      <c r="E236" s="41">
        <f t="shared" ca="1" si="476"/>
        <v>27.17752343892769</v>
      </c>
      <c r="F236" s="41">
        <f t="shared" ca="1" si="477"/>
        <v>26.527755042273174</v>
      </c>
      <c r="G236" s="41"/>
      <c r="H236" s="7">
        <f t="shared" si="478"/>
        <v>3000</v>
      </c>
      <c r="I236" s="6">
        <v>15</v>
      </c>
      <c r="J236" s="41">
        <f t="shared" si="439"/>
        <v>0.2632532415619146</v>
      </c>
      <c r="K236" s="41">
        <f t="shared" si="440"/>
        <v>298.49194287410489</v>
      </c>
      <c r="L236" s="6">
        <f t="shared" si="479"/>
        <v>165</v>
      </c>
      <c r="M236" s="41">
        <f t="shared" si="441"/>
        <v>176.85170028182117</v>
      </c>
      <c r="N236" s="41">
        <f t="shared" si="442"/>
        <v>92.009140514372376</v>
      </c>
      <c r="O236" s="41">
        <f t="shared" si="443"/>
        <v>1610560.9898818883</v>
      </c>
      <c r="P236" s="41">
        <f t="shared" si="444"/>
        <v>10340933.270748764</v>
      </c>
      <c r="Q236" s="41">
        <f t="shared" si="445"/>
        <v>2.9684322926589999E-3</v>
      </c>
      <c r="R236" s="41">
        <f t="shared" si="446"/>
        <v>2.3046986099112335E-2</v>
      </c>
      <c r="S236" s="24">
        <f t="shared" ca="1" si="480"/>
        <v>1.0361059698958575E-15</v>
      </c>
      <c r="T236" s="10">
        <f t="shared" ca="1" si="447"/>
        <v>1.0361059698958575E-15</v>
      </c>
      <c r="U236" s="41">
        <f t="shared" ca="1" si="448"/>
        <v>0.59415509906189012</v>
      </c>
      <c r="V236" s="41">
        <f t="shared" ca="1" si="449"/>
        <v>4.5342590404990363E-2</v>
      </c>
      <c r="W236" s="41">
        <f t="shared" ca="1" si="450"/>
        <v>13.103686705038758</v>
      </c>
      <c r="X236" s="20">
        <f t="shared" ca="1" si="451"/>
        <v>959.54453752742984</v>
      </c>
      <c r="Y236" s="41">
        <f t="shared" si="452"/>
        <v>0.60408391864909072</v>
      </c>
      <c r="Z236" s="41">
        <f t="shared" ca="1" si="453"/>
        <v>148.51725245747954</v>
      </c>
      <c r="AA236" s="14">
        <f t="shared" ca="1" si="454"/>
        <v>959.54453752742995</v>
      </c>
      <c r="AB236" s="14">
        <f t="shared" si="481"/>
        <v>5234.4042087224379</v>
      </c>
      <c r="AC236" s="25">
        <f t="shared" ca="1" si="455"/>
        <v>286416.31328079704</v>
      </c>
      <c r="AD236" s="41">
        <f t="shared" si="456"/>
        <v>1562427.4820499523</v>
      </c>
      <c r="AE236" s="5">
        <f t="shared" ca="1" si="457"/>
        <v>18.331494841924449</v>
      </c>
      <c r="AF236" s="7">
        <f t="shared" ca="1" si="458"/>
        <v>959.54453752743007</v>
      </c>
      <c r="AG236" s="41"/>
      <c r="AH236" s="41"/>
      <c r="AI236" s="41">
        <f t="shared" ca="1" si="459"/>
        <v>736.61770493208962</v>
      </c>
      <c r="AJ236" s="13">
        <f t="shared" ca="1" si="460"/>
        <v>5.3977672806957452E-15</v>
      </c>
      <c r="AK236" s="11"/>
      <c r="AL236" s="6">
        <v>0</v>
      </c>
      <c r="AM236" s="6">
        <v>135</v>
      </c>
      <c r="AN236" s="41">
        <f t="shared" ca="1" si="461"/>
        <v>27.623163934953361</v>
      </c>
      <c r="AO236" s="41">
        <f t="shared" ca="1" si="462"/>
        <v>6.6319387605682936</v>
      </c>
      <c r="AP236" s="67">
        <f t="shared" si="482"/>
        <v>0.76767432476893471</v>
      </c>
      <c r="AQ236" s="11">
        <f t="shared" si="463"/>
        <v>1.0314301707183759</v>
      </c>
      <c r="AR236" s="11">
        <f t="shared" si="464"/>
        <v>0.8962407041850623</v>
      </c>
      <c r="AS236" s="11">
        <f t="shared" si="465"/>
        <v>0.86893008332386068</v>
      </c>
      <c r="AT236" s="11">
        <f t="shared" si="466"/>
        <v>534.97188664650002</v>
      </c>
      <c r="AU236" s="11">
        <f t="shared" si="467"/>
        <v>1896.6425030105124</v>
      </c>
      <c r="AV236" s="11">
        <f t="shared" si="468"/>
        <v>2.0653599150524844E-3</v>
      </c>
      <c r="AW236" s="11">
        <f t="shared" si="469"/>
        <v>3.8278171249107636E-7</v>
      </c>
      <c r="AX236" s="41">
        <f t="shared" ca="1" si="470"/>
        <v>1.1952068866041281</v>
      </c>
      <c r="AY236" s="41">
        <f t="shared" ca="1" si="471"/>
        <v>1.6099674220879447</v>
      </c>
      <c r="AZ236" s="41">
        <f t="shared" si="472"/>
        <v>0.19374347287471558</v>
      </c>
    </row>
    <row r="237" spans="1:52" ht="14.5">
      <c r="A237" s="41">
        <f t="shared" ca="1" si="473"/>
        <v>713.46160484863231</v>
      </c>
      <c r="B237" s="41">
        <f t="shared" ca="1" si="474"/>
        <v>11.891026747477206</v>
      </c>
      <c r="C237" s="41">
        <f t="shared" ca="1" si="474"/>
        <v>0.1981837791246201</v>
      </c>
      <c r="D237" s="41">
        <f t="shared" ca="1" si="475"/>
        <v>12545.947835355793</v>
      </c>
      <c r="E237" s="41">
        <f t="shared" ca="1" si="476"/>
        <v>33.809462199495982</v>
      </c>
      <c r="F237" s="41">
        <f t="shared" ca="1" si="477"/>
        <v>33.159693802841467</v>
      </c>
      <c r="G237" s="41"/>
      <c r="H237" s="7">
        <f t="shared" si="478"/>
        <v>3000</v>
      </c>
      <c r="I237" s="6">
        <v>15</v>
      </c>
      <c r="J237" s="41">
        <f t="shared" si="439"/>
        <v>0.2632532415619146</v>
      </c>
      <c r="K237" s="41">
        <f t="shared" si="440"/>
        <v>298.49194287410489</v>
      </c>
      <c r="L237" s="6">
        <f t="shared" si="479"/>
        <v>165</v>
      </c>
      <c r="M237" s="41">
        <f t="shared" si="441"/>
        <v>176.85170028182117</v>
      </c>
      <c r="N237" s="41">
        <f t="shared" si="442"/>
        <v>92.009140514372376</v>
      </c>
      <c r="O237" s="41">
        <f t="shared" si="443"/>
        <v>1610560.9898818883</v>
      </c>
      <c r="P237" s="41">
        <f t="shared" si="444"/>
        <v>10340933.270748764</v>
      </c>
      <c r="Q237" s="41">
        <f t="shared" si="445"/>
        <v>2.9684322926589999E-3</v>
      </c>
      <c r="R237" s="41">
        <f t="shared" si="446"/>
        <v>2.3046986099112335E-2</v>
      </c>
      <c r="S237" s="24">
        <f t="shared" ca="1" si="480"/>
        <v>0</v>
      </c>
      <c r="T237" s="10">
        <f t="shared" ca="1" si="447"/>
        <v>0</v>
      </c>
      <c r="U237" s="41">
        <f t="shared" ca="1" si="448"/>
        <v>0.59284978621917417</v>
      </c>
      <c r="V237" s="41">
        <f t="shared" ca="1" si="449"/>
        <v>4.5244734574253716E-2</v>
      </c>
      <c r="W237" s="41">
        <f t="shared" ca="1" si="450"/>
        <v>13.103177459163001</v>
      </c>
      <c r="X237" s="20">
        <f t="shared" ca="1" si="451"/>
        <v>957.47370242493821</v>
      </c>
      <c r="Y237" s="41">
        <f t="shared" si="452"/>
        <v>0.60408391864909072</v>
      </c>
      <c r="Z237" s="41">
        <f t="shared" ca="1" si="453"/>
        <v>148.35402229325609</v>
      </c>
      <c r="AA237" s="14">
        <f t="shared" ca="1" si="454"/>
        <v>957.47370242493821</v>
      </c>
      <c r="AB237" s="14">
        <f t="shared" si="481"/>
        <v>5234.4042087224379</v>
      </c>
      <c r="AC237" s="25">
        <f t="shared" ca="1" si="455"/>
        <v>285798.18568768236</v>
      </c>
      <c r="AD237" s="41">
        <f t="shared" si="456"/>
        <v>1562427.4820499523</v>
      </c>
      <c r="AE237" s="5">
        <f t="shared" ca="1" si="457"/>
        <v>18.291932839833724</v>
      </c>
      <c r="AF237" s="7">
        <f t="shared" ca="1" si="458"/>
        <v>957.47370242493821</v>
      </c>
      <c r="AG237" s="41"/>
      <c r="AH237" s="41"/>
      <c r="AI237" s="41">
        <f t="shared" ca="1" si="459"/>
        <v>735.02797799307632</v>
      </c>
      <c r="AJ237" s="13">
        <f t="shared" ca="1" si="460"/>
        <v>0</v>
      </c>
      <c r="AK237" s="11"/>
      <c r="AL237" s="6">
        <v>0</v>
      </c>
      <c r="AM237" s="6">
        <v>135</v>
      </c>
      <c r="AN237" s="41">
        <f t="shared" ca="1" si="461"/>
        <v>27.563549174740363</v>
      </c>
      <c r="AO237" s="41">
        <f t="shared" ca="1" si="462"/>
        <v>6.6319387605682936</v>
      </c>
      <c r="AP237" s="67">
        <f t="shared" si="482"/>
        <v>0.76767432476893471</v>
      </c>
      <c r="AQ237" s="11">
        <f t="shared" si="463"/>
        <v>1.0314301707183759</v>
      </c>
      <c r="AR237" s="11">
        <f t="shared" si="464"/>
        <v>0.8962407041850623</v>
      </c>
      <c r="AS237" s="11">
        <f t="shared" si="465"/>
        <v>0.86893008332386068</v>
      </c>
      <c r="AT237" s="11">
        <f t="shared" si="466"/>
        <v>534.97188664650002</v>
      </c>
      <c r="AU237" s="11">
        <f t="shared" si="467"/>
        <v>1896.6425030105124</v>
      </c>
      <c r="AV237" s="11">
        <f t="shared" si="468"/>
        <v>2.0653599150524844E-3</v>
      </c>
      <c r="AW237" s="11">
        <f t="shared" si="469"/>
        <v>3.8278171249107636E-7</v>
      </c>
      <c r="AX237" s="41">
        <f t="shared" ca="1" si="470"/>
        <v>1.1967986158855359</v>
      </c>
      <c r="AY237" s="41">
        <f t="shared" ca="1" si="471"/>
        <v>1.6121115130537618</v>
      </c>
      <c r="AZ237" s="41">
        <f t="shared" si="472"/>
        <v>0.19374347287471558</v>
      </c>
    </row>
    <row r="238" spans="1:52" ht="14.5">
      <c r="A238" s="41">
        <f t="shared" ca="1" si="473"/>
        <v>848.46160484863231</v>
      </c>
      <c r="B238" s="41">
        <f t="shared" ca="1" si="474"/>
        <v>14.141026747477206</v>
      </c>
      <c r="C238" s="41">
        <f t="shared" ca="1" si="474"/>
        <v>0.2356837791246201</v>
      </c>
      <c r="D238" s="41">
        <f t="shared" ca="1" si="475"/>
        <v>12518.384286181054</v>
      </c>
      <c r="E238" s="41">
        <f t="shared" ca="1" si="476"/>
        <v>40.441400960064279</v>
      </c>
      <c r="F238" s="41">
        <f t="shared" ca="1" si="477"/>
        <v>39.791632563409763</v>
      </c>
      <c r="G238" s="41"/>
      <c r="H238" s="7">
        <f t="shared" si="478"/>
        <v>3000</v>
      </c>
      <c r="I238" s="6">
        <v>15</v>
      </c>
      <c r="J238" s="41">
        <f t="shared" si="439"/>
        <v>0.2632532415619146</v>
      </c>
      <c r="K238" s="41">
        <f t="shared" si="440"/>
        <v>298.49194287410489</v>
      </c>
      <c r="L238" s="6">
        <f t="shared" si="479"/>
        <v>165</v>
      </c>
      <c r="M238" s="41">
        <f t="shared" si="441"/>
        <v>176.85170028182117</v>
      </c>
      <c r="N238" s="41">
        <f t="shared" si="442"/>
        <v>92.009140514372376</v>
      </c>
      <c r="O238" s="41">
        <f t="shared" si="443"/>
        <v>1610560.9898818883</v>
      </c>
      <c r="P238" s="41">
        <f t="shared" si="444"/>
        <v>10340933.270748764</v>
      </c>
      <c r="Q238" s="41">
        <f t="shared" si="445"/>
        <v>2.9684322926589999E-3</v>
      </c>
      <c r="R238" s="41">
        <f t="shared" si="446"/>
        <v>2.3046986099112335E-2</v>
      </c>
      <c r="S238" s="24">
        <f t="shared" ca="1" si="480"/>
        <v>5.2033679736352152E-16</v>
      </c>
      <c r="T238" s="10">
        <f t="shared" ca="1" si="447"/>
        <v>5.2033679736352152E-16</v>
      </c>
      <c r="U238" s="41">
        <f t="shared" ca="1" si="448"/>
        <v>0.59154729042928778</v>
      </c>
      <c r="V238" s="41">
        <f t="shared" ca="1" si="449"/>
        <v>4.5147304452373721E-2</v>
      </c>
      <c r="W238" s="41">
        <f t="shared" ca="1" si="450"/>
        <v>13.1026048532602</v>
      </c>
      <c r="X238" s="20">
        <f t="shared" ca="1" si="451"/>
        <v>955.41187621682866</v>
      </c>
      <c r="Y238" s="41">
        <f t="shared" si="452"/>
        <v>0.60408391864909072</v>
      </c>
      <c r="Z238" s="41">
        <f t="shared" ca="1" si="453"/>
        <v>148.19096518930746</v>
      </c>
      <c r="AA238" s="14">
        <f t="shared" ca="1" si="454"/>
        <v>955.41187621682877</v>
      </c>
      <c r="AB238" s="14">
        <f t="shared" si="481"/>
        <v>5234.4042087224379</v>
      </c>
      <c r="AC238" s="25">
        <f t="shared" ca="1" si="455"/>
        <v>285182.74717695505</v>
      </c>
      <c r="AD238" s="41">
        <f t="shared" si="456"/>
        <v>1562427.4820499523</v>
      </c>
      <c r="AE238" s="5">
        <f t="shared" ca="1" si="457"/>
        <v>18.252542947003636</v>
      </c>
      <c r="AF238" s="7">
        <f t="shared" ca="1" si="458"/>
        <v>955.41187621682877</v>
      </c>
      <c r="AG238" s="41"/>
      <c r="AH238" s="41"/>
      <c r="AI238" s="41">
        <f t="shared" ca="1" si="459"/>
        <v>733.44516695097502</v>
      </c>
      <c r="AJ238" s="13">
        <f t="shared" ca="1" si="460"/>
        <v>2.7107815429662428E-15</v>
      </c>
      <c r="AK238" s="11"/>
      <c r="AL238" s="6">
        <v>0</v>
      </c>
      <c r="AM238" s="6">
        <v>135</v>
      </c>
      <c r="AN238" s="41">
        <f t="shared" ca="1" si="461"/>
        <v>27.504193760661561</v>
      </c>
      <c r="AO238" s="41">
        <f t="shared" ca="1" si="462"/>
        <v>6.6319387605682936</v>
      </c>
      <c r="AP238" s="67">
        <f t="shared" si="482"/>
        <v>0.76767432476893471</v>
      </c>
      <c r="AQ238" s="11">
        <f t="shared" si="463"/>
        <v>1.0314301707183759</v>
      </c>
      <c r="AR238" s="11">
        <f t="shared" si="464"/>
        <v>0.8962407041850623</v>
      </c>
      <c r="AS238" s="11">
        <f t="shared" si="465"/>
        <v>0.86893008332386068</v>
      </c>
      <c r="AT238" s="11">
        <f t="shared" si="466"/>
        <v>534.97188664650002</v>
      </c>
      <c r="AU238" s="11">
        <f t="shared" si="467"/>
        <v>1896.6425030105124</v>
      </c>
      <c r="AV238" s="11">
        <f t="shared" si="468"/>
        <v>2.0653599150524844E-3</v>
      </c>
      <c r="AW238" s="11">
        <f t="shared" si="469"/>
        <v>3.8278171249107636E-7</v>
      </c>
      <c r="AX238" s="41">
        <f t="shared" ca="1" si="470"/>
        <v>1.1983967958088788</v>
      </c>
      <c r="AY238" s="41">
        <f t="shared" ca="1" si="471"/>
        <v>1.6142642931624236</v>
      </c>
      <c r="AZ238" s="41">
        <f t="shared" si="472"/>
        <v>0.19374347287471558</v>
      </c>
    </row>
    <row r="239" spans="1:52" ht="14.5">
      <c r="A239" s="41">
        <f t="shared" ca="1" si="473"/>
        <v>983.46160484863231</v>
      </c>
      <c r="B239" s="41">
        <f t="shared" ca="1" si="474"/>
        <v>16.391026747477206</v>
      </c>
      <c r="C239" s="41">
        <f t="shared" ca="1" si="474"/>
        <v>0.27318377912462011</v>
      </c>
      <c r="D239" s="41">
        <f t="shared" ca="1" si="475"/>
        <v>12490.880092420392</v>
      </c>
      <c r="E239" s="41">
        <f t="shared" ca="1" si="476"/>
        <v>47.073339720632575</v>
      </c>
      <c r="F239" s="41">
        <f t="shared" ca="1" si="477"/>
        <v>46.423571323978059</v>
      </c>
      <c r="G239" s="41"/>
      <c r="H239" s="7">
        <f t="shared" si="478"/>
        <v>3000</v>
      </c>
      <c r="I239" s="6">
        <v>15</v>
      </c>
      <c r="J239" s="41">
        <f t="shared" si="439"/>
        <v>0.2632532415619146</v>
      </c>
      <c r="K239" s="41">
        <f t="shared" si="440"/>
        <v>298.49194287410489</v>
      </c>
      <c r="L239" s="6">
        <f t="shared" si="479"/>
        <v>165</v>
      </c>
      <c r="M239" s="41">
        <f t="shared" si="441"/>
        <v>176.85170028182117</v>
      </c>
      <c r="N239" s="41">
        <f t="shared" si="442"/>
        <v>92.009140514372376</v>
      </c>
      <c r="O239" s="41">
        <f t="shared" si="443"/>
        <v>1610560.9898818883</v>
      </c>
      <c r="P239" s="41">
        <f t="shared" si="444"/>
        <v>10340933.270748764</v>
      </c>
      <c r="Q239" s="41">
        <f t="shared" si="445"/>
        <v>2.9684322926589999E-3</v>
      </c>
      <c r="R239" s="41">
        <f t="shared" si="446"/>
        <v>2.3046986099112335E-2</v>
      </c>
      <c r="S239" s="24">
        <f t="shared" ca="1" si="480"/>
        <v>0</v>
      </c>
      <c r="T239" s="10">
        <f t="shared" ca="1" si="447"/>
        <v>0</v>
      </c>
      <c r="U239" s="41">
        <f t="shared" ca="1" si="448"/>
        <v>0.59024759943701477</v>
      </c>
      <c r="V239" s="41">
        <f t="shared" ca="1" si="449"/>
        <v>4.5050297735240191E-2</v>
      </c>
      <c r="W239" s="41">
        <f t="shared" ca="1" si="450"/>
        <v>13.101968890547395</v>
      </c>
      <c r="X239" s="20">
        <f t="shared" ca="1" si="451"/>
        <v>953.35901014328601</v>
      </c>
      <c r="Y239" s="41">
        <f t="shared" si="452"/>
        <v>0.60408391864909072</v>
      </c>
      <c r="Z239" s="41">
        <f t="shared" ca="1" si="453"/>
        <v>148.02808018078431</v>
      </c>
      <c r="AA239" s="14">
        <f t="shared" ca="1" si="454"/>
        <v>953.35901014328601</v>
      </c>
      <c r="AB239" s="14">
        <f t="shared" si="481"/>
        <v>5234.4042087224379</v>
      </c>
      <c r="AC239" s="25">
        <f t="shared" ca="1" si="455"/>
        <v>284569.98319420294</v>
      </c>
      <c r="AD239" s="41">
        <f t="shared" si="456"/>
        <v>1562427.4820499523</v>
      </c>
      <c r="AE239" s="5">
        <f t="shared" ca="1" si="457"/>
        <v>18.213324231908572</v>
      </c>
      <c r="AF239" s="7">
        <f t="shared" ca="1" si="458"/>
        <v>953.35901014328601</v>
      </c>
      <c r="AG239" s="41"/>
      <c r="AH239" s="41"/>
      <c r="AI239" s="41">
        <f t="shared" ca="1" si="459"/>
        <v>731.86923437412702</v>
      </c>
      <c r="AJ239" s="13">
        <f t="shared" ca="1" si="460"/>
        <v>0</v>
      </c>
      <c r="AK239" s="11"/>
      <c r="AL239" s="6">
        <v>0</v>
      </c>
      <c r="AM239" s="6">
        <v>135</v>
      </c>
      <c r="AN239" s="41">
        <f t="shared" ca="1" si="461"/>
        <v>27.445096289029763</v>
      </c>
      <c r="AO239" s="41">
        <f t="shared" ca="1" si="462"/>
        <v>6.6319387605682936</v>
      </c>
      <c r="AP239" s="67">
        <f t="shared" si="482"/>
        <v>0.76767432476893471</v>
      </c>
      <c r="AQ239" s="11">
        <f t="shared" si="463"/>
        <v>1.0314301707183759</v>
      </c>
      <c r="AR239" s="11">
        <f t="shared" si="464"/>
        <v>0.8962407041850623</v>
      </c>
      <c r="AS239" s="11">
        <f t="shared" si="465"/>
        <v>0.86893008332386068</v>
      </c>
      <c r="AT239" s="11">
        <f t="shared" si="466"/>
        <v>534.97188664650002</v>
      </c>
      <c r="AU239" s="11">
        <f t="shared" si="467"/>
        <v>1896.6425030105124</v>
      </c>
      <c r="AV239" s="11">
        <f t="shared" si="468"/>
        <v>2.0653599150524844E-3</v>
      </c>
      <c r="AW239" s="11">
        <f t="shared" si="469"/>
        <v>3.8278171249107636E-7</v>
      </c>
      <c r="AX239" s="41">
        <f t="shared" ca="1" si="470"/>
        <v>1.2000014385262583</v>
      </c>
      <c r="AY239" s="41">
        <f t="shared" ca="1" si="471"/>
        <v>1.6164257787830527</v>
      </c>
      <c r="AZ239" s="41">
        <f t="shared" si="472"/>
        <v>0.19374347287471558</v>
      </c>
    </row>
    <row r="240" spans="1:52" ht="14.5">
      <c r="A240" s="41">
        <f t="shared" ca="1" si="473"/>
        <v>1118.4616048486323</v>
      </c>
      <c r="B240" s="41">
        <f t="shared" ca="1" si="474"/>
        <v>18.641026747477206</v>
      </c>
      <c r="C240" s="41">
        <f t="shared" ca="1" si="474"/>
        <v>0.31068377912462009</v>
      </c>
      <c r="D240" s="41">
        <f t="shared" ca="1" si="475"/>
        <v>12463.434996131362</v>
      </c>
      <c r="E240" s="41">
        <f t="shared" ca="1" si="476"/>
        <v>53.705278481200871</v>
      </c>
      <c r="F240" s="41">
        <f t="shared" ca="1" si="477"/>
        <v>53.055510084546356</v>
      </c>
      <c r="G240" s="41"/>
      <c r="H240" s="7">
        <f t="shared" si="478"/>
        <v>3000</v>
      </c>
      <c r="I240" s="6">
        <v>15</v>
      </c>
      <c r="J240" s="41">
        <f t="shared" si="439"/>
        <v>0.2632532415619146</v>
      </c>
      <c r="K240" s="41">
        <f t="shared" si="440"/>
        <v>298.49194287410489</v>
      </c>
      <c r="L240" s="6">
        <f t="shared" si="479"/>
        <v>165</v>
      </c>
      <c r="M240" s="41">
        <f t="shared" si="441"/>
        <v>176.85170028182117</v>
      </c>
      <c r="N240" s="41">
        <f t="shared" si="442"/>
        <v>92.009140514372376</v>
      </c>
      <c r="O240" s="41">
        <f t="shared" si="443"/>
        <v>1610560.9898818883</v>
      </c>
      <c r="P240" s="41">
        <f t="shared" si="444"/>
        <v>10340933.270748764</v>
      </c>
      <c r="Q240" s="41">
        <f t="shared" si="445"/>
        <v>2.9684322926589999E-3</v>
      </c>
      <c r="R240" s="41">
        <f t="shared" si="446"/>
        <v>2.3046986099112335E-2</v>
      </c>
      <c r="S240" s="24">
        <f t="shared" ca="1" si="480"/>
        <v>-5.226308790200416E-16</v>
      </c>
      <c r="T240" s="10">
        <f t="shared" ca="1" si="447"/>
        <v>-5.226308790200416E-16</v>
      </c>
      <c r="U240" s="41">
        <f t="shared" ca="1" si="448"/>
        <v>0.58895070105346947</v>
      </c>
      <c r="V240" s="41">
        <f t="shared" ca="1" si="449"/>
        <v>4.495371213471494E-2</v>
      </c>
      <c r="W240" s="41">
        <f t="shared" ca="1" si="450"/>
        <v>13.101269574546652</v>
      </c>
      <c r="X240" s="20">
        <f t="shared" ca="1" si="451"/>
        <v>951.31505578249573</v>
      </c>
      <c r="Y240" s="41">
        <f t="shared" si="452"/>
        <v>0.60408391864909072</v>
      </c>
      <c r="Z240" s="41">
        <f t="shared" ca="1" si="453"/>
        <v>147.86536630630943</v>
      </c>
      <c r="AA240" s="14">
        <f t="shared" ca="1" si="454"/>
        <v>951.31505578249562</v>
      </c>
      <c r="AB240" s="14">
        <f t="shared" si="481"/>
        <v>5234.4042087224379</v>
      </c>
      <c r="AC240" s="25">
        <f t="shared" ca="1" si="455"/>
        <v>283959.87928590458</v>
      </c>
      <c r="AD240" s="41">
        <f t="shared" si="456"/>
        <v>1562427.4820499523</v>
      </c>
      <c r="AE240" s="5">
        <f t="shared" ca="1" si="457"/>
        <v>18.174275769480232</v>
      </c>
      <c r="AF240" s="7">
        <f t="shared" ca="1" si="458"/>
        <v>951.31505578249562</v>
      </c>
      <c r="AG240" s="41"/>
      <c r="AH240" s="41"/>
      <c r="AI240" s="41">
        <f t="shared" ca="1" si="459"/>
        <v>730.3001430903488</v>
      </c>
      <c r="AJ240" s="13">
        <f t="shared" ca="1" si="460"/>
        <v>-2.7227329449121779E-15</v>
      </c>
      <c r="AK240" s="11"/>
      <c r="AL240" s="6">
        <v>0</v>
      </c>
      <c r="AM240" s="6">
        <v>135</v>
      </c>
      <c r="AN240" s="41">
        <f t="shared" ca="1" si="461"/>
        <v>27.386255365888079</v>
      </c>
      <c r="AO240" s="41">
        <f t="shared" ca="1" si="462"/>
        <v>6.6319387605682936</v>
      </c>
      <c r="AP240" s="67">
        <f t="shared" si="482"/>
        <v>0.76767432476893471</v>
      </c>
      <c r="AQ240" s="11">
        <f t="shared" si="463"/>
        <v>1.0314301707183759</v>
      </c>
      <c r="AR240" s="11">
        <f t="shared" si="464"/>
        <v>0.8962407041850623</v>
      </c>
      <c r="AS240" s="11">
        <f t="shared" si="465"/>
        <v>0.86893008332386068</v>
      </c>
      <c r="AT240" s="11">
        <f t="shared" si="466"/>
        <v>534.97188664650002</v>
      </c>
      <c r="AU240" s="11">
        <f t="shared" si="467"/>
        <v>1896.6425030105124</v>
      </c>
      <c r="AV240" s="11">
        <f t="shared" si="468"/>
        <v>2.0653599150524844E-3</v>
      </c>
      <c r="AW240" s="11">
        <f t="shared" si="469"/>
        <v>3.8278171249107636E-7</v>
      </c>
      <c r="AX240" s="41">
        <f t="shared" ca="1" si="470"/>
        <v>1.2016125563761482</v>
      </c>
      <c r="AY240" s="41">
        <f t="shared" ca="1" si="471"/>
        <v>1.6185959865358182</v>
      </c>
      <c r="AZ240" s="41">
        <f t="shared" si="472"/>
        <v>0.19374347287471558</v>
      </c>
    </row>
    <row r="241" spans="1:52" ht="14.5">
      <c r="A241" s="41">
        <f t="shared" ca="1" si="473"/>
        <v>1253.4616048486323</v>
      </c>
      <c r="B241" s="41">
        <f t="shared" ca="1" si="474"/>
        <v>20.891026747477206</v>
      </c>
      <c r="C241" s="41">
        <f t="shared" ca="1" si="474"/>
        <v>0.34818377912462012</v>
      </c>
      <c r="D241" s="41">
        <f t="shared" ca="1" si="475"/>
        <v>12436.048740765475</v>
      </c>
      <c r="E241" s="41">
        <f t="shared" ca="1" si="476"/>
        <v>60.337217241769167</v>
      </c>
      <c r="F241" s="41">
        <f t="shared" ca="1" si="477"/>
        <v>59.687448845114652</v>
      </c>
      <c r="G241" s="41"/>
      <c r="H241" s="7">
        <f t="shared" si="478"/>
        <v>3000</v>
      </c>
      <c r="I241" s="6">
        <v>15</v>
      </c>
      <c r="J241" s="41">
        <f t="shared" si="439"/>
        <v>0.2632532415619146</v>
      </c>
      <c r="K241" s="41">
        <f t="shared" si="440"/>
        <v>298.49194287410489</v>
      </c>
      <c r="L241" s="6">
        <f t="shared" si="479"/>
        <v>165</v>
      </c>
      <c r="M241" s="41">
        <f t="shared" si="441"/>
        <v>176.85170028182117</v>
      </c>
      <c r="N241" s="41">
        <f t="shared" si="442"/>
        <v>92.009140514372376</v>
      </c>
      <c r="O241" s="41">
        <f t="shared" si="443"/>
        <v>1610560.9898818883</v>
      </c>
      <c r="P241" s="41">
        <f t="shared" si="444"/>
        <v>10340933.270748764</v>
      </c>
      <c r="Q241" s="41">
        <f t="shared" si="445"/>
        <v>2.9684322926589999E-3</v>
      </c>
      <c r="R241" s="41">
        <f t="shared" si="446"/>
        <v>2.3046986099112335E-2</v>
      </c>
      <c r="S241" s="24">
        <f t="shared" ca="1" si="480"/>
        <v>0</v>
      </c>
      <c r="T241" s="10">
        <f t="shared" ca="1" si="447"/>
        <v>0</v>
      </c>
      <c r="U241" s="41">
        <f t="shared" ca="1" si="448"/>
        <v>0.58765658315563674</v>
      </c>
      <c r="V241" s="41">
        <f t="shared" ca="1" si="449"/>
        <v>4.4857545378500036E-2</v>
      </c>
      <c r="W241" s="41">
        <f t="shared" ca="1" si="450"/>
        <v>13.10050690908507</v>
      </c>
      <c r="X241" s="20">
        <f t="shared" ca="1" si="451"/>
        <v>949.27996504785631</v>
      </c>
      <c r="Y241" s="41">
        <f t="shared" si="452"/>
        <v>0.60408391864909072</v>
      </c>
      <c r="Z241" s="41">
        <f t="shared" ca="1" si="453"/>
        <v>147.70282260795022</v>
      </c>
      <c r="AA241" s="14">
        <f t="shared" ca="1" si="454"/>
        <v>949.27996504785631</v>
      </c>
      <c r="AB241" s="14">
        <f t="shared" si="481"/>
        <v>5234.4042087224379</v>
      </c>
      <c r="AC241" s="25">
        <f t="shared" ca="1" si="455"/>
        <v>283352.421098597</v>
      </c>
      <c r="AD241" s="41">
        <f t="shared" si="456"/>
        <v>1562427.4820499523</v>
      </c>
      <c r="AE241" s="5">
        <f t="shared" ca="1" si="457"/>
        <v>18.135396641054346</v>
      </c>
      <c r="AF241" s="7">
        <f t="shared" ca="1" si="458"/>
        <v>949.27996504785631</v>
      </c>
      <c r="AG241" s="41"/>
      <c r="AH241" s="41"/>
      <c r="AI241" s="41">
        <f t="shared" ca="1" si="459"/>
        <v>728.73785618479099</v>
      </c>
      <c r="AJ241" s="13">
        <f t="shared" ca="1" si="460"/>
        <v>0</v>
      </c>
      <c r="AK241" s="11"/>
      <c r="AL241" s="6">
        <v>0</v>
      </c>
      <c r="AM241" s="6">
        <v>135</v>
      </c>
      <c r="AN241" s="41">
        <f t="shared" ca="1" si="461"/>
        <v>27.327669606929661</v>
      </c>
      <c r="AO241" s="41">
        <f t="shared" ca="1" si="462"/>
        <v>6.6319387605682936</v>
      </c>
      <c r="AP241" s="67">
        <f t="shared" si="482"/>
        <v>0.76767432476893471</v>
      </c>
      <c r="AQ241" s="11">
        <f t="shared" si="463"/>
        <v>1.0314301707183759</v>
      </c>
      <c r="AR241" s="11">
        <f t="shared" si="464"/>
        <v>0.8962407041850623</v>
      </c>
      <c r="AS241" s="11">
        <f t="shared" si="465"/>
        <v>0.86893008332386068</v>
      </c>
      <c r="AT241" s="11">
        <f t="shared" si="466"/>
        <v>534.97188664650002</v>
      </c>
      <c r="AU241" s="11">
        <f t="shared" si="467"/>
        <v>1896.6425030105124</v>
      </c>
      <c r="AV241" s="11">
        <f t="shared" si="468"/>
        <v>2.0653599150524844E-3</v>
      </c>
      <c r="AW241" s="11">
        <f t="shared" si="469"/>
        <v>3.8278171249107636E-7</v>
      </c>
      <c r="AX241" s="41">
        <f t="shared" ca="1" si="470"/>
        <v>1.2032301618836525</v>
      </c>
      <c r="AY241" s="41">
        <f t="shared" ca="1" si="471"/>
        <v>1.6207749332922843</v>
      </c>
      <c r="AZ241" s="41">
        <f t="shared" si="472"/>
        <v>0.19374347287471558</v>
      </c>
    </row>
    <row r="242" spans="1:52" ht="14.5">
      <c r="A242" s="41">
        <f t="shared" ca="1" si="473"/>
        <v>1388.4616048486323</v>
      </c>
      <c r="B242" s="41">
        <f t="shared" ca="1" si="474"/>
        <v>23.141026747477206</v>
      </c>
      <c r="C242" s="41">
        <f t="shared" ca="1" si="474"/>
        <v>0.3856837791246201</v>
      </c>
      <c r="D242" s="41">
        <f t="shared" ca="1" si="475"/>
        <v>12408.721071158545</v>
      </c>
      <c r="E242" s="41">
        <f t="shared" ca="1" si="476"/>
        <v>66.969156002337456</v>
      </c>
      <c r="F242" s="41">
        <f t="shared" ca="1" si="477"/>
        <v>66.319387605682948</v>
      </c>
      <c r="G242" s="41"/>
      <c r="H242" s="7">
        <f t="shared" si="478"/>
        <v>3000</v>
      </c>
      <c r="I242" s="6">
        <v>15</v>
      </c>
      <c r="J242" s="41">
        <f t="shared" si="439"/>
        <v>0.2632532415619146</v>
      </c>
      <c r="K242" s="41">
        <f t="shared" si="440"/>
        <v>298.49194287410489</v>
      </c>
      <c r="L242" s="6">
        <f t="shared" si="479"/>
        <v>165</v>
      </c>
      <c r="M242" s="41">
        <f t="shared" si="441"/>
        <v>176.85170028182117</v>
      </c>
      <c r="N242" s="41">
        <f t="shared" si="442"/>
        <v>92.009140514372376</v>
      </c>
      <c r="O242" s="41">
        <f t="shared" si="443"/>
        <v>1610560.9898818883</v>
      </c>
      <c r="P242" s="41">
        <f t="shared" si="444"/>
        <v>10340933.270748764</v>
      </c>
      <c r="Q242" s="41">
        <f t="shared" si="445"/>
        <v>2.9684322926589999E-3</v>
      </c>
      <c r="R242" s="41">
        <f t="shared" si="446"/>
        <v>2.3046986099112335E-2</v>
      </c>
      <c r="S242" s="24">
        <f t="shared" ca="1" si="480"/>
        <v>0</v>
      </c>
      <c r="T242" s="10">
        <f t="shared" ca="1" si="447"/>
        <v>0</v>
      </c>
      <c r="U242" s="41">
        <f t="shared" ca="1" si="448"/>
        <v>0.58636523368591553</v>
      </c>
      <c r="V242" s="41">
        <f t="shared" ca="1" si="449"/>
        <v>4.4761795210007359E-2</v>
      </c>
      <c r="W242" s="41">
        <f t="shared" ca="1" si="450"/>
        <v>13.099680898294766</v>
      </c>
      <c r="X242" s="20">
        <f t="shared" ca="1" si="451"/>
        <v>947.25369018521928</v>
      </c>
      <c r="Y242" s="41">
        <f t="shared" si="452"/>
        <v>0.60408391864909072</v>
      </c>
      <c r="Z242" s="41">
        <f t="shared" ca="1" si="453"/>
        <v>147.54044813119134</v>
      </c>
      <c r="AA242" s="14">
        <f t="shared" ca="1" si="454"/>
        <v>947.25369018521928</v>
      </c>
      <c r="AB242" s="14">
        <f t="shared" si="481"/>
        <v>5234.4042087224379</v>
      </c>
      <c r="AC242" s="25">
        <f t="shared" ca="1" si="455"/>
        <v>282747.59437805152</v>
      </c>
      <c r="AD242" s="41">
        <f t="shared" si="456"/>
        <v>1562427.4820499523</v>
      </c>
      <c r="AE242" s="5">
        <f t="shared" ca="1" si="457"/>
        <v>18.096685934317932</v>
      </c>
      <c r="AF242" s="7">
        <f t="shared" ca="1" si="458"/>
        <v>947.25369018521928</v>
      </c>
      <c r="AG242" s="41"/>
      <c r="AH242" s="41"/>
      <c r="AI242" s="41">
        <f t="shared" ca="1" si="459"/>
        <v>727.1823369978199</v>
      </c>
      <c r="AJ242" s="13">
        <f t="shared" ca="1" si="460"/>
        <v>0</v>
      </c>
      <c r="AK242" s="11"/>
      <c r="AL242" s="6">
        <v>0</v>
      </c>
      <c r="AM242" s="6">
        <v>135</v>
      </c>
      <c r="AN242" s="41">
        <f t="shared" ca="1" si="461"/>
        <v>27.269337637418246</v>
      </c>
      <c r="AO242" s="41">
        <f t="shared" ca="1" si="462"/>
        <v>6.6319387605682936</v>
      </c>
      <c r="AP242" s="67">
        <f t="shared" si="482"/>
        <v>0.76767432476893471</v>
      </c>
      <c r="AQ242" s="11">
        <f t="shared" si="463"/>
        <v>1.0314301707183759</v>
      </c>
      <c r="AR242" s="11">
        <f t="shared" si="464"/>
        <v>0.8962407041850623</v>
      </c>
      <c r="AS242" s="11">
        <f t="shared" si="465"/>
        <v>0.86893008332386068</v>
      </c>
      <c r="AT242" s="11">
        <f t="shared" si="466"/>
        <v>534.97188664650002</v>
      </c>
      <c r="AU242" s="11">
        <f t="shared" si="467"/>
        <v>1896.6425030105124</v>
      </c>
      <c r="AV242" s="11">
        <f t="shared" si="468"/>
        <v>2.0653599150524844E-3</v>
      </c>
      <c r="AW242" s="11">
        <f t="shared" si="469"/>
        <v>3.8278171249107636E-7</v>
      </c>
      <c r="AX242" s="41">
        <f t="shared" ca="1" si="470"/>
        <v>1.2048542677607639</v>
      </c>
      <c r="AY242" s="41">
        <f t="shared" ca="1" si="471"/>
        <v>1.6229626361757576</v>
      </c>
      <c r="AZ242" s="41">
        <f t="shared" si="472"/>
        <v>0.19374347287471558</v>
      </c>
    </row>
    <row r="243" spans="1:52" ht="14.5">
      <c r="A243" s="41">
        <f t="shared" ca="1" si="473"/>
        <v>1523.4616048486323</v>
      </c>
      <c r="B243" s="41">
        <f t="shared" ca="1" si="474"/>
        <v>25.391026747477206</v>
      </c>
      <c r="C243" s="41">
        <f t="shared" ca="1" si="474"/>
        <v>0.42318377912462007</v>
      </c>
      <c r="D243" s="41">
        <f t="shared" ca="1" si="475"/>
        <v>12381.451733521126</v>
      </c>
      <c r="E243" s="41">
        <f t="shared" ca="1" si="476"/>
        <v>73.601094762905745</v>
      </c>
      <c r="F243" s="41">
        <f t="shared" ca="1" si="477"/>
        <v>72.951326366251237</v>
      </c>
      <c r="G243" s="41"/>
      <c r="H243" s="7">
        <f t="shared" si="478"/>
        <v>3000</v>
      </c>
      <c r="I243" s="6">
        <v>15</v>
      </c>
      <c r="J243" s="41">
        <f t="shared" si="439"/>
        <v>0.2632532415619146</v>
      </c>
      <c r="K243" s="41">
        <f t="shared" si="440"/>
        <v>298.49194287410489</v>
      </c>
      <c r="L243" s="6">
        <f t="shared" si="479"/>
        <v>165</v>
      </c>
      <c r="M243" s="41">
        <f t="shared" si="441"/>
        <v>176.85170028182117</v>
      </c>
      <c r="N243" s="41">
        <f t="shared" si="442"/>
        <v>92.009140514372376</v>
      </c>
      <c r="O243" s="41">
        <f t="shared" si="443"/>
        <v>1610560.9898818883</v>
      </c>
      <c r="P243" s="41">
        <f t="shared" si="444"/>
        <v>10340933.270748764</v>
      </c>
      <c r="Q243" s="41">
        <f t="shared" si="445"/>
        <v>2.9684322926589999E-3</v>
      </c>
      <c r="R243" s="41">
        <f t="shared" si="446"/>
        <v>2.3046986099112335E-2</v>
      </c>
      <c r="S243" s="24">
        <f t="shared" ca="1" si="480"/>
        <v>1.0521829148680691E-15</v>
      </c>
      <c r="T243" s="10">
        <f t="shared" ca="1" si="447"/>
        <v>1.0521829148680691E-15</v>
      </c>
      <c r="U243" s="41">
        <f t="shared" ca="1" si="448"/>
        <v>0.5850766406516672</v>
      </c>
      <c r="V243" s="41">
        <f t="shared" ca="1" si="449"/>
        <v>4.4666459388229565E-2</v>
      </c>
      <c r="W243" s="41">
        <f t="shared" ca="1" si="450"/>
        <v>13.098791546612841</v>
      </c>
      <c r="X243" s="20">
        <f t="shared" ca="1" si="451"/>
        <v>945.23618377015782</v>
      </c>
      <c r="Y243" s="41">
        <f t="shared" si="452"/>
        <v>0.60408391864909072</v>
      </c>
      <c r="Z243" s="41">
        <f t="shared" ca="1" si="453"/>
        <v>147.37824192490763</v>
      </c>
      <c r="AA243" s="14">
        <f t="shared" ca="1" si="454"/>
        <v>945.23618377015794</v>
      </c>
      <c r="AB243" s="14">
        <f t="shared" si="481"/>
        <v>5234.4042087224379</v>
      </c>
      <c r="AC243" s="25">
        <f t="shared" ca="1" si="455"/>
        <v>282145.38496845891</v>
      </c>
      <c r="AD243" s="41">
        <f t="shared" si="456"/>
        <v>1562427.4820499523</v>
      </c>
      <c r="AE243" s="5">
        <f t="shared" ca="1" si="457"/>
        <v>18.058142743257154</v>
      </c>
      <c r="AF243" s="7">
        <f t="shared" ca="1" si="458"/>
        <v>945.23618377015805</v>
      </c>
      <c r="AG243" s="41"/>
      <c r="AH243" s="41"/>
      <c r="AI243" s="41">
        <f t="shared" ca="1" si="459"/>
        <v>725.63354912292073</v>
      </c>
      <c r="AJ243" s="13">
        <f t="shared" ca="1" si="460"/>
        <v>5.4815228134944521E-15</v>
      </c>
      <c r="AK243" s="11"/>
      <c r="AL243" s="6">
        <v>0</v>
      </c>
      <c r="AM243" s="6">
        <v>135</v>
      </c>
      <c r="AN243" s="41">
        <f t="shared" ca="1" si="461"/>
        <v>27.211258092109528</v>
      </c>
      <c r="AO243" s="41">
        <f t="shared" ca="1" si="462"/>
        <v>6.6319387605682936</v>
      </c>
      <c r="AP243" s="67">
        <f t="shared" si="482"/>
        <v>0.76767432476893471</v>
      </c>
      <c r="AQ243" s="11">
        <f t="shared" si="463"/>
        <v>1.0314301707183759</v>
      </c>
      <c r="AR243" s="11">
        <f t="shared" si="464"/>
        <v>0.8962407041850623</v>
      </c>
      <c r="AS243" s="11">
        <f t="shared" si="465"/>
        <v>0.86893008332386068</v>
      </c>
      <c r="AT243" s="11">
        <f t="shared" si="466"/>
        <v>534.97188664650002</v>
      </c>
      <c r="AU243" s="11">
        <f t="shared" si="467"/>
        <v>1896.6425030105124</v>
      </c>
      <c r="AV243" s="11">
        <f t="shared" si="468"/>
        <v>2.0653599150524844E-3</v>
      </c>
      <c r="AW243" s="11">
        <f t="shared" si="469"/>
        <v>3.8278171249107636E-7</v>
      </c>
      <c r="AX243" s="41">
        <f t="shared" ca="1" si="470"/>
        <v>1.2064848869066449</v>
      </c>
      <c r="AY243" s="41">
        <f t="shared" ca="1" si="471"/>
        <v>1.6251591125616662</v>
      </c>
      <c r="AZ243" s="41">
        <f t="shared" si="472"/>
        <v>0.19374347287471558</v>
      </c>
    </row>
    <row r="244" spans="1:52" ht="14.5">
      <c r="A244" s="41">
        <f t="shared" ca="1" si="473"/>
        <v>1658.4616048486323</v>
      </c>
      <c r="B244" s="41">
        <f t="shared" ca="1" si="474"/>
        <v>27.641026747477206</v>
      </c>
      <c r="C244" s="41">
        <f t="shared" ca="1" si="474"/>
        <v>0.46068377912462011</v>
      </c>
      <c r="D244" s="41">
        <f t="shared" ca="1" si="475"/>
        <v>12354.240475429016</v>
      </c>
      <c r="E244" s="41">
        <f t="shared" ca="1" si="476"/>
        <v>80.233033523474035</v>
      </c>
      <c r="F244" s="41">
        <f t="shared" ca="1" si="477"/>
        <v>79.583265126819526</v>
      </c>
      <c r="G244" s="41"/>
      <c r="H244" s="7">
        <f t="shared" si="478"/>
        <v>3000</v>
      </c>
      <c r="I244" s="6">
        <v>15</v>
      </c>
      <c r="J244" s="41">
        <f t="shared" si="439"/>
        <v>0.2632532415619146</v>
      </c>
      <c r="K244" s="41">
        <f t="shared" si="440"/>
        <v>298.49194287410489</v>
      </c>
      <c r="L244" s="6">
        <f t="shared" si="479"/>
        <v>165</v>
      </c>
      <c r="M244" s="41">
        <f t="shared" si="441"/>
        <v>176.85170028182117</v>
      </c>
      <c r="N244" s="41">
        <f t="shared" si="442"/>
        <v>92.009140514372376</v>
      </c>
      <c r="O244" s="41">
        <f t="shared" si="443"/>
        <v>1610560.9898818883</v>
      </c>
      <c r="P244" s="41">
        <f t="shared" si="444"/>
        <v>10340933.270748764</v>
      </c>
      <c r="Q244" s="41">
        <f t="shared" si="445"/>
        <v>2.9684322926589999E-3</v>
      </c>
      <c r="R244" s="41">
        <f t="shared" si="446"/>
        <v>2.3046986099112335E-2</v>
      </c>
      <c r="S244" s="24">
        <f t="shared" ca="1" si="480"/>
        <v>0</v>
      </c>
      <c r="T244" s="10">
        <f t="shared" ca="1" si="447"/>
        <v>0</v>
      </c>
      <c r="U244" s="41">
        <f t="shared" ca="1" si="448"/>
        <v>0.58379079212476681</v>
      </c>
      <c r="V244" s="41">
        <f t="shared" ca="1" si="449"/>
        <v>4.4571535687612095E-2</v>
      </c>
      <c r="W244" s="41">
        <f t="shared" ca="1" si="450"/>
        <v>13.097838858781381</v>
      </c>
      <c r="X244" s="20">
        <f t="shared" ca="1" si="451"/>
        <v>943.22739870525879</v>
      </c>
      <c r="Y244" s="41">
        <f t="shared" si="452"/>
        <v>0.60408391864909072</v>
      </c>
      <c r="Z244" s="41">
        <f t="shared" ca="1" si="453"/>
        <v>147.21620304133717</v>
      </c>
      <c r="AA244" s="14">
        <f t="shared" ca="1" si="454"/>
        <v>943.22739870525868</v>
      </c>
      <c r="AB244" s="14">
        <f t="shared" si="481"/>
        <v>5234.4042087224379</v>
      </c>
      <c r="AC244" s="25">
        <f t="shared" ca="1" si="455"/>
        <v>281545.77881162061</v>
      </c>
      <c r="AD244" s="41">
        <f t="shared" si="456"/>
        <v>1562427.4820499523</v>
      </c>
      <c r="AE244" s="5">
        <f t="shared" ca="1" si="457"/>
        <v>18.019766168105548</v>
      </c>
      <c r="AF244" s="7">
        <f t="shared" ca="1" si="458"/>
        <v>943.22739870525879</v>
      </c>
      <c r="AG244" s="41"/>
      <c r="AH244" s="41"/>
      <c r="AI244" s="41">
        <f t="shared" ca="1" si="459"/>
        <v>724.09145640461827</v>
      </c>
      <c r="AJ244" s="13">
        <f t="shared" ca="1" si="460"/>
        <v>0</v>
      </c>
      <c r="AK244" s="11"/>
      <c r="AL244" s="6">
        <v>0</v>
      </c>
      <c r="AM244" s="6">
        <v>135</v>
      </c>
      <c r="AN244" s="41">
        <f t="shared" ca="1" si="461"/>
        <v>27.153429615173184</v>
      </c>
      <c r="AO244" s="41">
        <f t="shared" ca="1" si="462"/>
        <v>6.6319387605682936</v>
      </c>
      <c r="AP244" s="67">
        <f t="shared" si="482"/>
        <v>0.76767432476893471</v>
      </c>
      <c r="AQ244" s="11">
        <f t="shared" si="463"/>
        <v>1.0314301707183759</v>
      </c>
      <c r="AR244" s="11">
        <f t="shared" si="464"/>
        <v>0.8962407041850623</v>
      </c>
      <c r="AS244" s="11">
        <f t="shared" si="465"/>
        <v>0.86893008332386068</v>
      </c>
      <c r="AT244" s="11">
        <f t="shared" si="466"/>
        <v>534.97188664650002</v>
      </c>
      <c r="AU244" s="11">
        <f t="shared" si="467"/>
        <v>1896.6425030105124</v>
      </c>
      <c r="AV244" s="11">
        <f t="shared" si="468"/>
        <v>2.0653599150524844E-3</v>
      </c>
      <c r="AW244" s="11">
        <f t="shared" si="469"/>
        <v>3.8278171249107636E-7</v>
      </c>
      <c r="AX244" s="41">
        <f t="shared" ca="1" si="470"/>
        <v>1.208122032407918</v>
      </c>
      <c r="AY244" s="41">
        <f t="shared" ca="1" si="471"/>
        <v>1.6273643800779507</v>
      </c>
      <c r="AZ244" s="41">
        <f t="shared" si="472"/>
        <v>0.19374347287471558</v>
      </c>
    </row>
    <row r="245" spans="1:52" ht="14.5">
      <c r="A245" s="41">
        <f t="shared" ca="1" si="473"/>
        <v>1793.4616048486323</v>
      </c>
      <c r="B245" s="41">
        <f t="shared" ca="1" si="474"/>
        <v>29.891026747477206</v>
      </c>
      <c r="C245" s="41">
        <f t="shared" ca="1" si="474"/>
        <v>0.49818377912462009</v>
      </c>
      <c r="D245" s="41">
        <f t="shared" ca="1" si="475"/>
        <v>12327.087045813843</v>
      </c>
      <c r="E245" s="41">
        <f t="shared" ca="1" si="476"/>
        <v>86.864972284042324</v>
      </c>
      <c r="F245" s="41">
        <f t="shared" ca="1" si="477"/>
        <v>86.215203887387815</v>
      </c>
      <c r="G245" s="41"/>
      <c r="H245" s="7">
        <f t="shared" si="478"/>
        <v>3000</v>
      </c>
      <c r="I245" s="6">
        <v>15</v>
      </c>
      <c r="J245" s="41">
        <f t="shared" si="439"/>
        <v>0.2632532415619146</v>
      </c>
      <c r="K245" s="41">
        <f t="shared" si="440"/>
        <v>298.49194287410489</v>
      </c>
      <c r="L245" s="6">
        <f t="shared" si="479"/>
        <v>165</v>
      </c>
      <c r="M245" s="41">
        <f t="shared" si="441"/>
        <v>176.85170028182117</v>
      </c>
      <c r="N245" s="41">
        <f t="shared" si="442"/>
        <v>92.009140514372376</v>
      </c>
      <c r="O245" s="41">
        <f t="shared" si="443"/>
        <v>1610560.9898818883</v>
      </c>
      <c r="P245" s="41">
        <f t="shared" si="444"/>
        <v>10340933.270748764</v>
      </c>
      <c r="Q245" s="41">
        <f t="shared" si="445"/>
        <v>2.9684322926589999E-3</v>
      </c>
      <c r="R245" s="41">
        <f t="shared" si="446"/>
        <v>2.3046986099112335E-2</v>
      </c>
      <c r="S245" s="24">
        <f t="shared" ca="1" si="480"/>
        <v>0</v>
      </c>
      <c r="T245" s="10">
        <f t="shared" ca="1" si="447"/>
        <v>0</v>
      </c>
      <c r="U245" s="41">
        <f t="shared" ca="1" si="448"/>
        <v>0.58250767624115796</v>
      </c>
      <c r="V245" s="41">
        <f t="shared" ca="1" si="449"/>
        <v>4.4477021897926544E-2</v>
      </c>
      <c r="W245" s="41">
        <f t="shared" ca="1" si="450"/>
        <v>13.096822839847414</v>
      </c>
      <c r="X245" s="20">
        <f t="shared" ca="1" si="451"/>
        <v>941.22728821744226</v>
      </c>
      <c r="Y245" s="41">
        <f t="shared" si="452"/>
        <v>0.60408391864909072</v>
      </c>
      <c r="Z245" s="41">
        <f t="shared" ca="1" si="453"/>
        <v>147.05433053605444</v>
      </c>
      <c r="AA245" s="14">
        <f t="shared" ca="1" si="454"/>
        <v>941.22728821744226</v>
      </c>
      <c r="AB245" s="14">
        <f t="shared" si="481"/>
        <v>5234.4042087224379</v>
      </c>
      <c r="AC245" s="25">
        <f t="shared" ca="1" si="455"/>
        <v>280948.76194614946</v>
      </c>
      <c r="AD245" s="41">
        <f t="shared" si="456"/>
        <v>1562427.4820499523</v>
      </c>
      <c r="AE245" s="5">
        <f t="shared" ca="1" si="457"/>
        <v>17.981555315292852</v>
      </c>
      <c r="AF245" s="7">
        <f t="shared" ca="1" si="458"/>
        <v>941.22728821744226</v>
      </c>
      <c r="AG245" s="41"/>
      <c r="AH245" s="41"/>
      <c r="AI245" s="41">
        <f t="shared" ca="1" si="459"/>
        <v>722.5560229364205</v>
      </c>
      <c r="AJ245" s="13">
        <f t="shared" ca="1" si="460"/>
        <v>0</v>
      </c>
      <c r="AK245" s="11"/>
      <c r="AL245" s="6">
        <v>0</v>
      </c>
      <c r="AM245" s="6">
        <v>135</v>
      </c>
      <c r="AN245" s="41">
        <f t="shared" ca="1" si="461"/>
        <v>27.095850860115767</v>
      </c>
      <c r="AO245" s="41">
        <f t="shared" ca="1" si="462"/>
        <v>6.6319387605682936</v>
      </c>
      <c r="AP245" s="67">
        <f t="shared" si="482"/>
        <v>0.76767432476893471</v>
      </c>
      <c r="AQ245" s="11">
        <f t="shared" si="463"/>
        <v>1.0314301707183759</v>
      </c>
      <c r="AR245" s="11">
        <f t="shared" si="464"/>
        <v>0.8962407041850623</v>
      </c>
      <c r="AS245" s="11">
        <f t="shared" si="465"/>
        <v>0.86893008332386068</v>
      </c>
      <c r="AT245" s="11">
        <f t="shared" si="466"/>
        <v>534.97188664650002</v>
      </c>
      <c r="AU245" s="11">
        <f t="shared" si="467"/>
        <v>1896.6425030105124</v>
      </c>
      <c r="AV245" s="11">
        <f t="shared" si="468"/>
        <v>2.0653599150524844E-3</v>
      </c>
      <c r="AW245" s="11">
        <f t="shared" si="469"/>
        <v>3.8278171249107636E-7</v>
      </c>
      <c r="AX245" s="41">
        <f t="shared" ca="1" si="470"/>
        <v>1.2097657175389758</v>
      </c>
      <c r="AY245" s="41">
        <f t="shared" ca="1" si="471"/>
        <v>1.6295784566054814</v>
      </c>
      <c r="AZ245" s="41">
        <f t="shared" si="472"/>
        <v>0.19374347287471558</v>
      </c>
    </row>
    <row r="246" spans="1:52" ht="14.5">
      <c r="A246" s="41">
        <f t="shared" ca="1" si="473"/>
        <v>1928.4616048486323</v>
      </c>
      <c r="B246" s="41">
        <f t="shared" ca="1" si="474"/>
        <v>32.141026747477206</v>
      </c>
      <c r="C246" s="41">
        <f t="shared" ca="1" si="474"/>
        <v>0.53568377912462006</v>
      </c>
      <c r="D246" s="41">
        <f t="shared" ca="1" si="475"/>
        <v>12299.991194953727</v>
      </c>
      <c r="E246" s="41">
        <f t="shared" ca="1" si="476"/>
        <v>93.496911044610613</v>
      </c>
      <c r="F246" s="41">
        <f t="shared" ca="1" si="477"/>
        <v>92.847142647956105</v>
      </c>
      <c r="G246" s="41"/>
      <c r="H246" s="7">
        <f t="shared" si="478"/>
        <v>3000</v>
      </c>
      <c r="I246" s="6">
        <v>15</v>
      </c>
      <c r="J246" s="41">
        <f t="shared" si="439"/>
        <v>0.2632532415619146</v>
      </c>
      <c r="K246" s="41">
        <f t="shared" si="440"/>
        <v>298.49194287410489</v>
      </c>
      <c r="L246" s="6">
        <f t="shared" si="479"/>
        <v>165</v>
      </c>
      <c r="M246" s="41">
        <f t="shared" si="441"/>
        <v>176.85170028182117</v>
      </c>
      <c r="N246" s="41">
        <f t="shared" si="442"/>
        <v>92.009140514372376</v>
      </c>
      <c r="O246" s="41">
        <f t="shared" si="443"/>
        <v>1610560.9898818883</v>
      </c>
      <c r="P246" s="41">
        <f t="shared" si="444"/>
        <v>10340933.270748764</v>
      </c>
      <c r="Q246" s="41">
        <f t="shared" si="445"/>
        <v>2.9684322926589999E-3</v>
      </c>
      <c r="R246" s="41">
        <f t="shared" si="446"/>
        <v>2.3046986099112335E-2</v>
      </c>
      <c r="S246" s="24">
        <f t="shared" ca="1" si="480"/>
        <v>0</v>
      </c>
      <c r="T246" s="10">
        <f t="shared" ca="1" si="447"/>
        <v>0</v>
      </c>
      <c r="U246" s="41">
        <f t="shared" ca="1" si="448"/>
        <v>0.581227281200412</v>
      </c>
      <c r="V246" s="41">
        <f t="shared" ca="1" si="449"/>
        <v>4.438291582414515E-2</v>
      </c>
      <c r="W246" s="41">
        <f t="shared" ca="1" si="450"/>
        <v>13.095743495162914</v>
      </c>
      <c r="X246" s="20">
        <f t="shared" ca="1" si="451"/>
        <v>939.23580585530647</v>
      </c>
      <c r="Y246" s="41">
        <f t="shared" si="452"/>
        <v>0.60408391864909072</v>
      </c>
      <c r="Z246" s="41">
        <f t="shared" ca="1" si="453"/>
        <v>146.89262346794376</v>
      </c>
      <c r="AA246" s="14">
        <f t="shared" ca="1" si="454"/>
        <v>939.23580585530647</v>
      </c>
      <c r="AB246" s="14">
        <f t="shared" si="481"/>
        <v>5234.4042087224379</v>
      </c>
      <c r="AC246" s="25">
        <f t="shared" ca="1" si="455"/>
        <v>280354.32050667598</v>
      </c>
      <c r="AD246" s="41">
        <f t="shared" si="456"/>
        <v>1562427.4820499523</v>
      </c>
      <c r="AE246" s="5">
        <f t="shared" ca="1" si="457"/>
        <v>17.943509297394247</v>
      </c>
      <c r="AF246" s="7">
        <f t="shared" ca="1" si="458"/>
        <v>939.23580585530647</v>
      </c>
      <c r="AG246" s="41"/>
      <c r="AH246" s="41"/>
      <c r="AI246" s="41">
        <f t="shared" ca="1" si="459"/>
        <v>721.02721305877867</v>
      </c>
      <c r="AJ246" s="13">
        <f t="shared" ca="1" si="460"/>
        <v>0</v>
      </c>
      <c r="AK246" s="11"/>
      <c r="AL246" s="6">
        <v>0</v>
      </c>
      <c r="AM246" s="6">
        <v>135</v>
      </c>
      <c r="AN246" s="41">
        <f t="shared" ca="1" si="461"/>
        <v>27.038520489704201</v>
      </c>
      <c r="AO246" s="41">
        <f t="shared" ca="1" si="462"/>
        <v>6.6319387605682936</v>
      </c>
      <c r="AP246" s="67">
        <f t="shared" si="482"/>
        <v>0.76767432476893471</v>
      </c>
      <c r="AQ246" s="11">
        <f t="shared" si="463"/>
        <v>1.0314301707183759</v>
      </c>
      <c r="AR246" s="11">
        <f t="shared" si="464"/>
        <v>0.8962407041850623</v>
      </c>
      <c r="AS246" s="11">
        <f t="shared" si="465"/>
        <v>0.86893008332386068</v>
      </c>
      <c r="AT246" s="11">
        <f t="shared" si="466"/>
        <v>534.97188664650002</v>
      </c>
      <c r="AU246" s="11">
        <f t="shared" si="467"/>
        <v>1896.6425030105124</v>
      </c>
      <c r="AV246" s="11">
        <f t="shared" si="468"/>
        <v>2.0653599150524844E-3</v>
      </c>
      <c r="AW246" s="11">
        <f t="shared" si="469"/>
        <v>3.8278171249107636E-7</v>
      </c>
      <c r="AX246" s="41">
        <f t="shared" ca="1" si="470"/>
        <v>1.2114159557622928</v>
      </c>
      <c r="AY246" s="41">
        <f t="shared" ca="1" si="471"/>
        <v>1.6318013602784793</v>
      </c>
      <c r="AZ246" s="41">
        <f t="shared" si="472"/>
        <v>0.19374347287471558</v>
      </c>
    </row>
    <row r="247" spans="1:52" ht="14.5">
      <c r="A247" s="41">
        <f t="shared" ca="1" si="473"/>
        <v>2063.4616048486323</v>
      </c>
      <c r="B247" s="41">
        <f t="shared" ca="1" si="474"/>
        <v>34.391026747477206</v>
      </c>
      <c r="C247" s="41">
        <f t="shared" ca="1" si="474"/>
        <v>0.57318377912462004</v>
      </c>
      <c r="D247" s="41">
        <f t="shared" ca="1" si="475"/>
        <v>12272.952674464022</v>
      </c>
      <c r="E247" s="41">
        <f t="shared" ca="1" si="476"/>
        <v>100.1288498051789</v>
      </c>
      <c r="F247" s="41">
        <f t="shared" ca="1" si="477"/>
        <v>99.479081408524394</v>
      </c>
      <c r="G247" s="41"/>
      <c r="H247" s="7">
        <f t="shared" si="478"/>
        <v>3000</v>
      </c>
      <c r="I247" s="6">
        <v>15</v>
      </c>
      <c r="J247" s="41">
        <f t="shared" si="439"/>
        <v>0.2632532415619146</v>
      </c>
      <c r="K247" s="41">
        <f t="shared" si="440"/>
        <v>298.49194287410489</v>
      </c>
      <c r="L247" s="6">
        <f t="shared" si="479"/>
        <v>165</v>
      </c>
      <c r="M247" s="41">
        <f t="shared" si="441"/>
        <v>176.85170028182117</v>
      </c>
      <c r="N247" s="41">
        <f t="shared" si="442"/>
        <v>92.009140514372376</v>
      </c>
      <c r="O247" s="41">
        <f t="shared" si="443"/>
        <v>1610560.9898818883</v>
      </c>
      <c r="P247" s="41">
        <f t="shared" si="444"/>
        <v>10340933.270748764</v>
      </c>
      <c r="Q247" s="41">
        <f t="shared" si="445"/>
        <v>2.9684322926589999E-3</v>
      </c>
      <c r="R247" s="41">
        <f t="shared" si="446"/>
        <v>2.3046986099112335E-2</v>
      </c>
      <c r="S247" s="24">
        <f t="shared" ca="1" si="480"/>
        <v>1.0614847397220569E-15</v>
      </c>
      <c r="T247" s="10">
        <f t="shared" ca="1" si="447"/>
        <v>1.0614847397220569E-15</v>
      </c>
      <c r="U247" s="41">
        <f t="shared" ca="1" si="448"/>
        <v>0.57994959526529033</v>
      </c>
      <c r="V247" s="41">
        <f t="shared" ca="1" si="449"/>
        <v>4.428921528631663E-2</v>
      </c>
      <c r="W247" s="41">
        <f t="shared" ca="1" si="450"/>
        <v>13.094600830384742</v>
      </c>
      <c r="X247" s="20">
        <f t="shared" ca="1" si="451"/>
        <v>937.252905486499</v>
      </c>
      <c r="Y247" s="41">
        <f t="shared" si="452"/>
        <v>0.60408391864909072</v>
      </c>
      <c r="Z247" s="41">
        <f t="shared" ca="1" si="453"/>
        <v>146.73108089917284</v>
      </c>
      <c r="AA247" s="14">
        <f t="shared" ca="1" si="454"/>
        <v>937.252905486499</v>
      </c>
      <c r="AB247" s="14">
        <f t="shared" si="481"/>
        <v>5234.4042087224379</v>
      </c>
      <c r="AC247" s="25">
        <f t="shared" ca="1" si="455"/>
        <v>279762.44072306488</v>
      </c>
      <c r="AD247" s="41">
        <f t="shared" si="456"/>
        <v>1562427.4820499523</v>
      </c>
      <c r="AE247" s="5">
        <f t="shared" ca="1" si="457"/>
        <v>17.905627233080164</v>
      </c>
      <c r="AF247" s="7">
        <f t="shared" ca="1" si="458"/>
        <v>937.25290548649923</v>
      </c>
      <c r="AG247" s="41"/>
      <c r="AH247" s="41"/>
      <c r="AI247" s="41">
        <f t="shared" ca="1" si="459"/>
        <v>719.50499135707048</v>
      </c>
      <c r="AJ247" s="13">
        <f t="shared" ca="1" si="460"/>
        <v>5.5299822252790071E-15</v>
      </c>
      <c r="AK247" s="11"/>
      <c r="AL247" s="6">
        <v>0</v>
      </c>
      <c r="AM247" s="6">
        <v>135</v>
      </c>
      <c r="AN247" s="41">
        <f t="shared" ca="1" si="461"/>
        <v>26.981437175890143</v>
      </c>
      <c r="AO247" s="41">
        <f t="shared" ca="1" si="462"/>
        <v>6.6319387605682936</v>
      </c>
      <c r="AP247" s="67">
        <f t="shared" si="482"/>
        <v>0.76767432476893471</v>
      </c>
      <c r="AQ247" s="11">
        <f t="shared" si="463"/>
        <v>1.0314301707183759</v>
      </c>
      <c r="AR247" s="11">
        <f t="shared" si="464"/>
        <v>0.8962407041850623</v>
      </c>
      <c r="AS247" s="11">
        <f t="shared" si="465"/>
        <v>0.86893008332386068</v>
      </c>
      <c r="AT247" s="11">
        <f t="shared" si="466"/>
        <v>534.97188664650002</v>
      </c>
      <c r="AU247" s="11">
        <f t="shared" si="467"/>
        <v>1896.6425030105124</v>
      </c>
      <c r="AV247" s="11">
        <f t="shared" si="468"/>
        <v>2.0653599150524844E-3</v>
      </c>
      <c r="AW247" s="11">
        <f t="shared" si="469"/>
        <v>3.8278171249107636E-7</v>
      </c>
      <c r="AX247" s="41">
        <f t="shared" ca="1" si="470"/>
        <v>1.2130727607287641</v>
      </c>
      <c r="AY247" s="41">
        <f t="shared" ca="1" si="471"/>
        <v>1.6340331094849712</v>
      </c>
      <c r="AZ247" s="41">
        <f t="shared" si="472"/>
        <v>0.19374347287471558</v>
      </c>
    </row>
    <row r="248" spans="1:52" ht="14.5">
      <c r="A248" s="41">
        <f t="shared" ca="1" si="473"/>
        <v>2198.4616048486323</v>
      </c>
      <c r="B248" s="41">
        <f t="shared" ca="1" si="474"/>
        <v>36.641026747477206</v>
      </c>
      <c r="C248" s="41">
        <f t="shared" ca="1" si="474"/>
        <v>0.61068377912462013</v>
      </c>
      <c r="D248" s="41">
        <f t="shared" ca="1" si="475"/>
        <v>12245.971237288133</v>
      </c>
      <c r="E248" s="41">
        <f t="shared" ca="1" si="476"/>
        <v>106.76078856574719</v>
      </c>
      <c r="F248" s="41">
        <f t="shared" ca="1" si="477"/>
        <v>106.11102016909268</v>
      </c>
      <c r="G248" s="41"/>
      <c r="H248" s="7">
        <f t="shared" si="478"/>
        <v>3000</v>
      </c>
      <c r="I248" s="6">
        <v>15</v>
      </c>
      <c r="J248" s="41">
        <f t="shared" si="439"/>
        <v>0.2632532415619146</v>
      </c>
      <c r="K248" s="41">
        <f t="shared" si="440"/>
        <v>298.49194287410489</v>
      </c>
      <c r="L248" s="6">
        <f t="shared" si="479"/>
        <v>165</v>
      </c>
      <c r="M248" s="41">
        <f t="shared" si="441"/>
        <v>176.85170028182117</v>
      </c>
      <c r="N248" s="41">
        <f t="shared" si="442"/>
        <v>92.009140514372376</v>
      </c>
      <c r="O248" s="41">
        <f t="shared" si="443"/>
        <v>1610560.9898818883</v>
      </c>
      <c r="P248" s="41">
        <f t="shared" si="444"/>
        <v>10340933.270748764</v>
      </c>
      <c r="Q248" s="41">
        <f t="shared" si="445"/>
        <v>2.9684322926589999E-3</v>
      </c>
      <c r="R248" s="41">
        <f t="shared" si="446"/>
        <v>2.3046986099112335E-2</v>
      </c>
      <c r="S248" s="24">
        <f t="shared" ca="1" si="480"/>
        <v>-5.3191174970289702E-16</v>
      </c>
      <c r="T248" s="10">
        <f t="shared" ca="1" si="447"/>
        <v>-5.3191174970289702E-16</v>
      </c>
      <c r="U248" s="41">
        <f t="shared" ca="1" si="448"/>
        <v>0.57867460676131033</v>
      </c>
      <c r="V248" s="41">
        <f t="shared" ca="1" si="449"/>
        <v>4.4195918119442984E-2</v>
      </c>
      <c r="W248" s="41">
        <f t="shared" ca="1" si="450"/>
        <v>13.093394851474658</v>
      </c>
      <c r="X248" s="20">
        <f t="shared" ca="1" si="451"/>
        <v>935.27854129511093</v>
      </c>
      <c r="Y248" s="41">
        <f t="shared" si="452"/>
        <v>0.60408391864909072</v>
      </c>
      <c r="Z248" s="41">
        <f t="shared" ca="1" si="453"/>
        <v>146.56970189516636</v>
      </c>
      <c r="AA248" s="14">
        <f t="shared" ca="1" si="454"/>
        <v>935.27854129511093</v>
      </c>
      <c r="AB248" s="14">
        <f t="shared" si="481"/>
        <v>5234.4042087224379</v>
      </c>
      <c r="AC248" s="25">
        <f t="shared" ca="1" si="455"/>
        <v>279173.1089196364</v>
      </c>
      <c r="AD248" s="41">
        <f t="shared" si="456"/>
        <v>1562427.4820499523</v>
      </c>
      <c r="AE248" s="5">
        <f t="shared" ca="1" si="457"/>
        <v>17.86790824706647</v>
      </c>
      <c r="AF248" s="7">
        <f t="shared" ca="1" si="458"/>
        <v>935.27854129511081</v>
      </c>
      <c r="AG248" s="41"/>
      <c r="AH248" s="41"/>
      <c r="AI248" s="41">
        <f t="shared" ca="1" si="459"/>
        <v>717.98932265959843</v>
      </c>
      <c r="AJ248" s="13">
        <f t="shared" ca="1" si="460"/>
        <v>-2.7710831924388099E-15</v>
      </c>
      <c r="AK248" s="11"/>
      <c r="AL248" s="6">
        <v>0</v>
      </c>
      <c r="AM248" s="6">
        <v>135</v>
      </c>
      <c r="AN248" s="41">
        <f t="shared" ca="1" si="461"/>
        <v>26.92459959973494</v>
      </c>
      <c r="AO248" s="41">
        <f t="shared" ca="1" si="462"/>
        <v>6.6319387605682936</v>
      </c>
      <c r="AP248" s="67">
        <f t="shared" si="482"/>
        <v>0.76767432476893471</v>
      </c>
      <c r="AQ248" s="11">
        <f t="shared" si="463"/>
        <v>1.0314301707183759</v>
      </c>
      <c r="AR248" s="11">
        <f t="shared" si="464"/>
        <v>0.8962407041850623</v>
      </c>
      <c r="AS248" s="11">
        <f t="shared" si="465"/>
        <v>0.86893008332386068</v>
      </c>
      <c r="AT248" s="11">
        <f t="shared" si="466"/>
        <v>534.97188664650002</v>
      </c>
      <c r="AU248" s="11">
        <f t="shared" si="467"/>
        <v>1896.6425030105124</v>
      </c>
      <c r="AV248" s="11">
        <f t="shared" si="468"/>
        <v>2.0653599150524844E-3</v>
      </c>
      <c r="AW248" s="11">
        <f t="shared" si="469"/>
        <v>3.8278171249107636E-7</v>
      </c>
      <c r="AX248" s="41">
        <f t="shared" ca="1" si="470"/>
        <v>1.214736146278051</v>
      </c>
      <c r="AY248" s="41">
        <f t="shared" ca="1" si="471"/>
        <v>1.6362737228672557</v>
      </c>
      <c r="AZ248" s="41">
        <f t="shared" si="472"/>
        <v>0.19374347287471558</v>
      </c>
    </row>
    <row r="249" spans="1:52" ht="14.5">
      <c r="A249" s="41">
        <f t="shared" ca="1" si="473"/>
        <v>2333.4616048486323</v>
      </c>
      <c r="B249" s="41">
        <f t="shared" ref="B249:C252" ca="1" si="483">A249/60</f>
        <v>38.891026747477206</v>
      </c>
      <c r="C249" s="41">
        <f t="shared" ca="1" si="483"/>
        <v>0.64818377912462011</v>
      </c>
      <c r="D249" s="41">
        <f t="shared" ca="1" si="475"/>
        <v>12219.046637688398</v>
      </c>
      <c r="E249" s="41">
        <f t="shared" ca="1" si="476"/>
        <v>113.39272732631548</v>
      </c>
      <c r="F249" s="41">
        <f t="shared" ca="1" si="477"/>
        <v>112.74295892966097</v>
      </c>
      <c r="G249" s="41"/>
      <c r="H249" s="7">
        <f t="shared" si="478"/>
        <v>3000</v>
      </c>
      <c r="I249" s="6">
        <v>15</v>
      </c>
      <c r="J249" s="41">
        <f t="shared" si="439"/>
        <v>0.2632532415619146</v>
      </c>
      <c r="K249" s="41">
        <f t="shared" si="440"/>
        <v>298.49194287410489</v>
      </c>
      <c r="L249" s="6">
        <f t="shared" si="479"/>
        <v>165</v>
      </c>
      <c r="M249" s="41">
        <f t="shared" si="441"/>
        <v>176.85170028182117</v>
      </c>
      <c r="N249" s="41">
        <f t="shared" si="442"/>
        <v>92.009140514372376</v>
      </c>
      <c r="O249" s="41">
        <f t="shared" si="443"/>
        <v>1610560.9898818883</v>
      </c>
      <c r="P249" s="41">
        <f t="shared" si="444"/>
        <v>10340933.270748764</v>
      </c>
      <c r="Q249" s="41">
        <f t="shared" si="445"/>
        <v>2.9684322926589999E-3</v>
      </c>
      <c r="R249" s="41">
        <f t="shared" si="446"/>
        <v>2.3046986099112335E-2</v>
      </c>
      <c r="S249" s="24">
        <f t="shared" ca="1" si="480"/>
        <v>5.3308381421069357E-16</v>
      </c>
      <c r="T249" s="10">
        <f t="shared" ca="1" si="447"/>
        <v>5.3308381421069357E-16</v>
      </c>
      <c r="U249" s="41">
        <f t="shared" ca="1" si="448"/>
        <v>0.57740230407631454</v>
      </c>
      <c r="V249" s="41">
        <f t="shared" ca="1" si="449"/>
        <v>4.4103022173357667E-2</v>
      </c>
      <c r="W249" s="41">
        <f t="shared" ca="1" si="450"/>
        <v>13.092125564699266</v>
      </c>
      <c r="X249" s="20">
        <f t="shared" ca="1" si="451"/>
        <v>933.31266777909752</v>
      </c>
      <c r="Y249" s="41">
        <f t="shared" si="452"/>
        <v>0.60408391864909072</v>
      </c>
      <c r="Z249" s="41">
        <f t="shared" ca="1" si="453"/>
        <v>146.40848552457993</v>
      </c>
      <c r="AA249" s="14">
        <f t="shared" ca="1" si="454"/>
        <v>933.31266777909764</v>
      </c>
      <c r="AB249" s="14">
        <f t="shared" si="481"/>
        <v>5234.4042087224379</v>
      </c>
      <c r="AC249" s="25">
        <f t="shared" ca="1" si="455"/>
        <v>278586.31151439686</v>
      </c>
      <c r="AD249" s="41">
        <f t="shared" si="456"/>
        <v>1562427.4820499523</v>
      </c>
      <c r="AE249" s="5">
        <f t="shared" ca="1" si="457"/>
        <v>17.830351470065235</v>
      </c>
      <c r="AF249" s="7">
        <f t="shared" ca="1" si="458"/>
        <v>933.31266777909764</v>
      </c>
      <c r="AG249" s="41"/>
      <c r="AH249" s="41"/>
      <c r="AI249" s="41">
        <f t="shared" ca="1" si="459"/>
        <v>716.48017203561187</v>
      </c>
      <c r="AJ249" s="13">
        <f t="shared" ca="1" si="460"/>
        <v>2.7771892584541279E-15</v>
      </c>
      <c r="AK249" s="11"/>
      <c r="AL249" s="6">
        <v>0</v>
      </c>
      <c r="AM249" s="6">
        <v>135</v>
      </c>
      <c r="AN249" s="41">
        <f t="shared" ca="1" si="461"/>
        <v>26.868006451335443</v>
      </c>
      <c r="AO249" s="41">
        <f t="shared" ca="1" si="462"/>
        <v>6.6319387605682936</v>
      </c>
      <c r="AP249" s="67">
        <f t="shared" si="482"/>
        <v>0.76767432476893471</v>
      </c>
      <c r="AQ249" s="11">
        <f t="shared" si="463"/>
        <v>1.0314301707183759</v>
      </c>
      <c r="AR249" s="11">
        <f t="shared" si="464"/>
        <v>0.8962407041850623</v>
      </c>
      <c r="AS249" s="11">
        <f t="shared" si="465"/>
        <v>0.86893008332386068</v>
      </c>
      <c r="AT249" s="11">
        <f t="shared" si="466"/>
        <v>534.97188664650002</v>
      </c>
      <c r="AU249" s="11">
        <f t="shared" si="467"/>
        <v>1896.6425030105124</v>
      </c>
      <c r="AV249" s="11">
        <f t="shared" si="468"/>
        <v>2.0653599150524844E-3</v>
      </c>
      <c r="AW249" s="11">
        <f t="shared" si="469"/>
        <v>3.8278171249107636E-7</v>
      </c>
      <c r="AX249" s="41">
        <f t="shared" ca="1" si="470"/>
        <v>1.2164061264389443</v>
      </c>
      <c r="AY249" s="41">
        <f t="shared" ca="1" si="471"/>
        <v>1.6385232193223926</v>
      </c>
      <c r="AZ249" s="41">
        <f t="shared" si="472"/>
        <v>0.19374347287471558</v>
      </c>
    </row>
    <row r="250" spans="1:52" ht="14.5">
      <c r="A250" s="41">
        <f t="shared" ca="1" si="473"/>
        <v>2468.4616048486323</v>
      </c>
      <c r="B250" s="41">
        <f t="shared" ca="1" si="483"/>
        <v>41.141026747477206</v>
      </c>
      <c r="C250" s="41">
        <f t="shared" ca="1" si="483"/>
        <v>0.68568377912462009</v>
      </c>
      <c r="D250" s="41">
        <f t="shared" ca="1" si="475"/>
        <v>12192.178631237062</v>
      </c>
      <c r="E250" s="41">
        <f t="shared" ca="1" si="476"/>
        <v>120.02466608688377</v>
      </c>
      <c r="F250" s="41">
        <f t="shared" ca="1" si="477"/>
        <v>119.37489769022926</v>
      </c>
      <c r="G250" s="41"/>
      <c r="H250" s="7">
        <f t="shared" si="478"/>
        <v>3000</v>
      </c>
      <c r="I250" s="6">
        <v>15</v>
      </c>
      <c r="J250" s="41">
        <f t="shared" si="439"/>
        <v>0.2632532415619146</v>
      </c>
      <c r="K250" s="41">
        <f t="shared" si="440"/>
        <v>298.49194287410489</v>
      </c>
      <c r="L250" s="6">
        <f t="shared" si="479"/>
        <v>165</v>
      </c>
      <c r="M250" s="41">
        <f t="shared" si="441"/>
        <v>176.85170028182117</v>
      </c>
      <c r="N250" s="41">
        <f t="shared" si="442"/>
        <v>92.009140514372376</v>
      </c>
      <c r="O250" s="41">
        <f t="shared" si="443"/>
        <v>1610560.9898818883</v>
      </c>
      <c r="P250" s="41">
        <f t="shared" si="444"/>
        <v>10340933.270748764</v>
      </c>
      <c r="Q250" s="41">
        <f t="shared" si="445"/>
        <v>2.9684322926589999E-3</v>
      </c>
      <c r="R250" s="41">
        <f t="shared" si="446"/>
        <v>2.3046986099112335E-2</v>
      </c>
      <c r="S250" s="24">
        <f t="shared" ca="1" si="480"/>
        <v>5.3425857548942192E-16</v>
      </c>
      <c r="T250" s="10">
        <f t="shared" ca="1" si="447"/>
        <v>5.3425857548942192E-16</v>
      </c>
      <c r="U250" s="41">
        <f t="shared" ca="1" si="448"/>
        <v>0.57613267566004445</v>
      </c>
      <c r="V250" s="41">
        <f t="shared" ca="1" si="449"/>
        <v>4.401052531260484E-2</v>
      </c>
      <c r="W250" s="41">
        <f t="shared" ca="1" si="450"/>
        <v>13.090792976630004</v>
      </c>
      <c r="X250" s="20">
        <f t="shared" ca="1" si="451"/>
        <v>931.35523974772423</v>
      </c>
      <c r="Y250" s="41">
        <f t="shared" si="452"/>
        <v>0.60408391864909072</v>
      </c>
      <c r="Z250" s="41">
        <f t="shared" ca="1" si="453"/>
        <v>146.24743085927415</v>
      </c>
      <c r="AA250" s="14">
        <f t="shared" ca="1" si="454"/>
        <v>931.35523974772423</v>
      </c>
      <c r="AB250" s="14">
        <f t="shared" si="481"/>
        <v>5234.4042087224379</v>
      </c>
      <c r="AC250" s="25">
        <f t="shared" ca="1" si="455"/>
        <v>278002.03501827596</v>
      </c>
      <c r="AD250" s="41">
        <f t="shared" si="456"/>
        <v>1562427.4820499523</v>
      </c>
      <c r="AE250" s="5">
        <f t="shared" ca="1" si="457"/>
        <v>17.792956038735884</v>
      </c>
      <c r="AF250" s="7">
        <f t="shared" ca="1" si="458"/>
        <v>931.35523974772434</v>
      </c>
      <c r="AG250" s="41"/>
      <c r="AH250" s="41"/>
      <c r="AI250" s="41">
        <f t="shared" ca="1" si="459"/>
        <v>714.97750479334354</v>
      </c>
      <c r="AJ250" s="13">
        <f t="shared" ca="1" si="460"/>
        <v>2.7833093737484978E-15</v>
      </c>
      <c r="AK250" s="11"/>
      <c r="AL250" s="6">
        <v>0</v>
      </c>
      <c r="AM250" s="6">
        <v>135</v>
      </c>
      <c r="AN250" s="41">
        <f t="shared" ca="1" si="461"/>
        <v>26.811656429750382</v>
      </c>
      <c r="AO250" s="41">
        <f t="shared" ca="1" si="462"/>
        <v>6.6319387605682936</v>
      </c>
      <c r="AP250" s="67">
        <f t="shared" si="482"/>
        <v>0.76767432476893471</v>
      </c>
      <c r="AQ250" s="11">
        <f t="shared" si="463"/>
        <v>1.0314301707183759</v>
      </c>
      <c r="AR250" s="11">
        <f t="shared" si="464"/>
        <v>0.8962407041850623</v>
      </c>
      <c r="AS250" s="11">
        <f t="shared" si="465"/>
        <v>0.86893008332386068</v>
      </c>
      <c r="AT250" s="11">
        <f t="shared" si="466"/>
        <v>534.97188664650002</v>
      </c>
      <c r="AU250" s="11">
        <f t="shared" si="467"/>
        <v>1896.6425030105124</v>
      </c>
      <c r="AV250" s="11">
        <f t="shared" si="468"/>
        <v>2.0653599150524844E-3</v>
      </c>
      <c r="AW250" s="11">
        <f t="shared" si="469"/>
        <v>3.8278171249107636E-7</v>
      </c>
      <c r="AX250" s="41">
        <f t="shared" ca="1" si="470"/>
        <v>1.2180827154297313</v>
      </c>
      <c r="AY250" s="41">
        <f t="shared" ca="1" si="471"/>
        <v>1.6407816180026977</v>
      </c>
      <c r="AZ250" s="41">
        <f t="shared" si="472"/>
        <v>0.19374347287471558</v>
      </c>
    </row>
    <row r="251" spans="1:52" ht="14.5">
      <c r="A251" s="41">
        <f t="shared" ca="1" si="473"/>
        <v>2603.4616048486323</v>
      </c>
      <c r="B251" s="41">
        <f t="shared" ca="1" si="483"/>
        <v>43.391026747477206</v>
      </c>
      <c r="C251" s="41">
        <f t="shared" ca="1" si="483"/>
        <v>0.72318377912462006</v>
      </c>
      <c r="D251" s="41">
        <f t="shared" ca="1" si="475"/>
        <v>12165.366974807312</v>
      </c>
      <c r="E251" s="41">
        <f t="shared" ca="1" si="476"/>
        <v>126.65660484745206</v>
      </c>
      <c r="F251" s="41">
        <f t="shared" ca="1" si="477"/>
        <v>126.00683645079755</v>
      </c>
      <c r="G251" s="41"/>
      <c r="H251" s="7">
        <f t="shared" si="478"/>
        <v>3000</v>
      </c>
      <c r="I251" s="6">
        <v>15</v>
      </c>
      <c r="J251" s="41">
        <f t="shared" si="439"/>
        <v>0.2632532415619146</v>
      </c>
      <c r="K251" s="41">
        <f t="shared" si="440"/>
        <v>298.49194287410489</v>
      </c>
      <c r="L251" s="6">
        <f t="shared" si="479"/>
        <v>165</v>
      </c>
      <c r="M251" s="41">
        <f t="shared" si="441"/>
        <v>176.85170028182117</v>
      </c>
      <c r="N251" s="41">
        <f t="shared" si="442"/>
        <v>92.009140514372376</v>
      </c>
      <c r="O251" s="41">
        <f t="shared" si="443"/>
        <v>1610560.9898818883</v>
      </c>
      <c r="P251" s="41">
        <f t="shared" si="444"/>
        <v>10340933.270748764</v>
      </c>
      <c r="Q251" s="41">
        <f t="shared" si="445"/>
        <v>2.9684322926589999E-3</v>
      </c>
      <c r="R251" s="41">
        <f t="shared" si="446"/>
        <v>2.3046986099112335E-2</v>
      </c>
      <c r="S251" s="24">
        <f t="shared" ca="1" si="480"/>
        <v>5.3543604571291234E-16</v>
      </c>
      <c r="T251" s="10">
        <f t="shared" ca="1" si="447"/>
        <v>5.3543604571291234E-16</v>
      </c>
      <c r="U251" s="41">
        <f t="shared" ca="1" si="448"/>
        <v>0.57486571002371645</v>
      </c>
      <c r="V251" s="41">
        <f t="shared" ca="1" si="449"/>
        <v>4.3918425416319774E-2</v>
      </c>
      <c r="W251" s="41">
        <f t="shared" ca="1" si="450"/>
        <v>13.089397094143099</v>
      </c>
      <c r="X251" s="20">
        <f t="shared" ca="1" si="451"/>
        <v>929.40621231903424</v>
      </c>
      <c r="Y251" s="41">
        <f t="shared" si="452"/>
        <v>0.60408391864909072</v>
      </c>
      <c r="Z251" s="41">
        <f t="shared" ca="1" si="453"/>
        <v>146.08653697428872</v>
      </c>
      <c r="AA251" s="14">
        <f t="shared" ca="1" si="454"/>
        <v>929.40621231903435</v>
      </c>
      <c r="AB251" s="14">
        <f t="shared" si="481"/>
        <v>5234.4042087224379</v>
      </c>
      <c r="AC251" s="25">
        <f t="shared" ca="1" si="455"/>
        <v>277420.26603437139</v>
      </c>
      <c r="AD251" s="41">
        <f t="shared" si="456"/>
        <v>1562427.4820499523</v>
      </c>
      <c r="AE251" s="5">
        <f t="shared" ca="1" si="457"/>
        <v>17.755721095636876</v>
      </c>
      <c r="AF251" s="7">
        <f t="shared" ca="1" si="458"/>
        <v>929.40621231903435</v>
      </c>
      <c r="AG251" s="41"/>
      <c r="AH251" s="41"/>
      <c r="AI251" s="41">
        <f t="shared" ca="1" si="459"/>
        <v>713.48128647806789</v>
      </c>
      <c r="AJ251" s="13">
        <f t="shared" ca="1" si="460"/>
        <v>2.7894436017435254E-15</v>
      </c>
      <c r="AK251" s="11"/>
      <c r="AL251" s="6">
        <v>0</v>
      </c>
      <c r="AM251" s="6">
        <v>135</v>
      </c>
      <c r="AN251" s="41">
        <f t="shared" ca="1" si="461"/>
        <v>26.755548242927546</v>
      </c>
      <c r="AO251" s="41">
        <f t="shared" ca="1" si="462"/>
        <v>6.6319387605682936</v>
      </c>
      <c r="AP251" s="67">
        <f t="shared" si="482"/>
        <v>0.76767432476893471</v>
      </c>
      <c r="AQ251" s="11">
        <f t="shared" si="463"/>
        <v>1.0314301707183759</v>
      </c>
      <c r="AR251" s="11">
        <f t="shared" si="464"/>
        <v>0.8962407041850623</v>
      </c>
      <c r="AS251" s="11">
        <f t="shared" si="465"/>
        <v>0.86893008332386068</v>
      </c>
      <c r="AT251" s="11">
        <f t="shared" si="466"/>
        <v>534.97188664650002</v>
      </c>
      <c r="AU251" s="11">
        <f t="shared" si="467"/>
        <v>1896.6425030105124</v>
      </c>
      <c r="AV251" s="11">
        <f t="shared" si="468"/>
        <v>2.0653599150524844E-3</v>
      </c>
      <c r="AW251" s="11">
        <f t="shared" si="469"/>
        <v>3.8278171249107636E-7</v>
      </c>
      <c r="AX251" s="41">
        <f t="shared" ca="1" si="470"/>
        <v>1.2197659276585935</v>
      </c>
      <c r="AY251" s="41">
        <f t="shared" ca="1" si="471"/>
        <v>1.6430489383162776</v>
      </c>
      <c r="AZ251" s="41">
        <f t="shared" si="472"/>
        <v>0.19374347287471558</v>
      </c>
    </row>
    <row r="252" spans="1:52" ht="14.5">
      <c r="A252" s="41">
        <f t="shared" ca="1" si="473"/>
        <v>2738.4616048486323</v>
      </c>
      <c r="B252" s="41">
        <f t="shared" ca="1" si="483"/>
        <v>45.641026747477206</v>
      </c>
      <c r="C252" s="41">
        <f t="shared" ca="1" si="483"/>
        <v>0.76068377912462004</v>
      </c>
      <c r="D252" s="41">
        <f t="shared" ca="1" si="475"/>
        <v>12138.611426564385</v>
      </c>
      <c r="E252" s="41">
        <f t="shared" ca="1" si="476"/>
        <v>133.28854360802035</v>
      </c>
      <c r="F252" s="41">
        <f t="shared" ca="1" si="477"/>
        <v>132.63877521136584</v>
      </c>
      <c r="G252" s="41"/>
      <c r="H252" s="7">
        <f t="shared" si="478"/>
        <v>3000</v>
      </c>
      <c r="I252" s="6">
        <v>15</v>
      </c>
      <c r="J252" s="41">
        <f t="shared" si="439"/>
        <v>0.2632532415619146</v>
      </c>
      <c r="K252" s="41">
        <f t="shared" si="440"/>
        <v>298.49194287410489</v>
      </c>
      <c r="L252" s="6">
        <f t="shared" si="479"/>
        <v>165</v>
      </c>
      <c r="M252" s="41">
        <f t="shared" si="441"/>
        <v>176.85170028182117</v>
      </c>
      <c r="N252" s="41">
        <f t="shared" si="442"/>
        <v>92.009140514372376</v>
      </c>
      <c r="O252" s="41">
        <f t="shared" si="443"/>
        <v>1610560.9898818883</v>
      </c>
      <c r="P252" s="41">
        <f t="shared" si="444"/>
        <v>10340933.270748764</v>
      </c>
      <c r="Q252" s="41">
        <f t="shared" si="445"/>
        <v>2.9684322926589999E-3</v>
      </c>
      <c r="R252" s="41">
        <f t="shared" si="446"/>
        <v>2.3046986099112335E-2</v>
      </c>
      <c r="S252" s="24">
        <f t="shared" ca="1" si="480"/>
        <v>5.3661623712432237E-16</v>
      </c>
      <c r="T252" s="10">
        <f t="shared" ca="1" si="447"/>
        <v>5.3661623712432237E-16</v>
      </c>
      <c r="U252" s="41">
        <f t="shared" ca="1" si="448"/>
        <v>0.57360139573960189</v>
      </c>
      <c r="V252" s="41">
        <f t="shared" ca="1" si="449"/>
        <v>4.382672037811039E-2</v>
      </c>
      <c r="W252" s="41">
        <f t="shared" ca="1" si="450"/>
        <v>13.087937924419546</v>
      </c>
      <c r="X252" s="20">
        <f t="shared" ca="1" si="451"/>
        <v>927.46554091734311</v>
      </c>
      <c r="Y252" s="41">
        <f t="shared" si="452"/>
        <v>0.60408391864909072</v>
      </c>
      <c r="Z252" s="41">
        <f t="shared" ca="1" si="453"/>
        <v>145.92580294781675</v>
      </c>
      <c r="AA252" s="14">
        <f t="shared" ca="1" si="454"/>
        <v>927.46554091734322</v>
      </c>
      <c r="AB252" s="14">
        <f t="shared" si="481"/>
        <v>5234.4042087224379</v>
      </c>
      <c r="AC252" s="25">
        <f t="shared" ca="1" si="455"/>
        <v>276840.99125720043</v>
      </c>
      <c r="AD252" s="41">
        <f t="shared" si="456"/>
        <v>1562427.4820499523</v>
      </c>
      <c r="AE252" s="5">
        <f t="shared" ca="1" si="457"/>
        <v>17.718645789177788</v>
      </c>
      <c r="AF252" s="7">
        <f t="shared" ca="1" si="458"/>
        <v>927.46554091734322</v>
      </c>
      <c r="AG252" s="41"/>
      <c r="AH252" s="41"/>
      <c r="AI252" s="41">
        <f t="shared" ca="1" si="459"/>
        <v>711.99148287017624</v>
      </c>
      <c r="AJ252" s="13">
        <f t="shared" ca="1" si="460"/>
        <v>2.7955920062219855E-15</v>
      </c>
      <c r="AK252" s="11"/>
      <c r="AL252" s="6">
        <v>0</v>
      </c>
      <c r="AM252" s="6">
        <v>0</v>
      </c>
      <c r="AN252" s="41">
        <f t="shared" ca="1" si="461"/>
        <v>0</v>
      </c>
      <c r="AO252" s="41">
        <f t="shared" ca="1" si="462"/>
        <v>0</v>
      </c>
      <c r="AP252" s="67">
        <f t="shared" si="482"/>
        <v>0.76767432476893471</v>
      </c>
      <c r="AQ252" s="11">
        <f t="shared" si="463"/>
        <v>1.0314301707183759</v>
      </c>
      <c r="AR252" s="11">
        <f t="shared" si="464"/>
        <v>0.8962407041850623</v>
      </c>
      <c r="AS252" s="11">
        <f t="shared" si="465"/>
        <v>0.86893008332386068</v>
      </c>
      <c r="AT252" s="11">
        <f t="shared" si="466"/>
        <v>534.97188664650002</v>
      </c>
      <c r="AU252" s="11">
        <f t="shared" si="467"/>
        <v>1896.6425030105124</v>
      </c>
      <c r="AV252" s="11">
        <f t="shared" si="468"/>
        <v>2.0653599150524844E-3</v>
      </c>
      <c r="AW252" s="11">
        <f t="shared" si="469"/>
        <v>3.8278171249107636E-7</v>
      </c>
      <c r="AX252" s="41">
        <f t="shared" ca="1" si="470"/>
        <v>1.2214557777240043</v>
      </c>
      <c r="AY252" s="41">
        <f t="shared" ca="1" si="471"/>
        <v>1.6453251999275662</v>
      </c>
      <c r="AZ252" s="41">
        <f t="shared" si="472"/>
        <v>0.19374347287471558</v>
      </c>
    </row>
    <row r="253" spans="1:52" ht="14.5">
      <c r="AC253" s="3"/>
      <c r="AD253" s="3"/>
      <c r="AP253" s="53"/>
    </row>
    <row r="254" spans="1:52" ht="14.5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5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</row>
    <row r="255" spans="1:52" thickBot="1">
      <c r="A255" s="26" t="s">
        <v>186</v>
      </c>
      <c r="B255" s="29"/>
      <c r="H255" s="21"/>
      <c r="K255" s="26" t="s">
        <v>127</v>
      </c>
      <c r="L255" s="26"/>
      <c r="S255" s="32"/>
      <c r="AC255" s="38"/>
      <c r="AJ255" s="2"/>
      <c r="AL255" s="21"/>
      <c r="AN255" s="48"/>
      <c r="AP255" s="53"/>
    </row>
    <row r="256" spans="1:52" ht="26.5" thickBot="1">
      <c r="D256" s="39" t="s">
        <v>131</v>
      </c>
      <c r="E256" s="39" t="s">
        <v>132</v>
      </c>
      <c r="F256" s="39" t="s">
        <v>133</v>
      </c>
      <c r="G256" s="39" t="s">
        <v>134</v>
      </c>
      <c r="H256" s="39" t="s">
        <v>135</v>
      </c>
      <c r="I256" s="7" t="s">
        <v>170</v>
      </c>
      <c r="J256" s="21" t="s">
        <v>197</v>
      </c>
      <c r="K256" s="7" t="s">
        <v>138</v>
      </c>
      <c r="N256" s="152" t="s">
        <v>297</v>
      </c>
      <c r="O256" s="152" t="s">
        <v>27</v>
      </c>
      <c r="P256" s="152" t="s">
        <v>298</v>
      </c>
      <c r="Q256" s="152" t="s">
        <v>299</v>
      </c>
      <c r="R256" s="152" t="s">
        <v>300</v>
      </c>
      <c r="S256" s="152" t="s">
        <v>301</v>
      </c>
      <c r="T256" s="152" t="s">
        <v>302</v>
      </c>
      <c r="U256" s="152" t="s">
        <v>303</v>
      </c>
      <c r="V256" s="152" t="s">
        <v>304</v>
      </c>
      <c r="W256" s="152"/>
      <c r="X256" s="158" t="s">
        <v>305</v>
      </c>
      <c r="Y256" s="158" t="s">
        <v>300</v>
      </c>
      <c r="Z256" s="158" t="s">
        <v>305</v>
      </c>
      <c r="AA256" s="158" t="s">
        <v>301</v>
      </c>
      <c r="AB256" s="158" t="s">
        <v>302</v>
      </c>
      <c r="AC256" s="158" t="s">
        <v>303</v>
      </c>
      <c r="AD256" s="158" t="s">
        <v>304</v>
      </c>
      <c r="AF256" s="159" t="s">
        <v>27</v>
      </c>
      <c r="AG256" s="165" t="s">
        <v>307</v>
      </c>
      <c r="AH256" s="160" t="s">
        <v>306</v>
      </c>
      <c r="AR256" s="53"/>
    </row>
    <row r="257" spans="1:44" thickBot="1">
      <c r="A257" s="73" t="s">
        <v>128</v>
      </c>
      <c r="B257" s="46" t="s">
        <v>129</v>
      </c>
      <c r="C257" s="46" t="s">
        <v>130</v>
      </c>
      <c r="D257" s="21">
        <v>0</v>
      </c>
      <c r="E257" s="32">
        <f>D257*1125.33</f>
        <v>0</v>
      </c>
      <c r="F257" s="21">
        <f>AH257*0.95</f>
        <v>4860.8885903999999</v>
      </c>
      <c r="G257" s="32">
        <f t="shared" ref="G257:G283" ca="1" si="484">(F257/$B$10)-$B$258</f>
        <v>0.24107613413741399</v>
      </c>
      <c r="H257" s="32">
        <f t="shared" ref="H257:H283" ca="1" si="485">((($B$260)/(2*($B$10/$B$3)))*(($B$258*$B$18)-$B$261-($B$268*$B$18^2)))</f>
        <v>-1.8355102715569703E-6</v>
      </c>
      <c r="I257" s="21">
        <v>0</v>
      </c>
      <c r="J257" s="21">
        <v>0</v>
      </c>
      <c r="K257" s="32">
        <f ca="1">SQRT(B266^2-(B266-50)^2)</f>
        <v>811.93906047385394</v>
      </c>
      <c r="L257" s="21" t="s">
        <v>9</v>
      </c>
      <c r="N257" s="153">
        <v>0</v>
      </c>
      <c r="O257" s="153">
        <v>0</v>
      </c>
      <c r="P257" s="153">
        <v>70</v>
      </c>
      <c r="Q257" s="153">
        <v>298</v>
      </c>
      <c r="R257" s="153">
        <v>20244.56522</v>
      </c>
      <c r="S257" s="153">
        <v>13994.56522</v>
      </c>
      <c r="T257" s="153">
        <v>9442.9347830000006</v>
      </c>
      <c r="U257" s="153">
        <v>6046.1956520000003</v>
      </c>
      <c r="V257" s="153">
        <v>4687.5</v>
      </c>
      <c r="W257" s="153"/>
      <c r="X257" s="153">
        <v>5116.7248319999999</v>
      </c>
      <c r="Y257" s="153">
        <v>6279.9999989999997</v>
      </c>
      <c r="Z257" s="153">
        <v>5116.7248319999999</v>
      </c>
      <c r="AA257" s="153">
        <v>4341.2080530000003</v>
      </c>
      <c r="AB257" s="153">
        <v>2929.2617449999998</v>
      </c>
      <c r="AC257" s="153">
        <v>1875.5704699999999</v>
      </c>
      <c r="AD257" s="153">
        <v>1454.0939599999999</v>
      </c>
      <c r="AF257" s="161">
        <v>0</v>
      </c>
      <c r="AG257" s="141">
        <f t="shared" ref="AG257:AG262" si="486">$Y$257+(AF257-$O$257)*(($Y$258-$Y$257)/($O$258-$O$257))</f>
        <v>6279.9999989999997</v>
      </c>
      <c r="AH257" s="141">
        <f t="shared" ref="AH257:AH262" si="487">$Z$257+(AF257-$O$257)*(($Z$258-$Z$257)/($O$258-$O$257))</f>
        <v>5116.7248319999999</v>
      </c>
      <c r="AR257" s="53"/>
    </row>
    <row r="258" spans="1:44" thickBot="1">
      <c r="A258" s="73" t="s">
        <v>141</v>
      </c>
      <c r="B258" s="46">
        <v>0.04</v>
      </c>
      <c r="C258" s="46">
        <v>0.3</v>
      </c>
      <c r="D258" s="32">
        <v>0.01</v>
      </c>
      <c r="E258" s="32">
        <f t="shared" ref="E258:E283" si="488">D258*1125.33</f>
        <v>11.253299999999999</v>
      </c>
      <c r="F258" s="21">
        <f t="shared" ref="F258:F277" si="489">AH258*0.95</f>
        <v>4848.8765097699998</v>
      </c>
      <c r="G258" s="32">
        <f t="shared" ca="1" si="484"/>
        <v>0.2403815473095868</v>
      </c>
      <c r="H258" s="32">
        <f t="shared" ca="1" si="485"/>
        <v>-1.8355102715569703E-6</v>
      </c>
      <c r="I258" s="32">
        <f ca="1">(((1)/(2*$B$262*$H$257))*LN(($G$257+($H$257*$E$258^2))/($G$257+($H$257*$E$257^2))))</f>
        <v>8.1683431440772818</v>
      </c>
      <c r="J258" s="32">
        <f t="shared" ref="J258:J283" ca="1" si="490">I258/E258</f>
        <v>0.72586202661239652</v>
      </c>
      <c r="N258" s="153">
        <v>0</v>
      </c>
      <c r="O258" s="153">
        <v>0.05</v>
      </c>
      <c r="P258" s="153">
        <v>73</v>
      </c>
      <c r="Q258" s="153">
        <v>295</v>
      </c>
      <c r="R258" s="153">
        <v>20040.760869999998</v>
      </c>
      <c r="S258" s="153">
        <v>13790.76087</v>
      </c>
      <c r="T258" s="153">
        <v>9307.0652169999994</v>
      </c>
      <c r="U258" s="153">
        <v>5978.2608700000001</v>
      </c>
      <c r="V258" s="153">
        <v>4619.5652170000003</v>
      </c>
      <c r="W258" s="153"/>
      <c r="X258" s="153">
        <v>5053.5033549999998</v>
      </c>
      <c r="Y258" s="153">
        <v>6216.778523</v>
      </c>
      <c r="Z258" s="153">
        <v>5053.5033549999998</v>
      </c>
      <c r="AA258" s="153">
        <v>4277.9865769999997</v>
      </c>
      <c r="AB258" s="153">
        <v>2887.114094</v>
      </c>
      <c r="AC258" s="153">
        <v>1854.4966440000001</v>
      </c>
      <c r="AD258" s="153">
        <v>1433.0201340000001</v>
      </c>
      <c r="AF258" s="161">
        <v>0.01</v>
      </c>
      <c r="AG258" s="141">
        <f t="shared" si="486"/>
        <v>6267.3557037999999</v>
      </c>
      <c r="AH258" s="141">
        <f t="shared" si="487"/>
        <v>5104.0805365999995</v>
      </c>
      <c r="AR258" s="53"/>
    </row>
    <row r="259" spans="1:44" thickBot="1">
      <c r="A259" s="73" t="s">
        <v>145</v>
      </c>
      <c r="B259" s="46">
        <v>0.08</v>
      </c>
      <c r="C259" s="46">
        <v>0.2</v>
      </c>
      <c r="D259" s="21">
        <v>0.02</v>
      </c>
      <c r="E259" s="32">
        <f t="shared" si="488"/>
        <v>22.506599999999999</v>
      </c>
      <c r="F259" s="21">
        <f t="shared" si="489"/>
        <v>4836.8644291399996</v>
      </c>
      <c r="G259" s="32">
        <f t="shared" ca="1" si="484"/>
        <v>0.23968696048175955</v>
      </c>
      <c r="H259" s="32">
        <f t="shared" ca="1" si="485"/>
        <v>-1.8355102715569703E-6</v>
      </c>
      <c r="I259" s="32">
        <f ca="1">(((1)/(2*$B$262*$H$258))*LN(($G$258+($H$258*$E$259^2))/($G$258+($H$258*$E$258^2))))</f>
        <v>24.623530560061521</v>
      </c>
      <c r="J259" s="32">
        <f t="shared" ca="1" si="490"/>
        <v>1.0940582122604712</v>
      </c>
      <c r="K259" s="7" t="s">
        <v>148</v>
      </c>
      <c r="N259" s="153">
        <v>0</v>
      </c>
      <c r="O259" s="153">
        <v>0.1</v>
      </c>
      <c r="P259" s="153">
        <v>76</v>
      </c>
      <c r="Q259" s="153">
        <v>292</v>
      </c>
      <c r="R259" s="153">
        <v>19836.95652</v>
      </c>
      <c r="S259" s="153">
        <v>13586.95652</v>
      </c>
      <c r="T259" s="153">
        <v>9103.2608700000001</v>
      </c>
      <c r="U259" s="153">
        <v>5978.2608700000001</v>
      </c>
      <c r="V259" s="153">
        <v>4619.5652170000003</v>
      </c>
      <c r="W259" s="153"/>
      <c r="X259" s="153">
        <v>4990.2818790000001</v>
      </c>
      <c r="Y259" s="153">
        <v>6153.5570459999999</v>
      </c>
      <c r="Z259" s="153">
        <v>4990.2818790000001</v>
      </c>
      <c r="AA259" s="153">
        <v>4214.7650999999996</v>
      </c>
      <c r="AB259" s="153">
        <v>2823.892617</v>
      </c>
      <c r="AC259" s="153">
        <v>1854.4966440000001</v>
      </c>
      <c r="AD259" s="153">
        <v>1433.0201340000001</v>
      </c>
      <c r="AF259" s="161">
        <v>0.02</v>
      </c>
      <c r="AG259" s="141">
        <f t="shared" si="486"/>
        <v>6254.7114086000001</v>
      </c>
      <c r="AH259" s="141">
        <f t="shared" si="487"/>
        <v>5091.4362412</v>
      </c>
      <c r="AR259" s="53"/>
    </row>
    <row r="260" spans="1:44" thickBot="1">
      <c r="A260" s="74" t="s">
        <v>147</v>
      </c>
      <c r="B260" s="46">
        <f>$AV$292</f>
        <v>1.8844322965351538E-3</v>
      </c>
      <c r="D260" s="32">
        <v>0.03</v>
      </c>
      <c r="E260" s="32">
        <f t="shared" si="488"/>
        <v>33.759899999999995</v>
      </c>
      <c r="F260" s="21">
        <f t="shared" si="489"/>
        <v>4824.8523485099995</v>
      </c>
      <c r="G260" s="32">
        <f t="shared" ca="1" si="484"/>
        <v>0.23899237365393236</v>
      </c>
      <c r="H260" s="32">
        <f t="shared" ca="1" si="485"/>
        <v>-1.8355102715569703E-6</v>
      </c>
      <c r="I260" s="32">
        <f ca="1">(((1)/(2*$B$262*$H$259))*LN(($G$259+($H$259*$E$260^2))/($G$259+($H$259*$E$259^2))))</f>
        <v>41.31915763498467</v>
      </c>
      <c r="J260" s="32">
        <f t="shared" ca="1" si="490"/>
        <v>1.2239123230514508</v>
      </c>
      <c r="K260" s="32">
        <f ca="1">(50-K263)/TAN(RADIANS(B267))</f>
        <v>-448.12751150936265</v>
      </c>
      <c r="N260" s="153">
        <v>0</v>
      </c>
      <c r="O260" s="153">
        <v>0.15</v>
      </c>
      <c r="P260" s="153">
        <v>79</v>
      </c>
      <c r="Q260" s="153">
        <v>289</v>
      </c>
      <c r="R260" s="153">
        <v>19633.152170000001</v>
      </c>
      <c r="S260" s="153">
        <v>13451.086960000001</v>
      </c>
      <c r="T260" s="153">
        <v>9035.3260869999995</v>
      </c>
      <c r="U260" s="153">
        <v>5978.2608700000001</v>
      </c>
      <c r="V260" s="153">
        <v>4619.5652170000003</v>
      </c>
      <c r="W260" s="153"/>
      <c r="X260" s="153">
        <v>4939.7046970000001</v>
      </c>
      <c r="Y260" s="153">
        <v>6090.3355700000002</v>
      </c>
      <c r="Z260" s="153">
        <v>4939.7046970000001</v>
      </c>
      <c r="AA260" s="153">
        <v>4172.6174490000003</v>
      </c>
      <c r="AB260" s="153">
        <v>2802.818792</v>
      </c>
      <c r="AC260" s="153">
        <v>1854.4966440000001</v>
      </c>
      <c r="AD260" s="153">
        <v>1433.0201340000001</v>
      </c>
      <c r="AF260" s="161">
        <v>0.03</v>
      </c>
      <c r="AG260" s="141">
        <f t="shared" si="486"/>
        <v>6242.0671133999995</v>
      </c>
      <c r="AH260" s="141">
        <f t="shared" si="487"/>
        <v>5078.7919457999997</v>
      </c>
      <c r="AR260" s="53"/>
    </row>
    <row r="261" spans="1:44" thickBot="1">
      <c r="A261" s="74" t="s">
        <v>150</v>
      </c>
      <c r="B261" s="46">
        <f>$R$292</f>
        <v>2.3693269819668974E-2</v>
      </c>
      <c r="D261" s="21">
        <v>0.04</v>
      </c>
      <c r="E261" s="32">
        <f t="shared" si="488"/>
        <v>45.013199999999998</v>
      </c>
      <c r="F261" s="21">
        <f t="shared" si="489"/>
        <v>4812.8402678800003</v>
      </c>
      <c r="G261" s="32">
        <f t="shared" ca="1" si="484"/>
        <v>0.23829778682610522</v>
      </c>
      <c r="H261" s="32">
        <f t="shared" ca="1" si="485"/>
        <v>-1.8355102715569703E-6</v>
      </c>
      <c r="I261" s="32">
        <f ca="1">(((1)/(2*$B$262*$H$260))*LN(($G$260+($H$260*$E$261^2))/($G$260+($H$260*$E$260^2))))</f>
        <v>58.358850064367338</v>
      </c>
      <c r="J261" s="32">
        <f t="shared" ca="1" si="490"/>
        <v>1.2964830330740169</v>
      </c>
      <c r="N261" s="153">
        <v>0</v>
      </c>
      <c r="O261" s="153">
        <v>0.2</v>
      </c>
      <c r="P261" s="153">
        <v>81</v>
      </c>
      <c r="Q261" s="153">
        <v>287</v>
      </c>
      <c r="R261" s="153">
        <v>19497.282609999998</v>
      </c>
      <c r="S261" s="153">
        <v>13383.152169999999</v>
      </c>
      <c r="T261" s="153">
        <v>9035.3260869999995</v>
      </c>
      <c r="U261" s="153">
        <v>5978.2608700000001</v>
      </c>
      <c r="V261" s="153">
        <v>4619.5652170000003</v>
      </c>
      <c r="W261" s="153"/>
      <c r="X261" s="153">
        <v>4910.2013420000003</v>
      </c>
      <c r="Y261" s="153">
        <v>6048.187919</v>
      </c>
      <c r="Z261" s="153">
        <v>4910.2013420000003</v>
      </c>
      <c r="AA261" s="153">
        <v>4151.5436239999999</v>
      </c>
      <c r="AB261" s="153">
        <v>2802.818792</v>
      </c>
      <c r="AC261" s="153">
        <v>1854.4966440000001</v>
      </c>
      <c r="AD261" s="153">
        <v>1433.0201340000001</v>
      </c>
      <c r="AF261" s="161">
        <v>0.04</v>
      </c>
      <c r="AG261" s="141">
        <f t="shared" si="486"/>
        <v>6229.4228181999997</v>
      </c>
      <c r="AH261" s="141">
        <f t="shared" si="487"/>
        <v>5066.1476504000002</v>
      </c>
      <c r="AR261" s="53"/>
    </row>
    <row r="262" spans="1:44" thickBot="1">
      <c r="A262" s="74" t="s">
        <v>152</v>
      </c>
      <c r="B262" s="47">
        <v>32.17</v>
      </c>
      <c r="D262" s="32">
        <v>0.05</v>
      </c>
      <c r="E262" s="32">
        <f t="shared" si="488"/>
        <v>56.266500000000001</v>
      </c>
      <c r="F262" s="21">
        <f t="shared" si="489"/>
        <v>4800.8281872499992</v>
      </c>
      <c r="G262" s="32">
        <f t="shared" ca="1" si="484"/>
        <v>0.23760319999827798</v>
      </c>
      <c r="H262" s="32">
        <f t="shared" ca="1" si="485"/>
        <v>-1.8355102715569703E-6</v>
      </c>
      <c r="I262" s="32">
        <f ca="1">(((1)/(2*$B$262*$H$261))*LN(($G$261+($H$261*$E$262^2))/($G$261+($H$261*$E$261^2))))</f>
        <v>75.853642976997634</v>
      </c>
      <c r="J262" s="32">
        <f t="shared" ca="1" si="490"/>
        <v>1.3481137617765035</v>
      </c>
      <c r="K262" s="136" t="s">
        <v>139</v>
      </c>
      <c r="N262" s="153">
        <v>0</v>
      </c>
      <c r="O262" s="153">
        <v>0.25</v>
      </c>
      <c r="P262" s="153">
        <v>82</v>
      </c>
      <c r="Q262" s="153">
        <v>286</v>
      </c>
      <c r="R262" s="153">
        <v>19429.347829999999</v>
      </c>
      <c r="S262" s="153">
        <v>13349.18478</v>
      </c>
      <c r="T262" s="153">
        <v>8967.3913040000007</v>
      </c>
      <c r="U262" s="153">
        <v>5910.3260870000004</v>
      </c>
      <c r="V262" s="153">
        <v>4619.5652170000003</v>
      </c>
      <c r="W262" s="153"/>
      <c r="X262" s="153">
        <v>4895.4496639999998</v>
      </c>
      <c r="Y262" s="153">
        <v>6027.1140930000001</v>
      </c>
      <c r="Z262" s="153">
        <v>4895.4496639999998</v>
      </c>
      <c r="AA262" s="153">
        <v>4141.006711</v>
      </c>
      <c r="AB262" s="153">
        <v>2781.7449660000002</v>
      </c>
      <c r="AC262" s="153">
        <v>1833.4228189999999</v>
      </c>
      <c r="AD262" s="153">
        <v>1433.0201340000001</v>
      </c>
      <c r="AF262" s="161">
        <v>0.05</v>
      </c>
      <c r="AG262" s="141">
        <f t="shared" si="486"/>
        <v>6216.778523</v>
      </c>
      <c r="AH262" s="141">
        <f t="shared" si="487"/>
        <v>5053.5033549999998</v>
      </c>
      <c r="AR262" s="53"/>
    </row>
    <row r="263" spans="1:44" thickBot="1">
      <c r="A263" s="133" t="s">
        <v>154</v>
      </c>
      <c r="B263" s="32">
        <f ca="1">$E$1</f>
        <v>197.36980853147577</v>
      </c>
      <c r="C263" s="21" t="s">
        <v>9</v>
      </c>
      <c r="D263" s="21">
        <v>0.06</v>
      </c>
      <c r="E263" s="32">
        <f t="shared" si="488"/>
        <v>67.519799999999989</v>
      </c>
      <c r="F263" s="21">
        <f t="shared" si="489"/>
        <v>4788.8161068099998</v>
      </c>
      <c r="G263" s="32">
        <f t="shared" ca="1" si="484"/>
        <v>0.23690861318143738</v>
      </c>
      <c r="H263" s="32">
        <f t="shared" ca="1" si="485"/>
        <v>-1.8355102715569703E-6</v>
      </c>
      <c r="I263" s="32">
        <f ca="1">(((1)/(2*$B$262*$H$262))*LN(($G$262+($H$262*$E$263^2))/($G$262+($H$262*$E$262^2))))</f>
        <v>93.924557859376904</v>
      </c>
      <c r="J263" s="32">
        <f t="shared" ca="1" si="490"/>
        <v>1.3910668849637724</v>
      </c>
      <c r="K263" s="32">
        <f ca="1">B266*(1-COS(RADIANS(B267)))</f>
        <v>145.58472519494549</v>
      </c>
      <c r="L263" s="21" t="s">
        <v>9</v>
      </c>
      <c r="N263" s="153">
        <v>0</v>
      </c>
      <c r="O263" s="153">
        <v>0.3</v>
      </c>
      <c r="P263" s="153">
        <v>82</v>
      </c>
      <c r="Q263" s="153">
        <v>286</v>
      </c>
      <c r="R263" s="153">
        <v>19429.347829999999</v>
      </c>
      <c r="S263" s="153">
        <v>13349.18478</v>
      </c>
      <c r="T263" s="153">
        <v>8967.3913040000007</v>
      </c>
      <c r="U263" s="153">
        <v>5910.3260870000004</v>
      </c>
      <c r="V263" s="153">
        <v>4619.5652170000003</v>
      </c>
      <c r="W263" s="153"/>
      <c r="X263" s="153">
        <v>4895.4496639999998</v>
      </c>
      <c r="Y263" s="153">
        <v>6027.1140930000001</v>
      </c>
      <c r="Z263" s="153">
        <v>4895.4496639999998</v>
      </c>
      <c r="AA263" s="153">
        <v>4141.006711</v>
      </c>
      <c r="AB263" s="153">
        <v>2781.7449660000002</v>
      </c>
      <c r="AC263" s="153">
        <v>1833.4228189999999</v>
      </c>
      <c r="AD263" s="153">
        <v>1433.0201340000001</v>
      </c>
      <c r="AF263" s="161">
        <v>0.06</v>
      </c>
      <c r="AG263" s="141">
        <f>$Y$258+(AF263-$O$258)*(($Y$259-$Y$258)/($O$259-$O$258))</f>
        <v>6204.1342275999996</v>
      </c>
      <c r="AH263" s="141">
        <f>$Z$258+(AF263-$O$258)*(($Z$259-$Z$258)/($O$259-$O$258))</f>
        <v>5040.8590598000001</v>
      </c>
      <c r="AR263" s="53"/>
    </row>
    <row r="264" spans="1:44" thickBot="1">
      <c r="A264" s="70" t="s">
        <v>155</v>
      </c>
      <c r="B264" s="32">
        <f>0.9*B18</f>
        <v>2.16</v>
      </c>
      <c r="D264" s="32">
        <v>7.0000000000000007E-2</v>
      </c>
      <c r="E264" s="32">
        <f t="shared" si="488"/>
        <v>78.773099999999999</v>
      </c>
      <c r="F264" s="21">
        <f t="shared" si="489"/>
        <v>4776.8040263700004</v>
      </c>
      <c r="G264" s="32">
        <f t="shared" ca="1" si="484"/>
        <v>0.23621402636459679</v>
      </c>
      <c r="H264" s="32">
        <f t="shared" ca="1" si="485"/>
        <v>-1.8355102715569703E-6</v>
      </c>
      <c r="I264" s="32">
        <f ca="1">(((1)/(2*$B$262*$H$263))*LN(($G$263+($H$263*$E$264^2))/($G$263+($H$263*$E$263^2))))</f>
        <v>112.70564478126356</v>
      </c>
      <c r="J264" s="32">
        <f t="shared" ca="1" si="490"/>
        <v>1.430763100363748</v>
      </c>
      <c r="N264" s="153">
        <v>0</v>
      </c>
      <c r="O264" s="153">
        <v>0.35</v>
      </c>
      <c r="P264" s="153">
        <v>81</v>
      </c>
      <c r="Q264" s="153">
        <v>287</v>
      </c>
      <c r="R264" s="153">
        <v>19497.282609999998</v>
      </c>
      <c r="S264" s="153">
        <v>13383.152169999999</v>
      </c>
      <c r="T264" s="153">
        <v>9035.3260869999995</v>
      </c>
      <c r="U264" s="153">
        <v>5978.2608700000001</v>
      </c>
      <c r="V264" s="153">
        <v>4619.5652170000003</v>
      </c>
      <c r="W264" s="153"/>
      <c r="X264" s="153">
        <v>4910.2013420000003</v>
      </c>
      <c r="Y264" s="153">
        <v>6048.187919</v>
      </c>
      <c r="Z264" s="153">
        <v>4910.2013420000003</v>
      </c>
      <c r="AA264" s="153">
        <v>4151.5436239999999</v>
      </c>
      <c r="AB264" s="153">
        <v>2802.818792</v>
      </c>
      <c r="AC264" s="153">
        <v>1854.4966440000001</v>
      </c>
      <c r="AD264" s="153">
        <v>1433.0201340000001</v>
      </c>
      <c r="AF264" s="161">
        <v>7.0000000000000007E-2</v>
      </c>
      <c r="AG264" s="141">
        <f>$Y$258+(AF264-$O$258)*(($Y$259-$Y$258)/($O$259-$O$258))</f>
        <v>6191.4899322000001</v>
      </c>
      <c r="AH264" s="141">
        <f>$Z$258+(AF264-$O$258)*(($Z$259-$Z$258)/($O$259-$O$258))</f>
        <v>5028.2147646000003</v>
      </c>
      <c r="AR264" s="53"/>
    </row>
    <row r="265" spans="1:44" thickBot="1">
      <c r="A265" s="70" t="s">
        <v>156</v>
      </c>
      <c r="B265" s="32">
        <v>1.2</v>
      </c>
      <c r="D265" s="21">
        <v>0.08</v>
      </c>
      <c r="E265" s="32">
        <f t="shared" si="488"/>
        <v>90.026399999999995</v>
      </c>
      <c r="F265" s="21">
        <f t="shared" si="489"/>
        <v>4764.7919459299992</v>
      </c>
      <c r="G265" s="32">
        <f t="shared" ca="1" si="484"/>
        <v>0.23551943954775609</v>
      </c>
      <c r="H265" s="32">
        <f t="shared" ca="1" si="485"/>
        <v>-1.8355102715569703E-6</v>
      </c>
      <c r="I265" s="32">
        <f ca="1">(((1)/(2*$B$262*$H$264))*LN(($G$264+($H$264*$E$265^2))/($G$264+($H$264*$E$264^2))))</f>
        <v>132.34766057667406</v>
      </c>
      <c r="J265" s="32">
        <f t="shared" ca="1" si="490"/>
        <v>1.4700983331186637</v>
      </c>
      <c r="N265" s="153">
        <v>0</v>
      </c>
      <c r="O265" s="153">
        <v>0.4</v>
      </c>
      <c r="P265" s="153">
        <v>78</v>
      </c>
      <c r="Q265" s="153">
        <v>290</v>
      </c>
      <c r="R265" s="153">
        <v>19701.086960000001</v>
      </c>
      <c r="S265" s="153">
        <v>13519.02174</v>
      </c>
      <c r="T265" s="153">
        <v>9171.1956520000003</v>
      </c>
      <c r="U265" s="153">
        <v>5978.2608700000001</v>
      </c>
      <c r="V265" s="153">
        <v>4619.5652170000003</v>
      </c>
      <c r="W265" s="153"/>
      <c r="X265" s="153">
        <v>4960.778523</v>
      </c>
      <c r="Y265" s="153">
        <v>6111.4093949999997</v>
      </c>
      <c r="Z265" s="153">
        <v>4960.778523</v>
      </c>
      <c r="AA265" s="153">
        <v>4193.6912750000001</v>
      </c>
      <c r="AB265" s="153">
        <v>2844.9664429999998</v>
      </c>
      <c r="AC265" s="153">
        <v>1854.4966440000001</v>
      </c>
      <c r="AD265" s="153">
        <v>1433.0201340000001</v>
      </c>
      <c r="AF265" s="161">
        <v>0.08</v>
      </c>
      <c r="AG265" s="141">
        <f>$Y$258+(AF265-$O$258)*(($Y$259-$Y$258)/($O$259-$O$258))</f>
        <v>6178.8456367999997</v>
      </c>
      <c r="AH265" s="141">
        <f>$Z$258+(AF265-$O$258)*(($Z$259-$Z$258)/($O$259-$O$258))</f>
        <v>5015.5704693999996</v>
      </c>
      <c r="AR265" s="53"/>
    </row>
    <row r="266" spans="1:44" thickBot="1">
      <c r="A266" s="70" t="s">
        <v>157</v>
      </c>
      <c r="B266" s="32">
        <f ca="1">((H1)^2)/((B262)*((B265-1)))</f>
        <v>6617.4503792316164</v>
      </c>
      <c r="C266" s="21" t="s">
        <v>9</v>
      </c>
      <c r="D266" s="32">
        <v>0.09</v>
      </c>
      <c r="E266" s="32">
        <f t="shared" si="488"/>
        <v>101.27969999999999</v>
      </c>
      <c r="F266" s="21">
        <f t="shared" si="489"/>
        <v>4752.7798654899998</v>
      </c>
      <c r="G266" s="32">
        <f t="shared" ca="1" si="484"/>
        <v>0.2348248527309155</v>
      </c>
      <c r="H266" s="32">
        <f t="shared" ca="1" si="485"/>
        <v>-1.8355102715569703E-6</v>
      </c>
      <c r="I266" s="32">
        <f ca="1">(((1)/(2*$B$262*$H$265))*LN(($G$265+($H$265*$E$266^2))/($G$265+($H$265*$E$265^2))))</f>
        <v>153.02260889521224</v>
      </c>
      <c r="J266" s="32">
        <f t="shared" ca="1" si="490"/>
        <v>1.5108912140854709</v>
      </c>
      <c r="N266" s="153">
        <v>0</v>
      </c>
      <c r="O266" s="153">
        <v>0.45</v>
      </c>
      <c r="P266" s="153">
        <v>74</v>
      </c>
      <c r="Q266" s="153">
        <v>294</v>
      </c>
      <c r="R266" s="153">
        <v>19972.826089999999</v>
      </c>
      <c r="S266" s="153">
        <v>13790.76087</v>
      </c>
      <c r="T266" s="153">
        <v>9307.0652169999994</v>
      </c>
      <c r="U266" s="153">
        <v>5978.2608700000001</v>
      </c>
      <c r="V266" s="153">
        <v>4687.5</v>
      </c>
      <c r="W266" s="153"/>
      <c r="X266" s="153">
        <v>5045.0738250000004</v>
      </c>
      <c r="Y266" s="153">
        <v>6195.7046970000001</v>
      </c>
      <c r="Z266" s="153">
        <v>5045.0738250000004</v>
      </c>
      <c r="AA266" s="153">
        <v>4277.9865769999997</v>
      </c>
      <c r="AB266" s="153">
        <v>2887.114094</v>
      </c>
      <c r="AC266" s="153">
        <v>1854.4966440000001</v>
      </c>
      <c r="AD266" s="153">
        <v>1454.0939599999999</v>
      </c>
      <c r="AF266" s="161">
        <v>0.09</v>
      </c>
      <c r="AG266" s="141">
        <f>$Y$258+(AF266-$O$258)*(($Y$259-$Y$258)/($O$259-$O$258))</f>
        <v>6166.2013414000003</v>
      </c>
      <c r="AH266" s="141">
        <f>$Z$258+(AF266-$O$258)*(($Z$259-$Z$258)/($O$259-$O$258))</f>
        <v>5002.9261741999999</v>
      </c>
      <c r="AR266" s="53"/>
    </row>
    <row r="267" spans="1:44" thickBot="1">
      <c r="A267" s="70" t="s">
        <v>158</v>
      </c>
      <c r="B267" s="32">
        <f ca="1">$T$23</f>
        <v>12.040641645103952</v>
      </c>
      <c r="C267" s="167">
        <f ca="1">DEGREES(ASIN((AF292/D292)-(1/W292)))</f>
        <v>11.86605334133529</v>
      </c>
      <c r="D267" s="21">
        <v>0.1</v>
      </c>
      <c r="E267" s="32">
        <f t="shared" si="488"/>
        <v>112.533</v>
      </c>
      <c r="F267" s="21">
        <f t="shared" si="489"/>
        <v>4740.7677850499995</v>
      </c>
      <c r="G267" s="32">
        <f t="shared" ca="1" si="484"/>
        <v>0.2341302659140749</v>
      </c>
      <c r="H267" s="32">
        <f t="shared" ca="1" si="485"/>
        <v>-1.8355102715569703E-6</v>
      </c>
      <c r="I267" s="32">
        <f ca="1">(((1)/(2*$B$262*$H$266))*LN(($G$266+($H$266*$E$267^2))/($G$266+($H$266*$E$266^2))))</f>
        <v>174.9294482236256</v>
      </c>
      <c r="J267" s="32">
        <f t="shared" ca="1" si="490"/>
        <v>1.5544724500690961</v>
      </c>
      <c r="N267" s="153">
        <v>0</v>
      </c>
      <c r="O267" s="153">
        <v>0.5</v>
      </c>
      <c r="P267" s="153">
        <v>70</v>
      </c>
      <c r="Q267" s="153">
        <v>298</v>
      </c>
      <c r="R267" s="153">
        <v>20244.56522</v>
      </c>
      <c r="S267" s="153">
        <v>14062.5</v>
      </c>
      <c r="T267" s="153">
        <v>9510.8695650000009</v>
      </c>
      <c r="U267" s="153">
        <v>6046.1956520000003</v>
      </c>
      <c r="V267" s="153">
        <v>4755.4347829999997</v>
      </c>
      <c r="W267" s="153"/>
      <c r="X267" s="153">
        <v>5129.3691269999999</v>
      </c>
      <c r="Y267" s="153">
        <v>6279.9999989999997</v>
      </c>
      <c r="Z267" s="153">
        <v>5129.3691269999999</v>
      </c>
      <c r="AA267" s="153">
        <v>4362.2818790000001</v>
      </c>
      <c r="AB267" s="153">
        <v>2950.3355700000002</v>
      </c>
      <c r="AC267" s="153">
        <v>1875.5704699999999</v>
      </c>
      <c r="AD267" s="153">
        <v>1475.1677850000001</v>
      </c>
      <c r="AF267" s="161">
        <v>0.1</v>
      </c>
      <c r="AG267" s="141">
        <f>$Y$258+(AF267-$O$258)*(($Y$259-$Y$258)/($O$259-$O$258))</f>
        <v>6153.5570459999999</v>
      </c>
      <c r="AH267" s="141">
        <f>$Z$258+(AF267-$O$258)*(($Z$259-$Z$258)/($O$259-$O$258))</f>
        <v>4990.2818790000001</v>
      </c>
      <c r="AR267" s="53"/>
    </row>
    <row r="268" spans="1:44" thickBot="1">
      <c r="A268" s="70" t="s">
        <v>159</v>
      </c>
      <c r="B268" s="32">
        <f>($B$8*((33*($B$269/$B$270)^1.5)))/(1+33*($B$269/$B$270)^1.5)</f>
        <v>3.7983327420844509E-2</v>
      </c>
      <c r="D268" s="32">
        <v>0.11</v>
      </c>
      <c r="E268" s="32">
        <f t="shared" si="488"/>
        <v>123.7863</v>
      </c>
      <c r="F268" s="21">
        <f t="shared" si="489"/>
        <v>4731.1581204699996</v>
      </c>
      <c r="G268" s="32">
        <f t="shared" ca="1" si="484"/>
        <v>0.23357459644741849</v>
      </c>
      <c r="H268" s="32">
        <f t="shared" ca="1" si="485"/>
        <v>-1.8355102715569703E-6</v>
      </c>
      <c r="I268" s="32">
        <f ca="1">(((1)/(2*$B$262*$H$267))*LN(($G$267+($H$267*$E$268^2))/($G$267+($H$267*$E$267^2))))</f>
        <v>198.30139070076336</v>
      </c>
      <c r="J268" s="32">
        <f t="shared" ca="1" si="490"/>
        <v>1.6019655705095261</v>
      </c>
      <c r="N268" s="153">
        <v>0</v>
      </c>
      <c r="O268" s="153">
        <v>0.55000000000000004</v>
      </c>
      <c r="P268" s="153">
        <v>67</v>
      </c>
      <c r="Q268" s="153">
        <v>301</v>
      </c>
      <c r="R268" s="153">
        <v>20448.369569999999</v>
      </c>
      <c r="S268" s="153">
        <v>14402.17391</v>
      </c>
      <c r="T268" s="153">
        <v>9714.6739130000005</v>
      </c>
      <c r="U268" s="153">
        <v>6250</v>
      </c>
      <c r="V268" s="153">
        <v>4891.3043479999997</v>
      </c>
      <c r="W268" s="153"/>
      <c r="X268" s="153">
        <v>5217.8791940000001</v>
      </c>
      <c r="Y268" s="153">
        <v>6343.2214759999997</v>
      </c>
      <c r="Z268" s="153">
        <v>5217.8791940000001</v>
      </c>
      <c r="AA268" s="153">
        <v>4467.6510060000001</v>
      </c>
      <c r="AB268" s="153">
        <v>3013.5570469999998</v>
      </c>
      <c r="AC268" s="153">
        <v>1938.7919460000001</v>
      </c>
      <c r="AD268" s="153">
        <v>1517.3154360000001</v>
      </c>
      <c r="AF268" s="161">
        <v>0.11</v>
      </c>
      <c r="AG268" s="141">
        <f>$Y$259+(AF268-$O$259)*(($Y$260-$Y$259)/($O$260-$O$259))</f>
        <v>6140.9127508000001</v>
      </c>
      <c r="AH268" s="141">
        <f>$Z$259+(AF268-$O$259)*(($Z$260-$Z$259)/($O$260-$O$259))</f>
        <v>4980.1664425999998</v>
      </c>
      <c r="AR268" s="53"/>
    </row>
    <row r="269" spans="1:44" thickBot="1">
      <c r="A269" s="134" t="s">
        <v>210</v>
      </c>
      <c r="B269" s="135">
        <v>4.75</v>
      </c>
      <c r="C269" s="21" t="s">
        <v>9</v>
      </c>
      <c r="D269" s="21">
        <v>0.12</v>
      </c>
      <c r="E269" s="32">
        <f t="shared" si="488"/>
        <v>135.03959999999998</v>
      </c>
      <c r="F269" s="21">
        <f t="shared" si="489"/>
        <v>4721.5484558899998</v>
      </c>
      <c r="G269" s="32">
        <f t="shared" ca="1" si="484"/>
        <v>0.23301892698076213</v>
      </c>
      <c r="H269" s="32">
        <f t="shared" ca="1" si="485"/>
        <v>-1.8355102715569703E-6</v>
      </c>
      <c r="I269" s="32">
        <f ca="1">(((1)/(2*$B$262*$H$268))*LN(($G$268+($H$268*$E$269^2))/($G$268+($H$268*$E$268^2))))</f>
        <v>223.2623121127948</v>
      </c>
      <c r="J269" s="32">
        <f t="shared" ca="1" si="490"/>
        <v>1.6533099336253576</v>
      </c>
      <c r="L269" s="167">
        <f>6280*AR292</f>
        <v>5032.6447574024405</v>
      </c>
      <c r="N269" s="153">
        <v>0</v>
      </c>
      <c r="O269" s="153">
        <v>0.6</v>
      </c>
      <c r="P269" s="153">
        <v>68</v>
      </c>
      <c r="Q269" s="153">
        <v>300</v>
      </c>
      <c r="R269" s="153">
        <v>20380.43478</v>
      </c>
      <c r="S269" s="153">
        <v>14809.78261</v>
      </c>
      <c r="T269" s="153">
        <v>9918.4782610000002</v>
      </c>
      <c r="U269" s="153">
        <v>6453.8043479999997</v>
      </c>
      <c r="V269" s="153">
        <v>5027.1739129999996</v>
      </c>
      <c r="W269" s="153"/>
      <c r="X269" s="153">
        <v>5285.3154359999999</v>
      </c>
      <c r="Y269" s="153">
        <v>6322.1476499999999</v>
      </c>
      <c r="Z269" s="153">
        <v>5285.3154359999999</v>
      </c>
      <c r="AA269" s="153">
        <v>4594.0939589999998</v>
      </c>
      <c r="AB269" s="153">
        <v>3076.778523</v>
      </c>
      <c r="AC269" s="153">
        <v>2002.0134230000001</v>
      </c>
      <c r="AD269" s="153">
        <v>1559.4630870000001</v>
      </c>
      <c r="AF269" s="161">
        <v>0.12</v>
      </c>
      <c r="AG269" s="141">
        <f>$Y$259+(AF269-$O$259)*(($Y$260-$Y$259)/($O$260-$O$259))</f>
        <v>6128.2684556000004</v>
      </c>
      <c r="AH269" s="141">
        <f>$Z$259+(AF269-$O$259)*(($Z$260-$Z$259)/($O$260-$O$259))</f>
        <v>4970.0510062000003</v>
      </c>
      <c r="AR269" s="53"/>
    </row>
    <row r="270" spans="1:44" thickBot="1">
      <c r="A270" s="134" t="s">
        <v>211</v>
      </c>
      <c r="B270" s="135">
        <v>37.148000000000003</v>
      </c>
      <c r="C270" s="21" t="s">
        <v>9</v>
      </c>
      <c r="D270" s="32">
        <v>0.13</v>
      </c>
      <c r="E270" s="32">
        <f t="shared" si="488"/>
        <v>146.2929</v>
      </c>
      <c r="F270" s="21">
        <f t="shared" si="489"/>
        <v>4711.9387913099999</v>
      </c>
      <c r="G270" s="32">
        <f t="shared" ca="1" si="484"/>
        <v>0.23246325751410576</v>
      </c>
      <c r="H270" s="32">
        <f t="shared" ca="1" si="485"/>
        <v>-1.8355102715569703E-6</v>
      </c>
      <c r="I270" s="32">
        <f ca="1">(((1)/(2*$B$262*$H$269))*LN(($G$269+($H$269*$E$270^2))/($G$269+($H$269*$E$269^2))))</f>
        <v>250.25051897526666</v>
      </c>
      <c r="J270" s="32">
        <f t="shared" ca="1" si="490"/>
        <v>1.7106128798818443</v>
      </c>
      <c r="N270" s="153">
        <v>0</v>
      </c>
      <c r="O270" s="153">
        <v>0.65</v>
      </c>
      <c r="P270" s="153">
        <v>70</v>
      </c>
      <c r="Q270" s="153">
        <v>298</v>
      </c>
      <c r="R270" s="153">
        <v>20244.56522</v>
      </c>
      <c r="S270" s="153">
        <v>15285.32609</v>
      </c>
      <c r="T270" s="153">
        <v>10258.152169999999</v>
      </c>
      <c r="U270" s="153">
        <v>6657.6086960000002</v>
      </c>
      <c r="V270" s="153">
        <v>5163.0434779999996</v>
      </c>
      <c r="W270" s="153"/>
      <c r="X270" s="153">
        <v>5356.9664419999999</v>
      </c>
      <c r="Y270" s="153">
        <v>6279.9999989999997</v>
      </c>
      <c r="Z270" s="153">
        <v>5356.9664419999999</v>
      </c>
      <c r="AA270" s="153">
        <v>4741.6107380000003</v>
      </c>
      <c r="AB270" s="153">
        <v>3182.1476510000002</v>
      </c>
      <c r="AC270" s="153">
        <v>2065.234899</v>
      </c>
      <c r="AD270" s="153">
        <v>1601.6107380000001</v>
      </c>
      <c r="AF270" s="161">
        <v>0.13</v>
      </c>
      <c r="AG270" s="141">
        <f>$Y$259+(AF270-$O$259)*(($Y$260-$Y$259)/($O$260-$O$259))</f>
        <v>6115.6241603999997</v>
      </c>
      <c r="AH270" s="141">
        <f>$Z$259+(AF270-$O$259)*(($Z$260-$Z$259)/($O$260-$O$259))</f>
        <v>4959.9355697999999</v>
      </c>
      <c r="AR270" s="53"/>
    </row>
    <row r="271" spans="1:44" thickBot="1">
      <c r="D271" s="21">
        <v>0.14000000000000001</v>
      </c>
      <c r="E271" s="32">
        <f t="shared" si="488"/>
        <v>157.5462</v>
      </c>
      <c r="F271" s="21">
        <f t="shared" si="489"/>
        <v>4702.3291267300001</v>
      </c>
      <c r="G271" s="32">
        <f t="shared" ca="1" si="484"/>
        <v>0.2319075880474494</v>
      </c>
      <c r="H271" s="32">
        <f t="shared" ca="1" si="485"/>
        <v>-1.8355102715569703E-6</v>
      </c>
      <c r="I271" s="32">
        <f ca="1">(((1)/(2*$B$262*$H$270))*LN(($G$270+($H$270*$E$271^2))/($G$270+($H$270*$E$270^2))))</f>
        <v>279.66072401297049</v>
      </c>
      <c r="J271" s="32">
        <f t="shared" ca="1" si="490"/>
        <v>1.7751029476621492</v>
      </c>
      <c r="N271" s="153">
        <v>0</v>
      </c>
      <c r="O271" s="153">
        <v>0.7</v>
      </c>
      <c r="P271" s="153">
        <v>71</v>
      </c>
      <c r="Q271" s="153">
        <v>297</v>
      </c>
      <c r="R271" s="153">
        <v>20176.630430000001</v>
      </c>
      <c r="S271" s="153">
        <v>15760.869570000001</v>
      </c>
      <c r="T271" s="153">
        <v>10597.82609</v>
      </c>
      <c r="U271" s="153">
        <v>6929.3478260000002</v>
      </c>
      <c r="V271" s="153">
        <v>5366.8478260000002</v>
      </c>
      <c r="W271" s="153"/>
      <c r="X271" s="153">
        <v>5437.0469789999997</v>
      </c>
      <c r="Y271" s="153">
        <v>6258.9261740000002</v>
      </c>
      <c r="Z271" s="153">
        <v>5437.0469789999997</v>
      </c>
      <c r="AA271" s="153">
        <v>4889.1275159999996</v>
      </c>
      <c r="AB271" s="153">
        <v>3287.5167780000002</v>
      </c>
      <c r="AC271" s="153">
        <v>2149.530201</v>
      </c>
      <c r="AD271" s="153">
        <v>1664.8322149999999</v>
      </c>
      <c r="AF271" s="161">
        <v>0.14000000000000001</v>
      </c>
      <c r="AG271" s="141">
        <f>$Y$259+(AF271-$O$259)*(($Y$260-$Y$259)/($O$260-$O$259))</f>
        <v>6102.9798651999999</v>
      </c>
      <c r="AH271" s="141">
        <f>$Z$259+(AF271-$O$259)*(($Z$260-$Z$259)/($O$260-$O$259))</f>
        <v>4949.8201334000005</v>
      </c>
      <c r="AR271" s="53"/>
    </row>
    <row r="272" spans="1:44" thickBot="1">
      <c r="D272" s="32">
        <v>0.15</v>
      </c>
      <c r="E272" s="32">
        <f t="shared" si="488"/>
        <v>168.79949999999999</v>
      </c>
      <c r="F272" s="21">
        <f t="shared" si="489"/>
        <v>4692.7194621500003</v>
      </c>
      <c r="G272" s="32">
        <f t="shared" ca="1" si="484"/>
        <v>0.23135191858079304</v>
      </c>
      <c r="H272" s="32">
        <f t="shared" ca="1" si="485"/>
        <v>-1.8355102715569703E-6</v>
      </c>
      <c r="I272" s="32">
        <f ca="1">(((1)/(2*$B$262*$H$271))*LN(($G$271+($H$271*$E$272^2))/($G$271+($H$271*$E$271^2))))</f>
        <v>311.97961792214699</v>
      </c>
      <c r="J272" s="32">
        <f t="shared" ca="1" si="490"/>
        <v>1.8482259599237378</v>
      </c>
      <c r="N272" s="153">
        <v>0</v>
      </c>
      <c r="O272" s="153">
        <v>0.75</v>
      </c>
      <c r="P272" s="153">
        <v>71</v>
      </c>
      <c r="Q272" s="153">
        <v>297</v>
      </c>
      <c r="R272" s="153">
        <v>20176.630430000001</v>
      </c>
      <c r="S272" s="153">
        <v>16372.28261</v>
      </c>
      <c r="T272" s="153">
        <v>10937.5</v>
      </c>
      <c r="U272" s="153">
        <v>7201.0869570000004</v>
      </c>
      <c r="V272" s="153">
        <v>5502.7173910000001</v>
      </c>
      <c r="W272" s="153"/>
      <c r="X272" s="153">
        <v>5550.8456370000004</v>
      </c>
      <c r="Y272" s="153">
        <v>6258.9261740000002</v>
      </c>
      <c r="Z272" s="153">
        <v>5550.8456370000004</v>
      </c>
      <c r="AA272" s="153">
        <v>5078.7919460000003</v>
      </c>
      <c r="AB272" s="153">
        <v>3392.885906</v>
      </c>
      <c r="AC272" s="153">
        <v>2233.825503</v>
      </c>
      <c r="AD272" s="153">
        <v>1706.9798659999999</v>
      </c>
      <c r="AF272" s="161">
        <v>0.15</v>
      </c>
      <c r="AG272" s="141">
        <f>$Y$259+(AF272-$O$259)*(($Y$260-$Y$259)/($O$260-$O$259))</f>
        <v>6090.3355700000002</v>
      </c>
      <c r="AH272" s="141">
        <f>$Z$259+(AF272-$O$259)*(($Z$260-$Z$259)/($O$260-$O$259))</f>
        <v>4939.7046970000001</v>
      </c>
      <c r="AR272" s="53"/>
    </row>
    <row r="273" spans="3:44" thickBot="1">
      <c r="D273" s="21">
        <v>0.16</v>
      </c>
      <c r="E273" s="32">
        <f t="shared" si="488"/>
        <v>180.05279999999999</v>
      </c>
      <c r="F273" s="21">
        <f t="shared" si="489"/>
        <v>4687.1138246999999</v>
      </c>
      <c r="G273" s="32">
        <f t="shared" ca="1" si="484"/>
        <v>0.23102777807139444</v>
      </c>
      <c r="H273" s="32">
        <f t="shared" ca="1" si="485"/>
        <v>-1.8355102715569703E-6</v>
      </c>
      <c r="I273" s="32">
        <f ca="1">(((1)/(2*$B$262*$H$272))*LN(($G$272+($H$272*$E$273^2))/($G$272+($H$272*$E$272^2))))</f>
        <v>347.8161168414012</v>
      </c>
      <c r="J273" s="32">
        <f t="shared" ca="1" si="490"/>
        <v>1.9317451149962745</v>
      </c>
      <c r="N273" s="153">
        <v>0</v>
      </c>
      <c r="O273" s="153">
        <v>0.8</v>
      </c>
      <c r="P273" s="153">
        <v>71</v>
      </c>
      <c r="Q273" s="153">
        <v>297</v>
      </c>
      <c r="R273" s="153">
        <v>20176.630430000001</v>
      </c>
      <c r="S273" s="153">
        <v>17119.56522</v>
      </c>
      <c r="T273" s="153">
        <v>11480.97826</v>
      </c>
      <c r="U273" s="153">
        <v>7472.8260870000004</v>
      </c>
      <c r="V273" s="153">
        <v>5706.5217389999998</v>
      </c>
      <c r="W273" s="153"/>
      <c r="X273" s="153">
        <v>5689.9328850000002</v>
      </c>
      <c r="Y273" s="153">
        <v>6258.9261740000002</v>
      </c>
      <c r="Z273" s="153">
        <v>5689.9328850000002</v>
      </c>
      <c r="AA273" s="153">
        <v>5310.604026</v>
      </c>
      <c r="AB273" s="153">
        <v>3561.47651</v>
      </c>
      <c r="AC273" s="153">
        <v>2318.120805</v>
      </c>
      <c r="AD273" s="153">
        <v>1770.2013420000001</v>
      </c>
      <c r="AF273" s="161">
        <v>0.16</v>
      </c>
      <c r="AG273" s="141">
        <f>$Y$260+(AF273-$O$260)*(($Y$261-$Y$260)/($O$261-$O$260))</f>
        <v>6081.9060398000001</v>
      </c>
      <c r="AH273" s="141">
        <f>$Z$260+(AF273-$O$260)*(($Z$261-$Z$260)/($O$261-$O$260))</f>
        <v>4933.8040259999998</v>
      </c>
      <c r="AR273" s="53"/>
    </row>
    <row r="274" spans="3:44" thickBot="1">
      <c r="D274" s="32">
        <v>0.17</v>
      </c>
      <c r="E274" s="32">
        <f t="shared" si="488"/>
        <v>191.30610000000001</v>
      </c>
      <c r="F274" s="21">
        <f t="shared" si="489"/>
        <v>4681.5081872500004</v>
      </c>
      <c r="G274" s="32">
        <f t="shared" ca="1" si="484"/>
        <v>0.23070363756199594</v>
      </c>
      <c r="H274" s="32">
        <f t="shared" ca="1" si="485"/>
        <v>-1.8355102715569703E-6</v>
      </c>
      <c r="I274" s="32">
        <f ca="1">(((1)/(2*$B$262*$H$273))*LN(($G$273+($H$273*$E$274^2))/($G$273+($H$273*$E$273^2))))</f>
        <v>387.4083034718077</v>
      </c>
      <c r="J274" s="32">
        <f t="shared" ca="1" si="490"/>
        <v>2.0250703112540984</v>
      </c>
      <c r="N274" s="153">
        <v>0</v>
      </c>
      <c r="O274" s="153">
        <v>0.85</v>
      </c>
      <c r="P274" s="153">
        <v>71</v>
      </c>
      <c r="Q274" s="153">
        <v>297</v>
      </c>
      <c r="R274" s="153">
        <v>20176.630430000001</v>
      </c>
      <c r="S274" s="153">
        <v>17187.5</v>
      </c>
      <c r="T274" s="153">
        <v>11956.52174</v>
      </c>
      <c r="U274" s="153">
        <v>7812.5</v>
      </c>
      <c r="V274" s="153">
        <v>5978.2608700000001</v>
      </c>
      <c r="W274" s="153"/>
      <c r="X274" s="153">
        <v>5702.5771800000002</v>
      </c>
      <c r="Y274" s="153">
        <v>6258.9261740000002</v>
      </c>
      <c r="Z274" s="153">
        <v>5702.5771800000002</v>
      </c>
      <c r="AA274" s="153">
        <v>5331.6778519999998</v>
      </c>
      <c r="AB274" s="153">
        <v>3708.9932880000001</v>
      </c>
      <c r="AC274" s="153">
        <v>2423.4899329999998</v>
      </c>
      <c r="AD274" s="153">
        <v>1854.4966440000001</v>
      </c>
      <c r="AF274" s="161">
        <v>0.17</v>
      </c>
      <c r="AG274" s="141">
        <f>$Y$260+(AF274-$O$260)*(($Y$261-$Y$260)/($O$261-$O$260))</f>
        <v>6073.4765096000001</v>
      </c>
      <c r="AH274" s="141">
        <f>$Z$260+(AF274-$O$260)*(($Z$261-$Z$260)/($O$261-$O$260))</f>
        <v>4927.9033550000004</v>
      </c>
      <c r="AR274" s="53"/>
    </row>
    <row r="275" spans="3:44" thickBot="1">
      <c r="D275" s="21">
        <v>0.18</v>
      </c>
      <c r="E275" s="32">
        <f t="shared" si="488"/>
        <v>202.55939999999998</v>
      </c>
      <c r="F275" s="21">
        <f t="shared" si="489"/>
        <v>4675.9025498000001</v>
      </c>
      <c r="G275" s="32">
        <f t="shared" ca="1" si="484"/>
        <v>0.23037949705259733</v>
      </c>
      <c r="H275" s="32">
        <f t="shared" ca="1" si="485"/>
        <v>-1.8355102715569703E-6</v>
      </c>
      <c r="I275" s="32">
        <f ca="1">(((1)/(2*$B$262*$H$274))*LN(($G$274+($H$274*$E$275^2))/($G$274+($H$274*$E$274^2))))</f>
        <v>432.10540806789652</v>
      </c>
      <c r="J275" s="32">
        <f t="shared" ca="1" si="490"/>
        <v>2.1332281200867329</v>
      </c>
      <c r="N275" s="153">
        <v>0</v>
      </c>
      <c r="O275" s="153">
        <v>0.9</v>
      </c>
      <c r="P275" s="153">
        <v>71</v>
      </c>
      <c r="Q275" s="153">
        <v>297</v>
      </c>
      <c r="R275" s="153">
        <v>20176.630430000001</v>
      </c>
      <c r="S275" s="153">
        <v>17255.43478</v>
      </c>
      <c r="T275" s="153">
        <v>12567.93478</v>
      </c>
      <c r="U275" s="153">
        <v>8152.1739129999996</v>
      </c>
      <c r="V275" s="153">
        <v>6250</v>
      </c>
      <c r="W275" s="153"/>
      <c r="X275" s="153">
        <v>5715.2214759999997</v>
      </c>
      <c r="Y275" s="153">
        <v>6258.9261740000002</v>
      </c>
      <c r="Z275" s="153">
        <v>5715.2214759999997</v>
      </c>
      <c r="AA275" s="153">
        <v>5352.7516770000002</v>
      </c>
      <c r="AB275" s="153">
        <v>3898.6577179999999</v>
      </c>
      <c r="AC275" s="153">
        <v>2528.8590600000002</v>
      </c>
      <c r="AD275" s="153">
        <v>1938.7919460000001</v>
      </c>
      <c r="AF275" s="161">
        <v>0.18</v>
      </c>
      <c r="AG275" s="141">
        <f>$Y$260+(AF275-$O$260)*(($Y$261-$Y$260)/($O$261-$O$260))</f>
        <v>6065.0469794000001</v>
      </c>
      <c r="AH275" s="141">
        <f>$Z$260+(AF275-$O$260)*(($Z$261-$Z$260)/($O$261-$O$260))</f>
        <v>4922.002684</v>
      </c>
      <c r="AR275" s="53"/>
    </row>
    <row r="276" spans="3:44" thickBot="1">
      <c r="D276" s="32">
        <v>0.19</v>
      </c>
      <c r="E276" s="32">
        <f t="shared" si="488"/>
        <v>213.81269999999998</v>
      </c>
      <c r="F276" s="21">
        <f t="shared" si="489"/>
        <v>4670.2969123500006</v>
      </c>
      <c r="G276" s="32">
        <f t="shared" ca="1" si="484"/>
        <v>0.23005535654319884</v>
      </c>
      <c r="H276" s="32">
        <f t="shared" ca="1" si="485"/>
        <v>-1.8355102715569703E-6</v>
      </c>
      <c r="I276" s="32">
        <f ca="1">(((1)/(2*$B$262*$H$275))*LN(($G$275+($H$275*$E$276^2))/($G$275+($H$275*$E$275^2))))</f>
        <v>483.15873314542335</v>
      </c>
      <c r="J276" s="32">
        <f t="shared" ca="1" si="490"/>
        <v>2.2597288802088156</v>
      </c>
      <c r="N276" s="153">
        <v>0</v>
      </c>
      <c r="O276" s="153">
        <v>0.95</v>
      </c>
      <c r="P276" s="153">
        <v>70</v>
      </c>
      <c r="Q276" s="153">
        <v>298</v>
      </c>
      <c r="R276" s="153">
        <v>20244.56522</v>
      </c>
      <c r="S276" s="153">
        <v>17255.43478</v>
      </c>
      <c r="T276" s="153">
        <v>13179.347830000001</v>
      </c>
      <c r="U276" s="153">
        <v>8559.7826089999999</v>
      </c>
      <c r="V276" s="153">
        <v>6589.6739129999996</v>
      </c>
      <c r="W276" s="153"/>
      <c r="X276" s="153">
        <v>5723.6510060000001</v>
      </c>
      <c r="Y276" s="153">
        <v>6279.9999989999997</v>
      </c>
      <c r="Z276" s="153">
        <v>5723.6510060000001</v>
      </c>
      <c r="AA276" s="153">
        <v>5352.7516770000002</v>
      </c>
      <c r="AB276" s="153">
        <v>4088.3221469999999</v>
      </c>
      <c r="AC276" s="153">
        <v>2655.302013</v>
      </c>
      <c r="AD276" s="153">
        <v>2044.1610740000001</v>
      </c>
      <c r="AF276" s="161">
        <v>0.19</v>
      </c>
      <c r="AG276" s="141">
        <f>$Y$260+(AF276-$O$260)*(($Y$261-$Y$260)/($O$261-$O$260))</f>
        <v>6056.6174492</v>
      </c>
      <c r="AH276" s="141">
        <f>$Z$260+(AF276-$O$260)*(($Z$261-$Z$260)/($O$261-$O$260))</f>
        <v>4916.1020130000006</v>
      </c>
      <c r="AR276" s="53"/>
    </row>
    <row r="277" spans="3:44" thickBot="1">
      <c r="D277" s="135">
        <v>0.2</v>
      </c>
      <c r="E277" s="145">
        <f t="shared" si="488"/>
        <v>225.066</v>
      </c>
      <c r="F277" s="135">
        <f t="shared" si="489"/>
        <v>4664.6912749000003</v>
      </c>
      <c r="G277" s="145">
        <f t="shared" ca="1" si="484"/>
        <v>0.22973121603380023</v>
      </c>
      <c r="H277" s="145">
        <f t="shared" ca="1" si="485"/>
        <v>-1.8355102715569703E-6</v>
      </c>
      <c r="I277" s="145">
        <f ca="1">(((1)/(2*$B$262*$H$276))*LN(($G$276+($H$276*$E$277^2))/($G$276+($H$276*$E$276^2))))</f>
        <v>542.24486469847659</v>
      </c>
      <c r="J277" s="145">
        <f t="shared" ca="1" si="490"/>
        <v>2.4092704571035899</v>
      </c>
      <c r="N277" s="153">
        <v>0</v>
      </c>
      <c r="O277" s="153">
        <v>1</v>
      </c>
      <c r="P277" s="153">
        <v>68</v>
      </c>
      <c r="Q277" s="153">
        <v>300</v>
      </c>
      <c r="R277" s="153">
        <v>20380.43478</v>
      </c>
      <c r="S277" s="153">
        <v>17323.369569999999</v>
      </c>
      <c r="T277" s="153">
        <v>13926.630429999999</v>
      </c>
      <c r="U277" s="153">
        <v>9103.2608700000001</v>
      </c>
      <c r="V277" s="153">
        <v>6929.3478260000002</v>
      </c>
      <c r="W277" s="153"/>
      <c r="X277" s="153">
        <v>5753.1543620000002</v>
      </c>
      <c r="Y277" s="153">
        <v>6322.1476499999999</v>
      </c>
      <c r="Z277" s="153">
        <v>5753.1543620000002</v>
      </c>
      <c r="AA277" s="153">
        <v>5373.825503</v>
      </c>
      <c r="AB277" s="153">
        <v>4320.1342279999999</v>
      </c>
      <c r="AC277" s="153">
        <v>2823.892617</v>
      </c>
      <c r="AD277" s="153">
        <v>2149.530201</v>
      </c>
      <c r="AF277" s="161">
        <v>0.2</v>
      </c>
      <c r="AG277" s="141">
        <f>$Y$260+(AF277-$O$260)*(($Y$261-$Y$260)/($O$261-$O$260))</f>
        <v>6048.187919</v>
      </c>
      <c r="AH277" s="141">
        <f>$Z$260+(AF277-$O$260)*(($Z$261-$Z$260)/($O$261-$O$260))</f>
        <v>4910.2013420000003</v>
      </c>
      <c r="AR277" s="53"/>
    </row>
    <row r="278" spans="3:44" ht="14.5">
      <c r="D278" s="163">
        <v>0.21</v>
      </c>
      <c r="E278" s="163">
        <f t="shared" si="488"/>
        <v>236.31929999999997</v>
      </c>
      <c r="F278" s="162">
        <f t="shared" ref="F278:F283" si="491">AG278</f>
        <v>0</v>
      </c>
      <c r="G278" s="163">
        <f t="shared" ca="1" si="484"/>
        <v>-0.04</v>
      </c>
      <c r="H278" s="163">
        <f t="shared" ca="1" si="485"/>
        <v>-1.8355102715569703E-6</v>
      </c>
      <c r="I278" s="163">
        <f ca="1">(((1)/(2*$B$262*$H$277))*LN(($G$277+($H$277*$E$278^2))/($G$277+($H$277*$E$277^2))))</f>
        <v>611.66546838865884</v>
      </c>
      <c r="J278" s="163">
        <f t="shared" ca="1" si="490"/>
        <v>2.588300948710744</v>
      </c>
      <c r="AP278" s="53"/>
    </row>
    <row r="279" spans="3:44" ht="14.5">
      <c r="D279" s="162">
        <v>0.22</v>
      </c>
      <c r="E279" s="163">
        <f t="shared" si="488"/>
        <v>247.57259999999999</v>
      </c>
      <c r="F279" s="162">
        <f t="shared" si="491"/>
        <v>0</v>
      </c>
      <c r="G279" s="177">
        <f t="shared" ca="1" si="484"/>
        <v>-0.04</v>
      </c>
      <c r="H279" s="177">
        <f t="shared" ca="1" si="485"/>
        <v>-1.8355102715569703E-6</v>
      </c>
      <c r="I279" s="177">
        <f ca="1">(((1)/(2*$B$262*$H$278))*LN(($G$278+($H$278*$E$279^2))/($G$278+($H$278*$E$278^2))))</f>
        <v>-573.99344783799859</v>
      </c>
      <c r="J279" s="177">
        <f t="shared" ca="1" si="490"/>
        <v>-2.3184853567721087</v>
      </c>
      <c r="AN279" s="53"/>
    </row>
    <row r="280" spans="3:44" ht="14.5">
      <c r="D280" s="163">
        <v>0.23</v>
      </c>
      <c r="E280" s="163">
        <f t="shared" si="488"/>
        <v>258.82589999999999</v>
      </c>
      <c r="F280" s="162">
        <f t="shared" si="491"/>
        <v>0</v>
      </c>
      <c r="G280" s="177">
        <f t="shared" ca="1" si="484"/>
        <v>-0.04</v>
      </c>
      <c r="H280" s="177">
        <f t="shared" ca="1" si="485"/>
        <v>-1.8355102715569703E-6</v>
      </c>
      <c r="I280" s="177">
        <f ca="1">(((1)/(2*$B$262*$H$279))*LN(($G$279+($H$279*$E$280^2))/($G$279+($H$279*$E$279^2))))</f>
        <v>-561.73246097033405</v>
      </c>
      <c r="J280" s="177">
        <f t="shared" ca="1" si="490"/>
        <v>-2.1703100847725598</v>
      </c>
      <c r="Q280" s="32"/>
      <c r="AN280" s="53"/>
    </row>
    <row r="281" spans="3:44" ht="14.5">
      <c r="D281" s="162">
        <v>0.24</v>
      </c>
      <c r="E281" s="163">
        <f t="shared" si="488"/>
        <v>270.07919999999996</v>
      </c>
      <c r="F281" s="162">
        <f t="shared" si="491"/>
        <v>0</v>
      </c>
      <c r="G281" s="177">
        <f t="shared" ca="1" si="484"/>
        <v>-0.04</v>
      </c>
      <c r="H281" s="177">
        <f t="shared" ca="1" si="485"/>
        <v>-1.8355102715569703E-6</v>
      </c>
      <c r="I281" s="177">
        <f ca="1">(((1)/(2*$B$262*$H$280))*LN(($G$280+($H$280*$E$281^2))/($G$280+($H$280*$E$280^2))))</f>
        <v>-549.44332076399132</v>
      </c>
      <c r="J281" s="177">
        <f t="shared" ca="1" si="490"/>
        <v>-2.0343785110589465</v>
      </c>
      <c r="L281" s="21"/>
      <c r="Q281" s="32"/>
      <c r="AA281" s="38"/>
      <c r="AH281" s="2"/>
      <c r="AJ281" s="21"/>
      <c r="AN281" s="53"/>
    </row>
    <row r="282" spans="3:44" ht="14.5">
      <c r="D282" s="163">
        <v>0.25</v>
      </c>
      <c r="E282" s="163">
        <f t="shared" si="488"/>
        <v>281.33249999999998</v>
      </c>
      <c r="F282" s="162">
        <f t="shared" si="491"/>
        <v>0</v>
      </c>
      <c r="G282" s="177">
        <f t="shared" ca="1" si="484"/>
        <v>-0.04</v>
      </c>
      <c r="H282" s="177">
        <f t="shared" ca="1" si="485"/>
        <v>-1.8355102715569703E-6</v>
      </c>
      <c r="I282" s="177">
        <f ca="1">(((1)/(2*$B$262*$H$281))*LN(($G$281+($H$281*$E$282^2))/($G$281+($H$281*$E$281^2))))</f>
        <v>-537.22658443953617</v>
      </c>
      <c r="J282" s="177">
        <f t="shared" ca="1" si="490"/>
        <v>-1.9095788237744882</v>
      </c>
      <c r="L282" s="21"/>
      <c r="Q282" s="32"/>
      <c r="AA282" s="38"/>
      <c r="AH282" s="2"/>
      <c r="AJ282" s="21"/>
      <c r="AN282" s="53"/>
    </row>
    <row r="283" spans="3:44" ht="14.5">
      <c r="C283" s="21" t="s">
        <v>212</v>
      </c>
      <c r="D283" s="162">
        <v>0.26</v>
      </c>
      <c r="E283" s="163">
        <f t="shared" si="488"/>
        <v>292.58580000000001</v>
      </c>
      <c r="F283" s="162">
        <f t="shared" si="491"/>
        <v>0</v>
      </c>
      <c r="G283" s="177">
        <f t="shared" ca="1" si="484"/>
        <v>-0.04</v>
      </c>
      <c r="H283" s="177">
        <f t="shared" ca="1" si="485"/>
        <v>-1.8355102715569703E-6</v>
      </c>
      <c r="I283" s="177">
        <f ca="1">(((1)/(2*$B$262*$H$282))*LN(($G$282+($H$282*$E$283^2))/($G$282+($H$282*$E$282^2))))</f>
        <v>-525.15875999664308</v>
      </c>
      <c r="J283" s="177">
        <f t="shared" ca="1" si="490"/>
        <v>-1.7948880635924336</v>
      </c>
      <c r="L283" s="21"/>
      <c r="S283" s="32"/>
      <c r="AA283" s="38"/>
      <c r="AH283" s="2"/>
      <c r="AJ283" s="21"/>
      <c r="AN283" s="53"/>
    </row>
    <row r="284" spans="3:44" ht="14.5">
      <c r="H284" s="21"/>
      <c r="L284" s="21"/>
      <c r="S284" s="32"/>
      <c r="AC284" s="38"/>
      <c r="AJ284" s="2"/>
      <c r="AL284" s="21"/>
      <c r="AP284" s="53"/>
    </row>
    <row r="285" spans="3:44" ht="14.5">
      <c r="H285" s="34" t="s">
        <v>160</v>
      </c>
      <c r="I285" s="32">
        <f ca="1">SUM(I257:I274)</f>
        <v>2873.932428753792</v>
      </c>
      <c r="J285" s="21" t="s">
        <v>9</v>
      </c>
      <c r="K285" s="21" t="s">
        <v>161</v>
      </c>
      <c r="L285" s="32">
        <f ca="1">SUM(J257:J282)</f>
        <v>26.549529686960355</v>
      </c>
      <c r="M285" s="21" t="s">
        <v>18</v>
      </c>
      <c r="S285" s="32"/>
      <c r="AC285" s="38"/>
      <c r="AJ285" s="2"/>
      <c r="AL285" s="21"/>
      <c r="AP285" s="53"/>
    </row>
    <row r="286" spans="3:44" ht="14.5">
      <c r="H286" s="7" t="s">
        <v>154</v>
      </c>
      <c r="I286" s="32">
        <f ca="1">B263</f>
        <v>197.36980853147577</v>
      </c>
      <c r="K286" s="21" t="s">
        <v>162</v>
      </c>
      <c r="L286" s="21">
        <v>1</v>
      </c>
      <c r="M286" s="21" t="s">
        <v>18</v>
      </c>
      <c r="S286" s="32"/>
      <c r="AC286" s="38"/>
      <c r="AJ286" s="2"/>
      <c r="AL286" s="21"/>
      <c r="AP286" s="53"/>
    </row>
    <row r="287" spans="3:44" ht="14.5">
      <c r="H287" s="7" t="s">
        <v>138</v>
      </c>
      <c r="I287" s="32">
        <f ca="1">K257</f>
        <v>811.93906047385394</v>
      </c>
      <c r="K287" s="21" t="s">
        <v>163</v>
      </c>
      <c r="L287" s="21">
        <f ca="1">(K257/H1)</f>
        <v>3.9349349729369929</v>
      </c>
      <c r="M287" s="21" t="s">
        <v>18</v>
      </c>
      <c r="S287" s="32"/>
      <c r="AC287" s="38"/>
      <c r="AJ287" s="2"/>
      <c r="AL287" s="21"/>
      <c r="AP287" s="53"/>
    </row>
    <row r="288" spans="3:44" ht="14.5">
      <c r="H288" s="7" t="s">
        <v>148</v>
      </c>
      <c r="I288" s="68">
        <f ca="1">K260</f>
        <v>-448.12751150936265</v>
      </c>
      <c r="K288" s="21" t="s">
        <v>164</v>
      </c>
      <c r="L288" s="49">
        <f ca="1">I288/K1</f>
        <v>-2.0812886999959046</v>
      </c>
      <c r="M288" s="21" t="s">
        <v>18</v>
      </c>
      <c r="S288" s="32"/>
      <c r="AC288" s="38"/>
      <c r="AJ288" s="2"/>
      <c r="AL288" s="21"/>
      <c r="AP288" s="53"/>
    </row>
    <row r="289" spans="1:56" ht="14.5">
      <c r="B289" s="167" t="s">
        <v>222</v>
      </c>
      <c r="C289" s="167">
        <f ca="1">1.1*Z292</f>
        <v>197.36980853147577</v>
      </c>
      <c r="H289" s="6" t="s">
        <v>165</v>
      </c>
      <c r="I289" s="5">
        <f ca="1">SUM(I285:I287)</f>
        <v>3883.2412977591221</v>
      </c>
      <c r="J289" s="6" t="s">
        <v>9</v>
      </c>
      <c r="K289" s="51" t="s">
        <v>166</v>
      </c>
      <c r="L289" s="51">
        <f ca="1">SUM(L285:L288)</f>
        <v>29.403175959901443</v>
      </c>
      <c r="M289" s="51" t="s">
        <v>18</v>
      </c>
      <c r="N289" s="148"/>
      <c r="O289" s="148"/>
      <c r="P289" s="148"/>
      <c r="Q289" s="148"/>
      <c r="R289" s="148"/>
      <c r="S289" s="145"/>
      <c r="T289" s="148"/>
      <c r="U289" s="148"/>
      <c r="V289" s="148"/>
      <c r="AC289" s="38"/>
      <c r="AJ289" s="2"/>
      <c r="AL289" s="21"/>
      <c r="AP289" s="53"/>
    </row>
    <row r="290" spans="1:56" s="148" customFormat="1" thickBot="1">
      <c r="H290" s="135"/>
      <c r="I290" s="145"/>
      <c r="J290" s="135"/>
      <c r="K290" s="157"/>
      <c r="L290" s="157"/>
      <c r="M290" s="157"/>
      <c r="S290" s="145"/>
      <c r="AC290" s="146"/>
      <c r="AJ290" s="147"/>
      <c r="AL290" s="135"/>
      <c r="AP290" s="145"/>
    </row>
    <row r="291" spans="1:56" ht="26.5" thickBot="1">
      <c r="A291" s="41" t="s">
        <v>2</v>
      </c>
      <c r="B291" s="41" t="s">
        <v>2</v>
      </c>
      <c r="C291" s="41" t="s">
        <v>2</v>
      </c>
      <c r="D291" s="41" t="s">
        <v>23</v>
      </c>
      <c r="E291" s="41" t="s">
        <v>24</v>
      </c>
      <c r="F291" s="41" t="s">
        <v>25</v>
      </c>
      <c r="G291" s="41"/>
      <c r="H291" s="41" t="s">
        <v>0</v>
      </c>
      <c r="I291" s="5" t="s">
        <v>26</v>
      </c>
      <c r="J291" s="41" t="s">
        <v>27</v>
      </c>
      <c r="K291" s="41" t="s">
        <v>28</v>
      </c>
      <c r="L291" s="12" t="s">
        <v>29</v>
      </c>
      <c r="M291" s="13" t="s">
        <v>30</v>
      </c>
      <c r="N291" s="41" t="s">
        <v>31</v>
      </c>
      <c r="O291" s="41" t="s">
        <v>32</v>
      </c>
      <c r="P291" s="41" t="s">
        <v>33</v>
      </c>
      <c r="Q291" s="41" t="s">
        <v>34</v>
      </c>
      <c r="R291" s="41" t="s">
        <v>13</v>
      </c>
      <c r="S291" s="24" t="s">
        <v>35</v>
      </c>
      <c r="T291" s="10" t="s">
        <v>35</v>
      </c>
      <c r="U291" s="41" t="s">
        <v>36</v>
      </c>
      <c r="V291" s="41" t="s">
        <v>37</v>
      </c>
      <c r="W291" s="41" t="s">
        <v>38</v>
      </c>
      <c r="X291" s="41" t="s">
        <v>39</v>
      </c>
      <c r="Y291" s="41" t="s">
        <v>40</v>
      </c>
      <c r="Z291" s="35" t="s">
        <v>108</v>
      </c>
      <c r="AA291" s="35" t="s">
        <v>109</v>
      </c>
      <c r="AB291" s="9" t="s">
        <v>110</v>
      </c>
      <c r="AC291" s="7" t="s">
        <v>111</v>
      </c>
      <c r="AD291" s="7" t="s">
        <v>112</v>
      </c>
      <c r="AE291" s="5" t="s">
        <v>41</v>
      </c>
      <c r="AF291" s="7" t="s">
        <v>113</v>
      </c>
      <c r="AG291" s="7" t="s">
        <v>114</v>
      </c>
      <c r="AH291" s="7" t="s">
        <v>115</v>
      </c>
      <c r="AI291" s="41" t="s">
        <v>42</v>
      </c>
      <c r="AJ291" s="41" t="s">
        <v>43</v>
      </c>
      <c r="AK291" s="36" t="s">
        <v>116</v>
      </c>
      <c r="AL291" s="5" t="s">
        <v>44</v>
      </c>
      <c r="AM291" s="41" t="s">
        <v>45</v>
      </c>
      <c r="AN291" s="41" t="s">
        <v>46</v>
      </c>
      <c r="AO291" s="41" t="s">
        <v>47</v>
      </c>
      <c r="AP291" s="67" t="s">
        <v>85</v>
      </c>
      <c r="AQ291" s="15" t="s">
        <v>62</v>
      </c>
      <c r="AR291" s="16" t="s">
        <v>63</v>
      </c>
      <c r="AS291" s="16" t="s">
        <v>64</v>
      </c>
      <c r="AT291" s="17" t="s">
        <v>65</v>
      </c>
      <c r="AU291" s="18" t="s">
        <v>66</v>
      </c>
      <c r="AV291" s="18" t="s">
        <v>67</v>
      </c>
      <c r="AW291" s="19" t="s">
        <v>68</v>
      </c>
      <c r="AX291" s="7" t="s">
        <v>207</v>
      </c>
      <c r="AY291" s="7" t="s">
        <v>208</v>
      </c>
      <c r="AZ291" s="7" t="s">
        <v>209</v>
      </c>
      <c r="BA291" s="152" t="s">
        <v>293</v>
      </c>
      <c r="BB291" s="152" t="s">
        <v>294</v>
      </c>
      <c r="BC291" s="152" t="s">
        <v>295</v>
      </c>
      <c r="BD291" s="152" t="s">
        <v>296</v>
      </c>
    </row>
    <row r="292" spans="1:56" ht="14.5">
      <c r="A292" s="41">
        <f ca="1">H292/(K292*SIN(RADIANS(T292)))</f>
        <v>144.62146897809345</v>
      </c>
      <c r="B292" s="41">
        <v>0</v>
      </c>
      <c r="C292" s="41">
        <v>0</v>
      </c>
      <c r="D292" s="41">
        <f ca="1">$B$12</f>
        <v>17120.911810119556</v>
      </c>
      <c r="E292" s="7">
        <v>0</v>
      </c>
      <c r="F292" s="7">
        <v>0</v>
      </c>
      <c r="G292" s="41"/>
      <c r="H292" s="65">
        <v>6000</v>
      </c>
      <c r="I292" s="6">
        <v>15</v>
      </c>
      <c r="J292" s="41">
        <f t="shared" ref="J292" si="492">SQRT((((((((L292^2)*(0.2))/(661.477)^2) + 1)^(3.5) - 1)*(1/AR292) + 1)^(1/3.5) - 1)*(5))</f>
        <v>0.17718229445255015</v>
      </c>
      <c r="K292" s="41">
        <f>SQRT((1.4*2116.22*AR292*(J292)^2)/AV292)</f>
        <v>198.88077011235529</v>
      </c>
      <c r="L292" s="120">
        <v>105</v>
      </c>
      <c r="M292" s="41">
        <f t="shared" ref="M292" si="493">K292*0.592484</f>
        <v>117.83367419924872</v>
      </c>
      <c r="N292" s="41">
        <f>0.5*AV292*K292^2</f>
        <v>37.268003632321701</v>
      </c>
      <c r="O292" s="41">
        <f t="shared" ref="O292" si="494">P292/$B$7</f>
        <v>994494.14830272109</v>
      </c>
      <c r="P292" s="41">
        <f>(AV292*K292*$B$7)/(AW292)</f>
        <v>6385351.2473953245</v>
      </c>
      <c r="Q292" s="41">
        <f>0.455/(LOG10(P292)^2.58 * (1+0.144*J292*J292)^0.65)</f>
        <v>3.221151299786435E-3</v>
      </c>
      <c r="R292" s="41">
        <f>(((Q292*$B$4)+$B$17)+(0.05*(Q292*$B$4)))</f>
        <v>2.3693269819668974E-2</v>
      </c>
      <c r="S292" s="24">
        <f ca="1">T292</f>
        <v>12.040641645103953</v>
      </c>
      <c r="T292" s="10">
        <f ca="1">DEGREES(ASIN(((AF292-X292)/(D292))))</f>
        <v>12.040641645103952</v>
      </c>
      <c r="U292" s="41">
        <f ca="1">(D292*COS(RADIANS(S292)))/(N292*$B$3)</f>
        <v>1.9534474155390691</v>
      </c>
      <c r="V292" s="41">
        <f ca="1">(X292)/(N292*$B$3)</f>
        <v>0.26469659846446075</v>
      </c>
      <c r="W292" s="41">
        <f ca="1">U292/V292</f>
        <v>7.3799490695055034</v>
      </c>
      <c r="X292" s="20">
        <f ca="1">(N292*$B$3*R292)+((N292*$B$3)*((U292^2)/(PI()*$B$6*$B$5)))</f>
        <v>2268.884172398446</v>
      </c>
      <c r="Y292" s="41">
        <f>SQRT(PI()*$B$6*$B$5*R292)</f>
        <v>0.61249522130475742</v>
      </c>
      <c r="Z292" s="41">
        <f ca="1">SQRT((2*((U292*N292*$B$3)/(D292))*D292)/(AV292*$B$3*$B$18))</f>
        <v>179.42709866497796</v>
      </c>
      <c r="AA292" s="14">
        <f ca="1">D292/W292</f>
        <v>2319.9227594760014</v>
      </c>
      <c r="AB292" s="9">
        <f>6280*0.93</f>
        <v>5840.4000000000005</v>
      </c>
      <c r="AC292" s="25">
        <f t="shared" ref="AC292" ca="1" si="495">AA292*K292</f>
        <v>461388.02500576753</v>
      </c>
      <c r="AD292" s="41">
        <f t="shared" ref="AD292" si="496">AB292*K292</f>
        <v>1161543.2497642001</v>
      </c>
      <c r="AE292" s="6">
        <v>100</v>
      </c>
      <c r="AF292" s="41">
        <f t="shared" ref="AF292" si="497">AB292*(AE292/100)</f>
        <v>5840.4000000000005</v>
      </c>
      <c r="AG292" s="41">
        <f t="shared" ref="AG292" ca="1" si="498">AB292-AA292</f>
        <v>3520.4772405239992</v>
      </c>
      <c r="AH292" s="41">
        <f t="shared" ref="AH292" ca="1" si="499">AD292-AC292</f>
        <v>700155.22475843248</v>
      </c>
      <c r="AI292" s="41">
        <f t="shared" ref="AI292" si="500">(AP292*AF292)</f>
        <v>4695.3709783938657</v>
      </c>
      <c r="AJ292" s="13">
        <f ca="1">K292*SIN(RADIANS(T292))</f>
        <v>41.487616205231944</v>
      </c>
      <c r="AK292" s="11">
        <f ca="1">(AH292/D292)*60</f>
        <v>2453.6843569672355</v>
      </c>
      <c r="AL292" s="6">
        <v>500</v>
      </c>
      <c r="AM292" s="41">
        <f t="shared" ref="AM292" ca="1" si="501">AL292/AJ292</f>
        <v>12.05178908150779</v>
      </c>
      <c r="AN292" s="41">
        <f t="shared" ref="AN292" ca="1" si="502">AI292*(AM292/3600)</f>
        <v>15.718783525287707</v>
      </c>
      <c r="AO292" s="41">
        <f ca="1">M292*COS(RADIANS(T292))*(AM292/3600)</f>
        <v>0.38579557442015683</v>
      </c>
      <c r="AP292" s="67">
        <f t="shared" ref="AP292" si="503">-18.066*(AZ292^6) + 34.325*(AZ292^5) - 25.292*(AZ292^4) + 8.7618*(AZ292^3) - 1.317*(AZ292^2) + 0.358*(AZ292^1) + 0.7659</f>
        <v>0.80394681501161991</v>
      </c>
      <c r="AQ292" s="11">
        <f>IF(H292 &lt;= 36089, ((1 - 6.87535*10^(-6)*H292) + ((I292*1.8)/518.67)), 0.75187 + ((I292*1.8)/518.67))</f>
        <v>1.0108041207183758</v>
      </c>
      <c r="AR292" s="11">
        <f>IF(H292 &lt;= 36089, (1 - 6.87535*10^(-6)*H292)^5.2561, 0.22336*EXP((36089 - H292)/(20806.7)))</f>
        <v>0.80137655372650329</v>
      </c>
      <c r="AS292" s="11">
        <f t="shared" ref="AS292" si="504">(AR292/AQ292)</f>
        <v>0.79281092874548942</v>
      </c>
      <c r="AT292" s="11">
        <f t="shared" ref="AT292" si="505">(518.67*AQ292)</f>
        <v>524.27377329299998</v>
      </c>
      <c r="AU292" s="11">
        <f t="shared" ref="AU292" si="506">2116.22*AR292</f>
        <v>1695.8890905271007</v>
      </c>
      <c r="AV292" s="11">
        <f t="shared" ref="AV292" si="507">(0.0023769*AS292)</f>
        <v>1.8844322965351538E-3</v>
      </c>
      <c r="AW292" s="11">
        <f t="shared" ref="AW292" si="508">((2.2697*10^-8)*(AT292^1.5))/(AT292+198.72)</f>
        <v>3.7685223889866925E-7</v>
      </c>
      <c r="AX292" s="41">
        <f ca="1">(1/U292)*(((1 + 0.2*(U292)^2)/1.2)^3)</f>
        <v>1.623876080451724</v>
      </c>
      <c r="AY292" s="41">
        <f t="shared" ref="AY292" ca="1" si="509">($H$4/$H$3)*AX292</f>
        <v>2.187393342807157</v>
      </c>
      <c r="AZ292" s="41">
        <f>-6.6*10^(-3) + 0.825*J292 - 0.243*(J292^2)</f>
        <v>0.13194675651475862</v>
      </c>
      <c r="BA292" s="167">
        <f>2.12-0.00251*AF292+1.94*10^-6*AF292^2-7.84*10^-10*AF292^3+1.7*10^-13*AF292^4-1.89*10^-17*AF292^5+8.37*10^-22*AF292^6</f>
        <v>3.0839195580441014E-2</v>
      </c>
      <c r="BB292" s="156">
        <f>2.18-0.00461*AF292+6.03*10^-6*AF292^2-4.1*10^-9*AF292^3+1.5*10^-12*AF292^4-2.81*10^-16*AF292^5+2.1*10^-20*AF292^6</f>
        <v>33.357052269665814</v>
      </c>
    </row>
    <row r="293" spans="1:56" ht="14.5">
      <c r="H293" s="21"/>
      <c r="L293" s="21"/>
      <c r="S293" s="32"/>
      <c r="AC293" s="38"/>
      <c r="AJ293" s="2"/>
      <c r="AL293" s="21"/>
      <c r="AP293" s="53"/>
    </row>
    <row r="294" spans="1:56" ht="14.5">
      <c r="H294" s="21"/>
      <c r="L294" s="21"/>
      <c r="S294" s="32"/>
      <c r="AC294" s="38"/>
      <c r="AJ294" s="2"/>
      <c r="AL294" s="21"/>
      <c r="AP294" s="53"/>
    </row>
    <row r="295" spans="1:56" ht="14.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2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5"/>
      <c r="AD295" s="43"/>
      <c r="AE295" s="42"/>
      <c r="AF295" s="43"/>
      <c r="AG295" s="43"/>
      <c r="AH295" s="43"/>
      <c r="AI295" s="43"/>
      <c r="AJ295" s="45"/>
      <c r="AK295" s="43"/>
      <c r="AL295" s="42"/>
      <c r="AM295" s="43"/>
      <c r="AN295" s="43"/>
      <c r="AO295" s="43"/>
      <c r="AP295" s="5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</row>
    <row r="296" spans="1:56" ht="14.5">
      <c r="A296" s="26" t="s">
        <v>167</v>
      </c>
      <c r="D296" s="181" t="s">
        <v>141</v>
      </c>
      <c r="E296" s="182"/>
      <c r="F296" s="182"/>
      <c r="G296" s="182"/>
      <c r="H296" s="182"/>
      <c r="I296" s="182"/>
      <c r="K296" s="26"/>
      <c r="N296" s="181"/>
      <c r="O296" s="182"/>
      <c r="P296" s="182"/>
      <c r="Q296" s="182"/>
      <c r="R296" s="182"/>
      <c r="S296" s="182"/>
      <c r="AB296" s="38"/>
      <c r="AI296" s="2"/>
      <c r="AL296" s="21"/>
    </row>
    <row r="297" spans="1:56" ht="14.5">
      <c r="A297" s="70" t="s">
        <v>168</v>
      </c>
      <c r="B297" s="32">
        <f ca="1">1.2*($Z$195)</f>
        <v>200.17885110960944</v>
      </c>
      <c r="C297" s="21" t="s">
        <v>51</v>
      </c>
      <c r="D297" s="39" t="s">
        <v>131</v>
      </c>
      <c r="E297" s="39" t="s">
        <v>132</v>
      </c>
      <c r="F297" s="39" t="s">
        <v>133</v>
      </c>
      <c r="G297" s="39" t="s">
        <v>134</v>
      </c>
      <c r="H297" s="39" t="s">
        <v>135</v>
      </c>
      <c r="I297" s="6" t="s">
        <v>170</v>
      </c>
      <c r="J297" s="21" t="s">
        <v>2</v>
      </c>
      <c r="L297" s="75" t="s">
        <v>217</v>
      </c>
      <c r="M297" s="167">
        <f ca="1">B12*0.85</f>
        <v>14552.775038601623</v>
      </c>
      <c r="N297" s="21"/>
      <c r="O297" s="21"/>
      <c r="P297" s="21"/>
      <c r="Q297" s="21"/>
      <c r="R297" s="21"/>
      <c r="S297" s="21"/>
      <c r="AB297" s="38"/>
      <c r="AI297" s="2"/>
      <c r="AL297" s="21"/>
    </row>
    <row r="298" spans="1:56" ht="14.5">
      <c r="A298" s="70" t="s">
        <v>169</v>
      </c>
      <c r="B298" s="32">
        <f ca="1">$T$195</f>
        <v>-5.9957952845540685</v>
      </c>
      <c r="C298" s="21" t="s">
        <v>55</v>
      </c>
      <c r="D298" s="21">
        <v>110</v>
      </c>
      <c r="E298" s="168">
        <f ca="1">$B$299</f>
        <v>183.49728018380867</v>
      </c>
      <c r="F298" s="21">
        <f>F257*0.05</f>
        <v>243.04442951999999</v>
      </c>
      <c r="G298" s="32">
        <f ca="1">(F298/$M$297)-$C$308</f>
        <v>-0.28329910076426534</v>
      </c>
      <c r="H298" s="32">
        <f t="shared" ref="H298:H318" ca="1" si="510">((($B$310)/(2*($M$297/$B$3)))*(($C$308*$B$314)-$B$311-($B$312*$B$314^2)))</f>
        <v>5.0477393269178219E-7</v>
      </c>
      <c r="I298" s="32">
        <f t="shared" ref="I298:I316" ca="1" si="511">((1)/(2*$B$313*H298))*LN((G298+(H298*(E299^2)))/(G298+(H298*(E298^2))))</f>
        <v>133.62201785799104</v>
      </c>
      <c r="J298" s="21">
        <v>0</v>
      </c>
      <c r="AB298" s="38"/>
      <c r="AI298" s="2"/>
      <c r="AL298" s="21"/>
    </row>
    <row r="299" spans="1:56" ht="14.5">
      <c r="A299" s="70" t="s">
        <v>171</v>
      </c>
      <c r="B299" s="32">
        <f ca="1">1.1*$Z$195</f>
        <v>183.49728018380867</v>
      </c>
      <c r="C299" s="21" t="s">
        <v>51</v>
      </c>
      <c r="D299" s="21">
        <v>105</v>
      </c>
      <c r="E299" s="32">
        <f>$D$299*1.687</f>
        <v>177.13500000000002</v>
      </c>
      <c r="F299" s="21">
        <f t="shared" ref="F299:F318" si="512">F258*0.05</f>
        <v>242.44382548850001</v>
      </c>
      <c r="G299" s="32">
        <f ca="1">(F299/$M$297)-$C$308</f>
        <v>-0.28334037152052366</v>
      </c>
      <c r="H299" s="32">
        <f t="shared" ca="1" si="510"/>
        <v>5.0477393269178219E-7</v>
      </c>
      <c r="I299" s="32">
        <f t="shared" ca="1" si="511"/>
        <v>169.02583244435257</v>
      </c>
      <c r="J299" s="32">
        <f t="shared" ref="J299:J318" ca="1" si="513">I299/E299</f>
        <v>0.9542204106718184</v>
      </c>
      <c r="AB299" s="38"/>
      <c r="AI299" s="2"/>
      <c r="AL299" s="21"/>
    </row>
    <row r="300" spans="1:56" ht="14.5">
      <c r="A300" s="70" t="s">
        <v>172</v>
      </c>
      <c r="B300" s="32">
        <f ca="1">1.15*$Z$195</f>
        <v>191.83806564670903</v>
      </c>
      <c r="C300" s="21" t="s">
        <v>51</v>
      </c>
      <c r="D300" s="21">
        <f t="shared" ref="D300:D318" si="514">D299-5</f>
        <v>100</v>
      </c>
      <c r="E300" s="32">
        <f>$D$300*1.687</f>
        <v>168.70000000000002</v>
      </c>
      <c r="F300" s="21">
        <f t="shared" si="512"/>
        <v>241.843221457</v>
      </c>
      <c r="G300" s="32">
        <f t="shared" ref="G300:G318" ca="1" si="515">(F300/$M$297)-$C$308</f>
        <v>-0.28338164227678198</v>
      </c>
      <c r="H300" s="32">
        <f t="shared" ca="1" si="510"/>
        <v>5.0477393269178219E-7</v>
      </c>
      <c r="I300" s="32">
        <f t="shared" ca="1" si="511"/>
        <v>159.89967086796898</v>
      </c>
      <c r="J300" s="32">
        <f t="shared" ca="1" si="513"/>
        <v>0.9478344449790691</v>
      </c>
      <c r="AB300" s="38"/>
      <c r="AI300" s="2"/>
      <c r="AL300" s="21"/>
    </row>
    <row r="301" spans="1:56" ht="14.5">
      <c r="A301" s="70" t="s">
        <v>156</v>
      </c>
      <c r="B301" s="32">
        <f ca="1">(((0.5*$AV$195*$B$3)*($B$264)*($H$1)^2)/(0.5*$AV$195*$B$3*$B$18*Z$195^2))</f>
        <v>1.3770203765586704</v>
      </c>
      <c r="D301" s="21">
        <f t="shared" si="514"/>
        <v>95</v>
      </c>
      <c r="E301" s="32">
        <f>$D$301*1.687</f>
        <v>160.26500000000001</v>
      </c>
      <c r="F301" s="21">
        <f t="shared" si="512"/>
        <v>241.24261742549999</v>
      </c>
      <c r="G301" s="32">
        <f t="shared" ca="1" si="515"/>
        <v>-0.28342291303304024</v>
      </c>
      <c r="H301" s="32">
        <f t="shared" ca="1" si="510"/>
        <v>5.0477393269178219E-7</v>
      </c>
      <c r="I301" s="32">
        <f t="shared" ca="1" si="511"/>
        <v>150.91295118919157</v>
      </c>
      <c r="J301" s="32">
        <f t="shared" ca="1" si="513"/>
        <v>0.94164634317656104</v>
      </c>
      <c r="AB301" s="38"/>
      <c r="AI301" s="2"/>
      <c r="AL301" s="21"/>
    </row>
    <row r="302" spans="1:56" ht="14.5">
      <c r="A302" s="70" t="s">
        <v>173</v>
      </c>
      <c r="B302" s="32">
        <f ca="1">($B$300^2)/(($B$301-1)*$B$262)</f>
        <v>3034.2662717193402</v>
      </c>
      <c r="C302" s="21" t="s">
        <v>9</v>
      </c>
      <c r="D302" s="21">
        <f t="shared" si="514"/>
        <v>90</v>
      </c>
      <c r="E302" s="32">
        <f>$D$302*1.687</f>
        <v>151.83000000000001</v>
      </c>
      <c r="F302" s="21">
        <f t="shared" si="512"/>
        <v>240.64201339400003</v>
      </c>
      <c r="G302" s="32">
        <f t="shared" ca="1" si="515"/>
        <v>-0.28346418378929855</v>
      </c>
      <c r="H302" s="32">
        <f t="shared" ca="1" si="510"/>
        <v>5.0477393269178219E-7</v>
      </c>
      <c r="I302" s="32">
        <f t="shared" ca="1" si="511"/>
        <v>142.05640647143042</v>
      </c>
      <c r="J302" s="32">
        <f t="shared" ca="1" si="513"/>
        <v>0.93562804762846874</v>
      </c>
      <c r="AB302" s="38"/>
      <c r="AI302" s="2"/>
      <c r="AL302" s="21"/>
    </row>
    <row r="303" spans="1:56" ht="14.5">
      <c r="A303" s="70" t="s">
        <v>174</v>
      </c>
      <c r="B303" s="32">
        <f ca="1">$B$302*(1-COS(RADIANS($B$298)))</f>
        <v>16.598760570571461</v>
      </c>
      <c r="C303" s="21" t="s">
        <v>9</v>
      </c>
      <c r="D303" s="21">
        <f t="shared" si="514"/>
        <v>85</v>
      </c>
      <c r="E303" s="32">
        <f>$D$303*1.687</f>
        <v>143.39500000000001</v>
      </c>
      <c r="F303" s="21">
        <f t="shared" si="512"/>
        <v>240.04140936249996</v>
      </c>
      <c r="G303" s="32">
        <f t="shared" ca="1" si="515"/>
        <v>-0.28350545454555687</v>
      </c>
      <c r="H303" s="32">
        <f t="shared" ca="1" si="510"/>
        <v>5.0477393269178219E-7</v>
      </c>
      <c r="I303" s="32">
        <f t="shared" ca="1" si="511"/>
        <v>133.32116032053088</v>
      </c>
      <c r="J303" s="32">
        <f t="shared" ca="1" si="513"/>
        <v>0.92974762244520992</v>
      </c>
      <c r="AB303" s="38"/>
      <c r="AI303" s="2"/>
      <c r="AL303" s="21"/>
    </row>
    <row r="304" spans="1:56" ht="14.5">
      <c r="A304" s="71" t="s">
        <v>175</v>
      </c>
      <c r="B304" s="32">
        <f ca="1">ABS($B$302*SIN(RADIANS($B$298)))</f>
        <v>316.94573644518425</v>
      </c>
      <c r="C304" s="21" t="s">
        <v>9</v>
      </c>
      <c r="D304" s="21">
        <f t="shared" si="514"/>
        <v>80</v>
      </c>
      <c r="E304" s="32">
        <f>$D$304*1.687</f>
        <v>134.96</v>
      </c>
      <c r="F304" s="21">
        <f t="shared" si="512"/>
        <v>239.44080534049999</v>
      </c>
      <c r="G304" s="32">
        <f t="shared" ca="1" si="515"/>
        <v>-0.28354672530116237</v>
      </c>
      <c r="H304" s="32">
        <f t="shared" ca="1" si="510"/>
        <v>5.0477393269178219E-7</v>
      </c>
      <c r="I304" s="32">
        <f t="shared" ca="1" si="511"/>
        <v>124.69869421219919</v>
      </c>
      <c r="J304" s="32">
        <f t="shared" ca="1" si="513"/>
        <v>0.92396779943834606</v>
      </c>
      <c r="K304" s="21"/>
      <c r="AB304" s="38"/>
      <c r="AI304" s="2"/>
      <c r="AL304" s="21"/>
    </row>
    <row r="305" spans="1:51" ht="14.5">
      <c r="A305" s="70" t="s">
        <v>176</v>
      </c>
      <c r="B305" s="21">
        <v>2</v>
      </c>
      <c r="C305" s="21" t="s">
        <v>18</v>
      </c>
      <c r="D305" s="21">
        <f t="shared" si="514"/>
        <v>75</v>
      </c>
      <c r="E305" s="32">
        <f>$D$305*1.687</f>
        <v>126.52500000000001</v>
      </c>
      <c r="F305" s="21">
        <f t="shared" si="512"/>
        <v>238.84020131850002</v>
      </c>
      <c r="G305" s="32">
        <f t="shared" ca="1" si="515"/>
        <v>-0.28358799605676788</v>
      </c>
      <c r="H305" s="32">
        <f t="shared" ca="1" si="510"/>
        <v>5.0477393269178219E-7</v>
      </c>
      <c r="I305" s="32">
        <f t="shared" ca="1" si="511"/>
        <v>116.18081713731553</v>
      </c>
      <c r="J305" s="32">
        <f t="shared" ca="1" si="513"/>
        <v>0.91824396077704429</v>
      </c>
      <c r="AB305" s="38"/>
      <c r="AI305" s="2"/>
      <c r="AL305" s="21"/>
    </row>
    <row r="306" spans="1:51" ht="14.5">
      <c r="A306" s="71" t="s">
        <v>177</v>
      </c>
      <c r="B306" s="32">
        <f ca="1">$B$299*$B$305</f>
        <v>366.99456036761734</v>
      </c>
      <c r="C306" s="21" t="s">
        <v>9</v>
      </c>
      <c r="D306" s="21">
        <f t="shared" si="514"/>
        <v>70</v>
      </c>
      <c r="E306" s="32">
        <f>$D$306*1.687</f>
        <v>118.09</v>
      </c>
      <c r="F306" s="21">
        <f t="shared" si="512"/>
        <v>238.23959729649997</v>
      </c>
      <c r="G306" s="32">
        <f t="shared" ca="1" si="515"/>
        <v>-0.28362926681237338</v>
      </c>
      <c r="H306" s="32">
        <f t="shared" ca="1" si="510"/>
        <v>5.0477393269178219E-7</v>
      </c>
      <c r="I306" s="32">
        <f t="shared" ca="1" si="511"/>
        <v>107.75963732923637</v>
      </c>
      <c r="J306" s="32">
        <f t="shared" ca="1" si="513"/>
        <v>0.91252127469926636</v>
      </c>
      <c r="K306" s="21"/>
      <c r="AB306" s="38"/>
      <c r="AI306" s="2"/>
      <c r="AL306" s="21"/>
    </row>
    <row r="307" spans="1:51" ht="14.5">
      <c r="A307" s="73" t="s">
        <v>128</v>
      </c>
      <c r="B307" s="46" t="s">
        <v>129</v>
      </c>
      <c r="C307" s="46" t="s">
        <v>130</v>
      </c>
      <c r="D307" s="21">
        <f t="shared" si="514"/>
        <v>65</v>
      </c>
      <c r="E307" s="32">
        <f>$D$307*1.687</f>
        <v>109.655</v>
      </c>
      <c r="F307" s="21">
        <f t="shared" si="512"/>
        <v>237.6389932745</v>
      </c>
      <c r="G307" s="32">
        <f t="shared" ca="1" si="515"/>
        <v>-0.28367053756797889</v>
      </c>
      <c r="H307" s="32">
        <f t="shared" ca="1" si="510"/>
        <v>5.0477393269178219E-7</v>
      </c>
      <c r="I307" s="32">
        <f t="shared" ca="1" si="511"/>
        <v>99.427535854061105</v>
      </c>
      <c r="J307" s="32">
        <f t="shared" ca="1" si="513"/>
        <v>0.90673052623283124</v>
      </c>
      <c r="K307" s="46"/>
      <c r="L307" s="46"/>
      <c r="M307" s="46"/>
      <c r="AB307" s="38"/>
      <c r="AI307" s="2"/>
      <c r="AL307" s="21"/>
    </row>
    <row r="308" spans="1:51" ht="14.5">
      <c r="A308" s="73" t="s">
        <v>141</v>
      </c>
      <c r="B308" s="46">
        <v>0.04</v>
      </c>
      <c r="C308" s="46">
        <v>0.3</v>
      </c>
      <c r="D308" s="21">
        <f t="shared" si="514"/>
        <v>60</v>
      </c>
      <c r="E308" s="32">
        <f>$D$308*1.687</f>
        <v>101.22</v>
      </c>
      <c r="F308" s="21">
        <f t="shared" si="512"/>
        <v>237.0383892525</v>
      </c>
      <c r="G308" s="32">
        <f t="shared" ca="1" si="515"/>
        <v>-0.28371180832358439</v>
      </c>
      <c r="H308" s="32">
        <f t="shared" ca="1" si="510"/>
        <v>5.0477393269178219E-7</v>
      </c>
      <c r="I308" s="32">
        <f t="shared" ca="1" si="511"/>
        <v>91.177141870315836</v>
      </c>
      <c r="J308" s="32">
        <f t="shared" ca="1" si="513"/>
        <v>0.90078187976996482</v>
      </c>
      <c r="K308" s="46"/>
      <c r="L308" s="46"/>
      <c r="M308" s="46"/>
      <c r="AB308" s="38"/>
      <c r="AI308" s="2"/>
      <c r="AL308" s="21"/>
    </row>
    <row r="309" spans="1:51" ht="14.5">
      <c r="A309" s="73" t="s">
        <v>145</v>
      </c>
      <c r="B309" s="46">
        <v>0.08</v>
      </c>
      <c r="C309" s="46">
        <v>0.2</v>
      </c>
      <c r="D309" s="21">
        <f t="shared" si="514"/>
        <v>55</v>
      </c>
      <c r="E309" s="32">
        <f>$D$309*1.687</f>
        <v>92.784999999999997</v>
      </c>
      <c r="F309" s="21">
        <f t="shared" si="512"/>
        <v>236.55790602349998</v>
      </c>
      <c r="G309" s="32">
        <f t="shared" ca="1" si="515"/>
        <v>-0.28374482492885211</v>
      </c>
      <c r="H309" s="32">
        <f t="shared" ca="1" si="510"/>
        <v>5.0477393269178219E-7</v>
      </c>
      <c r="I309" s="32">
        <f t="shared" ca="1" si="511"/>
        <v>83.003758144505639</v>
      </c>
      <c r="J309" s="32">
        <f t="shared" ca="1" si="513"/>
        <v>0.89458164729757661</v>
      </c>
      <c r="K309" s="46"/>
      <c r="L309" s="46"/>
      <c r="M309" s="46"/>
      <c r="AB309" s="38"/>
      <c r="AI309" s="2"/>
      <c r="AL309" s="21"/>
    </row>
    <row r="310" spans="1:51" ht="14.5">
      <c r="A310" s="74" t="s">
        <v>147</v>
      </c>
      <c r="B310" s="46">
        <f>$AV$195</f>
        <v>1.8844322965351538E-3</v>
      </c>
      <c r="D310" s="21">
        <f t="shared" si="514"/>
        <v>50</v>
      </c>
      <c r="E310" s="32">
        <f>$D$310*1.687</f>
        <v>84.350000000000009</v>
      </c>
      <c r="F310" s="21">
        <f t="shared" si="512"/>
        <v>236.0774227945</v>
      </c>
      <c r="G310" s="32">
        <f t="shared" ca="1" si="515"/>
        <v>-0.28377784153411989</v>
      </c>
      <c r="H310" s="32">
        <f t="shared" ca="1" si="510"/>
        <v>5.0477393269178219E-7</v>
      </c>
      <c r="I310" s="32">
        <f t="shared" ca="1" si="511"/>
        <v>74.897502576782287</v>
      </c>
      <c r="J310" s="32">
        <f t="shared" ca="1" si="513"/>
        <v>0.88793719711656527</v>
      </c>
      <c r="K310" s="47"/>
      <c r="L310" s="46"/>
      <c r="AB310" s="38"/>
      <c r="AI310" s="2"/>
      <c r="AL310" s="21"/>
    </row>
    <row r="311" spans="1:51" ht="14.5">
      <c r="A311" s="74" t="s">
        <v>150</v>
      </c>
      <c r="B311" s="46">
        <f>$R$195</f>
        <v>2.4583425525367495E-2</v>
      </c>
      <c r="D311" s="21">
        <f t="shared" si="514"/>
        <v>45</v>
      </c>
      <c r="E311" s="32">
        <f>$D$311*1.687</f>
        <v>75.915000000000006</v>
      </c>
      <c r="F311" s="21">
        <f t="shared" si="512"/>
        <v>235.59693956550001</v>
      </c>
      <c r="G311" s="32">
        <f t="shared" ca="1" si="515"/>
        <v>-0.28381085813938767</v>
      </c>
      <c r="H311" s="32">
        <f t="shared" ca="1" si="510"/>
        <v>5.0477393269178219E-7</v>
      </c>
      <c r="I311" s="32">
        <f t="shared" ca="1" si="511"/>
        <v>66.851625077507919</v>
      </c>
      <c r="J311" s="32">
        <f t="shared" ca="1" si="513"/>
        <v>0.88061154024248056</v>
      </c>
      <c r="K311" s="47"/>
      <c r="L311" s="46"/>
      <c r="AB311" s="38"/>
      <c r="AI311" s="2"/>
      <c r="AL311" s="21"/>
    </row>
    <row r="312" spans="1:51" ht="14.5">
      <c r="A312" s="74" t="s">
        <v>159</v>
      </c>
      <c r="B312" s="46">
        <f>($B$8*((33*($B$269/$B$270)^1.5)))/(1+33*($B$269/$B$270)^1.5)</f>
        <v>3.7983327420844509E-2</v>
      </c>
      <c r="D312" s="21">
        <f t="shared" si="514"/>
        <v>40</v>
      </c>
      <c r="E312" s="32">
        <f>$D$312*1.687</f>
        <v>67.48</v>
      </c>
      <c r="F312" s="21">
        <f t="shared" si="512"/>
        <v>235.11645633650002</v>
      </c>
      <c r="G312" s="32">
        <f t="shared" ca="1" si="515"/>
        <v>-0.28384387474465539</v>
      </c>
      <c r="H312" s="32">
        <f t="shared" ca="1" si="510"/>
        <v>5.0477393269178219E-7</v>
      </c>
      <c r="I312" s="32">
        <f t="shared" ca="1" si="511"/>
        <v>58.859536446001876</v>
      </c>
      <c r="J312" s="32">
        <f t="shared" ca="1" si="513"/>
        <v>0.87225157744519666</v>
      </c>
      <c r="K312" s="47"/>
      <c r="L312" s="46"/>
      <c r="AB312" s="38"/>
      <c r="AI312" s="2"/>
      <c r="AL312" s="21"/>
    </row>
    <row r="313" spans="1:51" ht="14.5">
      <c r="A313" s="74" t="s">
        <v>152</v>
      </c>
      <c r="B313" s="47">
        <v>32.17</v>
      </c>
      <c r="C313" s="21"/>
      <c r="D313" s="21">
        <f t="shared" si="514"/>
        <v>35</v>
      </c>
      <c r="E313" s="32">
        <f>$D$313*1.687</f>
        <v>59.045000000000002</v>
      </c>
      <c r="F313" s="21">
        <f t="shared" si="512"/>
        <v>234.63597310750004</v>
      </c>
      <c r="G313" s="32">
        <f t="shared" ca="1" si="515"/>
        <v>-0.28387689134992317</v>
      </c>
      <c r="H313" s="32">
        <f t="shared" ca="1" si="510"/>
        <v>5.0477393269178219E-7</v>
      </c>
      <c r="I313" s="32">
        <f t="shared" ca="1" si="511"/>
        <v>50.914789670338827</v>
      </c>
      <c r="J313" s="32">
        <f t="shared" ca="1" si="513"/>
        <v>0.86230484664812979</v>
      </c>
      <c r="K313" s="47"/>
      <c r="L313" s="47"/>
      <c r="U313" s="21"/>
      <c r="V313" s="21"/>
      <c r="W313" s="21"/>
      <c r="Z313" s="21"/>
      <c r="AA313" s="21"/>
      <c r="AB313" s="21"/>
      <c r="AC313" s="21"/>
      <c r="AE313" s="21"/>
      <c r="AI313" s="21"/>
    </row>
    <row r="314" spans="1:51" ht="14.5">
      <c r="A314" s="70" t="s">
        <v>178</v>
      </c>
      <c r="B314" s="62">
        <v>0.2</v>
      </c>
      <c r="D314" s="21">
        <f t="shared" si="514"/>
        <v>30</v>
      </c>
      <c r="E314" s="32">
        <f>$D$314*1.687</f>
        <v>50.61</v>
      </c>
      <c r="F314" s="21">
        <f t="shared" si="512"/>
        <v>234.35569123499999</v>
      </c>
      <c r="G314" s="32">
        <f t="shared" ca="1" si="515"/>
        <v>-0.28389615103556776</v>
      </c>
      <c r="H314" s="32">
        <f t="shared" ca="1" si="510"/>
        <v>5.0477393269178219E-7</v>
      </c>
      <c r="I314" s="32">
        <f t="shared" ca="1" si="511"/>
        <v>43.013154309621648</v>
      </c>
      <c r="J314" s="32">
        <f t="shared" ca="1" si="513"/>
        <v>0.84989437481963348</v>
      </c>
      <c r="Y314" s="21"/>
      <c r="Z314" s="21"/>
      <c r="AA314" s="21"/>
      <c r="AB314" s="21"/>
      <c r="AC314" s="21"/>
      <c r="AE314" s="21"/>
      <c r="AF314" s="21"/>
      <c r="AG314" s="21"/>
      <c r="AQ314" s="15"/>
      <c r="AR314" s="16"/>
      <c r="AS314" s="16"/>
      <c r="AT314" s="17"/>
      <c r="AU314" s="18"/>
      <c r="AV314" s="18"/>
      <c r="AW314" s="19"/>
      <c r="AX314" s="19"/>
      <c r="AY314" s="19"/>
    </row>
    <row r="315" spans="1:51" ht="14.5">
      <c r="A315" s="72" t="s">
        <v>179</v>
      </c>
      <c r="B315" s="32">
        <f ca="1">ABS((50-$B$303)/(TAN(RADIANS($B$298))))</f>
        <v>318.01606227228751</v>
      </c>
      <c r="C315" s="21" t="s">
        <v>9</v>
      </c>
      <c r="D315" s="21">
        <f t="shared" si="514"/>
        <v>25</v>
      </c>
      <c r="E315" s="32">
        <f>$D$315*1.687</f>
        <v>42.175000000000004</v>
      </c>
      <c r="F315" s="21">
        <f t="shared" si="512"/>
        <v>234.07540936250004</v>
      </c>
      <c r="G315" s="32">
        <f t="shared" ca="1" si="515"/>
        <v>-0.28391541072121235</v>
      </c>
      <c r="H315" s="32">
        <f t="shared" ca="1" si="510"/>
        <v>5.0477393269178219E-7</v>
      </c>
      <c r="I315" s="32">
        <f t="shared" ca="1" si="511"/>
        <v>35.145552283234636</v>
      </c>
      <c r="J315" s="32">
        <f t="shared" ca="1" si="513"/>
        <v>0.83332666943057809</v>
      </c>
      <c r="K315" s="49"/>
      <c r="Z315" s="21"/>
      <c r="AA315" s="21"/>
      <c r="AB315" s="21"/>
      <c r="AC315" s="21"/>
      <c r="AE315" s="21"/>
      <c r="AF315" s="21"/>
      <c r="AG315" s="21"/>
    </row>
    <row r="316" spans="1:51" ht="14.5">
      <c r="D316" s="21">
        <f t="shared" si="514"/>
        <v>20</v>
      </c>
      <c r="E316" s="32">
        <f>$D$316*1.687</f>
        <v>33.74</v>
      </c>
      <c r="F316" s="21">
        <f t="shared" si="512"/>
        <v>233.79512749000003</v>
      </c>
      <c r="G316" s="32">
        <f t="shared" ca="1" si="515"/>
        <v>-0.28393467040685694</v>
      </c>
      <c r="H316" s="32">
        <f t="shared" ca="1" si="510"/>
        <v>5.0477393269178219E-7</v>
      </c>
      <c r="I316" s="32">
        <f t="shared" ca="1" si="511"/>
        <v>27.30586664960687</v>
      </c>
      <c r="J316" s="32">
        <f t="shared" ca="1" si="513"/>
        <v>0.80930250887987165</v>
      </c>
      <c r="AB316" s="38"/>
      <c r="AE316" s="21"/>
      <c r="AI316" s="2"/>
      <c r="AL316" s="21"/>
      <c r="AO316" s="21"/>
    </row>
    <row r="317" spans="1:51" ht="14.5">
      <c r="D317" s="21">
        <f t="shared" si="514"/>
        <v>15</v>
      </c>
      <c r="E317" s="32">
        <f>$D$317*1.687</f>
        <v>25.305</v>
      </c>
      <c r="F317" s="21">
        <f t="shared" si="512"/>
        <v>233.51484561750004</v>
      </c>
      <c r="G317" s="32">
        <f t="shared" ca="1" si="515"/>
        <v>-0.28395393009250153</v>
      </c>
      <c r="H317" s="32">
        <f t="shared" ca="1" si="510"/>
        <v>5.0477393269178219E-7</v>
      </c>
      <c r="I317" s="32">
        <f ca="1">((1)/(2*$B$313*H317))*LN((G317+(H317*(E320^2)))/(G317+(H317*(E317^2))))</f>
        <v>35.06961851050103</v>
      </c>
      <c r="J317" s="32">
        <f t="shared" ca="1" si="513"/>
        <v>1.3858770405256287</v>
      </c>
      <c r="AB317" s="38"/>
      <c r="AE317" s="21"/>
      <c r="AI317" s="2"/>
      <c r="AL317" s="21"/>
      <c r="AO317" s="21"/>
    </row>
    <row r="318" spans="1:51" ht="14.5">
      <c r="D318" s="21">
        <f t="shared" si="514"/>
        <v>10</v>
      </c>
      <c r="E318" s="32">
        <f>$D$318*1.687</f>
        <v>16.87</v>
      </c>
      <c r="F318" s="21">
        <f t="shared" si="512"/>
        <v>233.23456374500003</v>
      </c>
      <c r="G318" s="32">
        <f t="shared" ca="1" si="515"/>
        <v>-0.28397318977814612</v>
      </c>
      <c r="H318" s="32">
        <f t="shared" ca="1" si="510"/>
        <v>5.0477393269178219E-7</v>
      </c>
      <c r="I318" s="32">
        <f ca="1">((1)/(2*$B$313*H318))*LN((G318+(H318*(E321^2)))/(G318+(H318*(E318^2))))</f>
        <v>15.580509053075001</v>
      </c>
      <c r="J318" s="32">
        <f t="shared" ca="1" si="513"/>
        <v>0.92356307368553647</v>
      </c>
      <c r="K318" s="21"/>
      <c r="AB318" s="38"/>
      <c r="AE318" s="21"/>
      <c r="AI318" s="2"/>
      <c r="AL318" s="21"/>
      <c r="AO318" s="21"/>
    </row>
    <row r="319" spans="1:51" ht="14.5">
      <c r="K319" s="21"/>
      <c r="AB319" s="38"/>
      <c r="AE319" s="21"/>
      <c r="AI319" s="2"/>
      <c r="AL319" s="21"/>
      <c r="AO319" s="21"/>
    </row>
    <row r="320" spans="1:51" ht="14.5">
      <c r="H320" s="62" t="s">
        <v>180</v>
      </c>
      <c r="I320" s="32">
        <f ca="1">SUM(I298:I317)</f>
        <v>1903.1432692226936</v>
      </c>
      <c r="K320" s="21" t="s">
        <v>161</v>
      </c>
      <c r="L320" s="32">
        <f ca="1">SUM(J298:J317)</f>
        <v>17.547409712224237</v>
      </c>
      <c r="AB320" s="38"/>
      <c r="AE320" s="21"/>
      <c r="AI320" s="2"/>
      <c r="AL320" s="21"/>
      <c r="AO320" s="21"/>
    </row>
    <row r="321" spans="1:52" ht="14.5">
      <c r="H321" s="21" t="s">
        <v>175</v>
      </c>
      <c r="I321" s="32">
        <f ca="1">B304</f>
        <v>316.94573644518425</v>
      </c>
      <c r="K321" s="62" t="s">
        <v>213</v>
      </c>
      <c r="L321" s="21">
        <v>1</v>
      </c>
      <c r="AB321" s="38"/>
      <c r="AE321" s="21"/>
      <c r="AI321" s="2"/>
      <c r="AL321" s="21"/>
      <c r="AO321" s="21"/>
    </row>
    <row r="322" spans="1:52" ht="14.5">
      <c r="H322" s="21" t="s">
        <v>177</v>
      </c>
      <c r="I322" s="32">
        <f ca="1">B306</f>
        <v>366.99456036761734</v>
      </c>
      <c r="K322" s="62" t="s">
        <v>214</v>
      </c>
      <c r="L322" s="21">
        <f ca="1">I322/B300</f>
        <v>1.9130434782608698</v>
      </c>
      <c r="R322" s="26"/>
      <c r="S322" s="29"/>
    </row>
    <row r="323" spans="1:52" ht="14.5">
      <c r="H323" s="21" t="s">
        <v>215</v>
      </c>
      <c r="I323" s="32">
        <f ca="1">B315</f>
        <v>318.01606227228751</v>
      </c>
      <c r="J323" s="62" t="s">
        <v>198</v>
      </c>
      <c r="K323" s="62" t="s">
        <v>216</v>
      </c>
      <c r="L323" s="49">
        <f ca="1">I323/B297</f>
        <v>1.5886596436611349</v>
      </c>
      <c r="R323" s="26"/>
      <c r="S323" s="29"/>
      <c r="T323" s="26"/>
    </row>
    <row r="324" spans="1:52" ht="14.5">
      <c r="H324" s="34" t="s">
        <v>181</v>
      </c>
      <c r="I324" s="60">
        <f ca="1">SUM(I320:I323)</f>
        <v>2905.0996283077825</v>
      </c>
      <c r="J324" s="34" t="s">
        <v>198</v>
      </c>
      <c r="K324" s="51" t="s">
        <v>166</v>
      </c>
      <c r="L324" s="51">
        <f ca="1">SUM(L320:L323)</f>
        <v>22.049112834146243</v>
      </c>
      <c r="AC324" s="3"/>
      <c r="AD324" s="3"/>
      <c r="AP324" s="53"/>
    </row>
    <row r="325" spans="1:52" ht="14.5">
      <c r="AC325" s="3"/>
      <c r="AD325" s="3"/>
      <c r="AP325" s="53"/>
    </row>
    <row r="326" spans="1:52" ht="14.5">
      <c r="AC326" s="3"/>
      <c r="AD326" s="3"/>
      <c r="AP326" s="53"/>
    </row>
    <row r="327" spans="1:52" ht="14.5">
      <c r="A327" s="41" t="s">
        <v>2</v>
      </c>
      <c r="B327" s="41" t="s">
        <v>2</v>
      </c>
      <c r="C327" s="41" t="s">
        <v>2</v>
      </c>
      <c r="D327" s="41" t="s">
        <v>23</v>
      </c>
      <c r="E327" s="41" t="s">
        <v>24</v>
      </c>
      <c r="F327" s="41" t="s">
        <v>25</v>
      </c>
      <c r="G327" s="41"/>
      <c r="H327" s="41" t="s">
        <v>0</v>
      </c>
      <c r="I327" s="5" t="s">
        <v>26</v>
      </c>
      <c r="J327" s="41" t="s">
        <v>27</v>
      </c>
      <c r="K327" s="41" t="s">
        <v>28</v>
      </c>
      <c r="L327" s="12" t="s">
        <v>29</v>
      </c>
      <c r="M327" s="13" t="s">
        <v>30</v>
      </c>
      <c r="N327" s="41" t="s">
        <v>31</v>
      </c>
      <c r="O327" s="41" t="s">
        <v>32</v>
      </c>
      <c r="P327" s="41" t="s">
        <v>33</v>
      </c>
      <c r="Q327" s="41" t="s">
        <v>34</v>
      </c>
      <c r="R327" s="41" t="s">
        <v>13</v>
      </c>
      <c r="S327" s="24" t="s">
        <v>35</v>
      </c>
      <c r="T327" s="10" t="s">
        <v>35</v>
      </c>
      <c r="U327" s="41" t="s">
        <v>36</v>
      </c>
      <c r="V327" s="41" t="s">
        <v>37</v>
      </c>
      <c r="W327" s="41" t="s">
        <v>38</v>
      </c>
      <c r="X327" s="41" t="s">
        <v>39</v>
      </c>
      <c r="Y327" s="41" t="s">
        <v>40</v>
      </c>
      <c r="Z327" s="35" t="s">
        <v>108</v>
      </c>
      <c r="AA327" s="35" t="s">
        <v>109</v>
      </c>
      <c r="AB327" s="9" t="s">
        <v>110</v>
      </c>
      <c r="AC327" s="7" t="s">
        <v>111</v>
      </c>
      <c r="AD327" s="7" t="s">
        <v>112</v>
      </c>
      <c r="AE327" s="5" t="s">
        <v>41</v>
      </c>
      <c r="AF327" s="7" t="s">
        <v>113</v>
      </c>
      <c r="AG327" s="41"/>
      <c r="AH327" s="41"/>
      <c r="AI327" s="41" t="s">
        <v>42</v>
      </c>
      <c r="AJ327" s="41" t="s">
        <v>43</v>
      </c>
      <c r="AK327" s="11"/>
      <c r="AL327" s="5" t="s">
        <v>44</v>
      </c>
      <c r="AM327" s="5" t="s">
        <v>45</v>
      </c>
      <c r="AN327" s="41" t="s">
        <v>46</v>
      </c>
      <c r="AO327" s="41" t="s">
        <v>47</v>
      </c>
      <c r="AP327" s="53"/>
      <c r="AQ327" s="15" t="s">
        <v>62</v>
      </c>
      <c r="AR327" s="16" t="s">
        <v>63</v>
      </c>
      <c r="AS327" s="16" t="s">
        <v>64</v>
      </c>
      <c r="AT327" s="17" t="s">
        <v>65</v>
      </c>
      <c r="AU327" s="18" t="s">
        <v>66</v>
      </c>
      <c r="AV327" s="18" t="s">
        <v>67</v>
      </c>
      <c r="AW327" s="19" t="s">
        <v>68</v>
      </c>
      <c r="AX327" s="7" t="s">
        <v>207</v>
      </c>
      <c r="AY327" s="7" t="s">
        <v>208</v>
      </c>
      <c r="AZ327" s="7" t="s">
        <v>209</v>
      </c>
    </row>
    <row r="328" spans="1:52" s="148" customFormat="1" ht="14.5">
      <c r="A328" s="168">
        <f>A326+AM326</f>
        <v>0</v>
      </c>
      <c r="B328" s="168">
        <f t="shared" ref="B328:C328" si="516">A328/60</f>
        <v>0</v>
      </c>
      <c r="C328" s="168">
        <f t="shared" si="516"/>
        <v>0</v>
      </c>
      <c r="D328" s="168">
        <f ca="1">0.85*$B$12</f>
        <v>14552.775038601623</v>
      </c>
      <c r="E328" s="168">
        <f>E326+AO326</f>
        <v>0</v>
      </c>
      <c r="F328" s="168">
        <f>F326+AO326</f>
        <v>0</v>
      </c>
      <c r="G328" s="168"/>
      <c r="H328" s="136">
        <v>6000</v>
      </c>
      <c r="I328" s="172">
        <v>15</v>
      </c>
      <c r="J328" s="168">
        <f t="shared" ref="J328" si="517">SQRT((((((((L328^2)*(0.2))/(661.477)^2) + 1)^(3.5) - 1)*(1/AR328) + 1)^(1/3.5) - 1)*(5))</f>
        <v>0.17718229445255015</v>
      </c>
      <c r="K328" s="168">
        <f>SQRT((1.4*2116.22*AR328*(J328)^2)/AV328)</f>
        <v>198.88077011235529</v>
      </c>
      <c r="L328" s="172">
        <v>105</v>
      </c>
      <c r="M328" s="168">
        <f t="shared" ref="M328" si="518">K328*0.592484</f>
        <v>117.83367419924872</v>
      </c>
      <c r="N328" s="168">
        <f t="shared" ref="N328" si="519">0.5*AV328*K328^2</f>
        <v>37.268003632321701</v>
      </c>
      <c r="O328" s="168">
        <f t="shared" ref="O328" si="520">P328/$B$7</f>
        <v>994494.14830272109</v>
      </c>
      <c r="P328" s="168">
        <f t="shared" ref="P328" si="521">(AV328*K328*$B$7)/(AW328)</f>
        <v>6385351.2473953245</v>
      </c>
      <c r="Q328" s="168">
        <f>0.455/(LOG10(P328)^2.58 * (1+0.144*J328*J328)^0.65)</f>
        <v>3.221151299786435E-3</v>
      </c>
      <c r="R328" s="168">
        <f t="shared" ref="R328" si="522">(((Q328*$B$4)+$B$17)+(0.1*(Q328*$B$4)))</f>
        <v>2.4583425525367495E-2</v>
      </c>
      <c r="S328" s="173">
        <f t="shared" ref="S328" ca="1" si="523">T328</f>
        <v>-5.9275882509666475</v>
      </c>
      <c r="T328" s="174">
        <f ca="1">DEGREES(ASIN(((AF328-X328)/(D328))))</f>
        <v>-5.9275882509666538</v>
      </c>
      <c r="U328" s="168">
        <f ca="1">(D328*COS(RADIANS(S328)))/(N328*$B$3)</f>
        <v>1.6887040223746204</v>
      </c>
      <c r="V328" s="168">
        <f t="shared" ref="V328" ca="1" si="524">(X328)/(N328*$B$3)</f>
        <v>0.20468879745627711</v>
      </c>
      <c r="W328" s="168">
        <f t="shared" ref="W328" ca="1" si="525">U328/V328</f>
        <v>8.2501047607910198</v>
      </c>
      <c r="X328" s="168">
        <f t="shared" ref="X328" ca="1" si="526">(N328*$B$3*R328)+((N328*$B$3)*((U328^2)/(PI()*$B$6*$B$5)))</f>
        <v>1754.5188548321021</v>
      </c>
      <c r="Y328" s="168">
        <f t="shared" ref="Y328" si="527">SQRT(PI()*$B$6*$B$5*R328)</f>
        <v>0.62389485453404259</v>
      </c>
      <c r="Z328" s="168">
        <f ca="1">SQRT((2*((U328*N328*$B$3)/(D328))*D328)/(AV328*$B$3*$B$18))</f>
        <v>166.82607845687588</v>
      </c>
      <c r="AA328" s="145">
        <f ca="1">D328/W328</f>
        <v>1763.9503328205378</v>
      </c>
      <c r="AB328" s="175">
        <f t="shared" ref="AB328" si="528">$B$15*AR328</f>
        <v>5032.6447574024405</v>
      </c>
      <c r="AC328" s="169">
        <f t="shared" ref="AC328" ca="1" si="529">AA328*K328</f>
        <v>350815.80063129397</v>
      </c>
      <c r="AD328" s="168">
        <f t="shared" ref="AD328" si="530">AB328*K328</f>
        <v>1000896.2650541048</v>
      </c>
      <c r="AE328" s="172">
        <v>5</v>
      </c>
      <c r="AF328" s="168">
        <f t="shared" ref="AF328" si="531">AB328*(AE328/100)</f>
        <v>251.63223787012203</v>
      </c>
      <c r="AG328" s="168">
        <f t="shared" ref="AG328" ca="1" si="532">AB328-AA328</f>
        <v>3268.6944245819027</v>
      </c>
      <c r="AH328" s="168">
        <f t="shared" ref="AH328" ca="1" si="533">AD328-AC328</f>
        <v>650080.46442281082</v>
      </c>
      <c r="AI328" s="168">
        <f t="shared" ref="AI328" si="534">(AP328*AF328)</f>
        <v>202.29893618993094</v>
      </c>
      <c r="AJ328" s="170">
        <f t="shared" ref="AJ328" ca="1" si="535">K328*SIN(RADIANS(T328))</f>
        <v>-20.538711481495682</v>
      </c>
      <c r="AK328" s="145"/>
      <c r="AL328" s="172">
        <v>0</v>
      </c>
      <c r="AM328" s="172">
        <v>0</v>
      </c>
      <c r="AN328" s="168">
        <f t="shared" ref="AN328" si="536">AI328*(AM328/3600)</f>
        <v>0</v>
      </c>
      <c r="AO328" s="168">
        <f t="shared" ref="AO328" ca="1" si="537">M328*COS(RADIANS(T328))*(AM328/3600)</f>
        <v>0</v>
      </c>
      <c r="AP328" s="162">
        <f t="shared" ref="AP328" si="538">-18.066*(AZ328^6) + 34.325*(AZ328^5) - 25.292*(AZ328^4) + 8.7618*(AZ328^3) - 1.317*(AZ328^2) + 0.358*(AZ328^1) + 0.7659</f>
        <v>0.80394681501161991</v>
      </c>
      <c r="AQ328" s="171">
        <f>IF(H328 &lt;= 36089, ((1 - 6.87535*10^(-6)*H328) + ((I328*1.8)/518.67)), 0.75187 + ((I328*1.8)/518.67))</f>
        <v>1.0108041207183758</v>
      </c>
      <c r="AR328" s="171">
        <f>IF(H328 &lt;= 36089, (1 - 6.87535*10^(-6)*H328)^5.2561, 0.22336*EXP((36089 - H328)/(20806.7)))</f>
        <v>0.80137655372650329</v>
      </c>
      <c r="AS328" s="171">
        <f t="shared" ref="AS328" si="539">(AR328/AQ328)</f>
        <v>0.79281092874548942</v>
      </c>
      <c r="AT328" s="171">
        <f t="shared" ref="AT328" si="540">(518.67*AQ328)</f>
        <v>524.27377329299998</v>
      </c>
      <c r="AU328" s="171">
        <f t="shared" ref="AU328" si="541">2116.22*AR328</f>
        <v>1695.8890905271007</v>
      </c>
      <c r="AV328" s="171">
        <f t="shared" ref="AV328" si="542">(0.0023769*AS328)</f>
        <v>1.8844322965351538E-3</v>
      </c>
      <c r="AW328" s="171">
        <f t="shared" ref="AW328" si="543">((2.2697*10^-8)*(AT328^1.5))/(AT328+198.72)</f>
        <v>3.7685223889866925E-7</v>
      </c>
      <c r="AX328" s="168">
        <f t="shared" ref="AX328" ca="1" si="544">(1/U328)*(((1 + 0.2*(U328)^2)/1.2)^3)</f>
        <v>1.3270501460526065</v>
      </c>
      <c r="AY328" s="168">
        <f t="shared" ref="AY328" ca="1" si="545">($H$4/$H$3)*AX328</f>
        <v>1.7875629119675509</v>
      </c>
      <c r="AZ328" s="168">
        <f>-6.6*10^(-3) + 0.825*J328 - 0.243*(J328^2)</f>
        <v>0.13194675651475862</v>
      </c>
    </row>
    <row r="329" spans="1:52" ht="14.5">
      <c r="AC329" s="3"/>
      <c r="AD329" s="3"/>
      <c r="AP329" s="53"/>
    </row>
    <row r="330" spans="1:52" ht="14.5">
      <c r="AC330" s="3"/>
      <c r="AD330" s="3"/>
      <c r="AP330" s="53"/>
    </row>
    <row r="331" spans="1:52" s="137" customFormat="1" ht="14.5">
      <c r="AC331" s="138"/>
      <c r="AD331" s="138"/>
      <c r="AP331" s="139"/>
    </row>
    <row r="332" spans="1:52" ht="14.5">
      <c r="AC332" s="3"/>
      <c r="AD332" s="3"/>
      <c r="AP332" s="53"/>
    </row>
    <row r="333" spans="1:52" ht="14.5">
      <c r="A333" s="131" t="s">
        <v>255</v>
      </c>
      <c r="B333" s="167">
        <f>0.95*B334</f>
        <v>119.69999999999999</v>
      </c>
      <c r="F333" s="131" t="s">
        <v>257</v>
      </c>
      <c r="G333" s="167">
        <f>(B337/B338)+(B335*(B338/2))</f>
        <v>10224.960260830236</v>
      </c>
      <c r="L333" s="75" t="s">
        <v>217</v>
      </c>
      <c r="M333" s="167">
        <f ca="1">D195</f>
        <v>14552.775038601623</v>
      </c>
      <c r="AC333" s="3"/>
      <c r="AD333" s="3"/>
      <c r="AP333" s="53"/>
    </row>
    <row r="334" spans="1:52" ht="14.5">
      <c r="A334" s="131" t="s">
        <v>229</v>
      </c>
      <c r="B334" s="131">
        <f>1.2*L195</f>
        <v>126</v>
      </c>
      <c r="AC334" s="3"/>
      <c r="AD334" s="3"/>
      <c r="AP334" s="53"/>
    </row>
    <row r="335" spans="1:52" ht="14.5">
      <c r="A335" s="131" t="s">
        <v>252</v>
      </c>
      <c r="B335" s="167">
        <f>(B333*B333)/(B336*(1.06-1))</f>
        <v>7423.1115946533946</v>
      </c>
      <c r="AC335" s="3"/>
      <c r="AD335" s="3"/>
      <c r="AP335" s="53"/>
    </row>
    <row r="336" spans="1:52" ht="14.5">
      <c r="A336" s="131" t="s">
        <v>251</v>
      </c>
      <c r="B336" s="167">
        <v>32.17</v>
      </c>
      <c r="AC336" s="3"/>
      <c r="AD336" s="3"/>
      <c r="AP336" s="53"/>
    </row>
    <row r="337" spans="1:42" ht="14.5">
      <c r="A337" s="131" t="s">
        <v>253</v>
      </c>
      <c r="B337" s="167">
        <v>50</v>
      </c>
      <c r="AC337" s="3"/>
      <c r="AD337" s="3"/>
      <c r="AP337" s="53"/>
    </row>
    <row r="338" spans="1:42" ht="14.5">
      <c r="A338" s="131" t="s">
        <v>254</v>
      </c>
      <c r="B338" s="167">
        <v>2.75</v>
      </c>
      <c r="AC338" s="3"/>
      <c r="AD338" s="3"/>
      <c r="AP338" s="53"/>
    </row>
    <row r="339" spans="1:42" ht="14.5">
      <c r="A339" s="131" t="s">
        <v>256</v>
      </c>
      <c r="B339" s="167">
        <v>2</v>
      </c>
      <c r="AC339" s="3"/>
      <c r="AD339" s="3"/>
      <c r="AP339" s="53"/>
    </row>
    <row r="340" spans="1:42" ht="14.5">
      <c r="AC340" s="3"/>
      <c r="AD340" s="3"/>
      <c r="AP340" s="53"/>
    </row>
    <row r="341" spans="1:42" ht="14.5">
      <c r="AC341" s="3"/>
      <c r="AD341" s="3"/>
      <c r="AP341" s="53"/>
    </row>
    <row r="342" spans="1:42" ht="14.5">
      <c r="AC342" s="3"/>
      <c r="AD342" s="3"/>
      <c r="AP342" s="53"/>
    </row>
    <row r="343" spans="1:42" ht="14.5">
      <c r="AC343" s="3"/>
      <c r="AD343" s="3"/>
      <c r="AP343" s="53"/>
    </row>
    <row r="344" spans="1:42" ht="14.5">
      <c r="AC344" s="3"/>
      <c r="AD344" s="3"/>
      <c r="AP344" s="53"/>
    </row>
    <row r="345" spans="1:42" ht="14.5">
      <c r="AC345" s="3"/>
      <c r="AD345" s="3"/>
      <c r="AP345" s="53"/>
    </row>
    <row r="346" spans="1:42" ht="14.5">
      <c r="AC346" s="3"/>
      <c r="AD346" s="3"/>
      <c r="AP346" s="53"/>
    </row>
    <row r="347" spans="1:42" ht="14.5">
      <c r="AC347" s="3"/>
      <c r="AD347" s="3"/>
      <c r="AP347" s="53"/>
    </row>
    <row r="348" spans="1:42" ht="14.5">
      <c r="AC348" s="3"/>
      <c r="AD348" s="3"/>
      <c r="AP348" s="53"/>
    </row>
    <row r="349" spans="1:42" ht="14.5">
      <c r="AC349" s="3"/>
      <c r="AD349" s="3"/>
      <c r="AP349" s="53"/>
    </row>
    <row r="350" spans="1:42" ht="14.5">
      <c r="AC350" s="3"/>
      <c r="AD350" s="3"/>
      <c r="AP350" s="53"/>
    </row>
    <row r="351" spans="1:42" ht="14.5">
      <c r="AC351" s="3"/>
      <c r="AD351" s="3"/>
      <c r="AP351" s="53"/>
    </row>
    <row r="352" spans="1:42" ht="14.5">
      <c r="AC352" s="3"/>
      <c r="AD352" s="3"/>
      <c r="AP352" s="53"/>
    </row>
    <row r="353" spans="29:42" ht="14.5">
      <c r="AC353" s="3"/>
      <c r="AD353" s="3"/>
      <c r="AP353" s="53"/>
    </row>
    <row r="354" spans="29:42" ht="14.5">
      <c r="AC354" s="3"/>
      <c r="AD354" s="3"/>
      <c r="AP354" s="53"/>
    </row>
    <row r="355" spans="29:42" ht="14.5">
      <c r="AC355" s="3"/>
      <c r="AD355" s="3"/>
      <c r="AP355" s="53"/>
    </row>
    <row r="356" spans="29:42" ht="14.5">
      <c r="AC356" s="3"/>
      <c r="AD356" s="3"/>
      <c r="AP356" s="53"/>
    </row>
    <row r="357" spans="29:42" ht="14.5">
      <c r="AC357" s="3"/>
      <c r="AD357" s="3"/>
      <c r="AP357" s="53"/>
    </row>
    <row r="358" spans="29:42" ht="14.5">
      <c r="AC358" s="3"/>
      <c r="AD358" s="3"/>
      <c r="AP358" s="53"/>
    </row>
    <row r="359" spans="29:42" ht="14.5">
      <c r="AC359" s="3"/>
      <c r="AD359" s="3"/>
      <c r="AP359" s="53"/>
    </row>
    <row r="360" spans="29:42" ht="14.5">
      <c r="AC360" s="3"/>
      <c r="AD360" s="3"/>
      <c r="AP360" s="53"/>
    </row>
    <row r="361" spans="29:42" ht="14.5">
      <c r="AC361" s="3"/>
      <c r="AD361" s="3"/>
      <c r="AP361" s="53"/>
    </row>
    <row r="362" spans="29:42" ht="14.5">
      <c r="AC362" s="3"/>
      <c r="AD362" s="3"/>
      <c r="AP362" s="53"/>
    </row>
    <row r="363" spans="29:42" ht="14.5">
      <c r="AC363" s="3"/>
      <c r="AD363" s="3"/>
      <c r="AP363" s="53"/>
    </row>
    <row r="364" spans="29:42" ht="14.5">
      <c r="AC364" s="3"/>
      <c r="AD364" s="3"/>
      <c r="AP364" s="53"/>
    </row>
    <row r="365" spans="29:42" ht="14.5">
      <c r="AC365" s="3"/>
      <c r="AD365" s="3"/>
      <c r="AP365" s="53"/>
    </row>
    <row r="366" spans="29:42" ht="14.5">
      <c r="AC366" s="3"/>
      <c r="AD366" s="3"/>
      <c r="AP366" s="53"/>
    </row>
    <row r="367" spans="29:42" ht="14.5">
      <c r="AC367" s="3"/>
      <c r="AD367" s="3"/>
      <c r="AP367" s="53"/>
    </row>
    <row r="368" spans="29:42" ht="14.5">
      <c r="AC368" s="3"/>
      <c r="AD368" s="3"/>
      <c r="AP368" s="53"/>
    </row>
    <row r="369" spans="29:42" ht="14.5">
      <c r="AC369" s="3"/>
      <c r="AD369" s="3"/>
      <c r="AP369" s="53"/>
    </row>
    <row r="370" spans="29:42" ht="14.5">
      <c r="AC370" s="3"/>
      <c r="AD370" s="3"/>
      <c r="AP370" s="53"/>
    </row>
    <row r="371" spans="29:42" ht="14.5">
      <c r="AC371" s="3"/>
      <c r="AD371" s="3"/>
      <c r="AP371" s="53"/>
    </row>
    <row r="372" spans="29:42" ht="14.5">
      <c r="AC372" s="3"/>
      <c r="AD372" s="3"/>
      <c r="AP372" s="53"/>
    </row>
    <row r="373" spans="29:42" ht="14.5">
      <c r="AC373" s="3"/>
      <c r="AD373" s="3"/>
      <c r="AP373" s="53"/>
    </row>
    <row r="374" spans="29:42" ht="14.5">
      <c r="AC374" s="3"/>
      <c r="AD374" s="3"/>
      <c r="AP374" s="53"/>
    </row>
    <row r="375" spans="29:42" ht="14.5">
      <c r="AC375" s="3"/>
      <c r="AD375" s="3"/>
      <c r="AP375" s="53"/>
    </row>
    <row r="376" spans="29:42" ht="14.5">
      <c r="AC376" s="3"/>
      <c r="AD376" s="3"/>
      <c r="AP376" s="53"/>
    </row>
    <row r="377" spans="29:42" ht="14.5">
      <c r="AC377" s="3"/>
      <c r="AD377" s="3"/>
      <c r="AP377" s="53"/>
    </row>
    <row r="378" spans="29:42" ht="14.5">
      <c r="AC378" s="3"/>
      <c r="AD378" s="3"/>
      <c r="AP378" s="53"/>
    </row>
    <row r="379" spans="29:42" ht="14.5">
      <c r="AC379" s="3"/>
      <c r="AD379" s="3"/>
      <c r="AP379" s="53"/>
    </row>
    <row r="380" spans="29:42" ht="14.5">
      <c r="AC380" s="3"/>
      <c r="AD380" s="3"/>
      <c r="AP380" s="53"/>
    </row>
    <row r="381" spans="29:42" ht="14.5">
      <c r="AC381" s="3"/>
      <c r="AD381" s="3"/>
      <c r="AP381" s="53"/>
    </row>
    <row r="382" spans="29:42" ht="14.5">
      <c r="AC382" s="3"/>
      <c r="AD382" s="3"/>
      <c r="AP382" s="53"/>
    </row>
    <row r="383" spans="29:42" ht="14.5">
      <c r="AC383" s="3"/>
      <c r="AD383" s="3"/>
      <c r="AP383" s="53"/>
    </row>
    <row r="384" spans="29:42" ht="14.5">
      <c r="AC384" s="3"/>
      <c r="AD384" s="3"/>
      <c r="AP384" s="53"/>
    </row>
    <row r="385" spans="29:42" ht="14.5">
      <c r="AC385" s="3"/>
      <c r="AD385" s="3"/>
      <c r="AP385" s="53"/>
    </row>
    <row r="386" spans="29:42" ht="14.5">
      <c r="AC386" s="3"/>
      <c r="AD386" s="3"/>
      <c r="AP386" s="53"/>
    </row>
    <row r="387" spans="29:42" ht="14.5">
      <c r="AC387" s="3"/>
      <c r="AD387" s="3"/>
      <c r="AP387" s="53"/>
    </row>
    <row r="388" spans="29:42" ht="14.5">
      <c r="AC388" s="3"/>
      <c r="AD388" s="3"/>
      <c r="AP388" s="53"/>
    </row>
    <row r="389" spans="29:42" ht="14.5">
      <c r="AC389" s="3"/>
      <c r="AD389" s="3"/>
      <c r="AP389" s="53"/>
    </row>
    <row r="390" spans="29:42" ht="14.5">
      <c r="AC390" s="3"/>
      <c r="AD390" s="3"/>
      <c r="AP390" s="53"/>
    </row>
    <row r="391" spans="29:42" ht="14.5">
      <c r="AC391" s="3"/>
      <c r="AD391" s="3"/>
      <c r="AP391" s="53"/>
    </row>
    <row r="392" spans="29:42" ht="14.5">
      <c r="AC392" s="3"/>
      <c r="AD392" s="3"/>
      <c r="AP392" s="53"/>
    </row>
    <row r="393" spans="29:42" ht="14.5">
      <c r="AC393" s="3"/>
      <c r="AD393" s="3"/>
      <c r="AP393" s="53"/>
    </row>
    <row r="394" spans="29:42" ht="14.5">
      <c r="AC394" s="3"/>
      <c r="AD394" s="3"/>
      <c r="AP394" s="53"/>
    </row>
    <row r="395" spans="29:42" ht="14.5">
      <c r="AC395" s="3"/>
      <c r="AD395" s="3"/>
      <c r="AP395" s="53"/>
    </row>
    <row r="396" spans="29:42" ht="14.5">
      <c r="AC396" s="3"/>
      <c r="AD396" s="3"/>
      <c r="AP396" s="53"/>
    </row>
    <row r="397" spans="29:42" ht="14.5">
      <c r="AC397" s="3"/>
      <c r="AD397" s="3"/>
      <c r="AP397" s="53"/>
    </row>
    <row r="398" spans="29:42" ht="14.5">
      <c r="AC398" s="3"/>
      <c r="AD398" s="3"/>
      <c r="AP398" s="53"/>
    </row>
    <row r="399" spans="29:42" ht="14.5">
      <c r="AC399" s="3"/>
      <c r="AD399" s="3"/>
      <c r="AP399" s="53"/>
    </row>
    <row r="400" spans="29:42" ht="14.5">
      <c r="AC400" s="3"/>
      <c r="AD400" s="3"/>
      <c r="AP400" s="53"/>
    </row>
    <row r="401" spans="29:42" ht="14.5">
      <c r="AC401" s="3"/>
      <c r="AD401" s="3"/>
      <c r="AP401" s="53"/>
    </row>
    <row r="402" spans="29:42" ht="14.5">
      <c r="AC402" s="3"/>
      <c r="AD402" s="3"/>
      <c r="AP402" s="53"/>
    </row>
    <row r="403" spans="29:42" ht="14.5">
      <c r="AC403" s="3"/>
      <c r="AD403" s="3"/>
      <c r="AP403" s="53"/>
    </row>
    <row r="404" spans="29:42" ht="14.5">
      <c r="AC404" s="3"/>
      <c r="AD404" s="3"/>
      <c r="AP404" s="53"/>
    </row>
    <row r="405" spans="29:42" ht="14.5">
      <c r="AC405" s="3"/>
      <c r="AD405" s="3"/>
      <c r="AP405" s="53"/>
    </row>
    <row r="406" spans="29:42" ht="14.5">
      <c r="AC406" s="3"/>
      <c r="AD406" s="3"/>
      <c r="AP406" s="53"/>
    </row>
    <row r="407" spans="29:42" ht="14.5">
      <c r="AC407" s="3"/>
      <c r="AD407" s="3"/>
      <c r="AP407" s="53"/>
    </row>
    <row r="408" spans="29:42" ht="14.5">
      <c r="AC408" s="3"/>
      <c r="AD408" s="3"/>
      <c r="AP408" s="53"/>
    </row>
    <row r="409" spans="29:42" ht="14.5">
      <c r="AC409" s="3"/>
      <c r="AD409" s="3"/>
      <c r="AP409" s="53"/>
    </row>
    <row r="410" spans="29:42" ht="14.5">
      <c r="AC410" s="3"/>
      <c r="AD410" s="3"/>
      <c r="AP410" s="53"/>
    </row>
    <row r="411" spans="29:42" ht="14.5">
      <c r="AC411" s="3"/>
      <c r="AD411" s="3"/>
      <c r="AP411" s="53"/>
    </row>
    <row r="412" spans="29:42" ht="14.5">
      <c r="AC412" s="3"/>
      <c r="AD412" s="3"/>
      <c r="AP412" s="53"/>
    </row>
    <row r="413" spans="29:42" ht="14.5">
      <c r="AC413" s="3"/>
      <c r="AD413" s="3"/>
      <c r="AP413" s="53"/>
    </row>
    <row r="414" spans="29:42" ht="14.5">
      <c r="AC414" s="3"/>
      <c r="AD414" s="3"/>
      <c r="AP414" s="53"/>
    </row>
    <row r="415" spans="29:42" ht="14.5">
      <c r="AC415" s="3"/>
      <c r="AD415" s="3"/>
      <c r="AP415" s="53"/>
    </row>
    <row r="416" spans="29:42" ht="14.5">
      <c r="AC416" s="3"/>
      <c r="AD416" s="3"/>
      <c r="AP416" s="53"/>
    </row>
    <row r="417" spans="29:42" ht="14.5">
      <c r="AC417" s="3"/>
      <c r="AD417" s="3"/>
      <c r="AP417" s="53"/>
    </row>
    <row r="418" spans="29:42" ht="14.5">
      <c r="AC418" s="3"/>
      <c r="AD418" s="3"/>
      <c r="AP418" s="53"/>
    </row>
    <row r="419" spans="29:42" ht="14.5">
      <c r="AC419" s="3"/>
      <c r="AD419" s="3"/>
      <c r="AP419" s="53"/>
    </row>
    <row r="420" spans="29:42" ht="14.5">
      <c r="AC420" s="3"/>
      <c r="AD420" s="3"/>
      <c r="AP420" s="53"/>
    </row>
    <row r="421" spans="29:42" ht="14.5">
      <c r="AC421" s="3"/>
      <c r="AD421" s="3"/>
      <c r="AP421" s="53"/>
    </row>
    <row r="422" spans="29:42" ht="14.5">
      <c r="AC422" s="3"/>
      <c r="AD422" s="3"/>
      <c r="AP422" s="53"/>
    </row>
    <row r="423" spans="29:42" ht="14.5">
      <c r="AC423" s="3"/>
      <c r="AD423" s="3"/>
      <c r="AP423" s="53"/>
    </row>
    <row r="424" spans="29:42" ht="14.5">
      <c r="AC424" s="3"/>
      <c r="AD424" s="3"/>
      <c r="AP424" s="53"/>
    </row>
    <row r="425" spans="29:42" ht="14.5">
      <c r="AC425" s="3"/>
      <c r="AD425" s="3"/>
      <c r="AP425" s="53"/>
    </row>
    <row r="426" spans="29:42" ht="14.5">
      <c r="AC426" s="3"/>
      <c r="AD426" s="3"/>
      <c r="AP426" s="53"/>
    </row>
    <row r="427" spans="29:42" ht="14.5">
      <c r="AC427" s="3"/>
      <c r="AD427" s="3"/>
      <c r="AP427" s="53"/>
    </row>
    <row r="428" spans="29:42" ht="14.5">
      <c r="AC428" s="3"/>
      <c r="AD428" s="3"/>
      <c r="AP428" s="53"/>
    </row>
    <row r="429" spans="29:42" ht="14.5">
      <c r="AC429" s="3"/>
      <c r="AD429" s="3"/>
      <c r="AP429" s="53"/>
    </row>
    <row r="430" spans="29:42" ht="14.5">
      <c r="AC430" s="3"/>
      <c r="AD430" s="3"/>
      <c r="AP430" s="53"/>
    </row>
    <row r="431" spans="29:42" ht="14.5">
      <c r="AC431" s="3"/>
      <c r="AD431" s="3"/>
      <c r="AP431" s="53"/>
    </row>
    <row r="432" spans="29:42" ht="14.5">
      <c r="AC432" s="3"/>
      <c r="AD432" s="3"/>
      <c r="AP432" s="53"/>
    </row>
    <row r="433" spans="29:42" ht="14.5">
      <c r="AC433" s="3"/>
      <c r="AD433" s="3"/>
      <c r="AP433" s="53"/>
    </row>
    <row r="434" spans="29:42" ht="14.5">
      <c r="AC434" s="3"/>
      <c r="AD434" s="3"/>
      <c r="AP434" s="53"/>
    </row>
    <row r="435" spans="29:42" ht="14.5">
      <c r="AC435" s="3"/>
      <c r="AD435" s="3"/>
      <c r="AP435" s="53"/>
    </row>
    <row r="436" spans="29:42" ht="14.5">
      <c r="AC436" s="3"/>
      <c r="AD436" s="3"/>
      <c r="AP436" s="53"/>
    </row>
    <row r="437" spans="29:42" ht="14.5">
      <c r="AC437" s="3"/>
      <c r="AD437" s="3"/>
      <c r="AP437" s="53"/>
    </row>
    <row r="438" spans="29:42" ht="14.5">
      <c r="AC438" s="3"/>
      <c r="AD438" s="3"/>
      <c r="AP438" s="53"/>
    </row>
    <row r="439" spans="29:42" ht="14.5">
      <c r="AC439" s="3"/>
      <c r="AD439" s="3"/>
      <c r="AP439" s="53"/>
    </row>
    <row r="440" spans="29:42" ht="14.5">
      <c r="AC440" s="3"/>
      <c r="AD440" s="3"/>
      <c r="AP440" s="53"/>
    </row>
    <row r="441" spans="29:42" ht="14.5">
      <c r="AC441" s="3"/>
      <c r="AD441" s="3"/>
      <c r="AP441" s="53"/>
    </row>
    <row r="442" spans="29:42" ht="14.5">
      <c r="AC442" s="3"/>
      <c r="AD442" s="3"/>
      <c r="AP442" s="53"/>
    </row>
    <row r="443" spans="29:42" ht="14.5">
      <c r="AC443" s="3"/>
      <c r="AD443" s="3"/>
      <c r="AP443" s="53"/>
    </row>
    <row r="444" spans="29:42" ht="14.5">
      <c r="AC444" s="3"/>
      <c r="AD444" s="3"/>
      <c r="AP444" s="53"/>
    </row>
    <row r="445" spans="29:42" ht="14.5">
      <c r="AC445" s="3"/>
      <c r="AD445" s="3"/>
      <c r="AP445" s="53"/>
    </row>
    <row r="446" spans="29:42" ht="14.5">
      <c r="AC446" s="3"/>
      <c r="AD446" s="3"/>
      <c r="AP446" s="53"/>
    </row>
    <row r="447" spans="29:42" ht="14.5">
      <c r="AC447" s="3"/>
      <c r="AD447" s="3"/>
      <c r="AP447" s="53"/>
    </row>
    <row r="448" spans="29:42" ht="14.5">
      <c r="AC448" s="3"/>
      <c r="AD448" s="3"/>
      <c r="AP448" s="53"/>
    </row>
    <row r="449" spans="29:42" ht="14.5">
      <c r="AC449" s="3"/>
      <c r="AD449" s="3"/>
      <c r="AP449" s="53"/>
    </row>
    <row r="450" spans="29:42" ht="14.5">
      <c r="AC450" s="3"/>
      <c r="AD450" s="3"/>
      <c r="AP450" s="53"/>
    </row>
    <row r="451" spans="29:42" ht="14.5">
      <c r="AC451" s="3"/>
      <c r="AD451" s="3"/>
      <c r="AP451" s="53"/>
    </row>
    <row r="452" spans="29:42" ht="14.5">
      <c r="AC452" s="3"/>
      <c r="AD452" s="3"/>
      <c r="AP452" s="53"/>
    </row>
    <row r="453" spans="29:42" ht="14.5">
      <c r="AC453" s="3"/>
      <c r="AD453" s="3"/>
      <c r="AP453" s="53"/>
    </row>
    <row r="454" spans="29:42" ht="14.5">
      <c r="AC454" s="3"/>
      <c r="AD454" s="3"/>
      <c r="AP454" s="53"/>
    </row>
    <row r="455" spans="29:42" ht="14.5">
      <c r="AC455" s="3"/>
      <c r="AD455" s="3"/>
      <c r="AP455" s="53"/>
    </row>
    <row r="456" spans="29:42" ht="14.5">
      <c r="AC456" s="3"/>
      <c r="AD456" s="3"/>
      <c r="AP456" s="53"/>
    </row>
    <row r="457" spans="29:42" ht="14.5">
      <c r="AC457" s="3"/>
      <c r="AD457" s="3"/>
      <c r="AP457" s="53"/>
    </row>
    <row r="458" spans="29:42" ht="14.5">
      <c r="AC458" s="3"/>
      <c r="AD458" s="3"/>
      <c r="AP458" s="53"/>
    </row>
    <row r="459" spans="29:42" ht="14.5">
      <c r="AC459" s="3"/>
      <c r="AD459" s="3"/>
      <c r="AP459" s="53"/>
    </row>
    <row r="460" spans="29:42" ht="14.5">
      <c r="AC460" s="3"/>
      <c r="AD460" s="3"/>
      <c r="AP460" s="53"/>
    </row>
    <row r="461" spans="29:42" ht="14.5">
      <c r="AC461" s="3"/>
      <c r="AD461" s="3"/>
      <c r="AP461" s="53"/>
    </row>
    <row r="462" spans="29:42" ht="14.5">
      <c r="AC462" s="3"/>
      <c r="AD462" s="3"/>
      <c r="AP462" s="53"/>
    </row>
    <row r="463" spans="29:42" ht="14.5">
      <c r="AC463" s="3"/>
      <c r="AD463" s="3"/>
      <c r="AP463" s="53"/>
    </row>
    <row r="464" spans="29:42" ht="14.5">
      <c r="AC464" s="3"/>
      <c r="AD464" s="3"/>
      <c r="AP464" s="53"/>
    </row>
    <row r="465" spans="29:42" ht="14.5">
      <c r="AC465" s="3"/>
      <c r="AD465" s="3"/>
      <c r="AP465" s="53"/>
    </row>
    <row r="466" spans="29:42" ht="14.5">
      <c r="AC466" s="3"/>
      <c r="AD466" s="3"/>
      <c r="AP466" s="53"/>
    </row>
    <row r="467" spans="29:42" ht="14.5">
      <c r="AC467" s="3"/>
      <c r="AD467" s="3"/>
      <c r="AP467" s="53"/>
    </row>
    <row r="468" spans="29:42" ht="14.5">
      <c r="AC468" s="3"/>
      <c r="AD468" s="3"/>
      <c r="AP468" s="53"/>
    </row>
    <row r="469" spans="29:42" ht="14.5">
      <c r="AC469" s="3"/>
      <c r="AD469" s="3"/>
      <c r="AP469" s="53"/>
    </row>
    <row r="470" spans="29:42" ht="14.5">
      <c r="AC470" s="3"/>
      <c r="AD470" s="3"/>
      <c r="AP470" s="53"/>
    </row>
    <row r="471" spans="29:42" ht="14.5">
      <c r="AC471" s="3"/>
      <c r="AD471" s="3"/>
      <c r="AP471" s="53"/>
    </row>
    <row r="472" spans="29:42" ht="14.5">
      <c r="AC472" s="3"/>
      <c r="AD472" s="3"/>
      <c r="AP472" s="53"/>
    </row>
    <row r="473" spans="29:42" ht="14.5">
      <c r="AC473" s="3"/>
      <c r="AD473" s="3"/>
      <c r="AP473" s="53"/>
    </row>
    <row r="474" spans="29:42" ht="14.5">
      <c r="AC474" s="3"/>
      <c r="AD474" s="3"/>
      <c r="AP474" s="53"/>
    </row>
    <row r="475" spans="29:42" ht="14.5">
      <c r="AC475" s="3"/>
      <c r="AD475" s="3"/>
      <c r="AP475" s="53"/>
    </row>
    <row r="476" spans="29:42" ht="14.5">
      <c r="AC476" s="3"/>
      <c r="AD476" s="3"/>
      <c r="AP476" s="53"/>
    </row>
    <row r="477" spans="29:42" ht="14.5">
      <c r="AC477" s="3"/>
      <c r="AD477" s="3"/>
      <c r="AP477" s="53"/>
    </row>
    <row r="478" spans="29:42" ht="14.5">
      <c r="AC478" s="3"/>
      <c r="AD478" s="3"/>
      <c r="AP478" s="53"/>
    </row>
    <row r="479" spans="29:42" ht="14.5">
      <c r="AC479" s="3"/>
      <c r="AD479" s="3"/>
      <c r="AP479" s="53"/>
    </row>
    <row r="480" spans="29:42" ht="14.5">
      <c r="AC480" s="3"/>
      <c r="AD480" s="3"/>
      <c r="AP480" s="53"/>
    </row>
    <row r="481" spans="29:42" ht="14.5">
      <c r="AC481" s="3"/>
      <c r="AD481" s="3"/>
      <c r="AP481" s="53"/>
    </row>
    <row r="482" spans="29:42" ht="14.5">
      <c r="AC482" s="3"/>
      <c r="AD482" s="3"/>
      <c r="AP482" s="53"/>
    </row>
    <row r="483" spans="29:42" ht="14.5">
      <c r="AC483" s="3"/>
      <c r="AD483" s="3"/>
      <c r="AP483" s="53"/>
    </row>
    <row r="484" spans="29:42" ht="14.5">
      <c r="AC484" s="3"/>
      <c r="AD484" s="3"/>
      <c r="AP484" s="53"/>
    </row>
    <row r="485" spans="29:42" ht="14.5">
      <c r="AC485" s="3"/>
      <c r="AD485" s="3"/>
      <c r="AP485" s="53"/>
    </row>
    <row r="486" spans="29:42" ht="14.5">
      <c r="AC486" s="3"/>
      <c r="AD486" s="3"/>
      <c r="AP486" s="53"/>
    </row>
    <row r="487" spans="29:42" ht="14.5">
      <c r="AC487" s="3"/>
      <c r="AD487" s="3"/>
      <c r="AP487" s="53"/>
    </row>
    <row r="488" spans="29:42" ht="14.5">
      <c r="AC488" s="3"/>
      <c r="AD488" s="3"/>
      <c r="AP488" s="53"/>
    </row>
    <row r="489" spans="29:42" ht="14.5">
      <c r="AC489" s="3"/>
      <c r="AD489" s="3"/>
      <c r="AP489" s="53"/>
    </row>
    <row r="490" spans="29:42" ht="14.5">
      <c r="AC490" s="3"/>
      <c r="AD490" s="3"/>
      <c r="AP490" s="53"/>
    </row>
    <row r="491" spans="29:42" ht="14.5">
      <c r="AC491" s="3"/>
      <c r="AD491" s="3"/>
      <c r="AP491" s="53"/>
    </row>
    <row r="492" spans="29:42" ht="14.5">
      <c r="AC492" s="3"/>
      <c r="AD492" s="3"/>
      <c r="AP492" s="53"/>
    </row>
    <row r="493" spans="29:42" ht="14.5">
      <c r="AC493" s="3"/>
      <c r="AD493" s="3"/>
      <c r="AP493" s="53"/>
    </row>
    <row r="494" spans="29:42" ht="14.5">
      <c r="AC494" s="3"/>
      <c r="AD494" s="3"/>
      <c r="AP494" s="53"/>
    </row>
    <row r="495" spans="29:42" ht="14.5">
      <c r="AC495" s="3"/>
      <c r="AD495" s="3"/>
      <c r="AP495" s="53"/>
    </row>
    <row r="496" spans="29:42" ht="14.5">
      <c r="AC496" s="3"/>
      <c r="AD496" s="3"/>
      <c r="AP496" s="53"/>
    </row>
    <row r="497" spans="29:42" ht="14.5">
      <c r="AC497" s="3"/>
      <c r="AD497" s="3"/>
      <c r="AP497" s="53"/>
    </row>
    <row r="498" spans="29:42" ht="14.5">
      <c r="AC498" s="3"/>
      <c r="AD498" s="3"/>
      <c r="AP498" s="53"/>
    </row>
    <row r="499" spans="29:42" ht="14.5">
      <c r="AC499" s="3"/>
      <c r="AD499" s="3"/>
      <c r="AP499" s="53"/>
    </row>
    <row r="500" spans="29:42" ht="14.5">
      <c r="AC500" s="3"/>
      <c r="AD500" s="3"/>
      <c r="AP500" s="53"/>
    </row>
    <row r="501" spans="29:42" ht="14.5">
      <c r="AC501" s="3"/>
      <c r="AD501" s="3"/>
      <c r="AP501" s="53"/>
    </row>
    <row r="502" spans="29:42" ht="14.5">
      <c r="AC502" s="3"/>
      <c r="AD502" s="3"/>
      <c r="AP502" s="53"/>
    </row>
    <row r="503" spans="29:42" ht="14.5">
      <c r="AC503" s="3"/>
      <c r="AD503" s="3"/>
      <c r="AP503" s="53"/>
    </row>
    <row r="504" spans="29:42" ht="14.5">
      <c r="AC504" s="3"/>
      <c r="AD504" s="3"/>
      <c r="AP504" s="53"/>
    </row>
    <row r="505" spans="29:42" ht="14.5">
      <c r="AC505" s="3"/>
      <c r="AD505" s="3"/>
      <c r="AP505" s="53"/>
    </row>
    <row r="506" spans="29:42" ht="14.5">
      <c r="AC506" s="3"/>
      <c r="AD506" s="3"/>
      <c r="AP506" s="53"/>
    </row>
    <row r="507" spans="29:42" ht="14.5">
      <c r="AC507" s="3"/>
      <c r="AD507" s="3"/>
      <c r="AP507" s="53"/>
    </row>
    <row r="508" spans="29:42" ht="14.5">
      <c r="AC508" s="3"/>
      <c r="AD508" s="3"/>
      <c r="AP508" s="53"/>
    </row>
    <row r="509" spans="29:42" ht="14.5">
      <c r="AC509" s="3"/>
      <c r="AD509" s="3"/>
      <c r="AP509" s="53"/>
    </row>
    <row r="510" spans="29:42" ht="14.5">
      <c r="AC510" s="3"/>
      <c r="AD510" s="3"/>
      <c r="AP510" s="53"/>
    </row>
    <row r="511" spans="29:42" ht="14.5">
      <c r="AC511" s="3"/>
      <c r="AD511" s="3"/>
      <c r="AP511" s="53"/>
    </row>
    <row r="512" spans="29:42" ht="14.5">
      <c r="AC512" s="3"/>
      <c r="AD512" s="3"/>
      <c r="AP512" s="53"/>
    </row>
    <row r="513" spans="29:42" ht="14.5">
      <c r="AC513" s="3"/>
      <c r="AD513" s="3"/>
      <c r="AP513" s="53"/>
    </row>
    <row r="514" spans="29:42" ht="14.5">
      <c r="AC514" s="3"/>
      <c r="AD514" s="3"/>
      <c r="AP514" s="53"/>
    </row>
    <row r="515" spans="29:42" ht="14.5">
      <c r="AC515" s="3"/>
      <c r="AD515" s="3"/>
      <c r="AP515" s="53"/>
    </row>
    <row r="516" spans="29:42" ht="14.5">
      <c r="AC516" s="3"/>
      <c r="AD516" s="3"/>
      <c r="AP516" s="53"/>
    </row>
    <row r="517" spans="29:42" ht="14.5">
      <c r="AC517" s="3"/>
      <c r="AD517" s="3"/>
      <c r="AP517" s="53"/>
    </row>
    <row r="518" spans="29:42" ht="14.5">
      <c r="AC518" s="3"/>
      <c r="AD518" s="3"/>
      <c r="AP518" s="53"/>
    </row>
    <row r="519" spans="29:42" ht="14.5">
      <c r="AC519" s="3"/>
      <c r="AD519" s="3"/>
      <c r="AP519" s="53"/>
    </row>
    <row r="520" spans="29:42" ht="14.5">
      <c r="AC520" s="3"/>
      <c r="AD520" s="3"/>
      <c r="AP520" s="53"/>
    </row>
    <row r="521" spans="29:42" ht="14.5">
      <c r="AC521" s="3"/>
      <c r="AD521" s="3"/>
      <c r="AP521" s="53"/>
    </row>
    <row r="522" spans="29:42" ht="14.5">
      <c r="AC522" s="3"/>
      <c r="AD522" s="3"/>
      <c r="AP522" s="53"/>
    </row>
    <row r="523" spans="29:42" ht="14.5">
      <c r="AC523" s="3"/>
      <c r="AD523" s="3"/>
      <c r="AP523" s="53"/>
    </row>
    <row r="524" spans="29:42" ht="14.5">
      <c r="AC524" s="3"/>
      <c r="AD524" s="3"/>
      <c r="AP524" s="53"/>
    </row>
    <row r="525" spans="29:42" ht="14.5">
      <c r="AC525" s="3"/>
      <c r="AD525" s="3"/>
      <c r="AP525" s="53"/>
    </row>
    <row r="526" spans="29:42" ht="14.5">
      <c r="AC526" s="3"/>
      <c r="AD526" s="3"/>
      <c r="AP526" s="53"/>
    </row>
    <row r="527" spans="29:42" ht="14.5">
      <c r="AC527" s="3"/>
      <c r="AD527" s="3"/>
      <c r="AP527" s="53"/>
    </row>
    <row r="528" spans="29:42" ht="14.5">
      <c r="AC528" s="3"/>
      <c r="AD528" s="3"/>
      <c r="AP528" s="53"/>
    </row>
    <row r="529" spans="29:42" ht="14.5">
      <c r="AC529" s="3"/>
      <c r="AD529" s="3"/>
      <c r="AP529" s="53"/>
    </row>
    <row r="530" spans="29:42" ht="14.5">
      <c r="AC530" s="3"/>
      <c r="AD530" s="3"/>
      <c r="AP530" s="53"/>
    </row>
    <row r="531" spans="29:42" ht="14.5">
      <c r="AC531" s="3"/>
      <c r="AD531" s="3"/>
      <c r="AP531" s="53"/>
    </row>
    <row r="532" spans="29:42" ht="14.5">
      <c r="AC532" s="3"/>
      <c r="AD532" s="3"/>
      <c r="AP532" s="53"/>
    </row>
    <row r="533" spans="29:42" ht="14.5">
      <c r="AC533" s="3"/>
      <c r="AD533" s="3"/>
      <c r="AP533" s="53"/>
    </row>
    <row r="534" spans="29:42" ht="14.5">
      <c r="AC534" s="3"/>
      <c r="AD534" s="3"/>
      <c r="AP534" s="53"/>
    </row>
    <row r="535" spans="29:42" ht="14.5">
      <c r="AC535" s="3"/>
      <c r="AD535" s="3"/>
      <c r="AP535" s="53"/>
    </row>
    <row r="536" spans="29:42" ht="14.5">
      <c r="AC536" s="3"/>
      <c r="AD536" s="3"/>
      <c r="AP536" s="53"/>
    </row>
    <row r="537" spans="29:42" ht="14.5">
      <c r="AC537" s="3"/>
      <c r="AD537" s="3"/>
      <c r="AP537" s="53"/>
    </row>
    <row r="538" spans="29:42" ht="14.5">
      <c r="AC538" s="3"/>
      <c r="AD538" s="3"/>
      <c r="AP538" s="53"/>
    </row>
    <row r="539" spans="29:42" ht="14.5">
      <c r="AC539" s="3"/>
      <c r="AD539" s="3"/>
      <c r="AP539" s="53"/>
    </row>
    <row r="540" spans="29:42" ht="14.5">
      <c r="AC540" s="3"/>
      <c r="AD540" s="3"/>
      <c r="AP540" s="53"/>
    </row>
    <row r="541" spans="29:42" ht="14.5">
      <c r="AC541" s="3"/>
      <c r="AD541" s="3"/>
      <c r="AP541" s="53"/>
    </row>
    <row r="542" spans="29:42" ht="14.5">
      <c r="AC542" s="3"/>
      <c r="AD542" s="3"/>
      <c r="AP542" s="53"/>
    </row>
    <row r="543" spans="29:42" ht="14.5">
      <c r="AC543" s="3"/>
      <c r="AD543" s="3"/>
      <c r="AP543" s="53"/>
    </row>
    <row r="544" spans="29:42" ht="14.5">
      <c r="AC544" s="3"/>
      <c r="AD544" s="3"/>
      <c r="AP544" s="53"/>
    </row>
    <row r="545" spans="29:42" ht="14.5">
      <c r="AC545" s="3"/>
      <c r="AD545" s="3"/>
      <c r="AP545" s="53"/>
    </row>
    <row r="546" spans="29:42" ht="14.5">
      <c r="AC546" s="3"/>
      <c r="AD546" s="3"/>
      <c r="AP546" s="53"/>
    </row>
    <row r="547" spans="29:42" ht="14.5">
      <c r="AC547" s="3"/>
      <c r="AD547" s="3"/>
      <c r="AP547" s="53"/>
    </row>
    <row r="548" spans="29:42" ht="14.5">
      <c r="AC548" s="3"/>
      <c r="AD548" s="3"/>
      <c r="AP548" s="53"/>
    </row>
    <row r="549" spans="29:42" ht="14.5">
      <c r="AC549" s="3"/>
      <c r="AD549" s="3"/>
      <c r="AP549" s="53"/>
    </row>
    <row r="550" spans="29:42" ht="14.5">
      <c r="AC550" s="3"/>
      <c r="AD550" s="3"/>
      <c r="AP550" s="53"/>
    </row>
    <row r="551" spans="29:42" ht="14.5">
      <c r="AC551" s="3"/>
      <c r="AD551" s="3"/>
      <c r="AP551" s="53"/>
    </row>
    <row r="552" spans="29:42" ht="14.5">
      <c r="AC552" s="3"/>
      <c r="AD552" s="3"/>
      <c r="AP552" s="53"/>
    </row>
    <row r="553" spans="29:42" ht="14.5">
      <c r="AC553" s="3"/>
      <c r="AD553" s="3"/>
      <c r="AP553" s="53"/>
    </row>
    <row r="554" spans="29:42" ht="14.5">
      <c r="AC554" s="3"/>
      <c r="AD554" s="3"/>
      <c r="AP554" s="53"/>
    </row>
    <row r="555" spans="29:42" ht="14.5">
      <c r="AC555" s="3"/>
      <c r="AD555" s="3"/>
      <c r="AP555" s="53"/>
    </row>
    <row r="556" spans="29:42" ht="14.5">
      <c r="AC556" s="3"/>
      <c r="AD556" s="3"/>
      <c r="AP556" s="53"/>
    </row>
    <row r="557" spans="29:42" ht="14.5">
      <c r="AC557" s="3"/>
      <c r="AD557" s="3"/>
      <c r="AP557" s="53"/>
    </row>
    <row r="558" spans="29:42" ht="14.5">
      <c r="AC558" s="3"/>
      <c r="AD558" s="3"/>
      <c r="AP558" s="53"/>
    </row>
    <row r="559" spans="29:42" ht="14.5">
      <c r="AC559" s="3"/>
      <c r="AD559" s="3"/>
      <c r="AP559" s="53"/>
    </row>
    <row r="560" spans="29:42" ht="14.5">
      <c r="AC560" s="3"/>
      <c r="AD560" s="3"/>
      <c r="AP560" s="53"/>
    </row>
    <row r="561" spans="29:42" ht="14.5">
      <c r="AC561" s="3"/>
      <c r="AD561" s="3"/>
      <c r="AP561" s="53"/>
    </row>
    <row r="562" spans="29:42" ht="14.5">
      <c r="AC562" s="3"/>
      <c r="AD562" s="3"/>
      <c r="AP562" s="53"/>
    </row>
    <row r="563" spans="29:42" ht="14.5">
      <c r="AC563" s="3"/>
      <c r="AD563" s="3"/>
      <c r="AP563" s="53"/>
    </row>
    <row r="564" spans="29:42" ht="14.5">
      <c r="AC564" s="3"/>
      <c r="AD564" s="3"/>
      <c r="AP564" s="53"/>
    </row>
    <row r="565" spans="29:42" ht="14.5">
      <c r="AC565" s="3"/>
      <c r="AD565" s="3"/>
      <c r="AP565" s="53"/>
    </row>
    <row r="566" spans="29:42" ht="14.5">
      <c r="AC566" s="3"/>
      <c r="AD566" s="3"/>
      <c r="AP566" s="53"/>
    </row>
    <row r="567" spans="29:42" ht="14.5">
      <c r="AC567" s="3"/>
      <c r="AD567" s="3"/>
      <c r="AP567" s="53"/>
    </row>
    <row r="568" spans="29:42" ht="14.5">
      <c r="AC568" s="3"/>
      <c r="AD568" s="3"/>
      <c r="AP568" s="53"/>
    </row>
    <row r="569" spans="29:42" ht="14.5">
      <c r="AC569" s="3"/>
      <c r="AD569" s="3"/>
      <c r="AP569" s="53"/>
    </row>
    <row r="570" spans="29:42" ht="14.5">
      <c r="AC570" s="3"/>
      <c r="AD570" s="3"/>
      <c r="AP570" s="53"/>
    </row>
    <row r="571" spans="29:42" ht="14.5">
      <c r="AC571" s="3"/>
      <c r="AD571" s="3"/>
      <c r="AP571" s="53"/>
    </row>
    <row r="572" spans="29:42" ht="14.5">
      <c r="AC572" s="3"/>
      <c r="AD572" s="3"/>
      <c r="AP572" s="53"/>
    </row>
    <row r="573" spans="29:42" ht="14.5">
      <c r="AC573" s="3"/>
      <c r="AD573" s="3"/>
      <c r="AP573" s="53"/>
    </row>
    <row r="574" spans="29:42" ht="14.5">
      <c r="AC574" s="3"/>
      <c r="AD574" s="3"/>
      <c r="AP574" s="53"/>
    </row>
    <row r="575" spans="29:42" ht="14.5">
      <c r="AC575" s="3"/>
      <c r="AD575" s="3"/>
      <c r="AP575" s="53"/>
    </row>
    <row r="576" spans="29:42" ht="14.5">
      <c r="AC576" s="3"/>
      <c r="AD576" s="3"/>
      <c r="AP576" s="53"/>
    </row>
    <row r="577" spans="29:42" ht="14.5">
      <c r="AC577" s="3"/>
      <c r="AD577" s="3"/>
      <c r="AP577" s="53"/>
    </row>
    <row r="578" spans="29:42" ht="14.5">
      <c r="AC578" s="3"/>
      <c r="AD578" s="3"/>
      <c r="AP578" s="53"/>
    </row>
    <row r="579" spans="29:42" ht="14.5">
      <c r="AC579" s="3"/>
      <c r="AD579" s="3"/>
      <c r="AP579" s="53"/>
    </row>
    <row r="580" spans="29:42" ht="14.5">
      <c r="AC580" s="3"/>
      <c r="AD580" s="3"/>
      <c r="AP580" s="53"/>
    </row>
    <row r="581" spans="29:42" ht="14.5">
      <c r="AC581" s="3"/>
      <c r="AD581" s="3"/>
      <c r="AP581" s="53"/>
    </row>
    <row r="582" spans="29:42" ht="14.5">
      <c r="AC582" s="3"/>
      <c r="AD582" s="3"/>
      <c r="AP582" s="53"/>
    </row>
    <row r="583" spans="29:42" ht="14.5">
      <c r="AC583" s="3"/>
      <c r="AD583" s="3"/>
      <c r="AP583" s="53"/>
    </row>
    <row r="584" spans="29:42" ht="14.5">
      <c r="AC584" s="3"/>
      <c r="AD584" s="3"/>
      <c r="AP584" s="53"/>
    </row>
    <row r="585" spans="29:42" ht="14.5">
      <c r="AC585" s="3"/>
      <c r="AD585" s="3"/>
      <c r="AP585" s="53"/>
    </row>
    <row r="586" spans="29:42" ht="14.5">
      <c r="AC586" s="3"/>
      <c r="AD586" s="3"/>
      <c r="AP586" s="53"/>
    </row>
    <row r="587" spans="29:42" ht="14.5">
      <c r="AC587" s="3"/>
      <c r="AD587" s="3"/>
      <c r="AP587" s="53"/>
    </row>
    <row r="588" spans="29:42" ht="14.5">
      <c r="AC588" s="3"/>
      <c r="AD588" s="3"/>
      <c r="AP588" s="53"/>
    </row>
    <row r="589" spans="29:42" ht="14.5">
      <c r="AC589" s="3"/>
      <c r="AD589" s="3"/>
      <c r="AP589" s="53"/>
    </row>
    <row r="590" spans="29:42" ht="14.5">
      <c r="AC590" s="3"/>
      <c r="AD590" s="3"/>
      <c r="AP590" s="53"/>
    </row>
    <row r="591" spans="29:42" ht="14.5">
      <c r="AC591" s="3"/>
      <c r="AD591" s="3"/>
      <c r="AP591" s="53"/>
    </row>
    <row r="592" spans="29:42" ht="14.5">
      <c r="AC592" s="3"/>
      <c r="AD592" s="3"/>
      <c r="AP592" s="53"/>
    </row>
    <row r="593" spans="29:42" ht="14.5">
      <c r="AC593" s="3"/>
      <c r="AD593" s="3"/>
      <c r="AP593" s="53"/>
    </row>
    <row r="594" spans="29:42" ht="14.5">
      <c r="AC594" s="3"/>
      <c r="AD594" s="3"/>
      <c r="AP594" s="53"/>
    </row>
    <row r="595" spans="29:42" ht="14.5">
      <c r="AC595" s="3"/>
      <c r="AD595" s="3"/>
      <c r="AP595" s="53"/>
    </row>
    <row r="596" spans="29:42" ht="14.5">
      <c r="AC596" s="3"/>
      <c r="AD596" s="3"/>
      <c r="AP596" s="53"/>
    </row>
    <row r="597" spans="29:42" ht="14.5">
      <c r="AC597" s="3"/>
      <c r="AD597" s="3"/>
      <c r="AP597" s="53"/>
    </row>
    <row r="598" spans="29:42" ht="14.5">
      <c r="AC598" s="3"/>
      <c r="AD598" s="3"/>
      <c r="AP598" s="53"/>
    </row>
    <row r="599" spans="29:42" ht="14.5">
      <c r="AC599" s="3"/>
      <c r="AD599" s="3"/>
      <c r="AP599" s="53"/>
    </row>
    <row r="600" spans="29:42" ht="14.5">
      <c r="AC600" s="3"/>
      <c r="AD600" s="3"/>
      <c r="AP600" s="53"/>
    </row>
    <row r="601" spans="29:42" ht="14.5">
      <c r="AC601" s="3"/>
      <c r="AD601" s="3"/>
      <c r="AP601" s="53"/>
    </row>
    <row r="602" spans="29:42" ht="14.5">
      <c r="AC602" s="3"/>
      <c r="AD602" s="3"/>
      <c r="AP602" s="53"/>
    </row>
    <row r="603" spans="29:42" ht="14.5">
      <c r="AC603" s="3"/>
      <c r="AD603" s="3"/>
      <c r="AP603" s="53"/>
    </row>
    <row r="604" spans="29:42" ht="14.5">
      <c r="AC604" s="3"/>
      <c r="AD604" s="3"/>
      <c r="AP604" s="53"/>
    </row>
    <row r="605" spans="29:42" ht="14.5">
      <c r="AC605" s="3"/>
      <c r="AD605" s="3"/>
      <c r="AP605" s="53"/>
    </row>
    <row r="606" spans="29:42" ht="14.5">
      <c r="AC606" s="3"/>
      <c r="AD606" s="3"/>
      <c r="AP606" s="53"/>
    </row>
    <row r="607" spans="29:42" ht="14.5">
      <c r="AC607" s="3"/>
      <c r="AD607" s="3"/>
      <c r="AP607" s="53"/>
    </row>
    <row r="608" spans="29:42" ht="14.5">
      <c r="AC608" s="3"/>
      <c r="AD608" s="3"/>
      <c r="AP608" s="53"/>
    </row>
    <row r="609" spans="29:42" ht="14.5">
      <c r="AC609" s="3"/>
      <c r="AD609" s="3"/>
      <c r="AP609" s="53"/>
    </row>
    <row r="610" spans="29:42" ht="14.5">
      <c r="AC610" s="3"/>
      <c r="AD610" s="3"/>
      <c r="AP610" s="53"/>
    </row>
    <row r="611" spans="29:42" ht="14.5">
      <c r="AC611" s="3"/>
      <c r="AD611" s="3"/>
      <c r="AP611" s="53"/>
    </row>
    <row r="612" spans="29:42" ht="14.5">
      <c r="AC612" s="3"/>
      <c r="AD612" s="3"/>
      <c r="AP612" s="53"/>
    </row>
    <row r="613" spans="29:42" ht="14.5">
      <c r="AC613" s="3"/>
      <c r="AD613" s="3"/>
      <c r="AP613" s="53"/>
    </row>
    <row r="614" spans="29:42" ht="14.5">
      <c r="AC614" s="3"/>
      <c r="AD614" s="3"/>
      <c r="AP614" s="53"/>
    </row>
    <row r="615" spans="29:42" ht="14.5">
      <c r="AC615" s="3"/>
      <c r="AD615" s="3"/>
      <c r="AP615" s="53"/>
    </row>
    <row r="616" spans="29:42" ht="14.5">
      <c r="AC616" s="3"/>
      <c r="AD616" s="3"/>
      <c r="AP616" s="53"/>
    </row>
    <row r="617" spans="29:42" ht="14.5">
      <c r="AC617" s="3"/>
      <c r="AD617" s="3"/>
      <c r="AP617" s="53"/>
    </row>
    <row r="618" spans="29:42" ht="14.5">
      <c r="AC618" s="3"/>
      <c r="AD618" s="3"/>
      <c r="AP618" s="53"/>
    </row>
    <row r="619" spans="29:42" ht="14.5">
      <c r="AC619" s="3"/>
      <c r="AD619" s="3"/>
      <c r="AP619" s="53"/>
    </row>
    <row r="620" spans="29:42" ht="14.5">
      <c r="AC620" s="3"/>
      <c r="AD620" s="3"/>
      <c r="AP620" s="53"/>
    </row>
    <row r="621" spans="29:42" ht="14.5">
      <c r="AC621" s="3"/>
      <c r="AD621" s="3"/>
      <c r="AP621" s="53"/>
    </row>
    <row r="622" spans="29:42" ht="14.5">
      <c r="AC622" s="3"/>
      <c r="AD622" s="3"/>
      <c r="AP622" s="53"/>
    </row>
    <row r="623" spans="29:42" ht="14.5">
      <c r="AC623" s="3"/>
      <c r="AD623" s="3"/>
      <c r="AP623" s="53"/>
    </row>
    <row r="624" spans="29:42" ht="14.5">
      <c r="AC624" s="3"/>
      <c r="AD624" s="3"/>
      <c r="AP624" s="53"/>
    </row>
    <row r="625" spans="29:42" ht="14.5">
      <c r="AC625" s="3"/>
      <c r="AD625" s="3"/>
      <c r="AP625" s="53"/>
    </row>
    <row r="626" spans="29:42" ht="14.5">
      <c r="AC626" s="3"/>
      <c r="AD626" s="3"/>
      <c r="AP626" s="53"/>
    </row>
    <row r="627" spans="29:42" ht="14.5">
      <c r="AC627" s="3"/>
      <c r="AD627" s="3"/>
      <c r="AP627" s="53"/>
    </row>
    <row r="628" spans="29:42" ht="14.5">
      <c r="AC628" s="3"/>
      <c r="AD628" s="3"/>
      <c r="AP628" s="53"/>
    </row>
    <row r="629" spans="29:42" ht="14.5">
      <c r="AC629" s="3"/>
      <c r="AD629" s="3"/>
      <c r="AP629" s="53"/>
    </row>
    <row r="630" spans="29:42" ht="14.5">
      <c r="AC630" s="3"/>
      <c r="AD630" s="3"/>
      <c r="AP630" s="53"/>
    </row>
    <row r="631" spans="29:42" ht="14.5">
      <c r="AC631" s="3"/>
      <c r="AD631" s="3"/>
      <c r="AP631" s="53"/>
    </row>
    <row r="632" spans="29:42" ht="14.5">
      <c r="AC632" s="3"/>
      <c r="AD632" s="3"/>
      <c r="AP632" s="53"/>
    </row>
    <row r="633" spans="29:42" ht="14.5">
      <c r="AC633" s="3"/>
      <c r="AD633" s="3"/>
      <c r="AP633" s="53"/>
    </row>
    <row r="634" spans="29:42" ht="14.5">
      <c r="AC634" s="3"/>
      <c r="AD634" s="3"/>
      <c r="AP634" s="53"/>
    </row>
    <row r="635" spans="29:42" ht="14.5">
      <c r="AC635" s="3"/>
      <c r="AD635" s="3"/>
      <c r="AP635" s="53"/>
    </row>
    <row r="636" spans="29:42" ht="14.5">
      <c r="AC636" s="3"/>
      <c r="AD636" s="3"/>
      <c r="AP636" s="53"/>
    </row>
    <row r="637" spans="29:42" ht="14.5">
      <c r="AC637" s="3"/>
      <c r="AD637" s="3"/>
      <c r="AP637" s="53"/>
    </row>
    <row r="638" spans="29:42" ht="14.5">
      <c r="AC638" s="3"/>
      <c r="AD638" s="3"/>
      <c r="AP638" s="53"/>
    </row>
    <row r="639" spans="29:42" ht="14.5">
      <c r="AC639" s="3"/>
      <c r="AD639" s="3"/>
      <c r="AP639" s="53"/>
    </row>
    <row r="640" spans="29:42" ht="14.5">
      <c r="AC640" s="3"/>
      <c r="AD640" s="3"/>
      <c r="AP640" s="53"/>
    </row>
    <row r="641" spans="29:42" ht="14.5">
      <c r="AC641" s="3"/>
      <c r="AD641" s="3"/>
      <c r="AP641" s="53"/>
    </row>
    <row r="642" spans="29:42" ht="14.5">
      <c r="AC642" s="3"/>
      <c r="AD642" s="3"/>
      <c r="AP642" s="53"/>
    </row>
    <row r="643" spans="29:42" ht="14.5">
      <c r="AC643" s="3"/>
      <c r="AD643" s="3"/>
      <c r="AP643" s="53"/>
    </row>
    <row r="644" spans="29:42" ht="14.5">
      <c r="AC644" s="3"/>
      <c r="AD644" s="3"/>
      <c r="AP644" s="53"/>
    </row>
    <row r="645" spans="29:42" ht="14.5">
      <c r="AC645" s="3"/>
      <c r="AD645" s="3"/>
      <c r="AP645" s="53"/>
    </row>
    <row r="646" spans="29:42" ht="14.5">
      <c r="AC646" s="3"/>
      <c r="AD646" s="3"/>
      <c r="AP646" s="53"/>
    </row>
    <row r="647" spans="29:42" ht="14.5">
      <c r="AC647" s="3"/>
      <c r="AD647" s="3"/>
      <c r="AP647" s="53"/>
    </row>
    <row r="648" spans="29:42" ht="14.5">
      <c r="AC648" s="3"/>
      <c r="AD648" s="3"/>
      <c r="AP648" s="53"/>
    </row>
    <row r="649" spans="29:42" ht="14.5">
      <c r="AC649" s="3"/>
      <c r="AD649" s="3"/>
      <c r="AP649" s="53"/>
    </row>
    <row r="650" spans="29:42" ht="14.5">
      <c r="AC650" s="3"/>
      <c r="AD650" s="3"/>
      <c r="AP650" s="53"/>
    </row>
    <row r="651" spans="29:42" ht="14.5">
      <c r="AC651" s="3"/>
      <c r="AD651" s="3"/>
      <c r="AP651" s="53"/>
    </row>
    <row r="652" spans="29:42" ht="14.5">
      <c r="AC652" s="3"/>
      <c r="AD652" s="3"/>
      <c r="AP652" s="53"/>
    </row>
    <row r="653" spans="29:42" ht="14.5">
      <c r="AC653" s="3"/>
      <c r="AD653" s="3"/>
      <c r="AP653" s="53"/>
    </row>
    <row r="654" spans="29:42" ht="14.5">
      <c r="AC654" s="3"/>
      <c r="AD654" s="3"/>
      <c r="AP654" s="53"/>
    </row>
    <row r="655" spans="29:42" ht="14.5">
      <c r="AC655" s="3"/>
      <c r="AD655" s="3"/>
      <c r="AP655" s="53"/>
    </row>
    <row r="656" spans="29:42" ht="14.5">
      <c r="AC656" s="3"/>
      <c r="AD656" s="3"/>
      <c r="AP656" s="53"/>
    </row>
    <row r="657" spans="29:42" ht="14.5">
      <c r="AC657" s="3"/>
      <c r="AD657" s="3"/>
      <c r="AP657" s="53"/>
    </row>
    <row r="658" spans="29:42" ht="14.5">
      <c r="AC658" s="3"/>
      <c r="AD658" s="3"/>
      <c r="AP658" s="53"/>
    </row>
    <row r="659" spans="29:42" ht="14.5">
      <c r="AC659" s="3"/>
      <c r="AD659" s="3"/>
      <c r="AP659" s="53"/>
    </row>
    <row r="660" spans="29:42" ht="14.5">
      <c r="AC660" s="3"/>
      <c r="AD660" s="3"/>
      <c r="AP660" s="53"/>
    </row>
    <row r="661" spans="29:42" ht="14.5">
      <c r="AC661" s="3"/>
      <c r="AD661" s="3"/>
      <c r="AP661" s="53"/>
    </row>
    <row r="662" spans="29:42" ht="14.5">
      <c r="AC662" s="3"/>
      <c r="AD662" s="3"/>
      <c r="AP662" s="53"/>
    </row>
    <row r="663" spans="29:42" ht="14.5">
      <c r="AC663" s="3"/>
      <c r="AD663" s="3"/>
      <c r="AP663" s="53"/>
    </row>
    <row r="664" spans="29:42" ht="14.5">
      <c r="AC664" s="3"/>
      <c r="AD664" s="3"/>
      <c r="AP664" s="53"/>
    </row>
    <row r="665" spans="29:42" ht="14.5">
      <c r="AC665" s="3"/>
      <c r="AD665" s="3"/>
      <c r="AP665" s="53"/>
    </row>
    <row r="666" spans="29:42" ht="14.5">
      <c r="AC666" s="3"/>
      <c r="AD666" s="3"/>
      <c r="AP666" s="53"/>
    </row>
    <row r="667" spans="29:42" ht="14.5">
      <c r="AC667" s="3"/>
      <c r="AD667" s="3"/>
      <c r="AP667" s="53"/>
    </row>
    <row r="668" spans="29:42" ht="14.5">
      <c r="AC668" s="3"/>
      <c r="AD668" s="3"/>
      <c r="AP668" s="53"/>
    </row>
    <row r="669" spans="29:42" ht="14.5">
      <c r="AC669" s="3"/>
      <c r="AD669" s="3"/>
      <c r="AP669" s="53"/>
    </row>
    <row r="670" spans="29:42" ht="14.5">
      <c r="AC670" s="3"/>
      <c r="AD670" s="3"/>
      <c r="AP670" s="53"/>
    </row>
    <row r="671" spans="29:42" ht="14.5">
      <c r="AC671" s="3"/>
      <c r="AD671" s="3"/>
      <c r="AP671" s="53"/>
    </row>
    <row r="672" spans="29:42" ht="14.5">
      <c r="AC672" s="3"/>
      <c r="AD672" s="3"/>
      <c r="AP672" s="53"/>
    </row>
    <row r="673" spans="29:42" ht="14.5">
      <c r="AC673" s="3"/>
      <c r="AD673" s="3"/>
      <c r="AP673" s="53"/>
    </row>
    <row r="674" spans="29:42" ht="14.5">
      <c r="AC674" s="3"/>
      <c r="AD674" s="3"/>
      <c r="AP674" s="53"/>
    </row>
    <row r="675" spans="29:42" ht="14.5">
      <c r="AC675" s="3"/>
      <c r="AD675" s="3"/>
      <c r="AP675" s="53"/>
    </row>
    <row r="676" spans="29:42" ht="14.5">
      <c r="AC676" s="3"/>
      <c r="AD676" s="3"/>
      <c r="AP676" s="53"/>
    </row>
    <row r="677" spans="29:42" ht="14.5">
      <c r="AC677" s="3"/>
      <c r="AD677" s="3"/>
      <c r="AP677" s="53"/>
    </row>
    <row r="678" spans="29:42" ht="14.5">
      <c r="AC678" s="3"/>
      <c r="AD678" s="3"/>
      <c r="AP678" s="53"/>
    </row>
    <row r="679" spans="29:42" ht="14.5">
      <c r="AC679" s="3"/>
      <c r="AD679" s="3"/>
      <c r="AP679" s="53"/>
    </row>
    <row r="680" spans="29:42" ht="14.5">
      <c r="AC680" s="3"/>
      <c r="AD680" s="3"/>
      <c r="AP680" s="53"/>
    </row>
    <row r="681" spans="29:42" ht="14.5">
      <c r="AC681" s="3"/>
      <c r="AD681" s="3"/>
      <c r="AP681" s="53"/>
    </row>
    <row r="682" spans="29:42" ht="14.5">
      <c r="AC682" s="3"/>
      <c r="AD682" s="3"/>
      <c r="AP682" s="53"/>
    </row>
    <row r="683" spans="29:42" ht="14.5">
      <c r="AC683" s="3"/>
      <c r="AD683" s="3"/>
      <c r="AP683" s="53"/>
    </row>
    <row r="684" spans="29:42" ht="14.5">
      <c r="AC684" s="3"/>
      <c r="AD684" s="3"/>
      <c r="AP684" s="53"/>
    </row>
    <row r="685" spans="29:42" ht="14.5">
      <c r="AC685" s="3"/>
      <c r="AD685" s="3"/>
      <c r="AP685" s="53"/>
    </row>
    <row r="686" spans="29:42" ht="14.5">
      <c r="AC686" s="3"/>
      <c r="AD686" s="3"/>
      <c r="AP686" s="53"/>
    </row>
    <row r="687" spans="29:42" ht="14.5">
      <c r="AC687" s="3"/>
      <c r="AD687" s="3"/>
      <c r="AP687" s="53"/>
    </row>
    <row r="688" spans="29:42" ht="14.5">
      <c r="AC688" s="3"/>
      <c r="AD688" s="3"/>
      <c r="AP688" s="53"/>
    </row>
    <row r="689" spans="29:42" ht="14.5">
      <c r="AC689" s="3"/>
      <c r="AD689" s="3"/>
      <c r="AP689" s="53"/>
    </row>
    <row r="690" spans="29:42" ht="14.5">
      <c r="AC690" s="3"/>
      <c r="AD690" s="3"/>
      <c r="AP690" s="53"/>
    </row>
    <row r="691" spans="29:42" ht="14.5">
      <c r="AC691" s="3"/>
      <c r="AD691" s="3"/>
      <c r="AP691" s="53"/>
    </row>
    <row r="692" spans="29:42" ht="14.5">
      <c r="AC692" s="3"/>
      <c r="AD692" s="3"/>
      <c r="AP692" s="53"/>
    </row>
    <row r="693" spans="29:42" ht="14.5">
      <c r="AC693" s="3"/>
      <c r="AD693" s="3"/>
      <c r="AP693" s="53"/>
    </row>
    <row r="694" spans="29:42" ht="14.5">
      <c r="AC694" s="3"/>
      <c r="AD694" s="3"/>
      <c r="AP694" s="53"/>
    </row>
    <row r="695" spans="29:42" ht="14.5">
      <c r="AC695" s="3"/>
      <c r="AD695" s="3"/>
      <c r="AP695" s="53"/>
    </row>
    <row r="696" spans="29:42" ht="14.5">
      <c r="AC696" s="3"/>
      <c r="AD696" s="3"/>
      <c r="AP696" s="53"/>
    </row>
    <row r="697" spans="29:42" ht="14.5">
      <c r="AC697" s="3"/>
      <c r="AD697" s="3"/>
      <c r="AP697" s="53"/>
    </row>
    <row r="698" spans="29:42" ht="14.5">
      <c r="AC698" s="3"/>
      <c r="AD698" s="3"/>
      <c r="AP698" s="53"/>
    </row>
    <row r="699" spans="29:42" ht="14.5">
      <c r="AC699" s="3"/>
      <c r="AD699" s="3"/>
      <c r="AP699" s="53"/>
    </row>
    <row r="700" spans="29:42" ht="14.5">
      <c r="AC700" s="3"/>
      <c r="AD700" s="3"/>
      <c r="AP700" s="53"/>
    </row>
    <row r="701" spans="29:42" ht="14.5">
      <c r="AC701" s="3"/>
      <c r="AD701" s="3"/>
      <c r="AP701" s="53"/>
    </row>
    <row r="702" spans="29:42" ht="14.5">
      <c r="AC702" s="3"/>
      <c r="AD702" s="3"/>
      <c r="AP702" s="53"/>
    </row>
    <row r="703" spans="29:42" ht="14.5">
      <c r="AC703" s="3"/>
      <c r="AD703" s="3"/>
      <c r="AP703" s="53"/>
    </row>
    <row r="704" spans="29:42" ht="14.5">
      <c r="AC704" s="3"/>
      <c r="AD704" s="3"/>
      <c r="AP704" s="53"/>
    </row>
    <row r="705" spans="29:42" ht="14.5">
      <c r="AC705" s="3"/>
      <c r="AD705" s="3"/>
      <c r="AP705" s="53"/>
    </row>
    <row r="706" spans="29:42" ht="14.5">
      <c r="AC706" s="3"/>
      <c r="AD706" s="3"/>
      <c r="AP706" s="53"/>
    </row>
    <row r="707" spans="29:42" ht="14.5">
      <c r="AC707" s="3"/>
      <c r="AD707" s="3"/>
      <c r="AP707" s="53"/>
    </row>
    <row r="708" spans="29:42" ht="14.5">
      <c r="AC708" s="3"/>
      <c r="AD708" s="3"/>
      <c r="AP708" s="53"/>
    </row>
    <row r="709" spans="29:42" ht="14.5">
      <c r="AC709" s="3"/>
      <c r="AD709" s="3"/>
      <c r="AP709" s="53"/>
    </row>
    <row r="710" spans="29:42" ht="14.5">
      <c r="AC710" s="3"/>
      <c r="AD710" s="3"/>
      <c r="AP710" s="53"/>
    </row>
    <row r="711" spans="29:42" ht="14.5">
      <c r="AC711" s="3"/>
      <c r="AD711" s="3"/>
      <c r="AP711" s="53"/>
    </row>
    <row r="712" spans="29:42" ht="14.5">
      <c r="AC712" s="3"/>
      <c r="AD712" s="3"/>
      <c r="AP712" s="53"/>
    </row>
    <row r="713" spans="29:42" ht="14.5">
      <c r="AC713" s="3"/>
      <c r="AD713" s="3"/>
      <c r="AP713" s="53"/>
    </row>
    <row r="714" spans="29:42" ht="14.5">
      <c r="AC714" s="3"/>
      <c r="AD714" s="3"/>
      <c r="AP714" s="53"/>
    </row>
    <row r="715" spans="29:42" ht="14.5">
      <c r="AC715" s="3"/>
      <c r="AD715" s="3"/>
      <c r="AP715" s="53"/>
    </row>
    <row r="716" spans="29:42" ht="14.5">
      <c r="AC716" s="3"/>
      <c r="AD716" s="3"/>
      <c r="AP716" s="53"/>
    </row>
    <row r="717" spans="29:42" ht="14.5">
      <c r="AC717" s="3"/>
      <c r="AD717" s="3"/>
      <c r="AP717" s="53"/>
    </row>
    <row r="718" spans="29:42" ht="14.5">
      <c r="AC718" s="3"/>
      <c r="AD718" s="3"/>
      <c r="AP718" s="53"/>
    </row>
    <row r="719" spans="29:42" ht="14.5">
      <c r="AC719" s="3"/>
      <c r="AD719" s="3"/>
      <c r="AP719" s="53"/>
    </row>
    <row r="720" spans="29:42" ht="14.5">
      <c r="AC720" s="3"/>
      <c r="AD720" s="3"/>
      <c r="AP720" s="53"/>
    </row>
    <row r="721" spans="29:42" ht="14.5">
      <c r="AC721" s="3"/>
      <c r="AD721" s="3"/>
      <c r="AP721" s="53"/>
    </row>
    <row r="722" spans="29:42" ht="14.5">
      <c r="AC722" s="3"/>
      <c r="AD722" s="3"/>
      <c r="AP722" s="53"/>
    </row>
    <row r="723" spans="29:42" ht="14.5">
      <c r="AC723" s="3"/>
      <c r="AD723" s="3"/>
      <c r="AP723" s="53"/>
    </row>
    <row r="724" spans="29:42" ht="14.5">
      <c r="AC724" s="3"/>
      <c r="AD724" s="3"/>
      <c r="AP724" s="53"/>
    </row>
    <row r="725" spans="29:42" ht="14.5">
      <c r="AC725" s="3"/>
      <c r="AD725" s="3"/>
      <c r="AP725" s="53"/>
    </row>
    <row r="726" spans="29:42" ht="14.5">
      <c r="AC726" s="3"/>
      <c r="AD726" s="3"/>
      <c r="AP726" s="53"/>
    </row>
    <row r="727" spans="29:42" ht="14.5">
      <c r="AC727" s="3"/>
      <c r="AD727" s="3"/>
      <c r="AP727" s="53"/>
    </row>
    <row r="728" spans="29:42" ht="14.5">
      <c r="AC728" s="3"/>
      <c r="AD728" s="3"/>
      <c r="AP728" s="53"/>
    </row>
    <row r="729" spans="29:42" ht="14.5">
      <c r="AC729" s="3"/>
      <c r="AD729" s="3"/>
      <c r="AP729" s="53"/>
    </row>
    <row r="730" spans="29:42" ht="14.5">
      <c r="AC730" s="3"/>
      <c r="AD730" s="3"/>
      <c r="AP730" s="53"/>
    </row>
    <row r="731" spans="29:42" ht="14.5">
      <c r="AC731" s="3"/>
      <c r="AD731" s="3"/>
      <c r="AP731" s="53"/>
    </row>
    <row r="732" spans="29:42" ht="14.5">
      <c r="AC732" s="3"/>
      <c r="AD732" s="3"/>
      <c r="AP732" s="53"/>
    </row>
    <row r="733" spans="29:42" ht="14.5">
      <c r="AC733" s="3"/>
      <c r="AD733" s="3"/>
      <c r="AP733" s="53"/>
    </row>
    <row r="734" spans="29:42" ht="14.5">
      <c r="AC734" s="3"/>
      <c r="AD734" s="3"/>
      <c r="AP734" s="53"/>
    </row>
    <row r="735" spans="29:42" ht="14.5">
      <c r="AC735" s="3"/>
      <c r="AD735" s="3"/>
      <c r="AP735" s="53"/>
    </row>
    <row r="736" spans="29:42" ht="14.5">
      <c r="AC736" s="3"/>
      <c r="AD736" s="3"/>
      <c r="AP736" s="53"/>
    </row>
    <row r="737" spans="29:42" ht="14.5">
      <c r="AC737" s="3"/>
      <c r="AD737" s="3"/>
      <c r="AP737" s="53"/>
    </row>
    <row r="738" spans="29:42" ht="14.5">
      <c r="AC738" s="3"/>
      <c r="AD738" s="3"/>
      <c r="AP738" s="53"/>
    </row>
    <row r="739" spans="29:42" ht="14.5">
      <c r="AC739" s="3"/>
      <c r="AD739" s="3"/>
      <c r="AP739" s="53"/>
    </row>
    <row r="740" spans="29:42" ht="14.5">
      <c r="AC740" s="3"/>
      <c r="AD740" s="3"/>
      <c r="AP740" s="53"/>
    </row>
    <row r="741" spans="29:42" ht="14.5">
      <c r="AC741" s="3"/>
      <c r="AD741" s="3"/>
      <c r="AP741" s="53"/>
    </row>
    <row r="742" spans="29:42" ht="14.5">
      <c r="AC742" s="3"/>
      <c r="AD742" s="3"/>
      <c r="AP742" s="53"/>
    </row>
    <row r="743" spans="29:42" ht="14.5">
      <c r="AC743" s="3"/>
      <c r="AD743" s="3"/>
      <c r="AP743" s="53"/>
    </row>
    <row r="744" spans="29:42" ht="14.5">
      <c r="AC744" s="3"/>
      <c r="AD744" s="3"/>
      <c r="AP744" s="53"/>
    </row>
    <row r="745" spans="29:42" ht="14.5">
      <c r="AC745" s="3"/>
      <c r="AD745" s="3"/>
      <c r="AP745" s="53"/>
    </row>
    <row r="746" spans="29:42" ht="14.5">
      <c r="AC746" s="3"/>
      <c r="AD746" s="3"/>
      <c r="AP746" s="53"/>
    </row>
    <row r="747" spans="29:42" ht="14.5">
      <c r="AC747" s="3"/>
      <c r="AD747" s="3"/>
      <c r="AP747" s="53"/>
    </row>
    <row r="748" spans="29:42" ht="14.5">
      <c r="AC748" s="3"/>
      <c r="AD748" s="3"/>
      <c r="AP748" s="53"/>
    </row>
    <row r="749" spans="29:42" ht="14.5">
      <c r="AC749" s="3"/>
      <c r="AD749" s="3"/>
      <c r="AP749" s="53"/>
    </row>
    <row r="750" spans="29:42" ht="14.5">
      <c r="AC750" s="3"/>
      <c r="AD750" s="3"/>
      <c r="AP750" s="53"/>
    </row>
    <row r="751" spans="29:42" ht="14.5">
      <c r="AC751" s="3"/>
      <c r="AD751" s="3"/>
      <c r="AP751" s="53"/>
    </row>
    <row r="752" spans="29:42" ht="14.5">
      <c r="AC752" s="3"/>
      <c r="AD752" s="3"/>
      <c r="AP752" s="53"/>
    </row>
    <row r="753" spans="29:42" ht="14.5">
      <c r="AC753" s="3"/>
      <c r="AD753" s="3"/>
      <c r="AP753" s="53"/>
    </row>
    <row r="754" spans="29:42" ht="14.5">
      <c r="AC754" s="3"/>
      <c r="AD754" s="3"/>
      <c r="AP754" s="53"/>
    </row>
    <row r="755" spans="29:42" ht="14.5">
      <c r="AC755" s="3"/>
      <c r="AD755" s="3"/>
      <c r="AP755" s="53"/>
    </row>
    <row r="756" spans="29:42" ht="14.5">
      <c r="AC756" s="3"/>
      <c r="AD756" s="3"/>
      <c r="AP756" s="53"/>
    </row>
    <row r="757" spans="29:42" ht="14.5">
      <c r="AC757" s="3"/>
      <c r="AD757" s="3"/>
      <c r="AP757" s="53"/>
    </row>
    <row r="758" spans="29:42" ht="14.5">
      <c r="AC758" s="3"/>
      <c r="AD758" s="3"/>
      <c r="AP758" s="53"/>
    </row>
    <row r="759" spans="29:42" ht="14.5">
      <c r="AC759" s="3"/>
      <c r="AD759" s="3"/>
      <c r="AP759" s="53"/>
    </row>
    <row r="760" spans="29:42" ht="14.5">
      <c r="AC760" s="3"/>
      <c r="AD760" s="3"/>
      <c r="AP760" s="53"/>
    </row>
    <row r="761" spans="29:42" ht="14.5">
      <c r="AC761" s="3"/>
      <c r="AD761" s="3"/>
      <c r="AP761" s="53"/>
    </row>
    <row r="762" spans="29:42" ht="14.5">
      <c r="AC762" s="3"/>
      <c r="AD762" s="3"/>
      <c r="AP762" s="53"/>
    </row>
    <row r="763" spans="29:42" ht="14.5">
      <c r="AC763" s="3"/>
      <c r="AD763" s="3"/>
      <c r="AP763" s="53"/>
    </row>
    <row r="764" spans="29:42" ht="14.5">
      <c r="AC764" s="3"/>
      <c r="AD764" s="3"/>
      <c r="AP764" s="53"/>
    </row>
    <row r="765" spans="29:42" ht="14.5">
      <c r="AC765" s="3"/>
      <c r="AD765" s="3"/>
      <c r="AP765" s="53"/>
    </row>
    <row r="766" spans="29:42" ht="14.5">
      <c r="AC766" s="3"/>
      <c r="AD766" s="3"/>
      <c r="AP766" s="53"/>
    </row>
    <row r="767" spans="29:42" ht="14.5">
      <c r="AC767" s="3"/>
      <c r="AD767" s="3"/>
      <c r="AP767" s="53"/>
    </row>
    <row r="768" spans="29:42" ht="14.5">
      <c r="AC768" s="3"/>
      <c r="AD768" s="3"/>
      <c r="AP768" s="53"/>
    </row>
    <row r="769" spans="29:42" ht="14.5">
      <c r="AC769" s="3"/>
      <c r="AD769" s="3"/>
      <c r="AP769" s="53"/>
    </row>
    <row r="770" spans="29:42" ht="14.5">
      <c r="AC770" s="3"/>
      <c r="AD770" s="3"/>
      <c r="AP770" s="53"/>
    </row>
    <row r="771" spans="29:42" ht="14.5">
      <c r="AC771" s="3"/>
      <c r="AD771" s="3"/>
      <c r="AP771" s="53"/>
    </row>
    <row r="772" spans="29:42" ht="14.5">
      <c r="AC772" s="3"/>
      <c r="AD772" s="3"/>
      <c r="AP772" s="53"/>
    </row>
    <row r="773" spans="29:42" ht="14.5">
      <c r="AC773" s="3"/>
      <c r="AD773" s="3"/>
      <c r="AP773" s="53"/>
    </row>
    <row r="774" spans="29:42" ht="14.5">
      <c r="AC774" s="3"/>
      <c r="AD774" s="3"/>
      <c r="AP774" s="53"/>
    </row>
    <row r="775" spans="29:42" ht="14.5">
      <c r="AC775" s="3"/>
      <c r="AD775" s="3"/>
      <c r="AP775" s="53"/>
    </row>
    <row r="776" spans="29:42" ht="14.5">
      <c r="AC776" s="3"/>
      <c r="AD776" s="3"/>
      <c r="AP776" s="53"/>
    </row>
    <row r="777" spans="29:42" ht="14.5">
      <c r="AC777" s="3"/>
      <c r="AD777" s="3"/>
      <c r="AP777" s="53"/>
    </row>
    <row r="778" spans="29:42" ht="14.5">
      <c r="AC778" s="3"/>
      <c r="AD778" s="3"/>
      <c r="AP778" s="53"/>
    </row>
    <row r="779" spans="29:42" ht="14.5">
      <c r="AC779" s="3"/>
      <c r="AD779" s="3"/>
      <c r="AP779" s="53"/>
    </row>
    <row r="780" spans="29:42" ht="14.5">
      <c r="AC780" s="3"/>
      <c r="AD780" s="3"/>
      <c r="AP780" s="53"/>
    </row>
    <row r="781" spans="29:42" ht="14.5">
      <c r="AC781" s="3"/>
      <c r="AD781" s="3"/>
      <c r="AP781" s="53"/>
    </row>
    <row r="782" spans="29:42" ht="14.5">
      <c r="AC782" s="3"/>
      <c r="AD782" s="3"/>
      <c r="AP782" s="53"/>
    </row>
    <row r="783" spans="29:42" ht="14.5">
      <c r="AC783" s="3"/>
      <c r="AD783" s="3"/>
      <c r="AP783" s="53"/>
    </row>
    <row r="784" spans="29:42" ht="14.5">
      <c r="AC784" s="3"/>
      <c r="AD784" s="3"/>
      <c r="AP784" s="53"/>
    </row>
    <row r="785" spans="29:42" ht="14.5">
      <c r="AC785" s="3"/>
      <c r="AD785" s="3"/>
      <c r="AP785" s="53"/>
    </row>
    <row r="786" spans="29:42" ht="14.5">
      <c r="AC786" s="3"/>
      <c r="AD786" s="3"/>
      <c r="AP786" s="53"/>
    </row>
    <row r="787" spans="29:42" ht="14.5">
      <c r="AC787" s="3"/>
      <c r="AD787" s="3"/>
      <c r="AP787" s="53"/>
    </row>
    <row r="788" spans="29:42" ht="14.5">
      <c r="AC788" s="3"/>
      <c r="AD788" s="3"/>
      <c r="AP788" s="53"/>
    </row>
    <row r="789" spans="29:42" ht="14.5">
      <c r="AC789" s="3"/>
      <c r="AD789" s="3"/>
      <c r="AP789" s="53"/>
    </row>
    <row r="790" spans="29:42" ht="14.5">
      <c r="AC790" s="3"/>
      <c r="AD790" s="3"/>
      <c r="AP790" s="53"/>
    </row>
    <row r="791" spans="29:42" ht="14.5">
      <c r="AC791" s="3"/>
      <c r="AD791" s="3"/>
      <c r="AP791" s="53"/>
    </row>
    <row r="792" spans="29:42" ht="14.5">
      <c r="AC792" s="3"/>
      <c r="AD792" s="3"/>
      <c r="AP792" s="53"/>
    </row>
    <row r="793" spans="29:42" ht="14.5">
      <c r="AC793" s="3"/>
      <c r="AD793" s="3"/>
      <c r="AP793" s="53"/>
    </row>
    <row r="794" spans="29:42" ht="14.5">
      <c r="AC794" s="3"/>
      <c r="AD794" s="3"/>
      <c r="AP794" s="53"/>
    </row>
    <row r="795" spans="29:42" ht="14.5">
      <c r="AC795" s="3"/>
      <c r="AD795" s="3"/>
      <c r="AP795" s="53"/>
    </row>
    <row r="796" spans="29:42" ht="14.5">
      <c r="AC796" s="3"/>
      <c r="AD796" s="3"/>
      <c r="AP796" s="53"/>
    </row>
    <row r="797" spans="29:42" ht="14.5">
      <c r="AC797" s="3"/>
      <c r="AD797" s="3"/>
      <c r="AP797" s="53"/>
    </row>
    <row r="798" spans="29:42" ht="14.5">
      <c r="AC798" s="3"/>
      <c r="AD798" s="3"/>
      <c r="AP798" s="53"/>
    </row>
    <row r="799" spans="29:42" ht="14.5">
      <c r="AC799" s="3"/>
      <c r="AD799" s="3"/>
      <c r="AP799" s="53"/>
    </row>
    <row r="800" spans="29:42" ht="14.5">
      <c r="AC800" s="3"/>
      <c r="AD800" s="3"/>
      <c r="AP800" s="53"/>
    </row>
    <row r="801" spans="29:42" ht="14.5">
      <c r="AC801" s="3"/>
      <c r="AD801" s="3"/>
      <c r="AP801" s="53"/>
    </row>
    <row r="802" spans="29:42" ht="14.5">
      <c r="AC802" s="3"/>
      <c r="AD802" s="3"/>
      <c r="AP802" s="53"/>
    </row>
    <row r="803" spans="29:42" ht="14.5">
      <c r="AC803" s="3"/>
      <c r="AD803" s="3"/>
      <c r="AP803" s="53"/>
    </row>
    <row r="804" spans="29:42" ht="14.5">
      <c r="AC804" s="3"/>
      <c r="AD804" s="3"/>
      <c r="AP804" s="53"/>
    </row>
    <row r="805" spans="29:42" ht="14.5">
      <c r="AC805" s="3"/>
      <c r="AD805" s="3"/>
      <c r="AP805" s="53"/>
    </row>
    <row r="806" spans="29:42" ht="14.5">
      <c r="AC806" s="3"/>
      <c r="AD806" s="3"/>
      <c r="AP806" s="53"/>
    </row>
    <row r="807" spans="29:42" ht="14.5">
      <c r="AC807" s="3"/>
      <c r="AD807" s="3"/>
      <c r="AP807" s="53"/>
    </row>
    <row r="808" spans="29:42" ht="14.5">
      <c r="AC808" s="3"/>
      <c r="AD808" s="3"/>
      <c r="AP808" s="53"/>
    </row>
    <row r="809" spans="29:42" ht="14.5">
      <c r="AC809" s="3"/>
      <c r="AD809" s="3"/>
      <c r="AP809" s="53"/>
    </row>
    <row r="810" spans="29:42" ht="14.5">
      <c r="AC810" s="3"/>
      <c r="AD810" s="3"/>
      <c r="AP810" s="53"/>
    </row>
    <row r="811" spans="29:42" ht="14.5">
      <c r="AC811" s="3"/>
      <c r="AD811" s="3"/>
      <c r="AP811" s="53"/>
    </row>
    <row r="812" spans="29:42" ht="14.5">
      <c r="AC812" s="3"/>
      <c r="AD812" s="3"/>
      <c r="AP812" s="53"/>
    </row>
    <row r="813" spans="29:42" ht="14.5">
      <c r="AC813" s="3"/>
      <c r="AD813" s="3"/>
      <c r="AP813" s="53"/>
    </row>
    <row r="814" spans="29:42" ht="14.5">
      <c r="AC814" s="3"/>
      <c r="AD814" s="3"/>
      <c r="AP814" s="53"/>
    </row>
    <row r="815" spans="29:42" ht="14.5">
      <c r="AC815" s="3"/>
      <c r="AD815" s="3"/>
      <c r="AP815" s="53"/>
    </row>
    <row r="816" spans="29:42" ht="14.5">
      <c r="AC816" s="3"/>
      <c r="AD816" s="3"/>
      <c r="AP816" s="53"/>
    </row>
    <row r="817" spans="29:42" ht="14.5">
      <c r="AC817" s="3"/>
      <c r="AD817" s="3"/>
      <c r="AP817" s="53"/>
    </row>
    <row r="818" spans="29:42" ht="14.5">
      <c r="AC818" s="3"/>
      <c r="AD818" s="3"/>
      <c r="AP818" s="53"/>
    </row>
    <row r="819" spans="29:42" ht="14.5">
      <c r="AC819" s="3"/>
      <c r="AD819" s="3"/>
      <c r="AP819" s="53"/>
    </row>
    <row r="820" spans="29:42" ht="14.5">
      <c r="AC820" s="3"/>
      <c r="AD820" s="3"/>
      <c r="AP820" s="53"/>
    </row>
    <row r="821" spans="29:42" ht="14.5">
      <c r="AC821" s="3"/>
      <c r="AD821" s="3"/>
      <c r="AP821" s="53"/>
    </row>
    <row r="822" spans="29:42" ht="14.5">
      <c r="AC822" s="3"/>
      <c r="AD822" s="3"/>
      <c r="AP822" s="53"/>
    </row>
    <row r="823" spans="29:42" ht="14.5">
      <c r="AC823" s="3"/>
      <c r="AD823" s="3"/>
      <c r="AP823" s="53"/>
    </row>
    <row r="824" spans="29:42" ht="14.5">
      <c r="AC824" s="3"/>
      <c r="AD824" s="3"/>
      <c r="AP824" s="53"/>
    </row>
    <row r="825" spans="29:42" ht="14.5">
      <c r="AC825" s="3"/>
      <c r="AD825" s="3"/>
      <c r="AP825" s="53"/>
    </row>
    <row r="826" spans="29:42" ht="14.5">
      <c r="AC826" s="3"/>
      <c r="AD826" s="3"/>
      <c r="AP826" s="53"/>
    </row>
    <row r="827" spans="29:42" ht="14.5">
      <c r="AC827" s="3"/>
      <c r="AD827" s="3"/>
      <c r="AP827" s="53"/>
    </row>
    <row r="828" spans="29:42" ht="14.5">
      <c r="AC828" s="3"/>
      <c r="AD828" s="3"/>
      <c r="AP828" s="53"/>
    </row>
    <row r="829" spans="29:42" ht="14.5">
      <c r="AC829" s="3"/>
      <c r="AD829" s="3"/>
      <c r="AP829" s="53"/>
    </row>
    <row r="830" spans="29:42" ht="14.5">
      <c r="AC830" s="3"/>
      <c r="AD830" s="3"/>
      <c r="AP830" s="53"/>
    </row>
    <row r="831" spans="29:42" ht="14.5">
      <c r="AC831" s="3"/>
      <c r="AD831" s="3"/>
      <c r="AP831" s="53"/>
    </row>
    <row r="832" spans="29:42" ht="14.5">
      <c r="AC832" s="3"/>
      <c r="AD832" s="3"/>
      <c r="AP832" s="53"/>
    </row>
    <row r="833" spans="29:42" ht="14.5">
      <c r="AC833" s="3"/>
      <c r="AD833" s="3"/>
      <c r="AP833" s="53"/>
    </row>
    <row r="834" spans="29:42" ht="14.5">
      <c r="AC834" s="3"/>
      <c r="AD834" s="3"/>
      <c r="AP834" s="53"/>
    </row>
    <row r="835" spans="29:42" ht="14.5">
      <c r="AC835" s="3"/>
      <c r="AD835" s="3"/>
      <c r="AP835" s="53"/>
    </row>
    <row r="836" spans="29:42" ht="14.5">
      <c r="AC836" s="3"/>
      <c r="AD836" s="3"/>
      <c r="AP836" s="53"/>
    </row>
    <row r="837" spans="29:42" ht="14.5">
      <c r="AC837" s="3"/>
      <c r="AD837" s="3"/>
      <c r="AP837" s="53"/>
    </row>
    <row r="838" spans="29:42" ht="14.5">
      <c r="AC838" s="3"/>
      <c r="AD838" s="3"/>
      <c r="AP838" s="53"/>
    </row>
    <row r="839" spans="29:42" ht="14.5">
      <c r="AC839" s="3"/>
      <c r="AD839" s="3"/>
      <c r="AP839" s="53"/>
    </row>
    <row r="840" spans="29:42" ht="14.5">
      <c r="AC840" s="3"/>
      <c r="AD840" s="3"/>
      <c r="AP840" s="53"/>
    </row>
    <row r="841" spans="29:42" ht="14.5">
      <c r="AC841" s="3"/>
      <c r="AD841" s="3"/>
      <c r="AP841" s="53"/>
    </row>
    <row r="842" spans="29:42" ht="14.5">
      <c r="AC842" s="3"/>
      <c r="AD842" s="3"/>
      <c r="AP842" s="53"/>
    </row>
    <row r="843" spans="29:42" ht="14.5">
      <c r="AC843" s="3"/>
      <c r="AD843" s="3"/>
      <c r="AP843" s="53"/>
    </row>
    <row r="844" spans="29:42" ht="14.5">
      <c r="AC844" s="3"/>
      <c r="AD844" s="3"/>
      <c r="AP844" s="53"/>
    </row>
    <row r="845" spans="29:42" ht="14.5">
      <c r="AC845" s="3"/>
      <c r="AD845" s="3"/>
      <c r="AP845" s="53"/>
    </row>
    <row r="846" spans="29:42" ht="14.5">
      <c r="AC846" s="3"/>
      <c r="AD846" s="3"/>
      <c r="AP846" s="53"/>
    </row>
    <row r="847" spans="29:42" ht="14.5">
      <c r="AC847" s="3"/>
      <c r="AD847" s="3"/>
      <c r="AP847" s="53"/>
    </row>
    <row r="848" spans="29:42" ht="14.5">
      <c r="AC848" s="3"/>
      <c r="AD848" s="3"/>
      <c r="AP848" s="53"/>
    </row>
    <row r="849" spans="29:42" ht="14.5">
      <c r="AC849" s="3"/>
      <c r="AD849" s="3"/>
      <c r="AP849" s="53"/>
    </row>
    <row r="850" spans="29:42" ht="14.5">
      <c r="AC850" s="3"/>
      <c r="AD850" s="3"/>
      <c r="AP850" s="53"/>
    </row>
    <row r="851" spans="29:42" ht="14.5">
      <c r="AC851" s="3"/>
      <c r="AD851" s="3"/>
      <c r="AP851" s="53"/>
    </row>
    <row r="852" spans="29:42" ht="14.5">
      <c r="AC852" s="3"/>
      <c r="AD852" s="3"/>
      <c r="AP852" s="53"/>
    </row>
    <row r="853" spans="29:42" ht="14.5">
      <c r="AC853" s="3"/>
      <c r="AD853" s="3"/>
      <c r="AP853" s="53"/>
    </row>
    <row r="854" spans="29:42" ht="14.5">
      <c r="AC854" s="3"/>
      <c r="AD854" s="3"/>
      <c r="AP854" s="53"/>
    </row>
    <row r="855" spans="29:42" ht="14.5">
      <c r="AC855" s="3"/>
      <c r="AD855" s="3"/>
      <c r="AP855" s="53"/>
    </row>
    <row r="856" spans="29:42" ht="14.5">
      <c r="AC856" s="3"/>
      <c r="AD856" s="3"/>
      <c r="AP856" s="53"/>
    </row>
    <row r="857" spans="29:42" ht="14.5">
      <c r="AC857" s="3"/>
      <c r="AD857" s="3"/>
      <c r="AP857" s="53"/>
    </row>
    <row r="858" spans="29:42" ht="14.5">
      <c r="AC858" s="3"/>
      <c r="AD858" s="3"/>
      <c r="AP858" s="53"/>
    </row>
    <row r="859" spans="29:42" ht="14.5">
      <c r="AC859" s="3"/>
      <c r="AD859" s="3"/>
      <c r="AP859" s="53"/>
    </row>
    <row r="860" spans="29:42" ht="14.5">
      <c r="AC860" s="3"/>
      <c r="AD860" s="3"/>
      <c r="AP860" s="53"/>
    </row>
    <row r="861" spans="29:42" ht="14.5">
      <c r="AC861" s="3"/>
      <c r="AD861" s="3"/>
      <c r="AP861" s="53"/>
    </row>
    <row r="862" spans="29:42" ht="14.5">
      <c r="AC862" s="3"/>
      <c r="AD862" s="3"/>
      <c r="AP862" s="53"/>
    </row>
    <row r="863" spans="29:42" ht="14.5">
      <c r="AC863" s="3"/>
      <c r="AD863" s="3"/>
      <c r="AP863" s="53"/>
    </row>
    <row r="864" spans="29:42" ht="14.5">
      <c r="AC864" s="3"/>
      <c r="AD864" s="3"/>
      <c r="AP864" s="53"/>
    </row>
    <row r="865" spans="29:42" ht="14.5">
      <c r="AC865" s="3"/>
      <c r="AD865" s="3"/>
      <c r="AP865" s="53"/>
    </row>
    <row r="866" spans="29:42" ht="14.5">
      <c r="AC866" s="3"/>
      <c r="AD866" s="3"/>
      <c r="AP866" s="53"/>
    </row>
    <row r="867" spans="29:42" ht="14.5">
      <c r="AC867" s="3"/>
      <c r="AD867" s="3"/>
      <c r="AP867" s="53"/>
    </row>
    <row r="868" spans="29:42" ht="14.5">
      <c r="AC868" s="3"/>
      <c r="AD868" s="3"/>
      <c r="AP868" s="53"/>
    </row>
    <row r="869" spans="29:42" ht="14.5">
      <c r="AC869" s="3"/>
      <c r="AD869" s="3"/>
      <c r="AP869" s="53"/>
    </row>
    <row r="870" spans="29:42" ht="14.5">
      <c r="AC870" s="3"/>
      <c r="AD870" s="3"/>
      <c r="AP870" s="53"/>
    </row>
    <row r="871" spans="29:42" ht="14.5">
      <c r="AC871" s="3"/>
      <c r="AD871" s="3"/>
      <c r="AP871" s="53"/>
    </row>
    <row r="872" spans="29:42" ht="14.5">
      <c r="AC872" s="3"/>
      <c r="AD872" s="3"/>
      <c r="AP872" s="53"/>
    </row>
    <row r="873" spans="29:42" ht="14.5">
      <c r="AC873" s="3"/>
      <c r="AD873" s="3"/>
      <c r="AP873" s="53"/>
    </row>
    <row r="874" spans="29:42" ht="14.5">
      <c r="AC874" s="3"/>
      <c r="AD874" s="3"/>
      <c r="AP874" s="53"/>
    </row>
    <row r="875" spans="29:42" ht="14.5">
      <c r="AC875" s="3"/>
      <c r="AD875" s="3"/>
      <c r="AP875" s="53"/>
    </row>
    <row r="876" spans="29:42" ht="14.5">
      <c r="AC876" s="3"/>
      <c r="AD876" s="3"/>
      <c r="AP876" s="53"/>
    </row>
    <row r="877" spans="29:42" ht="14.5">
      <c r="AC877" s="3"/>
      <c r="AD877" s="3"/>
      <c r="AP877" s="53"/>
    </row>
    <row r="878" spans="29:42" ht="14.5">
      <c r="AC878" s="3"/>
      <c r="AD878" s="3"/>
      <c r="AP878" s="53"/>
    </row>
    <row r="879" spans="29:42" ht="14.5">
      <c r="AC879" s="3"/>
      <c r="AD879" s="3"/>
      <c r="AP879" s="53"/>
    </row>
    <row r="880" spans="29:42" ht="14.5">
      <c r="AC880" s="3"/>
      <c r="AD880" s="3"/>
      <c r="AP880" s="53"/>
    </row>
    <row r="881" spans="29:42" ht="14.5">
      <c r="AC881" s="3"/>
      <c r="AD881" s="3"/>
      <c r="AP881" s="53"/>
    </row>
    <row r="882" spans="29:42" ht="14.5">
      <c r="AC882" s="3"/>
      <c r="AD882" s="3"/>
      <c r="AP882" s="53"/>
    </row>
    <row r="883" spans="29:42" ht="14.5">
      <c r="AC883" s="3"/>
      <c r="AD883" s="3"/>
      <c r="AP883" s="53"/>
    </row>
    <row r="884" spans="29:42" ht="14.5">
      <c r="AC884" s="3"/>
      <c r="AD884" s="3"/>
      <c r="AP884" s="53"/>
    </row>
    <row r="885" spans="29:42" ht="14.5">
      <c r="AC885" s="3"/>
      <c r="AD885" s="3"/>
      <c r="AP885" s="53"/>
    </row>
    <row r="886" spans="29:42" ht="14.5">
      <c r="AC886" s="3"/>
      <c r="AD886" s="3"/>
      <c r="AP886" s="53"/>
    </row>
    <row r="887" spans="29:42" ht="14.5">
      <c r="AC887" s="3"/>
      <c r="AD887" s="3"/>
      <c r="AP887" s="53"/>
    </row>
    <row r="888" spans="29:42" ht="14.5">
      <c r="AC888" s="3"/>
      <c r="AD888" s="3"/>
      <c r="AP888" s="53"/>
    </row>
    <row r="889" spans="29:42" ht="14.5">
      <c r="AC889" s="3"/>
      <c r="AD889" s="3"/>
      <c r="AP889" s="53"/>
    </row>
    <row r="890" spans="29:42" ht="14.5">
      <c r="AC890" s="3"/>
      <c r="AD890" s="3"/>
      <c r="AP890" s="53"/>
    </row>
    <row r="891" spans="29:42" ht="14.5">
      <c r="AC891" s="3"/>
      <c r="AD891" s="3"/>
      <c r="AP891" s="53"/>
    </row>
    <row r="892" spans="29:42" ht="14.5">
      <c r="AC892" s="3"/>
      <c r="AD892" s="3"/>
      <c r="AP892" s="53"/>
    </row>
    <row r="893" spans="29:42" ht="14.5">
      <c r="AC893" s="3"/>
      <c r="AD893" s="3"/>
      <c r="AP893" s="53"/>
    </row>
    <row r="894" spans="29:42" ht="14.5">
      <c r="AC894" s="3"/>
      <c r="AD894" s="3"/>
      <c r="AP894" s="53"/>
    </row>
    <row r="895" spans="29:42" ht="14.5">
      <c r="AC895" s="3"/>
      <c r="AD895" s="3"/>
      <c r="AP895" s="53"/>
    </row>
    <row r="896" spans="29:42" ht="14.5">
      <c r="AC896" s="3"/>
      <c r="AD896" s="3"/>
      <c r="AP896" s="53"/>
    </row>
    <row r="897" spans="29:42" ht="14.5">
      <c r="AC897" s="3"/>
      <c r="AD897" s="3"/>
      <c r="AP897" s="53"/>
    </row>
    <row r="898" spans="29:42" ht="14.5">
      <c r="AC898" s="3"/>
      <c r="AD898" s="3"/>
      <c r="AP898" s="53"/>
    </row>
    <row r="899" spans="29:42" ht="14.5">
      <c r="AC899" s="3"/>
      <c r="AD899" s="3"/>
      <c r="AP899" s="53"/>
    </row>
    <row r="900" spans="29:42" ht="14.5">
      <c r="AC900" s="3"/>
      <c r="AD900" s="3"/>
      <c r="AP900" s="53"/>
    </row>
    <row r="901" spans="29:42" ht="14.5">
      <c r="AC901" s="3"/>
      <c r="AD901" s="3"/>
      <c r="AP901" s="53"/>
    </row>
    <row r="902" spans="29:42" ht="14.5">
      <c r="AC902" s="3"/>
      <c r="AD902" s="3"/>
      <c r="AP902" s="53"/>
    </row>
    <row r="903" spans="29:42" ht="14.5">
      <c r="AC903" s="3"/>
      <c r="AD903" s="3"/>
      <c r="AP903" s="53"/>
    </row>
    <row r="904" spans="29:42" ht="14.5">
      <c r="AC904" s="3"/>
      <c r="AD904" s="3"/>
      <c r="AP904" s="53"/>
    </row>
    <row r="905" spans="29:42" ht="14.5">
      <c r="AC905" s="3"/>
      <c r="AD905" s="3"/>
      <c r="AP905" s="53"/>
    </row>
    <row r="906" spans="29:42" ht="14.5">
      <c r="AC906" s="3"/>
      <c r="AD906" s="3"/>
      <c r="AP906" s="53"/>
    </row>
    <row r="907" spans="29:42" ht="14.5">
      <c r="AC907" s="3"/>
      <c r="AD907" s="3"/>
      <c r="AP907" s="53"/>
    </row>
    <row r="908" spans="29:42" ht="14.5">
      <c r="AC908" s="3"/>
      <c r="AD908" s="3"/>
      <c r="AP908" s="53"/>
    </row>
    <row r="909" spans="29:42" ht="14.5">
      <c r="AC909" s="3"/>
      <c r="AD909" s="3"/>
      <c r="AP909" s="53"/>
    </row>
    <row r="910" spans="29:42" ht="14.5">
      <c r="AC910" s="3"/>
      <c r="AD910" s="3"/>
      <c r="AP910" s="53"/>
    </row>
    <row r="911" spans="29:42" ht="14.5">
      <c r="AC911" s="3"/>
      <c r="AD911" s="3"/>
      <c r="AP911" s="53"/>
    </row>
    <row r="912" spans="29:42" ht="14.5">
      <c r="AC912" s="3"/>
      <c r="AD912" s="3"/>
      <c r="AP912" s="53"/>
    </row>
    <row r="913" spans="29:42" ht="14.5">
      <c r="AC913" s="3"/>
      <c r="AD913" s="3"/>
      <c r="AP913" s="53"/>
    </row>
    <row r="914" spans="29:42" ht="14.5">
      <c r="AC914" s="3"/>
      <c r="AD914" s="3"/>
      <c r="AP914" s="53"/>
    </row>
    <row r="915" spans="29:42" ht="14.5">
      <c r="AC915" s="3"/>
      <c r="AD915" s="3"/>
      <c r="AP915" s="53"/>
    </row>
    <row r="916" spans="29:42" ht="14.5">
      <c r="AC916" s="3"/>
      <c r="AD916" s="3"/>
      <c r="AP916" s="53"/>
    </row>
    <row r="917" spans="29:42" ht="14.5">
      <c r="AC917" s="3"/>
      <c r="AD917" s="3"/>
      <c r="AP917" s="53"/>
    </row>
    <row r="918" spans="29:42" ht="14.5">
      <c r="AC918" s="3"/>
      <c r="AD918" s="3"/>
      <c r="AP918" s="53"/>
    </row>
    <row r="919" spans="29:42" ht="14.5">
      <c r="AC919" s="3"/>
      <c r="AD919" s="3"/>
      <c r="AP919" s="53"/>
    </row>
    <row r="920" spans="29:42" ht="14.5">
      <c r="AC920" s="3"/>
      <c r="AD920" s="3"/>
      <c r="AP920" s="53"/>
    </row>
    <row r="921" spans="29:42" ht="14.5">
      <c r="AC921" s="3"/>
      <c r="AD921" s="3"/>
      <c r="AP921" s="53"/>
    </row>
    <row r="922" spans="29:42" ht="14.5">
      <c r="AC922" s="3"/>
      <c r="AD922" s="3"/>
      <c r="AP922" s="53"/>
    </row>
    <row r="923" spans="29:42" ht="14.5">
      <c r="AC923" s="3"/>
      <c r="AD923" s="3"/>
      <c r="AP923" s="53"/>
    </row>
    <row r="924" spans="29:42" ht="14.5">
      <c r="AC924" s="3"/>
      <c r="AD924" s="3"/>
      <c r="AP924" s="53"/>
    </row>
    <row r="925" spans="29:42" ht="14.5">
      <c r="AC925" s="3"/>
      <c r="AD925" s="3"/>
      <c r="AP925" s="53"/>
    </row>
    <row r="926" spans="29:42" ht="14.5">
      <c r="AC926" s="3"/>
      <c r="AD926" s="3"/>
      <c r="AP926" s="53"/>
    </row>
    <row r="927" spans="29:42" ht="14.5">
      <c r="AC927" s="3"/>
      <c r="AD927" s="3"/>
      <c r="AP927" s="53"/>
    </row>
    <row r="928" spans="29:42" ht="14.5">
      <c r="AC928" s="3"/>
      <c r="AD928" s="3"/>
      <c r="AP928" s="53"/>
    </row>
    <row r="929" spans="29:42" ht="14.5">
      <c r="AC929" s="3"/>
      <c r="AD929" s="3"/>
      <c r="AP929" s="53"/>
    </row>
    <row r="930" spans="29:42" ht="14.5">
      <c r="AC930" s="3"/>
      <c r="AD930" s="3"/>
      <c r="AP930" s="53"/>
    </row>
    <row r="931" spans="29:42" ht="14.5">
      <c r="AC931" s="3"/>
      <c r="AD931" s="3"/>
      <c r="AP931" s="53"/>
    </row>
    <row r="932" spans="29:42" ht="14.5">
      <c r="AC932" s="3"/>
      <c r="AD932" s="3"/>
      <c r="AP932" s="53"/>
    </row>
    <row r="933" spans="29:42" ht="14.5">
      <c r="AC933" s="3"/>
      <c r="AD933" s="3"/>
      <c r="AP933" s="53"/>
    </row>
    <row r="934" spans="29:42" ht="14.5">
      <c r="AC934" s="3"/>
      <c r="AD934" s="3"/>
      <c r="AP934" s="53"/>
    </row>
    <row r="935" spans="29:42" ht="14.5">
      <c r="AC935" s="3"/>
      <c r="AD935" s="3"/>
      <c r="AP935" s="53"/>
    </row>
    <row r="936" spans="29:42" ht="14.5">
      <c r="AC936" s="3"/>
      <c r="AD936" s="3"/>
      <c r="AP936" s="53"/>
    </row>
    <row r="937" spans="29:42" ht="14.5">
      <c r="AC937" s="3"/>
      <c r="AD937" s="3"/>
      <c r="AP937" s="53"/>
    </row>
    <row r="938" spans="29:42" ht="14.5">
      <c r="AC938" s="3"/>
      <c r="AD938" s="3"/>
      <c r="AP938" s="53"/>
    </row>
    <row r="939" spans="29:42" ht="14.5">
      <c r="AC939" s="3"/>
      <c r="AD939" s="3"/>
      <c r="AP939" s="53"/>
    </row>
    <row r="940" spans="29:42" ht="14.5">
      <c r="AC940" s="3"/>
      <c r="AD940" s="3"/>
      <c r="AP940" s="53"/>
    </row>
    <row r="941" spans="29:42" ht="14.5">
      <c r="AC941" s="3"/>
      <c r="AD941" s="3"/>
      <c r="AP941" s="53"/>
    </row>
    <row r="942" spans="29:42" ht="14.5">
      <c r="AC942" s="3"/>
      <c r="AD942" s="3"/>
      <c r="AP942" s="53"/>
    </row>
    <row r="943" spans="29:42" ht="14.5">
      <c r="AC943" s="3"/>
      <c r="AD943" s="3"/>
      <c r="AP943" s="53"/>
    </row>
    <row r="944" spans="29:42" ht="14.5">
      <c r="AC944" s="3"/>
      <c r="AD944" s="3"/>
      <c r="AP944" s="53"/>
    </row>
    <row r="945" spans="29:42" ht="14.5">
      <c r="AC945" s="3"/>
      <c r="AD945" s="3"/>
      <c r="AP945" s="53"/>
    </row>
    <row r="946" spans="29:42" ht="14.5">
      <c r="AC946" s="3"/>
      <c r="AD946" s="3"/>
      <c r="AP946" s="53"/>
    </row>
    <row r="947" spans="29:42" ht="14.5">
      <c r="AC947" s="3"/>
      <c r="AD947" s="3"/>
      <c r="AP947" s="53"/>
    </row>
    <row r="948" spans="29:42" ht="14.5">
      <c r="AC948" s="3"/>
      <c r="AD948" s="3"/>
      <c r="AP948" s="53"/>
    </row>
    <row r="949" spans="29:42" ht="14.5">
      <c r="AC949" s="3"/>
      <c r="AD949" s="3"/>
      <c r="AP949" s="53"/>
    </row>
    <row r="950" spans="29:42" ht="14.5">
      <c r="AC950" s="3"/>
      <c r="AD950" s="3"/>
      <c r="AP950" s="53"/>
    </row>
    <row r="951" spans="29:42" ht="14.5">
      <c r="AC951" s="3"/>
      <c r="AD951" s="3"/>
      <c r="AP951" s="53"/>
    </row>
    <row r="952" spans="29:42" ht="14.5">
      <c r="AC952" s="3"/>
      <c r="AD952" s="3"/>
      <c r="AP952" s="53"/>
    </row>
    <row r="953" spans="29:42" ht="14.5">
      <c r="AC953" s="3"/>
      <c r="AD953" s="3"/>
      <c r="AP953" s="53"/>
    </row>
    <row r="954" spans="29:42" ht="14.5">
      <c r="AC954" s="3"/>
      <c r="AD954" s="3"/>
      <c r="AP954" s="53"/>
    </row>
    <row r="955" spans="29:42" ht="14.5">
      <c r="AC955" s="3"/>
      <c r="AD955" s="3"/>
      <c r="AP955" s="53"/>
    </row>
    <row r="956" spans="29:42" ht="14.5">
      <c r="AC956" s="3"/>
      <c r="AD956" s="3"/>
      <c r="AP956" s="53"/>
    </row>
    <row r="957" spans="29:42" ht="14.5">
      <c r="AC957" s="3"/>
      <c r="AD957" s="3"/>
      <c r="AP957" s="53"/>
    </row>
    <row r="958" spans="29:42" ht="14.5">
      <c r="AC958" s="3"/>
      <c r="AD958" s="3"/>
      <c r="AP958" s="53"/>
    </row>
    <row r="959" spans="29:42" ht="14.5">
      <c r="AC959" s="3"/>
      <c r="AD959" s="3"/>
      <c r="AP959" s="53"/>
    </row>
    <row r="960" spans="29:42" ht="14.5">
      <c r="AC960" s="3"/>
      <c r="AD960" s="3"/>
      <c r="AP960" s="53"/>
    </row>
    <row r="961" spans="29:42" ht="14.5">
      <c r="AC961" s="3"/>
      <c r="AD961" s="3"/>
      <c r="AP961" s="53"/>
    </row>
    <row r="962" spans="29:42" ht="14.5">
      <c r="AC962" s="3"/>
      <c r="AD962" s="3"/>
      <c r="AP962" s="53"/>
    </row>
    <row r="963" spans="29:42" ht="14.5">
      <c r="AC963" s="3"/>
      <c r="AD963" s="3"/>
      <c r="AP963" s="53"/>
    </row>
    <row r="964" spans="29:42" ht="14.5">
      <c r="AC964" s="3"/>
      <c r="AD964" s="3"/>
      <c r="AP964" s="53"/>
    </row>
    <row r="965" spans="29:42" ht="14.5">
      <c r="AC965" s="3"/>
      <c r="AD965" s="3"/>
      <c r="AP965" s="53"/>
    </row>
    <row r="966" spans="29:42" ht="14.5">
      <c r="AC966" s="3"/>
      <c r="AD966" s="3"/>
      <c r="AP966" s="53"/>
    </row>
    <row r="967" spans="29:42" ht="14.5">
      <c r="AC967" s="3"/>
      <c r="AD967" s="3"/>
      <c r="AP967" s="53"/>
    </row>
    <row r="968" spans="29:42" ht="14.5">
      <c r="AC968" s="3"/>
      <c r="AD968" s="3"/>
      <c r="AP968" s="53"/>
    </row>
    <row r="969" spans="29:42" ht="14.5">
      <c r="AC969" s="3"/>
      <c r="AD969" s="3"/>
      <c r="AP969" s="53"/>
    </row>
    <row r="970" spans="29:42" ht="14.5">
      <c r="AC970" s="3"/>
      <c r="AD970" s="3"/>
      <c r="AP970" s="53"/>
    </row>
    <row r="971" spans="29:42" ht="14.5">
      <c r="AC971" s="3"/>
      <c r="AD971" s="3"/>
      <c r="AP971" s="53"/>
    </row>
    <row r="972" spans="29:42" ht="14.5">
      <c r="AC972" s="3"/>
      <c r="AD972" s="3"/>
      <c r="AP972" s="53"/>
    </row>
    <row r="973" spans="29:42" ht="14.5">
      <c r="AC973" s="3"/>
      <c r="AD973" s="3"/>
      <c r="AP973" s="53"/>
    </row>
    <row r="974" spans="29:42" ht="14.5">
      <c r="AC974" s="3"/>
      <c r="AD974" s="3"/>
      <c r="AP974" s="53"/>
    </row>
    <row r="975" spans="29:42" ht="14.5">
      <c r="AC975" s="3"/>
      <c r="AD975" s="3"/>
      <c r="AP975" s="53"/>
    </row>
    <row r="976" spans="29:42" ht="14.5">
      <c r="AC976" s="3"/>
      <c r="AD976" s="3"/>
      <c r="AP976" s="53"/>
    </row>
    <row r="977" spans="29:42" ht="14.5">
      <c r="AC977" s="3"/>
      <c r="AD977" s="3"/>
      <c r="AP977" s="53"/>
    </row>
    <row r="978" spans="29:42" ht="14.5">
      <c r="AC978" s="3"/>
      <c r="AD978" s="3"/>
      <c r="AP978" s="53"/>
    </row>
    <row r="979" spans="29:42" ht="14.5">
      <c r="AC979" s="3"/>
      <c r="AD979" s="3"/>
      <c r="AP979" s="53"/>
    </row>
    <row r="980" spans="29:42" ht="14.5">
      <c r="AC980" s="3"/>
      <c r="AD980" s="3"/>
      <c r="AP980" s="53"/>
    </row>
    <row r="981" spans="29:42" ht="14.5">
      <c r="AC981" s="3"/>
      <c r="AD981" s="3"/>
      <c r="AP981" s="53"/>
    </row>
    <row r="982" spans="29:42" ht="14.5">
      <c r="AC982" s="3"/>
      <c r="AD982" s="3"/>
      <c r="AP982" s="53"/>
    </row>
    <row r="983" spans="29:42" ht="14.5">
      <c r="AC983" s="3"/>
      <c r="AD983" s="3"/>
      <c r="AP983" s="53"/>
    </row>
    <row r="984" spans="29:42" ht="14.5">
      <c r="AC984" s="3"/>
      <c r="AD984" s="3"/>
      <c r="AP984" s="53"/>
    </row>
    <row r="985" spans="29:42" ht="14.5">
      <c r="AC985" s="3"/>
      <c r="AD985" s="3"/>
      <c r="AP985" s="53"/>
    </row>
    <row r="986" spans="29:42" ht="14.5">
      <c r="AC986" s="3"/>
      <c r="AD986" s="3"/>
      <c r="AP986" s="53"/>
    </row>
    <row r="987" spans="29:42" ht="14.5">
      <c r="AC987" s="3"/>
      <c r="AD987" s="3"/>
      <c r="AP987" s="53"/>
    </row>
    <row r="988" spans="29:42" ht="14.5">
      <c r="AC988" s="3"/>
      <c r="AD988" s="3"/>
      <c r="AP988" s="53"/>
    </row>
    <row r="989" spans="29:42" ht="14.5">
      <c r="AC989" s="3"/>
      <c r="AD989" s="3"/>
      <c r="AP989" s="53"/>
    </row>
    <row r="990" spans="29:42" ht="14.5">
      <c r="AC990" s="3"/>
      <c r="AD990" s="3"/>
      <c r="AP990" s="53"/>
    </row>
    <row r="991" spans="29:42" ht="14.5">
      <c r="AC991" s="3"/>
      <c r="AD991" s="3"/>
      <c r="AP991" s="53"/>
    </row>
    <row r="992" spans="29:42" ht="14.5">
      <c r="AC992" s="3"/>
      <c r="AD992" s="3"/>
      <c r="AP992" s="53"/>
    </row>
    <row r="993" spans="29:42" ht="14.5">
      <c r="AC993" s="3"/>
      <c r="AD993" s="3"/>
      <c r="AP993" s="53"/>
    </row>
    <row r="994" spans="29:42" ht="14.5">
      <c r="AC994" s="3"/>
      <c r="AD994" s="3"/>
      <c r="AP994" s="53"/>
    </row>
    <row r="995" spans="29:42" ht="14.5">
      <c r="AC995" s="3"/>
      <c r="AD995" s="3"/>
      <c r="AP995" s="53"/>
    </row>
    <row r="996" spans="29:42" ht="14.5">
      <c r="AC996" s="3"/>
      <c r="AD996" s="3"/>
      <c r="AP996" s="53"/>
    </row>
    <row r="997" spans="29:42" ht="14.5">
      <c r="AC997" s="3"/>
      <c r="AD997" s="3"/>
      <c r="AP997" s="53"/>
    </row>
    <row r="998" spans="29:42" ht="14.5">
      <c r="AC998" s="3"/>
      <c r="AD998" s="3"/>
      <c r="AP998" s="53"/>
    </row>
    <row r="999" spans="29:42" ht="14.5">
      <c r="AC999" s="3"/>
      <c r="AD999" s="3"/>
      <c r="AP999" s="53"/>
    </row>
    <row r="1000" spans="29:42" ht="14.5">
      <c r="AC1000" s="3"/>
      <c r="AD1000" s="3"/>
      <c r="AP1000" s="53"/>
    </row>
    <row r="1001" spans="29:42" ht="14.5">
      <c r="AC1001" s="3"/>
      <c r="AD1001" s="3"/>
      <c r="AP1001" s="53"/>
    </row>
    <row r="1002" spans="29:42" ht="14.5">
      <c r="AC1002" s="3"/>
      <c r="AD1002" s="3"/>
      <c r="AP1002" s="53"/>
    </row>
    <row r="1003" spans="29:42" ht="14.5">
      <c r="AC1003" s="3"/>
      <c r="AD1003" s="3"/>
      <c r="AP1003" s="53"/>
    </row>
    <row r="1004" spans="29:42" ht="14.5">
      <c r="AC1004" s="3"/>
      <c r="AD1004" s="3"/>
      <c r="AP1004" s="53"/>
    </row>
    <row r="1005" spans="29:42" ht="14.5">
      <c r="AC1005" s="3"/>
      <c r="AD1005" s="3"/>
      <c r="AP1005" s="53"/>
    </row>
    <row r="1006" spans="29:42" ht="14.5">
      <c r="AC1006" s="3"/>
      <c r="AD1006" s="3"/>
      <c r="AP1006" s="53"/>
    </row>
    <row r="1007" spans="29:42" ht="14.5">
      <c r="AC1007" s="3"/>
      <c r="AD1007" s="3"/>
      <c r="AP1007" s="53"/>
    </row>
    <row r="1008" spans="29:42" ht="14.5">
      <c r="AC1008" s="3"/>
      <c r="AD1008" s="3"/>
      <c r="AP1008" s="53"/>
    </row>
    <row r="1009" spans="29:42" ht="14.5">
      <c r="AC1009" s="3"/>
      <c r="AD1009" s="3"/>
      <c r="AP1009" s="53"/>
    </row>
    <row r="1010" spans="29:42" ht="14.5">
      <c r="AC1010" s="3"/>
      <c r="AD1010" s="3"/>
      <c r="AP1010" s="53"/>
    </row>
    <row r="1011" spans="29:42" ht="14.5">
      <c r="AC1011" s="3"/>
      <c r="AD1011" s="3"/>
      <c r="AP1011" s="53"/>
    </row>
    <row r="1012" spans="29:42" ht="14.5">
      <c r="AC1012" s="3"/>
      <c r="AD1012" s="3"/>
      <c r="AP1012" s="53"/>
    </row>
    <row r="1013" spans="29:42" ht="14.5">
      <c r="AC1013" s="3"/>
      <c r="AD1013" s="3"/>
      <c r="AP1013" s="53"/>
    </row>
    <row r="1014" spans="29:42" ht="14.5">
      <c r="AC1014" s="3"/>
      <c r="AD1014" s="3"/>
      <c r="AP1014" s="53"/>
    </row>
    <row r="1015" spans="29:42" ht="14.5">
      <c r="AC1015" s="3"/>
      <c r="AD1015" s="3"/>
      <c r="AP1015" s="53"/>
    </row>
    <row r="1016" spans="29:42" ht="14.5">
      <c r="AC1016" s="3"/>
      <c r="AD1016" s="3"/>
      <c r="AP1016" s="53"/>
    </row>
    <row r="1017" spans="29:42" ht="14.5">
      <c r="AC1017" s="3"/>
      <c r="AD1017" s="3"/>
      <c r="AP1017" s="53"/>
    </row>
    <row r="1018" spans="29:42" ht="14.5">
      <c r="AC1018" s="3"/>
      <c r="AD1018" s="3"/>
      <c r="AP1018" s="53"/>
    </row>
    <row r="1019" spans="29:42" ht="14.5">
      <c r="AC1019" s="3"/>
      <c r="AD1019" s="3"/>
      <c r="AP1019" s="53"/>
    </row>
    <row r="1020" spans="29:42" ht="14.5">
      <c r="AC1020" s="3"/>
      <c r="AD1020" s="3"/>
      <c r="AP1020" s="53"/>
    </row>
    <row r="1021" spans="29:42" ht="14.5">
      <c r="AC1021" s="3"/>
      <c r="AD1021" s="3"/>
      <c r="AP1021" s="53"/>
    </row>
    <row r="1022" spans="29:42" ht="14.5">
      <c r="AC1022" s="3"/>
      <c r="AD1022" s="3"/>
      <c r="AP1022" s="53"/>
    </row>
    <row r="1023" spans="29:42" ht="14.5">
      <c r="AC1023" s="3"/>
      <c r="AD1023" s="3"/>
      <c r="AP1023" s="53"/>
    </row>
    <row r="1024" spans="29:42" ht="14.5">
      <c r="AC1024" s="3"/>
      <c r="AD1024" s="3"/>
      <c r="AP1024" s="53"/>
    </row>
    <row r="1025" spans="29:42" ht="14.5">
      <c r="AC1025" s="3"/>
      <c r="AD1025" s="3"/>
      <c r="AP1025" s="53"/>
    </row>
    <row r="1026" spans="29:42" ht="14.5">
      <c r="AC1026" s="3"/>
      <c r="AD1026" s="3"/>
      <c r="AP1026" s="53"/>
    </row>
    <row r="1027" spans="29:42" ht="14.5">
      <c r="AC1027" s="3"/>
      <c r="AD1027" s="3"/>
      <c r="AP1027" s="53"/>
    </row>
    <row r="1028" spans="29:42" ht="14.5">
      <c r="AC1028" s="3"/>
      <c r="AD1028" s="3"/>
      <c r="AP1028" s="53"/>
    </row>
    <row r="1029" spans="29:42" ht="14.5">
      <c r="AC1029" s="3"/>
      <c r="AD1029" s="3"/>
      <c r="AP1029" s="53"/>
    </row>
    <row r="1030" spans="29:42" ht="14.5">
      <c r="AC1030" s="3"/>
      <c r="AD1030" s="3"/>
      <c r="AP1030" s="53"/>
    </row>
    <row r="1031" spans="29:42" ht="14.5">
      <c r="AC1031" s="3"/>
      <c r="AD1031" s="3"/>
      <c r="AP1031" s="53"/>
    </row>
    <row r="1032" spans="29:42" ht="14.5">
      <c r="AC1032" s="3"/>
      <c r="AD1032" s="3"/>
      <c r="AP1032" s="53"/>
    </row>
    <row r="1033" spans="29:42" ht="14.5">
      <c r="AC1033" s="3"/>
      <c r="AD1033" s="3"/>
      <c r="AP1033" s="53"/>
    </row>
    <row r="1034" spans="29:42" ht="14.5">
      <c r="AC1034" s="3"/>
      <c r="AD1034" s="3"/>
      <c r="AP1034" s="53"/>
    </row>
    <row r="1035" spans="29:42" ht="14.5">
      <c r="AC1035" s="3"/>
      <c r="AD1035" s="3"/>
      <c r="AP1035" s="53"/>
    </row>
    <row r="1036" spans="29:42" ht="14.5">
      <c r="AC1036" s="3"/>
      <c r="AD1036" s="3"/>
      <c r="AP1036" s="53"/>
    </row>
    <row r="1037" spans="29:42" ht="14.5">
      <c r="AC1037" s="3"/>
      <c r="AD1037" s="3"/>
      <c r="AP1037" s="53"/>
    </row>
    <row r="1038" spans="29:42" ht="14.5">
      <c r="AC1038" s="3"/>
      <c r="AD1038" s="3"/>
      <c r="AP1038" s="53"/>
    </row>
    <row r="1039" spans="29:42" ht="14.5">
      <c r="AC1039" s="3"/>
      <c r="AD1039" s="3"/>
      <c r="AP1039" s="53"/>
    </row>
    <row r="1040" spans="29:42" ht="14.5">
      <c r="AC1040" s="3"/>
      <c r="AD1040" s="3"/>
      <c r="AP1040" s="53"/>
    </row>
    <row r="1041" spans="29:42" ht="14.5">
      <c r="AC1041" s="3"/>
      <c r="AD1041" s="3"/>
      <c r="AP1041" s="53"/>
    </row>
    <row r="1042" spans="29:42" ht="14.5">
      <c r="AC1042" s="3"/>
      <c r="AD1042" s="3"/>
      <c r="AP1042" s="53"/>
    </row>
    <row r="1043" spans="29:42" ht="14.5">
      <c r="AC1043" s="3"/>
      <c r="AD1043" s="3"/>
      <c r="AP1043" s="53"/>
    </row>
    <row r="1044" spans="29:42" ht="14.5">
      <c r="AC1044" s="3"/>
      <c r="AD1044" s="3"/>
      <c r="AP1044" s="53"/>
    </row>
    <row r="1045" spans="29:42" ht="14.5">
      <c r="AC1045" s="3"/>
      <c r="AD1045" s="3"/>
      <c r="AP1045" s="53"/>
    </row>
    <row r="1046" spans="29:42" ht="14.5">
      <c r="AC1046" s="3"/>
      <c r="AD1046" s="3"/>
      <c r="AP1046" s="53"/>
    </row>
    <row r="1047" spans="29:42" ht="14.5">
      <c r="AC1047" s="3"/>
      <c r="AD1047" s="3"/>
      <c r="AP1047" s="53"/>
    </row>
    <row r="1048" spans="29:42" ht="14.5">
      <c r="AC1048" s="3"/>
      <c r="AD1048" s="3"/>
      <c r="AP1048" s="53"/>
    </row>
    <row r="1049" spans="29:42" ht="14.5">
      <c r="AC1049" s="3"/>
      <c r="AD1049" s="3"/>
      <c r="AP1049" s="53"/>
    </row>
    <row r="1050" spans="29:42" ht="14.5">
      <c r="AC1050" s="3"/>
      <c r="AD1050" s="3"/>
      <c r="AP1050" s="53"/>
    </row>
    <row r="1051" spans="29:42" ht="14.5">
      <c r="AC1051" s="3"/>
      <c r="AD1051" s="3"/>
      <c r="AP1051" s="53"/>
    </row>
    <row r="1052" spans="29:42" ht="14.5">
      <c r="AC1052" s="3"/>
      <c r="AD1052" s="3"/>
      <c r="AP1052" s="53"/>
    </row>
    <row r="1053" spans="29:42" ht="14.5">
      <c r="AC1053" s="3"/>
      <c r="AD1053" s="3"/>
      <c r="AP1053" s="53"/>
    </row>
    <row r="1054" spans="29:42" ht="14.5">
      <c r="AC1054" s="3"/>
      <c r="AD1054" s="3"/>
      <c r="AP1054" s="53"/>
    </row>
    <row r="1055" spans="29:42" ht="14.5">
      <c r="AC1055" s="3"/>
      <c r="AD1055" s="3"/>
      <c r="AP1055" s="53"/>
    </row>
    <row r="1056" spans="29:42" ht="14.5">
      <c r="AC1056" s="3"/>
      <c r="AD1056" s="3"/>
      <c r="AP1056" s="53"/>
    </row>
    <row r="1057" spans="29:42" ht="14.5">
      <c r="AC1057" s="3"/>
      <c r="AD1057" s="3"/>
      <c r="AP1057" s="53"/>
    </row>
    <row r="1058" spans="29:42" ht="14.5">
      <c r="AC1058" s="3"/>
      <c r="AD1058" s="3"/>
      <c r="AP1058" s="53"/>
    </row>
    <row r="1059" spans="29:42" ht="14.5">
      <c r="AC1059" s="3"/>
      <c r="AD1059" s="3"/>
      <c r="AP1059" s="53"/>
    </row>
    <row r="1060" spans="29:42" ht="14.5">
      <c r="AC1060" s="3"/>
      <c r="AD1060" s="3"/>
      <c r="AP1060" s="53"/>
    </row>
    <row r="1061" spans="29:42" ht="14.5">
      <c r="AC1061" s="3"/>
      <c r="AD1061" s="3"/>
      <c r="AP1061" s="53"/>
    </row>
    <row r="1062" spans="29:42" ht="14.5">
      <c r="AC1062" s="3"/>
      <c r="AD1062" s="3"/>
      <c r="AP1062" s="53"/>
    </row>
    <row r="1063" spans="29:42" ht="14.5">
      <c r="AC1063" s="3"/>
      <c r="AD1063" s="3"/>
      <c r="AP1063" s="53"/>
    </row>
    <row r="1064" spans="29:42" ht="14.5">
      <c r="AC1064" s="3"/>
      <c r="AD1064" s="3"/>
      <c r="AP1064" s="53"/>
    </row>
    <row r="1065" spans="29:42" ht="14.5">
      <c r="AC1065" s="3"/>
      <c r="AD1065" s="3"/>
      <c r="AP1065" s="53"/>
    </row>
    <row r="1066" spans="29:42" ht="14.5">
      <c r="AC1066" s="3"/>
      <c r="AD1066" s="3"/>
      <c r="AP1066" s="53"/>
    </row>
    <row r="1067" spans="29:42" ht="14.5">
      <c r="AC1067" s="3"/>
      <c r="AD1067" s="3"/>
      <c r="AP1067" s="53"/>
    </row>
    <row r="1068" spans="29:42" ht="14.5">
      <c r="AC1068" s="3"/>
      <c r="AD1068" s="3"/>
      <c r="AP1068" s="53"/>
    </row>
    <row r="1069" spans="29:42" ht="14.5">
      <c r="AC1069" s="3"/>
      <c r="AD1069" s="3"/>
      <c r="AP1069" s="53"/>
    </row>
    <row r="1070" spans="29:42" ht="14.5">
      <c r="AC1070" s="3"/>
      <c r="AD1070" s="3"/>
      <c r="AP1070" s="53"/>
    </row>
    <row r="1071" spans="29:42" ht="14.5">
      <c r="AC1071" s="3"/>
      <c r="AD1071" s="3"/>
      <c r="AP1071" s="53"/>
    </row>
    <row r="1072" spans="29:42" ht="14.5">
      <c r="AC1072" s="3"/>
      <c r="AD1072" s="3"/>
      <c r="AP1072" s="53"/>
    </row>
    <row r="1073" spans="29:42" ht="14.5">
      <c r="AC1073" s="3"/>
      <c r="AD1073" s="3"/>
      <c r="AP1073" s="53"/>
    </row>
    <row r="1074" spans="29:42" ht="14.5">
      <c r="AC1074" s="3"/>
      <c r="AD1074" s="3"/>
      <c r="AP1074" s="53"/>
    </row>
    <row r="1075" spans="29:42" ht="14.5">
      <c r="AC1075" s="3"/>
      <c r="AD1075" s="3"/>
      <c r="AP1075" s="53"/>
    </row>
    <row r="1076" spans="29:42" ht="14.5">
      <c r="AC1076" s="3"/>
      <c r="AD1076" s="3"/>
      <c r="AP1076" s="53"/>
    </row>
    <row r="1077" spans="29:42" ht="14.5">
      <c r="AC1077" s="3"/>
      <c r="AD1077" s="3"/>
      <c r="AP1077" s="53"/>
    </row>
    <row r="1078" spans="29:42" ht="14.5">
      <c r="AC1078" s="3"/>
      <c r="AD1078" s="3"/>
      <c r="AP1078" s="53"/>
    </row>
    <row r="1079" spans="29:42" ht="14.5">
      <c r="AC1079" s="3"/>
      <c r="AD1079" s="3"/>
      <c r="AP1079" s="53"/>
    </row>
    <row r="1080" spans="29:42" ht="14.5">
      <c r="AC1080" s="3"/>
      <c r="AD1080" s="3"/>
      <c r="AP1080" s="53"/>
    </row>
    <row r="1081" spans="29:42" ht="14.5">
      <c r="AC1081" s="3"/>
      <c r="AD1081" s="3"/>
      <c r="AP1081" s="53"/>
    </row>
    <row r="1082" spans="29:42" ht="14.5">
      <c r="AC1082" s="3"/>
      <c r="AD1082" s="3"/>
      <c r="AP1082" s="53"/>
    </row>
    <row r="1083" spans="29:42" ht="14.5">
      <c r="AC1083" s="3"/>
      <c r="AD1083" s="3"/>
      <c r="AP1083" s="53"/>
    </row>
    <row r="1084" spans="29:42" ht="14.5">
      <c r="AC1084" s="3"/>
      <c r="AD1084" s="3"/>
      <c r="AP1084" s="53"/>
    </row>
  </sheetData>
  <mergeCells count="3">
    <mergeCell ref="A1:B1"/>
    <mergeCell ref="D296:I296"/>
    <mergeCell ref="N296:S296"/>
  </mergeCells>
  <conditionalFormatting sqref="AC1:AF3 AC44:AF44 AC69:AF69 AC94:AF94 AC119:AF119 AC144:AF144 AC169:AF169 AC196:AF203 AC228:AF228 AG296:AG321 AC329:AF1084 AG293:AH294 AC293:AF326 AC253:AF255 AC284:AH290 AA279:AF283 AG255:AH255 AC278:AH278 AE256:AJ277 AC17:AF19 W15:Z16">
    <cfRule type="notContainsBlanks" dxfId="11" priority="1">
      <formula>LEN(TRIM(W1))&gt;0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67227-F235-4C32-A4DE-50D9F4858014}">
  <sheetPr>
    <outlinePr summaryBelow="0" summaryRight="0"/>
  </sheetPr>
  <dimension ref="A1:BD1083"/>
  <sheetViews>
    <sheetView zoomScale="60" zoomScaleNormal="60" workbookViewId="0">
      <selection activeCell="P16" sqref="P16:Q17"/>
    </sheetView>
  </sheetViews>
  <sheetFormatPr defaultColWidth="12.6640625" defaultRowHeight="15" customHeight="1"/>
  <cols>
    <col min="1" max="1" width="14" style="80" customWidth="1"/>
    <col min="2" max="16384" width="12.6640625" style="80"/>
  </cols>
  <sheetData>
    <row r="1" spans="1:42" ht="14.5">
      <c r="A1" s="181" t="s">
        <v>70</v>
      </c>
      <c r="B1" s="182"/>
      <c r="C1" s="26"/>
      <c r="D1" s="70" t="s">
        <v>71</v>
      </c>
      <c r="E1" s="32">
        <f ca="1">1.1*Z23</f>
        <v>167.3149230526212</v>
      </c>
      <c r="G1" s="70" t="s">
        <v>72</v>
      </c>
      <c r="H1" s="32">
        <f ca="1">1.15*Z23</f>
        <v>174.9201468277403</v>
      </c>
      <c r="J1" s="70" t="s">
        <v>73</v>
      </c>
      <c r="K1" s="32">
        <f ca="1">1.2*Z23</f>
        <v>182.52537060285945</v>
      </c>
      <c r="AC1" s="3"/>
      <c r="AD1" s="3"/>
      <c r="AP1" s="53"/>
    </row>
    <row r="2" spans="1:42" ht="14.5">
      <c r="A2" s="26" t="s">
        <v>74</v>
      </c>
      <c r="M2" s="21"/>
      <c r="N2" s="61"/>
      <c r="AC2" s="3"/>
      <c r="AD2" s="3"/>
      <c r="AP2" s="53"/>
    </row>
    <row r="3" spans="1:42" ht="14.5">
      <c r="A3" s="21" t="s">
        <v>76</v>
      </c>
      <c r="B3" s="21">
        <v>230</v>
      </c>
      <c r="D3" s="26" t="s">
        <v>1</v>
      </c>
      <c r="E3" s="32">
        <f ca="1">E193</f>
        <v>962.12530399993193</v>
      </c>
      <c r="F3" s="21" t="s">
        <v>49</v>
      </c>
      <c r="G3" s="26" t="s">
        <v>199</v>
      </c>
      <c r="H3" s="21">
        <v>755</v>
      </c>
      <c r="M3" s="21"/>
      <c r="N3" s="61"/>
      <c r="S3" s="75" t="s">
        <v>284</v>
      </c>
      <c r="T3" s="131" t="s">
        <v>286</v>
      </c>
      <c r="U3" s="131" t="s">
        <v>83</v>
      </c>
      <c r="AC3" s="3"/>
      <c r="AD3" s="3"/>
      <c r="AP3" s="53"/>
    </row>
    <row r="4" spans="1:42" ht="19">
      <c r="A4" s="21" t="s">
        <v>12</v>
      </c>
      <c r="B4" s="21">
        <f>U9/B3</f>
        <v>5.1882093337077295</v>
      </c>
      <c r="D4" s="26" t="s">
        <v>200</v>
      </c>
      <c r="E4" s="21">
        <f ca="1">B93-B48</f>
        <v>48.529356254143003</v>
      </c>
      <c r="G4" s="26" t="s">
        <v>201</v>
      </c>
      <c r="H4" s="21">
        <v>1017</v>
      </c>
      <c r="M4" s="21"/>
      <c r="N4" s="21"/>
      <c r="S4" s="131" t="s">
        <v>285</v>
      </c>
      <c r="T4" s="150">
        <v>79254.356807799995</v>
      </c>
      <c r="U4" s="149">
        <f>T4/144</f>
        <v>550.37747783194436</v>
      </c>
      <c r="AC4" s="3"/>
      <c r="AD4" s="3"/>
      <c r="AP4" s="53"/>
    </row>
    <row r="5" spans="1:42" ht="19">
      <c r="A5" s="21" t="s">
        <v>11</v>
      </c>
      <c r="B5" s="21">
        <v>0.84</v>
      </c>
      <c r="M5" s="21"/>
      <c r="S5" s="131" t="s">
        <v>287</v>
      </c>
      <c r="T5" s="150">
        <v>14021.6390302</v>
      </c>
      <c r="U5" s="149">
        <f t="shared" ref="U5:U9" si="0">T5/144</f>
        <v>97.372493265277782</v>
      </c>
      <c r="AC5" s="3"/>
      <c r="AD5" s="3"/>
      <c r="AP5" s="53"/>
    </row>
    <row r="6" spans="1:42" ht="19">
      <c r="A6" s="21" t="s">
        <v>10</v>
      </c>
      <c r="B6" s="30">
        <v>6</v>
      </c>
      <c r="D6" s="26" t="s">
        <v>86</v>
      </c>
      <c r="G6" s="26" t="s">
        <v>87</v>
      </c>
      <c r="J6" s="21" t="s">
        <v>90</v>
      </c>
      <c r="K6" s="78">
        <v>8420</v>
      </c>
      <c r="M6" s="75" t="s">
        <v>219</v>
      </c>
      <c r="N6" s="80">
        <v>50.8</v>
      </c>
      <c r="O6" s="80" t="s">
        <v>220</v>
      </c>
      <c r="S6" s="131" t="s">
        <v>288</v>
      </c>
      <c r="T6" s="150">
        <v>10100.623521699999</v>
      </c>
      <c r="U6" s="149">
        <f t="shared" si="0"/>
        <v>70.143218900694436</v>
      </c>
      <c r="AC6" s="3"/>
      <c r="AD6" s="3"/>
      <c r="AP6" s="53"/>
    </row>
    <row r="7" spans="1:42" ht="16" customHeight="1">
      <c r="A7" s="76" t="s">
        <v>84</v>
      </c>
      <c r="B7" s="76">
        <f>77.04843221/12</f>
        <v>6.4207026841666668</v>
      </c>
      <c r="D7" s="21" t="s">
        <v>19</v>
      </c>
      <c r="E7" s="31">
        <v>0.2</v>
      </c>
      <c r="G7" s="62" t="s">
        <v>19</v>
      </c>
      <c r="H7" s="31">
        <v>0.2</v>
      </c>
      <c r="J7" s="21" t="s">
        <v>93</v>
      </c>
      <c r="K7" s="21">
        <v>1800</v>
      </c>
      <c r="M7" s="75" t="s">
        <v>221</v>
      </c>
      <c r="N7" s="80">
        <f ca="1">(H18/N6)*1.08</f>
        <v>70.558907426772564</v>
      </c>
      <c r="S7" s="131" t="s">
        <v>289</v>
      </c>
      <c r="T7" s="150">
        <v>68456.873772699997</v>
      </c>
      <c r="U7" s="149">
        <f t="shared" si="0"/>
        <v>475.39495675486108</v>
      </c>
      <c r="AC7" s="3"/>
      <c r="AD7" s="3"/>
      <c r="AP7" s="53"/>
    </row>
    <row r="8" spans="1:42" ht="15" customHeight="1">
      <c r="A8" s="76" t="s">
        <v>15</v>
      </c>
      <c r="B8" s="21">
        <f>1/(PI()*B6*B5)</f>
        <v>6.3156723449164814E-2</v>
      </c>
      <c r="D8" s="21" t="s">
        <v>92</v>
      </c>
      <c r="E8" s="21">
        <v>5</v>
      </c>
      <c r="F8" s="21" t="s">
        <v>21</v>
      </c>
      <c r="G8" s="62" t="s">
        <v>92</v>
      </c>
      <c r="H8" s="62">
        <v>5</v>
      </c>
      <c r="I8" s="21" t="s">
        <v>21</v>
      </c>
      <c r="J8" s="21" t="s">
        <v>95</v>
      </c>
      <c r="K8" s="32">
        <f ca="1">H17</f>
        <v>3263.6053406631318</v>
      </c>
      <c r="M8" s="75" t="s">
        <v>248</v>
      </c>
      <c r="N8" s="122">
        <f>7650-715</f>
        <v>6935</v>
      </c>
      <c r="O8" s="131" t="s">
        <v>78</v>
      </c>
      <c r="S8" s="131" t="s">
        <v>290</v>
      </c>
      <c r="T8" s="150">
        <v>11218.802329100001</v>
      </c>
      <c r="U8" s="149">
        <f t="shared" si="0"/>
        <v>77.908349507638889</v>
      </c>
      <c r="AC8" s="3"/>
      <c r="AD8" s="3"/>
      <c r="AP8" s="53"/>
    </row>
    <row r="9" spans="1:42" ht="14.5">
      <c r="A9" s="26" t="s">
        <v>89</v>
      </c>
      <c r="D9" s="21" t="s">
        <v>14</v>
      </c>
      <c r="E9" s="32">
        <f>($B$15*$E$7*$B$14*(5/60))</f>
        <v>81.64</v>
      </c>
      <c r="F9" s="21" t="s">
        <v>78</v>
      </c>
      <c r="G9" s="62" t="s">
        <v>14</v>
      </c>
      <c r="H9" s="32">
        <f>($B$15*$E$7*$B$14*(5/60))</f>
        <v>81.64</v>
      </c>
      <c r="I9" s="62" t="s">
        <v>78</v>
      </c>
      <c r="J9" s="26" t="s">
        <v>195</v>
      </c>
      <c r="K9" s="32">
        <f ca="1">SUM(K6:K8)</f>
        <v>13483.605340663133</v>
      </c>
      <c r="M9" s="75" t="s">
        <v>250</v>
      </c>
      <c r="N9" s="122">
        <f>135*0.92</f>
        <v>124.2</v>
      </c>
      <c r="O9" s="131" t="s">
        <v>247</v>
      </c>
      <c r="S9" s="131" t="s">
        <v>291</v>
      </c>
      <c r="T9" s="149">
        <f>SUM(T4:T7)</f>
        <v>171833.49313240001</v>
      </c>
      <c r="U9" s="149">
        <f t="shared" si="0"/>
        <v>1193.2881467527777</v>
      </c>
      <c r="AC9" s="3"/>
      <c r="AD9" s="3"/>
      <c r="AP9" s="53"/>
    </row>
    <row r="10" spans="1:42" ht="14.5">
      <c r="A10" s="21" t="s">
        <v>91</v>
      </c>
      <c r="B10" s="63">
        <f ca="1">K9</f>
        <v>13483.605340663133</v>
      </c>
      <c r="S10" s="149"/>
      <c r="T10" s="149"/>
      <c r="U10" s="149"/>
      <c r="AC10" s="3"/>
      <c r="AD10" s="3"/>
      <c r="AP10" s="53"/>
    </row>
    <row r="11" spans="1:42" ht="14.5">
      <c r="A11" s="21" t="s">
        <v>94</v>
      </c>
      <c r="B11" s="21">
        <v>0.99</v>
      </c>
      <c r="D11" s="26" t="s">
        <v>99</v>
      </c>
      <c r="G11" s="69" t="s">
        <v>86</v>
      </c>
      <c r="H11" s="32">
        <f>E9</f>
        <v>81.64</v>
      </c>
      <c r="J11" s="69" t="s">
        <v>202</v>
      </c>
      <c r="S11" s="131" t="s">
        <v>12</v>
      </c>
      <c r="T11" s="149">
        <f>U9/230</f>
        <v>5.1882093337077295</v>
      </c>
      <c r="U11" s="149"/>
      <c r="AC11" s="3"/>
      <c r="AD11" s="3"/>
      <c r="AP11" s="53"/>
    </row>
    <row r="12" spans="1:42" ht="14.5">
      <c r="A12" s="21" t="s">
        <v>96</v>
      </c>
      <c r="B12" s="32">
        <f ca="1">B10*B11</f>
        <v>13348.7692872565</v>
      </c>
      <c r="D12" s="21" t="s">
        <v>101</v>
      </c>
      <c r="E12" s="31">
        <v>1</v>
      </c>
      <c r="G12" s="69" t="s">
        <v>99</v>
      </c>
      <c r="H12" s="32">
        <f ca="1">E14</f>
        <v>24.106262518075059</v>
      </c>
      <c r="J12" s="62" t="s">
        <v>203</v>
      </c>
      <c r="K12" s="64">
        <v>0.05</v>
      </c>
      <c r="AC12" s="3"/>
      <c r="AD12" s="3"/>
      <c r="AP12" s="53"/>
    </row>
    <row r="13" spans="1:42" ht="14.5">
      <c r="A13" s="26" t="s">
        <v>98</v>
      </c>
      <c r="D13" s="21" t="s">
        <v>17</v>
      </c>
      <c r="E13" s="32">
        <f ca="1">$L$289</f>
        <v>17.716508465023313</v>
      </c>
      <c r="F13" s="21" t="s">
        <v>18</v>
      </c>
      <c r="G13" s="69" t="s">
        <v>103</v>
      </c>
      <c r="H13" s="32">
        <f ca="1">SUM(AN23:AN68)+SUM(AN73:AN143)+SUM(AN148:AN193)</f>
        <v>2574.8083159991811</v>
      </c>
      <c r="J13" s="62" t="s">
        <v>204</v>
      </c>
      <c r="K13" s="32">
        <f ca="1">$L$323</f>
        <v>24.039460429386626</v>
      </c>
      <c r="L13" s="21" t="s">
        <v>18</v>
      </c>
      <c r="AC13" s="3"/>
      <c r="AD13" s="3"/>
      <c r="AP13" s="53"/>
    </row>
    <row r="14" spans="1:42" ht="14.5">
      <c r="A14" s="21" t="s">
        <v>100</v>
      </c>
      <c r="B14" s="21">
        <v>0.78</v>
      </c>
      <c r="D14" s="21" t="s">
        <v>16</v>
      </c>
      <c r="E14" s="32">
        <f ca="1">B15*E12*B14*(E13/3600)</f>
        <v>24.106262518075059</v>
      </c>
      <c r="F14" s="21" t="s">
        <v>78</v>
      </c>
      <c r="G14" s="69" t="s">
        <v>87</v>
      </c>
      <c r="H14" s="32">
        <f>H9</f>
        <v>81.64</v>
      </c>
      <c r="J14" s="62" t="s">
        <v>206</v>
      </c>
      <c r="K14" s="32">
        <f ca="1">B15*B14*K12*(K13/3600)</f>
        <v>1.6354846245459369</v>
      </c>
      <c r="L14" s="21" t="s">
        <v>78</v>
      </c>
      <c r="M14" s="131"/>
      <c r="AC14" s="3"/>
      <c r="AD14" s="3"/>
      <c r="AP14" s="53"/>
    </row>
    <row r="15" spans="1:42" ht="14.5">
      <c r="A15" s="21" t="s">
        <v>102</v>
      </c>
      <c r="B15" s="21">
        <v>6280</v>
      </c>
      <c r="G15" s="69" t="s">
        <v>202</v>
      </c>
      <c r="H15" s="32">
        <f ca="1">K14</f>
        <v>1.6354846245459369</v>
      </c>
      <c r="N15" s="80">
        <f>9120-700</f>
        <v>8420</v>
      </c>
      <c r="AC15" s="3"/>
      <c r="AD15" s="3"/>
      <c r="AP15" s="53"/>
    </row>
    <row r="16" spans="1:42" ht="14.5">
      <c r="A16" s="26" t="s">
        <v>104</v>
      </c>
      <c r="G16" s="26" t="s">
        <v>7</v>
      </c>
      <c r="H16" s="32">
        <f ca="1">C200</f>
        <v>499.77527752132977</v>
      </c>
      <c r="P16" s="80">
        <f>0.027 + (2.1*2.1)/(PI()*0.84*6)</f>
        <v>0.3055211504108169</v>
      </c>
      <c r="Q16" s="80">
        <f ca="1">P16*AV23*E1*E1*230/2</f>
        <v>2222.1861631729898</v>
      </c>
      <c r="AC16" s="3"/>
      <c r="AD16" s="3"/>
      <c r="AP16" s="53"/>
    </row>
    <row r="17" spans="1:52" ht="14.5">
      <c r="A17" s="6" t="s">
        <v>105</v>
      </c>
      <c r="B17" s="6">
        <v>3.0000000000000001E-3</v>
      </c>
      <c r="G17" s="34" t="s">
        <v>107</v>
      </c>
      <c r="H17" s="41">
        <f ca="1">SUM(H11:H16)</f>
        <v>3263.6053406631318</v>
      </c>
      <c r="P17" s="180">
        <f>0.027 + (2.4*2.4)/(PI()*0.84*6)</f>
        <v>0.39078272706718936</v>
      </c>
      <c r="Q17" s="180">
        <f ca="1">P17*AV23*E1*E1*230/2</f>
        <v>2842.3301225726532</v>
      </c>
      <c r="AC17" s="3"/>
      <c r="AD17" s="3"/>
      <c r="AP17" s="53"/>
    </row>
    <row r="18" spans="1:52" ht="14.5">
      <c r="A18" s="21" t="s">
        <v>205</v>
      </c>
      <c r="B18" s="21">
        <v>2.1</v>
      </c>
      <c r="G18" s="130" t="s">
        <v>223</v>
      </c>
      <c r="H18" s="129">
        <f ca="1">($H$17-$H$16)*1.02 +$H$16</f>
        <v>3318.881941925968</v>
      </c>
      <c r="AC18" s="3"/>
      <c r="AD18" s="3"/>
      <c r="AP18" s="53"/>
    </row>
    <row r="19" spans="1:52" ht="14.5">
      <c r="AC19" s="3"/>
      <c r="AD19" s="3"/>
      <c r="AP19" s="53"/>
    </row>
    <row r="20" spans="1:52" s="89" customFormat="1" ht="14.5">
      <c r="A20" s="124" t="s">
        <v>3</v>
      </c>
      <c r="B20" s="82" t="s">
        <v>22</v>
      </c>
      <c r="C20" s="125">
        <v>18000</v>
      </c>
      <c r="D20" s="82" t="s">
        <v>9</v>
      </c>
      <c r="E20" s="82"/>
      <c r="F20" s="82"/>
      <c r="G20" s="82"/>
      <c r="H20" s="82"/>
      <c r="I20" s="83"/>
      <c r="J20" s="82"/>
      <c r="K20" s="82"/>
      <c r="L20" s="84" t="s">
        <v>60</v>
      </c>
      <c r="M20" s="82"/>
      <c r="N20" s="82"/>
      <c r="O20" s="82"/>
      <c r="P20" s="82"/>
      <c r="Q20" s="81"/>
      <c r="R20" s="82"/>
      <c r="S20" s="85"/>
      <c r="T20" s="86"/>
      <c r="U20" s="81"/>
      <c r="V20" s="81"/>
      <c r="W20" s="81"/>
      <c r="X20" s="81"/>
      <c r="Y20" s="82"/>
      <c r="Z20" s="82"/>
      <c r="AA20" s="87"/>
      <c r="AB20" s="87"/>
      <c r="AC20" s="82"/>
      <c r="AD20" s="82"/>
      <c r="AE20" s="83"/>
      <c r="AF20" s="81"/>
      <c r="AG20" s="82"/>
      <c r="AH20" s="82"/>
      <c r="AI20" s="82"/>
      <c r="AJ20" s="81" t="s">
        <v>61</v>
      </c>
      <c r="AK20" s="88"/>
      <c r="AL20" s="83"/>
      <c r="AM20" s="82"/>
      <c r="AN20" s="82"/>
      <c r="AO20" s="82"/>
      <c r="AP20" s="53"/>
      <c r="AQ20" s="88"/>
      <c r="AR20" s="88"/>
      <c r="AS20" s="88"/>
      <c r="AT20" s="88"/>
      <c r="AU20" s="88"/>
      <c r="AV20" s="88"/>
      <c r="AW20" s="88"/>
      <c r="AX20" s="82"/>
      <c r="AY20" s="82"/>
      <c r="AZ20" s="82"/>
    </row>
    <row r="21" spans="1:52" ht="14.5">
      <c r="A21" s="41" t="s">
        <v>2</v>
      </c>
      <c r="B21" s="41" t="s">
        <v>2</v>
      </c>
      <c r="C21" s="41" t="s">
        <v>2</v>
      </c>
      <c r="D21" s="41" t="s">
        <v>23</v>
      </c>
      <c r="E21" s="41" t="s">
        <v>24</v>
      </c>
      <c r="F21" s="41" t="s">
        <v>25</v>
      </c>
      <c r="G21" s="41"/>
      <c r="H21" s="41" t="s">
        <v>0</v>
      </c>
      <c r="I21" s="5" t="s">
        <v>26</v>
      </c>
      <c r="J21" s="41" t="s">
        <v>27</v>
      </c>
      <c r="K21" s="41" t="s">
        <v>28</v>
      </c>
      <c r="L21" s="12" t="s">
        <v>29</v>
      </c>
      <c r="M21" s="13" t="s">
        <v>30</v>
      </c>
      <c r="N21" s="41" t="s">
        <v>31</v>
      </c>
      <c r="O21" s="41" t="s">
        <v>32</v>
      </c>
      <c r="P21" s="41" t="s">
        <v>33</v>
      </c>
      <c r="Q21" s="41" t="s">
        <v>34</v>
      </c>
      <c r="R21" s="41" t="s">
        <v>13</v>
      </c>
      <c r="S21" s="24" t="s">
        <v>35</v>
      </c>
      <c r="T21" s="10" t="s">
        <v>35</v>
      </c>
      <c r="U21" s="41" t="s">
        <v>36</v>
      </c>
      <c r="V21" s="41" t="s">
        <v>37</v>
      </c>
      <c r="W21" s="41" t="s">
        <v>38</v>
      </c>
      <c r="X21" s="41" t="s">
        <v>39</v>
      </c>
      <c r="Y21" s="41" t="s">
        <v>40</v>
      </c>
      <c r="Z21" s="35" t="s">
        <v>108</v>
      </c>
      <c r="AA21" s="35" t="s">
        <v>109</v>
      </c>
      <c r="AB21" s="9" t="s">
        <v>110</v>
      </c>
      <c r="AC21" s="7" t="s">
        <v>111</v>
      </c>
      <c r="AD21" s="7" t="s">
        <v>112</v>
      </c>
      <c r="AE21" s="5" t="s">
        <v>41</v>
      </c>
      <c r="AF21" s="7" t="s">
        <v>113</v>
      </c>
      <c r="AG21" s="7" t="s">
        <v>114</v>
      </c>
      <c r="AH21" s="7" t="s">
        <v>115</v>
      </c>
      <c r="AI21" s="41" t="s">
        <v>42</v>
      </c>
      <c r="AJ21" s="41" t="s">
        <v>43</v>
      </c>
      <c r="AK21" s="36" t="s">
        <v>116</v>
      </c>
      <c r="AL21" s="5" t="s">
        <v>44</v>
      </c>
      <c r="AM21" s="41" t="s">
        <v>45</v>
      </c>
      <c r="AN21" s="41" t="s">
        <v>46</v>
      </c>
      <c r="AO21" s="41" t="s">
        <v>47</v>
      </c>
      <c r="AP21" s="67" t="s">
        <v>85</v>
      </c>
      <c r="AQ21" s="15" t="s">
        <v>62</v>
      </c>
      <c r="AR21" s="16" t="s">
        <v>63</v>
      </c>
      <c r="AS21" s="16" t="s">
        <v>64</v>
      </c>
      <c r="AT21" s="17" t="s">
        <v>65</v>
      </c>
      <c r="AU21" s="18" t="s">
        <v>66</v>
      </c>
      <c r="AV21" s="18" t="s">
        <v>67</v>
      </c>
      <c r="AW21" s="19" t="s">
        <v>68</v>
      </c>
      <c r="AX21" s="7" t="s">
        <v>207</v>
      </c>
      <c r="AY21" s="7" t="s">
        <v>208</v>
      </c>
      <c r="AZ21" s="7" t="s">
        <v>209</v>
      </c>
    </row>
    <row r="22" spans="1:52" ht="14.5">
      <c r="A22" s="41" t="s">
        <v>18</v>
      </c>
      <c r="B22" s="41" t="s">
        <v>21</v>
      </c>
      <c r="C22" s="41" t="s">
        <v>48</v>
      </c>
      <c r="D22" s="41" t="s">
        <v>8</v>
      </c>
      <c r="E22" s="41" t="s">
        <v>49</v>
      </c>
      <c r="F22" s="41" t="s">
        <v>49</v>
      </c>
      <c r="G22" s="41"/>
      <c r="H22" s="41" t="s">
        <v>9</v>
      </c>
      <c r="I22" s="5" t="s">
        <v>50</v>
      </c>
      <c r="J22" s="41"/>
      <c r="K22" s="41" t="s">
        <v>51</v>
      </c>
      <c r="L22" s="5" t="s">
        <v>52</v>
      </c>
      <c r="M22" s="41" t="s">
        <v>52</v>
      </c>
      <c r="N22" s="41" t="s">
        <v>53</v>
      </c>
      <c r="O22" s="41" t="s">
        <v>54</v>
      </c>
      <c r="P22" s="41"/>
      <c r="Q22" s="41"/>
      <c r="R22" s="41"/>
      <c r="S22" s="24" t="s">
        <v>55</v>
      </c>
      <c r="T22" s="10" t="s">
        <v>55</v>
      </c>
      <c r="U22" s="41"/>
      <c r="V22" s="41"/>
      <c r="W22" s="41"/>
      <c r="X22" s="41"/>
      <c r="Y22" s="41"/>
      <c r="Z22" s="41"/>
      <c r="AA22" s="9" t="s">
        <v>118</v>
      </c>
      <c r="AB22" s="9" t="s">
        <v>118</v>
      </c>
      <c r="AC22" s="7" t="s">
        <v>119</v>
      </c>
      <c r="AD22" s="7" t="s">
        <v>119</v>
      </c>
      <c r="AE22" s="5" t="s">
        <v>20</v>
      </c>
      <c r="AF22" s="7" t="s">
        <v>118</v>
      </c>
      <c r="AG22" s="7" t="s">
        <v>118</v>
      </c>
      <c r="AH22" s="7" t="s">
        <v>119</v>
      </c>
      <c r="AI22" s="41" t="s">
        <v>56</v>
      </c>
      <c r="AJ22" s="41" t="s">
        <v>57</v>
      </c>
      <c r="AK22" s="11"/>
      <c r="AL22" s="5" t="s">
        <v>9</v>
      </c>
      <c r="AM22" s="41" t="s">
        <v>18</v>
      </c>
      <c r="AN22" s="41" t="s">
        <v>8</v>
      </c>
      <c r="AO22" s="41" t="s">
        <v>49</v>
      </c>
      <c r="AP22" s="53"/>
      <c r="AQ22" s="11"/>
      <c r="AR22" s="11"/>
      <c r="AS22" s="11"/>
      <c r="AT22" s="11"/>
      <c r="AU22" s="11"/>
      <c r="AV22" s="11"/>
      <c r="AW22" s="11"/>
      <c r="AX22" s="41"/>
      <c r="AY22" s="41"/>
      <c r="AZ22" s="41"/>
    </row>
    <row r="23" spans="1:52" ht="14.5">
      <c r="A23" s="41">
        <f ca="1">H23/(K23*SIN(RADIANS(T23)))</f>
        <v>0</v>
      </c>
      <c r="B23" s="41">
        <v>0</v>
      </c>
      <c r="C23" s="41">
        <v>0</v>
      </c>
      <c r="D23" s="41">
        <f ca="1">$B$12</f>
        <v>13348.7692872565</v>
      </c>
      <c r="E23" s="7">
        <v>0</v>
      </c>
      <c r="F23" s="7">
        <v>0</v>
      </c>
      <c r="G23" s="41"/>
      <c r="H23" s="65">
        <v>0</v>
      </c>
      <c r="I23" s="6">
        <v>15</v>
      </c>
      <c r="J23" s="41">
        <f t="shared" ref="J23:J42" si="1">SQRT((((((((L23^2)*(0.2))/(661.477)^2) + 1)^(3.5) - 1)*(1/AR23) + 1)^(1/3.5) - 1)*(5))</f>
        <v>0.14815329935885838</v>
      </c>
      <c r="K23" s="41">
        <f t="shared" ref="K23:K42" si="2">SQRT((1.4*2116.22*AR23*(J23)^2)/AV23)</f>
        <v>169.65621420800636</v>
      </c>
      <c r="L23" s="120">
        <v>98</v>
      </c>
      <c r="M23" s="41">
        <f t="shared" ref="M23:M42" si="3">K23*0.592484</f>
        <v>100.51859241881644</v>
      </c>
      <c r="N23" s="41">
        <f t="shared" ref="N23:N42" si="4">0.5*AV23*K23^2</f>
        <v>32.514831651905133</v>
      </c>
      <c r="O23" s="41">
        <f t="shared" ref="O23:O42" si="5">P23/$B$7</f>
        <v>986231.09152903175</v>
      </c>
      <c r="P23" s="41">
        <f t="shared" ref="P23:P42" si="6">(AV23*K23*$B$7)/(AW23)</f>
        <v>6332296.6165890759</v>
      </c>
      <c r="Q23" s="41">
        <f t="shared" ref="Q23:Q42" si="7">0.455/(LOG10(P23)^2.58 * (1+0.144*J23*J23)^0.65)</f>
        <v>3.2284223038040179E-3</v>
      </c>
      <c r="R23" s="41">
        <f>(((Q23*$B$4)+$B$17)+(0.05*(Q23*$B$4)))</f>
        <v>2.0587217266233526E-2</v>
      </c>
      <c r="S23" s="24">
        <f ca="1">T23</f>
        <v>18.976309225896912</v>
      </c>
      <c r="T23" s="10">
        <f t="shared" ref="T23:T42" ca="1" si="8">DEGREES(ASIN(((AF23-X23)/(D23))))</f>
        <v>18.976309225896912</v>
      </c>
      <c r="U23" s="41">
        <f t="shared" ref="U23:U42" ca="1" si="9">(D23*COS(RADIANS(S23)))/(N23*$B$3)</f>
        <v>1.6879661650827478</v>
      </c>
      <c r="V23" s="41">
        <f t="shared" ref="V23:V42" ca="1" si="10">(X23)/(N23*$B$3)</f>
        <v>0.20053523417519262</v>
      </c>
      <c r="W23" s="41">
        <f t="shared" ref="W23:W42" ca="1" si="11">U23/V23</f>
        <v>8.417304679775615</v>
      </c>
      <c r="X23" s="20">
        <f t="shared" ref="X23:X42" ca="1" si="12">(N23*$B$3*R23)+((N23*$B$3)*((U23^2)/(PI()*$B$6*$B$5)))</f>
        <v>1499.6849572808051</v>
      </c>
      <c r="Y23" s="41">
        <f t="shared" ref="Y23:Y42" si="13">SQRT(PI()*$B$6*$B$5*R23)</f>
        <v>0.57093810402541811</v>
      </c>
      <c r="Z23" s="41">
        <f t="shared" ref="Z23:Z42" ca="1" si="14">SQRT((2*((U23*N23*$B$3)/(D23))*D23)/(AV23*$B$3*$B$18))</f>
        <v>152.10447550238288</v>
      </c>
      <c r="AA23" s="14">
        <f t="shared" ref="AA23:AA42" ca="1" si="15">D23/W23</f>
        <v>1585.8721758438649</v>
      </c>
      <c r="AB23" s="9">
        <f>6280*0.93</f>
        <v>5840.4000000000005</v>
      </c>
      <c r="AC23" s="25">
        <f t="shared" ref="AC23:AC42" ca="1" si="16">AA23*K23</f>
        <v>269053.06957148388</v>
      </c>
      <c r="AD23" s="41">
        <f t="shared" ref="AD23:AD42" si="17">AB23*K23</f>
        <v>990860.15346044046</v>
      </c>
      <c r="AE23" s="6">
        <v>100</v>
      </c>
      <c r="AF23" s="41">
        <f t="shared" ref="AF23:AF42" si="18">AB23*(AE23/100)</f>
        <v>5840.4000000000005</v>
      </c>
      <c r="AG23" s="41">
        <f t="shared" ref="AG23:AG42" ca="1" si="19">AB23-AA23</f>
        <v>4254.5278241561355</v>
      </c>
      <c r="AH23" s="41">
        <f t="shared" ref="AH23:AH42" ca="1" si="20">AD23-AC23</f>
        <v>721807.08388895658</v>
      </c>
      <c r="AI23" s="41">
        <f t="shared" ref="AI23:AI42" si="21">(AP23*AF23)</f>
        <v>4309.6932836617252</v>
      </c>
      <c r="AJ23" s="13">
        <f t="shared" ref="AJ23:AJ42" ca="1" si="22">K23*SIN(RADIANS(T23))</f>
        <v>55.16832790019982</v>
      </c>
      <c r="AK23" s="11">
        <f t="shared" ref="AK23:AK42" ca="1" si="23">(AH23/D23)*60</f>
        <v>3244.3758747618849</v>
      </c>
      <c r="AL23" s="6">
        <v>400</v>
      </c>
      <c r="AM23" s="41">
        <f t="shared" ref="AM23:AM42" ca="1" si="24">AL23/AJ23</f>
        <v>7.2505369516292912</v>
      </c>
      <c r="AN23" s="41">
        <f t="shared" ref="AN23:AN42" ca="1" si="25">AI23*(AM23/3600)</f>
        <v>8.6798862231605316</v>
      </c>
      <c r="AO23" s="41">
        <f t="shared" ref="AO23:AO42" ca="1" si="26">M23*COS(RADIANS(T23))*(AM23/3600)</f>
        <v>0.19144583553395433</v>
      </c>
      <c r="AP23" s="67">
        <f>0.705 + 0.302*AZ23 + -0.0327*AZ23^2</f>
        <v>0.73791063688475522</v>
      </c>
      <c r="AQ23" s="11">
        <f t="shared" ref="AQ23:AQ42" si="27">IF(H23 &lt;= 36089, ((1 - 6.87535*10^(-6)*H23) + ((I23*1.8)/518.67)), 0.75187 + ((I23*1.8)/518.67))</f>
        <v>1.0520562207183759</v>
      </c>
      <c r="AR23" s="11">
        <f t="shared" ref="AR23:AR42" si="28">IF(H23 &lt;= 36089, (1 - 6.87535*10^(-6)*H23)^5.2561, 0.22336*EXP((36089 - H23)/(20806.7)))</f>
        <v>1</v>
      </c>
      <c r="AS23" s="11">
        <f t="shared" ref="AS23:AS42" si="29">(AR23/AQ23)</f>
        <v>0.95051954477981193</v>
      </c>
      <c r="AT23" s="11">
        <f t="shared" ref="AT23:AT42" si="30">(518.67*AQ23)</f>
        <v>545.66999999999996</v>
      </c>
      <c r="AU23" s="11">
        <f t="shared" ref="AU23:AU42" si="31">2116.22*AR23</f>
        <v>2116.2199999999998</v>
      </c>
      <c r="AV23" s="11">
        <f t="shared" ref="AV23:AV42" si="32">(0.0023769*AS23)</f>
        <v>2.259289905987135E-3</v>
      </c>
      <c r="AW23" s="11">
        <f t="shared" ref="AW23:AW42" si="33">((2.2697*10^-8)*(AT23^1.5))/(AT23+198.72)</f>
        <v>3.8865391239478742E-7</v>
      </c>
      <c r="AX23" s="41">
        <f t="shared" ref="AX23:AX42" ca="1" si="34">(1/U23)*(((1 + 0.2*(U23)^2)/1.2)^3)</f>
        <v>1.3263667907549028</v>
      </c>
      <c r="AY23" s="41">
        <f t="shared" ref="AY23:AY42" ca="1" si="35">($H$4/$H$3)*AX23</f>
        <v>1.7866424188049488</v>
      </c>
      <c r="AZ23" s="41">
        <f t="shared" ref="AZ23:AZ42" si="36">-6.6*10^(-3) + 0.825*J23 - 0.243*(J23^2)</f>
        <v>0.11029276774410569</v>
      </c>
    </row>
    <row r="24" spans="1:52" ht="14.5">
      <c r="A24" s="41">
        <f t="shared" ref="A24:A42" ca="1" si="37">A23+AM23</f>
        <v>7.2505369516292912</v>
      </c>
      <c r="B24" s="41">
        <f t="shared" ref="B24:C39" ca="1" si="38">A24/60</f>
        <v>0.12084228252715486</v>
      </c>
      <c r="C24" s="41">
        <f t="shared" ca="1" si="38"/>
        <v>2.0140380421192474E-3</v>
      </c>
      <c r="D24" s="41">
        <f t="shared" ref="D24:D42" ca="1" si="39">D23-AN23</f>
        <v>13340.08940103334</v>
      </c>
      <c r="E24" s="41">
        <f t="shared" ref="E24:E42" ca="1" si="40">E23+AO23</f>
        <v>0.19144583553395433</v>
      </c>
      <c r="F24" s="41">
        <f t="shared" ref="F24:F42" ca="1" si="41">F23+AO23</f>
        <v>0.19144583553395433</v>
      </c>
      <c r="G24" s="41"/>
      <c r="H24" s="7">
        <f t="shared" ref="H24:H42" si="42">H23+AL23</f>
        <v>400</v>
      </c>
      <c r="I24" s="6">
        <v>15</v>
      </c>
      <c r="J24" s="41">
        <f t="shared" si="1"/>
        <v>0.1541972175754886</v>
      </c>
      <c r="K24" s="41">
        <f t="shared" si="2"/>
        <v>176.3464013991312</v>
      </c>
      <c r="L24" s="6">
        <f>L23+($L$73-$L$23)/45</f>
        <v>101.26666666666667</v>
      </c>
      <c r="M24" s="41">
        <f t="shared" si="3"/>
        <v>104.48242128656285</v>
      </c>
      <c r="N24" s="41">
        <f t="shared" si="4"/>
        <v>34.715669818987806</v>
      </c>
      <c r="O24" s="41">
        <f t="shared" si="5"/>
        <v>1015074.7751472555</v>
      </c>
      <c r="P24" s="41">
        <f t="shared" si="6"/>
        <v>6517493.3334178589</v>
      </c>
      <c r="Q24" s="41">
        <f t="shared" si="7"/>
        <v>3.2125934967572414E-3</v>
      </c>
      <c r="R24" s="41">
        <f t="shared" ref="R24:R42" si="43">(((Q24*$B$4)+$B$17)+(0.1*(Q24*$B$4)))</f>
        <v>2.1334368321813138E-2</v>
      </c>
      <c r="S24" s="24">
        <f t="shared" ref="S24:S42" ca="1" si="44">T24</f>
        <v>18.924912224044888</v>
      </c>
      <c r="T24" s="10">
        <f t="shared" ca="1" si="8"/>
        <v>18.924912224044888</v>
      </c>
      <c r="U24" s="41">
        <f t="shared" ca="1" si="9"/>
        <v>1.5804144040681969</v>
      </c>
      <c r="V24" s="41">
        <f t="shared" ca="1" si="10"/>
        <v>0.17908152838015348</v>
      </c>
      <c r="W24" s="41">
        <f t="shared" ca="1" si="11"/>
        <v>8.8251112125495155</v>
      </c>
      <c r="X24" s="20">
        <f t="shared" ca="1" si="12"/>
        <v>1429.8950982827737</v>
      </c>
      <c r="Y24" s="41">
        <f t="shared" si="13"/>
        <v>0.58120601316184461</v>
      </c>
      <c r="Z24" s="41">
        <f t="shared" ca="1" si="14"/>
        <v>152.98274311696855</v>
      </c>
      <c r="AA24" s="14">
        <f t="shared" ca="1" si="15"/>
        <v>1511.6058120676621</v>
      </c>
      <c r="AB24" s="14">
        <f>$B$15*AR24*0.93</f>
        <v>5756.4695625303048</v>
      </c>
      <c r="AC24" s="25">
        <f t="shared" ca="1" si="16"/>
        <v>266566.24529214361</v>
      </c>
      <c r="AD24" s="41">
        <f t="shared" si="17"/>
        <v>1015132.6921158503</v>
      </c>
      <c r="AE24" s="6">
        <v>100</v>
      </c>
      <c r="AF24" s="41">
        <f t="shared" si="18"/>
        <v>5756.4695625303048</v>
      </c>
      <c r="AG24" s="41">
        <f t="shared" ca="1" si="19"/>
        <v>4244.8637504626422</v>
      </c>
      <c r="AH24" s="41">
        <f t="shared" ca="1" si="20"/>
        <v>748566.44682370662</v>
      </c>
      <c r="AI24" s="41">
        <f t="shared" si="21"/>
        <v>4255.4640039279993</v>
      </c>
      <c r="AJ24" s="13">
        <f t="shared" ca="1" si="22"/>
        <v>57.194207191469431</v>
      </c>
      <c r="AK24" s="11">
        <f t="shared" ca="1" si="23"/>
        <v>3366.8430142562092</v>
      </c>
      <c r="AL24" s="6">
        <f>AL23</f>
        <v>400</v>
      </c>
      <c r="AM24" s="41">
        <f t="shared" ca="1" si="24"/>
        <v>6.9937152666688309</v>
      </c>
      <c r="AN24" s="41">
        <f t="shared" ca="1" si="25"/>
        <v>8.2670843252863673</v>
      </c>
      <c r="AO24" s="41">
        <f t="shared" ca="1" si="26"/>
        <v>0.19200577840609481</v>
      </c>
      <c r="AP24" s="67">
        <f t="shared" ref="AP24:AP68" si="45">0.705 + 0.302*AZ24 + -0.0327*AZ24^2</f>
        <v>0.73924893681839854</v>
      </c>
      <c r="AQ24" s="11">
        <f t="shared" si="27"/>
        <v>1.0493060807183758</v>
      </c>
      <c r="AR24" s="11">
        <f t="shared" si="28"/>
        <v>0.98562933404052866</v>
      </c>
      <c r="AS24" s="11">
        <f t="shared" si="29"/>
        <v>0.93931537437174406</v>
      </c>
      <c r="AT24" s="11">
        <f t="shared" si="30"/>
        <v>544.24358488619998</v>
      </c>
      <c r="AU24" s="11">
        <f t="shared" si="31"/>
        <v>2085.8085092832475</v>
      </c>
      <c r="AV24" s="11">
        <f t="shared" si="32"/>
        <v>2.2326587133441986E-3</v>
      </c>
      <c r="AW24" s="11">
        <f t="shared" si="33"/>
        <v>3.8787421310272172E-7</v>
      </c>
      <c r="AX24" s="41">
        <f t="shared" ca="1" si="34"/>
        <v>1.2346990988808844</v>
      </c>
      <c r="AY24" s="41">
        <f t="shared" ca="1" si="35"/>
        <v>1.6631642166382246</v>
      </c>
      <c r="AZ24" s="41">
        <f t="shared" si="36"/>
        <v>0.1148349464961286</v>
      </c>
    </row>
    <row r="25" spans="1:52" ht="14.5">
      <c r="A25" s="41">
        <f t="shared" ca="1" si="37"/>
        <v>14.244252218298122</v>
      </c>
      <c r="B25" s="41">
        <f t="shared" ca="1" si="38"/>
        <v>0.23740420363830203</v>
      </c>
      <c r="C25" s="41">
        <f t="shared" ca="1" si="38"/>
        <v>3.9567367273050337E-3</v>
      </c>
      <c r="D25" s="41">
        <f t="shared" ca="1" si="39"/>
        <v>13331.822316708052</v>
      </c>
      <c r="E25" s="41">
        <f t="shared" ca="1" si="40"/>
        <v>0.38345161394004912</v>
      </c>
      <c r="F25" s="41">
        <f t="shared" ca="1" si="41"/>
        <v>0.38345161394004912</v>
      </c>
      <c r="G25" s="41"/>
      <c r="H25" s="7">
        <f t="shared" si="42"/>
        <v>800</v>
      </c>
      <c r="I25" s="6">
        <v>15</v>
      </c>
      <c r="J25" s="41">
        <f t="shared" si="1"/>
        <v>0.16032289180977075</v>
      </c>
      <c r="K25" s="41">
        <f t="shared" si="2"/>
        <v>183.11154678018048</v>
      </c>
      <c r="L25" s="6">
        <f t="shared" ref="L25:L68" si="46">L24+($L$73-$L$23)/45</f>
        <v>104.53333333333333</v>
      </c>
      <c r="M25" s="41">
        <f t="shared" si="3"/>
        <v>108.49066168250845</v>
      </c>
      <c r="N25" s="41">
        <f t="shared" si="4"/>
        <v>36.987911583482123</v>
      </c>
      <c r="O25" s="41">
        <f t="shared" si="5"/>
        <v>1043657.932016031</v>
      </c>
      <c r="P25" s="41">
        <f t="shared" si="6"/>
        <v>6701017.2854471626</v>
      </c>
      <c r="Q25" s="41">
        <f t="shared" si="7"/>
        <v>3.1973955612122516E-3</v>
      </c>
      <c r="R25" s="41">
        <f t="shared" si="43"/>
        <v>2.1247633243660774E-2</v>
      </c>
      <c r="S25" s="24">
        <f t="shared" ca="1" si="44"/>
        <v>18.867443992386935</v>
      </c>
      <c r="T25" s="10">
        <f t="shared" ca="1" si="8"/>
        <v>18.867443992386935</v>
      </c>
      <c r="U25" s="41">
        <f t="shared" ca="1" si="9"/>
        <v>1.4829161727812885</v>
      </c>
      <c r="V25" s="41">
        <f t="shared" ca="1" si="10"/>
        <v>0.16013181809242844</v>
      </c>
      <c r="W25" s="41">
        <f t="shared" ca="1" si="11"/>
        <v>9.2605966162536539</v>
      </c>
      <c r="X25" s="20">
        <f t="shared" ca="1" si="12"/>
        <v>1362.2765517401467</v>
      </c>
      <c r="Y25" s="41">
        <f t="shared" si="13"/>
        <v>0.58002336061787463</v>
      </c>
      <c r="Z25" s="41">
        <f t="shared" ca="1" si="14"/>
        <v>153.87369569698689</v>
      </c>
      <c r="AA25" s="14">
        <f t="shared" ca="1" si="15"/>
        <v>1439.6288780475356</v>
      </c>
      <c r="AB25" s="14">
        <f t="shared" ref="AB25:AB68" si="47">$B$15*AR25*0.93</f>
        <v>5673.5184691687655</v>
      </c>
      <c r="AC25" s="25">
        <f t="shared" ca="1" si="16"/>
        <v>263612.67064870003</v>
      </c>
      <c r="AD25" s="41">
        <f t="shared" si="17"/>
        <v>1038886.7425754144</v>
      </c>
      <c r="AE25" s="6">
        <v>100</v>
      </c>
      <c r="AF25" s="41">
        <f t="shared" si="18"/>
        <v>5673.5184691687655</v>
      </c>
      <c r="AG25" s="41">
        <f t="shared" ca="1" si="19"/>
        <v>4233.8895911212294</v>
      </c>
      <c r="AH25" s="41">
        <f t="shared" ca="1" si="20"/>
        <v>775274.07192671439</v>
      </c>
      <c r="AI25" s="41">
        <f t="shared" si="21"/>
        <v>4201.8000277515075</v>
      </c>
      <c r="AJ25" s="13">
        <f t="shared" ca="1" si="22"/>
        <v>59.21457376869968</v>
      </c>
      <c r="AK25" s="11">
        <f t="shared" ca="1" si="23"/>
        <v>3489.1287335345232</v>
      </c>
      <c r="AL25" s="6">
        <f t="shared" ref="AL25:AL67" si="48">AL24</f>
        <v>400</v>
      </c>
      <c r="AM25" s="41">
        <f t="shared" ca="1" si="24"/>
        <v>6.7550937977271497</v>
      </c>
      <c r="AN25" s="41">
        <f t="shared" ca="1" si="25"/>
        <v>7.8843203629872152</v>
      </c>
      <c r="AO25" s="41">
        <f t="shared" ca="1" si="26"/>
        <v>0.1926353439149332</v>
      </c>
      <c r="AP25" s="67">
        <f t="shared" si="45"/>
        <v>0.74059863391387148</v>
      </c>
      <c r="AQ25" s="11">
        <f t="shared" si="27"/>
        <v>1.0465559407183758</v>
      </c>
      <c r="AR25" s="11">
        <f t="shared" si="28"/>
        <v>0.97142635250475406</v>
      </c>
      <c r="AS25" s="11">
        <f t="shared" si="29"/>
        <v>0.92821254431745781</v>
      </c>
      <c r="AT25" s="11">
        <f t="shared" si="30"/>
        <v>542.81716977239989</v>
      </c>
      <c r="AU25" s="11">
        <f t="shared" si="31"/>
        <v>2055.7518756976106</v>
      </c>
      <c r="AV25" s="11">
        <f t="shared" si="32"/>
        <v>2.2062683965881655E-3</v>
      </c>
      <c r="AW25" s="11">
        <f t="shared" si="33"/>
        <v>3.8709351629330803E-7</v>
      </c>
      <c r="AX25" s="41">
        <f t="shared" ca="1" si="34"/>
        <v>1.1648056674717535</v>
      </c>
      <c r="AY25" s="41">
        <f t="shared" ca="1" si="35"/>
        <v>1.5690163759189051</v>
      </c>
      <c r="AZ25" s="41">
        <f t="shared" si="36"/>
        <v>0.11942045234096672</v>
      </c>
    </row>
    <row r="26" spans="1:52" ht="14.5">
      <c r="A26" s="41">
        <f t="shared" ca="1" si="37"/>
        <v>20.999346016025271</v>
      </c>
      <c r="B26" s="41">
        <f t="shared" ca="1" si="38"/>
        <v>0.34998910026708785</v>
      </c>
      <c r="C26" s="41">
        <f t="shared" ca="1" si="38"/>
        <v>5.8331516711181306E-3</v>
      </c>
      <c r="D26" s="41">
        <f t="shared" ca="1" si="39"/>
        <v>13323.937996345065</v>
      </c>
      <c r="E26" s="41">
        <f t="shared" ca="1" si="40"/>
        <v>0.57608695785498232</v>
      </c>
      <c r="F26" s="41">
        <f t="shared" ca="1" si="41"/>
        <v>0.57608695785498232</v>
      </c>
      <c r="G26" s="41"/>
      <c r="H26" s="7">
        <f t="shared" si="42"/>
        <v>1200</v>
      </c>
      <c r="I26" s="6">
        <v>15</v>
      </c>
      <c r="J26" s="41">
        <f t="shared" si="1"/>
        <v>0.16653135998756874</v>
      </c>
      <c r="K26" s="41">
        <f t="shared" si="2"/>
        <v>189.95242904677809</v>
      </c>
      <c r="L26" s="6">
        <f t="shared" si="46"/>
        <v>107.8</v>
      </c>
      <c r="M26" s="41">
        <f t="shared" si="3"/>
        <v>112.54377497135127</v>
      </c>
      <c r="N26" s="41">
        <f t="shared" si="4"/>
        <v>39.331417337060522</v>
      </c>
      <c r="O26" s="41">
        <f t="shared" si="5"/>
        <v>1071980.1555310232</v>
      </c>
      <c r="P26" s="41">
        <f t="shared" si="6"/>
        <v>6882865.8619914409</v>
      </c>
      <c r="Q26" s="41">
        <f t="shared" si="7"/>
        <v>3.1827830913247492E-3</v>
      </c>
      <c r="R26" s="41">
        <f t="shared" si="43"/>
        <v>2.1164239435736025E-2</v>
      </c>
      <c r="S26" s="24">
        <f t="shared" ca="1" si="44"/>
        <v>18.778432799661605</v>
      </c>
      <c r="T26" s="10">
        <f t="shared" ca="1" si="8"/>
        <v>18.778432799661605</v>
      </c>
      <c r="U26" s="41">
        <f t="shared" ca="1" si="9"/>
        <v>1.3944722864975663</v>
      </c>
      <c r="V26" s="41">
        <f t="shared" ca="1" si="10"/>
        <v>0.14397583282438189</v>
      </c>
      <c r="W26" s="41">
        <f t="shared" ca="1" si="11"/>
        <v>9.6854608106244378</v>
      </c>
      <c r="X26" s="20">
        <f t="shared" ca="1" si="12"/>
        <v>1302.437920471323</v>
      </c>
      <c r="Y26" s="41">
        <f t="shared" si="13"/>
        <v>0.57888398873679636</v>
      </c>
      <c r="Z26" s="41">
        <f t="shared" ca="1" si="14"/>
        <v>154.78901904481975</v>
      </c>
      <c r="AA26" s="14">
        <f t="shared" ca="1" si="15"/>
        <v>1375.6638178463754</v>
      </c>
      <c r="AB26" s="14">
        <f t="shared" si="47"/>
        <v>5591.5379533180067</v>
      </c>
      <c r="AC26" s="25">
        <f t="shared" ca="1" si="16"/>
        <v>261310.68375168348</v>
      </c>
      <c r="AD26" s="41">
        <f t="shared" si="17"/>
        <v>1062126.2163400054</v>
      </c>
      <c r="AE26" s="6">
        <v>100</v>
      </c>
      <c r="AF26" s="41">
        <f t="shared" si="18"/>
        <v>5591.5379533180067</v>
      </c>
      <c r="AG26" s="41">
        <f t="shared" ca="1" si="19"/>
        <v>4215.8741354716312</v>
      </c>
      <c r="AH26" s="41">
        <f t="shared" ca="1" si="20"/>
        <v>800815.53258832195</v>
      </c>
      <c r="AI26" s="41">
        <f t="shared" si="21"/>
        <v>4148.6958311300768</v>
      </c>
      <c r="AJ26" s="13">
        <f t="shared" ca="1" si="22"/>
        <v>61.147460299449996</v>
      </c>
      <c r="AK26" s="11">
        <f t="shared" ca="1" si="23"/>
        <v>3606.2110142271595</v>
      </c>
      <c r="AL26" s="6">
        <f t="shared" si="48"/>
        <v>400</v>
      </c>
      <c r="AM26" s="41">
        <f t="shared" ca="1" si="24"/>
        <v>6.5415635913761392</v>
      </c>
      <c r="AN26" s="41">
        <f t="shared" ca="1" si="25"/>
        <v>7.5385993335040222</v>
      </c>
      <c r="AO26" s="41">
        <f t="shared" ca="1" si="26"/>
        <v>0.19361779170973259</v>
      </c>
      <c r="AP26" s="67">
        <f t="shared" si="45"/>
        <v>0.74195970156444158</v>
      </c>
      <c r="AQ26" s="11">
        <f t="shared" si="27"/>
        <v>1.0438058007183759</v>
      </c>
      <c r="AR26" s="11">
        <f t="shared" si="28"/>
        <v>0.95738955436579787</v>
      </c>
      <c r="AS26" s="11">
        <f t="shared" si="29"/>
        <v>0.91721041759577882</v>
      </c>
      <c r="AT26" s="11">
        <f t="shared" si="30"/>
        <v>541.39075465860003</v>
      </c>
      <c r="AU26" s="11">
        <f t="shared" si="31"/>
        <v>2026.0469227399885</v>
      </c>
      <c r="AV26" s="11">
        <f t="shared" si="32"/>
        <v>2.1801174415834066E-3</v>
      </c>
      <c r="AW26" s="11">
        <f t="shared" si="33"/>
        <v>3.8631181883294748E-7</v>
      </c>
      <c r="AX26" s="41">
        <f t="shared" ca="1" si="34"/>
        <v>1.1119089950404113</v>
      </c>
      <c r="AY26" s="41">
        <f t="shared" ca="1" si="35"/>
        <v>1.4977635072266204</v>
      </c>
      <c r="AZ26" s="41">
        <f t="shared" si="36"/>
        <v>0.12404932738193208</v>
      </c>
    </row>
    <row r="27" spans="1:52" ht="14.5">
      <c r="A27" s="41">
        <f t="shared" ca="1" si="37"/>
        <v>27.54090960740141</v>
      </c>
      <c r="B27" s="41">
        <f t="shared" ca="1" si="38"/>
        <v>0.45901516012335686</v>
      </c>
      <c r="C27" s="41">
        <f t="shared" ca="1" si="38"/>
        <v>7.6502526687226144E-3</v>
      </c>
      <c r="D27" s="41">
        <f t="shared" ca="1" si="39"/>
        <v>13316.399397011561</v>
      </c>
      <c r="E27" s="41">
        <f t="shared" ca="1" si="40"/>
        <v>0.76970474956471491</v>
      </c>
      <c r="F27" s="41">
        <f t="shared" ca="1" si="41"/>
        <v>0.76970474956471491</v>
      </c>
      <c r="G27" s="41"/>
      <c r="H27" s="7">
        <f t="shared" si="42"/>
        <v>1600</v>
      </c>
      <c r="I27" s="6">
        <v>15</v>
      </c>
      <c r="J27" s="41">
        <f t="shared" si="1"/>
        <v>0.17282366521264966</v>
      </c>
      <c r="K27" s="41">
        <f t="shared" si="2"/>
        <v>196.86982538317088</v>
      </c>
      <c r="L27" s="6">
        <f t="shared" si="46"/>
        <v>111.06666666666666</v>
      </c>
      <c r="M27" s="41">
        <f t="shared" si="3"/>
        <v>116.64222162232262</v>
      </c>
      <c r="N27" s="41">
        <f t="shared" si="4"/>
        <v>41.746033081252619</v>
      </c>
      <c r="O27" s="41">
        <f t="shared" si="5"/>
        <v>1100040.9899706764</v>
      </c>
      <c r="P27" s="41">
        <f t="shared" si="6"/>
        <v>7063036.1369980797</v>
      </c>
      <c r="Q27" s="41">
        <f t="shared" si="7"/>
        <v>3.1687150005734644E-3</v>
      </c>
      <c r="R27" s="41">
        <f t="shared" si="43"/>
        <v>2.1083952416018438E-2</v>
      </c>
      <c r="S27" s="24">
        <f t="shared" ca="1" si="44"/>
        <v>18.662275560046908</v>
      </c>
      <c r="T27" s="10">
        <f t="shared" ca="1" si="8"/>
        <v>18.662275560046908</v>
      </c>
      <c r="U27" s="41">
        <f t="shared" ca="1" si="9"/>
        <v>1.3139742299179682</v>
      </c>
      <c r="V27" s="41">
        <f t="shared" ca="1" si="10"/>
        <v>0.13012582132662961</v>
      </c>
      <c r="W27" s="41">
        <f t="shared" ca="1" si="11"/>
        <v>10.097720932878905</v>
      </c>
      <c r="X27" s="20">
        <f t="shared" ca="1" si="12"/>
        <v>1249.4144736201288</v>
      </c>
      <c r="Y27" s="41">
        <f t="shared" si="13"/>
        <v>0.57778494069571729</v>
      </c>
      <c r="Z27" s="41">
        <f t="shared" ca="1" si="14"/>
        <v>155.72664694530201</v>
      </c>
      <c r="AA27" s="14">
        <f t="shared" ca="1" si="15"/>
        <v>1318.7529627257184</v>
      </c>
      <c r="AB27" s="14">
        <f t="shared" si="47"/>
        <v>5510.5193029042548</v>
      </c>
      <c r="AC27" s="25">
        <f t="shared" ca="1" si="16"/>
        <v>259622.66549535142</v>
      </c>
      <c r="AD27" s="41">
        <f t="shared" si="17"/>
        <v>1084854.9729333532</v>
      </c>
      <c r="AE27" s="6">
        <v>100</v>
      </c>
      <c r="AF27" s="41">
        <f t="shared" si="18"/>
        <v>5510.5193029042548</v>
      </c>
      <c r="AG27" s="41">
        <f t="shared" ca="1" si="19"/>
        <v>4191.7663401785367</v>
      </c>
      <c r="AH27" s="41">
        <f t="shared" ca="1" si="20"/>
        <v>825232.30743800174</v>
      </c>
      <c r="AI27" s="41">
        <f t="shared" si="21"/>
        <v>4096.1459256489788</v>
      </c>
      <c r="AJ27" s="13">
        <f t="shared" ca="1" si="22"/>
        <v>62.996230337519947</v>
      </c>
      <c r="AK27" s="11">
        <f t="shared" ca="1" si="23"/>
        <v>3718.2677516710651</v>
      </c>
      <c r="AL27" s="6">
        <f t="shared" si="48"/>
        <v>400</v>
      </c>
      <c r="AM27" s="41">
        <f t="shared" ca="1" si="24"/>
        <v>6.3495862824948093</v>
      </c>
      <c r="AN27" s="41">
        <f t="shared" ca="1" si="25"/>
        <v>7.2246755501660447</v>
      </c>
      <c r="AO27" s="41">
        <f t="shared" ca="1" si="26"/>
        <v>0.19491344407385905</v>
      </c>
      <c r="AP27" s="67">
        <f t="shared" si="45"/>
        <v>0.74333210728254828</v>
      </c>
      <c r="AQ27" s="11">
        <f t="shared" si="27"/>
        <v>1.0410556607183759</v>
      </c>
      <c r="AR27" s="11">
        <f t="shared" si="28"/>
        <v>0.94351744793237702</v>
      </c>
      <c r="AS27" s="11">
        <f t="shared" si="29"/>
        <v>0.9063083594217306</v>
      </c>
      <c r="AT27" s="11">
        <f t="shared" si="30"/>
        <v>539.96433954479994</v>
      </c>
      <c r="AU27" s="11">
        <f t="shared" si="31"/>
        <v>1996.6904936634546</v>
      </c>
      <c r="AV27" s="11">
        <f t="shared" si="32"/>
        <v>2.1542043395095115E-3</v>
      </c>
      <c r="AW27" s="11">
        <f t="shared" si="33"/>
        <v>3.8552911757425648E-7</v>
      </c>
      <c r="AX27" s="41">
        <f t="shared" ca="1" si="34"/>
        <v>1.0723395346633049</v>
      </c>
      <c r="AY27" s="41">
        <f t="shared" ca="1" si="35"/>
        <v>1.4444626579504387</v>
      </c>
      <c r="AZ27" s="41">
        <f t="shared" si="36"/>
        <v>0.12872159512085518</v>
      </c>
    </row>
    <row r="28" spans="1:52" ht="14.5">
      <c r="A28" s="41">
        <f t="shared" ca="1" si="37"/>
        <v>33.890495889896222</v>
      </c>
      <c r="B28" s="41">
        <f t="shared" ca="1" si="38"/>
        <v>0.56484159816493706</v>
      </c>
      <c r="C28" s="41">
        <f t="shared" ca="1" si="38"/>
        <v>9.4140266360822848E-3</v>
      </c>
      <c r="D28" s="41">
        <f t="shared" ca="1" si="39"/>
        <v>13309.174721461395</v>
      </c>
      <c r="E28" s="41">
        <f t="shared" ca="1" si="40"/>
        <v>0.96461819363857393</v>
      </c>
      <c r="F28" s="41">
        <f t="shared" ca="1" si="41"/>
        <v>0.96461819363857393</v>
      </c>
      <c r="G28" s="41"/>
      <c r="H28" s="7">
        <f t="shared" si="42"/>
        <v>2000</v>
      </c>
      <c r="I28" s="6">
        <v>15</v>
      </c>
      <c r="J28" s="41">
        <f t="shared" si="1"/>
        <v>0.17920085534194574</v>
      </c>
      <c r="K28" s="41">
        <f t="shared" si="2"/>
        <v>203.86451091138213</v>
      </c>
      <c r="L28" s="6">
        <f t="shared" si="46"/>
        <v>114.33333333333333</v>
      </c>
      <c r="M28" s="41">
        <f t="shared" si="3"/>
        <v>120.78646088281933</v>
      </c>
      <c r="N28" s="41">
        <f t="shared" si="4"/>
        <v>44.231589542713245</v>
      </c>
      <c r="O28" s="41">
        <f t="shared" si="5"/>
        <v>1127839.9297405616</v>
      </c>
      <c r="P28" s="41">
        <f t="shared" si="6"/>
        <v>7241524.8641955685</v>
      </c>
      <c r="Q28" s="41">
        <f t="shared" si="7"/>
        <v>3.1551539887955948E-3</v>
      </c>
      <c r="R28" s="41">
        <f t="shared" si="43"/>
        <v>2.1006559311349923E-2</v>
      </c>
      <c r="S28" s="24">
        <f t="shared" ca="1" si="44"/>
        <v>18.522685466961367</v>
      </c>
      <c r="T28" s="10">
        <f t="shared" ca="1" si="8"/>
        <v>18.522685466961367</v>
      </c>
      <c r="U28" s="41">
        <f t="shared" ca="1" si="9"/>
        <v>1.2404799667963988</v>
      </c>
      <c r="V28" s="41">
        <f t="shared" ca="1" si="10"/>
        <v>0.1181915283990396</v>
      </c>
      <c r="W28" s="41">
        <f t="shared" ca="1" si="11"/>
        <v>10.495506603555173</v>
      </c>
      <c r="X28" s="20">
        <f t="shared" ca="1" si="12"/>
        <v>1202.3938094616187</v>
      </c>
      <c r="Y28" s="41">
        <f t="shared" si="13"/>
        <v>0.57672352487571144</v>
      </c>
      <c r="Z28" s="41">
        <f t="shared" ca="1" si="14"/>
        <v>156.68479717480739</v>
      </c>
      <c r="AA28" s="14">
        <f t="shared" ca="1" si="15"/>
        <v>1268.0831163455359</v>
      </c>
      <c r="AB28" s="14">
        <f t="shared" si="47"/>
        <v>5430.4538601880595</v>
      </c>
      <c r="AC28" s="25">
        <f t="shared" ca="1" si="16"/>
        <v>258517.14430876396</v>
      </c>
      <c r="AD28" s="41">
        <f t="shared" si="17"/>
        <v>1107076.8202340659</v>
      </c>
      <c r="AE28" s="6">
        <v>100</v>
      </c>
      <c r="AF28" s="41">
        <f t="shared" si="18"/>
        <v>5430.4538601880595</v>
      </c>
      <c r="AG28" s="41">
        <f t="shared" ca="1" si="19"/>
        <v>4162.3707438425236</v>
      </c>
      <c r="AH28" s="41">
        <f t="shared" ca="1" si="20"/>
        <v>848559.67592530185</v>
      </c>
      <c r="AI28" s="41">
        <f t="shared" si="21"/>
        <v>4044.1448586717697</v>
      </c>
      <c r="AJ28" s="13">
        <f t="shared" ca="1" si="22"/>
        <v>64.763699657153055</v>
      </c>
      <c r="AK28" s="11">
        <f t="shared" ca="1" si="23"/>
        <v>3825.4498585414631</v>
      </c>
      <c r="AL28" s="6">
        <f t="shared" si="48"/>
        <v>400</v>
      </c>
      <c r="AM28" s="41">
        <f t="shared" ca="1" si="24"/>
        <v>6.1762994102796069</v>
      </c>
      <c r="AN28" s="41">
        <f t="shared" ca="1" si="25"/>
        <v>6.9382915293610425</v>
      </c>
      <c r="AO28" s="41">
        <f t="shared" ca="1" si="26"/>
        <v>0.19649120147280599</v>
      </c>
      <c r="AP28" s="67">
        <f t="shared" si="45"/>
        <v>0.74471581248859353</v>
      </c>
      <c r="AQ28" s="11">
        <f t="shared" si="27"/>
        <v>1.0383055207183758</v>
      </c>
      <c r="AR28" s="11">
        <f t="shared" si="28"/>
        <v>0.92980855081639258</v>
      </c>
      <c r="AS28" s="11">
        <f t="shared" si="29"/>
        <v>0.89550573724493243</v>
      </c>
      <c r="AT28" s="11">
        <f t="shared" si="30"/>
        <v>538.53792443099996</v>
      </c>
      <c r="AU28" s="11">
        <f t="shared" si="31"/>
        <v>1967.6794514086662</v>
      </c>
      <c r="AV28" s="11">
        <f t="shared" si="32"/>
        <v>2.12852758685748E-3</v>
      </c>
      <c r="AW28" s="11">
        <f t="shared" si="33"/>
        <v>3.8474540935600882E-7</v>
      </c>
      <c r="AX28" s="41">
        <f t="shared" ca="1" si="34"/>
        <v>1.0433950507530214</v>
      </c>
      <c r="AY28" s="41">
        <f t="shared" ca="1" si="35"/>
        <v>1.4054738630673149</v>
      </c>
      <c r="AZ28" s="41">
        <f t="shared" si="36"/>
        <v>0.13343725964417097</v>
      </c>
    </row>
    <row r="29" spans="1:52" ht="14.5">
      <c r="A29" s="41">
        <f t="shared" ca="1" si="37"/>
        <v>40.066795300175826</v>
      </c>
      <c r="B29" s="41">
        <f t="shared" ca="1" si="38"/>
        <v>0.6677799216695971</v>
      </c>
      <c r="C29" s="41">
        <f t="shared" ca="1" si="38"/>
        <v>1.1129665361159951E-2</v>
      </c>
      <c r="D29" s="41">
        <f t="shared" ca="1" si="39"/>
        <v>13302.236429932034</v>
      </c>
      <c r="E29" s="41">
        <f t="shared" ca="1" si="40"/>
        <v>1.16110939511138</v>
      </c>
      <c r="F29" s="41">
        <f t="shared" ca="1" si="41"/>
        <v>1.16110939511138</v>
      </c>
      <c r="G29" s="41"/>
      <c r="H29" s="7">
        <f t="shared" si="42"/>
        <v>2400</v>
      </c>
      <c r="I29" s="6">
        <v>15</v>
      </c>
      <c r="J29" s="41">
        <f t="shared" si="1"/>
        <v>0.18566398253635741</v>
      </c>
      <c r="K29" s="41">
        <f t="shared" si="2"/>
        <v>210.93725811601769</v>
      </c>
      <c r="L29" s="6">
        <f t="shared" si="46"/>
        <v>117.6</v>
      </c>
      <c r="M29" s="41">
        <f t="shared" si="3"/>
        <v>124.97695043761063</v>
      </c>
      <c r="N29" s="41">
        <f t="shared" si="4"/>
        <v>46.787901261112857</v>
      </c>
      <c r="O29" s="41">
        <f t="shared" si="5"/>
        <v>1155376.418632502</v>
      </c>
      <c r="P29" s="41">
        <f t="shared" si="6"/>
        <v>7418328.4723365754</v>
      </c>
      <c r="Q29" s="41">
        <f t="shared" si="7"/>
        <v>3.1420660878937741E-3</v>
      </c>
      <c r="R29" s="41">
        <f t="shared" si="43"/>
        <v>2.0931866264770709E-2</v>
      </c>
      <c r="S29" s="24">
        <f t="shared" ca="1" si="44"/>
        <v>18.362814481983985</v>
      </c>
      <c r="T29" s="10">
        <f t="shared" ca="1" si="8"/>
        <v>18.362814481983985</v>
      </c>
      <c r="U29" s="41">
        <f t="shared" ca="1" si="9"/>
        <v>1.1731846999791899</v>
      </c>
      <c r="V29" s="41">
        <f t="shared" ca="1" si="10"/>
        <v>0.10785840195474916</v>
      </c>
      <c r="W29" s="41">
        <f t="shared" ca="1" si="11"/>
        <v>10.877082162513283</v>
      </c>
      <c r="X29" s="20">
        <f t="shared" ca="1" si="12"/>
        <v>1160.687699993252</v>
      </c>
      <c r="Y29" s="41">
        <f t="shared" si="13"/>
        <v>0.57569728356834504</v>
      </c>
      <c r="Z29" s="41">
        <f t="shared" ca="1" si="14"/>
        <v>157.66193209451575</v>
      </c>
      <c r="AA29" s="14">
        <f t="shared" ca="1" si="15"/>
        <v>1222.960002616951</v>
      </c>
      <c r="AB29" s="14">
        <f t="shared" si="47"/>
        <v>5351.3330215750666</v>
      </c>
      <c r="AC29" s="25">
        <f t="shared" ca="1" si="16"/>
        <v>257967.82973757747</v>
      </c>
      <c r="AD29" s="41">
        <f t="shared" si="17"/>
        <v>1128795.5148367486</v>
      </c>
      <c r="AE29" s="6">
        <v>100</v>
      </c>
      <c r="AF29" s="41">
        <f t="shared" si="18"/>
        <v>5351.3330215750666</v>
      </c>
      <c r="AG29" s="41">
        <f t="shared" ca="1" si="19"/>
        <v>4128.3730189581156</v>
      </c>
      <c r="AH29" s="41">
        <f t="shared" ca="1" si="20"/>
        <v>870827.68509917113</v>
      </c>
      <c r="AI29" s="41">
        <f t="shared" si="21"/>
        <v>3992.6872135438834</v>
      </c>
      <c r="AJ29" s="13">
        <f t="shared" ca="1" si="22"/>
        <v>66.452226926453861</v>
      </c>
      <c r="AK29" s="11">
        <f t="shared" ca="1" si="23"/>
        <v>3927.8854635586436</v>
      </c>
      <c r="AL29" s="6">
        <f t="shared" si="48"/>
        <v>400</v>
      </c>
      <c r="AM29" s="41">
        <f t="shared" ca="1" si="24"/>
        <v>6.0193618558893567</v>
      </c>
      <c r="AN29" s="41">
        <f t="shared" ca="1" si="25"/>
        <v>6.6759525321397817</v>
      </c>
      <c r="AO29" s="41">
        <f t="shared" ca="1" si="26"/>
        <v>0.19832661660785231</v>
      </c>
      <c r="AP29" s="67">
        <f t="shared" si="45"/>
        <v>0.74611077229663969</v>
      </c>
      <c r="AQ29" s="11">
        <f t="shared" si="27"/>
        <v>1.0355553807183759</v>
      </c>
      <c r="AR29" s="11">
        <f t="shared" si="28"/>
        <v>0.91626138990053196</v>
      </c>
      <c r="AS29" s="11">
        <f t="shared" si="29"/>
        <v>0.88480192074798703</v>
      </c>
      <c r="AT29" s="11">
        <f t="shared" si="30"/>
        <v>537.11150931719999</v>
      </c>
      <c r="AU29" s="11">
        <f t="shared" si="31"/>
        <v>1939.0106785353037</v>
      </c>
      <c r="AV29" s="11">
        <f t="shared" si="32"/>
        <v>2.1030856854258903E-3</v>
      </c>
      <c r="AW29" s="11">
        <f t="shared" si="33"/>
        <v>3.8396069100306597E-7</v>
      </c>
      <c r="AX29" s="41">
        <f t="shared" ca="1" si="34"/>
        <v>1.0230546240577481</v>
      </c>
      <c r="AY29" s="41">
        <f t="shared" ca="1" si="35"/>
        <v>1.3780749041943441</v>
      </c>
      <c r="AZ29" s="41">
        <f t="shared" si="36"/>
        <v>0.1381963047905585</v>
      </c>
    </row>
    <row r="30" spans="1:52" ht="14.5">
      <c r="A30" s="41">
        <f t="shared" ca="1" si="37"/>
        <v>46.086157156065184</v>
      </c>
      <c r="B30" s="41">
        <f t="shared" ca="1" si="38"/>
        <v>0.76810261926775303</v>
      </c>
      <c r="C30" s="41">
        <f t="shared" ca="1" si="38"/>
        <v>1.2801710321129218E-2</v>
      </c>
      <c r="D30" s="41">
        <f t="shared" ca="1" si="39"/>
        <v>13295.560477399895</v>
      </c>
      <c r="E30" s="41">
        <f t="shared" ca="1" si="40"/>
        <v>1.3594360117192323</v>
      </c>
      <c r="F30" s="41">
        <f t="shared" ca="1" si="41"/>
        <v>1.3594360117192323</v>
      </c>
      <c r="G30" s="41"/>
      <c r="H30" s="7">
        <f t="shared" si="42"/>
        <v>2800</v>
      </c>
      <c r="I30" s="6">
        <v>15</v>
      </c>
      <c r="J30" s="41">
        <f t="shared" si="1"/>
        <v>0.19221410278658932</v>
      </c>
      <c r="K30" s="41">
        <f t="shared" si="2"/>
        <v>218.08883624441978</v>
      </c>
      <c r="L30" s="6">
        <f t="shared" si="46"/>
        <v>120.86666666666666</v>
      </c>
      <c r="M30" s="41">
        <f t="shared" si="3"/>
        <v>129.21414605343881</v>
      </c>
      <c r="N30" s="41">
        <f t="shared" si="4"/>
        <v>49.414765649683325</v>
      </c>
      <c r="O30" s="41">
        <f t="shared" si="5"/>
        <v>1182649.8491016855</v>
      </c>
      <c r="P30" s="41">
        <f t="shared" si="6"/>
        <v>7593443.0605564946</v>
      </c>
      <c r="Q30" s="41">
        <f t="shared" si="7"/>
        <v>3.1294202727682107E-3</v>
      </c>
      <c r="R30" s="41">
        <f t="shared" si="43"/>
        <v>2.0859696215097243E-2</v>
      </c>
      <c r="S30" s="24">
        <f t="shared" ca="1" si="44"/>
        <v>18.185351174195635</v>
      </c>
      <c r="T30" s="10">
        <f t="shared" ca="1" si="8"/>
        <v>18.185351174195635</v>
      </c>
      <c r="U30" s="41">
        <f t="shared" ca="1" si="9"/>
        <v>1.1113974430053741</v>
      </c>
      <c r="V30" s="41">
        <f t="shared" ca="1" si="10"/>
        <v>9.8871151097794749E-2</v>
      </c>
      <c r="W30" s="41">
        <f t="shared" ca="1" si="11"/>
        <v>11.240866831883816</v>
      </c>
      <c r="X30" s="20">
        <f t="shared" ca="1" si="12"/>
        <v>1123.7097950327504</v>
      </c>
      <c r="Y30" s="41">
        <f t="shared" si="13"/>
        <v>0.57470396611015317</v>
      </c>
      <c r="Z30" s="41">
        <f t="shared" ca="1" si="14"/>
        <v>158.65672463027531</v>
      </c>
      <c r="AA30" s="14">
        <f t="shared" ca="1" si="15"/>
        <v>1182.7878291101274</v>
      </c>
      <c r="AB30" s="14">
        <f t="shared" si="47"/>
        <v>5273.1482374269854</v>
      </c>
      <c r="AC30" s="25">
        <f t="shared" ca="1" si="16"/>
        <v>257952.82117469134</v>
      </c>
      <c r="AD30" s="41">
        <f t="shared" si="17"/>
        <v>1150014.7624447646</v>
      </c>
      <c r="AE30" s="6">
        <v>100</v>
      </c>
      <c r="AF30" s="41">
        <f t="shared" si="18"/>
        <v>5273.1482374269854</v>
      </c>
      <c r="AG30" s="41">
        <f t="shared" ca="1" si="19"/>
        <v>4090.360408316858</v>
      </c>
      <c r="AH30" s="41">
        <f t="shared" ca="1" si="20"/>
        <v>892061.94127007329</v>
      </c>
      <c r="AI30" s="41">
        <f t="shared" si="21"/>
        <v>3941.7676098094498</v>
      </c>
      <c r="AJ30" s="13">
        <f t="shared" ca="1" si="22"/>
        <v>68.063787345246965</v>
      </c>
      <c r="AK30" s="11">
        <f t="shared" ca="1" si="23"/>
        <v>4025.6833525134398</v>
      </c>
      <c r="AL30" s="6">
        <f t="shared" si="48"/>
        <v>400</v>
      </c>
      <c r="AM30" s="41">
        <f t="shared" ca="1" si="24"/>
        <v>5.876840175981374</v>
      </c>
      <c r="AN30" s="41">
        <f t="shared" ca="1" si="25"/>
        <v>6.4347606260306245</v>
      </c>
      <c r="AO30" s="41">
        <f t="shared" ca="1" si="26"/>
        <v>0.20040048142267392</v>
      </c>
      <c r="AP30" s="67">
        <f t="shared" si="45"/>
        <v>0.74751693529723751</v>
      </c>
      <c r="AQ30" s="11">
        <f t="shared" si="27"/>
        <v>1.0328052407183759</v>
      </c>
      <c r="AR30" s="11">
        <f t="shared" si="28"/>
        <v>0.90287450130590108</v>
      </c>
      <c r="AS30" s="11">
        <f t="shared" si="29"/>
        <v>0.87419628184487097</v>
      </c>
      <c r="AT30" s="11">
        <f t="shared" si="30"/>
        <v>535.68509420340001</v>
      </c>
      <c r="AU30" s="11">
        <f t="shared" si="31"/>
        <v>1910.6810771535738</v>
      </c>
      <c r="AV30" s="11">
        <f t="shared" si="32"/>
        <v>2.0778771423170736E-3</v>
      </c>
      <c r="AW30" s="11">
        <f t="shared" si="33"/>
        <v>3.8317495932631526E-7</v>
      </c>
      <c r="AX30" s="41">
        <f t="shared" ca="1" si="34"/>
        <v>1.0097849985433889</v>
      </c>
      <c r="AY30" s="41">
        <f t="shared" ca="1" si="35"/>
        <v>1.3602004549915583</v>
      </c>
      <c r="AZ30" s="41">
        <f t="shared" si="36"/>
        <v>0.1429986933005932</v>
      </c>
    </row>
    <row r="31" spans="1:52" ht="14.5">
      <c r="A31" s="41">
        <f t="shared" ca="1" si="37"/>
        <v>51.962997332046555</v>
      </c>
      <c r="B31" s="41">
        <f t="shared" ca="1" si="38"/>
        <v>0.86604995553410924</v>
      </c>
      <c r="C31" s="41">
        <f t="shared" ca="1" si="38"/>
        <v>1.4434165925568487E-2</v>
      </c>
      <c r="D31" s="41">
        <f t="shared" ca="1" si="39"/>
        <v>13289.125716773864</v>
      </c>
      <c r="E31" s="41">
        <f t="shared" ca="1" si="40"/>
        <v>1.5598364931419062</v>
      </c>
      <c r="F31" s="41">
        <f t="shared" ca="1" si="41"/>
        <v>1.5598364931419062</v>
      </c>
      <c r="G31" s="41"/>
      <c r="H31" s="7">
        <f t="shared" si="42"/>
        <v>3200</v>
      </c>
      <c r="I31" s="6">
        <v>15</v>
      </c>
      <c r="J31" s="41">
        <f t="shared" si="1"/>
        <v>0.19885227541342065</v>
      </c>
      <c r="K31" s="41">
        <f t="shared" si="2"/>
        <v>225.3200106817701</v>
      </c>
      <c r="L31" s="6">
        <f t="shared" si="46"/>
        <v>124.13333333333333</v>
      </c>
      <c r="M31" s="41">
        <f t="shared" si="3"/>
        <v>133.49850120877787</v>
      </c>
      <c r="N31" s="41">
        <f t="shared" si="4"/>
        <v>52.111962028479965</v>
      </c>
      <c r="O31" s="41">
        <f t="shared" si="5"/>
        <v>1209659.5615644325</v>
      </c>
      <c r="P31" s="41">
        <f t="shared" si="6"/>
        <v>7766864.3938646242</v>
      </c>
      <c r="Q31" s="41">
        <f t="shared" si="7"/>
        <v>3.1171881266239677E-3</v>
      </c>
      <c r="R31" s="41">
        <f t="shared" si="43"/>
        <v>2.0789886986820716E-2</v>
      </c>
      <c r="S31" s="24">
        <f t="shared" ca="1" si="44"/>
        <v>17.992599353654306</v>
      </c>
      <c r="T31" s="10">
        <f t="shared" ca="1" si="8"/>
        <v>17.992599353654306</v>
      </c>
      <c r="U31" s="41">
        <f t="shared" ca="1" si="9"/>
        <v>1.0545221279413921</v>
      </c>
      <c r="V31" s="41">
        <f t="shared" ca="1" si="10"/>
        <v>9.1021231967825786E-2</v>
      </c>
      <c r="W31" s="41">
        <f t="shared" ca="1" si="11"/>
        <v>11.585452153780395</v>
      </c>
      <c r="X31" s="20">
        <f t="shared" ca="1" si="12"/>
        <v>1090.957846341345</v>
      </c>
      <c r="Y31" s="41">
        <f t="shared" si="13"/>
        <v>0.57374150571739213</v>
      </c>
      <c r="Z31" s="41">
        <f t="shared" ca="1" si="14"/>
        <v>159.66802908147972</v>
      </c>
      <c r="AA31" s="14">
        <f t="shared" ca="1" si="15"/>
        <v>1147.052833189385</v>
      </c>
      <c r="AB31" s="14">
        <f t="shared" si="47"/>
        <v>5195.8910118726662</v>
      </c>
      <c r="AC31" s="25">
        <f t="shared" ca="1" si="16"/>
        <v>258453.95662678688</v>
      </c>
      <c r="AD31" s="41">
        <f t="shared" si="17"/>
        <v>1170738.2182964624</v>
      </c>
      <c r="AE31" s="6">
        <v>100</v>
      </c>
      <c r="AF31" s="41">
        <f t="shared" si="18"/>
        <v>5195.8910118726662</v>
      </c>
      <c r="AG31" s="41">
        <f t="shared" ca="1" si="19"/>
        <v>4048.8381786832815</v>
      </c>
      <c r="AH31" s="41">
        <f t="shared" ca="1" si="20"/>
        <v>912284.26166967559</v>
      </c>
      <c r="AI31" s="41">
        <f t="shared" si="21"/>
        <v>3891.3807034415172</v>
      </c>
      <c r="AJ31" s="13">
        <f t="shared" ca="1" si="22"/>
        <v>69.60003271983561</v>
      </c>
      <c r="AK31" s="11">
        <f t="shared" ca="1" si="23"/>
        <v>4118.9358026081482</v>
      </c>
      <c r="AL31" s="6">
        <f t="shared" si="48"/>
        <v>400</v>
      </c>
      <c r="AM31" s="41">
        <f t="shared" ca="1" si="24"/>
        <v>5.747123734986439</v>
      </c>
      <c r="AN31" s="41">
        <f t="shared" ca="1" si="25"/>
        <v>6.2122906673936029</v>
      </c>
      <c r="AO31" s="41">
        <f t="shared" ca="1" si="26"/>
        <v>0.20269777658175508</v>
      </c>
      <c r="AP31" s="67">
        <f t="shared" si="45"/>
        <v>0.74893424333760483</v>
      </c>
      <c r="AQ31" s="11">
        <f t="shared" si="27"/>
        <v>1.0300551007183758</v>
      </c>
      <c r="AR31" s="11">
        <f t="shared" si="28"/>
        <v>0.88964643035967839</v>
      </c>
      <c r="AS31" s="11">
        <f t="shared" si="29"/>
        <v>0.86368819467931923</v>
      </c>
      <c r="AT31" s="11">
        <f t="shared" si="30"/>
        <v>534.25867908959992</v>
      </c>
      <c r="AU31" s="11">
        <f t="shared" si="31"/>
        <v>1882.6875688557584</v>
      </c>
      <c r="AV31" s="11">
        <f t="shared" si="32"/>
        <v>2.052900469933274E-3</v>
      </c>
      <c r="AW31" s="11">
        <f t="shared" si="33"/>
        <v>3.8238821112260357E-7</v>
      </c>
      <c r="AX31" s="41">
        <f t="shared" ca="1" si="34"/>
        <v>1.0024072397917931</v>
      </c>
      <c r="AY31" s="41">
        <f t="shared" ca="1" si="35"/>
        <v>1.3502624673751704</v>
      </c>
      <c r="AZ31" s="41">
        <f t="shared" si="36"/>
        <v>0.147844365948858</v>
      </c>
    </row>
    <row r="32" spans="1:52" ht="14.5">
      <c r="A32" s="41">
        <f t="shared" ca="1" si="37"/>
        <v>57.710121067032993</v>
      </c>
      <c r="B32" s="41">
        <f t="shared" ca="1" si="38"/>
        <v>0.96183535111721652</v>
      </c>
      <c r="C32" s="41">
        <f t="shared" ca="1" si="38"/>
        <v>1.6030589185286943E-2</v>
      </c>
      <c r="D32" s="41">
        <f t="shared" ca="1" si="39"/>
        <v>13282.91342610647</v>
      </c>
      <c r="E32" s="41">
        <f t="shared" ca="1" si="40"/>
        <v>1.7625342697236612</v>
      </c>
      <c r="F32" s="41">
        <f t="shared" ca="1" si="41"/>
        <v>1.7625342697236612</v>
      </c>
      <c r="G32" s="41"/>
      <c r="H32" s="7">
        <f t="shared" si="42"/>
        <v>3600</v>
      </c>
      <c r="I32" s="6">
        <v>15</v>
      </c>
      <c r="J32" s="41">
        <f t="shared" si="1"/>
        <v>0.20557956254196935</v>
      </c>
      <c r="K32" s="41">
        <f t="shared" si="2"/>
        <v>232.63154230092914</v>
      </c>
      <c r="L32" s="6">
        <f t="shared" si="46"/>
        <v>127.39999999999999</v>
      </c>
      <c r="M32" s="41">
        <f t="shared" si="3"/>
        <v>137.8304667086237</v>
      </c>
      <c r="N32" s="41">
        <f t="shared" si="4"/>
        <v>54.879250630574994</v>
      </c>
      <c r="O32" s="41">
        <f t="shared" si="5"/>
        <v>1236404.8437201811</v>
      </c>
      <c r="P32" s="41">
        <f t="shared" si="6"/>
        <v>7938587.8987908354</v>
      </c>
      <c r="Q32" s="41">
        <f t="shared" si="7"/>
        <v>3.1053435518439971E-3</v>
      </c>
      <c r="R32" s="41">
        <f t="shared" si="43"/>
        <v>2.0722289640050753E-2</v>
      </c>
      <c r="S32" s="24">
        <f t="shared" ca="1" si="44"/>
        <v>17.786541650752646</v>
      </c>
      <c r="T32" s="10">
        <f t="shared" ca="1" si="8"/>
        <v>17.786541650752646</v>
      </c>
      <c r="U32" s="41">
        <f t="shared" ca="1" si="9"/>
        <v>1.0020422771442854</v>
      </c>
      <c r="V32" s="41">
        <f t="shared" ca="1" si="10"/>
        <v>8.4137243574952975E-2</v>
      </c>
      <c r="W32" s="41">
        <f t="shared" ca="1" si="11"/>
        <v>11.909616176712804</v>
      </c>
      <c r="X32" s="20">
        <f t="shared" ca="1" si="12"/>
        <v>1061.9994418285833</v>
      </c>
      <c r="Y32" s="41">
        <f t="shared" si="13"/>
        <v>0.57280799942883687</v>
      </c>
      <c r="Z32" s="41">
        <f t="shared" ca="1" si="14"/>
        <v>160.69485616095818</v>
      </c>
      <c r="AA32" s="14">
        <f t="shared" ca="1" si="15"/>
        <v>1115.3099502970474</v>
      </c>
      <c r="AB32" s="14">
        <f t="shared" si="47"/>
        <v>5119.5529026193071</v>
      </c>
      <c r="AC32" s="25">
        <f t="shared" ca="1" si="16"/>
        <v>259456.27388117477</v>
      </c>
      <c r="AD32" s="41">
        <f t="shared" si="17"/>
        <v>1190969.4876275279</v>
      </c>
      <c r="AE32" s="6">
        <v>100</v>
      </c>
      <c r="AF32" s="41">
        <f t="shared" si="18"/>
        <v>5119.5529026193071</v>
      </c>
      <c r="AG32" s="41">
        <f t="shared" ca="1" si="19"/>
        <v>4004.24295232226</v>
      </c>
      <c r="AH32" s="41">
        <f t="shared" ca="1" si="20"/>
        <v>931513.21374635317</v>
      </c>
      <c r="AI32" s="41">
        <f t="shared" si="21"/>
        <v>3841.5211870860307</v>
      </c>
      <c r="AJ32" s="13">
        <f t="shared" ca="1" si="22"/>
        <v>71.062340713373302</v>
      </c>
      <c r="AK32" s="11">
        <f t="shared" ca="1" si="23"/>
        <v>4207.7209292753832</v>
      </c>
      <c r="AL32" s="6">
        <f t="shared" si="48"/>
        <v>400</v>
      </c>
      <c r="AM32" s="41">
        <f t="shared" ca="1" si="24"/>
        <v>5.62886046230002</v>
      </c>
      <c r="AN32" s="41">
        <f t="shared" ca="1" si="25"/>
        <v>6.0064963125212216</v>
      </c>
      <c r="AO32" s="41">
        <f t="shared" ca="1" si="26"/>
        <v>0.20520688145287944</v>
      </c>
      <c r="AP32" s="67">
        <f t="shared" si="45"/>
        <v>0.75036263129942471</v>
      </c>
      <c r="AQ32" s="11">
        <f t="shared" si="27"/>
        <v>1.0273049607183757</v>
      </c>
      <c r="AR32" s="11">
        <f t="shared" si="28"/>
        <v>0.8765757315627879</v>
      </c>
      <c r="AS32" s="11">
        <f t="shared" si="29"/>
        <v>0.85327703562320423</v>
      </c>
      <c r="AT32" s="11">
        <f t="shared" si="30"/>
        <v>532.83226397579995</v>
      </c>
      <c r="AU32" s="11">
        <f t="shared" si="31"/>
        <v>1855.0270946478029</v>
      </c>
      <c r="AV32" s="11">
        <f t="shared" si="32"/>
        <v>2.0281541859727939E-3</v>
      </c>
      <c r="AW32" s="11">
        <f t="shared" si="33"/>
        <v>3.816004431746755E-7</v>
      </c>
      <c r="AX32" s="41">
        <f t="shared" ca="1" si="34"/>
        <v>1.0000034718134845</v>
      </c>
      <c r="AY32" s="41">
        <f t="shared" ca="1" si="35"/>
        <v>1.347024544151409</v>
      </c>
      <c r="AZ32" s="41">
        <f t="shared" si="36"/>
        <v>0.15273324065913246</v>
      </c>
    </row>
    <row r="33" spans="1:52" ht="14.5">
      <c r="A33" s="41">
        <f t="shared" ca="1" si="37"/>
        <v>63.338981529333012</v>
      </c>
      <c r="B33" s="41">
        <f t="shared" ca="1" si="38"/>
        <v>1.0556496921555503</v>
      </c>
      <c r="C33" s="41">
        <f t="shared" ca="1" si="38"/>
        <v>1.7594161535925839E-2</v>
      </c>
      <c r="D33" s="41">
        <f t="shared" ca="1" si="39"/>
        <v>13276.90692979395</v>
      </c>
      <c r="E33" s="41">
        <f t="shared" ca="1" si="40"/>
        <v>1.9677411511765406</v>
      </c>
      <c r="F33" s="41">
        <f t="shared" ca="1" si="41"/>
        <v>1.9677411511765406</v>
      </c>
      <c r="G33" s="41"/>
      <c r="H33" s="7">
        <f t="shared" si="42"/>
        <v>4000</v>
      </c>
      <c r="I33" s="6">
        <v>15</v>
      </c>
      <c r="J33" s="41">
        <f t="shared" si="1"/>
        <v>0.21239702854932943</v>
      </c>
      <c r="K33" s="41">
        <f t="shared" si="2"/>
        <v>240.02418678660433</v>
      </c>
      <c r="L33" s="6">
        <f t="shared" si="46"/>
        <v>130.66666666666666</v>
      </c>
      <c r="M33" s="41">
        <f t="shared" si="3"/>
        <v>142.2104902840745</v>
      </c>
      <c r="N33" s="41">
        <f t="shared" si="4"/>
        <v>57.716371581386788</v>
      </c>
      <c r="O33" s="41">
        <f t="shared" si="5"/>
        <v>1262884.9299001941</v>
      </c>
      <c r="P33" s="41">
        <f t="shared" si="6"/>
        <v>8108608.6592038088</v>
      </c>
      <c r="Q33" s="41">
        <f t="shared" si="7"/>
        <v>3.0938625192338154E-3</v>
      </c>
      <c r="R33" s="41">
        <f t="shared" si="43"/>
        <v>2.0656767039447129E-2</v>
      </c>
      <c r="S33" s="24">
        <f t="shared" ca="1" si="44"/>
        <v>17.568891224647803</v>
      </c>
      <c r="T33" s="10">
        <f t="shared" ca="1" si="8"/>
        <v>17.568891224647803</v>
      </c>
      <c r="U33" s="41">
        <f t="shared" ca="1" si="9"/>
        <v>0.95350849299627805</v>
      </c>
      <c r="V33" s="41">
        <f t="shared" ca="1" si="10"/>
        <v>7.8077498733054515E-2</v>
      </c>
      <c r="W33" s="41">
        <f t="shared" ca="1" si="11"/>
        <v>12.21233400747513</v>
      </c>
      <c r="X33" s="20">
        <f t="shared" ca="1" si="12"/>
        <v>1036.460483675113</v>
      </c>
      <c r="Y33" s="41">
        <f t="shared" si="13"/>
        <v>0.57190169067186369</v>
      </c>
      <c r="Z33" s="41">
        <f t="shared" ca="1" si="14"/>
        <v>161.73635168955937</v>
      </c>
      <c r="AA33" s="14">
        <f t="shared" ca="1" si="15"/>
        <v>1087.1719461379944</v>
      </c>
      <c r="AB33" s="14">
        <f t="shared" si="47"/>
        <v>5044.1255207638187</v>
      </c>
      <c r="AC33" s="25">
        <f t="shared" ca="1" si="16"/>
        <v>260947.56226898212</v>
      </c>
      <c r="AD33" s="41">
        <f t="shared" si="17"/>
        <v>1210712.1261708927</v>
      </c>
      <c r="AE33" s="6">
        <v>100</v>
      </c>
      <c r="AF33" s="41">
        <f t="shared" si="18"/>
        <v>5044.1255207638187</v>
      </c>
      <c r="AG33" s="41">
        <f t="shared" ca="1" si="19"/>
        <v>3956.9535746258243</v>
      </c>
      <c r="AH33" s="41">
        <f t="shared" ca="1" si="20"/>
        <v>949764.56390191056</v>
      </c>
      <c r="AI33" s="41">
        <f t="shared" si="21"/>
        <v>3792.1837903196679</v>
      </c>
      <c r="AJ33" s="13">
        <f t="shared" ca="1" si="22"/>
        <v>72.451855430401196</v>
      </c>
      <c r="AK33" s="11">
        <f t="shared" ca="1" si="23"/>
        <v>4292.1046396910324</v>
      </c>
      <c r="AL33" s="6">
        <f t="shared" si="48"/>
        <v>400</v>
      </c>
      <c r="AM33" s="41">
        <f t="shared" ca="1" si="24"/>
        <v>5.5209076099403491</v>
      </c>
      <c r="AN33" s="41">
        <f t="shared" ca="1" si="25"/>
        <v>5.8156378739634143</v>
      </c>
      <c r="AO33" s="41">
        <f t="shared" ca="1" si="26"/>
        <v>0.20791897427093098</v>
      </c>
      <c r="AP33" s="67">
        <f t="shared" si="45"/>
        <v>0.75180202687450715</v>
      </c>
      <c r="AQ33" s="11">
        <f t="shared" si="27"/>
        <v>1.0245548207183759</v>
      </c>
      <c r="AR33" s="11">
        <f t="shared" si="28"/>
        <v>0.86366096855760188</v>
      </c>
      <c r="AS33" s="11">
        <f t="shared" si="29"/>
        <v>0.84296218327491557</v>
      </c>
      <c r="AT33" s="11">
        <f t="shared" si="30"/>
        <v>531.40584886199997</v>
      </c>
      <c r="AU33" s="11">
        <f t="shared" si="31"/>
        <v>1827.6966148809681</v>
      </c>
      <c r="AV33" s="11">
        <f t="shared" si="32"/>
        <v>2.0036368134261468E-3</v>
      </c>
      <c r="AW33" s="11">
        <f t="shared" si="33"/>
        <v>3.8081165225110524E-7</v>
      </c>
      <c r="AX33" s="41">
        <f t="shared" ca="1" si="34"/>
        <v>1.001850682407434</v>
      </c>
      <c r="AY33" s="41">
        <f t="shared" ca="1" si="35"/>
        <v>1.3495127735210073</v>
      </c>
      <c r="AZ33" s="41">
        <f t="shared" si="36"/>
        <v>0.15766521160320671</v>
      </c>
    </row>
    <row r="34" spans="1:52" ht="14.5">
      <c r="A34" s="41">
        <f t="shared" ca="1" si="37"/>
        <v>68.859889139273363</v>
      </c>
      <c r="B34" s="41">
        <f t="shared" ca="1" si="38"/>
        <v>1.1476648189878893</v>
      </c>
      <c r="C34" s="41">
        <f t="shared" ca="1" si="38"/>
        <v>1.9127746983131487E-2</v>
      </c>
      <c r="D34" s="41">
        <f t="shared" ca="1" si="39"/>
        <v>13271.091291919985</v>
      </c>
      <c r="E34" s="41">
        <f t="shared" ca="1" si="40"/>
        <v>2.1756601254474717</v>
      </c>
      <c r="F34" s="41">
        <f t="shared" ca="1" si="41"/>
        <v>2.1756601254474717</v>
      </c>
      <c r="G34" s="41"/>
      <c r="H34" s="7">
        <f t="shared" si="42"/>
        <v>4400</v>
      </c>
      <c r="I34" s="6">
        <v>15</v>
      </c>
      <c r="J34" s="41">
        <f t="shared" si="1"/>
        <v>0.21930573948531934</v>
      </c>
      <c r="K34" s="41">
        <f t="shared" si="2"/>
        <v>247.49869393385126</v>
      </c>
      <c r="L34" s="6">
        <f t="shared" si="46"/>
        <v>133.93333333333334</v>
      </c>
      <c r="M34" s="41">
        <f t="shared" si="3"/>
        <v>146.63901617670393</v>
      </c>
      <c r="N34" s="41">
        <f t="shared" si="4"/>
        <v>60.623043851618732</v>
      </c>
      <c r="O34" s="41">
        <f t="shared" si="5"/>
        <v>1289099.0004474744</v>
      </c>
      <c r="P34" s="41">
        <f t="shared" si="6"/>
        <v>8276921.4123296663</v>
      </c>
      <c r="Q34" s="41">
        <f t="shared" si="7"/>
        <v>3.0827228497295289E-3</v>
      </c>
      <c r="R34" s="41">
        <f t="shared" si="43"/>
        <v>2.0593192608420914E-2</v>
      </c>
      <c r="S34" s="24">
        <f t="shared" ca="1" si="44"/>
        <v>17.341134055037955</v>
      </c>
      <c r="T34" s="10">
        <f t="shared" ca="1" si="8"/>
        <v>17.341134055037955</v>
      </c>
      <c r="U34" s="41">
        <f t="shared" ca="1" si="9"/>
        <v>0.90852818967135451</v>
      </c>
      <c r="V34" s="41">
        <f t="shared" ca="1" si="10"/>
        <v>7.2724234521817685E-2</v>
      </c>
      <c r="W34" s="41">
        <f t="shared" ca="1" si="11"/>
        <v>12.492784498113773</v>
      </c>
      <c r="X34" s="20">
        <f t="shared" ca="1" si="12"/>
        <v>1014.0158254530584</v>
      </c>
      <c r="Y34" s="41">
        <f t="shared" si="13"/>
        <v>0.57102095405280606</v>
      </c>
      <c r="Z34" s="41">
        <f t="shared" ca="1" si="14"/>
        <v>162.79177841960657</v>
      </c>
      <c r="AA34" s="14">
        <f t="shared" ca="1" si="15"/>
        <v>1062.3005058578995</v>
      </c>
      <c r="AB34" s="14">
        <f t="shared" si="47"/>
        <v>4969.6005306042962</v>
      </c>
      <c r="AC34" s="25">
        <f t="shared" ca="1" si="16"/>
        <v>262917.98776509962</v>
      </c>
      <c r="AD34" s="41">
        <f t="shared" si="17"/>
        <v>1229969.6406975375</v>
      </c>
      <c r="AE34" s="6">
        <v>100</v>
      </c>
      <c r="AF34" s="41">
        <f t="shared" si="18"/>
        <v>4969.6005306042962</v>
      </c>
      <c r="AG34" s="41">
        <f t="shared" ca="1" si="19"/>
        <v>3907.300024746397</v>
      </c>
      <c r="AH34" s="41">
        <f t="shared" ca="1" si="20"/>
        <v>967051.65293243784</v>
      </c>
      <c r="AI34" s="41">
        <f t="shared" si="21"/>
        <v>3743.3632799219158</v>
      </c>
      <c r="AJ34" s="13">
        <f t="shared" ca="1" si="22"/>
        <v>73.769521038990078</v>
      </c>
      <c r="AK34" s="11">
        <f t="shared" ca="1" si="23"/>
        <v>4372.1422677028258</v>
      </c>
      <c r="AL34" s="6">
        <f t="shared" si="48"/>
        <v>400</v>
      </c>
      <c r="AM34" s="41">
        <f t="shared" ca="1" si="24"/>
        <v>5.4222935755348658</v>
      </c>
      <c r="AN34" s="41">
        <f t="shared" ca="1" si="25"/>
        <v>5.6382262954482574</v>
      </c>
      <c r="AO34" s="41">
        <f t="shared" ca="1" si="26"/>
        <v>0.21082757320796688</v>
      </c>
      <c r="AP34" s="67">
        <f t="shared" si="45"/>
        <v>0.75325235033865556</v>
      </c>
      <c r="AQ34" s="11">
        <f t="shared" si="27"/>
        <v>1.0218046807183758</v>
      </c>
      <c r="AR34" s="11">
        <f t="shared" si="28"/>
        <v>0.85090071409566059</v>
      </c>
      <c r="AS34" s="11">
        <f t="shared" si="29"/>
        <v>0.83274301845773313</v>
      </c>
      <c r="AT34" s="11">
        <f t="shared" si="30"/>
        <v>529.97943374819999</v>
      </c>
      <c r="AU34" s="11">
        <f t="shared" si="31"/>
        <v>1800.6931091835188</v>
      </c>
      <c r="AV34" s="11">
        <f t="shared" si="32"/>
        <v>1.9793468805721858E-3</v>
      </c>
      <c r="AW34" s="11">
        <f t="shared" si="33"/>
        <v>3.8002183510623204E-7</v>
      </c>
      <c r="AX34" s="41">
        <f t="shared" ca="1" si="34"/>
        <v>1.0073730907983993</v>
      </c>
      <c r="AY34" s="41">
        <f t="shared" ca="1" si="35"/>
        <v>1.3569515673403605</v>
      </c>
      <c r="AZ34" s="41">
        <f t="shared" si="36"/>
        <v>0.16264014828418619</v>
      </c>
    </row>
    <row r="35" spans="1:52" ht="14.5">
      <c r="A35" s="41">
        <f t="shared" ca="1" si="37"/>
        <v>74.282182714808229</v>
      </c>
      <c r="B35" s="41">
        <f t="shared" ca="1" si="38"/>
        <v>1.2380363785801372</v>
      </c>
      <c r="C35" s="41">
        <f t="shared" ca="1" si="38"/>
        <v>2.0633939643002287E-2</v>
      </c>
      <c r="D35" s="41">
        <f t="shared" ca="1" si="39"/>
        <v>13265.453065624537</v>
      </c>
      <c r="E35" s="41">
        <f t="shared" ca="1" si="40"/>
        <v>2.3864876986554386</v>
      </c>
      <c r="F35" s="41">
        <f t="shared" ca="1" si="41"/>
        <v>2.3864876986554386</v>
      </c>
      <c r="G35" s="41"/>
      <c r="H35" s="7">
        <f t="shared" si="42"/>
        <v>4800</v>
      </c>
      <c r="I35" s="6">
        <v>15</v>
      </c>
      <c r="J35" s="41">
        <f t="shared" si="1"/>
        <v>0.22630676246575199</v>
      </c>
      <c r="K35" s="41">
        <f t="shared" si="2"/>
        <v>255.05580692055076</v>
      </c>
      <c r="L35" s="6">
        <f t="shared" si="46"/>
        <v>137.20000000000002</v>
      </c>
      <c r="M35" s="41">
        <f t="shared" si="3"/>
        <v>151.11648470751561</v>
      </c>
      <c r="N35" s="41">
        <f t="shared" si="4"/>
        <v>63.598964184202813</v>
      </c>
      <c r="O35" s="41">
        <f t="shared" si="5"/>
        <v>1315046.1811303913</v>
      </c>
      <c r="P35" s="41">
        <f t="shared" si="6"/>
        <v>8443520.5449870285</v>
      </c>
      <c r="Q35" s="41">
        <f t="shared" si="7"/>
        <v>3.071904023692769E-3</v>
      </c>
      <c r="R35" s="41">
        <f t="shared" si="43"/>
        <v>2.0531449240774869E-2</v>
      </c>
      <c r="S35" s="24">
        <f t="shared" ca="1" si="44"/>
        <v>17.104563720419613</v>
      </c>
      <c r="T35" s="10">
        <f t="shared" ca="1" si="8"/>
        <v>17.104563720419613</v>
      </c>
      <c r="U35" s="41">
        <f t="shared" ca="1" si="9"/>
        <v>0.86675711946670664</v>
      </c>
      <c r="V35" s="41">
        <f t="shared" ca="1" si="10"/>
        <v>6.7979068499171527E-2</v>
      </c>
      <c r="W35" s="41">
        <f t="shared" ca="1" si="11"/>
        <v>12.750352992513717</v>
      </c>
      <c r="X35" s="20">
        <f t="shared" ca="1" si="12"/>
        <v>994.38161883348425</v>
      </c>
      <c r="Y35" s="41">
        <f t="shared" si="13"/>
        <v>0.57016428204154024</v>
      </c>
      <c r="Z35" s="41">
        <f t="shared" ca="1" si="14"/>
        <v>163.86050052243215</v>
      </c>
      <c r="AA35" s="14">
        <f t="shared" ca="1" si="15"/>
        <v>1040.3988872632199</v>
      </c>
      <c r="AB35" s="14">
        <f t="shared" si="47"/>
        <v>4895.969649451652</v>
      </c>
      <c r="AC35" s="25">
        <f t="shared" ca="1" si="16"/>
        <v>265359.77771016367</v>
      </c>
      <c r="AD35" s="41">
        <f t="shared" si="17"/>
        <v>1248745.4895994172</v>
      </c>
      <c r="AE35" s="6">
        <v>100</v>
      </c>
      <c r="AF35" s="41">
        <f t="shared" si="18"/>
        <v>4895.969649451652</v>
      </c>
      <c r="AG35" s="41">
        <f t="shared" ca="1" si="19"/>
        <v>3855.5707621884321</v>
      </c>
      <c r="AH35" s="41">
        <f t="shared" ca="1" si="20"/>
        <v>983385.71188925346</v>
      </c>
      <c r="AI35" s="41">
        <f t="shared" si="21"/>
        <v>3695.0544601613901</v>
      </c>
      <c r="AJ35" s="13">
        <f t="shared" ca="1" si="22"/>
        <v>75.01610977762931</v>
      </c>
      <c r="AK35" s="11">
        <f t="shared" ca="1" si="23"/>
        <v>4447.8799496304528</v>
      </c>
      <c r="AL35" s="6">
        <f t="shared" si="48"/>
        <v>400</v>
      </c>
      <c r="AM35" s="41">
        <f t="shared" ca="1" si="24"/>
        <v>5.3321879951616031</v>
      </c>
      <c r="AN35" s="41">
        <f t="shared" ca="1" si="25"/>
        <v>5.4729791760946949</v>
      </c>
      <c r="AO35" s="41">
        <f t="shared" ca="1" si="26"/>
        <v>0.21392818332628896</v>
      </c>
      <c r="AP35" s="67">
        <f t="shared" si="45"/>
        <v>0.75471351432401867</v>
      </c>
      <c r="AQ35" s="11">
        <f t="shared" si="27"/>
        <v>1.0190545407183758</v>
      </c>
      <c r="AR35" s="11">
        <f t="shared" si="28"/>
        <v>0.8382935500054195</v>
      </c>
      <c r="AS35" s="11">
        <f t="shared" si="29"/>
        <v>0.82261892421819738</v>
      </c>
      <c r="AT35" s="11">
        <f t="shared" si="30"/>
        <v>528.5530186343999</v>
      </c>
      <c r="AU35" s="11">
        <f t="shared" si="31"/>
        <v>1774.0135763924686</v>
      </c>
      <c r="AV35" s="11">
        <f t="shared" si="32"/>
        <v>1.9552829209742331E-3</v>
      </c>
      <c r="AW35" s="11">
        <f t="shared" si="33"/>
        <v>3.7923098848009661E-7</v>
      </c>
      <c r="AX35" s="41">
        <f t="shared" ca="1" si="34"/>
        <v>1.0161074277068671</v>
      </c>
      <c r="AY35" s="41">
        <f t="shared" ca="1" si="35"/>
        <v>1.368716892685939</v>
      </c>
      <c r="AZ35" s="41">
        <f t="shared" si="36"/>
        <v>0.16765789460497693</v>
      </c>
    </row>
    <row r="36" spans="1:52" ht="14.5">
      <c r="A36" s="41">
        <f t="shared" ca="1" si="37"/>
        <v>79.614370709969833</v>
      </c>
      <c r="B36" s="41">
        <f t="shared" ca="1" si="38"/>
        <v>1.3269061784994973</v>
      </c>
      <c r="C36" s="41">
        <f t="shared" ca="1" si="38"/>
        <v>2.2115102974991623E-2</v>
      </c>
      <c r="D36" s="41">
        <f t="shared" ca="1" si="39"/>
        <v>13259.980086448442</v>
      </c>
      <c r="E36" s="41">
        <f t="shared" ca="1" si="40"/>
        <v>2.6004158819817276</v>
      </c>
      <c r="F36" s="41">
        <f t="shared" ca="1" si="41"/>
        <v>2.6004158819817276</v>
      </c>
      <c r="G36" s="41"/>
      <c r="H36" s="7">
        <f t="shared" si="42"/>
        <v>5200</v>
      </c>
      <c r="I36" s="6">
        <v>15</v>
      </c>
      <c r="J36" s="41">
        <f t="shared" si="1"/>
        <v>0.23340116503807129</v>
      </c>
      <c r="K36" s="41">
        <f t="shared" si="2"/>
        <v>262.69626155399965</v>
      </c>
      <c r="L36" s="6">
        <f t="shared" si="46"/>
        <v>140.4666666666667</v>
      </c>
      <c r="M36" s="41">
        <f t="shared" si="3"/>
        <v>155.64333183055993</v>
      </c>
      <c r="N36" s="41">
        <f t="shared" si="4"/>
        <v>66.643805995968052</v>
      </c>
      <c r="O36" s="41">
        <f t="shared" si="5"/>
        <v>1340725.5425949539</v>
      </c>
      <c r="P36" s="41">
        <f t="shared" si="6"/>
        <v>8608400.0900702309</v>
      </c>
      <c r="Q36" s="41">
        <f t="shared" si="7"/>
        <v>3.0613870137463518E-3</v>
      </c>
      <c r="R36" s="41">
        <f t="shared" si="43"/>
        <v>2.0471428346691498E-2</v>
      </c>
      <c r="S36" s="24">
        <f t="shared" ca="1" si="44"/>
        <v>16.860310147140837</v>
      </c>
      <c r="T36" s="10">
        <f t="shared" ca="1" si="8"/>
        <v>16.860310147140837</v>
      </c>
      <c r="U36" s="41">
        <f t="shared" ca="1" si="9"/>
        <v>0.82789234388802191</v>
      </c>
      <c r="V36" s="41">
        <f t="shared" ca="1" si="10"/>
        <v>6.3759408680564678E-2</v>
      </c>
      <c r="W36" s="41">
        <f t="shared" ca="1" si="11"/>
        <v>12.984630206277028</v>
      </c>
      <c r="X36" s="20">
        <f t="shared" ca="1" si="12"/>
        <v>977.30902238079466</v>
      </c>
      <c r="Y36" s="41">
        <f t="shared" si="13"/>
        <v>0.5693302732758706</v>
      </c>
      <c r="Z36" s="41">
        <f t="shared" ca="1" si="14"/>
        <v>164.94197033706368</v>
      </c>
      <c r="AA36" s="14">
        <f t="shared" ca="1" si="15"/>
        <v>1021.2058314944005</v>
      </c>
      <c r="AB36" s="14">
        <f t="shared" si="47"/>
        <v>4823.2246474413787</v>
      </c>
      <c r="AC36" s="25">
        <f t="shared" ca="1" si="16"/>
        <v>268266.9542107227</v>
      </c>
      <c r="AD36" s="41">
        <f t="shared" si="17"/>
        <v>1267043.0835179582</v>
      </c>
      <c r="AE36" s="6">
        <v>100</v>
      </c>
      <c r="AF36" s="41">
        <f t="shared" si="18"/>
        <v>4823.2246474413787</v>
      </c>
      <c r="AG36" s="41">
        <f t="shared" ca="1" si="19"/>
        <v>3802.0188159469781</v>
      </c>
      <c r="AH36" s="41">
        <f t="shared" ca="1" si="20"/>
        <v>998776.12930723547</v>
      </c>
      <c r="AI36" s="41">
        <f t="shared" si="21"/>
        <v>3647.2521730967301</v>
      </c>
      <c r="AJ36" s="13">
        <f t="shared" ca="1" si="22"/>
        <v>76.19224541581724</v>
      </c>
      <c r="AK36" s="11">
        <f t="shared" ca="1" si="23"/>
        <v>4519.3557884508773</v>
      </c>
      <c r="AL36" s="6">
        <f t="shared" si="48"/>
        <v>400</v>
      </c>
      <c r="AM36" s="41">
        <f t="shared" ca="1" si="24"/>
        <v>5.2498780921471759</v>
      </c>
      <c r="AN36" s="41">
        <f t="shared" ca="1" si="25"/>
        <v>5.3187859111324176</v>
      </c>
      <c r="AO36" s="41">
        <f t="shared" ca="1" si="26"/>
        <v>0.21721802420135611</v>
      </c>
      <c r="AP36" s="67">
        <f t="shared" si="45"/>
        <v>0.75618542359031982</v>
      </c>
      <c r="AQ36" s="11">
        <f t="shared" si="27"/>
        <v>1.0163044007183759</v>
      </c>
      <c r="AR36" s="11">
        <f t="shared" si="28"/>
        <v>0.82583806716001962</v>
      </c>
      <c r="AS36" s="11">
        <f t="shared" si="29"/>
        <v>0.81258928582447842</v>
      </c>
      <c r="AT36" s="11">
        <f t="shared" si="30"/>
        <v>527.12660352060004</v>
      </c>
      <c r="AU36" s="11">
        <f t="shared" si="31"/>
        <v>1747.6550344853765</v>
      </c>
      <c r="AV36" s="11">
        <f t="shared" si="32"/>
        <v>1.9314434734762026E-3</v>
      </c>
      <c r="AW36" s="11">
        <f t="shared" si="33"/>
        <v>3.7843910909837524E-7</v>
      </c>
      <c r="AX36" s="41">
        <f t="shared" ca="1" si="34"/>
        <v>1.0276773192233422</v>
      </c>
      <c r="AY36" s="41">
        <f t="shared" ca="1" si="35"/>
        <v>1.3843017664240251</v>
      </c>
      <c r="AZ36" s="41">
        <f t="shared" si="36"/>
        <v>0.17271826792301445</v>
      </c>
    </row>
    <row r="37" spans="1:52" ht="14.5">
      <c r="A37" s="41">
        <f t="shared" ca="1" si="37"/>
        <v>84.864248802117004</v>
      </c>
      <c r="B37" s="41">
        <f t="shared" ca="1" si="38"/>
        <v>1.4144041467019501</v>
      </c>
      <c r="C37" s="41">
        <f t="shared" ca="1" si="38"/>
        <v>2.3573402445032501E-2</v>
      </c>
      <c r="D37" s="41">
        <f t="shared" ca="1" si="39"/>
        <v>13254.661300537309</v>
      </c>
      <c r="E37" s="41">
        <f t="shared" ca="1" si="40"/>
        <v>2.8176339061830835</v>
      </c>
      <c r="F37" s="41">
        <f t="shared" ca="1" si="41"/>
        <v>2.8176339061830835</v>
      </c>
      <c r="G37" s="41"/>
      <c r="H37" s="7">
        <f t="shared" si="42"/>
        <v>5600</v>
      </c>
      <c r="I37" s="6">
        <v>15</v>
      </c>
      <c r="J37" s="41">
        <f t="shared" si="1"/>
        <v>0.24059001451892989</v>
      </c>
      <c r="K37" s="41">
        <f t="shared" si="2"/>
        <v>270.42078549145509</v>
      </c>
      <c r="L37" s="6">
        <f t="shared" si="46"/>
        <v>143.73333333333338</v>
      </c>
      <c r="M37" s="41">
        <f t="shared" si="3"/>
        <v>160.21998867111927</v>
      </c>
      <c r="N37" s="41">
        <f t="shared" si="4"/>
        <v>69.757218254710835</v>
      </c>
      <c r="O37" s="41">
        <f t="shared" si="5"/>
        <v>1366136.0998588707</v>
      </c>
      <c r="P37" s="41">
        <f t="shared" si="6"/>
        <v>8771553.7233008333</v>
      </c>
      <c r="Q37" s="41">
        <f t="shared" si="7"/>
        <v>3.0511541377789366E-3</v>
      </c>
      <c r="R37" s="41">
        <f t="shared" si="43"/>
        <v>2.0413029013826203E-2</v>
      </c>
      <c r="S37" s="24">
        <f t="shared" ca="1" si="44"/>
        <v>16.609363493557645</v>
      </c>
      <c r="T37" s="10">
        <f t="shared" ca="1" si="8"/>
        <v>16.609363493557645</v>
      </c>
      <c r="U37" s="41">
        <f t="shared" ca="1" si="9"/>
        <v>0.79166637437384768</v>
      </c>
      <c r="V37" s="41">
        <f t="shared" ca="1" si="10"/>
        <v>5.9995599030141247E-2</v>
      </c>
      <c r="W37" s="41">
        <f t="shared" ca="1" si="11"/>
        <v>13.195407449405108</v>
      </c>
      <c r="X37" s="20">
        <f t="shared" ca="1" si="12"/>
        <v>962.5790020495665</v>
      </c>
      <c r="Y37" s="41">
        <f t="shared" si="13"/>
        <v>0.56851762225655988</v>
      </c>
      <c r="Z37" s="41">
        <f t="shared" ca="1" si="14"/>
        <v>166.03571703505338</v>
      </c>
      <c r="AA37" s="14">
        <f t="shared" ca="1" si="15"/>
        <v>1004.4904904497566</v>
      </c>
      <c r="AB37" s="14">
        <f t="shared" si="47"/>
        <v>4751.3573473454289</v>
      </c>
      <c r="AC37" s="25">
        <f t="shared" ca="1" si="16"/>
        <v>271635.10744612018</v>
      </c>
      <c r="AD37" s="41">
        <f t="shared" si="17"/>
        <v>1284865.7860197474</v>
      </c>
      <c r="AE37" s="6">
        <v>100</v>
      </c>
      <c r="AF37" s="41">
        <f t="shared" si="18"/>
        <v>4751.3573473454289</v>
      </c>
      <c r="AG37" s="41">
        <f t="shared" ca="1" si="19"/>
        <v>3746.8668568956723</v>
      </c>
      <c r="AH37" s="41">
        <f t="shared" ca="1" si="20"/>
        <v>1013230.6785736273</v>
      </c>
      <c r="AI37" s="41">
        <f t="shared" si="21"/>
        <v>3599.9512988920319</v>
      </c>
      <c r="AJ37" s="13">
        <f t="shared" ca="1" si="22"/>
        <v>77.298423019409</v>
      </c>
      <c r="AK37" s="11">
        <f t="shared" ca="1" si="23"/>
        <v>4586.6008444857971</v>
      </c>
      <c r="AL37" s="6">
        <f t="shared" si="48"/>
        <v>400</v>
      </c>
      <c r="AM37" s="41">
        <f t="shared" ca="1" si="24"/>
        <v>5.174749812160635</v>
      </c>
      <c r="AN37" s="41">
        <f t="shared" ca="1" si="25"/>
        <v>5.1746798077024927</v>
      </c>
      <c r="AO37" s="41">
        <f t="shared" ca="1" si="26"/>
        <v>0.22069581985895059</v>
      </c>
      <c r="AP37" s="67">
        <f t="shared" si="45"/>
        <v>0.75766797479531089</v>
      </c>
      <c r="AQ37" s="11">
        <f t="shared" si="27"/>
        <v>1.0135542607183758</v>
      </c>
      <c r="AR37" s="11">
        <f t="shared" si="28"/>
        <v>0.81353286544507719</v>
      </c>
      <c r="AS37" s="11">
        <f t="shared" si="29"/>
        <v>0.80265349076473747</v>
      </c>
      <c r="AT37" s="11">
        <f t="shared" si="30"/>
        <v>525.70018840679995</v>
      </c>
      <c r="AU37" s="11">
        <f t="shared" si="31"/>
        <v>1721.6145205121811</v>
      </c>
      <c r="AV37" s="11">
        <f t="shared" si="32"/>
        <v>1.9078270821987044E-3</v>
      </c>
      <c r="AW37" s="11">
        <f t="shared" si="33"/>
        <v>3.776461936723152E-7</v>
      </c>
      <c r="AX37" s="41">
        <f t="shared" ca="1" si="34"/>
        <v>1.0417741709400268</v>
      </c>
      <c r="AY37" s="41">
        <f t="shared" ca="1" si="35"/>
        <v>1.403290505756301</v>
      </c>
      <c r="AZ37" s="41">
        <f t="shared" si="36"/>
        <v>0.17782105809216597</v>
      </c>
    </row>
    <row r="38" spans="1:52" ht="14.5">
      <c r="A38" s="41">
        <f t="shared" ca="1" si="37"/>
        <v>90.038998614277645</v>
      </c>
      <c r="B38" s="41">
        <f t="shared" ca="1" si="38"/>
        <v>1.5006499769046273</v>
      </c>
      <c r="C38" s="41">
        <f t="shared" ca="1" si="38"/>
        <v>2.5010832948410455E-2</v>
      </c>
      <c r="D38" s="41">
        <f t="shared" ca="1" si="39"/>
        <v>13249.486620729607</v>
      </c>
      <c r="E38" s="41">
        <f t="shared" ca="1" si="40"/>
        <v>3.0383297260420341</v>
      </c>
      <c r="F38" s="41">
        <f t="shared" ca="1" si="41"/>
        <v>3.0383297260420341</v>
      </c>
      <c r="G38" s="41"/>
      <c r="H38" s="7">
        <f t="shared" si="42"/>
        <v>6000</v>
      </c>
      <c r="I38" s="6">
        <v>15</v>
      </c>
      <c r="J38" s="41">
        <f t="shared" si="1"/>
        <v>0.24787437730354808</v>
      </c>
      <c r="K38" s="41">
        <f t="shared" si="2"/>
        <v>278.23009743477581</v>
      </c>
      <c r="L38" s="6">
        <f t="shared" si="46"/>
        <v>147.00000000000006</v>
      </c>
      <c r="M38" s="41">
        <f t="shared" si="3"/>
        <v>164.84688104854573</v>
      </c>
      <c r="N38" s="41">
        <f t="shared" si="4"/>
        <v>72.938824332593441</v>
      </c>
      <c r="O38" s="41">
        <f t="shared" si="5"/>
        <v>1391276.8118519611</v>
      </c>
      <c r="P38" s="41">
        <f t="shared" si="6"/>
        <v>8932974.7602767292</v>
      </c>
      <c r="Q38" s="41">
        <f t="shared" si="7"/>
        <v>3.0411889292954694E-3</v>
      </c>
      <c r="R38" s="41">
        <f t="shared" si="43"/>
        <v>2.0356157267393305E-2</v>
      </c>
      <c r="S38" s="24">
        <f t="shared" ca="1" si="44"/>
        <v>16.352594087765581</v>
      </c>
      <c r="T38" s="10">
        <f t="shared" ca="1" si="8"/>
        <v>16.352594087765581</v>
      </c>
      <c r="U38" s="41">
        <f t="shared" ca="1" si="9"/>
        <v>0.75784226501653584</v>
      </c>
      <c r="V38" s="41">
        <f t="shared" ca="1" si="10"/>
        <v>5.662863606111003E-2</v>
      </c>
      <c r="W38" s="41">
        <f t="shared" ca="1" si="11"/>
        <v>13.38266851772168</v>
      </c>
      <c r="X38" s="20">
        <f t="shared" ca="1" si="12"/>
        <v>949.99801170680428</v>
      </c>
      <c r="Y38" s="41">
        <f t="shared" si="13"/>
        <v>0.56772511024074745</v>
      </c>
      <c r="Z38" s="41">
        <f t="shared" ca="1" si="14"/>
        <v>167.14133690833845</v>
      </c>
      <c r="AA38" s="14">
        <f t="shared" ca="1" si="15"/>
        <v>990.04818083809596</v>
      </c>
      <c r="AB38" s="14">
        <f t="shared" si="47"/>
        <v>4680.3596243842703</v>
      </c>
      <c r="AC38" s="25">
        <f t="shared" ca="1" si="16"/>
        <v>275461.20181970601</v>
      </c>
      <c r="AD38" s="41">
        <f t="shared" si="17"/>
        <v>1302216.9143222263</v>
      </c>
      <c r="AE38" s="6">
        <v>100</v>
      </c>
      <c r="AF38" s="41">
        <f t="shared" si="18"/>
        <v>4680.3596243842703</v>
      </c>
      <c r="AG38" s="41">
        <f t="shared" ca="1" si="19"/>
        <v>3690.3114435461744</v>
      </c>
      <c r="AH38" s="41">
        <f t="shared" ca="1" si="20"/>
        <v>1026755.7125025203</v>
      </c>
      <c r="AI38" s="41">
        <f t="shared" si="21"/>
        <v>3553.1467561469954</v>
      </c>
      <c r="AJ38" s="13">
        <f t="shared" ca="1" si="22"/>
        <v>78.335025701172782</v>
      </c>
      <c r="AK38" s="11">
        <f t="shared" ca="1" si="23"/>
        <v>4649.6399833157311</v>
      </c>
      <c r="AL38" s="6">
        <f t="shared" si="48"/>
        <v>400</v>
      </c>
      <c r="AM38" s="41">
        <f t="shared" ca="1" si="24"/>
        <v>5.1062726592558132</v>
      </c>
      <c r="AN38" s="41">
        <f t="shared" ca="1" si="25"/>
        <v>5.0398155931213564</v>
      </c>
      <c r="AO38" s="41">
        <f t="shared" ca="1" si="26"/>
        <v>0.224361637534358</v>
      </c>
      <c r="AP38" s="67">
        <f t="shared" si="45"/>
        <v>0.7591610562648663</v>
      </c>
      <c r="AQ38" s="11">
        <f t="shared" si="27"/>
        <v>1.0108041207183758</v>
      </c>
      <c r="AR38" s="11">
        <f t="shared" si="28"/>
        <v>0.80137655372650329</v>
      </c>
      <c r="AS38" s="11">
        <f t="shared" si="29"/>
        <v>0.79281092874548942</v>
      </c>
      <c r="AT38" s="11">
        <f t="shared" si="30"/>
        <v>524.27377329299998</v>
      </c>
      <c r="AU38" s="11">
        <f t="shared" si="31"/>
        <v>1695.8890905271007</v>
      </c>
      <c r="AV38" s="11">
        <f t="shared" si="32"/>
        <v>1.8844322965351538E-3</v>
      </c>
      <c r="AW38" s="11">
        <f t="shared" si="33"/>
        <v>3.7685223889866925E-7</v>
      </c>
      <c r="AX38" s="41">
        <f t="shared" ca="1" si="34"/>
        <v>1.0581427489803656</v>
      </c>
      <c r="AY38" s="41">
        <f t="shared" ca="1" si="35"/>
        <v>1.4253393055801746</v>
      </c>
      <c r="AZ38" s="41">
        <f t="shared" si="36"/>
        <v>0.1829660264929871</v>
      </c>
    </row>
    <row r="39" spans="1:52" ht="14.5">
      <c r="A39" s="41">
        <f t="shared" ca="1" si="37"/>
        <v>95.145271273533453</v>
      </c>
      <c r="B39" s="41">
        <f t="shared" ca="1" si="38"/>
        <v>1.5857545212255575</v>
      </c>
      <c r="C39" s="41">
        <f t="shared" ca="1" si="38"/>
        <v>2.6429242020425958E-2</v>
      </c>
      <c r="D39" s="41">
        <f t="shared" ca="1" si="39"/>
        <v>13244.446805136486</v>
      </c>
      <c r="E39" s="41">
        <f t="shared" ca="1" si="40"/>
        <v>3.2626913635763923</v>
      </c>
      <c r="F39" s="41">
        <f t="shared" ca="1" si="41"/>
        <v>3.2626913635763923</v>
      </c>
      <c r="G39" s="41"/>
      <c r="H39" s="7">
        <f t="shared" si="42"/>
        <v>6400</v>
      </c>
      <c r="I39" s="6">
        <v>15</v>
      </c>
      <c r="J39" s="41">
        <f t="shared" si="1"/>
        <v>0.25525531814673402</v>
      </c>
      <c r="K39" s="41">
        <f t="shared" si="2"/>
        <v>286.12490629935405</v>
      </c>
      <c r="L39" s="6">
        <f t="shared" si="46"/>
        <v>150.26666666666674</v>
      </c>
      <c r="M39" s="41">
        <f t="shared" si="3"/>
        <v>169.5244289838665</v>
      </c>
      <c r="N39" s="41">
        <f t="shared" si="4"/>
        <v>76.188220836933112</v>
      </c>
      <c r="O39" s="41">
        <f t="shared" si="5"/>
        <v>1416146.5810074157</v>
      </c>
      <c r="P39" s="41">
        <f t="shared" si="6"/>
        <v>9092656.1538477615</v>
      </c>
      <c r="Q39" s="41">
        <f t="shared" si="7"/>
        <v>3.0314760227397662E-3</v>
      </c>
      <c r="R39" s="41">
        <f t="shared" si="43"/>
        <v>2.0300725415698606E-2</v>
      </c>
      <c r="S39" s="24">
        <f t="shared" ca="1" si="44"/>
        <v>16.090769147458094</v>
      </c>
      <c r="T39" s="10">
        <f t="shared" ca="1" si="8"/>
        <v>16.090769147458094</v>
      </c>
      <c r="U39" s="41">
        <f t="shared" ca="1" si="9"/>
        <v>0.72620948412679232</v>
      </c>
      <c r="V39" s="41">
        <f t="shared" ca="1" si="10"/>
        <v>5.360833179663816E-2</v>
      </c>
      <c r="W39" s="41">
        <f t="shared" ca="1" si="11"/>
        <v>13.54657867142088</v>
      </c>
      <c r="X39" s="20">
        <f t="shared" ca="1" si="12"/>
        <v>939.3943869730258</v>
      </c>
      <c r="Y39" s="41">
        <f t="shared" si="13"/>
        <v>0.56695159717179722</v>
      </c>
      <c r="Z39" s="41">
        <f t="shared" ca="1" si="14"/>
        <v>168.25848503232822</v>
      </c>
      <c r="AA39" s="14">
        <f t="shared" ca="1" si="15"/>
        <v>977.69681381456121</v>
      </c>
      <c r="AB39" s="14">
        <f t="shared" si="47"/>
        <v>4610.2234060390356</v>
      </c>
      <c r="AC39" s="25">
        <f t="shared" ca="1" si="16"/>
        <v>279743.40924186836</v>
      </c>
      <c r="AD39" s="41">
        <f t="shared" si="17"/>
        <v>1319099.740072008</v>
      </c>
      <c r="AE39" s="6">
        <v>100</v>
      </c>
      <c r="AF39" s="41">
        <f t="shared" si="18"/>
        <v>4610.2234060390356</v>
      </c>
      <c r="AG39" s="41">
        <f t="shared" ca="1" si="19"/>
        <v>3632.5265922244744</v>
      </c>
      <c r="AH39" s="41">
        <f t="shared" ca="1" si="20"/>
        <v>1039356.3308301396</v>
      </c>
      <c r="AI39" s="41">
        <f t="shared" si="21"/>
        <v>3506.8335022418132</v>
      </c>
      <c r="AJ39" s="13">
        <f t="shared" ca="1" si="22"/>
        <v>79.302338902812963</v>
      </c>
      <c r="AK39" s="11">
        <f t="shared" ca="1" si="23"/>
        <v>4708.4926057933408</v>
      </c>
      <c r="AL39" s="6">
        <f t="shared" si="48"/>
        <v>400</v>
      </c>
      <c r="AM39" s="41">
        <f t="shared" ca="1" si="24"/>
        <v>5.0439874224921688</v>
      </c>
      <c r="AN39" s="41">
        <f t="shared" ca="1" si="25"/>
        <v>4.9134511328005193</v>
      </c>
      <c r="AO39" s="41">
        <f t="shared" ca="1" si="26"/>
        <v>0.2282167652587769</v>
      </c>
      <c r="AP39" s="67">
        <f t="shared" si="45"/>
        <v>0.76066454776315895</v>
      </c>
      <c r="AQ39" s="11">
        <f t="shared" si="27"/>
        <v>1.0080539807183759</v>
      </c>
      <c r="AR39" s="11">
        <f t="shared" si="28"/>
        <v>0.78936774981834046</v>
      </c>
      <c r="AS39" s="11">
        <f t="shared" si="29"/>
        <v>0.78306099168995724</v>
      </c>
      <c r="AT39" s="11">
        <f t="shared" si="30"/>
        <v>522.8473581792</v>
      </c>
      <c r="AU39" s="11">
        <f t="shared" si="31"/>
        <v>1670.4758195205684</v>
      </c>
      <c r="AV39" s="11">
        <f t="shared" si="32"/>
        <v>1.8612576711478594E-3</v>
      </c>
      <c r="AW39" s="11">
        <f t="shared" si="33"/>
        <v>3.7605724145962998E-7</v>
      </c>
      <c r="AX39" s="41">
        <f t="shared" ca="1" si="34"/>
        <v>1.0765701931952594</v>
      </c>
      <c r="AY39" s="41">
        <f t="shared" ca="1" si="35"/>
        <v>1.4501614390457997</v>
      </c>
      <c r="AZ39" s="41">
        <f t="shared" si="36"/>
        <v>0.18815290505260329</v>
      </c>
    </row>
    <row r="40" spans="1:52" ht="14.5">
      <c r="A40" s="41">
        <f t="shared" ca="1" si="37"/>
        <v>100.18925869602562</v>
      </c>
      <c r="B40" s="41">
        <f t="shared" ref="B40:C42" ca="1" si="49">A40/60</f>
        <v>1.6698209782670936</v>
      </c>
      <c r="C40" s="41">
        <f t="shared" ca="1" si="49"/>
        <v>2.7830349637784895E-2</v>
      </c>
      <c r="D40" s="41">
        <f t="shared" ca="1" si="39"/>
        <v>13239.533354003685</v>
      </c>
      <c r="E40" s="41">
        <f t="shared" ca="1" si="40"/>
        <v>3.4909081288351693</v>
      </c>
      <c r="F40" s="41">
        <f t="shared" ca="1" si="41"/>
        <v>3.4909081288351693</v>
      </c>
      <c r="G40" s="41"/>
      <c r="H40" s="7">
        <f t="shared" si="42"/>
        <v>6800</v>
      </c>
      <c r="I40" s="6">
        <v>15</v>
      </c>
      <c r="J40" s="41">
        <f t="shared" si="1"/>
        <v>0.26273389941542785</v>
      </c>
      <c r="K40" s="41">
        <f t="shared" si="2"/>
        <v>294.10591035751281</v>
      </c>
      <c r="L40" s="6">
        <f t="shared" si="46"/>
        <v>153.53333333333342</v>
      </c>
      <c r="M40" s="41">
        <f t="shared" si="3"/>
        <v>174.25304619226063</v>
      </c>
      <c r="N40" s="41">
        <f t="shared" si="4"/>
        <v>79.504976419547376</v>
      </c>
      <c r="O40" s="41">
        <f t="shared" si="5"/>
        <v>1440744.2529080836</v>
      </c>
      <c r="P40" s="41">
        <f t="shared" si="6"/>
        <v>9250590.4918446317</v>
      </c>
      <c r="Q40" s="41">
        <f t="shared" si="7"/>
        <v>3.02200105178577E-3</v>
      </c>
      <c r="R40" s="41">
        <f t="shared" si="43"/>
        <v>2.0246651469684459E-2</v>
      </c>
      <c r="S40" s="24">
        <f t="shared" ca="1" si="44"/>
        <v>15.82456686293186</v>
      </c>
      <c r="T40" s="10">
        <f t="shared" ca="1" si="8"/>
        <v>15.82456686293186</v>
      </c>
      <c r="U40" s="41">
        <f t="shared" ca="1" si="9"/>
        <v>0.69658042612858251</v>
      </c>
      <c r="V40" s="41">
        <f t="shared" ca="1" si="10"/>
        <v>5.0891827768167162E-2</v>
      </c>
      <c r="W40" s="41">
        <f t="shared" ca="1" si="11"/>
        <v>13.687471184996298</v>
      </c>
      <c r="X40" s="20">
        <f t="shared" ca="1" si="12"/>
        <v>930.61532033083313</v>
      </c>
      <c r="Y40" s="41">
        <f t="shared" si="13"/>
        <v>0.566196014508621</v>
      </c>
      <c r="Z40" s="41">
        <f t="shared" ca="1" si="14"/>
        <v>169.3868680953139</v>
      </c>
      <c r="AA40" s="14">
        <f t="shared" ca="1" si="15"/>
        <v>967.27387952541403</v>
      </c>
      <c r="AB40" s="14">
        <f t="shared" si="47"/>
        <v>4540.9406718638411</v>
      </c>
      <c r="AC40" s="25">
        <f t="shared" ca="1" si="16"/>
        <v>284480.96490286506</v>
      </c>
      <c r="AD40" s="41">
        <f t="shared" si="17"/>
        <v>1335517.4901779708</v>
      </c>
      <c r="AE40" s="6">
        <v>100</v>
      </c>
      <c r="AF40" s="41">
        <f t="shared" si="18"/>
        <v>4540.9406718638411</v>
      </c>
      <c r="AG40" s="41">
        <f t="shared" ca="1" si="19"/>
        <v>3573.6667923384271</v>
      </c>
      <c r="AH40" s="41">
        <f t="shared" ca="1" si="20"/>
        <v>1051036.5252751058</v>
      </c>
      <c r="AI40" s="41">
        <f t="shared" si="21"/>
        <v>3461.0065336967464</v>
      </c>
      <c r="AJ40" s="13">
        <f t="shared" ca="1" si="22"/>
        <v>80.20056264885838</v>
      </c>
      <c r="AK40" s="11">
        <f t="shared" ca="1" si="23"/>
        <v>4763.1732803812229</v>
      </c>
      <c r="AL40" s="6">
        <f t="shared" si="48"/>
        <v>400</v>
      </c>
      <c r="AM40" s="41">
        <f t="shared" ca="1" si="24"/>
        <v>4.9874961819322579</v>
      </c>
      <c r="AN40" s="41">
        <f t="shared" ca="1" si="25"/>
        <v>4.7949324645708673</v>
      </c>
      <c r="AO40" s="41">
        <f t="shared" ca="1" si="26"/>
        <v>0.23226362082777963</v>
      </c>
      <c r="AP40" s="67">
        <f t="shared" si="45"/>
        <v>0.76217832026335797</v>
      </c>
      <c r="AQ40" s="11">
        <f t="shared" si="27"/>
        <v>1.0053038407183759</v>
      </c>
      <c r="AR40" s="11">
        <f t="shared" si="28"/>
        <v>0.77750508045062683</v>
      </c>
      <c r="AS40" s="11">
        <f t="shared" si="29"/>
        <v>0.77340307373642647</v>
      </c>
      <c r="AT40" s="11">
        <f t="shared" si="30"/>
        <v>521.42094306540002</v>
      </c>
      <c r="AU40" s="11">
        <f t="shared" si="31"/>
        <v>1645.3718013512253</v>
      </c>
      <c r="AV40" s="11">
        <f t="shared" si="32"/>
        <v>1.8383017659641121E-3</v>
      </c>
      <c r="AW40" s="11">
        <f t="shared" si="33"/>
        <v>3.7526119802276337E-7</v>
      </c>
      <c r="AX40" s="41">
        <f t="shared" ca="1" si="34"/>
        <v>1.0968775650672526</v>
      </c>
      <c r="AY40" s="41">
        <f t="shared" ca="1" si="35"/>
        <v>1.4775158724150941</v>
      </c>
      <c r="AZ40" s="41">
        <f t="shared" si="36"/>
        <v>0.19338139525553319</v>
      </c>
    </row>
    <row r="41" spans="1:52" ht="14.5">
      <c r="A41" s="66">
        <f t="shared" ca="1" si="37"/>
        <v>105.17675487795788</v>
      </c>
      <c r="B41" s="41">
        <f t="shared" ca="1" si="49"/>
        <v>1.7529459146326312</v>
      </c>
      <c r="C41" s="41">
        <f t="shared" ca="1" si="49"/>
        <v>2.9215765243877187E-2</v>
      </c>
      <c r="D41" s="41">
        <f t="shared" ca="1" si="39"/>
        <v>13234.738421539114</v>
      </c>
      <c r="E41" s="41">
        <f t="shared" ca="1" si="40"/>
        <v>3.7231717496629488</v>
      </c>
      <c r="F41" s="41">
        <f t="shared" ca="1" si="41"/>
        <v>3.7231717496629488</v>
      </c>
      <c r="G41" s="41"/>
      <c r="H41" s="7">
        <f t="shared" si="42"/>
        <v>7200</v>
      </c>
      <c r="I41" s="6">
        <v>15</v>
      </c>
      <c r="J41" s="41">
        <f t="shared" si="1"/>
        <v>0.27031118031283458</v>
      </c>
      <c r="K41" s="41">
        <f t="shared" si="2"/>
        <v>302.17379635677662</v>
      </c>
      <c r="L41" s="6">
        <f t="shared" si="46"/>
        <v>156.8000000000001</v>
      </c>
      <c r="M41" s="41">
        <f t="shared" si="3"/>
        <v>179.03313956064844</v>
      </c>
      <c r="N41" s="41">
        <f t="shared" si="4"/>
        <v>82.888630566059035</v>
      </c>
      <c r="O41" s="41">
        <f t="shared" si="5"/>
        <v>1465068.6159927724</v>
      </c>
      <c r="P41" s="41">
        <f t="shared" si="6"/>
        <v>9406769.9951931369</v>
      </c>
      <c r="Q41" s="41">
        <f t="shared" si="7"/>
        <v>3.0127505588993671E-3</v>
      </c>
      <c r="R41" s="41">
        <f t="shared" si="43"/>
        <v>2.0193858626796363E-2</v>
      </c>
      <c r="S41" s="24">
        <f t="shared" ca="1" si="44"/>
        <v>15.554588309030024</v>
      </c>
      <c r="T41" s="10">
        <f t="shared" ca="1" si="8"/>
        <v>15.554588309030024</v>
      </c>
      <c r="U41" s="41">
        <f t="shared" ca="1" si="9"/>
        <v>0.6687874523940418</v>
      </c>
      <c r="V41" s="41">
        <f t="shared" ca="1" si="10"/>
        <v>4.8442386725352685E-2</v>
      </c>
      <c r="W41" s="41">
        <f t="shared" ca="1" si="11"/>
        <v>13.805831991428839</v>
      </c>
      <c r="X41" s="20">
        <f t="shared" ca="1" si="12"/>
        <v>923.52431231366165</v>
      </c>
      <c r="Y41" s="41">
        <f t="shared" si="13"/>
        <v>0.56545735883818382</v>
      </c>
      <c r="Z41" s="41">
        <f t="shared" ca="1" si="14"/>
        <v>170.52623821834359</v>
      </c>
      <c r="AA41" s="14">
        <f t="shared" ca="1" si="15"/>
        <v>958.6338896312601</v>
      </c>
      <c r="AB41" s="14">
        <f t="shared" si="47"/>
        <v>4472.5034532982363</v>
      </c>
      <c r="AC41" s="25">
        <f t="shared" ca="1" si="16"/>
        <v>289674.04174614104</v>
      </c>
      <c r="AD41" s="41">
        <f t="shared" si="17"/>
        <v>1351473.3477019214</v>
      </c>
      <c r="AE41" s="6">
        <v>100</v>
      </c>
      <c r="AF41" s="41">
        <f t="shared" si="18"/>
        <v>4472.5034532982363</v>
      </c>
      <c r="AG41" s="41">
        <f t="shared" ca="1" si="19"/>
        <v>3513.8695636669763</v>
      </c>
      <c r="AH41" s="41">
        <f t="shared" ca="1" si="20"/>
        <v>1061799.3059557802</v>
      </c>
      <c r="AI41" s="41">
        <f t="shared" si="21"/>
        <v>3415.6608865464059</v>
      </c>
      <c r="AJ41" s="13">
        <f t="shared" ca="1" si="22"/>
        <v>81.029822129087961</v>
      </c>
      <c r="AK41" s="11">
        <f t="shared" ca="1" si="23"/>
        <v>4813.6922943383706</v>
      </c>
      <c r="AL41" s="6">
        <f t="shared" si="48"/>
        <v>400</v>
      </c>
      <c r="AM41" s="41">
        <f t="shared" ca="1" si="24"/>
        <v>4.9364541287374815</v>
      </c>
      <c r="AN41" s="41">
        <f t="shared" ca="1" si="25"/>
        <v>4.6836814682664256</v>
      </c>
      <c r="AO41" s="41">
        <f t="shared" ca="1" si="26"/>
        <v>0.23650568659092694</v>
      </c>
      <c r="AP41" s="67">
        <f t="shared" si="45"/>
        <v>0.76370223571935658</v>
      </c>
      <c r="AQ41" s="11">
        <f t="shared" si="27"/>
        <v>1.0025537007183758</v>
      </c>
      <c r="AR41" s="11">
        <f t="shared" si="28"/>
        <v>0.7657871812372844</v>
      </c>
      <c r="AS41" s="11">
        <f t="shared" si="29"/>
        <v>0.76383657123659576</v>
      </c>
      <c r="AT41" s="11">
        <f t="shared" si="30"/>
        <v>519.99452795159993</v>
      </c>
      <c r="AU41" s="11">
        <f t="shared" si="31"/>
        <v>1620.5741486779659</v>
      </c>
      <c r="AV41" s="11">
        <f t="shared" si="32"/>
        <v>1.8155631461722645E-3</v>
      </c>
      <c r="AW41" s="11">
        <f t="shared" si="33"/>
        <v>3.7446410524094736E-7</v>
      </c>
      <c r="AX41" s="41">
        <f t="shared" ca="1" si="34"/>
        <v>1.118913286372559</v>
      </c>
      <c r="AY41" s="41">
        <f t="shared" ca="1" si="35"/>
        <v>1.5071984268091294</v>
      </c>
      <c r="AZ41" s="41">
        <f t="shared" si="36"/>
        <v>0.19865116714697392</v>
      </c>
    </row>
    <row r="42" spans="1:52" ht="14.5">
      <c r="A42" s="66">
        <f t="shared" ca="1" si="37"/>
        <v>110.11320900669536</v>
      </c>
      <c r="B42" s="41">
        <f t="shared" ca="1" si="49"/>
        <v>1.8352201501115892</v>
      </c>
      <c r="C42" s="41">
        <f t="shared" ca="1" si="49"/>
        <v>3.058700250185982E-2</v>
      </c>
      <c r="D42" s="41">
        <f t="shared" ca="1" si="39"/>
        <v>13230.054740070847</v>
      </c>
      <c r="E42" s="41">
        <f t="shared" ca="1" si="40"/>
        <v>3.9596774362538758</v>
      </c>
      <c r="F42" s="41">
        <f t="shared" ca="1" si="41"/>
        <v>3.9596774362538758</v>
      </c>
      <c r="G42" s="41"/>
      <c r="H42" s="7">
        <f t="shared" si="42"/>
        <v>7600</v>
      </c>
      <c r="I42" s="6">
        <v>15</v>
      </c>
      <c r="J42" s="41">
        <f t="shared" si="1"/>
        <v>0.27798821607422225</v>
      </c>
      <c r="K42" s="41">
        <f t="shared" si="2"/>
        <v>310.32923861343528</v>
      </c>
      <c r="L42" s="6">
        <f t="shared" si="46"/>
        <v>160.06666666666678</v>
      </c>
      <c r="M42" s="41">
        <f t="shared" si="3"/>
        <v>183.86510861064258</v>
      </c>
      <c r="N42" s="41">
        <f t="shared" si="4"/>
        <v>86.338692366693721</v>
      </c>
      <c r="O42" s="41">
        <f t="shared" si="5"/>
        <v>1489118.401327322</v>
      </c>
      <c r="P42" s="41">
        <f t="shared" si="6"/>
        <v>9561186.5164443124</v>
      </c>
      <c r="Q42" s="41">
        <f t="shared" si="7"/>
        <v>3.0037119147266265E-3</v>
      </c>
      <c r="R42" s="41">
        <f t="shared" si="43"/>
        <v>2.014227481092918E-2</v>
      </c>
      <c r="S42" s="24">
        <f t="shared" ca="1" si="44"/>
        <v>15.281367561326661</v>
      </c>
      <c r="T42" s="10">
        <f t="shared" ca="1" si="8"/>
        <v>15.281367561326661</v>
      </c>
      <c r="U42" s="41">
        <f t="shared" ca="1" si="9"/>
        <v>0.64268037098501118</v>
      </c>
      <c r="V42" s="41">
        <f t="shared" ca="1" si="10"/>
        <v>4.6228405292925281E-2</v>
      </c>
      <c r="W42" s="41">
        <f t="shared" ca="1" si="11"/>
        <v>13.902282955959242</v>
      </c>
      <c r="X42" s="20">
        <f t="shared" ca="1" si="12"/>
        <v>917.99901453340362</v>
      </c>
      <c r="Y42" s="41">
        <f t="shared" si="13"/>
        <v>0.56473468617211153</v>
      </c>
      <c r="Z42" s="41">
        <f t="shared" ca="1" si="14"/>
        <v>171.67638761758312</v>
      </c>
      <c r="AA42" s="14">
        <f t="shared" ca="1" si="15"/>
        <v>951.64619954737418</v>
      </c>
      <c r="AB42" s="14">
        <f t="shared" si="47"/>
        <v>4404.9038334797742</v>
      </c>
      <c r="AC42" s="25">
        <f t="shared" ca="1" si="16"/>
        <v>295323.64053490595</v>
      </c>
      <c r="AD42" s="41">
        <f t="shared" si="17"/>
        <v>1366970.4528091806</v>
      </c>
      <c r="AE42" s="6">
        <v>100</v>
      </c>
      <c r="AF42" s="41">
        <f t="shared" si="18"/>
        <v>4404.9038334797742</v>
      </c>
      <c r="AG42" s="41">
        <f t="shared" ca="1" si="19"/>
        <v>3453.2576339324</v>
      </c>
      <c r="AH42" s="41">
        <f t="shared" ca="1" si="20"/>
        <v>1071646.8122742746</v>
      </c>
      <c r="AI42" s="41">
        <f t="shared" si="21"/>
        <v>3370.791636728542</v>
      </c>
      <c r="AJ42" s="13">
        <f t="shared" ca="1" si="22"/>
        <v>81.790176899551597</v>
      </c>
      <c r="AK42" s="11">
        <f t="shared" ca="1" si="23"/>
        <v>4860.0561373121091</v>
      </c>
      <c r="AL42" s="6">
        <f t="shared" si="48"/>
        <v>400</v>
      </c>
      <c r="AM42" s="41">
        <f t="shared" ca="1" si="24"/>
        <v>4.8905628421766254</v>
      </c>
      <c r="AN42" s="41">
        <f t="shared" ca="1" si="25"/>
        <v>4.5791856464734266</v>
      </c>
      <c r="AO42" s="41">
        <f t="shared" ca="1" si="26"/>
        <v>0.24094746591438929</v>
      </c>
      <c r="AP42" s="67">
        <f t="shared" si="45"/>
        <v>0.76523614683903163</v>
      </c>
      <c r="AQ42" s="11">
        <f t="shared" si="27"/>
        <v>0.99980356071837595</v>
      </c>
      <c r="AR42" s="11">
        <f t="shared" si="28"/>
        <v>0.75421269664402679</v>
      </c>
      <c r="AS42" s="11">
        <f t="shared" si="29"/>
        <v>0.75436088275392021</v>
      </c>
      <c r="AT42" s="11">
        <f t="shared" si="30"/>
        <v>518.56811283779996</v>
      </c>
      <c r="AU42" s="11">
        <f t="shared" si="31"/>
        <v>1596.0799928920221</v>
      </c>
      <c r="AV42" s="11">
        <f t="shared" si="32"/>
        <v>1.7930403822177929E-3</v>
      </c>
      <c r="AW42" s="11">
        <f t="shared" si="33"/>
        <v>3.7366595975230416E-7</v>
      </c>
      <c r="AX42" s="41">
        <f t="shared" ca="1" si="34"/>
        <v>1.1425480016694198</v>
      </c>
      <c r="AY42" s="41">
        <f t="shared" ca="1" si="35"/>
        <v>1.5390348578778807</v>
      </c>
      <c r="AZ42" s="41">
        <f t="shared" si="36"/>
        <v>0.20396185833013414</v>
      </c>
    </row>
    <row r="43" spans="1:52" ht="14.5">
      <c r="A43" s="66">
        <f t="shared" ref="A43:A68" ca="1" si="50">A42+AM42</f>
        <v>115.00377184887198</v>
      </c>
      <c r="B43" s="41">
        <f t="shared" ref="B43:B68" ca="1" si="51">A43/60</f>
        <v>1.9167295308145329</v>
      </c>
      <c r="C43" s="41">
        <f t="shared" ref="C43:C68" ca="1" si="52">B43/60</f>
        <v>3.1945492180242216E-2</v>
      </c>
      <c r="D43" s="41">
        <f t="shared" ref="D43:D68" ca="1" si="53">D42-AN42</f>
        <v>13225.475554424374</v>
      </c>
      <c r="E43" s="41">
        <f t="shared" ref="E43:E68" ca="1" si="54">E42+AO42</f>
        <v>4.2006249021682649</v>
      </c>
      <c r="F43" s="41">
        <f t="shared" ref="F43:F68" ca="1" si="55">F42+AO42</f>
        <v>4.2006249021682649</v>
      </c>
      <c r="G43" s="41"/>
      <c r="H43" s="7">
        <f t="shared" ref="H43:H68" si="56">H42+AL42</f>
        <v>8000</v>
      </c>
      <c r="I43" s="6">
        <v>15</v>
      </c>
      <c r="J43" s="41">
        <f t="shared" ref="J43:J68" si="57">SQRT((((((((L43^2)*(0.2))/(661.477)^2) + 1)^(3.5) - 1)*(1/AR43) + 1)^(1/3.5) - 1)*(5))</f>
        <v>0.28576605713459929</v>
      </c>
      <c r="K43" s="41">
        <f t="shared" ref="K43:K68" si="58">SQRT((1.4*2116.22*AR43*(J43)^2)/AV43)</f>
        <v>318.57289808197436</v>
      </c>
      <c r="L43" s="6">
        <f t="shared" si="46"/>
        <v>163.33333333333346</v>
      </c>
      <c r="M43" s="41">
        <f t="shared" ref="M43:M68" si="59">K43*0.592484</f>
        <v>188.74934494720051</v>
      </c>
      <c r="N43" s="41">
        <f t="shared" ref="N43:N68" si="60">0.5*AV43*K43^2</f>
        <v>89.854639270313712</v>
      </c>
      <c r="O43" s="41">
        <f t="shared" ref="O43:O68" si="61">P43/$B$7</f>
        <v>1512892.2824455611</v>
      </c>
      <c r="P43" s="41">
        <f t="shared" ref="P43:P68" si="62">(AV43*K43*$B$7)/(AW43)</f>
        <v>9713831.5387532488</v>
      </c>
      <c r="Q43" s="41">
        <f t="shared" ref="Q43:Q68" si="63">0.455/(LOG10(P43)^2.58 * (1+0.144*J43*J43)^0.65)</f>
        <v>2.9948732460758419E-3</v>
      </c>
      <c r="R43" s="41">
        <f t="shared" ref="R43:R68" si="64">(((Q43*$B$4)+$B$17)+(0.1*(Q43*$B$4)))</f>
        <v>2.0091832261418474E-2</v>
      </c>
      <c r="S43" s="24">
        <f t="shared" ref="S43:S68" ca="1" si="65">T43</f>
        <v>15.005380320428221</v>
      </c>
      <c r="T43" s="10">
        <f t="shared" ref="T43:T68" ca="1" si="66">DEGREES(ASIN(((AF43-X43)/(D43))))</f>
        <v>15.005380320428221</v>
      </c>
      <c r="U43" s="41">
        <f t="shared" ref="U43:U68" ca="1" si="67">(D43*COS(RADIANS(S43)))/(N43*$B$3)</f>
        <v>0.61812428217310433</v>
      </c>
      <c r="V43" s="41">
        <f t="shared" ref="V43:V68" ca="1" si="68">(X43)/(N43*$B$3)</f>
        <v>4.422260336251755E-2</v>
      </c>
      <c r="W43" s="41">
        <f t="shared" ref="W43:W68" ca="1" si="69">U43/V43</f>
        <v>13.977564303620753</v>
      </c>
      <c r="X43" s="20">
        <f t="shared" ref="X43:X68" ca="1" si="70">(N43*$B$3*R43)+((N43*$B$3)*((U43^2)/(PI()*$B$6*$B$5)))</f>
        <v>913.92939672863076</v>
      </c>
      <c r="Y43" s="41">
        <f t="shared" ref="Y43:Y68" si="71">SQRT(PI()*$B$6*$B$5*R43)</f>
        <v>0.56402710684269297</v>
      </c>
      <c r="Z43" s="41">
        <f t="shared" ref="Z43:Z68" ca="1" si="72">SQRT((2*((U43*N43*$B$3)/(D43))*D43)/(AV43*$B$3*$B$18))</f>
        <v>172.83714398460108</v>
      </c>
      <c r="AA43" s="14">
        <f t="shared" ref="AA43:AA68" ca="1" si="73">D43/W43</f>
        <v>946.19314689888017</v>
      </c>
      <c r="AB43" s="14">
        <f t="shared" si="47"/>
        <v>4338.1339470567436</v>
      </c>
      <c r="AC43" s="25">
        <f t="shared" ref="AC43:AC68" ca="1" si="74">AA43*K43</f>
        <v>301431.49295287952</v>
      </c>
      <c r="AD43" s="41">
        <f t="shared" ref="AD43:AD68" si="75">AB43*K43</f>
        <v>1382011.9037816611</v>
      </c>
      <c r="AE43" s="6">
        <v>100</v>
      </c>
      <c r="AF43" s="41">
        <f t="shared" ref="AF43:AF68" si="76">AB43*(AE43/100)</f>
        <v>4338.1339470567436</v>
      </c>
      <c r="AG43" s="41">
        <f t="shared" ref="AG43:AG68" ca="1" si="77">AB43-AA43</f>
        <v>3391.9408001578636</v>
      </c>
      <c r="AH43" s="41">
        <f t="shared" ref="AH43:AH68" ca="1" si="78">AD43-AC43</f>
        <v>1080580.4108287815</v>
      </c>
      <c r="AI43" s="41">
        <f t="shared" ref="AI43:AI68" si="79">(AP43*AF43)</f>
        <v>3326.3939004872659</v>
      </c>
      <c r="AJ43" s="13">
        <f t="shared" ref="AJ43:AJ68" ca="1" si="80">K43*SIN(RADIANS(T43))</f>
        <v>82.481628939125827</v>
      </c>
      <c r="AK43" s="11">
        <f t="shared" ref="AK43:AK68" ca="1" si="81">(AH43/D43)*60</f>
        <v>4902.2679285084323</v>
      </c>
      <c r="AL43" s="6">
        <f t="shared" si="48"/>
        <v>400</v>
      </c>
      <c r="AM43" s="41">
        <f t="shared" ref="AM43:AM68" ca="1" si="82">AL43/AJ43</f>
        <v>4.8495647472628507</v>
      </c>
      <c r="AN43" s="41">
        <f t="shared" ref="AN43:AN68" ca="1" si="83">AI43*(AM43/3600)</f>
        <v>4.4809896098092263</v>
      </c>
      <c r="AO43" s="41">
        <f t="shared" ref="AO43:AO68" ca="1" si="84">M43*COS(RADIANS(T43))*(AM43/3600)</f>
        <v>0.24559445824423801</v>
      </c>
      <c r="AP43" s="67">
        <f t="shared" si="45"/>
        <v>0.76677989685959225</v>
      </c>
      <c r="AQ43" s="11">
        <f t="shared" ref="AQ43:AQ68" si="85">IF(H43 &lt;= 36089, ((1 - 6.87535*10^(-6)*H43) + ((I43*1.8)/518.67)), 0.75187 + ((I43*1.8)/518.67))</f>
        <v>0.99705342071837588</v>
      </c>
      <c r="AR43" s="11">
        <f t="shared" ref="AR43:AR68" si="86">IF(H43 &lt;= 36089, (1 - 6.87535*10^(-6)*H43)^5.2561, 0.22336*EXP((36089 - H43)/(20806.7)))</f>
        <v>0.7427802799562947</v>
      </c>
      <c r="AS43" s="11">
        <f t="shared" ref="AS43:AS68" si="87">(AR43/AQ43)</f>
        <v>0.74497540906195614</v>
      </c>
      <c r="AT43" s="11">
        <f t="shared" ref="AT43:AT68" si="88">(518.67*AQ43)</f>
        <v>517.14169772399998</v>
      </c>
      <c r="AU43" s="11">
        <f t="shared" ref="AU43:AU68" si="89">2116.22*AR43</f>
        <v>1571.8864840491099</v>
      </c>
      <c r="AV43" s="11">
        <f t="shared" ref="AV43:AV68" si="90">(0.0023769*AS43)</f>
        <v>1.7707320497993635E-3</v>
      </c>
      <c r="AW43" s="11">
        <f t="shared" ref="AW43:AW68" si="91">((2.2697*10^-8)*(AT43^1.5))/(AT43+198.72)</f>
        <v>3.7286675818013285E-7</v>
      </c>
      <c r="AX43" s="41">
        <f t="shared" ref="AX43:AX68" ca="1" si="92">(1/U43)*(((1 + 0.2*(U43)^2)/1.2)^3)</f>
        <v>1.1676705226528343</v>
      </c>
      <c r="AY43" s="41">
        <f t="shared" ref="AY43:AY68" ca="1" si="93">($H$4/$H$3)*AX43</f>
        <v>1.5728753927654737</v>
      </c>
      <c r="AZ43" s="41">
        <f t="shared" ref="AZ43:AZ68" si="94">-6.6*10^(-3) + 0.825*J43 - 0.243*(J43^2)</f>
        <v>0.20931307295935242</v>
      </c>
    </row>
    <row r="44" spans="1:52" ht="14.5">
      <c r="A44" s="66">
        <f t="shared" ca="1" si="50"/>
        <v>119.85333659613482</v>
      </c>
      <c r="B44" s="41">
        <f t="shared" ca="1" si="51"/>
        <v>1.9975556099355805</v>
      </c>
      <c r="C44" s="41">
        <f t="shared" ca="1" si="52"/>
        <v>3.329259349892634E-2</v>
      </c>
      <c r="D44" s="41">
        <f t="shared" ca="1" si="53"/>
        <v>13220.994564814566</v>
      </c>
      <c r="E44" s="41">
        <f t="shared" ca="1" si="54"/>
        <v>4.4462193604125027</v>
      </c>
      <c r="F44" s="41">
        <f t="shared" ca="1" si="55"/>
        <v>4.4462193604125027</v>
      </c>
      <c r="G44" s="41"/>
      <c r="H44" s="7">
        <f t="shared" si="56"/>
        <v>8400</v>
      </c>
      <c r="I44" s="6">
        <v>15</v>
      </c>
      <c r="J44" s="41">
        <f t="shared" si="57"/>
        <v>0.29364574826855289</v>
      </c>
      <c r="K44" s="41">
        <f t="shared" si="58"/>
        <v>326.90542140102446</v>
      </c>
      <c r="L44" s="6">
        <f t="shared" si="46"/>
        <v>166.60000000000014</v>
      </c>
      <c r="M44" s="41">
        <f t="shared" si="59"/>
        <v>193.68623169336459</v>
      </c>
      <c r="N44" s="41">
        <f t="shared" si="60"/>
        <v>93.435915823603068</v>
      </c>
      <c r="O44" s="41">
        <f t="shared" si="61"/>
        <v>1536388.8752651694</v>
      </c>
      <c r="P44" s="41">
        <f t="shared" si="62"/>
        <v>9864696.1753388792</v>
      </c>
      <c r="Q44" s="41">
        <f t="shared" si="63"/>
        <v>2.9862233714376273E-3</v>
      </c>
      <c r="R44" s="41">
        <f t="shared" si="64"/>
        <v>2.0042467165051748E-2</v>
      </c>
      <c r="S44" s="24">
        <f t="shared" ca="1" si="65"/>
        <v>14.727051291594083</v>
      </c>
      <c r="T44" s="10">
        <f t="shared" ca="1" si="66"/>
        <v>14.727051291594083</v>
      </c>
      <c r="U44" s="41">
        <f t="shared" ca="1" si="67"/>
        <v>0.59499773006205692</v>
      </c>
      <c r="V44" s="41">
        <f t="shared" ca="1" si="68"/>
        <v>4.2401355583874679E-2</v>
      </c>
      <c r="W44" s="41">
        <f t="shared" ca="1" si="69"/>
        <v>14.032516693601554</v>
      </c>
      <c r="X44" s="20">
        <f t="shared" ca="1" si="70"/>
        <v>911.21618296256258</v>
      </c>
      <c r="Y44" s="41">
        <f t="shared" si="71"/>
        <v>0.56333378092559627</v>
      </c>
      <c r="Z44" s="41">
        <f t="shared" ca="1" si="72"/>
        <v>174.00836647963493</v>
      </c>
      <c r="AA44" s="14">
        <f t="shared" ca="1" si="73"/>
        <v>942.16845441865598</v>
      </c>
      <c r="AB44" s="14">
        <f t="shared" si="47"/>
        <v>4272.1859800010343</v>
      </c>
      <c r="AC44" s="25">
        <f t="shared" ca="1" si="74"/>
        <v>307999.97562248266</v>
      </c>
      <c r="AD44" s="41">
        <f t="shared" si="75"/>
        <v>1396600.7580957867</v>
      </c>
      <c r="AE44" s="6">
        <v>100</v>
      </c>
      <c r="AF44" s="41">
        <f t="shared" si="76"/>
        <v>4272.1859800010343</v>
      </c>
      <c r="AG44" s="41">
        <f t="shared" ca="1" si="77"/>
        <v>3330.0175255823783</v>
      </c>
      <c r="AH44" s="41">
        <f t="shared" ca="1" si="78"/>
        <v>1088600.7824733041</v>
      </c>
      <c r="AI44" s="41">
        <f t="shared" si="79"/>
        <v>3282.4628347903995</v>
      </c>
      <c r="AJ44" s="13">
        <f t="shared" ca="1" si="80"/>
        <v>83.104129755943788</v>
      </c>
      <c r="AK44" s="11">
        <f t="shared" ca="1" si="81"/>
        <v>4940.3277966867809</v>
      </c>
      <c r="AL44" s="6">
        <f t="shared" si="48"/>
        <v>400</v>
      </c>
      <c r="AM44" s="41">
        <f t="shared" ca="1" si="82"/>
        <v>4.8132385379005926</v>
      </c>
      <c r="AN44" s="41">
        <f t="shared" ca="1" si="83"/>
        <v>4.388687948788772</v>
      </c>
      <c r="AO44" s="41">
        <f t="shared" ca="1" si="84"/>
        <v>0.25045315053193545</v>
      </c>
      <c r="AP44" s="67">
        <f t="shared" si="45"/>
        <v>0.76833331932557969</v>
      </c>
      <c r="AQ44" s="11">
        <f t="shared" si="85"/>
        <v>0.99430328071837593</v>
      </c>
      <c r="AR44" s="11">
        <f t="shared" si="86"/>
        <v>0.73148859324721494</v>
      </c>
      <c r="AS44" s="11">
        <f t="shared" si="87"/>
        <v>0.7356795531426995</v>
      </c>
      <c r="AT44" s="11">
        <f t="shared" si="88"/>
        <v>515.71528261020001</v>
      </c>
      <c r="AU44" s="11">
        <f t="shared" si="89"/>
        <v>1547.990790801621</v>
      </c>
      <c r="AV44" s="11">
        <f t="shared" si="90"/>
        <v>1.7486367298648823E-3</v>
      </c>
      <c r="AW44" s="11">
        <f t="shared" si="91"/>
        <v>3.7206649713284872E-7</v>
      </c>
      <c r="AX44" s="41">
        <f t="shared" ca="1" si="92"/>
        <v>1.1941846015656128</v>
      </c>
      <c r="AY44" s="41">
        <f t="shared" ca="1" si="93"/>
        <v>1.608590383830766</v>
      </c>
      <c r="AZ44" s="41">
        <f t="shared" si="94"/>
        <v>0.21470438073083992</v>
      </c>
    </row>
    <row r="45" spans="1:52" ht="14.5">
      <c r="A45" s="66">
        <f t="shared" ca="1" si="50"/>
        <v>124.66657513403541</v>
      </c>
      <c r="B45" s="41">
        <f t="shared" ca="1" si="51"/>
        <v>2.0777762522339236</v>
      </c>
      <c r="C45" s="41">
        <f t="shared" ca="1" si="52"/>
        <v>3.4629604203898726E-2</v>
      </c>
      <c r="D45" s="41">
        <f t="shared" ca="1" si="53"/>
        <v>13216.605876865777</v>
      </c>
      <c r="E45" s="41">
        <f t="shared" ca="1" si="54"/>
        <v>4.6966725109444383</v>
      </c>
      <c r="F45" s="41">
        <f t="shared" ca="1" si="55"/>
        <v>4.6966725109444383</v>
      </c>
      <c r="G45" s="41"/>
      <c r="H45" s="7">
        <f t="shared" si="56"/>
        <v>8800</v>
      </c>
      <c r="I45" s="6">
        <v>15</v>
      </c>
      <c r="J45" s="41">
        <f t="shared" si="57"/>
        <v>0.30162832770270959</v>
      </c>
      <c r="K45" s="41">
        <f t="shared" si="58"/>
        <v>335.32743991667365</v>
      </c>
      <c r="L45" s="6">
        <f t="shared" si="46"/>
        <v>169.86666666666682</v>
      </c>
      <c r="M45" s="41">
        <f t="shared" si="59"/>
        <v>198.67614291159049</v>
      </c>
      <c r="N45" s="41">
        <f t="shared" si="60"/>
        <v>97.081932397562056</v>
      </c>
      <c r="O45" s="41">
        <f t="shared" si="61"/>
        <v>1559606.7380840792</v>
      </c>
      <c r="P45" s="41">
        <f t="shared" si="62"/>
        <v>10013771.169460867</v>
      </c>
      <c r="Q45" s="41">
        <f t="shared" si="63"/>
        <v>2.9777517431360759E-3</v>
      </c>
      <c r="R45" s="41">
        <f t="shared" si="64"/>
        <v>1.9994119325923355E-2</v>
      </c>
      <c r="S45" s="24">
        <f t="shared" ca="1" si="65"/>
        <v>14.446760521689319</v>
      </c>
      <c r="T45" s="10">
        <f t="shared" ca="1" si="66"/>
        <v>14.446760521689319</v>
      </c>
      <c r="U45" s="41">
        <f t="shared" ca="1" si="67"/>
        <v>0.57319111139277912</v>
      </c>
      <c r="V45" s="41">
        <f t="shared" ca="1" si="68"/>
        <v>4.074413767088432E-2</v>
      </c>
      <c r="W45" s="41">
        <f t="shared" ca="1" si="69"/>
        <v>14.068063386757608</v>
      </c>
      <c r="X45" s="20">
        <f t="shared" ca="1" si="70"/>
        <v>909.76951236120317</v>
      </c>
      <c r="Y45" s="41">
        <f t="shared" si="71"/>
        <v>0.56265391412676169</v>
      </c>
      <c r="Z45" s="41">
        <f t="shared" ca="1" si="72"/>
        <v>175.18994224930665</v>
      </c>
      <c r="AA45" s="14">
        <f t="shared" ca="1" si="73"/>
        <v>939.47585488608786</v>
      </c>
      <c r="AB45" s="14">
        <f t="shared" si="47"/>
        <v>4207.0521694211193</v>
      </c>
      <c r="AC45" s="25">
        <f t="shared" ca="1" si="74"/>
        <v>315032.03328248026</v>
      </c>
      <c r="AD45" s="41">
        <f t="shared" si="75"/>
        <v>1410740.0335678719</v>
      </c>
      <c r="AE45" s="6">
        <v>100</v>
      </c>
      <c r="AF45" s="41">
        <f t="shared" si="76"/>
        <v>4207.0521694211193</v>
      </c>
      <c r="AG45" s="41">
        <f t="shared" ca="1" si="77"/>
        <v>3267.5763145350315</v>
      </c>
      <c r="AH45" s="41">
        <f t="shared" ca="1" si="78"/>
        <v>1095708.0002853917</v>
      </c>
      <c r="AI45" s="41">
        <f t="shared" si="79"/>
        <v>3238.9936377607023</v>
      </c>
      <c r="AJ45" s="13">
        <f t="shared" ca="1" si="80"/>
        <v>83.657586703777127</v>
      </c>
      <c r="AK45" s="11">
        <f t="shared" ca="1" si="81"/>
        <v>4974.2332206635983</v>
      </c>
      <c r="AL45" s="6">
        <f t="shared" si="48"/>
        <v>400</v>
      </c>
      <c r="AM45" s="41">
        <f t="shared" ca="1" si="82"/>
        <v>4.7813953971246947</v>
      </c>
      <c r="AN45" s="41">
        <f t="shared" ca="1" si="83"/>
        <v>4.3019192419181094</v>
      </c>
      <c r="AO45" s="41">
        <f t="shared" ca="1" si="84"/>
        <v>0.25553102344336581</v>
      </c>
      <c r="AP45" s="67">
        <f t="shared" si="45"/>
        <v>0.76989623787013328</v>
      </c>
      <c r="AQ45" s="11">
        <f t="shared" si="85"/>
        <v>0.99155314071837586</v>
      </c>
      <c r="AR45" s="11">
        <f t="shared" si="86"/>
        <v>0.72033630734557885</v>
      </c>
      <c r="AS45" s="11">
        <f t="shared" si="87"/>
        <v>0.7264727201849196</v>
      </c>
      <c r="AT45" s="11">
        <f t="shared" si="88"/>
        <v>514.28886749639992</v>
      </c>
      <c r="AU45" s="11">
        <f t="shared" si="89"/>
        <v>1524.3901003308608</v>
      </c>
      <c r="AV45" s="11">
        <f t="shared" si="90"/>
        <v>1.7267530086075354E-3</v>
      </c>
      <c r="AW45" s="11">
        <f t="shared" si="91"/>
        <v>3.7126517320391516E-7</v>
      </c>
      <c r="AX45" s="41">
        <f t="shared" ca="1" si="92"/>
        <v>1.2220063450840846</v>
      </c>
      <c r="AY45" s="41">
        <f t="shared" ca="1" si="93"/>
        <v>1.6460668251000186</v>
      </c>
      <c r="AZ45" s="41">
        <f t="shared" si="94"/>
        <v>0.22013531587306123</v>
      </c>
    </row>
    <row r="46" spans="1:52" ht="14.5">
      <c r="A46" s="66">
        <f t="shared" ca="1" si="50"/>
        <v>129.44797053116011</v>
      </c>
      <c r="B46" s="41">
        <f t="shared" ca="1" si="51"/>
        <v>2.1574661755193349</v>
      </c>
      <c r="C46" s="41">
        <f t="shared" ca="1" si="52"/>
        <v>3.5957769591988917E-2</v>
      </c>
      <c r="D46" s="41">
        <f t="shared" ca="1" si="53"/>
        <v>13212.303957623859</v>
      </c>
      <c r="E46" s="41">
        <f t="shared" ca="1" si="54"/>
        <v>4.9522035343878041</v>
      </c>
      <c r="F46" s="41">
        <f t="shared" ca="1" si="55"/>
        <v>4.9522035343878041</v>
      </c>
      <c r="G46" s="41"/>
      <c r="H46" s="7">
        <f t="shared" si="56"/>
        <v>9200</v>
      </c>
      <c r="I46" s="6">
        <v>15</v>
      </c>
      <c r="J46" s="41">
        <f t="shared" si="57"/>
        <v>0.30971482620128643</v>
      </c>
      <c r="K46" s="41">
        <f t="shared" si="58"/>
        <v>343.8395686839981</v>
      </c>
      <c r="L46" s="6">
        <f t="shared" si="46"/>
        <v>173.1333333333335</v>
      </c>
      <c r="M46" s="41">
        <f t="shared" si="59"/>
        <v>203.71944301216993</v>
      </c>
      <c r="N46" s="41">
        <f t="shared" si="60"/>
        <v>100.79206390361256</v>
      </c>
      <c r="O46" s="41">
        <f t="shared" si="61"/>
        <v>1582544.3716625017</v>
      </c>
      <c r="P46" s="41">
        <f t="shared" si="62"/>
        <v>10161046.894946275</v>
      </c>
      <c r="Q46" s="41">
        <f t="shared" si="63"/>
        <v>2.9694483953293742E-3</v>
      </c>
      <c r="R46" s="41">
        <f t="shared" si="64"/>
        <v>1.9946731868672428E-2</v>
      </c>
      <c r="S46" s="24">
        <f t="shared" ca="1" si="65"/>
        <v>14.164848859277233</v>
      </c>
      <c r="T46" s="10">
        <f t="shared" ca="1" si="66"/>
        <v>14.164848859277233</v>
      </c>
      <c r="U46" s="41">
        <f t="shared" ca="1" si="67"/>
        <v>0.55260530125563267</v>
      </c>
      <c r="V46" s="41">
        <f t="shared" ca="1" si="68"/>
        <v>3.923306591427602E-2</v>
      </c>
      <c r="W46" s="41">
        <f t="shared" ca="1" si="69"/>
        <v>14.085192894765642</v>
      </c>
      <c r="X46" s="20">
        <f t="shared" ca="1" si="70"/>
        <v>909.50778795626093</v>
      </c>
      <c r="Y46" s="41">
        <f t="shared" si="71"/>
        <v>0.56198675407949195</v>
      </c>
      <c r="Z46" s="41">
        <f t="shared" ca="1" si="72"/>
        <v>176.38178339398254</v>
      </c>
      <c r="AA46" s="14">
        <f t="shared" ca="1" si="73"/>
        <v>938.02790322692931</v>
      </c>
      <c r="AB46" s="14">
        <f t="shared" si="47"/>
        <v>4142.7248033752157</v>
      </c>
      <c r="AC46" s="25">
        <f t="shared" ca="1" si="74"/>
        <v>322531.10965910245</v>
      </c>
      <c r="AD46" s="41">
        <f t="shared" si="75"/>
        <v>1424432.7095690351</v>
      </c>
      <c r="AE46" s="6">
        <v>100</v>
      </c>
      <c r="AF46" s="41">
        <f t="shared" si="76"/>
        <v>4142.7248033752157</v>
      </c>
      <c r="AG46" s="41">
        <f t="shared" ca="1" si="77"/>
        <v>3204.6969001482867</v>
      </c>
      <c r="AH46" s="41">
        <f t="shared" ca="1" si="78"/>
        <v>1101901.5999099326</v>
      </c>
      <c r="AI46" s="41">
        <f t="shared" si="79"/>
        <v>3195.9815491205932</v>
      </c>
      <c r="AJ46" s="13">
        <f t="shared" ca="1" si="80"/>
        <v>84.141868640702242</v>
      </c>
      <c r="AK46" s="11">
        <f t="shared" ca="1" si="81"/>
        <v>5003.979336733797</v>
      </c>
      <c r="AL46" s="6">
        <f t="shared" si="48"/>
        <v>400</v>
      </c>
      <c r="AM46" s="41">
        <f t="shared" ca="1" si="82"/>
        <v>4.7538758820303473</v>
      </c>
      <c r="AN46" s="41">
        <f t="shared" ca="1" si="83"/>
        <v>4.2203610016051041</v>
      </c>
      <c r="AO46" s="41">
        <f t="shared" ca="1" si="84"/>
        <v>0.26083657130790372</v>
      </c>
      <c r="AP46" s="67">
        <f t="shared" si="45"/>
        <v>0.77146846600013608</v>
      </c>
      <c r="AQ46" s="11">
        <f t="shared" si="85"/>
        <v>0.9888030007183759</v>
      </c>
      <c r="AR46" s="11">
        <f t="shared" si="86"/>
        <v>0.70932210180385169</v>
      </c>
      <c r="AS46" s="11">
        <f t="shared" si="87"/>
        <v>0.7173543175824928</v>
      </c>
      <c r="AT46" s="11">
        <f t="shared" si="88"/>
        <v>512.86245238259994</v>
      </c>
      <c r="AU46" s="11">
        <f t="shared" si="89"/>
        <v>1501.0816182793469</v>
      </c>
      <c r="AV46" s="11">
        <f t="shared" si="90"/>
        <v>1.705079477461827E-3</v>
      </c>
      <c r="AW46" s="11">
        <f t="shared" si="91"/>
        <v>3.7046278297177631E-7</v>
      </c>
      <c r="AX46" s="41">
        <f t="shared" ca="1" si="92"/>
        <v>1.2510621268062208</v>
      </c>
      <c r="AY46" s="41">
        <f t="shared" ca="1" si="93"/>
        <v>1.6852055403469226</v>
      </c>
      <c r="AZ46" s="41">
        <f t="shared" si="94"/>
        <v>0.22560537613882031</v>
      </c>
    </row>
    <row r="47" spans="1:52" ht="14.5">
      <c r="A47" s="66">
        <f t="shared" ca="1" si="50"/>
        <v>134.20184641319045</v>
      </c>
      <c r="B47" s="41">
        <f t="shared" ca="1" si="51"/>
        <v>2.236697440219841</v>
      </c>
      <c r="C47" s="41">
        <f t="shared" ca="1" si="52"/>
        <v>3.7278290670330685E-2</v>
      </c>
      <c r="D47" s="41">
        <f t="shared" ca="1" si="53"/>
        <v>13208.083596622253</v>
      </c>
      <c r="E47" s="41">
        <f t="shared" ca="1" si="54"/>
        <v>5.2130401056957076</v>
      </c>
      <c r="F47" s="41">
        <f t="shared" ca="1" si="55"/>
        <v>5.2130401056957076</v>
      </c>
      <c r="G47" s="41"/>
      <c r="H47" s="7">
        <f t="shared" si="56"/>
        <v>9600</v>
      </c>
      <c r="I47" s="6">
        <v>15</v>
      </c>
      <c r="J47" s="41">
        <f t="shared" si="57"/>
        <v>0.31790626612544126</v>
      </c>
      <c r="K47" s="41">
        <f t="shared" si="58"/>
        <v>352.44240544792223</v>
      </c>
      <c r="L47" s="6">
        <f t="shared" si="46"/>
        <v>176.40000000000018</v>
      </c>
      <c r="M47" s="41">
        <f t="shared" si="59"/>
        <v>208.81648614940676</v>
      </c>
      <c r="N47" s="41">
        <f t="shared" si="60"/>
        <v>104.5656485019006</v>
      </c>
      <c r="O47" s="41">
        <f t="shared" si="61"/>
        <v>1605200.2193963523</v>
      </c>
      <c r="P47" s="41">
        <f t="shared" si="62"/>
        <v>10306513.357303081</v>
      </c>
      <c r="Q47" s="41">
        <f t="shared" si="63"/>
        <v>2.9613038971841033E-3</v>
      </c>
      <c r="R47" s="41">
        <f t="shared" si="64"/>
        <v>1.9900250971247202E-2</v>
      </c>
      <c r="S47" s="24">
        <f t="shared" ca="1" si="65"/>
        <v>13.881622674514626</v>
      </c>
      <c r="T47" s="10">
        <f t="shared" ca="1" si="66"/>
        <v>13.881622674514626</v>
      </c>
      <c r="U47" s="41">
        <f t="shared" ca="1" si="67"/>
        <v>0.53315046241180408</v>
      </c>
      <c r="V47" s="41">
        <f t="shared" ca="1" si="68"/>
        <v>3.7852512700983394E-2</v>
      </c>
      <c r="W47" s="41">
        <f t="shared" ca="1" si="69"/>
        <v>14.08494243495632</v>
      </c>
      <c r="X47" s="20">
        <f t="shared" ca="1" si="70"/>
        <v>910.35668374109423</v>
      </c>
      <c r="Y47" s="41">
        <f t="shared" si="71"/>
        <v>0.56133158700499941</v>
      </c>
      <c r="Z47" s="41">
        <f t="shared" ca="1" si="72"/>
        <v>177.5838243214497</v>
      </c>
      <c r="AA47" s="14">
        <f t="shared" ca="1" si="73"/>
        <v>937.74494696138345</v>
      </c>
      <c r="AB47" s="14">
        <f t="shared" si="47"/>
        <v>4079.1962206845465</v>
      </c>
      <c r="AC47" s="25">
        <f t="shared" ca="1" si="74"/>
        <v>330501.08480370423</v>
      </c>
      <c r="AD47" s="41">
        <f t="shared" si="75"/>
        <v>1437681.728312135</v>
      </c>
      <c r="AE47" s="6">
        <v>100</v>
      </c>
      <c r="AF47" s="41">
        <f t="shared" si="76"/>
        <v>4079.1962206845465</v>
      </c>
      <c r="AG47" s="41">
        <f t="shared" ca="1" si="77"/>
        <v>3141.451273723163</v>
      </c>
      <c r="AH47" s="41">
        <f t="shared" ca="1" si="78"/>
        <v>1107180.6435084308</v>
      </c>
      <c r="AI47" s="41">
        <f t="shared" si="79"/>
        <v>3153.4218506499124</v>
      </c>
      <c r="AJ47" s="13">
        <f t="shared" ca="1" si="80"/>
        <v>84.556811039902996</v>
      </c>
      <c r="AK47" s="11">
        <f t="shared" ca="1" si="81"/>
        <v>5029.5592183785411</v>
      </c>
      <c r="AL47" s="6">
        <f t="shared" si="48"/>
        <v>400</v>
      </c>
      <c r="AM47" s="41">
        <f t="shared" ca="1" si="82"/>
        <v>4.7305473690491588</v>
      </c>
      <c r="AN47" s="41">
        <f t="shared" ca="1" si="83"/>
        <v>4.1437253997483534</v>
      </c>
      <c r="AO47" s="41">
        <f t="shared" ca="1" si="84"/>
        <v>0.26637933521112639</v>
      </c>
      <c r="AP47" s="67">
        <f t="shared" si="45"/>
        <v>0.77304980688590752</v>
      </c>
      <c r="AQ47" s="11">
        <f t="shared" si="85"/>
        <v>0.98605286071837595</v>
      </c>
      <c r="AR47" s="11">
        <f t="shared" si="86"/>
        <v>0.69844466486619861</v>
      </c>
      <c r="AS47" s="11">
        <f t="shared" si="87"/>
        <v>0.70832375493272826</v>
      </c>
      <c r="AT47" s="11">
        <f t="shared" si="88"/>
        <v>511.43603726880002</v>
      </c>
      <c r="AU47" s="11">
        <f t="shared" si="89"/>
        <v>1478.0625686831468</v>
      </c>
      <c r="AV47" s="11">
        <f t="shared" si="90"/>
        <v>1.6836147330996018E-3</v>
      </c>
      <c r="AW47" s="11">
        <f t="shared" si="91"/>
        <v>3.6965932299979949E-7</v>
      </c>
      <c r="AX47" s="41">
        <f t="shared" ca="1" si="92"/>
        <v>1.2812868907452013</v>
      </c>
      <c r="AY47" s="41">
        <f t="shared" ca="1" si="93"/>
        <v>1.7259188978647282</v>
      </c>
      <c r="AZ47" s="41">
        <f t="shared" si="94"/>
        <v>0.23111402180132681</v>
      </c>
    </row>
    <row r="48" spans="1:52" ht="14.5">
      <c r="A48" s="66">
        <f t="shared" ca="1" si="50"/>
        <v>138.93239378223961</v>
      </c>
      <c r="B48" s="41">
        <f t="shared" ca="1" si="51"/>
        <v>2.3155398963706602</v>
      </c>
      <c r="C48" s="41">
        <f t="shared" ca="1" si="52"/>
        <v>3.8592331606177671E-2</v>
      </c>
      <c r="D48" s="41">
        <f t="shared" ca="1" si="53"/>
        <v>13203.939871222505</v>
      </c>
      <c r="E48" s="41">
        <f t="shared" ca="1" si="54"/>
        <v>5.4794194409068337</v>
      </c>
      <c r="F48" s="41">
        <f t="shared" ca="1" si="55"/>
        <v>5.4794194409068337</v>
      </c>
      <c r="G48" s="41"/>
      <c r="H48" s="7">
        <f t="shared" si="56"/>
        <v>10000</v>
      </c>
      <c r="I48" s="6">
        <v>15</v>
      </c>
      <c r="J48" s="41">
        <f t="shared" si="57"/>
        <v>0.32620366046720495</v>
      </c>
      <c r="K48" s="41">
        <f t="shared" si="58"/>
        <v>361.13652960460138</v>
      </c>
      <c r="L48" s="6">
        <f t="shared" si="46"/>
        <v>179.66666666666686</v>
      </c>
      <c r="M48" s="41">
        <f t="shared" si="59"/>
        <v>213.96761560625265</v>
      </c>
      <c r="N48" s="41">
        <f t="shared" si="60"/>
        <v>108.40198630457446</v>
      </c>
      <c r="O48" s="41">
        <f t="shared" si="61"/>
        <v>1627572.667587843</v>
      </c>
      <c r="P48" s="41">
        <f t="shared" si="62"/>
        <v>10450160.195457567</v>
      </c>
      <c r="Q48" s="41">
        <f t="shared" si="63"/>
        <v>2.9533093106375195E-3</v>
      </c>
      <c r="R48" s="41">
        <f t="shared" si="64"/>
        <v>1.9854625623853071E-2</v>
      </c>
      <c r="S48" s="24">
        <f t="shared" ca="1" si="65"/>
        <v>13.597357951948142</v>
      </c>
      <c r="T48" s="10">
        <f t="shared" ca="1" si="66"/>
        <v>13.597357951948142</v>
      </c>
      <c r="U48" s="41">
        <f t="shared" ca="1" si="67"/>
        <v>0.51474501058422684</v>
      </c>
      <c r="V48" s="41">
        <f t="shared" ca="1" si="68"/>
        <v>3.658878428218796E-2</v>
      </c>
      <c r="W48" s="41">
        <f t="shared" ca="1" si="69"/>
        <v>14.068382447864316</v>
      </c>
      <c r="X48" s="20">
        <f t="shared" ca="1" si="70"/>
        <v>912.24828531151672</v>
      </c>
      <c r="Y48" s="41">
        <f t="shared" si="71"/>
        <v>0.56068773469583699</v>
      </c>
      <c r="Z48" s="41">
        <f t="shared" ca="1" si="72"/>
        <v>178.79601943318929</v>
      </c>
      <c r="AA48" s="14">
        <f t="shared" ca="1" si="73"/>
        <v>938.55423110330355</v>
      </c>
      <c r="AB48" s="14">
        <f t="shared" si="47"/>
        <v>4016.4588107467653</v>
      </c>
      <c r="AC48" s="25">
        <f t="shared" ca="1" si="74"/>
        <v>338946.21786636207</v>
      </c>
      <c r="AD48" s="41">
        <f t="shared" si="75"/>
        <v>1450489.9962129113</v>
      </c>
      <c r="AE48" s="6">
        <v>100</v>
      </c>
      <c r="AF48" s="41">
        <f t="shared" si="76"/>
        <v>4016.4588107467653</v>
      </c>
      <c r="AG48" s="41">
        <f t="shared" ca="1" si="77"/>
        <v>3077.9045796434616</v>
      </c>
      <c r="AH48" s="41">
        <f t="shared" ca="1" si="78"/>
        <v>1111543.7783465493</v>
      </c>
      <c r="AI48" s="41">
        <f t="shared" si="79"/>
        <v>3111.309866656241</v>
      </c>
      <c r="AJ48" s="13">
        <f t="shared" ca="1" si="80"/>
        <v>84.902220644084807</v>
      </c>
      <c r="AK48" s="11">
        <f t="shared" ca="1" si="81"/>
        <v>5050.9641327697236</v>
      </c>
      <c r="AL48" s="6">
        <f t="shared" si="48"/>
        <v>400</v>
      </c>
      <c r="AM48" s="41">
        <f t="shared" ca="1" si="82"/>
        <v>4.7113019773278246</v>
      </c>
      <c r="AN48" s="41">
        <f t="shared" ca="1" si="83"/>
        <v>4.0717556463491995</v>
      </c>
      <c r="AO48" s="41">
        <f t="shared" ca="1" si="84"/>
        <v>0.27216994902157354</v>
      </c>
      <c r="AP48" s="67">
        <f t="shared" si="45"/>
        <v>0.77464005315612006</v>
      </c>
      <c r="AQ48" s="11">
        <f t="shared" si="85"/>
        <v>0.98330272071837588</v>
      </c>
      <c r="AR48" s="11">
        <f t="shared" si="86"/>
        <v>0.68770269343653956</v>
      </c>
      <c r="AS48" s="11">
        <f t="shared" si="87"/>
        <v>0.69938044403469313</v>
      </c>
      <c r="AT48" s="11">
        <f t="shared" si="88"/>
        <v>510.00962215499999</v>
      </c>
      <c r="AU48" s="11">
        <f t="shared" si="89"/>
        <v>1455.3301939042735</v>
      </c>
      <c r="AV48" s="11">
        <f t="shared" si="90"/>
        <v>1.6623573774260621E-3</v>
      </c>
      <c r="AW48" s="11">
        <f t="shared" si="91"/>
        <v>3.6885478983619832E-7</v>
      </c>
      <c r="AX48" s="41">
        <f t="shared" ca="1" si="92"/>
        <v>1.3126227635964303</v>
      </c>
      <c r="AY48" s="41">
        <f t="shared" ca="1" si="93"/>
        <v>1.768128941162344</v>
      </c>
      <c r="AZ48" s="41">
        <f t="shared" si="94"/>
        <v>0.23666067465660864</v>
      </c>
    </row>
    <row r="49" spans="1:52" ht="14.5">
      <c r="A49" s="66">
        <f t="shared" ca="1" si="50"/>
        <v>143.64369575956744</v>
      </c>
      <c r="B49" s="41">
        <f t="shared" ca="1" si="51"/>
        <v>2.3940615959927904</v>
      </c>
      <c r="C49" s="41">
        <f t="shared" ca="1" si="52"/>
        <v>3.9901026599879839E-2</v>
      </c>
      <c r="D49" s="41">
        <f t="shared" ca="1" si="53"/>
        <v>13199.868115576155</v>
      </c>
      <c r="E49" s="41">
        <f t="shared" ca="1" si="54"/>
        <v>5.751589389928407</v>
      </c>
      <c r="F49" s="41">
        <f t="shared" ca="1" si="55"/>
        <v>5.751589389928407</v>
      </c>
      <c r="G49" s="41"/>
      <c r="H49" s="7">
        <f t="shared" si="56"/>
        <v>10400</v>
      </c>
      <c r="I49" s="6">
        <v>15</v>
      </c>
      <c r="J49" s="41">
        <f t="shared" si="57"/>
        <v>0.33460801185889583</v>
      </c>
      <c r="K49" s="41">
        <f t="shared" si="58"/>
        <v>369.92250114463639</v>
      </c>
      <c r="L49" s="6">
        <f t="shared" si="46"/>
        <v>182.93333333333354</v>
      </c>
      <c r="M49" s="41">
        <f t="shared" si="59"/>
        <v>219.17316316817875</v>
      </c>
      <c r="N49" s="41">
        <f t="shared" si="60"/>
        <v>112.30033807702812</v>
      </c>
      <c r="O49" s="41">
        <f t="shared" si="61"/>
        <v>1649660.0458186355</v>
      </c>
      <c r="P49" s="41">
        <f t="shared" si="62"/>
        <v>10591976.684150219</v>
      </c>
      <c r="Q49" s="41">
        <f t="shared" si="63"/>
        <v>2.9454561522387446E-3</v>
      </c>
      <c r="R49" s="41">
        <f t="shared" si="64"/>
        <v>1.98098074111791E-2</v>
      </c>
      <c r="S49" s="24">
        <f t="shared" ca="1" si="65"/>
        <v>13.312303850171839</v>
      </c>
      <c r="T49" s="10">
        <f t="shared" ca="1" si="66"/>
        <v>13.312303850171839</v>
      </c>
      <c r="U49" s="41">
        <f t="shared" ca="1" si="67"/>
        <v>0.49731471268677163</v>
      </c>
      <c r="V49" s="41">
        <f t="shared" ca="1" si="68"/>
        <v>3.5429849733724761E-2</v>
      </c>
      <c r="W49" s="41">
        <f t="shared" ca="1" si="69"/>
        <v>14.036602368465328</v>
      </c>
      <c r="X49" s="20">
        <f t="shared" ca="1" si="70"/>
        <v>915.12034371658683</v>
      </c>
      <c r="Y49" s="41">
        <f t="shared" si="71"/>
        <v>0.56005455178689878</v>
      </c>
      <c r="Z49" s="41">
        <f t="shared" ca="1" si="72"/>
        <v>180.01834109757189</v>
      </c>
      <c r="AA49" s="14">
        <f t="shared" ca="1" si="73"/>
        <v>940.389117613748</v>
      </c>
      <c r="AB49" s="14">
        <f t="shared" si="47"/>
        <v>3954.505013349527</v>
      </c>
      <c r="AC49" s="25">
        <f t="shared" ca="1" si="74"/>
        <v>347871.09443687531</v>
      </c>
      <c r="AD49" s="41">
        <f t="shared" si="75"/>
        <v>1462860.3853272607</v>
      </c>
      <c r="AE49" s="6">
        <v>100</v>
      </c>
      <c r="AF49" s="41">
        <f t="shared" si="76"/>
        <v>3954.505013349527</v>
      </c>
      <c r="AG49" s="41">
        <f t="shared" ca="1" si="77"/>
        <v>3014.1158957357788</v>
      </c>
      <c r="AH49" s="41">
        <f t="shared" ca="1" si="78"/>
        <v>1114989.2908903854</v>
      </c>
      <c r="AI49" s="41">
        <f t="shared" si="79"/>
        <v>3069.6409644571386</v>
      </c>
      <c r="AJ49" s="13">
        <f t="shared" ca="1" si="80"/>
        <v>85.177879739914786</v>
      </c>
      <c r="AK49" s="11">
        <f t="shared" ca="1" si="81"/>
        <v>5068.1837778727731</v>
      </c>
      <c r="AL49" s="6">
        <f t="shared" si="48"/>
        <v>400</v>
      </c>
      <c r="AM49" s="41">
        <f t="shared" ca="1" si="82"/>
        <v>4.6960549055855161</v>
      </c>
      <c r="AN49" s="41">
        <f t="shared" ca="1" si="83"/>
        <v>4.0042229193125563</v>
      </c>
      <c r="AO49" s="41">
        <f t="shared" ca="1" si="84"/>
        <v>0.27822019849017199</v>
      </c>
      <c r="AP49" s="67">
        <f t="shared" si="45"/>
        <v>0.77623898669864255</v>
      </c>
      <c r="AQ49" s="11">
        <f t="shared" si="85"/>
        <v>0.98055258071837592</v>
      </c>
      <c r="AR49" s="11">
        <f t="shared" si="86"/>
        <v>0.67709489304662807</v>
      </c>
      <c r="AS49" s="11">
        <f t="shared" si="87"/>
        <v>0.69052379888753379</v>
      </c>
      <c r="AT49" s="11">
        <f t="shared" si="88"/>
        <v>508.58320704120001</v>
      </c>
      <c r="AU49" s="11">
        <f t="shared" si="89"/>
        <v>1432.881754563135</v>
      </c>
      <c r="AV49" s="11">
        <f t="shared" si="90"/>
        <v>1.6413060175757791E-3</v>
      </c>
      <c r="AW49" s="11">
        <f t="shared" si="91"/>
        <v>3.6804918001398082E-7</v>
      </c>
      <c r="AX49" s="41">
        <f t="shared" ca="1" si="92"/>
        <v>1.345017912470394</v>
      </c>
      <c r="AY49" s="41">
        <f t="shared" ca="1" si="93"/>
        <v>1.8117658503078025</v>
      </c>
      <c r="AZ49" s="41">
        <f t="shared" si="94"/>
        <v>0.24224471703474945</v>
      </c>
    </row>
    <row r="50" spans="1:52" ht="14.5">
      <c r="A50" s="66">
        <f t="shared" ca="1" si="50"/>
        <v>148.33975066515296</v>
      </c>
      <c r="B50" s="41">
        <f t="shared" ca="1" si="51"/>
        <v>2.4723291777525493</v>
      </c>
      <c r="C50" s="41">
        <f t="shared" ca="1" si="52"/>
        <v>4.1205486295875823E-2</v>
      </c>
      <c r="D50" s="41">
        <f t="shared" ca="1" si="53"/>
        <v>13195.863892656842</v>
      </c>
      <c r="E50" s="41">
        <f t="shared" ca="1" si="54"/>
        <v>6.0298095884185789</v>
      </c>
      <c r="F50" s="41">
        <f t="shared" ca="1" si="55"/>
        <v>6.0298095884185789</v>
      </c>
      <c r="G50" s="41"/>
      <c r="H50" s="7">
        <f t="shared" si="56"/>
        <v>10800</v>
      </c>
      <c r="I50" s="6">
        <v>15</v>
      </c>
      <c r="J50" s="41">
        <f t="shared" si="57"/>
        <v>0.3431203115591146</v>
      </c>
      <c r="K50" s="41">
        <f t="shared" si="58"/>
        <v>378.80085957964263</v>
      </c>
      <c r="L50" s="6">
        <f t="shared" si="46"/>
        <v>186.20000000000022</v>
      </c>
      <c r="M50" s="41">
        <f t="shared" si="59"/>
        <v>224.43344848718499</v>
      </c>
      <c r="N50" s="41">
        <f t="shared" si="60"/>
        <v>116.25992394036899</v>
      </c>
      <c r="O50" s="41">
        <f t="shared" si="61"/>
        <v>1671460.6274316777</v>
      </c>
      <c r="P50" s="41">
        <f t="shared" si="62"/>
        <v>10731951.737029474</v>
      </c>
      <c r="Q50" s="41">
        <f t="shared" si="63"/>
        <v>2.9377363586250531E-3</v>
      </c>
      <c r="R50" s="41">
        <f t="shared" si="64"/>
        <v>1.9765750315370166E-2</v>
      </c>
      <c r="S50" s="24">
        <f t="shared" ca="1" si="65"/>
        <v>13.02668580669858</v>
      </c>
      <c r="T50" s="10">
        <f t="shared" ca="1" si="66"/>
        <v>13.02668580669858</v>
      </c>
      <c r="U50" s="41">
        <f t="shared" ca="1" si="67"/>
        <v>0.48079189872883105</v>
      </c>
      <c r="V50" s="41">
        <f t="shared" ca="1" si="68"/>
        <v>3.4365112183722041E-2</v>
      </c>
      <c r="W50" s="41">
        <f t="shared" ca="1" si="69"/>
        <v>13.990697779725888</v>
      </c>
      <c r="X50" s="20">
        <f t="shared" ca="1" si="70"/>
        <v>918.91562559680756</v>
      </c>
      <c r="Y50" s="41">
        <f t="shared" si="71"/>
        <v>0.5594314232831612</v>
      </c>
      <c r="Z50" s="41">
        <f t="shared" ca="1" si="72"/>
        <v>181.25077787105084</v>
      </c>
      <c r="AA50" s="14">
        <f t="shared" ca="1" si="73"/>
        <v>943.18840278139305</v>
      </c>
      <c r="AB50" s="14">
        <f t="shared" si="47"/>
        <v>3893.3273184841605</v>
      </c>
      <c r="AC50" s="25">
        <f t="shared" ca="1" si="74"/>
        <v>357280.5777191419</v>
      </c>
      <c r="AD50" s="41">
        <f t="shared" si="75"/>
        <v>1474795.734866705</v>
      </c>
      <c r="AE50" s="6">
        <v>100</v>
      </c>
      <c r="AF50" s="41">
        <f t="shared" si="76"/>
        <v>3893.3273184841605</v>
      </c>
      <c r="AG50" s="41">
        <f t="shared" ca="1" si="77"/>
        <v>2950.1389157027675</v>
      </c>
      <c r="AH50" s="41">
        <f t="shared" ca="1" si="78"/>
        <v>1117515.1571475631</v>
      </c>
      <c r="AI50" s="41">
        <f t="shared" si="79"/>
        <v>3028.4105548735965</v>
      </c>
      <c r="AJ50" s="13">
        <f t="shared" ca="1" si="80"/>
        <v>85.383550116522059</v>
      </c>
      <c r="AK50" s="11">
        <f t="shared" ca="1" si="81"/>
        <v>5081.2065033624576</v>
      </c>
      <c r="AL50" s="6">
        <f t="shared" si="48"/>
        <v>400</v>
      </c>
      <c r="AM50" s="41">
        <f t="shared" ca="1" si="82"/>
        <v>4.6847431320684612</v>
      </c>
      <c r="AN50" s="41">
        <f t="shared" ca="1" si="83"/>
        <v>3.9409237633410332</v>
      </c>
      <c r="AO50" s="41">
        <f t="shared" ca="1" si="84"/>
        <v>0.28454309388816879</v>
      </c>
      <c r="AP50" s="67">
        <f t="shared" si="45"/>
        <v>0.77784637846804183</v>
      </c>
      <c r="AQ50" s="11">
        <f t="shared" si="85"/>
        <v>0.97780244071837585</v>
      </c>
      <c r="AR50" s="11">
        <f t="shared" si="86"/>
        <v>0.66661997782414906</v>
      </c>
      <c r="AS50" s="11">
        <f t="shared" si="87"/>
        <v>0.68175323568879009</v>
      </c>
      <c r="AT50" s="11">
        <f t="shared" si="88"/>
        <v>507.15679192739998</v>
      </c>
      <c r="AU50" s="11">
        <f t="shared" si="89"/>
        <v>1410.7145294710206</v>
      </c>
      <c r="AV50" s="11">
        <f t="shared" si="90"/>
        <v>1.6204592659086851E-3</v>
      </c>
      <c r="AW50" s="11">
        <f t="shared" si="91"/>
        <v>3.6724249005087463E-7</v>
      </c>
      <c r="AX50" s="41">
        <f t="shared" ca="1" si="92"/>
        <v>1.3784255990132046</v>
      </c>
      <c r="AY50" s="41">
        <f t="shared" ca="1" si="93"/>
        <v>1.85676666780984</v>
      </c>
      <c r="AZ50" s="41">
        <f t="shared" si="94"/>
        <v>0.24786549082259454</v>
      </c>
    </row>
    <row r="51" spans="1:52" ht="14.5">
      <c r="A51" s="66">
        <f t="shared" ca="1" si="50"/>
        <v>153.02449379722142</v>
      </c>
      <c r="B51" s="41">
        <f t="shared" ca="1" si="51"/>
        <v>2.5504082299536903</v>
      </c>
      <c r="C51" s="41">
        <f t="shared" ca="1" si="52"/>
        <v>4.2506803832561509E-2</v>
      </c>
      <c r="D51" s="41">
        <f t="shared" ca="1" si="53"/>
        <v>13191.922968893501</v>
      </c>
      <c r="E51" s="41">
        <f t="shared" ca="1" si="54"/>
        <v>6.3143526823067475</v>
      </c>
      <c r="F51" s="41">
        <f t="shared" ca="1" si="55"/>
        <v>6.3143526823067475</v>
      </c>
      <c r="G51" s="41"/>
      <c r="H51" s="7">
        <f t="shared" si="56"/>
        <v>11200</v>
      </c>
      <c r="I51" s="6">
        <v>15</v>
      </c>
      <c r="J51" s="41">
        <f t="shared" si="57"/>
        <v>0.35174153841654082</v>
      </c>
      <c r="K51" s="41">
        <f t="shared" si="58"/>
        <v>387.77212285381938</v>
      </c>
      <c r="L51" s="6">
        <f t="shared" si="46"/>
        <v>189.4666666666669</v>
      </c>
      <c r="M51" s="41">
        <f t="shared" si="59"/>
        <v>229.74877843692232</v>
      </c>
      <c r="N51" s="41">
        <f t="shared" si="60"/>
        <v>120.27992207859187</v>
      </c>
      <c r="O51" s="41">
        <f t="shared" si="61"/>
        <v>1692972.6301274216</v>
      </c>
      <c r="P51" s="41">
        <f t="shared" si="62"/>
        <v>10870073.910479838</v>
      </c>
      <c r="Q51" s="41">
        <f t="shared" si="63"/>
        <v>2.9301422552455484E-3</v>
      </c>
      <c r="R51" s="41">
        <f t="shared" si="64"/>
        <v>1.9722410537532008E-2</v>
      </c>
      <c r="S51" s="24">
        <f t="shared" ca="1" si="65"/>
        <v>12.740708253617564</v>
      </c>
      <c r="T51" s="10">
        <f t="shared" ca="1" si="66"/>
        <v>12.740708253617564</v>
      </c>
      <c r="U51" s="41">
        <f t="shared" ca="1" si="67"/>
        <v>0.46511477122687844</v>
      </c>
      <c r="V51" s="41">
        <f t="shared" ca="1" si="68"/>
        <v>3.3385215071666849E-2</v>
      </c>
      <c r="W51" s="41">
        <f t="shared" ca="1" si="69"/>
        <v>13.931759020525499</v>
      </c>
      <c r="X51" s="20">
        <f t="shared" ca="1" si="70"/>
        <v>923.58134550133741</v>
      </c>
      <c r="Y51" s="41">
        <f t="shared" si="71"/>
        <v>0.55881776231719238</v>
      </c>
      <c r="Z51" s="41">
        <f t="shared" ca="1" si="72"/>
        <v>182.49333293409242</v>
      </c>
      <c r="AA51" s="14">
        <f t="shared" ca="1" si="73"/>
        <v>946.89571858499664</v>
      </c>
      <c r="AB51" s="14">
        <f t="shared" si="47"/>
        <v>3832.9182661595396</v>
      </c>
      <c r="AC51" s="25">
        <f t="shared" ca="1" si="74"/>
        <v>367179.7629168969</v>
      </c>
      <c r="AD51" s="41">
        <f t="shared" si="75"/>
        <v>1486298.8527938654</v>
      </c>
      <c r="AE51" s="6">
        <v>100</v>
      </c>
      <c r="AF51" s="41">
        <f t="shared" si="76"/>
        <v>3832.9182661595396</v>
      </c>
      <c r="AG51" s="41">
        <f t="shared" ca="1" si="77"/>
        <v>2886.0225475745428</v>
      </c>
      <c r="AH51" s="41">
        <f t="shared" ca="1" si="78"/>
        <v>1119119.0898769684</v>
      </c>
      <c r="AI51" s="41">
        <f t="shared" si="79"/>
        <v>2987.614092733987</v>
      </c>
      <c r="AJ51" s="13">
        <f t="shared" ca="1" si="80"/>
        <v>85.518976761827716</v>
      </c>
      <c r="AK51" s="11">
        <f t="shared" ca="1" si="81"/>
        <v>5090.0195180756282</v>
      </c>
      <c r="AL51" s="6">
        <f t="shared" si="48"/>
        <v>400</v>
      </c>
      <c r="AM51" s="41">
        <f t="shared" ca="1" si="82"/>
        <v>4.6773244389255151</v>
      </c>
      <c r="AN51" s="41">
        <f t="shared" ca="1" si="83"/>
        <v>3.8816778916730437</v>
      </c>
      <c r="AO51" s="41">
        <f t="shared" ca="1" si="84"/>
        <v>0.29115295697066995</v>
      </c>
      <c r="AP51" s="67">
        <f t="shared" si="45"/>
        <v>0.7794619883004914</v>
      </c>
      <c r="AQ51" s="11">
        <f t="shared" si="85"/>
        <v>0.9750523007183759</v>
      </c>
      <c r="AR51" s="11">
        <f t="shared" si="86"/>
        <v>0.65627667046084848</v>
      </c>
      <c r="AS51" s="11">
        <f t="shared" si="87"/>
        <v>0.67306817283271114</v>
      </c>
      <c r="AT51" s="11">
        <f t="shared" si="88"/>
        <v>505.7303768136</v>
      </c>
      <c r="AU51" s="11">
        <f t="shared" si="89"/>
        <v>1388.8258155626565</v>
      </c>
      <c r="AV51" s="11">
        <f t="shared" si="90"/>
        <v>1.5998157400060711E-3</v>
      </c>
      <c r="AW51" s="11">
        <f t="shared" si="91"/>
        <v>3.6643471644926505E-7</v>
      </c>
      <c r="AX51" s="41">
        <f t="shared" ca="1" si="92"/>
        <v>1.4128033916147094</v>
      </c>
      <c r="AY51" s="41">
        <f t="shared" ca="1" si="93"/>
        <v>1.9030742374465688</v>
      </c>
      <c r="AZ51" s="41">
        <f t="shared" si="94"/>
        <v>0.25352229650067093</v>
      </c>
    </row>
    <row r="52" spans="1:52" ht="14.5">
      <c r="A52" s="66">
        <f t="shared" ca="1" si="50"/>
        <v>157.70181823614695</v>
      </c>
      <c r="B52" s="41">
        <f t="shared" ca="1" si="51"/>
        <v>2.6283636372691159</v>
      </c>
      <c r="C52" s="41">
        <f t="shared" ca="1" si="52"/>
        <v>4.3806060621151929E-2</v>
      </c>
      <c r="D52" s="41">
        <f t="shared" ca="1" si="53"/>
        <v>13188.041291001828</v>
      </c>
      <c r="E52" s="41">
        <f t="shared" ca="1" si="54"/>
        <v>6.6055056392774176</v>
      </c>
      <c r="F52" s="41">
        <f t="shared" ca="1" si="55"/>
        <v>6.6055056392774176</v>
      </c>
      <c r="G52" s="41"/>
      <c r="H52" s="7">
        <f t="shared" si="56"/>
        <v>11600</v>
      </c>
      <c r="I52" s="6">
        <v>15</v>
      </c>
      <c r="J52" s="41">
        <f t="shared" si="57"/>
        <v>0.36047265781290461</v>
      </c>
      <c r="K52" s="41">
        <f t="shared" si="58"/>
        <v>396.83678624231743</v>
      </c>
      <c r="L52" s="6">
        <f t="shared" si="46"/>
        <v>192.73333333333358</v>
      </c>
      <c r="M52" s="41">
        <f t="shared" si="59"/>
        <v>235.11944645999321</v>
      </c>
      <c r="N52" s="41">
        <f t="shared" si="60"/>
        <v>124.35946745417222</v>
      </c>
      <c r="O52" s="41">
        <f t="shared" si="61"/>
        <v>1714194.2166802334</v>
      </c>
      <c r="P52" s="41">
        <f t="shared" si="62"/>
        <v>11006331.408221751</v>
      </c>
      <c r="Q52" s="41">
        <f t="shared" si="63"/>
        <v>2.9226665279925806E-3</v>
      </c>
      <c r="R52" s="41">
        <f t="shared" si="64"/>
        <v>1.9679746335830896E-2</v>
      </c>
      <c r="S52" s="24">
        <f t="shared" ca="1" si="65"/>
        <v>12.454556999102826</v>
      </c>
      <c r="T52" s="10">
        <f t="shared" ca="1" si="66"/>
        <v>12.454556999102826</v>
      </c>
      <c r="U52" s="41">
        <f t="shared" ca="1" si="67"/>
        <v>0.45022679850518232</v>
      </c>
      <c r="V52" s="41">
        <f t="shared" ca="1" si="68"/>
        <v>3.2481877548338076E-2</v>
      </c>
      <c r="W52" s="41">
        <f t="shared" ca="1" si="69"/>
        <v>13.860861270570796</v>
      </c>
      <c r="X52" s="20">
        <f t="shared" ca="1" si="70"/>
        <v>929.06866857928003</v>
      </c>
      <c r="Y52" s="41">
        <f t="shared" si="71"/>
        <v>0.55821300811277341</v>
      </c>
      <c r="Z52" s="41">
        <f t="shared" ca="1" si="72"/>
        <v>183.74602271334635</v>
      </c>
      <c r="AA52" s="14">
        <f t="shared" ca="1" si="73"/>
        <v>951.45900630305778</v>
      </c>
      <c r="AB52" s="14">
        <f t="shared" si="47"/>
        <v>3773.2704462160432</v>
      </c>
      <c r="AC52" s="25">
        <f t="shared" ca="1" si="74"/>
        <v>377573.9343026143</v>
      </c>
      <c r="AD52" s="41">
        <f t="shared" si="75"/>
        <v>1497372.5174994897</v>
      </c>
      <c r="AE52" s="6">
        <v>100</v>
      </c>
      <c r="AF52" s="41">
        <f t="shared" si="76"/>
        <v>3773.2704462160432</v>
      </c>
      <c r="AG52" s="41">
        <f t="shared" ca="1" si="77"/>
        <v>2821.8114399129854</v>
      </c>
      <c r="AH52" s="41">
        <f t="shared" ca="1" si="78"/>
        <v>1119798.5831968754</v>
      </c>
      <c r="AI52" s="41">
        <f t="shared" si="79"/>
        <v>2947.2470773875457</v>
      </c>
      <c r="AJ52" s="13">
        <f t="shared" ca="1" si="80"/>
        <v>85.583891341935526</v>
      </c>
      <c r="AK52" s="11">
        <f t="shared" ca="1" si="81"/>
        <v>5094.6090863132722</v>
      </c>
      <c r="AL52" s="6">
        <f t="shared" si="48"/>
        <v>400</v>
      </c>
      <c r="AM52" s="41">
        <f t="shared" ca="1" si="82"/>
        <v>4.6737767321407446</v>
      </c>
      <c r="AN52" s="41">
        <f t="shared" ca="1" si="83"/>
        <v>3.8263263372677012</v>
      </c>
      <c r="AO52" s="41">
        <f t="shared" ca="1" si="84"/>
        <v>0.29806552338172809</v>
      </c>
      <c r="AP52" s="67">
        <f t="shared" si="45"/>
        <v>0.78108556473685575</v>
      </c>
      <c r="AQ52" s="11">
        <f t="shared" si="85"/>
        <v>0.97230216071837594</v>
      </c>
      <c r="AR52" s="11">
        <f t="shared" si="86"/>
        <v>0.64606370218067988</v>
      </c>
      <c r="AS52" s="11">
        <f t="shared" si="87"/>
        <v>0.66446803090856243</v>
      </c>
      <c r="AT52" s="11">
        <f t="shared" si="88"/>
        <v>504.30396169980003</v>
      </c>
      <c r="AU52" s="11">
        <f t="shared" si="89"/>
        <v>1367.2129278287982</v>
      </c>
      <c r="AV52" s="11">
        <f t="shared" si="90"/>
        <v>1.579374062666562E-3</v>
      </c>
      <c r="AW52" s="11">
        <f t="shared" si="91"/>
        <v>3.6562585569613188E-7</v>
      </c>
      <c r="AX52" s="41">
        <f t="shared" ca="1" si="92"/>
        <v>1.4481125056262079</v>
      </c>
      <c r="AY52" s="41">
        <f t="shared" ca="1" si="93"/>
        <v>1.9506363155256337</v>
      </c>
      <c r="AZ52" s="41">
        <f t="shared" si="94"/>
        <v>0.25921439219718634</v>
      </c>
    </row>
    <row r="53" spans="1:52" ht="14.5">
      <c r="A53" s="66">
        <f t="shared" ca="1" si="50"/>
        <v>162.37559496828769</v>
      </c>
      <c r="B53" s="41">
        <f t="shared" ca="1" si="51"/>
        <v>2.7062599161381282</v>
      </c>
      <c r="C53" s="41">
        <f t="shared" ca="1" si="52"/>
        <v>4.5104331935635469E-2</v>
      </c>
      <c r="D53" s="41">
        <f t="shared" ca="1" si="53"/>
        <v>13184.214964664559</v>
      </c>
      <c r="E53" s="41">
        <f t="shared" ca="1" si="54"/>
        <v>6.9035711626591461</v>
      </c>
      <c r="F53" s="41">
        <f t="shared" ca="1" si="55"/>
        <v>6.9035711626591461</v>
      </c>
      <c r="G53" s="41"/>
      <c r="H53" s="7">
        <f t="shared" si="56"/>
        <v>12000</v>
      </c>
      <c r="I53" s="6">
        <v>15</v>
      </c>
      <c r="J53" s="41">
        <f t="shared" si="57"/>
        <v>0.36931462058668557</v>
      </c>
      <c r="K53" s="41">
        <f t="shared" si="58"/>
        <v>405.9953212383881</v>
      </c>
      <c r="L53" s="6">
        <f t="shared" si="46"/>
        <v>196.00000000000026</v>
      </c>
      <c r="M53" s="41">
        <f t="shared" si="59"/>
        <v>240.54573190860515</v>
      </c>
      <c r="N53" s="41">
        <f t="shared" si="60"/>
        <v>128.49765053605304</v>
      </c>
      <c r="O53" s="41">
        <f t="shared" si="61"/>
        <v>1735123.4957809236</v>
      </c>
      <c r="P53" s="41">
        <f t="shared" si="62"/>
        <v>11140712.086721227</v>
      </c>
      <c r="Q53" s="41">
        <f t="shared" si="63"/>
        <v>2.9153021974426328E-3</v>
      </c>
      <c r="R53" s="41">
        <f t="shared" si="64"/>
        <v>1.9637717878485575E-2</v>
      </c>
      <c r="S53" s="24">
        <f t="shared" ca="1" si="65"/>
        <v>12.168401321167568</v>
      </c>
      <c r="T53" s="10">
        <f t="shared" ca="1" si="66"/>
        <v>12.168401321167568</v>
      </c>
      <c r="U53" s="41">
        <f t="shared" ca="1" si="67"/>
        <v>0.43607618037797419</v>
      </c>
      <c r="V53" s="41">
        <f t="shared" ca="1" si="68"/>
        <v>3.1647754202076675E-2</v>
      </c>
      <c r="W53" s="41">
        <f t="shared" ca="1" si="69"/>
        <v>13.779056093318609</v>
      </c>
      <c r="X53" s="20">
        <f t="shared" ca="1" si="70"/>
        <v>935.33227373315117</v>
      </c>
      <c r="Y53" s="41">
        <f t="shared" si="71"/>
        <v>0.55761662413382984</v>
      </c>
      <c r="Z53" s="41">
        <f t="shared" ca="1" si="72"/>
        <v>185.00887566556651</v>
      </c>
      <c r="AA53" s="14">
        <f t="shared" ca="1" si="73"/>
        <v>956.83005246328264</v>
      </c>
      <c r="AB53" s="14">
        <f t="shared" si="47"/>
        <v>3714.3764981396826</v>
      </c>
      <c r="AC53" s="25">
        <f t="shared" ca="1" si="74"/>
        <v>388468.52452037419</v>
      </c>
      <c r="AD53" s="41">
        <f t="shared" si="75"/>
        <v>1508019.4795625394</v>
      </c>
      <c r="AE53" s="6">
        <v>100</v>
      </c>
      <c r="AF53" s="41">
        <f t="shared" si="76"/>
        <v>3714.3764981396826</v>
      </c>
      <c r="AG53" s="41">
        <f t="shared" ca="1" si="77"/>
        <v>2757.5464456763998</v>
      </c>
      <c r="AH53" s="41">
        <f t="shared" ca="1" si="78"/>
        <v>1119550.9550421652</v>
      </c>
      <c r="AI53" s="41">
        <f t="shared" si="79"/>
        <v>2907.3050532264783</v>
      </c>
      <c r="AJ53" s="13">
        <f t="shared" ca="1" si="80"/>
        <v>85.578015501685442</v>
      </c>
      <c r="AK53" s="11">
        <f t="shared" ca="1" si="81"/>
        <v>5094.960714958198</v>
      </c>
      <c r="AL53" s="6">
        <f t="shared" si="48"/>
        <v>400</v>
      </c>
      <c r="AM53" s="41">
        <f t="shared" ca="1" si="82"/>
        <v>4.6740976365842704</v>
      </c>
      <c r="AN53" s="41">
        <f t="shared" ca="1" si="83"/>
        <v>3.7747299105876078</v>
      </c>
      <c r="AO53" s="41">
        <f t="shared" ca="1" si="84"/>
        <v>0.30529806196631243</v>
      </c>
      <c r="AP53" s="67">
        <f t="shared" si="45"/>
        <v>0.7827168448547368</v>
      </c>
      <c r="AQ53" s="11">
        <f t="shared" si="85"/>
        <v>0.96955202071837587</v>
      </c>
      <c r="AR53" s="11">
        <f t="shared" si="86"/>
        <v>0.63597981270797932</v>
      </c>
      <c r="AS53" s="11">
        <f t="shared" si="87"/>
        <v>0.65595223269893144</v>
      </c>
      <c r="AT53" s="11">
        <f t="shared" si="88"/>
        <v>502.87754658599999</v>
      </c>
      <c r="AU53" s="11">
        <f t="shared" si="89"/>
        <v>1345.8731992488799</v>
      </c>
      <c r="AV53" s="11">
        <f t="shared" si="90"/>
        <v>1.55913286190209E-3</v>
      </c>
      <c r="AW53" s="11">
        <f t="shared" si="91"/>
        <v>3.6481590426298337E-7</v>
      </c>
      <c r="AX53" s="41">
        <f t="shared" ca="1" si="92"/>
        <v>1.4843172478250539</v>
      </c>
      <c r="AY53" s="41">
        <f t="shared" ca="1" si="93"/>
        <v>1.9994048225669934</v>
      </c>
      <c r="AZ53" s="41">
        <f t="shared" si="94"/>
        <v>0.26494099276209732</v>
      </c>
    </row>
    <row r="54" spans="1:52" ht="14.5">
      <c r="A54" s="66">
        <f t="shared" ca="1" si="50"/>
        <v>167.04969260487195</v>
      </c>
      <c r="B54" s="41">
        <f t="shared" ca="1" si="51"/>
        <v>2.7841615434145326</v>
      </c>
      <c r="C54" s="41">
        <f t="shared" ca="1" si="52"/>
        <v>4.6402692390242209E-2</v>
      </c>
      <c r="D54" s="41">
        <f t="shared" ca="1" si="53"/>
        <v>13180.440234753973</v>
      </c>
      <c r="E54" s="41">
        <f t="shared" ca="1" si="54"/>
        <v>7.2088692246254586</v>
      </c>
      <c r="F54" s="41">
        <f t="shared" ca="1" si="55"/>
        <v>7.2088692246254586</v>
      </c>
      <c r="G54" s="41"/>
      <c r="H54" s="7">
        <f t="shared" si="56"/>
        <v>12400</v>
      </c>
      <c r="I54" s="6">
        <v>15</v>
      </c>
      <c r="J54" s="41">
        <f t="shared" si="57"/>
        <v>0.37826836193922092</v>
      </c>
      <c r="K54" s="41">
        <f t="shared" si="58"/>
        <v>415.24817443141694</v>
      </c>
      <c r="L54" s="6">
        <f t="shared" si="46"/>
        <v>199.26666666666694</v>
      </c>
      <c r="M54" s="41">
        <f t="shared" si="59"/>
        <v>246.02789937982365</v>
      </c>
      <c r="N54" s="41">
        <f t="shared" si="60"/>
        <v>132.6935160442093</v>
      </c>
      <c r="O54" s="41">
        <f t="shared" si="61"/>
        <v>1755758.5230109987</v>
      </c>
      <c r="P54" s="41">
        <f t="shared" si="62"/>
        <v>11273203.461445222</v>
      </c>
      <c r="Q54" s="41">
        <f t="shared" si="63"/>
        <v>2.9080425954441649E-3</v>
      </c>
      <c r="R54" s="41">
        <f t="shared" si="64"/>
        <v>1.9596287110153373E-2</v>
      </c>
      <c r="S54" s="24">
        <f t="shared" ca="1" si="65"/>
        <v>11.882395812877744</v>
      </c>
      <c r="T54" s="10">
        <f t="shared" ca="1" si="66"/>
        <v>11.882395812877744</v>
      </c>
      <c r="U54" s="41">
        <f t="shared" ca="1" si="67"/>
        <v>0.42261537645762498</v>
      </c>
      <c r="V54" s="41">
        <f t="shared" ca="1" si="68"/>
        <v>3.0876315161253526E-2</v>
      </c>
      <c r="W54" s="41">
        <f t="shared" ca="1" si="69"/>
        <v>13.687364384334375</v>
      </c>
      <c r="X54" s="20">
        <f t="shared" ca="1" si="70"/>
        <v>942.32996888424725</v>
      </c>
      <c r="Y54" s="41">
        <f t="shared" si="71"/>
        <v>0.55702809640034023</v>
      </c>
      <c r="Z54" s="41">
        <f t="shared" ca="1" si="72"/>
        <v>186.2819312021667</v>
      </c>
      <c r="AA54" s="14">
        <f t="shared" ca="1" si="73"/>
        <v>962.96407874107649</v>
      </c>
      <c r="AB54" s="14">
        <f t="shared" si="47"/>
        <v>3656.2291108763789</v>
      </c>
      <c r="AC54" s="25">
        <f t="shared" ca="1" si="74"/>
        <v>399869.07574026327</v>
      </c>
      <c r="AD54" s="41">
        <f t="shared" si="75"/>
        <v>1518242.463594419</v>
      </c>
      <c r="AE54" s="6">
        <v>100</v>
      </c>
      <c r="AF54" s="41">
        <f t="shared" si="76"/>
        <v>3656.2291108763789</v>
      </c>
      <c r="AG54" s="41">
        <f t="shared" ca="1" si="77"/>
        <v>2693.2650321353021</v>
      </c>
      <c r="AH54" s="41">
        <f t="shared" ca="1" si="78"/>
        <v>1118373.3878541556</v>
      </c>
      <c r="AI54" s="41">
        <f t="shared" si="79"/>
        <v>2867.7836102155698</v>
      </c>
      <c r="AJ54" s="13">
        <f t="shared" ca="1" si="80"/>
        <v>85.501064018462742</v>
      </c>
      <c r="AK54" s="11">
        <f t="shared" ca="1" si="81"/>
        <v>5091.0593330801494</v>
      </c>
      <c r="AL54" s="6">
        <f t="shared" si="48"/>
        <v>400</v>
      </c>
      <c r="AM54" s="41">
        <f t="shared" ca="1" si="82"/>
        <v>4.6783043531905717</v>
      </c>
      <c r="AN54" s="41">
        <f t="shared" ca="1" si="83"/>
        <v>3.7267679299111318</v>
      </c>
      <c r="AO54" s="41">
        <f t="shared" ca="1" si="84"/>
        <v>0.31286951283771142</v>
      </c>
      <c r="AP54" s="67">
        <f t="shared" si="45"/>
        <v>0.78435555411027758</v>
      </c>
      <c r="AQ54" s="11">
        <f t="shared" si="85"/>
        <v>0.96680188071837592</v>
      </c>
      <c r="AR54" s="11">
        <f t="shared" si="86"/>
        <v>0.62602375023566514</v>
      </c>
      <c r="AS54" s="11">
        <f t="shared" si="87"/>
        <v>0.64752020317803083</v>
      </c>
      <c r="AT54" s="11">
        <f t="shared" si="88"/>
        <v>501.45113147220002</v>
      </c>
      <c r="AU54" s="11">
        <f t="shared" si="89"/>
        <v>1324.8039807237192</v>
      </c>
      <c r="AV54" s="11">
        <f t="shared" si="90"/>
        <v>1.5390907709338614E-3</v>
      </c>
      <c r="AW54" s="11">
        <f t="shared" si="91"/>
        <v>3.6400485860578931E-7</v>
      </c>
      <c r="AX54" s="41">
        <f t="shared" ca="1" si="92"/>
        <v>1.5213845462451523</v>
      </c>
      <c r="AY54" s="41">
        <f t="shared" ca="1" si="93"/>
        <v>2.0493352099752582</v>
      </c>
      <c r="AZ54" s="41">
        <f t="shared" si="94"/>
        <v>0.27070126886432111</v>
      </c>
    </row>
    <row r="55" spans="1:52" ht="14.5">
      <c r="A55" s="66">
        <f t="shared" ca="1" si="50"/>
        <v>171.72799695806253</v>
      </c>
      <c r="B55" s="41">
        <f t="shared" ca="1" si="51"/>
        <v>2.8621332826343755</v>
      </c>
      <c r="C55" s="41">
        <f t="shared" ca="1" si="52"/>
        <v>4.770222137723959E-2</v>
      </c>
      <c r="D55" s="41">
        <f t="shared" ca="1" si="53"/>
        <v>13176.713466824061</v>
      </c>
      <c r="E55" s="41">
        <f t="shared" ca="1" si="54"/>
        <v>7.5217387374631697</v>
      </c>
      <c r="F55" s="41">
        <f t="shared" ca="1" si="55"/>
        <v>7.5217387374631697</v>
      </c>
      <c r="G55" s="41"/>
      <c r="H55" s="7">
        <f t="shared" si="56"/>
        <v>12800</v>
      </c>
      <c r="I55" s="6">
        <v>15</v>
      </c>
      <c r="J55" s="41">
        <f t="shared" si="57"/>
        <v>0.38733480032515566</v>
      </c>
      <c r="K55" s="41">
        <f t="shared" si="58"/>
        <v>424.59576637820538</v>
      </c>
      <c r="L55" s="6">
        <f t="shared" si="46"/>
        <v>202.53333333333362</v>
      </c>
      <c r="M55" s="41">
        <f t="shared" si="59"/>
        <v>251.56619804682464</v>
      </c>
      <c r="N55" s="41">
        <f t="shared" si="60"/>
        <v>136.94606171527394</v>
      </c>
      <c r="O55" s="41">
        <f t="shared" si="61"/>
        <v>1776097.3019545488</v>
      </c>
      <c r="P55" s="41">
        <f t="shared" si="62"/>
        <v>11403792.714000747</v>
      </c>
      <c r="Q55" s="41">
        <f t="shared" si="63"/>
        <v>2.900881343820791E-3</v>
      </c>
      <c r="R55" s="41">
        <f t="shared" si="64"/>
        <v>1.9555417630388615E-2</v>
      </c>
      <c r="S55" s="24">
        <f t="shared" ca="1" si="65"/>
        <v>11.596682012268467</v>
      </c>
      <c r="T55" s="10">
        <f t="shared" ca="1" si="66"/>
        <v>11.596682012268467</v>
      </c>
      <c r="U55" s="41">
        <f t="shared" ca="1" si="67"/>
        <v>0.40980068879305215</v>
      </c>
      <c r="V55" s="41">
        <f t="shared" ca="1" si="68"/>
        <v>3.0161743320013788E-2</v>
      </c>
      <c r="W55" s="41">
        <f t="shared" ca="1" si="69"/>
        <v>13.586770646679742</v>
      </c>
      <c r="X55" s="20">
        <f t="shared" ca="1" si="70"/>
        <v>950.02235129285771</v>
      </c>
      <c r="Y55" s="41">
        <f t="shared" si="71"/>
        <v>0.55644693195503048</v>
      </c>
      <c r="Z55" s="41">
        <f t="shared" ca="1" si="72"/>
        <v>187.5652387361404</v>
      </c>
      <c r="AA55" s="14">
        <f t="shared" ca="1" si="73"/>
        <v>969.81937867951808</v>
      </c>
      <c r="AB55" s="14">
        <f t="shared" si="47"/>
        <v>3598.8210226463525</v>
      </c>
      <c r="AC55" s="25">
        <f t="shared" ca="1" si="74"/>
        <v>411781.20233886497</v>
      </c>
      <c r="AD55" s="41">
        <f t="shared" si="75"/>
        <v>1528044.1701685248</v>
      </c>
      <c r="AE55" s="6">
        <v>100</v>
      </c>
      <c r="AF55" s="41">
        <f t="shared" si="76"/>
        <v>3598.8210226463525</v>
      </c>
      <c r="AG55" s="41">
        <f t="shared" ca="1" si="77"/>
        <v>2629.0016439668343</v>
      </c>
      <c r="AH55" s="41">
        <f t="shared" ca="1" si="78"/>
        <v>1116262.9678296598</v>
      </c>
      <c r="AI55" s="41">
        <f t="shared" si="79"/>
        <v>2828.678384428124</v>
      </c>
      <c r="AJ55" s="13">
        <f t="shared" ca="1" si="80"/>
        <v>85.352747836292167</v>
      </c>
      <c r="AK55" s="11">
        <f t="shared" ca="1" si="81"/>
        <v>5082.8894654504866</v>
      </c>
      <c r="AL55" s="6">
        <f t="shared" si="48"/>
        <v>400</v>
      </c>
      <c r="AM55" s="41">
        <f t="shared" ca="1" si="82"/>
        <v>4.6864337720820179</v>
      </c>
      <c r="AN55" s="41">
        <f t="shared" ca="1" si="83"/>
        <v>3.6823371975395447</v>
      </c>
      <c r="AO55" s="41">
        <f t="shared" ca="1" si="84"/>
        <v>0.32080064648028023</v>
      </c>
      <c r="AP55" s="67">
        <f t="shared" si="45"/>
        <v>0.78600140619054382</v>
      </c>
      <c r="AQ55" s="11">
        <f t="shared" si="85"/>
        <v>0.96405174071837596</v>
      </c>
      <c r="AR55" s="11">
        <f t="shared" si="86"/>
        <v>0.61619427139345806</v>
      </c>
      <c r="AS55" s="11">
        <f t="shared" si="87"/>
        <v>0.63917136950999409</v>
      </c>
      <c r="AT55" s="11">
        <f t="shared" si="88"/>
        <v>500.02471635840004</v>
      </c>
      <c r="AU55" s="11">
        <f t="shared" si="89"/>
        <v>1304.0026410082637</v>
      </c>
      <c r="AV55" s="11">
        <f t="shared" si="90"/>
        <v>1.5192464281883048E-3</v>
      </c>
      <c r="AW55" s="11">
        <f t="shared" si="91"/>
        <v>3.6319271516492172E-7</v>
      </c>
      <c r="AX55" s="41">
        <f t="shared" ca="1" si="92"/>
        <v>1.5592835502907652</v>
      </c>
      <c r="AY55" s="41">
        <f t="shared" ca="1" si="93"/>
        <v>2.100385921385044</v>
      </c>
      <c r="AZ55" s="41">
        <f t="shared" si="94"/>
        <v>0.27649434611532187</v>
      </c>
    </row>
    <row r="56" spans="1:52" ht="14.5">
      <c r="A56" s="66">
        <f t="shared" ca="1" si="50"/>
        <v>176.41443073014455</v>
      </c>
      <c r="B56" s="41">
        <f t="shared" ca="1" si="51"/>
        <v>2.9402405121690758</v>
      </c>
      <c r="C56" s="41">
        <f t="shared" ca="1" si="52"/>
        <v>4.9004008536151264E-2</v>
      </c>
      <c r="D56" s="41">
        <f t="shared" ca="1" si="53"/>
        <v>13173.031129626523</v>
      </c>
      <c r="E56" s="41">
        <f t="shared" ca="1" si="54"/>
        <v>7.8425393839434498</v>
      </c>
      <c r="F56" s="41">
        <f t="shared" ca="1" si="55"/>
        <v>7.8425393839434498</v>
      </c>
      <c r="G56" s="41"/>
      <c r="H56" s="7">
        <f t="shared" si="56"/>
        <v>13200</v>
      </c>
      <c r="I56" s="6">
        <v>15</v>
      </c>
      <c r="J56" s="41">
        <f t="shared" si="57"/>
        <v>0.3965148363292243</v>
      </c>
      <c r="K56" s="41">
        <f t="shared" si="58"/>
        <v>434.03849046990109</v>
      </c>
      <c r="L56" s="6">
        <f t="shared" si="46"/>
        <v>205.8000000000003</v>
      </c>
      <c r="M56" s="41">
        <f t="shared" si="59"/>
        <v>257.16086098756887</v>
      </c>
      <c r="N56" s="41">
        <f t="shared" si="60"/>
        <v>141.25423709386507</v>
      </c>
      <c r="O56" s="41">
        <f t="shared" si="61"/>
        <v>1796137.7854531251</v>
      </c>
      <c r="P56" s="41">
        <f t="shared" si="62"/>
        <v>11532466.700192053</v>
      </c>
      <c r="Q56" s="41">
        <f t="shared" si="63"/>
        <v>2.8938123349849724E-3</v>
      </c>
      <c r="R56" s="41">
        <f t="shared" si="64"/>
        <v>1.951507458300435E-2</v>
      </c>
      <c r="S56" s="24">
        <f t="shared" ca="1" si="65"/>
        <v>11.311389845229394</v>
      </c>
      <c r="T56" s="10">
        <f t="shared" ca="1" si="66"/>
        <v>11.311389845229394</v>
      </c>
      <c r="U56" s="41">
        <f t="shared" ca="1" si="67"/>
        <v>0.39759189176331677</v>
      </c>
      <c r="V56" s="41">
        <f t="shared" ca="1" si="68"/>
        <v>2.9498845999028422E-2</v>
      </c>
      <c r="W56" s="41">
        <f t="shared" ca="1" si="69"/>
        <v>13.478218496290056</v>
      </c>
      <c r="X56" s="20">
        <f t="shared" ca="1" si="70"/>
        <v>958.37250695069997</v>
      </c>
      <c r="Y56" s="41">
        <f t="shared" si="71"/>
        <v>0.55587265746651515</v>
      </c>
      <c r="Z56" s="41">
        <f t="shared" ca="1" si="72"/>
        <v>188.85885683546718</v>
      </c>
      <c r="AA56" s="14">
        <f t="shared" ca="1" si="73"/>
        <v>977.35699515870454</v>
      </c>
      <c r="AB56" s="14">
        <f t="shared" si="47"/>
        <v>3542.1450207586813</v>
      </c>
      <c r="AC56" s="25">
        <f t="shared" ca="1" si="74"/>
        <v>424210.55482888257</v>
      </c>
      <c r="AD56" s="41">
        <f t="shared" si="75"/>
        <v>1537427.2778355745</v>
      </c>
      <c r="AE56" s="6">
        <v>100</v>
      </c>
      <c r="AF56" s="41">
        <f t="shared" si="76"/>
        <v>3542.1450207586813</v>
      </c>
      <c r="AG56" s="41">
        <f t="shared" ca="1" si="77"/>
        <v>2564.7880255999767</v>
      </c>
      <c r="AH56" s="41">
        <f t="shared" ca="1" si="78"/>
        <v>1113216.7230066918</v>
      </c>
      <c r="AI56" s="41">
        <f t="shared" si="79"/>
        <v>2789.9850585869517</v>
      </c>
      <c r="AJ56" s="13">
        <f t="shared" ca="1" si="80"/>
        <v>85.132777002906337</v>
      </c>
      <c r="AK56" s="11">
        <f t="shared" ca="1" si="81"/>
        <v>5070.4354011721825</v>
      </c>
      <c r="AL56" s="6">
        <f t="shared" si="48"/>
        <v>400</v>
      </c>
      <c r="AM56" s="41">
        <f t="shared" ca="1" si="82"/>
        <v>4.6985428419226176</v>
      </c>
      <c r="AN56" s="41">
        <f t="shared" ca="1" si="83"/>
        <v>3.6413512016929932</v>
      </c>
      <c r="AO56" s="41">
        <f t="shared" ca="1" si="84"/>
        <v>0.32911424666303335</v>
      </c>
      <c r="AP56" s="67">
        <f t="shared" si="45"/>
        <v>0.78765410287729365</v>
      </c>
      <c r="AQ56" s="11">
        <f t="shared" si="85"/>
        <v>0.96130160071837589</v>
      </c>
      <c r="AR56" s="11">
        <f t="shared" si="86"/>
        <v>0.60649014121612921</v>
      </c>
      <c r="AS56" s="11">
        <f t="shared" si="87"/>
        <v>0.63090516104716998</v>
      </c>
      <c r="AT56" s="11">
        <f t="shared" si="88"/>
        <v>498.59830124460001</v>
      </c>
      <c r="AU56" s="11">
        <f t="shared" si="89"/>
        <v>1283.4665666443968</v>
      </c>
      <c r="AV56" s="11">
        <f t="shared" si="90"/>
        <v>1.4995984772930182E-3</v>
      </c>
      <c r="AW56" s="11">
        <f t="shared" si="91"/>
        <v>3.6237947036508706E-7</v>
      </c>
      <c r="AX56" s="41">
        <f t="shared" ca="1" si="92"/>
        <v>1.5979852890226744</v>
      </c>
      <c r="AY56" s="41">
        <f t="shared" ca="1" si="93"/>
        <v>2.1525179323656425</v>
      </c>
      <c r="AZ56" s="41">
        <f t="shared" si="94"/>
        <v>0.28231930422231649</v>
      </c>
    </row>
    <row r="57" spans="1:52" ht="14.5">
      <c r="A57" s="66">
        <f t="shared" ca="1" si="50"/>
        <v>181.11297357206718</v>
      </c>
      <c r="B57" s="41">
        <f t="shared" ca="1" si="51"/>
        <v>3.0185495595344531</v>
      </c>
      <c r="C57" s="41">
        <f t="shared" ca="1" si="52"/>
        <v>5.0309159325574219E-2</v>
      </c>
      <c r="D57" s="41">
        <f t="shared" ca="1" si="53"/>
        <v>13169.389778424829</v>
      </c>
      <c r="E57" s="41">
        <f t="shared" ca="1" si="54"/>
        <v>8.1716536306064835</v>
      </c>
      <c r="F57" s="41">
        <f t="shared" ca="1" si="55"/>
        <v>8.1716536306064835</v>
      </c>
      <c r="G57" s="41"/>
      <c r="H57" s="7">
        <f t="shared" si="56"/>
        <v>13600</v>
      </c>
      <c r="I57" s="6">
        <v>15</v>
      </c>
      <c r="J57" s="41">
        <f t="shared" si="57"/>
        <v>0.40580935153165731</v>
      </c>
      <c r="K57" s="41">
        <f t="shared" si="58"/>
        <v>443.57671179728533</v>
      </c>
      <c r="L57" s="6">
        <f t="shared" si="46"/>
        <v>209.06666666666698</v>
      </c>
      <c r="M57" s="41">
        <f t="shared" si="59"/>
        <v>262.8121045125028</v>
      </c>
      <c r="N57" s="41">
        <f t="shared" si="60"/>
        <v>145.6169423545733</v>
      </c>
      <c r="O57" s="41">
        <f t="shared" si="61"/>
        <v>1815877.8770092633</v>
      </c>
      <c r="P57" s="41">
        <f t="shared" si="62"/>
        <v>11659211.959032245</v>
      </c>
      <c r="Q57" s="41">
        <f t="shared" si="63"/>
        <v>2.8868297142806698E-3</v>
      </c>
      <c r="R57" s="41">
        <f t="shared" si="64"/>
        <v>1.9475224555301367E-2</v>
      </c>
      <c r="S57" s="24">
        <f t="shared" ca="1" si="65"/>
        <v>11.026638905458102</v>
      </c>
      <c r="T57" s="10">
        <f t="shared" ca="1" si="66"/>
        <v>11.026638905458102</v>
      </c>
      <c r="U57" s="41">
        <f t="shared" ca="1" si="67"/>
        <v>0.38595190317464895</v>
      </c>
      <c r="V57" s="41">
        <f t="shared" ca="1" si="68"/>
        <v>2.8882978811977014E-2</v>
      </c>
      <c r="W57" s="41">
        <f t="shared" ca="1" si="69"/>
        <v>13.362607288089164</v>
      </c>
      <c r="X57" s="20">
        <f t="shared" ca="1" si="70"/>
        <v>967.34574395916422</v>
      </c>
      <c r="Y57" s="41">
        <f t="shared" si="71"/>
        <v>0.55530481795616493</v>
      </c>
      <c r="Z57" s="41">
        <f t="shared" ca="1" si="72"/>
        <v>190.16285246914435</v>
      </c>
      <c r="AA57" s="14">
        <f t="shared" ca="1" si="73"/>
        <v>985.54043342749731</v>
      </c>
      <c r="AB57" s="14">
        <f t="shared" si="47"/>
        <v>3486.193941425995</v>
      </c>
      <c r="AC57" s="25">
        <f t="shared" ca="1" si="74"/>
        <v>437162.78480304062</v>
      </c>
      <c r="AD57" s="41">
        <f t="shared" si="75"/>
        <v>1546394.4452253608</v>
      </c>
      <c r="AE57" s="6">
        <v>100</v>
      </c>
      <c r="AF57" s="41">
        <f t="shared" si="76"/>
        <v>3486.193941425995</v>
      </c>
      <c r="AG57" s="41">
        <f t="shared" ca="1" si="77"/>
        <v>2500.6535079984978</v>
      </c>
      <c r="AH57" s="41">
        <f t="shared" ca="1" si="78"/>
        <v>1109231.6604223202</v>
      </c>
      <c r="AI57" s="41">
        <f t="shared" si="79"/>
        <v>2751.6993626089989</v>
      </c>
      <c r="AJ57" s="13">
        <f t="shared" ca="1" si="80"/>
        <v>84.840863528795552</v>
      </c>
      <c r="AK57" s="11">
        <f t="shared" ca="1" si="81"/>
        <v>5053.6813584463307</v>
      </c>
      <c r="AL57" s="6">
        <f t="shared" si="48"/>
        <v>400</v>
      </c>
      <c r="AM57" s="41">
        <f t="shared" ca="1" si="82"/>
        <v>4.714709202178704</v>
      </c>
      <c r="AN57" s="41">
        <f t="shared" ca="1" si="83"/>
        <v>3.6037395295894226</v>
      </c>
      <c r="AO57" s="41">
        <f t="shared" ca="1" si="84"/>
        <v>0.33783532051838921</v>
      </c>
      <c r="AP57" s="67">
        <f t="shared" si="45"/>
        <v>0.78931333392296643</v>
      </c>
      <c r="AQ57" s="11">
        <f t="shared" si="85"/>
        <v>0.95855146071837594</v>
      </c>
      <c r="AR57" s="11">
        <f t="shared" si="86"/>
        <v>0.59691013311177232</v>
      </c>
      <c r="AS57" s="11">
        <f t="shared" si="87"/>
        <v>0.62272100932841368</v>
      </c>
      <c r="AT57" s="11">
        <f t="shared" si="88"/>
        <v>497.17188613080003</v>
      </c>
      <c r="AU57" s="11">
        <f t="shared" si="89"/>
        <v>1263.1931618937947</v>
      </c>
      <c r="AV57" s="11">
        <f t="shared" si="90"/>
        <v>1.4801455670727065E-3</v>
      </c>
      <c r="AW57" s="11">
        <f t="shared" si="91"/>
        <v>3.6156512061526155E-7</v>
      </c>
      <c r="AX57" s="41">
        <f t="shared" ca="1" si="92"/>
        <v>1.6374623778464679</v>
      </c>
      <c r="AY57" s="41">
        <f t="shared" ca="1" si="93"/>
        <v>2.2056943553243151</v>
      </c>
      <c r="AZ57" s="41">
        <f t="shared" si="94"/>
        <v>0.28817517617451505</v>
      </c>
    </row>
    <row r="58" spans="1:52" ht="14.5">
      <c r="A58" s="66">
        <f t="shared" ca="1" si="50"/>
        <v>185.82768277424589</v>
      </c>
      <c r="B58" s="41">
        <f t="shared" ca="1" si="51"/>
        <v>3.0971280462374313</v>
      </c>
      <c r="C58" s="41">
        <f t="shared" ca="1" si="52"/>
        <v>5.1618800770623856E-2</v>
      </c>
      <c r="D58" s="41">
        <f t="shared" ca="1" si="53"/>
        <v>13165.786038895239</v>
      </c>
      <c r="E58" s="41">
        <f t="shared" ca="1" si="54"/>
        <v>8.5094889511248724</v>
      </c>
      <c r="F58" s="41">
        <f t="shared" ca="1" si="55"/>
        <v>8.5094889511248724</v>
      </c>
      <c r="G58" s="41"/>
      <c r="H58" s="7">
        <f t="shared" si="56"/>
        <v>14000</v>
      </c>
      <c r="I58" s="6">
        <v>15</v>
      </c>
      <c r="J58" s="41">
        <f t="shared" si="57"/>
        <v>0.4152192073645703</v>
      </c>
      <c r="K58" s="41">
        <f t="shared" si="58"/>
        <v>453.21076601717181</v>
      </c>
      <c r="L58" s="6">
        <f t="shared" si="46"/>
        <v>212.33333333333366</v>
      </c>
      <c r="M58" s="41">
        <f t="shared" si="59"/>
        <v>268.52012749291805</v>
      </c>
      <c r="N58" s="41">
        <f t="shared" si="60"/>
        <v>150.03302715971444</v>
      </c>
      <c r="O58" s="41">
        <f t="shared" si="61"/>
        <v>1835315.4323436506</v>
      </c>
      <c r="P58" s="41">
        <f t="shared" si="62"/>
        <v>11784014.722741384</v>
      </c>
      <c r="Q58" s="41">
        <f t="shared" si="63"/>
        <v>2.8799278638937547E-3</v>
      </c>
      <c r="R58" s="41">
        <f t="shared" si="64"/>
        <v>1.9435835486244397E-2</v>
      </c>
      <c r="S58" s="24">
        <f t="shared" ca="1" si="65"/>
        <v>10.742539592083785</v>
      </c>
      <c r="T58" s="10">
        <f t="shared" ca="1" si="66"/>
        <v>10.742539592083785</v>
      </c>
      <c r="U58" s="41">
        <f t="shared" ca="1" si="67"/>
        <v>0.37484649137053605</v>
      </c>
      <c r="V58" s="41">
        <f t="shared" ca="1" si="68"/>
        <v>2.8309979883021443E-2</v>
      </c>
      <c r="W58" s="41">
        <f t="shared" ca="1" si="69"/>
        <v>13.240789746916972</v>
      </c>
      <c r="X58" s="20">
        <f t="shared" ca="1" si="70"/>
        <v>976.90935555647491</v>
      </c>
      <c r="Y58" s="41">
        <f t="shared" si="71"/>
        <v>0.55474297563738884</v>
      </c>
      <c r="Z58" s="41">
        <f t="shared" ca="1" si="72"/>
        <v>191.47730033367301</v>
      </c>
      <c r="AA58" s="14">
        <f t="shared" ca="1" si="73"/>
        <v>994.33540525487183</v>
      </c>
      <c r="AB58" s="14">
        <f t="shared" si="47"/>
        <v>3430.9606695793041</v>
      </c>
      <c r="AC58" s="25">
        <f t="shared" ca="1" si="74"/>
        <v>450643.51069355541</v>
      </c>
      <c r="AD58" s="41">
        <f t="shared" si="75"/>
        <v>1554948.3132348252</v>
      </c>
      <c r="AE58" s="6">
        <v>100</v>
      </c>
      <c r="AF58" s="41">
        <f t="shared" si="76"/>
        <v>3430.9606695793041</v>
      </c>
      <c r="AG58" s="41">
        <f t="shared" ca="1" si="77"/>
        <v>2436.6252643244325</v>
      </c>
      <c r="AH58" s="41">
        <f t="shared" ca="1" si="78"/>
        <v>1104304.8025412697</v>
      </c>
      <c r="AI58" s="41">
        <f t="shared" si="79"/>
        <v>2713.8170741520958</v>
      </c>
      <c r="AJ58" s="13">
        <f t="shared" ca="1" si="80"/>
        <v>84.476724184032079</v>
      </c>
      <c r="AK58" s="11">
        <f t="shared" ca="1" si="81"/>
        <v>5032.6116463332728</v>
      </c>
      <c r="AL58" s="6">
        <f t="shared" si="48"/>
        <v>400</v>
      </c>
      <c r="AM58" s="41">
        <f t="shared" ca="1" si="82"/>
        <v>4.7350320915451478</v>
      </c>
      <c r="AN58" s="41">
        <f t="shared" ca="1" si="83"/>
        <v>3.5694474824148146</v>
      </c>
      <c r="AO58" s="41">
        <f t="shared" ca="1" si="84"/>
        <v>0.34699133982502078</v>
      </c>
      <c r="AP58" s="67">
        <f t="shared" si="45"/>
        <v>0.79097877693971275</v>
      </c>
      <c r="AQ58" s="11">
        <f t="shared" si="85"/>
        <v>0.95580132071837587</v>
      </c>
      <c r="AR58" s="11">
        <f t="shared" si="86"/>
        <v>0.58745302883009798</v>
      </c>
      <c r="AS58" s="11">
        <f t="shared" si="87"/>
        <v>0.61461834807737137</v>
      </c>
      <c r="AT58" s="11">
        <f t="shared" si="88"/>
        <v>495.745471017</v>
      </c>
      <c r="AU58" s="11">
        <f t="shared" si="89"/>
        <v>1243.1798486708299</v>
      </c>
      <c r="AV58" s="11">
        <f t="shared" si="90"/>
        <v>1.460886351545104E-3</v>
      </c>
      <c r="AW58" s="11">
        <f t="shared" si="91"/>
        <v>3.6074966230862931E-7</v>
      </c>
      <c r="AX58" s="41">
        <f t="shared" ca="1" si="92"/>
        <v>1.6776887656845596</v>
      </c>
      <c r="AY58" s="41">
        <f t="shared" ca="1" si="93"/>
        <v>2.2598800989419829</v>
      </c>
      <c r="AZ58" s="41">
        <f t="shared" si="94"/>
        <v>0.29406094746580624</v>
      </c>
    </row>
    <row r="59" spans="1:52" ht="14.5">
      <c r="A59" s="66">
        <f t="shared" ca="1" si="50"/>
        <v>190.56271486579104</v>
      </c>
      <c r="B59" s="41">
        <f t="shared" ca="1" si="51"/>
        <v>3.176045247763184</v>
      </c>
      <c r="C59" s="41">
        <f t="shared" ca="1" si="52"/>
        <v>5.2934087462719735E-2</v>
      </c>
      <c r="D59" s="41">
        <f t="shared" ca="1" si="53"/>
        <v>13162.216591412825</v>
      </c>
      <c r="E59" s="41">
        <f t="shared" ca="1" si="54"/>
        <v>8.856480290949893</v>
      </c>
      <c r="F59" s="41">
        <f t="shared" ca="1" si="55"/>
        <v>8.856480290949893</v>
      </c>
      <c r="G59" s="41"/>
      <c r="H59" s="7">
        <f t="shared" si="56"/>
        <v>14400</v>
      </c>
      <c r="I59" s="6">
        <v>15</v>
      </c>
      <c r="J59" s="41">
        <f t="shared" si="57"/>
        <v>0.42474524396194696</v>
      </c>
      <c r="K59" s="41">
        <f t="shared" si="58"/>
        <v>462.940958222917</v>
      </c>
      <c r="L59" s="6">
        <f t="shared" si="46"/>
        <v>215.60000000000034</v>
      </c>
      <c r="M59" s="41">
        <f t="shared" si="59"/>
        <v>274.28511069174675</v>
      </c>
      <c r="N59" s="41">
        <f t="shared" si="60"/>
        <v>154.50128955822251</v>
      </c>
      <c r="O59" s="41">
        <f t="shared" si="61"/>
        <v>1854448.2611110904</v>
      </c>
      <c r="P59" s="41">
        <f t="shared" si="62"/>
        <v>11906860.927764187</v>
      </c>
      <c r="Q59" s="41">
        <f t="shared" si="63"/>
        <v>2.8731013881865167E-3</v>
      </c>
      <c r="R59" s="41">
        <f t="shared" si="64"/>
        <v>1.9396876582765715E-2</v>
      </c>
      <c r="S59" s="24">
        <f t="shared" ca="1" si="65"/>
        <v>10.459194122618522</v>
      </c>
      <c r="T59" s="10">
        <f t="shared" ca="1" si="66"/>
        <v>10.459194122618522</v>
      </c>
      <c r="U59" s="41">
        <f t="shared" ca="1" si="67"/>
        <v>0.3642440138909957</v>
      </c>
      <c r="V59" s="41">
        <f t="shared" ca="1" si="68"/>
        <v>2.7776112867194318E-2</v>
      </c>
      <c r="W59" s="41">
        <f t="shared" ca="1" si="69"/>
        <v>13.113570485278208</v>
      </c>
      <c r="X59" s="20">
        <f t="shared" ca="1" si="70"/>
        <v>987.03240908613975</v>
      </c>
      <c r="Y59" s="41">
        <f t="shared" si="71"/>
        <v>0.55418670885724375</v>
      </c>
      <c r="Z59" s="41">
        <f t="shared" ca="1" si="72"/>
        <v>192.80228224924036</v>
      </c>
      <c r="AA59" s="14">
        <f t="shared" ca="1" si="73"/>
        <v>1003.7096003860451</v>
      </c>
      <c r="AB59" s="14">
        <f t="shared" si="47"/>
        <v>3376.438138682985</v>
      </c>
      <c r="AC59" s="25">
        <f t="shared" ca="1" si="74"/>
        <v>464658.28418025683</v>
      </c>
      <c r="AD59" s="41">
        <f t="shared" si="75"/>
        <v>1563091.5073023033</v>
      </c>
      <c r="AE59" s="6">
        <v>100</v>
      </c>
      <c r="AF59" s="41">
        <f t="shared" si="76"/>
        <v>3376.438138682985</v>
      </c>
      <c r="AG59" s="41">
        <f t="shared" ca="1" si="77"/>
        <v>2372.7285382969399</v>
      </c>
      <c r="AH59" s="41">
        <f t="shared" ca="1" si="78"/>
        <v>1098433.2231220466</v>
      </c>
      <c r="AI59" s="41">
        <f t="shared" si="79"/>
        <v>2676.3340191622174</v>
      </c>
      <c r="AJ59" s="13">
        <f t="shared" ca="1" si="80"/>
        <v>84.040083245899368</v>
      </c>
      <c r="AK59" s="11">
        <f t="shared" ca="1" si="81"/>
        <v>5007.2108242255017</v>
      </c>
      <c r="AL59" s="6">
        <f t="shared" si="48"/>
        <v>400</v>
      </c>
      <c r="AM59" s="41">
        <f t="shared" ca="1" si="82"/>
        <v>4.7596335528322733</v>
      </c>
      <c r="AN59" s="41">
        <f t="shared" ca="1" si="83"/>
        <v>3.5384358878308175</v>
      </c>
      <c r="AO59" s="41">
        <f t="shared" ca="1" si="84"/>
        <v>0.35661251835215557</v>
      </c>
      <c r="AP59" s="67">
        <f t="shared" si="45"/>
        <v>0.79265009730228597</v>
      </c>
      <c r="AQ59" s="11">
        <f t="shared" si="85"/>
        <v>0.95305118071837591</v>
      </c>
      <c r="AR59" s="11">
        <f t="shared" si="86"/>
        <v>0.5781176184307556</v>
      </c>
      <c r="AS59" s="11">
        <f t="shared" si="87"/>
        <v>0.60659661320076352</v>
      </c>
      <c r="AT59" s="11">
        <f t="shared" si="88"/>
        <v>494.31905590320002</v>
      </c>
      <c r="AU59" s="11">
        <f t="shared" si="89"/>
        <v>1223.4240664755334</v>
      </c>
      <c r="AV59" s="11">
        <f t="shared" si="90"/>
        <v>1.4418194899168948E-3</v>
      </c>
      <c r="AW59" s="11">
        <f t="shared" si="91"/>
        <v>3.5993309182251675E-7</v>
      </c>
      <c r="AX59" s="41">
        <f t="shared" ca="1" si="92"/>
        <v>1.7186395161888477</v>
      </c>
      <c r="AY59" s="41">
        <f t="shared" ca="1" si="93"/>
        <v>2.3150415734623286</v>
      </c>
      <c r="AZ59" s="41">
        <f t="shared" si="94"/>
        <v>0.29997555535741083</v>
      </c>
    </row>
    <row r="60" spans="1:52" ht="14.5">
      <c r="A60" s="66">
        <f t="shared" ca="1" si="50"/>
        <v>195.32234841862331</v>
      </c>
      <c r="B60" s="41">
        <f t="shared" ca="1" si="51"/>
        <v>3.255372473643722</v>
      </c>
      <c r="C60" s="41">
        <f t="shared" ca="1" si="52"/>
        <v>5.4256207894062033E-2</v>
      </c>
      <c r="D60" s="41">
        <f t="shared" ca="1" si="53"/>
        <v>13158.678155524995</v>
      </c>
      <c r="E60" s="41">
        <f t="shared" ca="1" si="54"/>
        <v>9.213092809302049</v>
      </c>
      <c r="F60" s="41">
        <f t="shared" ca="1" si="55"/>
        <v>9.213092809302049</v>
      </c>
      <c r="G60" s="41"/>
      <c r="H60" s="7">
        <f t="shared" si="56"/>
        <v>14800</v>
      </c>
      <c r="I60" s="6">
        <v>15</v>
      </c>
      <c r="J60" s="41">
        <f t="shared" si="57"/>
        <v>0.43438827900598942</v>
      </c>
      <c r="K60" s="41">
        <f t="shared" si="58"/>
        <v>472.76756182218747</v>
      </c>
      <c r="L60" s="6">
        <f t="shared" si="46"/>
        <v>218.86666666666702</v>
      </c>
      <c r="M60" s="41">
        <f t="shared" si="59"/>
        <v>280.10721609865692</v>
      </c>
      <c r="N60" s="41">
        <f t="shared" si="60"/>
        <v>159.02047493124886</v>
      </c>
      <c r="O60" s="41">
        <f t="shared" si="61"/>
        <v>1873274.1287799673</v>
      </c>
      <c r="P60" s="41">
        <f t="shared" si="62"/>
        <v>12027736.22683751</v>
      </c>
      <c r="Q60" s="41">
        <f t="shared" si="63"/>
        <v>2.8663451003281735E-3</v>
      </c>
      <c r="R60" s="41">
        <f t="shared" si="64"/>
        <v>1.9358318243465053E-2</v>
      </c>
      <c r="S60" s="24">
        <f t="shared" ca="1" si="65"/>
        <v>10.176697436405822</v>
      </c>
      <c r="T60" s="10">
        <f t="shared" ca="1" si="66"/>
        <v>10.176697436405822</v>
      </c>
      <c r="U60" s="41">
        <f t="shared" ca="1" si="67"/>
        <v>0.35411518383216634</v>
      </c>
      <c r="V60" s="41">
        <f t="shared" ca="1" si="68"/>
        <v>2.7278017477611979E-2</v>
      </c>
      <c r="W60" s="41">
        <f t="shared" ca="1" si="69"/>
        <v>12.981705291552109</v>
      </c>
      <c r="X60" s="20">
        <f t="shared" ca="1" si="70"/>
        <v>997.6855577287356</v>
      </c>
      <c r="Y60" s="41">
        <f t="shared" si="71"/>
        <v>0.55363561113136162</v>
      </c>
      <c r="Z60" s="41">
        <f t="shared" ca="1" si="72"/>
        <v>194.13788661601293</v>
      </c>
      <c r="AA60" s="14">
        <f t="shared" ca="1" si="73"/>
        <v>1013.6324820197583</v>
      </c>
      <c r="AB60" s="14">
        <f t="shared" si="47"/>
        <v>3322.6193305498932</v>
      </c>
      <c r="AC60" s="25">
        <f t="shared" ca="1" si="74"/>
        <v>479212.55710825342</v>
      </c>
      <c r="AD60" s="41">
        <f t="shared" si="75"/>
        <v>1570826.6397673418</v>
      </c>
      <c r="AE60" s="6">
        <v>100</v>
      </c>
      <c r="AF60" s="41">
        <f t="shared" si="76"/>
        <v>3322.6193305498932</v>
      </c>
      <c r="AG60" s="41">
        <f t="shared" ca="1" si="77"/>
        <v>2308.9868485301349</v>
      </c>
      <c r="AH60" s="41">
        <f t="shared" ca="1" si="78"/>
        <v>1091614.0826590883</v>
      </c>
      <c r="AI60" s="41">
        <f t="shared" si="79"/>
        <v>2639.246072419518</v>
      </c>
      <c r="AJ60" s="13">
        <f t="shared" ca="1" si="80"/>
        <v>83.530675207920623</v>
      </c>
      <c r="AK60" s="11">
        <f t="shared" ca="1" si="81"/>
        <v>4977.4638596236837</v>
      </c>
      <c r="AL60" s="6">
        <f t="shared" si="48"/>
        <v>400</v>
      </c>
      <c r="AM60" s="41">
        <f t="shared" ca="1" si="82"/>
        <v>4.7886599623951183</v>
      </c>
      <c r="AN60" s="41">
        <f t="shared" ca="1" si="83"/>
        <v>3.5106811105288647</v>
      </c>
      <c r="AO60" s="41">
        <f t="shared" ca="1" si="84"/>
        <v>0.36673213110941777</v>
      </c>
      <c r="AP60" s="67">
        <f t="shared" si="45"/>
        <v>0.79432694806561632</v>
      </c>
      <c r="AQ60" s="11">
        <f t="shared" si="85"/>
        <v>0.95030104071837584</v>
      </c>
      <c r="AR60" s="11">
        <f t="shared" si="86"/>
        <v>0.56890270025167677</v>
      </c>
      <c r="AS60" s="11">
        <f t="shared" si="87"/>
        <v>0.59865524278666193</v>
      </c>
      <c r="AT60" s="11">
        <f t="shared" si="88"/>
        <v>492.89264078939993</v>
      </c>
      <c r="AU60" s="11">
        <f t="shared" si="89"/>
        <v>1203.9232723266034</v>
      </c>
      <c r="AV60" s="11">
        <f t="shared" si="90"/>
        <v>1.4229436465796168E-3</v>
      </c>
      <c r="AW60" s="11">
        <f t="shared" si="91"/>
        <v>3.5911540551833192E-7</v>
      </c>
      <c r="AX60" s="41">
        <f t="shared" ca="1" si="92"/>
        <v>1.7602906177313826</v>
      </c>
      <c r="AY60" s="41">
        <f t="shared" ca="1" si="93"/>
        <v>2.3711464347454521</v>
      </c>
      <c r="AZ60" s="41">
        <f t="shared" si="94"/>
        <v>0.30591788818405941</v>
      </c>
    </row>
    <row r="61" spans="1:52" ht="14.5">
      <c r="A61" s="66">
        <f t="shared" ca="1" si="50"/>
        <v>200.11100838101842</v>
      </c>
      <c r="B61" s="41">
        <f t="shared" ca="1" si="51"/>
        <v>3.3351834730169738</v>
      </c>
      <c r="C61" s="41">
        <f t="shared" ca="1" si="52"/>
        <v>5.5586391216949561E-2</v>
      </c>
      <c r="D61" s="41">
        <f t="shared" ca="1" si="53"/>
        <v>13155.167474414466</v>
      </c>
      <c r="E61" s="41">
        <f t="shared" ca="1" si="54"/>
        <v>9.5798249404114664</v>
      </c>
      <c r="F61" s="41">
        <f t="shared" ca="1" si="55"/>
        <v>9.5798249404114664</v>
      </c>
      <c r="G61" s="41"/>
      <c r="H61" s="7">
        <f t="shared" si="56"/>
        <v>15200</v>
      </c>
      <c r="I61" s="6">
        <v>15</v>
      </c>
      <c r="J61" s="41">
        <f t="shared" si="57"/>
        <v>0.44414910657275575</v>
      </c>
      <c r="K61" s="41">
        <f t="shared" si="58"/>
        <v>482.69081742525492</v>
      </c>
      <c r="L61" s="6">
        <f t="shared" si="46"/>
        <v>222.1333333333337</v>
      </c>
      <c r="M61" s="41">
        <f t="shared" si="59"/>
        <v>285.98658627138474</v>
      </c>
      <c r="N61" s="41">
        <f t="shared" si="60"/>
        <v>163.58927499020456</v>
      </c>
      <c r="O61" s="41">
        <f t="shared" si="61"/>
        <v>1891790.7586795841</v>
      </c>
      <c r="P61" s="41">
        <f t="shared" si="62"/>
        <v>12146626.002135701</v>
      </c>
      <c r="Q61" s="41">
        <f t="shared" si="63"/>
        <v>2.8596540101067346E-3</v>
      </c>
      <c r="R61" s="41">
        <f t="shared" si="64"/>
        <v>1.9320131989051546E-2</v>
      </c>
      <c r="S61" s="24">
        <f t="shared" ca="1" si="65"/>
        <v>9.895138001630297</v>
      </c>
      <c r="T61" s="10">
        <f t="shared" ca="1" si="66"/>
        <v>9.895138001630297</v>
      </c>
      <c r="U61" s="41">
        <f t="shared" ca="1" si="67"/>
        <v>0.34443286057927991</v>
      </c>
      <c r="V61" s="41">
        <f t="shared" ca="1" si="68"/>
        <v>2.6812666431156193E-2</v>
      </c>
      <c r="W61" s="41">
        <f t="shared" ca="1" si="69"/>
        <v>12.845901076778047</v>
      </c>
      <c r="X61" s="20">
        <f t="shared" ca="1" si="70"/>
        <v>1008.8408722662186</v>
      </c>
      <c r="Y61" s="41">
        <f t="shared" si="71"/>
        <v>0.55308929026412634</v>
      </c>
      <c r="Z61" s="41">
        <f t="shared" ca="1" si="72"/>
        <v>195.48420792191345</v>
      </c>
      <c r="AA61" s="14">
        <f t="shared" ca="1" si="73"/>
        <v>1024.0751034737057</v>
      </c>
      <c r="AB61" s="14">
        <f t="shared" si="47"/>
        <v>3269.497275156642</v>
      </c>
      <c r="AC61" s="25">
        <f t="shared" ca="1" si="74"/>
        <v>494311.64880057552</v>
      </c>
      <c r="AD61" s="41">
        <f t="shared" si="75"/>
        <v>1578156.312315003</v>
      </c>
      <c r="AE61" s="6">
        <v>100</v>
      </c>
      <c r="AF61" s="41">
        <f t="shared" si="76"/>
        <v>3269.497275156642</v>
      </c>
      <c r="AG61" s="41">
        <f t="shared" ca="1" si="77"/>
        <v>2245.4221716829361</v>
      </c>
      <c r="AH61" s="41">
        <f t="shared" ca="1" si="78"/>
        <v>1083844.6635144274</v>
      </c>
      <c r="AI61" s="41">
        <f t="shared" si="79"/>
        <v>2602.5491580812995</v>
      </c>
      <c r="AJ61" s="13">
        <f t="shared" ca="1" si="80"/>
        <v>82.948247458733604</v>
      </c>
      <c r="AK61" s="11">
        <f t="shared" ca="1" si="81"/>
        <v>4943.3562846952773</v>
      </c>
      <c r="AL61" s="6">
        <f t="shared" si="48"/>
        <v>400</v>
      </c>
      <c r="AM61" s="41">
        <f t="shared" ca="1" si="82"/>
        <v>4.8222839210556954</v>
      </c>
      <c r="AN61" s="41">
        <f t="shared" ca="1" si="83"/>
        <v>3.4861752663256911</v>
      </c>
      <c r="AO61" s="41">
        <f t="shared" ca="1" si="84"/>
        <v>0.37738688254498409</v>
      </c>
      <c r="AP61" s="67">
        <f t="shared" si="45"/>
        <v>0.7960089698978603</v>
      </c>
      <c r="AQ61" s="11">
        <f t="shared" si="85"/>
        <v>0.94755090071837589</v>
      </c>
      <c r="AR61" s="11">
        <f t="shared" si="86"/>
        <v>0.55980708087744702</v>
      </c>
      <c r="AS61" s="11">
        <f t="shared" si="87"/>
        <v>0.59079367710276576</v>
      </c>
      <c r="AT61" s="11">
        <f t="shared" si="88"/>
        <v>491.46622567559996</v>
      </c>
      <c r="AU61" s="11">
        <f t="shared" si="89"/>
        <v>1184.6749406944707</v>
      </c>
      <c r="AV61" s="11">
        <f t="shared" si="90"/>
        <v>1.4042574911055639E-3</v>
      </c>
      <c r="AW61" s="11">
        <f t="shared" si="91"/>
        <v>3.5829659974149717E-7</v>
      </c>
      <c r="AX61" s="41">
        <f t="shared" ca="1" si="92"/>
        <v>1.8026188178603384</v>
      </c>
      <c r="AY61" s="41">
        <f t="shared" ca="1" si="93"/>
        <v>2.4281633612767739</v>
      </c>
      <c r="AZ61" s="41">
        <f t="shared" si="94"/>
        <v>0.31188678470726483</v>
      </c>
    </row>
    <row r="62" spans="1:52" ht="14.5">
      <c r="A62" s="66">
        <f t="shared" ca="1" si="50"/>
        <v>204.93329230207411</v>
      </c>
      <c r="B62" s="41">
        <f t="shared" ca="1" si="51"/>
        <v>3.415554871701235</v>
      </c>
      <c r="C62" s="41">
        <f t="shared" ca="1" si="52"/>
        <v>5.6925914528353917E-2</v>
      </c>
      <c r="D62" s="41">
        <f t="shared" ca="1" si="53"/>
        <v>13151.68129914814</v>
      </c>
      <c r="E62" s="41">
        <f t="shared" ca="1" si="54"/>
        <v>9.9572118229564506</v>
      </c>
      <c r="F62" s="41">
        <f t="shared" ca="1" si="55"/>
        <v>9.9572118229564506</v>
      </c>
      <c r="G62" s="41"/>
      <c r="H62" s="7">
        <f t="shared" si="56"/>
        <v>15600</v>
      </c>
      <c r="I62" s="6">
        <v>15</v>
      </c>
      <c r="J62" s="41">
        <f t="shared" si="57"/>
        <v>0.45402849598022205</v>
      </c>
      <c r="K62" s="41">
        <f t="shared" si="58"/>
        <v>492.71093174728992</v>
      </c>
      <c r="L62" s="6">
        <f t="shared" si="46"/>
        <v>225.40000000000038</v>
      </c>
      <c r="M62" s="41">
        <f t="shared" si="59"/>
        <v>291.92334368536132</v>
      </c>
      <c r="N62" s="41">
        <f t="shared" si="60"/>
        <v>168.20632683318712</v>
      </c>
      <c r="O62" s="41">
        <f t="shared" si="61"/>
        <v>1909995.8342194248</v>
      </c>
      <c r="P62" s="41">
        <f t="shared" si="62"/>
        <v>12263515.379519813</v>
      </c>
      <c r="Q62" s="41">
        <f t="shared" si="63"/>
        <v>2.8530233128194454E-3</v>
      </c>
      <c r="R62" s="41">
        <f t="shared" si="64"/>
        <v>1.9282290398941155E-2</v>
      </c>
      <c r="S62" s="24">
        <f t="shared" ca="1" si="65"/>
        <v>9.6145985371624061</v>
      </c>
      <c r="T62" s="10">
        <f t="shared" ca="1" si="66"/>
        <v>9.6145985371624061</v>
      </c>
      <c r="U62" s="41">
        <f t="shared" ca="1" si="67"/>
        <v>0.33517186203009813</v>
      </c>
      <c r="V62" s="41">
        <f t="shared" ca="1" si="68"/>
        <v>2.63773278960691E-2</v>
      </c>
      <c r="W62" s="41">
        <f t="shared" ca="1" si="69"/>
        <v>12.7068163746809</v>
      </c>
      <c r="X62" s="20">
        <f t="shared" ca="1" si="70"/>
        <v>1020.4716905266389</v>
      </c>
      <c r="Y62" s="41">
        <f t="shared" si="71"/>
        <v>0.55254736754685618</v>
      </c>
      <c r="Z62" s="41">
        <f t="shared" ca="1" si="72"/>
        <v>196.84134629402757</v>
      </c>
      <c r="AA62" s="14">
        <f t="shared" ca="1" si="73"/>
        <v>1035.0099435885184</v>
      </c>
      <c r="AB62" s="14">
        <f t="shared" si="47"/>
        <v>3217.0650504589998</v>
      </c>
      <c r="AC62" s="25">
        <f t="shared" ca="1" si="74"/>
        <v>509960.71367320884</v>
      </c>
      <c r="AD62" s="41">
        <f t="shared" si="75"/>
        <v>1585083.118503296</v>
      </c>
      <c r="AE62" s="6">
        <v>100</v>
      </c>
      <c r="AF62" s="41">
        <f t="shared" si="76"/>
        <v>3217.0650504589998</v>
      </c>
      <c r="AG62" s="41">
        <f t="shared" ca="1" si="77"/>
        <v>2182.0551068704817</v>
      </c>
      <c r="AH62" s="41">
        <f t="shared" ca="1" si="78"/>
        <v>1075122.4048300872</v>
      </c>
      <c r="AI62" s="41">
        <f t="shared" si="79"/>
        <v>2566.2392502199505</v>
      </c>
      <c r="AJ62" s="13">
        <f t="shared" ca="1" si="80"/>
        <v>82.292562937355044</v>
      </c>
      <c r="AK62" s="11">
        <f t="shared" ca="1" si="81"/>
        <v>4904.874351995094</v>
      </c>
      <c r="AL62" s="6">
        <f t="shared" si="48"/>
        <v>400</v>
      </c>
      <c r="AM62" s="41">
        <f t="shared" ca="1" si="82"/>
        <v>4.8607065538170051</v>
      </c>
      <c r="AN62" s="41">
        <f t="shared" ca="1" si="83"/>
        <v>3.4649266506129308</v>
      </c>
      <c r="AO62" s="41">
        <f t="shared" ca="1" si="84"/>
        <v>0.38861733220089395</v>
      </c>
      <c r="AP62" s="67">
        <f t="shared" si="45"/>
        <v>0.79769579102971766</v>
      </c>
      <c r="AQ62" s="11">
        <f t="shared" si="85"/>
        <v>0.94480076071837593</v>
      </c>
      <c r="AR62" s="11">
        <f t="shared" si="86"/>
        <v>0.55082957510769803</v>
      </c>
      <c r="AS62" s="11">
        <f t="shared" si="87"/>
        <v>0.5830113585946699</v>
      </c>
      <c r="AT62" s="11">
        <f t="shared" si="88"/>
        <v>490.03981056179998</v>
      </c>
      <c r="AU62" s="11">
        <f t="shared" si="89"/>
        <v>1165.6765634344126</v>
      </c>
      <c r="AV62" s="11">
        <f t="shared" si="90"/>
        <v>1.3857596982436709E-3</v>
      </c>
      <c r="AW62" s="11">
        <f t="shared" si="91"/>
        <v>3.5747667082138938E-7</v>
      </c>
      <c r="AX62" s="41">
        <f t="shared" ca="1" si="92"/>
        <v>1.8456014786778125</v>
      </c>
      <c r="AY62" s="41">
        <f t="shared" ca="1" si="93"/>
        <v>2.4860618593580601</v>
      </c>
      <c r="AZ62" s="41">
        <f t="shared" si="94"/>
        <v>0.31788103351930197</v>
      </c>
    </row>
    <row r="63" spans="1:52" ht="14.5">
      <c r="A63" s="66">
        <f t="shared" ca="1" si="50"/>
        <v>209.79399885589112</v>
      </c>
      <c r="B63" s="41">
        <f t="shared" ca="1" si="51"/>
        <v>3.4965666475981854</v>
      </c>
      <c r="C63" s="41">
        <f t="shared" ca="1" si="52"/>
        <v>5.8276110793303089E-2</v>
      </c>
      <c r="D63" s="41">
        <f t="shared" ca="1" si="53"/>
        <v>13148.216372497527</v>
      </c>
      <c r="E63" s="41">
        <f t="shared" ca="1" si="54"/>
        <v>10.345829155157345</v>
      </c>
      <c r="F63" s="41">
        <f t="shared" ca="1" si="55"/>
        <v>10.345829155157345</v>
      </c>
      <c r="G63" s="41"/>
      <c r="H63" s="7">
        <f t="shared" si="56"/>
        <v>16000</v>
      </c>
      <c r="I63" s="6">
        <v>15</v>
      </c>
      <c r="J63" s="41">
        <f t="shared" si="57"/>
        <v>0.46402719064202619</v>
      </c>
      <c r="K63" s="41">
        <f t="shared" si="58"/>
        <v>502.8280765282164</v>
      </c>
      <c r="L63" s="6">
        <f t="shared" si="46"/>
        <v>228.66666666666706</v>
      </c>
      <c r="M63" s="41">
        <f t="shared" si="59"/>
        <v>297.9175900937438</v>
      </c>
      <c r="N63" s="41">
        <f t="shared" si="60"/>
        <v>172.87021206585425</v>
      </c>
      <c r="O63" s="41">
        <f t="shared" si="61"/>
        <v>1927887.0012839194</v>
      </c>
      <c r="P63" s="41">
        <f t="shared" si="62"/>
        <v>12378389.243913688</v>
      </c>
      <c r="Q63" s="41">
        <f t="shared" si="63"/>
        <v>2.8464483791494207E-3</v>
      </c>
      <c r="R63" s="41">
        <f t="shared" si="64"/>
        <v>1.9244767053482287E-2</v>
      </c>
      <c r="S63" s="24">
        <f t="shared" ca="1" si="65"/>
        <v>9.3351566589897459</v>
      </c>
      <c r="T63" s="10">
        <f t="shared" ca="1" si="66"/>
        <v>9.3351566589897459</v>
      </c>
      <c r="U63" s="41">
        <f t="shared" ca="1" si="67"/>
        <v>0.32630879580484384</v>
      </c>
      <c r="V63" s="41">
        <f t="shared" ca="1" si="68"/>
        <v>2.5969532667439767E-2</v>
      </c>
      <c r="W63" s="41">
        <f t="shared" ca="1" si="69"/>
        <v>12.56506229755783</v>
      </c>
      <c r="X63" s="20">
        <f t="shared" ca="1" si="70"/>
        <v>1032.5524824784316</v>
      </c>
      <c r="Y63" s="41">
        <f t="shared" si="71"/>
        <v>0.55200947702747361</v>
      </c>
      <c r="Z63" s="41">
        <f t="shared" ca="1" si="72"/>
        <v>198.20940708638253</v>
      </c>
      <c r="AA63" s="14">
        <f t="shared" ca="1" si="73"/>
        <v>1046.4107587475344</v>
      </c>
      <c r="AB63" s="14">
        <f t="shared" si="47"/>
        <v>3165.3157822074531</v>
      </c>
      <c r="AC63" s="25">
        <f t="shared" ca="1" si="74"/>
        <v>526164.70907945419</v>
      </c>
      <c r="AD63" s="41">
        <f t="shared" si="75"/>
        <v>1591609.6463717804</v>
      </c>
      <c r="AE63" s="6">
        <v>100</v>
      </c>
      <c r="AF63" s="41">
        <f t="shared" si="76"/>
        <v>3165.3157822074531</v>
      </c>
      <c r="AG63" s="41">
        <f t="shared" ca="1" si="77"/>
        <v>2118.905023459919</v>
      </c>
      <c r="AH63" s="41">
        <f t="shared" ca="1" si="78"/>
        <v>1065444.9372923262</v>
      </c>
      <c r="AI63" s="41">
        <f t="shared" si="79"/>
        <v>2530.3123733538064</v>
      </c>
      <c r="AJ63" s="13">
        <f t="shared" ca="1" si="80"/>
        <v>81.563402769664719</v>
      </c>
      <c r="AK63" s="11">
        <f t="shared" ca="1" si="81"/>
        <v>4862.0051896359673</v>
      </c>
      <c r="AL63" s="6">
        <f t="shared" si="48"/>
        <v>400</v>
      </c>
      <c r="AM63" s="41">
        <f t="shared" ca="1" si="82"/>
        <v>4.904160277981549</v>
      </c>
      <c r="AN63" s="41">
        <f t="shared" ca="1" si="83"/>
        <v>3.4469603978574876</v>
      </c>
      <c r="AO63" s="41">
        <f t="shared" ca="1" si="84"/>
        <v>0.40046838813869479</v>
      </c>
      <c r="AP63" s="67">
        <f t="shared" si="45"/>
        <v>0.79938702722077137</v>
      </c>
      <c r="AQ63" s="11">
        <f t="shared" si="85"/>
        <v>0.94205062071837586</v>
      </c>
      <c r="AR63" s="11">
        <f t="shared" si="86"/>
        <v>0.54196900592552788</v>
      </c>
      <c r="AS63" s="11">
        <f t="shared" si="87"/>
        <v>0.57530773188413242</v>
      </c>
      <c r="AT63" s="11">
        <f t="shared" si="88"/>
        <v>488.61339544799995</v>
      </c>
      <c r="AU63" s="11">
        <f t="shared" si="89"/>
        <v>1146.9256497197205</v>
      </c>
      <c r="AV63" s="11">
        <f t="shared" si="90"/>
        <v>1.3674489479153942E-3</v>
      </c>
      <c r="AW63" s="11">
        <f t="shared" si="91"/>
        <v>3.5665561507127427E-7</v>
      </c>
      <c r="AX63" s="41">
        <f t="shared" ca="1" si="92"/>
        <v>1.8892164502214297</v>
      </c>
      <c r="AY63" s="41">
        <f t="shared" ca="1" si="93"/>
        <v>2.5448120925499258</v>
      </c>
      <c r="AZ63" s="41">
        <f t="shared" si="94"/>
        <v>0.32389937250147471</v>
      </c>
    </row>
    <row r="64" spans="1:52" ht="14.5">
      <c r="A64" s="66">
        <f t="shared" ca="1" si="50"/>
        <v>214.69815913387268</v>
      </c>
      <c r="B64" s="41">
        <f t="shared" ca="1" si="51"/>
        <v>3.5783026522312111</v>
      </c>
      <c r="C64" s="41">
        <f t="shared" ca="1" si="52"/>
        <v>5.963837753718685E-2</v>
      </c>
      <c r="D64" s="41">
        <f t="shared" ca="1" si="53"/>
        <v>13144.769412099669</v>
      </c>
      <c r="E64" s="41">
        <f t="shared" ca="1" si="54"/>
        <v>10.746297543296039</v>
      </c>
      <c r="F64" s="41">
        <f t="shared" ca="1" si="55"/>
        <v>10.746297543296039</v>
      </c>
      <c r="G64" s="41"/>
      <c r="H64" s="7">
        <f t="shared" si="56"/>
        <v>16400</v>
      </c>
      <c r="I64" s="6">
        <v>15</v>
      </c>
      <c r="J64" s="41">
        <f t="shared" si="57"/>
        <v>0.47414590693038772</v>
      </c>
      <c r="K64" s="41">
        <f t="shared" si="58"/>
        <v>513.042387473904</v>
      </c>
      <c r="L64" s="6">
        <f t="shared" si="46"/>
        <v>231.93333333333374</v>
      </c>
      <c r="M64" s="41">
        <f t="shared" si="59"/>
        <v>303.96940590008853</v>
      </c>
      <c r="N64" s="41">
        <f t="shared" si="60"/>
        <v>177.57945599299444</v>
      </c>
      <c r="O64" s="41">
        <f t="shared" si="61"/>
        <v>1945461.8708060037</v>
      </c>
      <c r="P64" s="41">
        <f t="shared" si="62"/>
        <v>12491232.255828014</v>
      </c>
      <c r="Q64" s="41">
        <f t="shared" si="63"/>
        <v>2.839924745945186E-3</v>
      </c>
      <c r="R64" s="41">
        <f t="shared" si="64"/>
        <v>1.9207536481334404E-2</v>
      </c>
      <c r="S64" s="24">
        <f t="shared" ca="1" si="65"/>
        <v>9.0568854596849047</v>
      </c>
      <c r="T64" s="10">
        <f t="shared" ca="1" si="66"/>
        <v>9.0568854596849047</v>
      </c>
      <c r="U64" s="41">
        <f t="shared" ca="1" si="67"/>
        <v>0.31782190726258785</v>
      </c>
      <c r="V64" s="41">
        <f t="shared" ca="1" si="68"/>
        <v>2.558704541515644E-2</v>
      </c>
      <c r="W64" s="41">
        <f t="shared" ca="1" si="69"/>
        <v>12.42120385944704</v>
      </c>
      <c r="X64" s="20">
        <f t="shared" ca="1" si="70"/>
        <v>1045.0587292170503</v>
      </c>
      <c r="Y64" s="41">
        <f t="shared" si="71"/>
        <v>0.55147526484578002</v>
      </c>
      <c r="Z64" s="41">
        <f t="shared" ca="1" si="72"/>
        <v>199.58850049728025</v>
      </c>
      <c r="AA64" s="14">
        <f t="shared" ca="1" si="73"/>
        <v>1058.2524496691451</v>
      </c>
      <c r="AB64" s="14">
        <f t="shared" si="47"/>
        <v>3114.242643762911</v>
      </c>
      <c r="AC64" s="25">
        <f t="shared" ca="1" si="74"/>
        <v>542928.36332836561</v>
      </c>
      <c r="AD64" s="41">
        <f t="shared" si="75"/>
        <v>1597738.4811291667</v>
      </c>
      <c r="AE64" s="6">
        <v>100</v>
      </c>
      <c r="AF64" s="41">
        <f t="shared" si="76"/>
        <v>3114.242643762911</v>
      </c>
      <c r="AG64" s="41">
        <f t="shared" ca="1" si="77"/>
        <v>2055.9901940937661</v>
      </c>
      <c r="AH64" s="41">
        <f t="shared" ca="1" si="78"/>
        <v>1054810.1178008011</v>
      </c>
      <c r="AI64" s="41">
        <f t="shared" si="79"/>
        <v>2494.7646029687853</v>
      </c>
      <c r="AJ64" s="13">
        <f t="shared" ca="1" si="80"/>
        <v>80.76056888940407</v>
      </c>
      <c r="AK64" s="11">
        <f t="shared" ca="1" si="81"/>
        <v>4814.7369561151327</v>
      </c>
      <c r="AL64" s="6">
        <f t="shared" si="48"/>
        <v>400</v>
      </c>
      <c r="AM64" s="41">
        <f t="shared" ca="1" si="82"/>
        <v>4.9529121141750734</v>
      </c>
      <c r="AN64" s="41">
        <f t="shared" ca="1" si="83"/>
        <v>3.4323193955720179</v>
      </c>
      <c r="AO64" s="41">
        <f t="shared" ca="1" si="84"/>
        <v>0.41298988068294135</v>
      </c>
      <c r="AP64" s="67">
        <f t="shared" si="45"/>
        <v>0.80108228174359075</v>
      </c>
      <c r="AQ64" s="11">
        <f t="shared" si="85"/>
        <v>0.93930048071837591</v>
      </c>
      <c r="AR64" s="11">
        <f t="shared" si="86"/>
        <v>0.53322420446594598</v>
      </c>
      <c r="AS64" s="11">
        <f t="shared" si="87"/>
        <v>0.56768224376733711</v>
      </c>
      <c r="AT64" s="11">
        <f t="shared" si="88"/>
        <v>487.18698033419997</v>
      </c>
      <c r="AU64" s="11">
        <f t="shared" si="89"/>
        <v>1128.4197259749242</v>
      </c>
      <c r="AV64" s="11">
        <f t="shared" si="90"/>
        <v>1.3493239252105836E-3</v>
      </c>
      <c r="AW64" s="11">
        <f t="shared" si="91"/>
        <v>3.5583342878824671E-7</v>
      </c>
      <c r="AX64" s="41">
        <f t="shared" ca="1" si="92"/>
        <v>1.9334419594446612</v>
      </c>
      <c r="AY64" s="41">
        <f t="shared" ca="1" si="93"/>
        <v>2.6043847321261202</v>
      </c>
      <c r="AZ64" s="41">
        <f t="shared" si="94"/>
        <v>0.32994048834027179</v>
      </c>
    </row>
    <row r="65" spans="1:52" ht="14.5">
      <c r="A65" s="66">
        <f t="shared" ca="1" si="50"/>
        <v>219.65107124804774</v>
      </c>
      <c r="B65" s="41">
        <f t="shared" ca="1" si="51"/>
        <v>3.6608511874674625</v>
      </c>
      <c r="C65" s="41">
        <f t="shared" ca="1" si="52"/>
        <v>6.1014186457791039E-2</v>
      </c>
      <c r="D65" s="41">
        <f t="shared" ca="1" si="53"/>
        <v>13141.337092704098</v>
      </c>
      <c r="E65" s="41">
        <f t="shared" ca="1" si="54"/>
        <v>11.159287423978981</v>
      </c>
      <c r="F65" s="41">
        <f t="shared" ca="1" si="55"/>
        <v>11.159287423978981</v>
      </c>
      <c r="G65" s="41"/>
      <c r="H65" s="7">
        <f t="shared" si="56"/>
        <v>16800</v>
      </c>
      <c r="I65" s="6">
        <v>15</v>
      </c>
      <c r="J65" s="41">
        <f t="shared" si="57"/>
        <v>0.48438533305173975</v>
      </c>
      <c r="K65" s="41">
        <f t="shared" si="58"/>
        <v>523.35396322247698</v>
      </c>
      <c r="L65" s="6">
        <f t="shared" si="46"/>
        <v>235.20000000000041</v>
      </c>
      <c r="M65" s="41">
        <f t="shared" si="59"/>
        <v>310.07884954590605</v>
      </c>
      <c r="N65" s="41">
        <f t="shared" si="60"/>
        <v>182.3325268870679</v>
      </c>
      <c r="O65" s="41">
        <f t="shared" si="61"/>
        <v>1962718.0215218712</v>
      </c>
      <c r="P65" s="41">
        <f t="shared" si="62"/>
        <v>12602028.869047768</v>
      </c>
      <c r="Q65" s="41">
        <f t="shared" si="63"/>
        <v>2.8334481078279086E-3</v>
      </c>
      <c r="R65" s="41">
        <f t="shared" si="64"/>
        <v>1.9170574111570186E-2</v>
      </c>
      <c r="S65" s="24">
        <f t="shared" ca="1" si="65"/>
        <v>8.7798540282484634</v>
      </c>
      <c r="T65" s="10">
        <f t="shared" ca="1" si="66"/>
        <v>8.7798540282484634</v>
      </c>
      <c r="U65" s="41">
        <f t="shared" ca="1" si="67"/>
        <v>0.30969094242201284</v>
      </c>
      <c r="V65" s="41">
        <f t="shared" ca="1" si="68"/>
        <v>2.5227839447880228E-2</v>
      </c>
      <c r="W65" s="41">
        <f t="shared" ca="1" si="69"/>
        <v>12.275761587187151</v>
      </c>
      <c r="X65" s="20">
        <f t="shared" ca="1" si="70"/>
        <v>1057.9668143196484</v>
      </c>
      <c r="Y65" s="41">
        <f t="shared" si="71"/>
        <v>0.55094438862901407</v>
      </c>
      <c r="Z65" s="41">
        <f t="shared" ca="1" si="72"/>
        <v>200.97874120964804</v>
      </c>
      <c r="AA65" s="14">
        <f t="shared" ca="1" si="73"/>
        <v>1070.5109413676128</v>
      </c>
      <c r="AB65" s="14">
        <f t="shared" si="47"/>
        <v>3063.8388559125397</v>
      </c>
      <c r="AC65" s="25">
        <f t="shared" ca="1" si="74"/>
        <v>560256.14383776486</v>
      </c>
      <c r="AD65" s="41">
        <f t="shared" si="75"/>
        <v>1603472.2079168472</v>
      </c>
      <c r="AE65" s="6">
        <v>100</v>
      </c>
      <c r="AF65" s="41">
        <f t="shared" si="76"/>
        <v>3063.8388559125397</v>
      </c>
      <c r="AG65" s="41">
        <f t="shared" ca="1" si="77"/>
        <v>1993.3279145449269</v>
      </c>
      <c r="AH65" s="41">
        <f t="shared" ca="1" si="78"/>
        <v>1043216.0640790823</v>
      </c>
      <c r="AI65" s="41">
        <f t="shared" si="79"/>
        <v>2459.5920660284819</v>
      </c>
      <c r="AJ65" s="13">
        <f t="shared" ca="1" si="80"/>
        <v>79.883886645570172</v>
      </c>
      <c r="AK65" s="11">
        <f t="shared" ca="1" si="81"/>
        <v>4763.0589949249343</v>
      </c>
      <c r="AL65" s="6">
        <f t="shared" si="48"/>
        <v>400</v>
      </c>
      <c r="AM65" s="41">
        <f t="shared" ca="1" si="82"/>
        <v>5.0072676330174692</v>
      </c>
      <c r="AN65" s="41">
        <f t="shared" ca="1" si="83"/>
        <v>3.4210654840697172</v>
      </c>
      <c r="AO65" s="41">
        <f t="shared" ca="1" si="84"/>
        <v>0.42623723181340889</v>
      </c>
      <c r="AP65" s="67">
        <f t="shared" si="45"/>
        <v>0.80278114538628775</v>
      </c>
      <c r="AQ65" s="11">
        <f t="shared" si="85"/>
        <v>0.93655034071837595</v>
      </c>
      <c r="AR65" s="11">
        <f t="shared" si="86"/>
        <v>0.52459400998434003</v>
      </c>
      <c r="AS65" s="11">
        <f t="shared" si="87"/>
        <v>0.5601343432131507</v>
      </c>
      <c r="AT65" s="11">
        <f t="shared" si="88"/>
        <v>485.7605652204</v>
      </c>
      <c r="AU65" s="11">
        <f t="shared" si="89"/>
        <v>1110.15633580906</v>
      </c>
      <c r="AV65" s="11">
        <f t="shared" si="90"/>
        <v>1.3313833203833379E-3</v>
      </c>
      <c r="AW65" s="11">
        <f t="shared" si="91"/>
        <v>3.5501010825316673E-7</v>
      </c>
      <c r="AX65" s="41">
        <f t="shared" ca="1" si="92"/>
        <v>1.978256512812216</v>
      </c>
      <c r="AY65" s="41">
        <f t="shared" ca="1" si="93"/>
        <v>2.6647508258675812</v>
      </c>
      <c r="AZ65" s="41">
        <f t="shared" si="94"/>
        <v>0.33600301610490357</v>
      </c>
    </row>
    <row r="66" spans="1:52" ht="14.5">
      <c r="A66" s="66">
        <f t="shared" ca="1" si="50"/>
        <v>224.65833888106522</v>
      </c>
      <c r="B66" s="41">
        <f t="shared" ca="1" si="51"/>
        <v>3.7443056480177535</v>
      </c>
      <c r="C66" s="41">
        <f t="shared" ca="1" si="52"/>
        <v>6.2405094133629227E-2</v>
      </c>
      <c r="D66" s="41">
        <f t="shared" ca="1" si="53"/>
        <v>13137.916027220028</v>
      </c>
      <c r="E66" s="41">
        <f t="shared" ca="1" si="54"/>
        <v>11.585524655792391</v>
      </c>
      <c r="F66" s="41">
        <f t="shared" ca="1" si="55"/>
        <v>11.585524655792391</v>
      </c>
      <c r="G66" s="41"/>
      <c r="H66" s="7">
        <f t="shared" si="56"/>
        <v>17200</v>
      </c>
      <c r="I66" s="6">
        <v>15</v>
      </c>
      <c r="J66" s="41">
        <f t="shared" si="57"/>
        <v>0.49474612793889805</v>
      </c>
      <c r="K66" s="41">
        <f t="shared" si="58"/>
        <v>533.76286433978521</v>
      </c>
      <c r="L66" s="6">
        <f t="shared" si="46"/>
        <v>238.46666666666709</v>
      </c>
      <c r="M66" s="41">
        <f t="shared" si="59"/>
        <v>316.24595691549331</v>
      </c>
      <c r="N66" s="41">
        <f t="shared" si="60"/>
        <v>187.12783534018331</v>
      </c>
      <c r="O66" s="41">
        <f t="shared" si="61"/>
        <v>1979653.0029092964</v>
      </c>
      <c r="P66" s="41">
        <f t="shared" si="62"/>
        <v>12710763.349498322</v>
      </c>
      <c r="Q66" s="41">
        <f t="shared" si="63"/>
        <v>2.8270143095581531E-3</v>
      </c>
      <c r="R66" s="41">
        <f t="shared" si="64"/>
        <v>1.9133856230112413E-2</v>
      </c>
      <c r="S66" s="24">
        <f t="shared" ca="1" si="65"/>
        <v>8.5041279167101838</v>
      </c>
      <c r="T66" s="10">
        <f t="shared" ca="1" si="66"/>
        <v>8.5041279167101838</v>
      </c>
      <c r="U66" s="41">
        <f t="shared" ca="1" si="67"/>
        <v>0.301897024122947</v>
      </c>
      <c r="V66" s="41">
        <f t="shared" ca="1" si="68"/>
        <v>2.4890074519416574E-2</v>
      </c>
      <c r="W66" s="41">
        <f t="shared" ca="1" si="69"/>
        <v>12.129213349178173</v>
      </c>
      <c r="X66" s="20">
        <f t="shared" ca="1" si="70"/>
        <v>1071.2539262430837</v>
      </c>
      <c r="Y66" s="41">
        <f t="shared" si="71"/>
        <v>0.55041651694286642</v>
      </c>
      <c r="Z66" s="41">
        <f t="shared" ca="1" si="72"/>
        <v>202.38024804799664</v>
      </c>
      <c r="AA66" s="14">
        <f t="shared" ca="1" si="73"/>
        <v>1083.1630748840114</v>
      </c>
      <c r="AB66" s="14">
        <f t="shared" si="47"/>
        <v>3014.0976866857582</v>
      </c>
      <c r="AC66" s="25">
        <f t="shared" ca="1" si="74"/>
        <v>578152.22539717914</v>
      </c>
      <c r="AD66" s="41">
        <f t="shared" si="75"/>
        <v>1608813.4146453107</v>
      </c>
      <c r="AE66" s="6">
        <v>100</v>
      </c>
      <c r="AF66" s="41">
        <f t="shared" si="76"/>
        <v>3014.0976866857582</v>
      </c>
      <c r="AG66" s="41">
        <f t="shared" ca="1" si="77"/>
        <v>1930.9346118017468</v>
      </c>
      <c r="AH66" s="41">
        <f t="shared" ca="1" si="78"/>
        <v>1030661.1892481316</v>
      </c>
      <c r="AI66" s="41">
        <f t="shared" si="79"/>
        <v>2424.7909414704427</v>
      </c>
      <c r="AJ66" s="13">
        <f t="shared" ca="1" si="80"/>
        <v>78.93320739681981</v>
      </c>
      <c r="AK66" s="11">
        <f t="shared" ca="1" si="81"/>
        <v>4706.9619890067997</v>
      </c>
      <c r="AL66" s="6">
        <f t="shared" si="48"/>
        <v>400</v>
      </c>
      <c r="AM66" s="41">
        <f t="shared" ca="1" si="82"/>
        <v>5.0675756527805289</v>
      </c>
      <c r="AN66" s="41">
        <f t="shared" ca="1" si="83"/>
        <v>3.4132809827995532</v>
      </c>
      <c r="AO66" s="41">
        <f t="shared" ca="1" si="84"/>
        <v>0.44027223902544588</v>
      </c>
      <c r="AP66" s="67">
        <f t="shared" si="45"/>
        <v>0.80448319647419742</v>
      </c>
      <c r="AQ66" s="11">
        <f t="shared" si="85"/>
        <v>0.93380020071837588</v>
      </c>
      <c r="AR66" s="11">
        <f t="shared" si="86"/>
        <v>0.5160772698249706</v>
      </c>
      <c r="AS66" s="11">
        <f t="shared" si="87"/>
        <v>0.55266348136137744</v>
      </c>
      <c r="AT66" s="11">
        <f t="shared" si="88"/>
        <v>484.33415010659996</v>
      </c>
      <c r="AU66" s="11">
        <f t="shared" si="89"/>
        <v>1092.1330399489991</v>
      </c>
      <c r="AV66" s="11">
        <f t="shared" si="90"/>
        <v>1.3136258288478581E-3</v>
      </c>
      <c r="AW66" s="11">
        <f t="shared" si="91"/>
        <v>3.5418564973059727E-7</v>
      </c>
      <c r="AX66" s="41">
        <f t="shared" ca="1" si="92"/>
        <v>2.0236388108787118</v>
      </c>
      <c r="AY66" s="41">
        <f t="shared" ca="1" si="93"/>
        <v>2.725881682998212</v>
      </c>
      <c r="AZ66" s="41">
        <f t="shared" si="94"/>
        <v>0.34208553888973148</v>
      </c>
    </row>
    <row r="67" spans="1:52" ht="14.5">
      <c r="A67" s="66">
        <f t="shared" ca="1" si="50"/>
        <v>229.72591453384575</v>
      </c>
      <c r="B67" s="41">
        <f t="shared" ca="1" si="51"/>
        <v>3.8287652422307628</v>
      </c>
      <c r="C67" s="41">
        <f t="shared" ca="1" si="52"/>
        <v>6.3812754037179384E-2</v>
      </c>
      <c r="D67" s="41">
        <f t="shared" ca="1" si="53"/>
        <v>13134.502746237229</v>
      </c>
      <c r="E67" s="41">
        <f t="shared" ca="1" si="54"/>
        <v>12.025796894817837</v>
      </c>
      <c r="F67" s="41">
        <f t="shared" ca="1" si="55"/>
        <v>12.025796894817837</v>
      </c>
      <c r="G67" s="41"/>
      <c r="H67" s="7">
        <f t="shared" si="56"/>
        <v>17600</v>
      </c>
      <c r="I67" s="6">
        <v>15</v>
      </c>
      <c r="J67" s="41">
        <f t="shared" si="57"/>
        <v>0.50522892016358145</v>
      </c>
      <c r="K67" s="41">
        <f t="shared" si="58"/>
        <v>544.26911234802458</v>
      </c>
      <c r="L67" s="6">
        <f t="shared" si="46"/>
        <v>241.73333333333377</v>
      </c>
      <c r="M67" s="41">
        <f t="shared" si="59"/>
        <v>322.47074076040701</v>
      </c>
      <c r="N67" s="41">
        <f t="shared" si="60"/>
        <v>191.96373370591758</v>
      </c>
      <c r="O67" s="41">
        <f t="shared" si="61"/>
        <v>1996264.3383106764</v>
      </c>
      <c r="P67" s="41">
        <f t="shared" si="62"/>
        <v>12817419.795297556</v>
      </c>
      <c r="Q67" s="41">
        <f t="shared" si="63"/>
        <v>2.8206193391002101E-3</v>
      </c>
      <c r="R67" s="41">
        <f t="shared" si="64"/>
        <v>1.909735994015186E-2</v>
      </c>
      <c r="S67" s="24">
        <f t="shared" ca="1" si="65"/>
        <v>8.2297695590529933</v>
      </c>
      <c r="T67" s="10">
        <f t="shared" ca="1" si="66"/>
        <v>8.2297695590529933</v>
      </c>
      <c r="U67" s="41">
        <f t="shared" ca="1" si="67"/>
        <v>0.2944225399707861</v>
      </c>
      <c r="V67" s="41">
        <f t="shared" ca="1" si="68"/>
        <v>2.4572077273374692E-2</v>
      </c>
      <c r="W67" s="41">
        <f t="shared" ca="1" si="69"/>
        <v>11.981996340610992</v>
      </c>
      <c r="X67" s="20">
        <f t="shared" ca="1" si="70"/>
        <v>1084.8979706106857</v>
      </c>
      <c r="Y67" s="41">
        <f t="shared" si="71"/>
        <v>0.5498913287935564</v>
      </c>
      <c r="Z67" s="41">
        <f t="shared" ca="1" si="72"/>
        <v>203.7931436455419</v>
      </c>
      <c r="AA67" s="14">
        <f t="shared" ca="1" si="73"/>
        <v>1096.1865095651888</v>
      </c>
      <c r="AB67" s="14">
        <f t="shared" si="47"/>
        <v>2965.0124511703848</v>
      </c>
      <c r="AC67" s="25">
        <f t="shared" ca="1" si="74"/>
        <v>596620.45852892462</v>
      </c>
      <c r="AD67" s="41">
        <f t="shared" si="75"/>
        <v>1613764.694899346</v>
      </c>
      <c r="AE67" s="6">
        <v>100</v>
      </c>
      <c r="AF67" s="41">
        <f t="shared" si="76"/>
        <v>2965.0124511703848</v>
      </c>
      <c r="AG67" s="41">
        <f t="shared" ca="1" si="77"/>
        <v>1868.825941605196</v>
      </c>
      <c r="AH67" s="41">
        <f t="shared" ca="1" si="78"/>
        <v>1017144.2363704214</v>
      </c>
      <c r="AI67" s="41">
        <f t="shared" si="79"/>
        <v>2390.3574606861166</v>
      </c>
      <c r="AJ67" s="13">
        <f t="shared" ca="1" si="80"/>
        <v>77.908411092307716</v>
      </c>
      <c r="AK67" s="11">
        <f t="shared" ca="1" si="81"/>
        <v>4646.4381150408426</v>
      </c>
      <c r="AL67" s="6">
        <f t="shared" si="48"/>
        <v>400</v>
      </c>
      <c r="AM67" s="41">
        <f t="shared" ca="1" si="82"/>
        <v>5.134233831647145</v>
      </c>
      <c r="AN67" s="41">
        <f t="shared" ca="1" si="83"/>
        <v>3.4090705956624499</v>
      </c>
      <c r="AO67" s="41">
        <f t="shared" ca="1" si="84"/>
        <v>0.45516399687732784</v>
      </c>
      <c r="AP67" s="67">
        <f t="shared" si="45"/>
        <v>0.8061880009112834</v>
      </c>
      <c r="AQ67" s="11">
        <f t="shared" si="85"/>
        <v>0.93105006071837593</v>
      </c>
      <c r="AR67" s="11">
        <f t="shared" si="86"/>
        <v>0.50767283938949126</v>
      </c>
      <c r="AS67" s="11">
        <f t="shared" si="87"/>
        <v>0.54526911152100999</v>
      </c>
      <c r="AT67" s="11">
        <f t="shared" si="88"/>
        <v>482.90773499279999</v>
      </c>
      <c r="AU67" s="11">
        <f t="shared" si="89"/>
        <v>1074.3474161728291</v>
      </c>
      <c r="AV67" s="11">
        <f t="shared" si="90"/>
        <v>1.2960501511742886E-3</v>
      </c>
      <c r="AW67" s="11">
        <f t="shared" si="91"/>
        <v>3.5336004946874555E-7</v>
      </c>
      <c r="AX67" s="41">
        <f t="shared" ca="1" si="92"/>
        <v>2.0695676735115351</v>
      </c>
      <c r="AY67" s="41">
        <f t="shared" ca="1" si="93"/>
        <v>2.7877487734585844</v>
      </c>
      <c r="AZ67" s="41">
        <f t="shared" si="94"/>
        <v>0.34818658752492765</v>
      </c>
    </row>
    <row r="68" spans="1:52" ht="14.5">
      <c r="A68" s="66">
        <f t="shared" ca="1" si="50"/>
        <v>234.8601483654929</v>
      </c>
      <c r="B68" s="41">
        <f t="shared" ca="1" si="51"/>
        <v>3.9143358060915485</v>
      </c>
      <c r="C68" s="41">
        <f t="shared" ca="1" si="52"/>
        <v>6.5238930101525802E-2</v>
      </c>
      <c r="D68" s="41">
        <f t="shared" ca="1" si="53"/>
        <v>13131.093675641567</v>
      </c>
      <c r="E68" s="41">
        <f t="shared" ca="1" si="54"/>
        <v>12.480960891695165</v>
      </c>
      <c r="F68" s="41">
        <f t="shared" ca="1" si="55"/>
        <v>12.480960891695165</v>
      </c>
      <c r="G68" s="41"/>
      <c r="H68" s="7">
        <f t="shared" si="56"/>
        <v>18000</v>
      </c>
      <c r="I68" s="6">
        <v>15</v>
      </c>
      <c r="J68" s="41">
        <f t="shared" si="57"/>
        <v>0.51583430687335652</v>
      </c>
      <c r="K68" s="41">
        <f t="shared" si="58"/>
        <v>554.87268879171688</v>
      </c>
      <c r="L68" s="6">
        <f t="shared" si="46"/>
        <v>245.00000000000045</v>
      </c>
      <c r="M68" s="41">
        <f t="shared" si="59"/>
        <v>328.75319014607157</v>
      </c>
      <c r="N68" s="41">
        <f t="shared" si="60"/>
        <v>196.83851563750403</v>
      </c>
      <c r="O68" s="41">
        <f t="shared" si="61"/>
        <v>2012549.5282418893</v>
      </c>
      <c r="P68" s="41">
        <f t="shared" si="62"/>
        <v>12921982.158001058</v>
      </c>
      <c r="Q68" s="41">
        <f t="shared" si="63"/>
        <v>2.8142593213275587E-3</v>
      </c>
      <c r="R68" s="41">
        <f t="shared" si="64"/>
        <v>1.9061063126224184E-2</v>
      </c>
      <c r="S68" s="24">
        <f t="shared" ca="1" si="65"/>
        <v>7.9568386473169443</v>
      </c>
      <c r="T68" s="10">
        <f t="shared" ca="1" si="66"/>
        <v>7.9568386473169443</v>
      </c>
      <c r="U68" s="41">
        <f t="shared" ca="1" si="67"/>
        <v>0.28725104078303315</v>
      </c>
      <c r="V68" s="41">
        <f t="shared" ca="1" si="68"/>
        <v>2.4272323980477361E-2</v>
      </c>
      <c r="W68" s="41">
        <f t="shared" ca="1" si="69"/>
        <v>11.834509172425104</v>
      </c>
      <c r="X68" s="20">
        <f t="shared" ca="1" si="70"/>
        <v>1098.8774913796442</v>
      </c>
      <c r="Y68" s="41">
        <f t="shared" si="71"/>
        <v>0.54936851317696045</v>
      </c>
      <c r="Z68" s="41">
        <f t="shared" ca="1" si="72"/>
        <v>205.21755411483522</v>
      </c>
      <c r="AA68" s="14">
        <f t="shared" ca="1" si="73"/>
        <v>1109.5596348209826</v>
      </c>
      <c r="AB68" s="14">
        <f t="shared" si="47"/>
        <v>2916.5765113289031</v>
      </c>
      <c r="AC68" s="25">
        <f t="shared" ca="1" si="74"/>
        <v>615664.3379478741</v>
      </c>
      <c r="AD68" s="41">
        <f t="shared" si="75"/>
        <v>1618328.6509078338</v>
      </c>
      <c r="AE68" s="6">
        <v>100</v>
      </c>
      <c r="AF68" s="41">
        <f t="shared" si="76"/>
        <v>2916.5765113289031</v>
      </c>
      <c r="AG68" s="41">
        <f t="shared" ca="1" si="77"/>
        <v>1807.0168765079204</v>
      </c>
      <c r="AH68" s="41">
        <f t="shared" ca="1" si="78"/>
        <v>1002664.3129599597</v>
      </c>
      <c r="AI68" s="41">
        <f t="shared" si="79"/>
        <v>2356.2879079819877</v>
      </c>
      <c r="AJ68" s="13">
        <f t="shared" ca="1" si="80"/>
        <v>76.809408837305824</v>
      </c>
      <c r="AK68" s="11">
        <f t="shared" ca="1" si="81"/>
        <v>4581.4811975026332</v>
      </c>
      <c r="AL68" s="6">
        <v>0</v>
      </c>
      <c r="AM68" s="41">
        <f t="shared" ca="1" si="82"/>
        <v>0</v>
      </c>
      <c r="AN68" s="41">
        <f t="shared" ca="1" si="83"/>
        <v>0</v>
      </c>
      <c r="AO68" s="41">
        <f t="shared" ca="1" si="84"/>
        <v>0</v>
      </c>
      <c r="AP68" s="67">
        <f t="shared" si="45"/>
        <v>0.80789511224184329</v>
      </c>
      <c r="AQ68" s="11">
        <f t="shared" si="85"/>
        <v>0.92829992071837586</v>
      </c>
      <c r="AR68" s="11">
        <f t="shared" si="86"/>
        <v>0.49937958210548988</v>
      </c>
      <c r="AS68" s="11">
        <f t="shared" si="87"/>
        <v>0.53795068916847377</v>
      </c>
      <c r="AT68" s="11">
        <f t="shared" si="88"/>
        <v>481.48131987899995</v>
      </c>
      <c r="AU68" s="11">
        <f t="shared" si="89"/>
        <v>1056.7970592432796</v>
      </c>
      <c r="AV68" s="11">
        <f t="shared" si="90"/>
        <v>1.2786549930845453E-3</v>
      </c>
      <c r="AW68" s="11">
        <f t="shared" si="91"/>
        <v>3.5253330369939681E-7</v>
      </c>
      <c r="AX68" s="41">
        <f t="shared" ca="1" si="92"/>
        <v>2.1160219746688274</v>
      </c>
      <c r="AY68" s="41">
        <f t="shared" ca="1" si="93"/>
        <v>2.8503236400505929</v>
      </c>
      <c r="AZ68" s="41">
        <f t="shared" si="94"/>
        <v>0.35430464035867271</v>
      </c>
    </row>
    <row r="69" spans="1:52" s="148" customFormat="1" ht="14.5">
      <c r="B69" s="135">
        <f ca="1">B68-B23</f>
        <v>3.9143358060915485</v>
      </c>
      <c r="C69" s="135"/>
      <c r="X69" s="145">
        <f ca="1">AVERAGE(X23:X68)</f>
        <v>1030.8347514997963</v>
      </c>
      <c r="AC69" s="145"/>
      <c r="AD69" s="145"/>
      <c r="AN69" s="145">
        <f ca="1">SUM(AN23:AN68)</f>
        <v>217.67561161493248</v>
      </c>
      <c r="AP69" s="145"/>
    </row>
    <row r="70" spans="1:52" s="89" customFormat="1" ht="14.5">
      <c r="A70" s="102" t="s">
        <v>4</v>
      </c>
      <c r="B70" s="82" t="s">
        <v>233</v>
      </c>
      <c r="C70" s="81">
        <v>900</v>
      </c>
      <c r="D70" s="82" t="s">
        <v>234</v>
      </c>
      <c r="E70" s="82"/>
      <c r="F70" s="82"/>
      <c r="G70" s="82"/>
      <c r="H70" s="82"/>
      <c r="I70" s="83"/>
      <c r="J70" s="82"/>
      <c r="K70" s="82"/>
      <c r="L70" s="84" t="s">
        <v>60</v>
      </c>
      <c r="M70" s="82"/>
      <c r="N70" s="82"/>
      <c r="O70" s="82"/>
      <c r="P70" s="82"/>
      <c r="Q70" s="81"/>
      <c r="R70" s="82"/>
      <c r="S70" s="85"/>
      <c r="T70" s="86"/>
      <c r="U70" s="81"/>
      <c r="V70" s="81"/>
      <c r="W70" s="81"/>
      <c r="X70" s="81"/>
      <c r="Y70" s="82"/>
      <c r="Z70" s="82"/>
      <c r="AA70" s="87"/>
      <c r="AB70" s="87"/>
      <c r="AC70" s="82"/>
      <c r="AD70" s="82"/>
      <c r="AE70" s="83"/>
      <c r="AF70" s="81"/>
      <c r="AG70" s="82"/>
      <c r="AH70" s="82"/>
      <c r="AI70" s="82"/>
      <c r="AJ70" s="81" t="s">
        <v>61</v>
      </c>
      <c r="AK70" s="88"/>
      <c r="AL70" s="83"/>
      <c r="AM70" s="82"/>
      <c r="AN70" s="82"/>
      <c r="AO70" s="82"/>
      <c r="AP70" s="53"/>
      <c r="AQ70" s="88"/>
      <c r="AR70" s="88"/>
      <c r="AS70" s="88"/>
      <c r="AT70" s="88"/>
      <c r="AU70" s="88"/>
      <c r="AV70" s="88"/>
      <c r="AW70" s="88"/>
      <c r="AX70" s="82"/>
      <c r="AY70" s="82"/>
      <c r="AZ70" s="82"/>
    </row>
    <row r="71" spans="1:52" ht="14.5">
      <c r="A71" s="41" t="s">
        <v>2</v>
      </c>
      <c r="B71" s="41" t="s">
        <v>2</v>
      </c>
      <c r="C71" s="41" t="s">
        <v>2</v>
      </c>
      <c r="D71" s="41" t="s">
        <v>23</v>
      </c>
      <c r="E71" s="41" t="s">
        <v>24</v>
      </c>
      <c r="F71" s="41" t="s">
        <v>25</v>
      </c>
      <c r="G71" s="41"/>
      <c r="H71" s="41" t="s">
        <v>0</v>
      </c>
      <c r="I71" s="5" t="s">
        <v>26</v>
      </c>
      <c r="J71" s="41" t="s">
        <v>27</v>
      </c>
      <c r="K71" s="41" t="s">
        <v>28</v>
      </c>
      <c r="L71" s="12" t="s">
        <v>29</v>
      </c>
      <c r="M71" s="13" t="s">
        <v>30</v>
      </c>
      <c r="N71" s="41" t="s">
        <v>31</v>
      </c>
      <c r="O71" s="41" t="s">
        <v>32</v>
      </c>
      <c r="P71" s="41" t="s">
        <v>33</v>
      </c>
      <c r="Q71" s="41" t="s">
        <v>34</v>
      </c>
      <c r="R71" s="41" t="s">
        <v>13</v>
      </c>
      <c r="S71" s="24" t="s">
        <v>35</v>
      </c>
      <c r="T71" s="10" t="s">
        <v>35</v>
      </c>
      <c r="U71" s="41" t="s">
        <v>36</v>
      </c>
      <c r="V71" s="41" t="s">
        <v>37</v>
      </c>
      <c r="W71" s="41" t="s">
        <v>38</v>
      </c>
      <c r="X71" s="41" t="s">
        <v>39</v>
      </c>
      <c r="Y71" s="41" t="s">
        <v>40</v>
      </c>
      <c r="Z71" s="35" t="s">
        <v>108</v>
      </c>
      <c r="AA71" s="35" t="s">
        <v>109</v>
      </c>
      <c r="AB71" s="9" t="s">
        <v>110</v>
      </c>
      <c r="AC71" s="7" t="s">
        <v>111</v>
      </c>
      <c r="AD71" s="7" t="s">
        <v>112</v>
      </c>
      <c r="AE71" s="5" t="s">
        <v>41</v>
      </c>
      <c r="AF71" s="7" t="s">
        <v>113</v>
      </c>
      <c r="AG71" s="7" t="s">
        <v>114</v>
      </c>
      <c r="AH71" s="7" t="s">
        <v>115</v>
      </c>
      <c r="AI71" s="41" t="s">
        <v>42</v>
      </c>
      <c r="AJ71" s="41" t="s">
        <v>43</v>
      </c>
      <c r="AK71" s="36"/>
      <c r="AL71" s="5" t="s">
        <v>44</v>
      </c>
      <c r="AM71" s="41" t="s">
        <v>45</v>
      </c>
      <c r="AN71" s="41" t="s">
        <v>46</v>
      </c>
      <c r="AO71" s="41" t="s">
        <v>47</v>
      </c>
      <c r="AP71" s="53"/>
      <c r="AQ71" s="15" t="s">
        <v>62</v>
      </c>
      <c r="AR71" s="16" t="s">
        <v>63</v>
      </c>
      <c r="AS71" s="16" t="s">
        <v>64</v>
      </c>
      <c r="AT71" s="17" t="s">
        <v>65</v>
      </c>
      <c r="AU71" s="18" t="s">
        <v>66</v>
      </c>
      <c r="AV71" s="18" t="s">
        <v>67</v>
      </c>
      <c r="AW71" s="19" t="s">
        <v>68</v>
      </c>
      <c r="AX71" s="7" t="s">
        <v>207</v>
      </c>
      <c r="AY71" s="7" t="s">
        <v>208</v>
      </c>
      <c r="AZ71" s="7" t="s">
        <v>209</v>
      </c>
    </row>
    <row r="72" spans="1:52" ht="14.5">
      <c r="A72" s="41" t="s">
        <v>18</v>
      </c>
      <c r="B72" s="41" t="s">
        <v>21</v>
      </c>
      <c r="C72" s="41" t="s">
        <v>48</v>
      </c>
      <c r="D72" s="41" t="s">
        <v>8</v>
      </c>
      <c r="E72" s="41" t="s">
        <v>49</v>
      </c>
      <c r="F72" s="41" t="s">
        <v>49</v>
      </c>
      <c r="G72" s="41"/>
      <c r="H72" s="41" t="s">
        <v>9</v>
      </c>
      <c r="I72" s="5" t="s">
        <v>50</v>
      </c>
      <c r="J72" s="41"/>
      <c r="K72" s="41" t="s">
        <v>51</v>
      </c>
      <c r="L72" s="5" t="s">
        <v>52</v>
      </c>
      <c r="M72" s="41" t="s">
        <v>52</v>
      </c>
      <c r="N72" s="41" t="s">
        <v>53</v>
      </c>
      <c r="O72" s="41" t="s">
        <v>54</v>
      </c>
      <c r="P72" s="41"/>
      <c r="Q72" s="41"/>
      <c r="R72" s="41"/>
      <c r="S72" s="24" t="s">
        <v>55</v>
      </c>
      <c r="T72" s="10" t="s">
        <v>55</v>
      </c>
      <c r="U72" s="41"/>
      <c r="V72" s="41"/>
      <c r="W72" s="41"/>
      <c r="X72" s="41"/>
      <c r="Y72" s="41"/>
      <c r="Z72" s="41"/>
      <c r="AA72" s="9" t="s">
        <v>118</v>
      </c>
      <c r="AB72" s="9" t="s">
        <v>118</v>
      </c>
      <c r="AC72" s="7" t="s">
        <v>119</v>
      </c>
      <c r="AD72" s="7" t="s">
        <v>119</v>
      </c>
      <c r="AE72" s="5" t="s">
        <v>20</v>
      </c>
      <c r="AF72" s="7" t="s">
        <v>118</v>
      </c>
      <c r="AG72" s="7" t="s">
        <v>118</v>
      </c>
      <c r="AH72" s="7" t="s">
        <v>119</v>
      </c>
      <c r="AI72" s="41" t="s">
        <v>56</v>
      </c>
      <c r="AJ72" s="41" t="s">
        <v>57</v>
      </c>
      <c r="AK72" s="11"/>
      <c r="AL72" s="5" t="s">
        <v>9</v>
      </c>
      <c r="AM72" s="41" t="s">
        <v>18</v>
      </c>
      <c r="AN72" s="41" t="s">
        <v>8</v>
      </c>
      <c r="AO72" s="41" t="s">
        <v>49</v>
      </c>
      <c r="AP72" s="53"/>
      <c r="AQ72" s="11"/>
      <c r="AR72" s="11"/>
      <c r="AS72" s="11"/>
      <c r="AT72" s="11"/>
      <c r="AU72" s="11"/>
      <c r="AV72" s="11"/>
      <c r="AW72" s="11"/>
      <c r="AX72" s="41"/>
      <c r="AY72" s="41"/>
      <c r="AZ72" s="41"/>
    </row>
    <row r="73" spans="1:52" ht="14.5">
      <c r="A73" s="41">
        <f ca="1">A68</f>
        <v>234.8601483654929</v>
      </c>
      <c r="B73" s="41">
        <f t="shared" ref="B73:B74" ca="1" si="95">A73/60</f>
        <v>3.9143358060915485</v>
      </c>
      <c r="C73" s="41">
        <f t="shared" ref="C73:C74" ca="1" si="96">B73/60</f>
        <v>6.5238930101525802E-2</v>
      </c>
      <c r="D73" s="41">
        <f t="shared" ref="D73:E73" ca="1" si="97">D68</f>
        <v>13131.093675641567</v>
      </c>
      <c r="E73" s="41">
        <f t="shared" ca="1" si="97"/>
        <v>12.480960891695165</v>
      </c>
      <c r="F73" s="41">
        <v>0</v>
      </c>
      <c r="G73" s="41"/>
      <c r="H73" s="7">
        <f>H68</f>
        <v>18000</v>
      </c>
      <c r="I73" s="6">
        <v>15</v>
      </c>
      <c r="J73" s="41">
        <f t="shared" ref="J73:J74" si="98">SQRT((((((((L73^2)*(0.2))/(661.477)^2) + 1)^(3.5) - 1)*(1/AR73) + 1)^(1/3.5) - 1)*(5))</f>
        <v>0.5158343068733543</v>
      </c>
      <c r="K73" s="41">
        <f t="shared" ref="K73:K74" si="99">SQRT((1.4*2116.22*AR73*(J73)^2)/AV73)</f>
        <v>554.87268879171449</v>
      </c>
      <c r="L73" s="120">
        <v>245</v>
      </c>
      <c r="M73" s="41">
        <f t="shared" ref="M73:M74" si="100">K73*0.592484</f>
        <v>328.75319014607015</v>
      </c>
      <c r="N73" s="41">
        <f t="shared" ref="N73:N74" si="101">0.5*AV73*K73^2</f>
        <v>196.8385156375023</v>
      </c>
      <c r="O73" s="41">
        <f t="shared" ref="O73:O74" si="102">P73/$B$7</f>
        <v>2012549.5282418809</v>
      </c>
      <c r="P73" s="41">
        <f t="shared" ref="P73:P74" si="103">(AV73*K73*$B$7)/(AW73)</f>
        <v>12921982.158001004</v>
      </c>
      <c r="Q73" s="41">
        <f t="shared" ref="Q73:Q74" si="104">0.455/(LOG10(P73)^2.58 * (1+0.144*J73*J73)^0.65)</f>
        <v>2.8142593213275591E-3</v>
      </c>
      <c r="R73" s="41">
        <f t="shared" ref="R73:R74" si="105">(((Q73*$B$4)+$B$17)+(0.1*(Q73*$B$4)))</f>
        <v>1.9061063126224184E-2</v>
      </c>
      <c r="S73" s="24">
        <f ca="1">T73</f>
        <v>9.9211476949866922E-16</v>
      </c>
      <c r="T73" s="10">
        <f t="shared" ref="T73:T74" ca="1" si="106">DEGREES(ASIN(((AF73-X73)/(D73))))</f>
        <v>0</v>
      </c>
      <c r="U73" s="41">
        <f t="shared" ref="U73:U74" ca="1" si="107">(D73*COS(RADIANS(S73)))/(N73*$B$3)</f>
        <v>0.29004339647817845</v>
      </c>
      <c r="V73" s="41">
        <f t="shared" ref="V73:V74" ca="1" si="108">(X73)/(N73*$B$3)</f>
        <v>2.4374133339274288E-2</v>
      </c>
      <c r="W73" s="41">
        <f t="shared" ref="W73:W74" ca="1" si="109">U73/V73</f>
        <v>11.899639361159503</v>
      </c>
      <c r="X73" s="20">
        <f t="shared" ref="X73:X74" ca="1" si="110">(N73*$B$3*R73)+((N73*$B$3)*((U73^2)/(PI()*$B$6*$B$5)))</f>
        <v>1103.4866920842608</v>
      </c>
      <c r="Y73" s="41">
        <f t="shared" ref="Y73:Y74" si="111">SQRT(PI()*$B$6*$B$5*R73)</f>
        <v>0.54936851317696045</v>
      </c>
      <c r="Z73" s="41">
        <f t="shared" ref="Z73:Z74" ca="1" si="112">SQRT((2*((U73*N73*$B$3)/(D73))*D73)/(AV73*$B$3*$B$18))</f>
        <v>206.21259752142115</v>
      </c>
      <c r="AA73" s="14">
        <f t="shared" ref="AA73:AA74" ca="1" si="113">D73/W73</f>
        <v>1103.4866920842608</v>
      </c>
      <c r="AB73" s="14">
        <f t="shared" ref="AB73:AB136" si="114">$B$15*AR73*0.93</f>
        <v>2916.5765113289031</v>
      </c>
      <c r="AC73" s="25">
        <f t="shared" ref="AC73:AC74" ca="1" si="115">AA73*K73</f>
        <v>612294.62788266852</v>
      </c>
      <c r="AD73" s="41">
        <f t="shared" ref="AD73:AD74" si="116">AB73*K73</f>
        <v>1618328.6509078268</v>
      </c>
      <c r="AE73" s="5">
        <f t="shared" ref="AE73:AE74" ca="1" si="117">(AA73/AB73)*100</f>
        <v>37.834998937897581</v>
      </c>
      <c r="AF73" s="7">
        <f t="shared" ref="AF73:AF74" ca="1" si="118">(AB73)*(AE73/100)</f>
        <v>1103.4866920842608</v>
      </c>
      <c r="AG73" s="41">
        <f t="shared" ref="AG73:AG74" ca="1" si="119">AB73-AA73</f>
        <v>1813.0898192446423</v>
      </c>
      <c r="AH73" s="41">
        <f t="shared" ref="AH73:AH74" ca="1" si="120">AD73-AC73</f>
        <v>1006034.0230251583</v>
      </c>
      <c r="AI73" s="41">
        <f t="shared" ref="AI73:AI74" ca="1" si="121">(AP73*AF73)</f>
        <v>875.53688708071843</v>
      </c>
      <c r="AJ73" s="13">
        <f t="shared" ref="AJ73:AJ74" ca="1" si="122">K73*SIN(RADIANS(T73))</f>
        <v>0</v>
      </c>
      <c r="AK73" s="11"/>
      <c r="AL73" s="6">
        <v>0</v>
      </c>
      <c r="AM73" s="41">
        <f t="shared" ref="AM73:AM74" si="123">(AO73/M73)*3600</f>
        <v>140.7916810332664</v>
      </c>
      <c r="AN73" s="41">
        <f t="shared" ref="AN73:AN74" ca="1" si="124">AI73*(AM73/3600)</f>
        <v>34.241197260757637</v>
      </c>
      <c r="AO73" s="6">
        <f>(900/70)</f>
        <v>12.857142857142858</v>
      </c>
      <c r="AP73" s="67">
        <f>0.692 + 0.298*AZ73 + -0.0331*AZ73^2</f>
        <v>0.7934276809691363</v>
      </c>
      <c r="AQ73" s="11">
        <f t="shared" ref="AQ73:AQ74" si="125">IF(H73 &lt;= 36089, ((1 - 6.87535*10^(-6)*H73) + ((I73*1.8)/518.67)), 0.75187 + ((I73*1.8)/518.67))</f>
        <v>0.92829992071837586</v>
      </c>
      <c r="AR73" s="11">
        <f t="shared" ref="AR73:AR74" si="126">IF(H73 &lt;= 36089, (1 - 6.87535*10^(-6)*H73)^5.2561, 0.22336*EXP((36089 - H73)/(20806.7)))</f>
        <v>0.49937958210548988</v>
      </c>
      <c r="AS73" s="11">
        <f t="shared" ref="AS73:AS74" si="127">(AR73/AQ73)</f>
        <v>0.53795068916847377</v>
      </c>
      <c r="AT73" s="11">
        <f t="shared" ref="AT73:AT74" si="128">(518.67*AQ73)</f>
        <v>481.48131987899995</v>
      </c>
      <c r="AU73" s="11">
        <f t="shared" ref="AU73:AU74" si="129">2116.22*AR73</f>
        <v>1056.7970592432796</v>
      </c>
      <c r="AV73" s="11">
        <f t="shared" ref="AV73:AV74" si="130">(0.0023769*AS73)</f>
        <v>1.2786549930845453E-3</v>
      </c>
      <c r="AW73" s="11">
        <f t="shared" ref="AW73:AW74" si="131">((2.2697*10^-8)*(AT73^1.5))/(AT73+198.72)</f>
        <v>3.5253330369939681E-7</v>
      </c>
      <c r="AX73" s="41">
        <f t="shared" ref="AX73:AX74" ca="1" si="132">(1/U73)*(((1 + 0.2*(U73)^2)/1.2)^3)</f>
        <v>2.0976448969839603</v>
      </c>
      <c r="AY73" s="41">
        <f t="shared" ref="AY73:AY74" ca="1" si="133">($H$4/$H$3)*AX73</f>
        <v>2.8255693513015734</v>
      </c>
      <c r="AZ73" s="41">
        <f t="shared" ref="AZ73:AZ74" si="134">-6.6*10^(-3) + 0.825*J73 - 0.243*(J73^2)</f>
        <v>0.35430464035867143</v>
      </c>
    </row>
    <row r="74" spans="1:52" ht="14.5">
      <c r="A74" s="41">
        <f t="shared" ref="A74" ca="1" si="135">A73+AM73</f>
        <v>375.65182939875933</v>
      </c>
      <c r="B74" s="41">
        <f t="shared" ca="1" si="95"/>
        <v>6.2608638233126559</v>
      </c>
      <c r="C74" s="41">
        <f t="shared" ca="1" si="96"/>
        <v>0.10434773038854427</v>
      </c>
      <c r="D74" s="41">
        <f t="shared" ref="D74" ca="1" si="136">D73-AN73</f>
        <v>13096.85247838081</v>
      </c>
      <c r="E74" s="41">
        <f t="shared" ref="E74" ca="1" si="137">E73+AO73</f>
        <v>25.338103748838023</v>
      </c>
      <c r="F74" s="7">
        <f t="shared" ref="F74" si="138">F73+AO73</f>
        <v>12.857142857142858</v>
      </c>
      <c r="G74" s="41"/>
      <c r="H74" s="7">
        <f t="shared" ref="H74" si="139">H73+AL73</f>
        <v>18000</v>
      </c>
      <c r="I74" s="6">
        <v>15</v>
      </c>
      <c r="J74" s="41">
        <f t="shared" si="98"/>
        <v>0.5158343068733543</v>
      </c>
      <c r="K74" s="41">
        <f t="shared" si="99"/>
        <v>554.87268879171449</v>
      </c>
      <c r="L74" s="6">
        <f t="shared" ref="L74:L137" si="140">L73</f>
        <v>245</v>
      </c>
      <c r="M74" s="41">
        <f t="shared" si="100"/>
        <v>328.75319014607015</v>
      </c>
      <c r="N74" s="41">
        <f t="shared" si="101"/>
        <v>196.8385156375023</v>
      </c>
      <c r="O74" s="41">
        <f t="shared" si="102"/>
        <v>2012549.5282418809</v>
      </c>
      <c r="P74" s="41">
        <f t="shared" si="103"/>
        <v>12921982.158001004</v>
      </c>
      <c r="Q74" s="41">
        <f t="shared" si="104"/>
        <v>2.8142593213275591E-3</v>
      </c>
      <c r="R74" s="41">
        <f t="shared" si="105"/>
        <v>1.9061063126224184E-2</v>
      </c>
      <c r="S74" s="24">
        <f t="shared" ref="S74" ca="1" si="141">T74</f>
        <v>1.989417227807881E-15</v>
      </c>
      <c r="T74" s="10">
        <f t="shared" ca="1" si="106"/>
        <v>9.9470861390394049E-16</v>
      </c>
      <c r="U74" s="41">
        <f t="shared" ca="1" si="107"/>
        <v>0.28928706700568274</v>
      </c>
      <c r="V74" s="41">
        <f t="shared" ca="1" si="108"/>
        <v>2.4346460292248212E-2</v>
      </c>
      <c r="W74" s="41">
        <f t="shared" ca="1" si="109"/>
        <v>11.882099637202302</v>
      </c>
      <c r="X74" s="20">
        <f t="shared" ca="1" si="110"/>
        <v>1102.2338541393115</v>
      </c>
      <c r="Y74" s="41">
        <f t="shared" si="111"/>
        <v>0.54936851317696045</v>
      </c>
      <c r="Z74" s="41">
        <f t="shared" ca="1" si="112"/>
        <v>205.94355765565768</v>
      </c>
      <c r="AA74" s="14">
        <f t="shared" ca="1" si="113"/>
        <v>1102.2338541393117</v>
      </c>
      <c r="AB74" s="14">
        <f t="shared" si="114"/>
        <v>2916.5765113289031</v>
      </c>
      <c r="AC74" s="25">
        <f t="shared" ca="1" si="115"/>
        <v>611599.4623235343</v>
      </c>
      <c r="AD74" s="41">
        <f t="shared" si="116"/>
        <v>1618328.6509078268</v>
      </c>
      <c r="AE74" s="5">
        <f t="shared" ca="1" si="117"/>
        <v>37.792043166290604</v>
      </c>
      <c r="AF74" s="7">
        <f t="shared" ca="1" si="118"/>
        <v>1102.2338541393117</v>
      </c>
      <c r="AG74" s="41">
        <f t="shared" ca="1" si="119"/>
        <v>1814.3426571895914</v>
      </c>
      <c r="AH74" s="41">
        <f t="shared" ca="1" si="120"/>
        <v>1006729.1885842925</v>
      </c>
      <c r="AI74" s="41">
        <f t="shared" ca="1" si="121"/>
        <v>874.54285077542727</v>
      </c>
      <c r="AJ74" s="13">
        <f t="shared" ca="1" si="122"/>
        <v>9.6331116855672665E-15</v>
      </c>
      <c r="AK74" s="11"/>
      <c r="AL74" s="6">
        <v>0</v>
      </c>
      <c r="AM74" s="41">
        <f t="shared" si="123"/>
        <v>140.7916810332664</v>
      </c>
      <c r="AN74" s="41">
        <f t="shared" ca="1" si="124"/>
        <v>34.202321693415961</v>
      </c>
      <c r="AO74" s="6">
        <f t="shared" ref="AO74:AO137" si="142">(900/70)</f>
        <v>12.857142857142858</v>
      </c>
      <c r="AP74" s="67">
        <f t="shared" ref="AP74:AP137" si="143">0.692 + 0.298*AZ74 + -0.0331*AZ74^2</f>
        <v>0.7934276809691363</v>
      </c>
      <c r="AQ74" s="11">
        <f t="shared" si="125"/>
        <v>0.92829992071837586</v>
      </c>
      <c r="AR74" s="11">
        <f t="shared" si="126"/>
        <v>0.49937958210548988</v>
      </c>
      <c r="AS74" s="11">
        <f t="shared" si="127"/>
        <v>0.53795068916847377</v>
      </c>
      <c r="AT74" s="11">
        <f t="shared" si="128"/>
        <v>481.48131987899995</v>
      </c>
      <c r="AU74" s="11">
        <f t="shared" si="129"/>
        <v>1056.7970592432796</v>
      </c>
      <c r="AV74" s="11">
        <f t="shared" si="130"/>
        <v>1.2786549930845453E-3</v>
      </c>
      <c r="AW74" s="11">
        <f t="shared" si="131"/>
        <v>3.5253330369939681E-7</v>
      </c>
      <c r="AX74" s="41">
        <f t="shared" ca="1" si="132"/>
        <v>2.1025853912143337</v>
      </c>
      <c r="AY74" s="41">
        <f t="shared" ca="1" si="133"/>
        <v>2.8322242951854006</v>
      </c>
      <c r="AZ74" s="41">
        <f t="shared" si="134"/>
        <v>0.35430464035867143</v>
      </c>
    </row>
    <row r="75" spans="1:52" ht="14.5">
      <c r="A75" s="41">
        <f t="shared" ref="A75:A93" ca="1" si="144">A74+AM74</f>
        <v>516.44351043202573</v>
      </c>
      <c r="B75" s="41">
        <f t="shared" ref="B75:B93" ca="1" si="145">A75/60</f>
        <v>8.6073918405337615</v>
      </c>
      <c r="C75" s="41">
        <f t="shared" ref="C75:C93" ca="1" si="146">B75/60</f>
        <v>0.14345653067556269</v>
      </c>
      <c r="D75" s="41">
        <f t="shared" ref="D75:D93" ca="1" si="147">D74-AN74</f>
        <v>13062.650156687394</v>
      </c>
      <c r="E75" s="41">
        <f t="shared" ref="E75:E93" ca="1" si="148">E74+AO74</f>
        <v>38.195246605980884</v>
      </c>
      <c r="F75" s="7">
        <f t="shared" ref="F75:F93" si="149">F74+AO74</f>
        <v>25.714285714285715</v>
      </c>
      <c r="G75" s="41"/>
      <c r="H75" s="7">
        <f t="shared" ref="H75:H93" si="150">H74+AL74</f>
        <v>18000</v>
      </c>
      <c r="I75" s="6">
        <v>15</v>
      </c>
      <c r="J75" s="41">
        <f t="shared" ref="J75:J93" si="151">SQRT((((((((L75^2)*(0.2))/(661.477)^2) + 1)^(3.5) - 1)*(1/AR75) + 1)^(1/3.5) - 1)*(5))</f>
        <v>0.5158343068733543</v>
      </c>
      <c r="K75" s="41">
        <f t="shared" ref="K75:K93" si="152">SQRT((1.4*2116.22*AR75*(J75)^2)/AV75)</f>
        <v>554.87268879171449</v>
      </c>
      <c r="L75" s="6">
        <f t="shared" si="140"/>
        <v>245</v>
      </c>
      <c r="M75" s="41">
        <f t="shared" ref="M75:M93" si="153">K75*0.592484</f>
        <v>328.75319014607015</v>
      </c>
      <c r="N75" s="41">
        <f t="shared" ref="N75:N93" si="154">0.5*AV75*K75^2</f>
        <v>196.8385156375023</v>
      </c>
      <c r="O75" s="41">
        <f t="shared" ref="O75:O93" si="155">P75/$B$7</f>
        <v>2012549.5282418809</v>
      </c>
      <c r="P75" s="41">
        <f t="shared" ref="P75:P93" si="156">(AV75*K75*$B$7)/(AW75)</f>
        <v>12921982.158001004</v>
      </c>
      <c r="Q75" s="41">
        <f t="shared" ref="Q75:Q93" si="157">0.455/(LOG10(P75)^2.58 * (1+0.144*J75*J75)^0.65)</f>
        <v>2.8142593213275591E-3</v>
      </c>
      <c r="R75" s="41">
        <f t="shared" ref="R75:R93" si="158">(((Q75*$B$4)+$B$17)+(0.1*(Q75*$B$4)))</f>
        <v>1.9061063126224184E-2</v>
      </c>
      <c r="S75" s="24">
        <f t="shared" ref="S75:S93" ca="1" si="159">T75</f>
        <v>1.9946261775379692E-15</v>
      </c>
      <c r="T75" s="10">
        <f t="shared" ref="T75:T93" ca="1" si="160">DEGREES(ASIN(((AF75-X75)/(D75))))</f>
        <v>0</v>
      </c>
      <c r="U75" s="41">
        <f t="shared" ref="U75:U93" ca="1" si="161">(D75*COS(RADIANS(S75)))/(N75*$B$3)</f>
        <v>0.28853159622796681</v>
      </c>
      <c r="V75" s="41">
        <f t="shared" ref="V75:V93" ca="1" si="162">(X75)/(N75*$B$3)</f>
        <v>2.4318890796288368E-2</v>
      </c>
      <c r="W75" s="41">
        <f t="shared" ref="W75:W93" ca="1" si="163">U75/V75</f>
        <v>11.864504785391096</v>
      </c>
      <c r="X75" s="20">
        <f t="shared" ref="X75:X93" ca="1" si="164">(N75*$B$3*R75)+((N75*$B$3)*((U75^2)/(PI()*$B$6*$B$5)))</f>
        <v>1100.9857042471413</v>
      </c>
      <c r="Y75" s="41">
        <f t="shared" ref="Y75:Y93" si="165">SQRT(PI()*$B$6*$B$5*R75)</f>
        <v>0.54936851317696045</v>
      </c>
      <c r="Z75" s="41">
        <f t="shared" ref="Z75:Z93" ca="1" si="166">SQRT((2*((U75*N75*$B$3)/(D75))*D75)/(AV75*$B$3*$B$18))</f>
        <v>205.67447191509402</v>
      </c>
      <c r="AA75" s="14">
        <f t="shared" ref="AA75:AA93" ca="1" si="167">D75/W75</f>
        <v>1100.9857042471413</v>
      </c>
      <c r="AB75" s="14">
        <f t="shared" si="114"/>
        <v>2916.5765113289031</v>
      </c>
      <c r="AC75" s="25">
        <f t="shared" ref="AC75:AC93" ca="1" si="168">AA75*K75</f>
        <v>610906.89803685062</v>
      </c>
      <c r="AD75" s="41">
        <f t="shared" ref="AD75:AD93" si="169">AB75*K75</f>
        <v>1618328.6509078268</v>
      </c>
      <c r="AE75" s="5">
        <f t="shared" ref="AE75:AE93" ca="1" si="170">(AA75/AB75)*100</f>
        <v>37.749248132890237</v>
      </c>
      <c r="AF75" s="7">
        <f t="shared" ref="AF75:AF93" ca="1" si="171">(AB75)*(AE75/100)</f>
        <v>1100.9857042471413</v>
      </c>
      <c r="AG75" s="41">
        <f t="shared" ref="AG75:AG93" ca="1" si="172">AB75-AA75</f>
        <v>1815.5908070817618</v>
      </c>
      <c r="AH75" s="41">
        <f t="shared" ref="AH75:AH93" ca="1" si="173">AD75-AC75</f>
        <v>1007421.7528709762</v>
      </c>
      <c r="AI75" s="41">
        <f t="shared" ref="AI75:AI93" ca="1" si="174">(AP75*AF75)</f>
        <v>873.55253410098067</v>
      </c>
      <c r="AJ75" s="13">
        <f t="shared" ref="AJ75:AJ93" ca="1" si="175">K75*SIN(RADIANS(T75))</f>
        <v>0</v>
      </c>
      <c r="AK75" s="11"/>
      <c r="AL75" s="6">
        <v>0</v>
      </c>
      <c r="AM75" s="41">
        <f t="shared" ref="AM75:AM93" si="176">(AO75/M75)*3600</f>
        <v>140.7916810332664</v>
      </c>
      <c r="AN75" s="41">
        <f t="shared" ref="AN75:AN93" ca="1" si="177">AI75*(AM75/3600)</f>
        <v>34.163591596374118</v>
      </c>
      <c r="AO75" s="6">
        <f t="shared" si="142"/>
        <v>12.857142857142858</v>
      </c>
      <c r="AP75" s="67">
        <f t="shared" si="143"/>
        <v>0.7934276809691363</v>
      </c>
      <c r="AQ75" s="11">
        <f t="shared" ref="AQ75:AQ93" si="178">IF(H75 &lt;= 36089, ((1 - 6.87535*10^(-6)*H75) + ((I75*1.8)/518.67)), 0.75187 + ((I75*1.8)/518.67))</f>
        <v>0.92829992071837586</v>
      </c>
      <c r="AR75" s="11">
        <f t="shared" ref="AR75:AR93" si="179">IF(H75 &lt;= 36089, (1 - 6.87535*10^(-6)*H75)^5.2561, 0.22336*EXP((36089 - H75)/(20806.7)))</f>
        <v>0.49937958210548988</v>
      </c>
      <c r="AS75" s="11">
        <f t="shared" ref="AS75:AS93" si="180">(AR75/AQ75)</f>
        <v>0.53795068916847377</v>
      </c>
      <c r="AT75" s="11">
        <f t="shared" ref="AT75:AT93" si="181">(518.67*AQ75)</f>
        <v>481.48131987899995</v>
      </c>
      <c r="AU75" s="11">
        <f t="shared" ref="AU75:AU93" si="182">2116.22*AR75</f>
        <v>1056.7970592432796</v>
      </c>
      <c r="AV75" s="11">
        <f t="shared" ref="AV75:AV93" si="183">(0.0023769*AS75)</f>
        <v>1.2786549930845453E-3</v>
      </c>
      <c r="AW75" s="11">
        <f t="shared" ref="AW75:AW93" si="184">((2.2697*10^-8)*(AT75^1.5))/(AT75+198.72)</f>
        <v>3.5253330369939681E-7</v>
      </c>
      <c r="AX75" s="41">
        <f t="shared" ref="AX75:AX93" ca="1" si="185">(1/U75)*(((1 + 0.2*(U75)^2)/1.2)^3)</f>
        <v>2.1075476476709434</v>
      </c>
      <c r="AY75" s="41">
        <f t="shared" ref="AY75:AY93" ca="1" si="186">($H$4/$H$3)*AX75</f>
        <v>2.8389085532203304</v>
      </c>
      <c r="AZ75" s="41">
        <f t="shared" ref="AZ75:AZ93" si="187">-6.6*10^(-3) + 0.825*J75 - 0.243*(J75^2)</f>
        <v>0.35430464035867143</v>
      </c>
    </row>
    <row r="76" spans="1:52" ht="14.5">
      <c r="A76" s="41">
        <f t="shared" ca="1" si="144"/>
        <v>657.23519146529213</v>
      </c>
      <c r="B76" s="41">
        <f t="shared" ca="1" si="145"/>
        <v>10.953919857754869</v>
      </c>
      <c r="C76" s="41">
        <f t="shared" ca="1" si="146"/>
        <v>0.18256533096258115</v>
      </c>
      <c r="D76" s="41">
        <f t="shared" ca="1" si="147"/>
        <v>13028.48656509102</v>
      </c>
      <c r="E76" s="41">
        <f t="shared" ca="1" si="148"/>
        <v>51.052389463123745</v>
      </c>
      <c r="F76" s="7">
        <f t="shared" si="149"/>
        <v>38.571428571428569</v>
      </c>
      <c r="G76" s="41"/>
      <c r="H76" s="7">
        <f t="shared" si="150"/>
        <v>18000</v>
      </c>
      <c r="I76" s="6">
        <v>15</v>
      </c>
      <c r="J76" s="41">
        <f t="shared" si="151"/>
        <v>0.5158343068733543</v>
      </c>
      <c r="K76" s="41">
        <f t="shared" si="152"/>
        <v>554.87268879171449</v>
      </c>
      <c r="L76" s="6">
        <f t="shared" si="140"/>
        <v>245</v>
      </c>
      <c r="M76" s="41">
        <f t="shared" si="153"/>
        <v>328.75319014607015</v>
      </c>
      <c r="N76" s="41">
        <f t="shared" si="154"/>
        <v>196.8385156375023</v>
      </c>
      <c r="O76" s="41">
        <f t="shared" si="155"/>
        <v>2012549.5282418809</v>
      </c>
      <c r="P76" s="41">
        <f t="shared" si="156"/>
        <v>12921982.158001004</v>
      </c>
      <c r="Q76" s="41">
        <f t="shared" si="157"/>
        <v>2.8142593213275591E-3</v>
      </c>
      <c r="R76" s="41">
        <f t="shared" si="158"/>
        <v>1.9061063126224184E-2</v>
      </c>
      <c r="S76" s="24">
        <f t="shared" ca="1" si="159"/>
        <v>1.9998565313305141E-15</v>
      </c>
      <c r="T76" s="10">
        <f t="shared" ca="1" si="160"/>
        <v>9.9992826566525703E-16</v>
      </c>
      <c r="U76" s="41">
        <f t="shared" ca="1" si="161"/>
        <v>0.28777698093184056</v>
      </c>
      <c r="V76" s="41">
        <f t="shared" ca="1" si="162"/>
        <v>2.4291424488769243E-2</v>
      </c>
      <c r="W76" s="41">
        <f t="shared" ca="1" si="163"/>
        <v>11.846854887612281</v>
      </c>
      <c r="X76" s="20">
        <f t="shared" ca="1" si="164"/>
        <v>1099.7422259906564</v>
      </c>
      <c r="Y76" s="41">
        <f t="shared" si="165"/>
        <v>0.54936851317696045</v>
      </c>
      <c r="Z76" s="41">
        <f t="shared" ca="1" si="166"/>
        <v>205.40533897270649</v>
      </c>
      <c r="AA76" s="14">
        <f t="shared" ca="1" si="167"/>
        <v>1099.7422259906566</v>
      </c>
      <c r="AB76" s="14">
        <f t="shared" si="114"/>
        <v>2916.5765113289031</v>
      </c>
      <c r="AC76" s="25">
        <f t="shared" ca="1" si="168"/>
        <v>610216.92591322097</v>
      </c>
      <c r="AD76" s="41">
        <f t="shared" si="169"/>
        <v>1618328.6509078268</v>
      </c>
      <c r="AE76" s="5">
        <f t="shared" ca="1" si="170"/>
        <v>37.706613274807324</v>
      </c>
      <c r="AF76" s="7">
        <f t="shared" ca="1" si="171"/>
        <v>1099.7422259906566</v>
      </c>
      <c r="AG76" s="41">
        <f t="shared" ca="1" si="172"/>
        <v>1816.8342853382464</v>
      </c>
      <c r="AH76" s="41">
        <f t="shared" ca="1" si="173"/>
        <v>1008111.7249946059</v>
      </c>
      <c r="AI76" s="41">
        <f t="shared" ca="1" si="174"/>
        <v>872.56592403160244</v>
      </c>
      <c r="AJ76" s="13">
        <f t="shared" ca="1" si="175"/>
        <v>9.6836606480208931E-15</v>
      </c>
      <c r="AK76" s="11"/>
      <c r="AL76" s="6">
        <v>0</v>
      </c>
      <c r="AM76" s="41">
        <f t="shared" si="176"/>
        <v>140.7916810332664</v>
      </c>
      <c r="AN76" s="41">
        <f t="shared" ca="1" si="177"/>
        <v>34.125006460209647</v>
      </c>
      <c r="AO76" s="6">
        <f t="shared" si="142"/>
        <v>12.857142857142858</v>
      </c>
      <c r="AP76" s="67">
        <f t="shared" si="143"/>
        <v>0.7934276809691363</v>
      </c>
      <c r="AQ76" s="11">
        <f t="shared" si="178"/>
        <v>0.92829992071837586</v>
      </c>
      <c r="AR76" s="11">
        <f t="shared" si="179"/>
        <v>0.49937958210548988</v>
      </c>
      <c r="AS76" s="11">
        <f t="shared" si="180"/>
        <v>0.53795068916847377</v>
      </c>
      <c r="AT76" s="11">
        <f t="shared" si="181"/>
        <v>481.48131987899995</v>
      </c>
      <c r="AU76" s="11">
        <f t="shared" si="182"/>
        <v>1056.7970592432796</v>
      </c>
      <c r="AV76" s="11">
        <f t="shared" si="183"/>
        <v>1.2786549930845453E-3</v>
      </c>
      <c r="AW76" s="11">
        <f t="shared" si="184"/>
        <v>3.5253330369939681E-7</v>
      </c>
      <c r="AX76" s="41">
        <f t="shared" ca="1" si="185"/>
        <v>2.1125318086904694</v>
      </c>
      <c r="AY76" s="41">
        <f t="shared" ca="1" si="186"/>
        <v>2.8456223171366988</v>
      </c>
      <c r="AZ76" s="41">
        <f t="shared" si="187"/>
        <v>0.35430464035867143</v>
      </c>
    </row>
    <row r="77" spans="1:52" ht="14.5">
      <c r="A77" s="41">
        <f t="shared" ca="1" si="144"/>
        <v>798.02687249855853</v>
      </c>
      <c r="B77" s="41">
        <f t="shared" ca="1" si="145"/>
        <v>13.300447874975976</v>
      </c>
      <c r="C77" s="41">
        <f t="shared" ca="1" si="146"/>
        <v>0.22167413124959962</v>
      </c>
      <c r="D77" s="41">
        <f t="shared" ca="1" si="147"/>
        <v>12994.36155863081</v>
      </c>
      <c r="E77" s="41">
        <f t="shared" ca="1" si="148"/>
        <v>63.909532320266607</v>
      </c>
      <c r="F77" s="7">
        <f t="shared" si="149"/>
        <v>51.428571428571431</v>
      </c>
      <c r="G77" s="41"/>
      <c r="H77" s="7">
        <f t="shared" si="150"/>
        <v>18000</v>
      </c>
      <c r="I77" s="6">
        <v>15</v>
      </c>
      <c r="J77" s="41">
        <f t="shared" si="151"/>
        <v>0.5158343068733543</v>
      </c>
      <c r="K77" s="41">
        <f t="shared" si="152"/>
        <v>554.87268879171449</v>
      </c>
      <c r="L77" s="6">
        <f t="shared" si="140"/>
        <v>245</v>
      </c>
      <c r="M77" s="41">
        <f t="shared" si="153"/>
        <v>328.75319014607015</v>
      </c>
      <c r="N77" s="41">
        <f t="shared" si="154"/>
        <v>196.8385156375023</v>
      </c>
      <c r="O77" s="41">
        <f t="shared" si="155"/>
        <v>2012549.5282418809</v>
      </c>
      <c r="P77" s="41">
        <f t="shared" si="156"/>
        <v>12921982.158001004</v>
      </c>
      <c r="Q77" s="41">
        <f t="shared" si="157"/>
        <v>2.8142593213275591E-3</v>
      </c>
      <c r="R77" s="41">
        <f t="shared" si="158"/>
        <v>1.9061063126224184E-2</v>
      </c>
      <c r="S77" s="24">
        <f t="shared" ca="1" si="159"/>
        <v>1.0025542168034959E-15</v>
      </c>
      <c r="T77" s="10">
        <f t="shared" ca="1" si="160"/>
        <v>0</v>
      </c>
      <c r="U77" s="41">
        <f t="shared" ca="1" si="161"/>
        <v>0.28702321791536622</v>
      </c>
      <c r="V77" s="41">
        <f t="shared" ca="1" si="162"/>
        <v>2.4264061008976393E-2</v>
      </c>
      <c r="W77" s="41">
        <f t="shared" ca="1" si="163"/>
        <v>11.829150026006905</v>
      </c>
      <c r="X77" s="20">
        <f t="shared" ca="1" si="164"/>
        <v>1098.5034030392831</v>
      </c>
      <c r="Y77" s="41">
        <f t="shared" si="165"/>
        <v>0.54936851317696045</v>
      </c>
      <c r="Z77" s="41">
        <f t="shared" ca="1" si="166"/>
        <v>205.13615749849657</v>
      </c>
      <c r="AA77" s="14">
        <f t="shared" ca="1" si="167"/>
        <v>1098.5034030392831</v>
      </c>
      <c r="AB77" s="14">
        <f t="shared" si="114"/>
        <v>2916.5765113289031</v>
      </c>
      <c r="AC77" s="25">
        <f t="shared" ca="1" si="168"/>
        <v>609529.53689125541</v>
      </c>
      <c r="AD77" s="41">
        <f t="shared" si="169"/>
        <v>1618328.6509078268</v>
      </c>
      <c r="AE77" s="5">
        <f t="shared" ca="1" si="170"/>
        <v>37.664138032119141</v>
      </c>
      <c r="AF77" s="7">
        <f t="shared" ca="1" si="171"/>
        <v>1098.5034030392831</v>
      </c>
      <c r="AG77" s="41">
        <f t="shared" ca="1" si="172"/>
        <v>1818.07310828962</v>
      </c>
      <c r="AH77" s="41">
        <f t="shared" ca="1" si="173"/>
        <v>1008799.1140165714</v>
      </c>
      <c r="AI77" s="41">
        <f t="shared" ca="1" si="174"/>
        <v>871.58300761016278</v>
      </c>
      <c r="AJ77" s="13">
        <f t="shared" ca="1" si="175"/>
        <v>0</v>
      </c>
      <c r="AK77" s="11"/>
      <c r="AL77" s="6">
        <v>0</v>
      </c>
      <c r="AM77" s="41">
        <f t="shared" si="176"/>
        <v>140.7916810332664</v>
      </c>
      <c r="AN77" s="41">
        <f t="shared" ca="1" si="177"/>
        <v>34.086565778184735</v>
      </c>
      <c r="AO77" s="6">
        <f t="shared" si="142"/>
        <v>12.857142857142858</v>
      </c>
      <c r="AP77" s="67">
        <f t="shared" si="143"/>
        <v>0.7934276809691363</v>
      </c>
      <c r="AQ77" s="11">
        <f t="shared" si="178"/>
        <v>0.92829992071837586</v>
      </c>
      <c r="AR77" s="11">
        <f t="shared" si="179"/>
        <v>0.49937958210548988</v>
      </c>
      <c r="AS77" s="11">
        <f t="shared" si="180"/>
        <v>0.53795068916847377</v>
      </c>
      <c r="AT77" s="11">
        <f t="shared" si="181"/>
        <v>481.48131987899995</v>
      </c>
      <c r="AU77" s="11">
        <f t="shared" si="182"/>
        <v>1056.7970592432796</v>
      </c>
      <c r="AV77" s="11">
        <f t="shared" si="183"/>
        <v>1.2786549930845453E-3</v>
      </c>
      <c r="AW77" s="11">
        <f t="shared" si="184"/>
        <v>3.5253330369939681E-7</v>
      </c>
      <c r="AX77" s="41">
        <f t="shared" ca="1" si="185"/>
        <v>2.1175380179021386</v>
      </c>
      <c r="AY77" s="41">
        <f t="shared" ca="1" si="186"/>
        <v>2.8523657804059273</v>
      </c>
      <c r="AZ77" s="41">
        <f t="shared" si="187"/>
        <v>0.35430464035867143</v>
      </c>
    </row>
    <row r="78" spans="1:52" ht="14.5">
      <c r="A78" s="41">
        <f t="shared" ca="1" si="144"/>
        <v>938.81855353182493</v>
      </c>
      <c r="B78" s="41">
        <f t="shared" ca="1" si="145"/>
        <v>15.646975892197082</v>
      </c>
      <c r="C78" s="41">
        <f t="shared" ca="1" si="146"/>
        <v>0.26078293153661802</v>
      </c>
      <c r="D78" s="41">
        <f t="shared" ca="1" si="147"/>
        <v>12960.274992852625</v>
      </c>
      <c r="E78" s="41">
        <f t="shared" ca="1" si="148"/>
        <v>76.766675177409468</v>
      </c>
      <c r="F78" s="7">
        <f t="shared" si="149"/>
        <v>64.285714285714292</v>
      </c>
      <c r="G78" s="41"/>
      <c r="H78" s="7">
        <f t="shared" si="150"/>
        <v>18000</v>
      </c>
      <c r="I78" s="6">
        <v>15</v>
      </c>
      <c r="J78" s="41">
        <f t="shared" si="151"/>
        <v>0.5158343068733543</v>
      </c>
      <c r="K78" s="41">
        <f t="shared" si="152"/>
        <v>554.87268879171449</v>
      </c>
      <c r="L78" s="6">
        <f t="shared" si="140"/>
        <v>245</v>
      </c>
      <c r="M78" s="41">
        <f t="shared" si="153"/>
        <v>328.75319014607015</v>
      </c>
      <c r="N78" s="41">
        <f t="shared" si="154"/>
        <v>196.8385156375023</v>
      </c>
      <c r="O78" s="41">
        <f t="shared" si="155"/>
        <v>2012549.5282418809</v>
      </c>
      <c r="P78" s="41">
        <f t="shared" si="156"/>
        <v>12921982.158001004</v>
      </c>
      <c r="Q78" s="41">
        <f t="shared" si="157"/>
        <v>2.8142593213275591E-3</v>
      </c>
      <c r="R78" s="41">
        <f t="shared" si="158"/>
        <v>1.9061063126224184E-2</v>
      </c>
      <c r="S78" s="24">
        <f t="shared" ca="1" si="159"/>
        <v>1.0051910150408879E-15</v>
      </c>
      <c r="T78" s="10">
        <f t="shared" ca="1" si="160"/>
        <v>1.0051910150408879E-15</v>
      </c>
      <c r="U78" s="41">
        <f t="shared" ca="1" si="161"/>
        <v>0.2862703039877989</v>
      </c>
      <c r="V78" s="41">
        <f t="shared" ca="1" si="162"/>
        <v>2.4236799998095481E-2</v>
      </c>
      <c r="W78" s="41">
        <f t="shared" ca="1" si="163"/>
        <v>11.811390282970272</v>
      </c>
      <c r="X78" s="20">
        <f t="shared" ca="1" si="164"/>
        <v>1097.2692191484705</v>
      </c>
      <c r="Y78" s="41">
        <f t="shared" si="165"/>
        <v>0.54936851317696045</v>
      </c>
      <c r="Z78" s="41">
        <f t="shared" ca="1" si="166"/>
        <v>204.86692615944668</v>
      </c>
      <c r="AA78" s="14">
        <f t="shared" ca="1" si="167"/>
        <v>1097.2692191484707</v>
      </c>
      <c r="AB78" s="14">
        <f t="shared" si="114"/>
        <v>2916.5765113289031</v>
      </c>
      <c r="AC78" s="25">
        <f t="shared" ca="1" si="168"/>
        <v>608844.72195729695</v>
      </c>
      <c r="AD78" s="41">
        <f t="shared" si="169"/>
        <v>1618328.6509078268</v>
      </c>
      <c r="AE78" s="5">
        <f t="shared" ca="1" si="170"/>
        <v>37.621821847852473</v>
      </c>
      <c r="AF78" s="7">
        <f t="shared" ca="1" si="171"/>
        <v>1097.2692191484707</v>
      </c>
      <c r="AG78" s="41">
        <f t="shared" ca="1" si="172"/>
        <v>1819.3072921804323</v>
      </c>
      <c r="AH78" s="41">
        <f t="shared" ca="1" si="173"/>
        <v>1009483.9289505299</v>
      </c>
      <c r="AI78" s="41">
        <f t="shared" ca="1" si="174"/>
        <v>870.60377194778607</v>
      </c>
      <c r="AJ78" s="13">
        <f t="shared" ca="1" si="175"/>
        <v>9.7346269830862257E-15</v>
      </c>
      <c r="AK78" s="11"/>
      <c r="AL78" s="6">
        <v>0</v>
      </c>
      <c r="AM78" s="41">
        <f t="shared" si="176"/>
        <v>140.7916810332664</v>
      </c>
      <c r="AN78" s="41">
        <f t="shared" ca="1" si="177"/>
        <v>34.048269046230914</v>
      </c>
      <c r="AO78" s="6">
        <f t="shared" si="142"/>
        <v>12.857142857142858</v>
      </c>
      <c r="AP78" s="67">
        <f t="shared" si="143"/>
        <v>0.7934276809691363</v>
      </c>
      <c r="AQ78" s="11">
        <f t="shared" si="178"/>
        <v>0.92829992071837586</v>
      </c>
      <c r="AR78" s="11">
        <f t="shared" si="179"/>
        <v>0.49937958210548988</v>
      </c>
      <c r="AS78" s="11">
        <f t="shared" si="180"/>
        <v>0.53795068916847377</v>
      </c>
      <c r="AT78" s="11">
        <f t="shared" si="181"/>
        <v>481.48131987899995</v>
      </c>
      <c r="AU78" s="11">
        <f t="shared" si="182"/>
        <v>1056.7970592432796</v>
      </c>
      <c r="AV78" s="11">
        <f t="shared" si="183"/>
        <v>1.2786549930845453E-3</v>
      </c>
      <c r="AW78" s="11">
        <f t="shared" si="184"/>
        <v>3.5253330369939681E-7</v>
      </c>
      <c r="AX78" s="41">
        <f t="shared" ca="1" si="185"/>
        <v>2.1225664202421024</v>
      </c>
      <c r="AY78" s="41">
        <f t="shared" ca="1" si="186"/>
        <v>2.8591391382598919</v>
      </c>
      <c r="AZ78" s="41">
        <f t="shared" si="187"/>
        <v>0.35430464035867143</v>
      </c>
    </row>
    <row r="79" spans="1:52" ht="14.5">
      <c r="A79" s="41">
        <f t="shared" ca="1" si="144"/>
        <v>1079.6102345650913</v>
      </c>
      <c r="B79" s="41">
        <f t="shared" ca="1" si="145"/>
        <v>17.993503909418187</v>
      </c>
      <c r="C79" s="41">
        <f t="shared" ca="1" si="146"/>
        <v>0.29989173182363643</v>
      </c>
      <c r="D79" s="41">
        <f t="shared" ca="1" si="147"/>
        <v>12926.226723806394</v>
      </c>
      <c r="E79" s="41">
        <f t="shared" ca="1" si="148"/>
        <v>89.623818034552329</v>
      </c>
      <c r="F79" s="7">
        <f t="shared" si="149"/>
        <v>77.142857142857153</v>
      </c>
      <c r="G79" s="41"/>
      <c r="H79" s="7">
        <f t="shared" si="150"/>
        <v>18000</v>
      </c>
      <c r="I79" s="6">
        <v>15</v>
      </c>
      <c r="J79" s="41">
        <f t="shared" si="151"/>
        <v>0.5158343068733543</v>
      </c>
      <c r="K79" s="41">
        <f t="shared" si="152"/>
        <v>554.87268879171449</v>
      </c>
      <c r="L79" s="6">
        <f t="shared" si="140"/>
        <v>245</v>
      </c>
      <c r="M79" s="41">
        <f t="shared" si="153"/>
        <v>328.75319014607015</v>
      </c>
      <c r="N79" s="41">
        <f t="shared" si="154"/>
        <v>196.8385156375023</v>
      </c>
      <c r="O79" s="41">
        <f t="shared" si="155"/>
        <v>2012549.5282418809</v>
      </c>
      <c r="P79" s="41">
        <f t="shared" si="156"/>
        <v>12921982.158001004</v>
      </c>
      <c r="Q79" s="41">
        <f t="shared" si="157"/>
        <v>2.8142593213275591E-3</v>
      </c>
      <c r="R79" s="41">
        <f t="shared" si="158"/>
        <v>1.9061063126224184E-2</v>
      </c>
      <c r="S79" s="24">
        <f t="shared" ca="1" si="159"/>
        <v>1.0078387338883325E-15</v>
      </c>
      <c r="T79" s="10">
        <f t="shared" ca="1" si="160"/>
        <v>-1.0078387338883325E-15</v>
      </c>
      <c r="U79" s="41">
        <f t="shared" ca="1" si="161"/>
        <v>0.28551823596952786</v>
      </c>
      <c r="V79" s="41">
        <f t="shared" ca="1" si="162"/>
        <v>2.4209641099201411E-2</v>
      </c>
      <c r="W79" s="41">
        <f t="shared" ca="1" si="163"/>
        <v>11.793575741151573</v>
      </c>
      <c r="X79" s="20">
        <f t="shared" ca="1" si="164"/>
        <v>1096.0396581591992</v>
      </c>
      <c r="Y79" s="41">
        <f t="shared" si="165"/>
        <v>0.54936851317696045</v>
      </c>
      <c r="Z79" s="41">
        <f t="shared" ca="1" si="166"/>
        <v>204.59764361947626</v>
      </c>
      <c r="AA79" s="14">
        <f t="shared" ca="1" si="167"/>
        <v>1096.0396581591992</v>
      </c>
      <c r="AB79" s="14">
        <f t="shared" si="114"/>
        <v>2916.5765113289031</v>
      </c>
      <c r="AC79" s="25">
        <f t="shared" ca="1" si="168"/>
        <v>608162.47214514646</v>
      </c>
      <c r="AD79" s="41">
        <f t="shared" si="169"/>
        <v>1618328.6509078268</v>
      </c>
      <c r="AE79" s="5">
        <f t="shared" ca="1" si="170"/>
        <v>37.579664167966634</v>
      </c>
      <c r="AF79" s="7">
        <f t="shared" ca="1" si="171"/>
        <v>1096.039658159199</v>
      </c>
      <c r="AG79" s="41">
        <f t="shared" ca="1" si="172"/>
        <v>1820.5368531697038</v>
      </c>
      <c r="AH79" s="41">
        <f t="shared" ca="1" si="173"/>
        <v>1010166.1787626804</v>
      </c>
      <c r="AI79" s="41">
        <f t="shared" ca="1" si="174"/>
        <v>869.62820422345817</v>
      </c>
      <c r="AJ79" s="13">
        <f t="shared" ca="1" si="175"/>
        <v>-9.7602684332686197E-15</v>
      </c>
      <c r="AK79" s="11"/>
      <c r="AL79" s="6">
        <v>0</v>
      </c>
      <c r="AM79" s="41">
        <f t="shared" si="176"/>
        <v>140.7916810332664</v>
      </c>
      <c r="AN79" s="41">
        <f t="shared" ca="1" si="177"/>
        <v>34.010115762933715</v>
      </c>
      <c r="AO79" s="6">
        <f t="shared" si="142"/>
        <v>12.857142857142858</v>
      </c>
      <c r="AP79" s="67">
        <f t="shared" si="143"/>
        <v>0.7934276809691363</v>
      </c>
      <c r="AQ79" s="11">
        <f t="shared" si="178"/>
        <v>0.92829992071837586</v>
      </c>
      <c r="AR79" s="11">
        <f t="shared" si="179"/>
        <v>0.49937958210548988</v>
      </c>
      <c r="AS79" s="11">
        <f t="shared" si="180"/>
        <v>0.53795068916847377</v>
      </c>
      <c r="AT79" s="11">
        <f t="shared" si="181"/>
        <v>481.48131987899995</v>
      </c>
      <c r="AU79" s="11">
        <f t="shared" si="182"/>
        <v>1056.7970592432796</v>
      </c>
      <c r="AV79" s="11">
        <f t="shared" si="183"/>
        <v>1.2786549930845453E-3</v>
      </c>
      <c r="AW79" s="11">
        <f t="shared" si="184"/>
        <v>3.5253330369939681E-7</v>
      </c>
      <c r="AX79" s="41">
        <f t="shared" ca="1" si="185"/>
        <v>2.1276171619680015</v>
      </c>
      <c r="AY79" s="41">
        <f t="shared" ca="1" si="186"/>
        <v>2.8659425877105402</v>
      </c>
      <c r="AZ79" s="41">
        <f t="shared" si="187"/>
        <v>0.35430464035867143</v>
      </c>
    </row>
    <row r="80" spans="1:52" ht="14.5">
      <c r="A80" s="41">
        <f t="shared" ca="1" si="144"/>
        <v>1220.4019155983578</v>
      </c>
      <c r="B80" s="41">
        <f t="shared" ca="1" si="145"/>
        <v>20.340031926639298</v>
      </c>
      <c r="C80" s="41">
        <f t="shared" ca="1" si="146"/>
        <v>0.33900053211065495</v>
      </c>
      <c r="D80" s="41">
        <f t="shared" ca="1" si="147"/>
        <v>12892.21660804346</v>
      </c>
      <c r="E80" s="41">
        <f t="shared" ca="1" si="148"/>
        <v>102.48096089169519</v>
      </c>
      <c r="F80" s="7">
        <f t="shared" si="149"/>
        <v>90.000000000000014</v>
      </c>
      <c r="G80" s="41"/>
      <c r="H80" s="7">
        <f t="shared" si="150"/>
        <v>18000</v>
      </c>
      <c r="I80" s="6">
        <v>15</v>
      </c>
      <c r="J80" s="41">
        <f t="shared" si="151"/>
        <v>0.5158343068733543</v>
      </c>
      <c r="K80" s="41">
        <f t="shared" si="152"/>
        <v>554.87268879171449</v>
      </c>
      <c r="L80" s="6">
        <f t="shared" si="140"/>
        <v>245</v>
      </c>
      <c r="M80" s="41">
        <f t="shared" si="153"/>
        <v>328.75319014607015</v>
      </c>
      <c r="N80" s="41">
        <f t="shared" si="154"/>
        <v>196.8385156375023</v>
      </c>
      <c r="O80" s="41">
        <f t="shared" si="155"/>
        <v>2012549.5282418809</v>
      </c>
      <c r="P80" s="41">
        <f t="shared" si="156"/>
        <v>12921982.158001004</v>
      </c>
      <c r="Q80" s="41">
        <f t="shared" si="157"/>
        <v>2.8142593213275591E-3</v>
      </c>
      <c r="R80" s="41">
        <f t="shared" si="158"/>
        <v>1.9061063126224184E-2</v>
      </c>
      <c r="S80" s="24">
        <f t="shared" ca="1" si="159"/>
        <v>1.0104974475178046E-15</v>
      </c>
      <c r="T80" s="10">
        <f t="shared" ca="1" si="160"/>
        <v>0</v>
      </c>
      <c r="U80" s="41">
        <f t="shared" ca="1" si="161"/>
        <v>0.28476701069201754</v>
      </c>
      <c r="V80" s="41">
        <f t="shared" ca="1" si="162"/>
        <v>2.4182583957247497E-2</v>
      </c>
      <c r="W80" s="41">
        <f t="shared" ca="1" si="163"/>
        <v>11.775706483453483</v>
      </c>
      <c r="X80" s="20">
        <f t="shared" ca="1" si="164"/>
        <v>1094.8147039974908</v>
      </c>
      <c r="Y80" s="41">
        <f t="shared" si="165"/>
        <v>0.54936851317696045</v>
      </c>
      <c r="Z80" s="41">
        <f t="shared" ca="1" si="166"/>
        <v>204.32830853939691</v>
      </c>
      <c r="AA80" s="14">
        <f t="shared" ca="1" si="167"/>
        <v>1094.8147039974908</v>
      </c>
      <c r="AB80" s="14">
        <f t="shared" si="114"/>
        <v>2916.5765113289031</v>
      </c>
      <c r="AC80" s="25">
        <f t="shared" ca="1" si="168"/>
        <v>607482.77853579272</v>
      </c>
      <c r="AD80" s="41">
        <f t="shared" si="169"/>
        <v>1618328.6509078268</v>
      </c>
      <c r="AE80" s="5">
        <f t="shared" ca="1" si="170"/>
        <v>37.537664441336794</v>
      </c>
      <c r="AF80" s="7">
        <f t="shared" ca="1" si="171"/>
        <v>1094.8147039974908</v>
      </c>
      <c r="AG80" s="41">
        <f t="shared" ca="1" si="172"/>
        <v>1821.7618073314122</v>
      </c>
      <c r="AH80" s="41">
        <f t="shared" ca="1" si="173"/>
        <v>1010845.8723720341</v>
      </c>
      <c r="AI80" s="41">
        <f t="shared" ca="1" si="174"/>
        <v>868.65629168364057</v>
      </c>
      <c r="AJ80" s="13">
        <f t="shared" ca="1" si="175"/>
        <v>0</v>
      </c>
      <c r="AK80" s="11"/>
      <c r="AL80" s="6">
        <v>0</v>
      </c>
      <c r="AM80" s="41">
        <f t="shared" si="176"/>
        <v>140.7916810332664</v>
      </c>
      <c r="AN80" s="41">
        <f t="shared" ca="1" si="177"/>
        <v>33.972105429517541</v>
      </c>
      <c r="AO80" s="6">
        <f t="shared" si="142"/>
        <v>12.857142857142858</v>
      </c>
      <c r="AP80" s="67">
        <f t="shared" si="143"/>
        <v>0.7934276809691363</v>
      </c>
      <c r="AQ80" s="11">
        <f t="shared" si="178"/>
        <v>0.92829992071837586</v>
      </c>
      <c r="AR80" s="11">
        <f t="shared" si="179"/>
        <v>0.49937958210548988</v>
      </c>
      <c r="AS80" s="11">
        <f t="shared" si="180"/>
        <v>0.53795068916847377</v>
      </c>
      <c r="AT80" s="11">
        <f t="shared" si="181"/>
        <v>481.48131987899995</v>
      </c>
      <c r="AU80" s="11">
        <f t="shared" si="182"/>
        <v>1056.7970592432796</v>
      </c>
      <c r="AV80" s="11">
        <f t="shared" si="183"/>
        <v>1.2786549930845453E-3</v>
      </c>
      <c r="AW80" s="11">
        <f t="shared" si="184"/>
        <v>3.5253330369939681E-7</v>
      </c>
      <c r="AX80" s="41">
        <f t="shared" ca="1" si="185"/>
        <v>2.1326903906737273</v>
      </c>
      <c r="AY80" s="41">
        <f t="shared" ca="1" si="186"/>
        <v>2.8727763275697757</v>
      </c>
      <c r="AZ80" s="41">
        <f t="shared" si="187"/>
        <v>0.35430464035867143</v>
      </c>
    </row>
    <row r="81" spans="1:52" ht="14.5">
      <c r="A81" s="41">
        <f t="shared" ca="1" si="144"/>
        <v>1361.1935966316241</v>
      </c>
      <c r="B81" s="41">
        <f t="shared" ca="1" si="145"/>
        <v>22.686559943860402</v>
      </c>
      <c r="C81" s="41">
        <f t="shared" ca="1" si="146"/>
        <v>0.37810933239767336</v>
      </c>
      <c r="D81" s="41">
        <f t="shared" ca="1" si="147"/>
        <v>12858.244502613943</v>
      </c>
      <c r="E81" s="41">
        <f t="shared" ca="1" si="148"/>
        <v>115.33810374883805</v>
      </c>
      <c r="F81" s="7">
        <f t="shared" si="149"/>
        <v>102.85714285714288</v>
      </c>
      <c r="G81" s="41"/>
      <c r="H81" s="7">
        <f t="shared" si="150"/>
        <v>18000</v>
      </c>
      <c r="I81" s="6">
        <v>15</v>
      </c>
      <c r="J81" s="41">
        <f t="shared" si="151"/>
        <v>0.5158343068733543</v>
      </c>
      <c r="K81" s="41">
        <f t="shared" si="152"/>
        <v>554.87268879171449</v>
      </c>
      <c r="L81" s="6">
        <f t="shared" si="140"/>
        <v>245</v>
      </c>
      <c r="M81" s="41">
        <f t="shared" si="153"/>
        <v>328.75319014607015</v>
      </c>
      <c r="N81" s="41">
        <f t="shared" si="154"/>
        <v>196.8385156375023</v>
      </c>
      <c r="O81" s="41">
        <f t="shared" si="155"/>
        <v>2012549.5282418809</v>
      </c>
      <c r="P81" s="41">
        <f t="shared" si="156"/>
        <v>12921982.158001004</v>
      </c>
      <c r="Q81" s="41">
        <f t="shared" si="157"/>
        <v>2.8142593213275591E-3</v>
      </c>
      <c r="R81" s="41">
        <f t="shared" si="158"/>
        <v>1.9061063126224184E-2</v>
      </c>
      <c r="S81" s="24">
        <f t="shared" ca="1" si="159"/>
        <v>1.013167230769815E-15</v>
      </c>
      <c r="T81" s="10">
        <f t="shared" ca="1" si="160"/>
        <v>0</v>
      </c>
      <c r="U81" s="41">
        <f t="shared" ca="1" si="161"/>
        <v>0.28401662499774977</v>
      </c>
      <c r="V81" s="41">
        <f t="shared" ca="1" si="162"/>
        <v>2.4155628219054748E-2</v>
      </c>
      <c r="W81" s="41">
        <f t="shared" ca="1" si="163"/>
        <v>11.757782593031804</v>
      </c>
      <c r="X81" s="20">
        <f t="shared" ca="1" si="164"/>
        <v>1093.5943406739229</v>
      </c>
      <c r="Y81" s="41">
        <f t="shared" si="165"/>
        <v>0.54936851317696045</v>
      </c>
      <c r="Z81" s="41">
        <f t="shared" ca="1" si="166"/>
        <v>204.05891957686811</v>
      </c>
      <c r="AA81" s="14">
        <f t="shared" ca="1" si="167"/>
        <v>1093.5943406739229</v>
      </c>
      <c r="AB81" s="14">
        <f t="shared" si="114"/>
        <v>2916.5765113289031</v>
      </c>
      <c r="AC81" s="25">
        <f t="shared" ca="1" si="168"/>
        <v>606805.63225714187</v>
      </c>
      <c r="AD81" s="41">
        <f t="shared" si="169"/>
        <v>1618328.6509078268</v>
      </c>
      <c r="AE81" s="5">
        <f t="shared" ca="1" si="170"/>
        <v>37.49582211973722</v>
      </c>
      <c r="AF81" s="7">
        <f t="shared" ca="1" si="171"/>
        <v>1093.5943406739229</v>
      </c>
      <c r="AG81" s="41">
        <f t="shared" ca="1" si="172"/>
        <v>1822.9821706549801</v>
      </c>
      <c r="AH81" s="41">
        <f t="shared" ca="1" si="173"/>
        <v>1011523.018650685</v>
      </c>
      <c r="AI81" s="41">
        <f t="shared" ca="1" si="174"/>
        <v>867.6880216418823</v>
      </c>
      <c r="AJ81" s="13">
        <f t="shared" ca="1" si="175"/>
        <v>0</v>
      </c>
      <c r="AK81" s="11"/>
      <c r="AL81" s="6">
        <v>0</v>
      </c>
      <c r="AM81" s="41">
        <f t="shared" si="176"/>
        <v>140.7916810332664</v>
      </c>
      <c r="AN81" s="41">
        <f t="shared" ca="1" si="177"/>
        <v>33.934237549830513</v>
      </c>
      <c r="AO81" s="6">
        <f t="shared" si="142"/>
        <v>12.857142857142858</v>
      </c>
      <c r="AP81" s="67">
        <f t="shared" si="143"/>
        <v>0.7934276809691363</v>
      </c>
      <c r="AQ81" s="11">
        <f t="shared" si="178"/>
        <v>0.92829992071837586</v>
      </c>
      <c r="AR81" s="11">
        <f t="shared" si="179"/>
        <v>0.49937958210548988</v>
      </c>
      <c r="AS81" s="11">
        <f t="shared" si="180"/>
        <v>0.53795068916847377</v>
      </c>
      <c r="AT81" s="11">
        <f t="shared" si="181"/>
        <v>481.48131987899995</v>
      </c>
      <c r="AU81" s="11">
        <f t="shared" si="182"/>
        <v>1056.7970592432796</v>
      </c>
      <c r="AV81" s="11">
        <f t="shared" si="183"/>
        <v>1.2786549930845453E-3</v>
      </c>
      <c r="AW81" s="11">
        <f t="shared" si="184"/>
        <v>3.5253330369939681E-7</v>
      </c>
      <c r="AX81" s="41">
        <f t="shared" ca="1" si="185"/>
        <v>2.1377862553043876</v>
      </c>
      <c r="AY81" s="41">
        <f t="shared" ca="1" si="186"/>
        <v>2.8796405584696187</v>
      </c>
      <c r="AZ81" s="41">
        <f t="shared" si="187"/>
        <v>0.35430464035867143</v>
      </c>
    </row>
    <row r="82" spans="1:52" ht="14.5">
      <c r="A82" s="41">
        <f t="shared" ca="1" si="144"/>
        <v>1501.9852776648904</v>
      </c>
      <c r="B82" s="41">
        <f t="shared" ca="1" si="145"/>
        <v>25.033087961081506</v>
      </c>
      <c r="C82" s="41">
        <f t="shared" ca="1" si="146"/>
        <v>0.41721813268469177</v>
      </c>
      <c r="D82" s="41">
        <f t="shared" ca="1" si="147"/>
        <v>12824.310265064112</v>
      </c>
      <c r="E82" s="41">
        <f t="shared" ca="1" si="148"/>
        <v>128.19524660598091</v>
      </c>
      <c r="F82" s="7">
        <f t="shared" si="149"/>
        <v>115.71428571428574</v>
      </c>
      <c r="G82" s="41"/>
      <c r="H82" s="7">
        <f t="shared" si="150"/>
        <v>18000</v>
      </c>
      <c r="I82" s="6">
        <v>15</v>
      </c>
      <c r="J82" s="41">
        <f t="shared" si="151"/>
        <v>0.5158343068733543</v>
      </c>
      <c r="K82" s="41">
        <f t="shared" si="152"/>
        <v>554.87268879171449</v>
      </c>
      <c r="L82" s="6">
        <f t="shared" si="140"/>
        <v>245</v>
      </c>
      <c r="M82" s="41">
        <f t="shared" si="153"/>
        <v>328.75319014607015</v>
      </c>
      <c r="N82" s="41">
        <f t="shared" si="154"/>
        <v>196.8385156375023</v>
      </c>
      <c r="O82" s="41">
        <f t="shared" si="155"/>
        <v>2012549.5282418809</v>
      </c>
      <c r="P82" s="41">
        <f t="shared" si="156"/>
        <v>12921982.158001004</v>
      </c>
      <c r="Q82" s="41">
        <f t="shared" si="157"/>
        <v>2.8142593213275591E-3</v>
      </c>
      <c r="R82" s="41">
        <f t="shared" si="158"/>
        <v>1.9061063126224184E-2</v>
      </c>
      <c r="S82" s="24">
        <f t="shared" ca="1" si="159"/>
        <v>2.0316963183219486E-15</v>
      </c>
      <c r="T82" s="10">
        <f t="shared" ca="1" si="160"/>
        <v>2.0316963183219486E-15</v>
      </c>
      <c r="U82" s="41">
        <f t="shared" ca="1" si="161"/>
        <v>0.28326707574016519</v>
      </c>
      <c r="V82" s="41">
        <f t="shared" ca="1" si="162"/>
        <v>2.4128773533301218E-2</v>
      </c>
      <c r="W82" s="41">
        <f t="shared" ca="1" si="163"/>
        <v>11.739804153295044</v>
      </c>
      <c r="X82" s="20">
        <f t="shared" ca="1" si="164"/>
        <v>1092.3785522831465</v>
      </c>
      <c r="Y82" s="41">
        <f t="shared" si="165"/>
        <v>0.54936851317696045</v>
      </c>
      <c r="Z82" s="41">
        <f t="shared" ca="1" si="166"/>
        <v>203.7894753863514</v>
      </c>
      <c r="AA82" s="14">
        <f t="shared" ca="1" si="167"/>
        <v>1092.3785522831467</v>
      </c>
      <c r="AB82" s="14">
        <f t="shared" si="114"/>
        <v>2916.5765113289031</v>
      </c>
      <c r="AC82" s="25">
        <f t="shared" ca="1" si="168"/>
        <v>606131.02448375011</v>
      </c>
      <c r="AD82" s="41">
        <f t="shared" si="169"/>
        <v>1618328.6509078268</v>
      </c>
      <c r="AE82" s="5">
        <f t="shared" ca="1" si="170"/>
        <v>37.454136657824819</v>
      </c>
      <c r="AF82" s="7">
        <f t="shared" ca="1" si="171"/>
        <v>1092.378552283147</v>
      </c>
      <c r="AG82" s="41">
        <f t="shared" ca="1" si="172"/>
        <v>1824.1979590457563</v>
      </c>
      <c r="AH82" s="41">
        <f t="shared" ca="1" si="173"/>
        <v>1012197.6264240767</v>
      </c>
      <c r="AI82" s="41">
        <f t="shared" ca="1" si="174"/>
        <v>866.72338147843971</v>
      </c>
      <c r="AJ82" s="13">
        <f t="shared" ca="1" si="175"/>
        <v>1.9675669107497235E-14</v>
      </c>
      <c r="AK82" s="11"/>
      <c r="AL82" s="6">
        <v>0</v>
      </c>
      <c r="AM82" s="41">
        <f t="shared" si="176"/>
        <v>140.7916810332664</v>
      </c>
      <c r="AN82" s="41">
        <f t="shared" ca="1" si="177"/>
        <v>33.896511630329599</v>
      </c>
      <c r="AO82" s="6">
        <f t="shared" si="142"/>
        <v>12.857142857142858</v>
      </c>
      <c r="AP82" s="67">
        <f t="shared" si="143"/>
        <v>0.7934276809691363</v>
      </c>
      <c r="AQ82" s="11">
        <f t="shared" si="178"/>
        <v>0.92829992071837586</v>
      </c>
      <c r="AR82" s="11">
        <f t="shared" si="179"/>
        <v>0.49937958210548988</v>
      </c>
      <c r="AS82" s="11">
        <f t="shared" si="180"/>
        <v>0.53795068916847377</v>
      </c>
      <c r="AT82" s="11">
        <f t="shared" si="181"/>
        <v>481.48131987899995</v>
      </c>
      <c r="AU82" s="11">
        <f t="shared" si="182"/>
        <v>1056.7970592432796</v>
      </c>
      <c r="AV82" s="11">
        <f t="shared" si="183"/>
        <v>1.2786549930845453E-3</v>
      </c>
      <c r="AW82" s="11">
        <f t="shared" si="184"/>
        <v>3.5253330369939681E-7</v>
      </c>
      <c r="AX82" s="41">
        <f t="shared" ca="1" si="185"/>
        <v>2.1429049061714753</v>
      </c>
      <c r="AY82" s="41">
        <f t="shared" ca="1" si="186"/>
        <v>2.8865354828826364</v>
      </c>
      <c r="AZ82" s="41">
        <f t="shared" si="187"/>
        <v>0.35430464035867143</v>
      </c>
    </row>
    <row r="83" spans="1:52" ht="14.5">
      <c r="A83" s="41">
        <f t="shared" ca="1" si="144"/>
        <v>1642.7769586981567</v>
      </c>
      <c r="B83" s="41">
        <f t="shared" ca="1" si="145"/>
        <v>27.379615978302613</v>
      </c>
      <c r="C83" s="41">
        <f t="shared" ca="1" si="146"/>
        <v>0.45632693297171023</v>
      </c>
      <c r="D83" s="41">
        <f t="shared" ca="1" si="147"/>
        <v>12790.413753433782</v>
      </c>
      <c r="E83" s="41">
        <f t="shared" ca="1" si="148"/>
        <v>141.05238946312377</v>
      </c>
      <c r="F83" s="7">
        <f t="shared" si="149"/>
        <v>128.57142857142858</v>
      </c>
      <c r="G83" s="41"/>
      <c r="H83" s="7">
        <f t="shared" si="150"/>
        <v>18000</v>
      </c>
      <c r="I83" s="6">
        <v>15</v>
      </c>
      <c r="J83" s="41">
        <f t="shared" si="151"/>
        <v>0.5158343068733543</v>
      </c>
      <c r="K83" s="41">
        <f t="shared" si="152"/>
        <v>554.87268879171449</v>
      </c>
      <c r="L83" s="6">
        <f t="shared" si="140"/>
        <v>245</v>
      </c>
      <c r="M83" s="41">
        <f t="shared" si="153"/>
        <v>328.75319014607015</v>
      </c>
      <c r="N83" s="41">
        <f t="shared" si="154"/>
        <v>196.8385156375023</v>
      </c>
      <c r="O83" s="41">
        <f t="shared" si="155"/>
        <v>2012549.5282418809</v>
      </c>
      <c r="P83" s="41">
        <f t="shared" si="156"/>
        <v>12921982.158001004</v>
      </c>
      <c r="Q83" s="41">
        <f t="shared" si="157"/>
        <v>2.8142593213275591E-3</v>
      </c>
      <c r="R83" s="41">
        <f t="shared" si="158"/>
        <v>1.9061063126224184E-2</v>
      </c>
      <c r="S83" s="24">
        <f t="shared" ca="1" si="159"/>
        <v>1.0185403088916586E-15</v>
      </c>
      <c r="T83" s="10">
        <f t="shared" ca="1" si="160"/>
        <v>0</v>
      </c>
      <c r="U83" s="41">
        <f t="shared" ca="1" si="161"/>
        <v>0.28251835978360629</v>
      </c>
      <c r="V83" s="41">
        <f t="shared" ca="1" si="162"/>
        <v>2.4102019550511396E-2</v>
      </c>
      <c r="W83" s="41">
        <f t="shared" ca="1" si="163"/>
        <v>11.721771247904071</v>
      </c>
      <c r="X83" s="20">
        <f t="shared" ca="1" si="164"/>
        <v>1091.1673230034064</v>
      </c>
      <c r="Y83" s="41">
        <f t="shared" si="165"/>
        <v>0.54936851317696045</v>
      </c>
      <c r="Z83" s="41">
        <f t="shared" ca="1" si="166"/>
        <v>203.51997461906529</v>
      </c>
      <c r="AA83" s="14">
        <f t="shared" ca="1" si="167"/>
        <v>1091.1673230034064</v>
      </c>
      <c r="AB83" s="14">
        <f t="shared" si="114"/>
        <v>2916.5765113289031</v>
      </c>
      <c r="AC83" s="25">
        <f t="shared" ca="1" si="168"/>
        <v>605458.94643655734</v>
      </c>
      <c r="AD83" s="41">
        <f t="shared" si="169"/>
        <v>1618328.6509078268</v>
      </c>
      <c r="AE83" s="5">
        <f t="shared" ca="1" si="170"/>
        <v>37.412607513122609</v>
      </c>
      <c r="AF83" s="7">
        <f t="shared" ca="1" si="171"/>
        <v>1091.1673230034064</v>
      </c>
      <c r="AG83" s="41">
        <f t="shared" ca="1" si="172"/>
        <v>1825.4091883254966</v>
      </c>
      <c r="AH83" s="41">
        <f t="shared" ca="1" si="173"/>
        <v>1012869.7044712695</v>
      </c>
      <c r="AI83" s="41">
        <f t="shared" ca="1" si="174"/>
        <v>865.76235863989325</v>
      </c>
      <c r="AJ83" s="13">
        <f t="shared" ca="1" si="175"/>
        <v>0</v>
      </c>
      <c r="AK83" s="11"/>
      <c r="AL83" s="6">
        <v>0</v>
      </c>
      <c r="AM83" s="41">
        <f t="shared" si="176"/>
        <v>140.7916810332664</v>
      </c>
      <c r="AN83" s="41">
        <f t="shared" ca="1" si="177"/>
        <v>33.858927180065621</v>
      </c>
      <c r="AO83" s="6">
        <f t="shared" si="142"/>
        <v>12.857142857142858</v>
      </c>
      <c r="AP83" s="67">
        <f t="shared" si="143"/>
        <v>0.7934276809691363</v>
      </c>
      <c r="AQ83" s="11">
        <f t="shared" si="178"/>
        <v>0.92829992071837586</v>
      </c>
      <c r="AR83" s="11">
        <f t="shared" si="179"/>
        <v>0.49937958210548988</v>
      </c>
      <c r="AS83" s="11">
        <f t="shared" si="180"/>
        <v>0.53795068916847377</v>
      </c>
      <c r="AT83" s="11">
        <f t="shared" si="181"/>
        <v>481.48131987899995</v>
      </c>
      <c r="AU83" s="11">
        <f t="shared" si="182"/>
        <v>1056.7970592432796</v>
      </c>
      <c r="AV83" s="11">
        <f t="shared" si="183"/>
        <v>1.2786549930845453E-3</v>
      </c>
      <c r="AW83" s="11">
        <f t="shared" si="184"/>
        <v>3.5253330369939681E-7</v>
      </c>
      <c r="AX83" s="41">
        <f t="shared" ca="1" si="185"/>
        <v>2.1480464949682436</v>
      </c>
      <c r="AY83" s="41">
        <f t="shared" ca="1" si="186"/>
        <v>2.8934613051426541</v>
      </c>
      <c r="AZ83" s="41">
        <f t="shared" si="187"/>
        <v>0.35430464035867143</v>
      </c>
    </row>
    <row r="84" spans="1:52" ht="14.5">
      <c r="A84" s="41">
        <f t="shared" ca="1" si="144"/>
        <v>1783.568639731423</v>
      </c>
      <c r="B84" s="41">
        <f t="shared" ca="1" si="145"/>
        <v>29.726143995523717</v>
      </c>
      <c r="C84" s="41">
        <f t="shared" ca="1" si="146"/>
        <v>0.49543573325872864</v>
      </c>
      <c r="D84" s="41">
        <f t="shared" ca="1" si="147"/>
        <v>12756.554826253716</v>
      </c>
      <c r="E84" s="41">
        <f t="shared" ca="1" si="148"/>
        <v>153.90953232026663</v>
      </c>
      <c r="F84" s="7">
        <f t="shared" si="149"/>
        <v>141.42857142857144</v>
      </c>
      <c r="G84" s="41"/>
      <c r="H84" s="7">
        <f t="shared" si="150"/>
        <v>18000</v>
      </c>
      <c r="I84" s="6">
        <v>15</v>
      </c>
      <c r="J84" s="41">
        <f t="shared" si="151"/>
        <v>0.5158343068733543</v>
      </c>
      <c r="K84" s="41">
        <f t="shared" si="152"/>
        <v>554.87268879171449</v>
      </c>
      <c r="L84" s="6">
        <f t="shared" si="140"/>
        <v>245</v>
      </c>
      <c r="M84" s="41">
        <f t="shared" si="153"/>
        <v>328.75319014607015</v>
      </c>
      <c r="N84" s="41">
        <f t="shared" si="154"/>
        <v>196.8385156375023</v>
      </c>
      <c r="O84" s="41">
        <f t="shared" si="155"/>
        <v>2012549.5282418809</v>
      </c>
      <c r="P84" s="41">
        <f t="shared" si="156"/>
        <v>12921982.158001004</v>
      </c>
      <c r="Q84" s="41">
        <f t="shared" si="157"/>
        <v>2.8142593213275591E-3</v>
      </c>
      <c r="R84" s="41">
        <f t="shared" si="158"/>
        <v>1.9061063126224184E-2</v>
      </c>
      <c r="S84" s="24">
        <f t="shared" ca="1" si="159"/>
        <v>1.0212437568537803E-15</v>
      </c>
      <c r="T84" s="10">
        <f t="shared" ca="1" si="160"/>
        <v>0</v>
      </c>
      <c r="U84" s="41">
        <f t="shared" ca="1" si="161"/>
        <v>0.2817704740032595</v>
      </c>
      <c r="V84" s="41">
        <f t="shared" ca="1" si="162"/>
        <v>2.4075365923045735E-2</v>
      </c>
      <c r="W84" s="41">
        <f t="shared" ca="1" si="163"/>
        <v>11.703683960771682</v>
      </c>
      <c r="X84" s="20">
        <f t="shared" ca="1" si="164"/>
        <v>1089.9606370960664</v>
      </c>
      <c r="Y84" s="41">
        <f t="shared" si="165"/>
        <v>0.54936851317696045</v>
      </c>
      <c r="Z84" s="41">
        <f t="shared" ca="1" si="166"/>
        <v>203.2504159229392</v>
      </c>
      <c r="AA84" s="14">
        <f t="shared" ca="1" si="167"/>
        <v>1089.9606370960664</v>
      </c>
      <c r="AB84" s="14">
        <f t="shared" si="114"/>
        <v>2916.5765113289031</v>
      </c>
      <c r="AC84" s="25">
        <f t="shared" ca="1" si="168"/>
        <v>604789.38938262453</v>
      </c>
      <c r="AD84" s="41">
        <f t="shared" si="169"/>
        <v>1618328.6509078268</v>
      </c>
      <c r="AE84" s="5">
        <f t="shared" ca="1" si="170"/>
        <v>37.371234146003559</v>
      </c>
      <c r="AF84" s="7">
        <f t="shared" ca="1" si="171"/>
        <v>1089.9606370960664</v>
      </c>
      <c r="AG84" s="41">
        <f t="shared" ca="1" si="172"/>
        <v>1826.6158742328366</v>
      </c>
      <c r="AH84" s="41">
        <f t="shared" ca="1" si="173"/>
        <v>1013539.2615252023</v>
      </c>
      <c r="AI84" s="41">
        <f t="shared" ca="1" si="174"/>
        <v>864.80494063877438</v>
      </c>
      <c r="AJ84" s="13">
        <f t="shared" ca="1" si="175"/>
        <v>0</v>
      </c>
      <c r="AK84" s="11"/>
      <c r="AL84" s="6">
        <v>0</v>
      </c>
      <c r="AM84" s="41">
        <f t="shared" si="176"/>
        <v>140.7916810332664</v>
      </c>
      <c r="AN84" s="41">
        <f t="shared" ca="1" si="177"/>
        <v>33.821483710668666</v>
      </c>
      <c r="AO84" s="6">
        <f t="shared" si="142"/>
        <v>12.857142857142858</v>
      </c>
      <c r="AP84" s="67">
        <f t="shared" si="143"/>
        <v>0.7934276809691363</v>
      </c>
      <c r="AQ84" s="11">
        <f t="shared" si="178"/>
        <v>0.92829992071837586</v>
      </c>
      <c r="AR84" s="11">
        <f t="shared" si="179"/>
        <v>0.49937958210548988</v>
      </c>
      <c r="AS84" s="11">
        <f t="shared" si="180"/>
        <v>0.53795068916847377</v>
      </c>
      <c r="AT84" s="11">
        <f t="shared" si="181"/>
        <v>481.48131987899995</v>
      </c>
      <c r="AU84" s="11">
        <f t="shared" si="182"/>
        <v>1056.7970592432796</v>
      </c>
      <c r="AV84" s="11">
        <f t="shared" si="183"/>
        <v>1.2786549930845453E-3</v>
      </c>
      <c r="AW84" s="11">
        <f t="shared" si="184"/>
        <v>3.5253330369939681E-7</v>
      </c>
      <c r="AX84" s="41">
        <f t="shared" ca="1" si="185"/>
        <v>2.1532111747852953</v>
      </c>
      <c r="AY84" s="41">
        <f t="shared" ca="1" si="186"/>
        <v>2.9004182314657556</v>
      </c>
      <c r="AZ84" s="41">
        <f t="shared" si="187"/>
        <v>0.35430464035867143</v>
      </c>
    </row>
    <row r="85" spans="1:52" ht="14.5">
      <c r="A85" s="41">
        <f t="shared" ca="1" si="144"/>
        <v>1924.3603207646893</v>
      </c>
      <c r="B85" s="41">
        <f t="shared" ca="1" si="145"/>
        <v>32.072672012744825</v>
      </c>
      <c r="C85" s="41">
        <f t="shared" ca="1" si="146"/>
        <v>0.53454453354574705</v>
      </c>
      <c r="D85" s="41">
        <f t="shared" ca="1" si="147"/>
        <v>12722.733342543048</v>
      </c>
      <c r="E85" s="41">
        <f t="shared" ca="1" si="148"/>
        <v>166.7666751774095</v>
      </c>
      <c r="F85" s="7">
        <f t="shared" si="149"/>
        <v>154.28571428571431</v>
      </c>
      <c r="G85" s="41"/>
      <c r="H85" s="7">
        <f t="shared" si="150"/>
        <v>18000</v>
      </c>
      <c r="I85" s="6">
        <v>15</v>
      </c>
      <c r="J85" s="41">
        <f t="shared" si="151"/>
        <v>0.5158343068733543</v>
      </c>
      <c r="K85" s="41">
        <f t="shared" si="152"/>
        <v>554.87268879171449</v>
      </c>
      <c r="L85" s="6">
        <f t="shared" si="140"/>
        <v>245</v>
      </c>
      <c r="M85" s="41">
        <f t="shared" si="153"/>
        <v>328.75319014607015</v>
      </c>
      <c r="N85" s="41">
        <f t="shared" si="154"/>
        <v>196.8385156375023</v>
      </c>
      <c r="O85" s="41">
        <f t="shared" si="155"/>
        <v>2012549.5282418809</v>
      </c>
      <c r="P85" s="41">
        <f t="shared" si="156"/>
        <v>12921982.158001004</v>
      </c>
      <c r="Q85" s="41">
        <f t="shared" si="157"/>
        <v>2.8142593213275591E-3</v>
      </c>
      <c r="R85" s="41">
        <f t="shared" si="158"/>
        <v>1.9061063126224184E-2</v>
      </c>
      <c r="S85" s="24">
        <f t="shared" ca="1" si="159"/>
        <v>1.0239585806386624E-15</v>
      </c>
      <c r="T85" s="10">
        <f t="shared" ca="1" si="160"/>
        <v>1.0239585806386624E-15</v>
      </c>
      <c r="U85" s="41">
        <f t="shared" ca="1" si="161"/>
        <v>0.28102341528509872</v>
      </c>
      <c r="V85" s="41">
        <f t="shared" ca="1" si="162"/>
        <v>2.4048812305090206E-2</v>
      </c>
      <c r="W85" s="41">
        <f t="shared" ca="1" si="163"/>
        <v>11.685542376062243</v>
      </c>
      <c r="X85" s="20">
        <f t="shared" ca="1" si="164"/>
        <v>1088.7584789051368</v>
      </c>
      <c r="Y85" s="41">
        <f t="shared" si="165"/>
        <v>0.54936851317696045</v>
      </c>
      <c r="Z85" s="41">
        <f t="shared" ca="1" si="166"/>
        <v>202.98079794256725</v>
      </c>
      <c r="AA85" s="14">
        <f t="shared" ca="1" si="167"/>
        <v>1088.7584789051371</v>
      </c>
      <c r="AB85" s="14">
        <f t="shared" si="114"/>
        <v>2916.5765113289031</v>
      </c>
      <c r="AC85" s="25">
        <f t="shared" ca="1" si="168"/>
        <v>604122.34463487053</v>
      </c>
      <c r="AD85" s="41">
        <f t="shared" si="169"/>
        <v>1618328.6509078268</v>
      </c>
      <c r="AE85" s="5">
        <f t="shared" ca="1" si="170"/>
        <v>37.330016019674289</v>
      </c>
      <c r="AF85" s="7">
        <f t="shared" ca="1" si="171"/>
        <v>1088.7584789051371</v>
      </c>
      <c r="AG85" s="41">
        <f t="shared" ca="1" si="172"/>
        <v>1827.818032423766</v>
      </c>
      <c r="AH85" s="41">
        <f t="shared" ca="1" si="173"/>
        <v>1014206.3062729563</v>
      </c>
      <c r="AI85" s="41">
        <f t="shared" ca="1" si="174"/>
        <v>863.85111505318719</v>
      </c>
      <c r="AJ85" s="13">
        <f t="shared" ca="1" si="175"/>
        <v>9.9163787573671632E-15</v>
      </c>
      <c r="AK85" s="11"/>
      <c r="AL85" s="6">
        <v>0</v>
      </c>
      <c r="AM85" s="41">
        <f t="shared" si="176"/>
        <v>140.7916810332664</v>
      </c>
      <c r="AN85" s="41">
        <f t="shared" ca="1" si="177"/>
        <v>33.78418073633329</v>
      </c>
      <c r="AO85" s="6">
        <f t="shared" si="142"/>
        <v>12.857142857142858</v>
      </c>
      <c r="AP85" s="67">
        <f t="shared" si="143"/>
        <v>0.7934276809691363</v>
      </c>
      <c r="AQ85" s="11">
        <f t="shared" si="178"/>
        <v>0.92829992071837586</v>
      </c>
      <c r="AR85" s="11">
        <f t="shared" si="179"/>
        <v>0.49937958210548988</v>
      </c>
      <c r="AS85" s="11">
        <f t="shared" si="180"/>
        <v>0.53795068916847377</v>
      </c>
      <c r="AT85" s="11">
        <f t="shared" si="181"/>
        <v>481.48131987899995</v>
      </c>
      <c r="AU85" s="11">
        <f t="shared" si="182"/>
        <v>1056.7970592432796</v>
      </c>
      <c r="AV85" s="11">
        <f t="shared" si="183"/>
        <v>1.2786549930845453E-3</v>
      </c>
      <c r="AW85" s="11">
        <f t="shared" si="184"/>
        <v>3.5253330369939681E-7</v>
      </c>
      <c r="AX85" s="41">
        <f t="shared" ca="1" si="185"/>
        <v>2.1583991001263731</v>
      </c>
      <c r="AY85" s="41">
        <f t="shared" ca="1" si="186"/>
        <v>2.9074064699715518</v>
      </c>
      <c r="AZ85" s="41">
        <f t="shared" si="187"/>
        <v>0.35430464035867143</v>
      </c>
    </row>
    <row r="86" spans="1:52" ht="14.5">
      <c r="A86" s="41">
        <f t="shared" ca="1" si="144"/>
        <v>2065.1520017979556</v>
      </c>
      <c r="B86" s="41">
        <f t="shared" ca="1" si="145"/>
        <v>34.419200029965928</v>
      </c>
      <c r="C86" s="41">
        <f t="shared" ca="1" si="146"/>
        <v>0.57365333383276551</v>
      </c>
      <c r="D86" s="41">
        <f t="shared" ca="1" si="147"/>
        <v>12688.949161806715</v>
      </c>
      <c r="E86" s="41">
        <f t="shared" ca="1" si="148"/>
        <v>179.62381803455236</v>
      </c>
      <c r="F86" s="7">
        <f t="shared" si="149"/>
        <v>167.14285714285717</v>
      </c>
      <c r="G86" s="41"/>
      <c r="H86" s="7">
        <f t="shared" si="150"/>
        <v>18000</v>
      </c>
      <c r="I86" s="6">
        <v>15</v>
      </c>
      <c r="J86" s="41">
        <f t="shared" si="151"/>
        <v>0.5158343068733543</v>
      </c>
      <c r="K86" s="41">
        <f t="shared" si="152"/>
        <v>554.87268879171449</v>
      </c>
      <c r="L86" s="6">
        <f t="shared" si="140"/>
        <v>245</v>
      </c>
      <c r="M86" s="41">
        <f t="shared" si="153"/>
        <v>328.75319014607015</v>
      </c>
      <c r="N86" s="41">
        <f t="shared" si="154"/>
        <v>196.8385156375023</v>
      </c>
      <c r="O86" s="41">
        <f t="shared" si="155"/>
        <v>2012549.5282418809</v>
      </c>
      <c r="P86" s="41">
        <f t="shared" si="156"/>
        <v>12921982.158001004</v>
      </c>
      <c r="Q86" s="41">
        <f t="shared" si="157"/>
        <v>2.8142593213275591E-3</v>
      </c>
      <c r="R86" s="41">
        <f t="shared" si="158"/>
        <v>1.9061063126224184E-2</v>
      </c>
      <c r="S86" s="24">
        <f t="shared" ca="1" si="159"/>
        <v>1.0266848585450268E-15</v>
      </c>
      <c r="T86" s="10">
        <f t="shared" ca="1" si="160"/>
        <v>0</v>
      </c>
      <c r="U86" s="41">
        <f t="shared" ca="1" si="161"/>
        <v>0.2802771805258284</v>
      </c>
      <c r="V86" s="41">
        <f t="shared" ca="1" si="162"/>
        <v>2.4022358352645913E-2</v>
      </c>
      <c r="W86" s="41">
        <f t="shared" ca="1" si="163"/>
        <v>11.667346578191296</v>
      </c>
      <c r="X86" s="20">
        <f t="shared" ca="1" si="164"/>
        <v>1087.5608328568046</v>
      </c>
      <c r="Y86" s="41">
        <f t="shared" si="165"/>
        <v>0.54936851317696045</v>
      </c>
      <c r="Z86" s="41">
        <f t="shared" ca="1" si="166"/>
        <v>202.71111931916184</v>
      </c>
      <c r="AA86" s="14">
        <f t="shared" ca="1" si="167"/>
        <v>1087.5608328568046</v>
      </c>
      <c r="AB86" s="14">
        <f t="shared" si="114"/>
        <v>2916.5765113289031</v>
      </c>
      <c r="AC86" s="25">
        <f t="shared" ca="1" si="168"/>
        <v>603457.80355181161</v>
      </c>
      <c r="AD86" s="41">
        <f t="shared" si="169"/>
        <v>1618328.6509078268</v>
      </c>
      <c r="AE86" s="5">
        <f t="shared" ca="1" si="170"/>
        <v>37.288952600158964</v>
      </c>
      <c r="AF86" s="7">
        <f t="shared" ca="1" si="171"/>
        <v>1087.5608328568046</v>
      </c>
      <c r="AG86" s="41">
        <f t="shared" ca="1" si="172"/>
        <v>1829.0156784720984</v>
      </c>
      <c r="AH86" s="41">
        <f t="shared" ca="1" si="173"/>
        <v>1014870.8473560152</v>
      </c>
      <c r="AI86" s="41">
        <f t="shared" ca="1" si="174"/>
        <v>862.90086952643696</v>
      </c>
      <c r="AJ86" s="13">
        <f t="shared" ca="1" si="175"/>
        <v>0</v>
      </c>
      <c r="AK86" s="11"/>
      <c r="AL86" s="6">
        <v>0</v>
      </c>
      <c r="AM86" s="41">
        <f t="shared" si="176"/>
        <v>140.7916810332664</v>
      </c>
      <c r="AN86" s="41">
        <f t="shared" ca="1" si="177"/>
        <v>33.747017773803982</v>
      </c>
      <c r="AO86" s="6">
        <f t="shared" si="142"/>
        <v>12.857142857142858</v>
      </c>
      <c r="AP86" s="67">
        <f t="shared" si="143"/>
        <v>0.7934276809691363</v>
      </c>
      <c r="AQ86" s="11">
        <f t="shared" si="178"/>
        <v>0.92829992071837586</v>
      </c>
      <c r="AR86" s="11">
        <f t="shared" si="179"/>
        <v>0.49937958210548988</v>
      </c>
      <c r="AS86" s="11">
        <f t="shared" si="180"/>
        <v>0.53795068916847377</v>
      </c>
      <c r="AT86" s="11">
        <f t="shared" si="181"/>
        <v>481.48131987899995</v>
      </c>
      <c r="AU86" s="11">
        <f t="shared" si="182"/>
        <v>1056.7970592432796</v>
      </c>
      <c r="AV86" s="11">
        <f t="shared" si="183"/>
        <v>1.2786549930845453E-3</v>
      </c>
      <c r="AW86" s="11">
        <f t="shared" si="184"/>
        <v>3.5253330369939681E-7</v>
      </c>
      <c r="AX86" s="41">
        <f t="shared" ca="1" si="185"/>
        <v>2.1636104269243943</v>
      </c>
      <c r="AY86" s="41">
        <f t="shared" ca="1" si="186"/>
        <v>2.9144262307047804</v>
      </c>
      <c r="AZ86" s="41">
        <f t="shared" si="187"/>
        <v>0.35430464035867143</v>
      </c>
    </row>
    <row r="87" spans="1:52" ht="14.5">
      <c r="A87" s="41">
        <f t="shared" ca="1" si="144"/>
        <v>2205.9436828312218</v>
      </c>
      <c r="B87" s="41">
        <f t="shared" ca="1" si="145"/>
        <v>36.765728047187032</v>
      </c>
      <c r="C87" s="41">
        <f t="shared" ca="1" si="146"/>
        <v>0.61276213411978386</v>
      </c>
      <c r="D87" s="41">
        <f t="shared" ca="1" si="147"/>
        <v>12655.202144032912</v>
      </c>
      <c r="E87" s="41">
        <f t="shared" ca="1" si="148"/>
        <v>192.48096089169522</v>
      </c>
      <c r="F87" s="7">
        <f t="shared" si="149"/>
        <v>180.00000000000003</v>
      </c>
      <c r="G87" s="41"/>
      <c r="H87" s="7">
        <f t="shared" si="150"/>
        <v>18000</v>
      </c>
      <c r="I87" s="6">
        <v>15</v>
      </c>
      <c r="J87" s="41">
        <f t="shared" si="151"/>
        <v>0.5158343068733543</v>
      </c>
      <c r="K87" s="41">
        <f t="shared" si="152"/>
        <v>554.87268879171449</v>
      </c>
      <c r="L87" s="6">
        <f t="shared" si="140"/>
        <v>245</v>
      </c>
      <c r="M87" s="41">
        <f t="shared" si="153"/>
        <v>328.75319014607015</v>
      </c>
      <c r="N87" s="41">
        <f t="shared" si="154"/>
        <v>196.8385156375023</v>
      </c>
      <c r="O87" s="41">
        <f t="shared" si="155"/>
        <v>2012549.5282418809</v>
      </c>
      <c r="P87" s="41">
        <f t="shared" si="156"/>
        <v>12921982.158001004</v>
      </c>
      <c r="Q87" s="41">
        <f t="shared" si="157"/>
        <v>2.8142593213275591E-3</v>
      </c>
      <c r="R87" s="41">
        <f t="shared" si="158"/>
        <v>1.9061063126224184E-2</v>
      </c>
      <c r="S87" s="24">
        <f t="shared" ca="1" si="159"/>
        <v>1.0294226695870853E-15</v>
      </c>
      <c r="T87" s="10">
        <f t="shared" ca="1" si="160"/>
        <v>0</v>
      </c>
      <c r="U87" s="41">
        <f t="shared" ca="1" si="161"/>
        <v>0.27953176663282719</v>
      </c>
      <c r="V87" s="41">
        <f t="shared" ca="1" si="162"/>
        <v>2.3996003723518854E-2</v>
      </c>
      <c r="W87" s="41">
        <f t="shared" ca="1" si="163"/>
        <v>11.649096651825145</v>
      </c>
      <c r="X87" s="20">
        <f t="shared" ca="1" si="164"/>
        <v>1086.3676834589687</v>
      </c>
      <c r="Y87" s="41">
        <f t="shared" si="165"/>
        <v>0.54936851317696045</v>
      </c>
      <c r="Z87" s="41">
        <f t="shared" ca="1" si="166"/>
        <v>202.44137869050644</v>
      </c>
      <c r="AA87" s="14">
        <f t="shared" ca="1" si="167"/>
        <v>1086.3676834589687</v>
      </c>
      <c r="AB87" s="14">
        <f t="shared" si="114"/>
        <v>2916.5765113289031</v>
      </c>
      <c r="AC87" s="25">
        <f t="shared" ca="1" si="168"/>
        <v>602795.75753730419</v>
      </c>
      <c r="AD87" s="41">
        <f t="shared" si="169"/>
        <v>1618328.6509078268</v>
      </c>
      <c r="AE87" s="5">
        <f t="shared" ca="1" si="170"/>
        <v>37.248043356283439</v>
      </c>
      <c r="AF87" s="7">
        <f t="shared" ca="1" si="171"/>
        <v>1086.3676834589687</v>
      </c>
      <c r="AG87" s="41">
        <f t="shared" ca="1" si="172"/>
        <v>1830.2088278699343</v>
      </c>
      <c r="AH87" s="41">
        <f t="shared" ca="1" si="173"/>
        <v>1015532.8933705227</v>
      </c>
      <c r="AI87" s="41">
        <f t="shared" ca="1" si="174"/>
        <v>861.95419176666223</v>
      </c>
      <c r="AJ87" s="13">
        <f t="shared" ca="1" si="175"/>
        <v>0</v>
      </c>
      <c r="AK87" s="11"/>
      <c r="AL87" s="6">
        <v>0</v>
      </c>
      <c r="AM87" s="41">
        <f t="shared" si="176"/>
        <v>140.7916810332664</v>
      </c>
      <c r="AN87" s="41">
        <f t="shared" ca="1" si="177"/>
        <v>33.709994342360787</v>
      </c>
      <c r="AO87" s="6">
        <f t="shared" si="142"/>
        <v>12.857142857142858</v>
      </c>
      <c r="AP87" s="67">
        <f t="shared" si="143"/>
        <v>0.7934276809691363</v>
      </c>
      <c r="AQ87" s="11">
        <f t="shared" si="178"/>
        <v>0.92829992071837586</v>
      </c>
      <c r="AR87" s="11">
        <f t="shared" si="179"/>
        <v>0.49937958210548988</v>
      </c>
      <c r="AS87" s="11">
        <f t="shared" si="180"/>
        <v>0.53795068916847377</v>
      </c>
      <c r="AT87" s="11">
        <f t="shared" si="181"/>
        <v>481.48131987899995</v>
      </c>
      <c r="AU87" s="11">
        <f t="shared" si="182"/>
        <v>1056.7970592432796</v>
      </c>
      <c r="AV87" s="11">
        <f t="shared" si="183"/>
        <v>1.2786549930845453E-3</v>
      </c>
      <c r="AW87" s="11">
        <f t="shared" si="184"/>
        <v>3.5253330369939681E-7</v>
      </c>
      <c r="AX87" s="41">
        <f t="shared" ca="1" si="185"/>
        <v>2.1688453125576679</v>
      </c>
      <c r="AY87" s="41">
        <f t="shared" ca="1" si="186"/>
        <v>2.9214777256571502</v>
      </c>
      <c r="AZ87" s="41">
        <f t="shared" si="187"/>
        <v>0.35430464035867143</v>
      </c>
    </row>
    <row r="88" spans="1:52" ht="14.5">
      <c r="A88" s="41">
        <f t="shared" ca="1" si="144"/>
        <v>2346.7353638644881</v>
      </c>
      <c r="B88" s="41">
        <f t="shared" ca="1" si="145"/>
        <v>39.112256064408136</v>
      </c>
      <c r="C88" s="41">
        <f t="shared" ca="1" si="146"/>
        <v>0.65187093440680222</v>
      </c>
      <c r="D88" s="41">
        <f t="shared" ca="1" si="147"/>
        <v>12621.492149690552</v>
      </c>
      <c r="E88" s="41">
        <f t="shared" ca="1" si="148"/>
        <v>205.33810374883808</v>
      </c>
      <c r="F88" s="7">
        <f t="shared" si="149"/>
        <v>192.85714285714289</v>
      </c>
      <c r="G88" s="41"/>
      <c r="H88" s="7">
        <f t="shared" si="150"/>
        <v>18000</v>
      </c>
      <c r="I88" s="6">
        <v>15</v>
      </c>
      <c r="J88" s="41">
        <f t="shared" si="151"/>
        <v>0.5158343068733543</v>
      </c>
      <c r="K88" s="41">
        <f t="shared" si="152"/>
        <v>554.87268879171449</v>
      </c>
      <c r="L88" s="6">
        <f t="shared" si="140"/>
        <v>245</v>
      </c>
      <c r="M88" s="41">
        <f t="shared" si="153"/>
        <v>328.75319014607015</v>
      </c>
      <c r="N88" s="41">
        <f t="shared" si="154"/>
        <v>196.8385156375023</v>
      </c>
      <c r="O88" s="41">
        <f t="shared" si="155"/>
        <v>2012549.5282418809</v>
      </c>
      <c r="P88" s="41">
        <f t="shared" si="156"/>
        <v>12921982.158001004</v>
      </c>
      <c r="Q88" s="41">
        <f t="shared" si="157"/>
        <v>2.8142593213275591E-3</v>
      </c>
      <c r="R88" s="41">
        <f t="shared" si="158"/>
        <v>1.9061063126224184E-2</v>
      </c>
      <c r="S88" s="24">
        <f t="shared" ca="1" si="159"/>
        <v>1.0321720935027455E-15</v>
      </c>
      <c r="T88" s="10">
        <f t="shared" ca="1" si="160"/>
        <v>1.0321720935027455E-15</v>
      </c>
      <c r="U88" s="41">
        <f t="shared" ca="1" si="161"/>
        <v>0.27878717052409213</v>
      </c>
      <c r="V88" s="41">
        <f t="shared" ca="1" si="162"/>
        <v>2.3969748077309661E-2</v>
      </c>
      <c r="W88" s="41">
        <f t="shared" ca="1" si="163"/>
        <v>11.630792681880489</v>
      </c>
      <c r="X88" s="20">
        <f t="shared" ca="1" si="164"/>
        <v>1085.1790153007769</v>
      </c>
      <c r="Y88" s="41">
        <f t="shared" si="165"/>
        <v>0.54936851317696045</v>
      </c>
      <c r="Z88" s="41">
        <f t="shared" ca="1" si="166"/>
        <v>202.1715746909085</v>
      </c>
      <c r="AA88" s="14">
        <f t="shared" ca="1" si="167"/>
        <v>1085.1790153007769</v>
      </c>
      <c r="AB88" s="14">
        <f t="shared" si="114"/>
        <v>2916.5765113289031</v>
      </c>
      <c r="AC88" s="25">
        <f t="shared" ca="1" si="168"/>
        <v>602136.19804028713</v>
      </c>
      <c r="AD88" s="41">
        <f t="shared" si="169"/>
        <v>1618328.6509078268</v>
      </c>
      <c r="AE88" s="5">
        <f t="shared" ca="1" si="170"/>
        <v>37.207287759659295</v>
      </c>
      <c r="AF88" s="7">
        <f t="shared" ca="1" si="171"/>
        <v>1085.1790153007771</v>
      </c>
      <c r="AG88" s="41">
        <f t="shared" ca="1" si="172"/>
        <v>1831.3974960281262</v>
      </c>
      <c r="AH88" s="41">
        <f t="shared" ca="1" si="173"/>
        <v>1016192.4528675397</v>
      </c>
      <c r="AI88" s="41">
        <f t="shared" ca="1" si="174"/>
        <v>861.0110695464665</v>
      </c>
      <c r="AJ88" s="13">
        <f t="shared" ca="1" si="175"/>
        <v>9.9959213346049604E-15</v>
      </c>
      <c r="AK88" s="11"/>
      <c r="AL88" s="6">
        <v>0</v>
      </c>
      <c r="AM88" s="41">
        <f t="shared" si="176"/>
        <v>140.7916810332664</v>
      </c>
      <c r="AN88" s="41">
        <f t="shared" ca="1" si="177"/>
        <v>33.673109963804905</v>
      </c>
      <c r="AO88" s="6">
        <f t="shared" si="142"/>
        <v>12.857142857142858</v>
      </c>
      <c r="AP88" s="67">
        <f t="shared" si="143"/>
        <v>0.7934276809691363</v>
      </c>
      <c r="AQ88" s="11">
        <f t="shared" si="178"/>
        <v>0.92829992071837586</v>
      </c>
      <c r="AR88" s="11">
        <f t="shared" si="179"/>
        <v>0.49937958210548988</v>
      </c>
      <c r="AS88" s="11">
        <f t="shared" si="180"/>
        <v>0.53795068916847377</v>
      </c>
      <c r="AT88" s="11">
        <f t="shared" si="181"/>
        <v>481.48131987899995</v>
      </c>
      <c r="AU88" s="11">
        <f t="shared" si="182"/>
        <v>1056.7970592432796</v>
      </c>
      <c r="AV88" s="11">
        <f t="shared" si="183"/>
        <v>1.2786549930845453E-3</v>
      </c>
      <c r="AW88" s="11">
        <f t="shared" si="184"/>
        <v>3.5253330369939681E-7</v>
      </c>
      <c r="AX88" s="41">
        <f t="shared" ca="1" si="185"/>
        <v>2.1741039158663731</v>
      </c>
      <c r="AY88" s="41">
        <f t="shared" ca="1" si="186"/>
        <v>2.9285611687895385</v>
      </c>
      <c r="AZ88" s="41">
        <f t="shared" si="187"/>
        <v>0.35430464035867143</v>
      </c>
    </row>
    <row r="89" spans="1:52" ht="14.5">
      <c r="A89" s="41">
        <f t="shared" ca="1" si="144"/>
        <v>2487.5270448977544</v>
      </c>
      <c r="B89" s="41">
        <f t="shared" ca="1" si="145"/>
        <v>41.45878408162924</v>
      </c>
      <c r="C89" s="41">
        <f t="shared" ca="1" si="146"/>
        <v>0.69097973469382068</v>
      </c>
      <c r="D89" s="41">
        <f t="shared" ca="1" si="147"/>
        <v>12587.819039726746</v>
      </c>
      <c r="E89" s="41">
        <f t="shared" ca="1" si="148"/>
        <v>218.19524660598094</v>
      </c>
      <c r="F89" s="7">
        <f t="shared" si="149"/>
        <v>205.71428571428575</v>
      </c>
      <c r="G89" s="41"/>
      <c r="H89" s="7">
        <f t="shared" si="150"/>
        <v>18000</v>
      </c>
      <c r="I89" s="6">
        <v>15</v>
      </c>
      <c r="J89" s="41">
        <f t="shared" si="151"/>
        <v>0.5158343068733543</v>
      </c>
      <c r="K89" s="41">
        <f t="shared" si="152"/>
        <v>554.87268879171449</v>
      </c>
      <c r="L89" s="6">
        <f t="shared" si="140"/>
        <v>245</v>
      </c>
      <c r="M89" s="41">
        <f t="shared" si="153"/>
        <v>328.75319014607015</v>
      </c>
      <c r="N89" s="41">
        <f t="shared" si="154"/>
        <v>196.8385156375023</v>
      </c>
      <c r="O89" s="41">
        <f t="shared" si="155"/>
        <v>2012549.5282418809</v>
      </c>
      <c r="P89" s="41">
        <f t="shared" si="156"/>
        <v>12921982.158001004</v>
      </c>
      <c r="Q89" s="41">
        <f t="shared" si="157"/>
        <v>2.8142593213275591E-3</v>
      </c>
      <c r="R89" s="41">
        <f t="shared" si="158"/>
        <v>1.9061063126224184E-2</v>
      </c>
      <c r="S89" s="24">
        <f t="shared" ca="1" si="159"/>
        <v>0</v>
      </c>
      <c r="T89" s="10">
        <f t="shared" ca="1" si="160"/>
        <v>0</v>
      </c>
      <c r="U89" s="41">
        <f t="shared" ca="1" si="161"/>
        <v>0.27804338912818277</v>
      </c>
      <c r="V89" s="41">
        <f t="shared" ca="1" si="162"/>
        <v>2.3943591075403479E-2</v>
      </c>
      <c r="W89" s="41">
        <f t="shared" ca="1" si="163"/>
        <v>11.612434753524013</v>
      </c>
      <c r="X89" s="20">
        <f t="shared" ca="1" si="164"/>
        <v>1083.9948130521666</v>
      </c>
      <c r="Y89" s="41">
        <f t="shared" si="165"/>
        <v>0.54936851317696045</v>
      </c>
      <c r="Z89" s="41">
        <f t="shared" ca="1" si="166"/>
        <v>201.90170595115168</v>
      </c>
      <c r="AA89" s="14">
        <f t="shared" ca="1" si="167"/>
        <v>1083.9948130521666</v>
      </c>
      <c r="AB89" s="14">
        <f t="shared" si="114"/>
        <v>2916.5765113289031</v>
      </c>
      <c r="AC89" s="25">
        <f t="shared" ca="1" si="168"/>
        <v>601479.11655452754</v>
      </c>
      <c r="AD89" s="41">
        <f t="shared" si="169"/>
        <v>1618328.6509078268</v>
      </c>
      <c r="AE89" s="5">
        <f t="shared" ca="1" si="170"/>
        <v>37.166685284668134</v>
      </c>
      <c r="AF89" s="7">
        <f t="shared" ca="1" si="171"/>
        <v>1083.9948130521666</v>
      </c>
      <c r="AG89" s="41">
        <f t="shared" ca="1" si="172"/>
        <v>1832.5816982767365</v>
      </c>
      <c r="AH89" s="41">
        <f t="shared" ca="1" si="173"/>
        <v>1016849.5343532993</v>
      </c>
      <c r="AI89" s="41">
        <f t="shared" ca="1" si="174"/>
        <v>860.07149070255298</v>
      </c>
      <c r="AJ89" s="13">
        <f t="shared" ca="1" si="175"/>
        <v>0</v>
      </c>
      <c r="AK89" s="11"/>
      <c r="AL89" s="6">
        <v>0</v>
      </c>
      <c r="AM89" s="41">
        <f t="shared" si="176"/>
        <v>140.7916810332664</v>
      </c>
      <c r="AN89" s="41">
        <f t="shared" ca="1" si="177"/>
        <v>33.636364162444387</v>
      </c>
      <c r="AO89" s="6">
        <f t="shared" si="142"/>
        <v>12.857142857142858</v>
      </c>
      <c r="AP89" s="67">
        <f t="shared" si="143"/>
        <v>0.7934276809691363</v>
      </c>
      <c r="AQ89" s="11">
        <f t="shared" si="178"/>
        <v>0.92829992071837586</v>
      </c>
      <c r="AR89" s="11">
        <f t="shared" si="179"/>
        <v>0.49937958210548988</v>
      </c>
      <c r="AS89" s="11">
        <f t="shared" si="180"/>
        <v>0.53795068916847377</v>
      </c>
      <c r="AT89" s="11">
        <f t="shared" si="181"/>
        <v>481.48131987899995</v>
      </c>
      <c r="AU89" s="11">
        <f t="shared" si="182"/>
        <v>1056.7970592432796</v>
      </c>
      <c r="AV89" s="11">
        <f t="shared" si="183"/>
        <v>1.2786549930845453E-3</v>
      </c>
      <c r="AW89" s="11">
        <f t="shared" si="184"/>
        <v>3.5253330369939681E-7</v>
      </c>
      <c r="AX89" s="41">
        <f t="shared" ca="1" si="185"/>
        <v>2.1793863971692415</v>
      </c>
      <c r="AY89" s="41">
        <f t="shared" ca="1" si="186"/>
        <v>2.935676776054462</v>
      </c>
      <c r="AZ89" s="41">
        <f t="shared" si="187"/>
        <v>0.35430464035867143</v>
      </c>
    </row>
    <row r="90" spans="1:52" ht="14.5">
      <c r="A90" s="41">
        <f t="shared" ca="1" si="144"/>
        <v>2628.3187259310207</v>
      </c>
      <c r="B90" s="41">
        <f t="shared" ca="1" si="145"/>
        <v>43.805312098850344</v>
      </c>
      <c r="C90" s="41">
        <f t="shared" ca="1" si="146"/>
        <v>0.73008853498083903</v>
      </c>
      <c r="D90" s="41">
        <f t="shared" ca="1" si="147"/>
        <v>12554.182675564301</v>
      </c>
      <c r="E90" s="41">
        <f t="shared" ca="1" si="148"/>
        <v>231.0523894631238</v>
      </c>
      <c r="F90" s="7">
        <f t="shared" si="149"/>
        <v>218.57142857142861</v>
      </c>
      <c r="G90" s="41"/>
      <c r="H90" s="7">
        <f t="shared" si="150"/>
        <v>18000</v>
      </c>
      <c r="I90" s="6">
        <v>15</v>
      </c>
      <c r="J90" s="41">
        <f t="shared" si="151"/>
        <v>0.5158343068733543</v>
      </c>
      <c r="K90" s="41">
        <f t="shared" si="152"/>
        <v>554.87268879171449</v>
      </c>
      <c r="L90" s="6">
        <f t="shared" si="140"/>
        <v>245</v>
      </c>
      <c r="M90" s="41">
        <f t="shared" si="153"/>
        <v>328.75319014607015</v>
      </c>
      <c r="N90" s="41">
        <f t="shared" si="154"/>
        <v>196.8385156375023</v>
      </c>
      <c r="O90" s="41">
        <f t="shared" si="155"/>
        <v>2012549.5282418809</v>
      </c>
      <c r="P90" s="41">
        <f t="shared" si="156"/>
        <v>12921982.158001004</v>
      </c>
      <c r="Q90" s="41">
        <f t="shared" si="157"/>
        <v>2.8142593213275591E-3</v>
      </c>
      <c r="R90" s="41">
        <f t="shared" si="158"/>
        <v>1.9061063126224184E-2</v>
      </c>
      <c r="S90" s="24">
        <f t="shared" ca="1" si="159"/>
        <v>1.0377061025750118E-15</v>
      </c>
      <c r="T90" s="10">
        <f t="shared" ca="1" si="160"/>
        <v>0</v>
      </c>
      <c r="U90" s="41">
        <f t="shared" ca="1" si="161"/>
        <v>0.27730041938416594</v>
      </c>
      <c r="V90" s="41">
        <f t="shared" ca="1" si="162"/>
        <v>2.391753238095988E-2</v>
      </c>
      <c r="W90" s="41">
        <f t="shared" ca="1" si="163"/>
        <v>11.594022952172002</v>
      </c>
      <c r="X90" s="20">
        <f t="shared" ca="1" si="164"/>
        <v>1082.8150614634089</v>
      </c>
      <c r="Y90" s="41">
        <f t="shared" si="165"/>
        <v>0.54936851317696045</v>
      </c>
      <c r="Z90" s="41">
        <f t="shared" ca="1" si="166"/>
        <v>201.63177109844784</v>
      </c>
      <c r="AA90" s="14">
        <f t="shared" ca="1" si="167"/>
        <v>1082.8150614634089</v>
      </c>
      <c r="AB90" s="14">
        <f t="shared" si="114"/>
        <v>2916.5765113289031</v>
      </c>
      <c r="AC90" s="25">
        <f t="shared" ca="1" si="168"/>
        <v>600824.5046183673</v>
      </c>
      <c r="AD90" s="41">
        <f t="shared" si="169"/>
        <v>1618328.6509078268</v>
      </c>
      <c r="AE90" s="5">
        <f t="shared" ca="1" si="170"/>
        <v>37.126235408445957</v>
      </c>
      <c r="AF90" s="7">
        <f t="shared" ca="1" si="171"/>
        <v>1082.8150614634089</v>
      </c>
      <c r="AG90" s="41">
        <f t="shared" ca="1" si="172"/>
        <v>1833.7614498654941</v>
      </c>
      <c r="AH90" s="41">
        <f t="shared" ca="1" si="173"/>
        <v>1017504.1462894595</v>
      </c>
      <c r="AI90" s="41">
        <f t="shared" ca="1" si="174"/>
        <v>859.13544313536534</v>
      </c>
      <c r="AJ90" s="13">
        <f t="shared" ca="1" si="175"/>
        <v>0</v>
      </c>
      <c r="AK90" s="11"/>
      <c r="AL90" s="6">
        <v>0</v>
      </c>
      <c r="AM90" s="41">
        <f t="shared" si="176"/>
        <v>140.7916810332664</v>
      </c>
      <c r="AN90" s="41">
        <f t="shared" ca="1" si="177"/>
        <v>33.599756465080091</v>
      </c>
      <c r="AO90" s="6">
        <f t="shared" si="142"/>
        <v>12.857142857142858</v>
      </c>
      <c r="AP90" s="67">
        <f t="shared" si="143"/>
        <v>0.7934276809691363</v>
      </c>
      <c r="AQ90" s="11">
        <f t="shared" si="178"/>
        <v>0.92829992071837586</v>
      </c>
      <c r="AR90" s="11">
        <f t="shared" si="179"/>
        <v>0.49937958210548988</v>
      </c>
      <c r="AS90" s="11">
        <f t="shared" si="180"/>
        <v>0.53795068916847377</v>
      </c>
      <c r="AT90" s="11">
        <f t="shared" si="181"/>
        <v>481.48131987899995</v>
      </c>
      <c r="AU90" s="11">
        <f t="shared" si="182"/>
        <v>1056.7970592432796</v>
      </c>
      <c r="AV90" s="11">
        <f t="shared" si="183"/>
        <v>1.2786549930845453E-3</v>
      </c>
      <c r="AW90" s="11">
        <f t="shared" si="184"/>
        <v>3.5253330369939681E-7</v>
      </c>
      <c r="AX90" s="41">
        <f t="shared" ca="1" si="185"/>
        <v>2.1846929182804793</v>
      </c>
      <c r="AY90" s="41">
        <f t="shared" ca="1" si="186"/>
        <v>2.9428247654188708</v>
      </c>
      <c r="AZ90" s="41">
        <f t="shared" si="187"/>
        <v>0.35430464035867143</v>
      </c>
    </row>
    <row r="91" spans="1:52" ht="14.5">
      <c r="A91" s="41">
        <f t="shared" ca="1" si="144"/>
        <v>2769.110406964287</v>
      </c>
      <c r="B91" s="41">
        <f t="shared" ca="1" si="145"/>
        <v>46.151840116071448</v>
      </c>
      <c r="C91" s="41">
        <f t="shared" ca="1" si="146"/>
        <v>0.7691973352678575</v>
      </c>
      <c r="D91" s="41">
        <f t="shared" ca="1" si="147"/>
        <v>12520.582919099221</v>
      </c>
      <c r="E91" s="41">
        <f t="shared" ca="1" si="148"/>
        <v>243.90953232026666</v>
      </c>
      <c r="F91" s="7">
        <f t="shared" si="149"/>
        <v>231.42857142857147</v>
      </c>
      <c r="G91" s="41"/>
      <c r="H91" s="7">
        <f t="shared" si="150"/>
        <v>18000</v>
      </c>
      <c r="I91" s="6">
        <v>15</v>
      </c>
      <c r="J91" s="41">
        <f t="shared" si="151"/>
        <v>0.5158343068733543</v>
      </c>
      <c r="K91" s="41">
        <f t="shared" si="152"/>
        <v>554.87268879171449</v>
      </c>
      <c r="L91" s="6">
        <f t="shared" si="140"/>
        <v>245</v>
      </c>
      <c r="M91" s="41">
        <f t="shared" si="153"/>
        <v>328.75319014607015</v>
      </c>
      <c r="N91" s="41">
        <f t="shared" si="154"/>
        <v>196.8385156375023</v>
      </c>
      <c r="O91" s="41">
        <f t="shared" si="155"/>
        <v>2012549.5282418809</v>
      </c>
      <c r="P91" s="41">
        <f t="shared" si="156"/>
        <v>12921982.158001004</v>
      </c>
      <c r="Q91" s="41">
        <f t="shared" si="157"/>
        <v>2.8142593213275591E-3</v>
      </c>
      <c r="R91" s="41">
        <f t="shared" si="158"/>
        <v>1.9061063126224184E-2</v>
      </c>
      <c r="S91" s="24">
        <f t="shared" ca="1" si="159"/>
        <v>0</v>
      </c>
      <c r="T91" s="10">
        <f t="shared" ca="1" si="160"/>
        <v>0</v>
      </c>
      <c r="U91" s="41">
        <f t="shared" ca="1" si="161"/>
        <v>0.27655825824156066</v>
      </c>
      <c r="V91" s="41">
        <f t="shared" ca="1" si="162"/>
        <v>2.3891571658902887E-2</v>
      </c>
      <c r="W91" s="41">
        <f t="shared" ca="1" si="163"/>
        <v>11.575557363489931</v>
      </c>
      <c r="X91" s="20">
        <f t="shared" ca="1" si="164"/>
        <v>1081.6397453646564</v>
      </c>
      <c r="Y91" s="41">
        <f t="shared" si="165"/>
        <v>0.54936851317696045</v>
      </c>
      <c r="Z91" s="41">
        <f t="shared" ca="1" si="166"/>
        <v>201.3617687563885</v>
      </c>
      <c r="AA91" s="14">
        <f t="shared" ca="1" si="167"/>
        <v>1081.6397453646562</v>
      </c>
      <c r="AB91" s="14">
        <f t="shared" si="114"/>
        <v>2916.5765113289031</v>
      </c>
      <c r="AC91" s="25">
        <f t="shared" ca="1" si="168"/>
        <v>600172.35381447221</v>
      </c>
      <c r="AD91" s="41">
        <f t="shared" si="169"/>
        <v>1618328.6509078268</v>
      </c>
      <c r="AE91" s="5">
        <f t="shared" ca="1" si="170"/>
        <v>37.085937610867617</v>
      </c>
      <c r="AF91" s="7">
        <f t="shared" ca="1" si="171"/>
        <v>1081.6397453646564</v>
      </c>
      <c r="AG91" s="41">
        <f t="shared" ca="1" si="172"/>
        <v>1834.9367659642469</v>
      </c>
      <c r="AH91" s="41">
        <f t="shared" ca="1" si="173"/>
        <v>1018156.2970933546</v>
      </c>
      <c r="AI91" s="41">
        <f t="shared" ca="1" si="174"/>
        <v>858.2029148087264</v>
      </c>
      <c r="AJ91" s="13">
        <f t="shared" ca="1" si="175"/>
        <v>0</v>
      </c>
      <c r="AK91" s="11"/>
      <c r="AL91" s="6">
        <v>0</v>
      </c>
      <c r="AM91" s="41">
        <f t="shared" si="176"/>
        <v>140.7916810332664</v>
      </c>
      <c r="AN91" s="41">
        <f t="shared" ca="1" si="177"/>
        <v>33.563286400991586</v>
      </c>
      <c r="AO91" s="6">
        <f t="shared" si="142"/>
        <v>12.857142857142858</v>
      </c>
      <c r="AP91" s="67">
        <f t="shared" si="143"/>
        <v>0.7934276809691363</v>
      </c>
      <c r="AQ91" s="11">
        <f t="shared" si="178"/>
        <v>0.92829992071837586</v>
      </c>
      <c r="AR91" s="11">
        <f t="shared" si="179"/>
        <v>0.49937958210548988</v>
      </c>
      <c r="AS91" s="11">
        <f t="shared" si="180"/>
        <v>0.53795068916847377</v>
      </c>
      <c r="AT91" s="11">
        <f t="shared" si="181"/>
        <v>481.48131987899995</v>
      </c>
      <c r="AU91" s="11">
        <f t="shared" si="182"/>
        <v>1056.7970592432796</v>
      </c>
      <c r="AV91" s="11">
        <f t="shared" si="183"/>
        <v>1.2786549930845453E-3</v>
      </c>
      <c r="AW91" s="11">
        <f t="shared" si="184"/>
        <v>3.5253330369939681E-7</v>
      </c>
      <c r="AX91" s="41">
        <f t="shared" ca="1" si="185"/>
        <v>2.1900236425269255</v>
      </c>
      <c r="AY91" s="41">
        <f t="shared" ca="1" si="186"/>
        <v>2.9500053568872628</v>
      </c>
      <c r="AZ91" s="41">
        <f t="shared" si="187"/>
        <v>0.35430464035867143</v>
      </c>
    </row>
    <row r="92" spans="1:52" ht="14.5">
      <c r="A92" s="41">
        <f t="shared" ca="1" si="144"/>
        <v>2909.9020879975533</v>
      </c>
      <c r="B92" s="41">
        <f t="shared" ca="1" si="145"/>
        <v>48.498368133292551</v>
      </c>
      <c r="C92" s="41">
        <f t="shared" ca="1" si="146"/>
        <v>0.80830613555487585</v>
      </c>
      <c r="D92" s="41">
        <f t="shared" ca="1" si="147"/>
        <v>12487.01963269823</v>
      </c>
      <c r="E92" s="41">
        <f t="shared" ca="1" si="148"/>
        <v>256.76667517740952</v>
      </c>
      <c r="F92" s="7">
        <f t="shared" si="149"/>
        <v>244.28571428571433</v>
      </c>
      <c r="G92" s="41"/>
      <c r="H92" s="7">
        <f t="shared" si="150"/>
        <v>18000</v>
      </c>
      <c r="I92" s="6">
        <v>15</v>
      </c>
      <c r="J92" s="41">
        <f t="shared" si="151"/>
        <v>0.5158343068733543</v>
      </c>
      <c r="K92" s="41">
        <f t="shared" si="152"/>
        <v>554.87268879171449</v>
      </c>
      <c r="L92" s="6">
        <f t="shared" si="140"/>
        <v>245</v>
      </c>
      <c r="M92" s="41">
        <f t="shared" si="153"/>
        <v>328.75319014607015</v>
      </c>
      <c r="N92" s="41">
        <f t="shared" si="154"/>
        <v>196.8385156375023</v>
      </c>
      <c r="O92" s="41">
        <f t="shared" si="155"/>
        <v>2012549.5282418809</v>
      </c>
      <c r="P92" s="41">
        <f t="shared" si="156"/>
        <v>12921982.158001004</v>
      </c>
      <c r="Q92" s="41">
        <f t="shared" si="157"/>
        <v>2.8142593213275591E-3</v>
      </c>
      <c r="R92" s="41">
        <f t="shared" si="158"/>
        <v>1.9061063126224184E-2</v>
      </c>
      <c r="S92" s="24">
        <f t="shared" ca="1" si="159"/>
        <v>-1.0432875384580087E-15</v>
      </c>
      <c r="T92" s="10">
        <f t="shared" ca="1" si="160"/>
        <v>-1.0432875384580087E-15</v>
      </c>
      <c r="U92" s="41">
        <f t="shared" ca="1" si="161"/>
        <v>0.27581690266028325</v>
      </c>
      <c r="V92" s="41">
        <f t="shared" ca="1" si="162"/>
        <v>2.3865708575910995E-2</v>
      </c>
      <c r="W92" s="41">
        <f t="shared" ca="1" si="163"/>
        <v>11.55703807339208</v>
      </c>
      <c r="X92" s="20">
        <f t="shared" ca="1" si="164"/>
        <v>1080.4688496654917</v>
      </c>
      <c r="Y92" s="41">
        <f t="shared" si="165"/>
        <v>0.54936851317696045</v>
      </c>
      <c r="Z92" s="41">
        <f t="shared" ca="1" si="166"/>
        <v>201.09169754489614</v>
      </c>
      <c r="AA92" s="14">
        <f t="shared" ca="1" si="167"/>
        <v>1080.4688496654915</v>
      </c>
      <c r="AB92" s="14">
        <f t="shared" si="114"/>
        <v>2916.5765113289031</v>
      </c>
      <c r="AC92" s="25">
        <f t="shared" ca="1" si="168"/>
        <v>599522.65576958202</v>
      </c>
      <c r="AD92" s="41">
        <f t="shared" si="169"/>
        <v>1618328.6509078268</v>
      </c>
      <c r="AE92" s="5">
        <f t="shared" ca="1" si="170"/>
        <v>37.045791374531397</v>
      </c>
      <c r="AF92" s="7">
        <f t="shared" ca="1" si="171"/>
        <v>1080.4688496654915</v>
      </c>
      <c r="AG92" s="41">
        <f t="shared" ca="1" si="172"/>
        <v>1836.1076616634116</v>
      </c>
      <c r="AH92" s="41">
        <f t="shared" ca="1" si="173"/>
        <v>1018805.9951382448</v>
      </c>
      <c r="AI92" s="41">
        <f t="shared" ca="1" si="174"/>
        <v>857.2738937494812</v>
      </c>
      <c r="AJ92" s="13">
        <f t="shared" ca="1" si="175"/>
        <v>-1.0103567253411857E-14</v>
      </c>
      <c r="AK92" s="11"/>
      <c r="AL92" s="6">
        <v>0</v>
      </c>
      <c r="AM92" s="41">
        <f t="shared" si="176"/>
        <v>140.7916810332664</v>
      </c>
      <c r="AN92" s="41">
        <f t="shared" ca="1" si="177"/>
        <v>33.526953501923131</v>
      </c>
      <c r="AO92" s="6">
        <f t="shared" si="142"/>
        <v>12.857142857142858</v>
      </c>
      <c r="AP92" s="67">
        <f t="shared" si="143"/>
        <v>0.7934276809691363</v>
      </c>
      <c r="AQ92" s="11">
        <f t="shared" si="178"/>
        <v>0.92829992071837586</v>
      </c>
      <c r="AR92" s="11">
        <f t="shared" si="179"/>
        <v>0.49937958210548988</v>
      </c>
      <c r="AS92" s="11">
        <f t="shared" si="180"/>
        <v>0.53795068916847377</v>
      </c>
      <c r="AT92" s="11">
        <f t="shared" si="181"/>
        <v>481.48131987899995</v>
      </c>
      <c r="AU92" s="11">
        <f t="shared" si="182"/>
        <v>1056.7970592432796</v>
      </c>
      <c r="AV92" s="11">
        <f t="shared" si="183"/>
        <v>1.2786549930845453E-3</v>
      </c>
      <c r="AW92" s="11">
        <f t="shared" si="184"/>
        <v>3.5253330369939681E-7</v>
      </c>
      <c r="AX92" s="41">
        <f t="shared" ca="1" si="185"/>
        <v>2.1953787347654483</v>
      </c>
      <c r="AY92" s="41">
        <f t="shared" ca="1" si="186"/>
        <v>2.9572187725251142</v>
      </c>
      <c r="AZ92" s="41">
        <f t="shared" si="187"/>
        <v>0.35430464035867143</v>
      </c>
    </row>
    <row r="93" spans="1:52" ht="14.5">
      <c r="A93" s="41">
        <f t="shared" ca="1" si="144"/>
        <v>3050.6937690308196</v>
      </c>
      <c r="B93" s="41">
        <f t="shared" ca="1" si="145"/>
        <v>50.844896150513662</v>
      </c>
      <c r="C93" s="41">
        <f t="shared" ca="1" si="146"/>
        <v>0.84741493584189442</v>
      </c>
      <c r="D93" s="41">
        <f t="shared" ca="1" si="147"/>
        <v>12453.492679196306</v>
      </c>
      <c r="E93" s="41">
        <f t="shared" ca="1" si="148"/>
        <v>269.62381803455236</v>
      </c>
      <c r="F93" s="7">
        <f t="shared" si="149"/>
        <v>257.14285714285717</v>
      </c>
      <c r="G93" s="41"/>
      <c r="H93" s="7">
        <f t="shared" si="150"/>
        <v>18000</v>
      </c>
      <c r="I93" s="6">
        <v>15</v>
      </c>
      <c r="J93" s="41">
        <f t="shared" si="151"/>
        <v>0.5158343068733543</v>
      </c>
      <c r="K93" s="41">
        <f t="shared" si="152"/>
        <v>554.87268879171449</v>
      </c>
      <c r="L93" s="6">
        <f t="shared" si="140"/>
        <v>245</v>
      </c>
      <c r="M93" s="41">
        <f t="shared" si="153"/>
        <v>328.75319014607015</v>
      </c>
      <c r="N93" s="41">
        <f t="shared" si="154"/>
        <v>196.8385156375023</v>
      </c>
      <c r="O93" s="41">
        <f t="shared" si="155"/>
        <v>2012549.5282418809</v>
      </c>
      <c r="P93" s="41">
        <f t="shared" si="156"/>
        <v>12921982.158001004</v>
      </c>
      <c r="Q93" s="41">
        <f t="shared" si="157"/>
        <v>2.8142593213275591E-3</v>
      </c>
      <c r="R93" s="41">
        <f t="shared" si="158"/>
        <v>1.9061063126224184E-2</v>
      </c>
      <c r="S93" s="24">
        <f t="shared" ca="1" si="159"/>
        <v>1.0460962487284577E-15</v>
      </c>
      <c r="T93" s="10">
        <f t="shared" ca="1" si="160"/>
        <v>1.0460962487284577E-15</v>
      </c>
      <c r="U93" s="41">
        <f t="shared" ca="1" si="161"/>
        <v>0.27507634961059302</v>
      </c>
      <c r="V93" s="41">
        <f t="shared" ca="1" si="162"/>
        <v>2.3839942800407347E-2</v>
      </c>
      <c r="W93" s="41">
        <f t="shared" ca="1" si="163"/>
        <v>11.538465168041126</v>
      </c>
      <c r="X93" s="20">
        <f t="shared" ca="1" si="164"/>
        <v>1079.3023593544826</v>
      </c>
      <c r="Y93" s="41">
        <f t="shared" si="165"/>
        <v>0.54936851317696045</v>
      </c>
      <c r="Z93" s="41">
        <f t="shared" ca="1" si="166"/>
        <v>200.82155608017482</v>
      </c>
      <c r="AA93" s="14">
        <f t="shared" ca="1" si="167"/>
        <v>1079.3023593544829</v>
      </c>
      <c r="AB93" s="14">
        <f t="shared" si="114"/>
        <v>2916.5765113289031</v>
      </c>
      <c r="AC93" s="25">
        <f t="shared" ca="1" si="168"/>
        <v>598875.40215426323</v>
      </c>
      <c r="AD93" s="41">
        <f t="shared" si="169"/>
        <v>1618328.6509078268</v>
      </c>
      <c r="AE93" s="5">
        <f t="shared" ca="1" si="170"/>
        <v>37.00579618474373</v>
      </c>
      <c r="AF93" s="7">
        <f t="shared" ca="1" si="171"/>
        <v>1079.3023593544829</v>
      </c>
      <c r="AG93" s="41">
        <f t="shared" ca="1" si="172"/>
        <v>1837.2741519744202</v>
      </c>
      <c r="AH93" s="41">
        <f t="shared" ca="1" si="173"/>
        <v>1019453.2487535636</v>
      </c>
      <c r="AI93" s="41">
        <f t="shared" ca="1" si="174"/>
        <v>856.34836804714473</v>
      </c>
      <c r="AJ93" s="13">
        <f t="shared" ca="1" si="175"/>
        <v>1.0130767801742735E-14</v>
      </c>
      <c r="AK93" s="11"/>
      <c r="AL93" s="6">
        <v>0</v>
      </c>
      <c r="AM93" s="41">
        <f t="shared" si="176"/>
        <v>140.7916810332664</v>
      </c>
      <c r="AN93" s="41">
        <f t="shared" ca="1" si="177"/>
        <v>33.490757302069952</v>
      </c>
      <c r="AO93" s="6">
        <f t="shared" si="142"/>
        <v>12.857142857142858</v>
      </c>
      <c r="AP93" s="67">
        <f t="shared" si="143"/>
        <v>0.7934276809691363</v>
      </c>
      <c r="AQ93" s="11">
        <f t="shared" si="178"/>
        <v>0.92829992071837586</v>
      </c>
      <c r="AR93" s="11">
        <f t="shared" si="179"/>
        <v>0.49937958210548988</v>
      </c>
      <c r="AS93" s="11">
        <f t="shared" si="180"/>
        <v>0.53795068916847377</v>
      </c>
      <c r="AT93" s="11">
        <f t="shared" si="181"/>
        <v>481.48131987899995</v>
      </c>
      <c r="AU93" s="11">
        <f t="shared" si="182"/>
        <v>1056.7970592432796</v>
      </c>
      <c r="AV93" s="11">
        <f t="shared" si="183"/>
        <v>1.2786549930845453E-3</v>
      </c>
      <c r="AW93" s="11">
        <f t="shared" si="184"/>
        <v>3.5253330369939681E-7</v>
      </c>
      <c r="AX93" s="41">
        <f t="shared" ca="1" si="185"/>
        <v>2.2007583614005801</v>
      </c>
      <c r="AY93" s="41">
        <f t="shared" ca="1" si="186"/>
        <v>2.9644652364826358</v>
      </c>
      <c r="AZ93" s="41">
        <f t="shared" si="187"/>
        <v>0.35430464035867143</v>
      </c>
    </row>
    <row r="94" spans="1:52" s="103" customFormat="1" ht="14.5">
      <c r="A94" s="41">
        <f t="shared" ref="A94:A96" ca="1" si="188">A93+AM93</f>
        <v>3191.4854500640859</v>
      </c>
      <c r="B94" s="41">
        <f t="shared" ref="B94:B96" ca="1" si="189">A94/60</f>
        <v>53.191424167734766</v>
      </c>
      <c r="C94" s="41">
        <f t="shared" ref="C94:C96" ca="1" si="190">B94/60</f>
        <v>0.88652373612891278</v>
      </c>
      <c r="D94" s="41">
        <f t="shared" ref="D94:D96" ca="1" si="191">D93-AN93</f>
        <v>12420.001921894236</v>
      </c>
      <c r="E94" s="41">
        <f t="shared" ref="E94:E96" ca="1" si="192">E93+AO93</f>
        <v>282.48096089169519</v>
      </c>
      <c r="F94" s="7">
        <f t="shared" ref="F94:F96" si="193">F93+AO93</f>
        <v>270</v>
      </c>
      <c r="G94" s="41"/>
      <c r="H94" s="7">
        <f t="shared" ref="H94:H96" si="194">H93+AL93</f>
        <v>18000</v>
      </c>
      <c r="I94" s="6">
        <v>15</v>
      </c>
      <c r="J94" s="41">
        <f t="shared" ref="J94:J96" si="195">SQRT((((((((L94^2)*(0.2))/(661.477)^2) + 1)^(3.5) - 1)*(1/AR94) + 1)^(1/3.5) - 1)*(5))</f>
        <v>0.5158343068733543</v>
      </c>
      <c r="K94" s="41">
        <f t="shared" ref="K94:K96" si="196">SQRT((1.4*2116.22*AR94*(J94)^2)/AV94)</f>
        <v>554.87268879171449</v>
      </c>
      <c r="L94" s="6">
        <f t="shared" si="140"/>
        <v>245</v>
      </c>
      <c r="M94" s="41">
        <f t="shared" ref="M94:M96" si="197">K94*0.592484</f>
        <v>328.75319014607015</v>
      </c>
      <c r="N94" s="41">
        <f t="shared" ref="N94:N96" si="198">0.5*AV94*K94^2</f>
        <v>196.8385156375023</v>
      </c>
      <c r="O94" s="41">
        <f t="shared" ref="O94:O96" si="199">P94/$B$7</f>
        <v>2012549.5282418809</v>
      </c>
      <c r="P94" s="41">
        <f t="shared" ref="P94:P96" si="200">(AV94*K94*$B$7)/(AW94)</f>
        <v>12921982.158001004</v>
      </c>
      <c r="Q94" s="41">
        <f t="shared" ref="Q94:Q96" si="201">0.455/(LOG10(P94)^2.58 * (1+0.144*J94*J94)^0.65)</f>
        <v>2.8142593213275591E-3</v>
      </c>
      <c r="R94" s="41">
        <f t="shared" ref="R94:R96" si="202">(((Q94*$B$4)+$B$17)+(0.1*(Q94*$B$4)))</f>
        <v>1.9061063126224184E-2</v>
      </c>
      <c r="S94" s="24">
        <f t="shared" ref="S94:S96" ca="1" si="203">T94</f>
        <v>0</v>
      </c>
      <c r="T94" s="10">
        <f t="shared" ref="T94:T96" ca="1" si="204">DEGREES(ASIN(((AF94-X94)/(D94))))</f>
        <v>0</v>
      </c>
      <c r="U94" s="41">
        <f t="shared" ref="U94:U96" ca="1" si="205">(D94*COS(RADIANS(S94)))/(N94*$B$3)</f>
        <v>0.27433659607303829</v>
      </c>
      <c r="V94" s="41">
        <f t="shared" ref="V94:V96" ca="1" si="206">(X94)/(N94*$B$3)</f>
        <v>2.3814274002549922E-2</v>
      </c>
      <c r="W94" s="41">
        <f t="shared" ref="W94:W96" ca="1" si="207">U94/V94</f>
        <v>11.519838733847758</v>
      </c>
      <c r="X94" s="20">
        <f t="shared" ref="X94:X96" ca="1" si="208">(N94*$B$3*R94)+((N94*$B$3)*((U94^2)/(PI()*$B$6*$B$5)))</f>
        <v>1078.140259498738</v>
      </c>
      <c r="Y94" s="41">
        <f t="shared" ref="Y94:Y96" si="209">SQRT(PI()*$B$6*$B$5*R94)</f>
        <v>0.54936851317696045</v>
      </c>
      <c r="Z94" s="41">
        <f t="shared" ref="Z94:Z96" ca="1" si="210">SQRT((2*((U94*N94*$B$3)/(D94))*D94)/(AV94*$B$3*$B$18))</f>
        <v>200.55134297466083</v>
      </c>
      <c r="AA94" s="14">
        <f t="shared" ref="AA94:AA96" ca="1" si="211">D94/W94</f>
        <v>1078.140259498738</v>
      </c>
      <c r="AB94" s="14">
        <f t="shared" si="114"/>
        <v>2916.5765113289031</v>
      </c>
      <c r="AC94" s="25">
        <f t="shared" ref="AC94:AC96" ca="1" si="212">AA94*K94</f>
        <v>598230.58468266157</v>
      </c>
      <c r="AD94" s="41">
        <f t="shared" ref="AD94:AD96" si="213">AB94*K94</f>
        <v>1618328.6509078268</v>
      </c>
      <c r="AE94" s="5">
        <f t="shared" ref="AE94:AE96" ca="1" si="214">(AA94/AB94)*100</f>
        <v>36.965951529503897</v>
      </c>
      <c r="AF94" s="7">
        <f t="shared" ref="AF94:AF96" ca="1" si="215">(AB94)*(AE94/100)</f>
        <v>1078.140259498738</v>
      </c>
      <c r="AG94" s="41">
        <f t="shared" ref="AG94:AG96" ca="1" si="216">AB94-AA94</f>
        <v>1838.436251830165</v>
      </c>
      <c r="AH94" s="41">
        <f t="shared" ref="AH94:AH96" ca="1" si="217">AD94-AC94</f>
        <v>1020098.0662251653</v>
      </c>
      <c r="AI94" s="41">
        <f t="shared" ref="AI94:AI96" ca="1" si="218">(AP94*AF94)</f>
        <v>855.42632585354659</v>
      </c>
      <c r="AJ94" s="13">
        <f t="shared" ref="AJ94:AJ96" ca="1" si="219">K94*SIN(RADIANS(T94))</f>
        <v>0</v>
      </c>
      <c r="AK94" s="11"/>
      <c r="AL94" s="6">
        <v>0</v>
      </c>
      <c r="AM94" s="41">
        <f t="shared" ref="AM94:AM96" si="220">(AO94/M94)*3600</f>
        <v>140.7916810332664</v>
      </c>
      <c r="AN94" s="41">
        <f t="shared" ref="AN94:AN96" ca="1" si="221">AI94*(AM94/3600)</f>
        <v>33.454697338064314</v>
      </c>
      <c r="AO94" s="6">
        <f t="shared" si="142"/>
        <v>12.857142857142858</v>
      </c>
      <c r="AP94" s="67">
        <f t="shared" si="143"/>
        <v>0.7934276809691363</v>
      </c>
      <c r="AQ94" s="11">
        <f t="shared" ref="AQ94:AQ96" si="222">IF(H94 &lt;= 36089, ((1 - 6.87535*10^(-6)*H94) + ((I94*1.8)/518.67)), 0.75187 + ((I94*1.8)/518.67))</f>
        <v>0.92829992071837586</v>
      </c>
      <c r="AR94" s="11">
        <f t="shared" ref="AR94:AR96" si="223">IF(H94 &lt;= 36089, (1 - 6.87535*10^(-6)*H94)^5.2561, 0.22336*EXP((36089 - H94)/(20806.7)))</f>
        <v>0.49937958210548988</v>
      </c>
      <c r="AS94" s="11">
        <f t="shared" ref="AS94:AS96" si="224">(AR94/AQ94)</f>
        <v>0.53795068916847377</v>
      </c>
      <c r="AT94" s="11">
        <f t="shared" ref="AT94:AT96" si="225">(518.67*AQ94)</f>
        <v>481.48131987899995</v>
      </c>
      <c r="AU94" s="11">
        <f t="shared" ref="AU94:AU96" si="226">2116.22*AR94</f>
        <v>1056.7970592432796</v>
      </c>
      <c r="AV94" s="11">
        <f t="shared" ref="AV94:AV96" si="227">(0.0023769*AS94)</f>
        <v>1.2786549930845453E-3</v>
      </c>
      <c r="AW94" s="11">
        <f t="shared" ref="AW94:AW96" si="228">((2.2697*10^-8)*(AT94^1.5))/(AT94+198.72)</f>
        <v>3.5253330369939681E-7</v>
      </c>
      <c r="AX94" s="41">
        <f t="shared" ref="AX94:AX96" ca="1" si="229">(1/U94)*(((1 + 0.2*(U94)^2)/1.2)^3)</f>
        <v>2.2061626904024068</v>
      </c>
      <c r="AY94" s="41">
        <f t="shared" ref="AY94:AY96" ca="1" si="230">($H$4/$H$3)*AX94</f>
        <v>2.9717449750188711</v>
      </c>
      <c r="AZ94" s="41">
        <f t="shared" ref="AZ94:AZ96" si="231">-6.6*10^(-3) + 0.825*J94 - 0.243*(J94^2)</f>
        <v>0.35430464035867143</v>
      </c>
    </row>
    <row r="95" spans="1:52" s="103" customFormat="1" ht="14.5">
      <c r="A95" s="41">
        <f t="shared" ca="1" si="188"/>
        <v>3332.2771310973521</v>
      </c>
      <c r="B95" s="41">
        <f t="shared" ca="1" si="189"/>
        <v>55.53795218495587</v>
      </c>
      <c r="C95" s="41">
        <f t="shared" ca="1" si="190"/>
        <v>0.92563253641593113</v>
      </c>
      <c r="D95" s="41">
        <f t="shared" ca="1" si="191"/>
        <v>12386.547224556172</v>
      </c>
      <c r="E95" s="41">
        <f t="shared" ca="1" si="192"/>
        <v>295.33810374883802</v>
      </c>
      <c r="F95" s="7">
        <f t="shared" si="193"/>
        <v>282.85714285714283</v>
      </c>
      <c r="G95" s="41"/>
      <c r="H95" s="7">
        <f t="shared" si="194"/>
        <v>18000</v>
      </c>
      <c r="I95" s="6">
        <v>15</v>
      </c>
      <c r="J95" s="41">
        <f t="shared" si="195"/>
        <v>0.5158343068733543</v>
      </c>
      <c r="K95" s="41">
        <f t="shared" si="196"/>
        <v>554.87268879171449</v>
      </c>
      <c r="L95" s="6">
        <f t="shared" si="140"/>
        <v>245</v>
      </c>
      <c r="M95" s="41">
        <f t="shared" si="197"/>
        <v>328.75319014607015</v>
      </c>
      <c r="N95" s="41">
        <f t="shared" si="198"/>
        <v>196.8385156375023</v>
      </c>
      <c r="O95" s="41">
        <f t="shared" si="199"/>
        <v>2012549.5282418809</v>
      </c>
      <c r="P95" s="41">
        <f t="shared" si="200"/>
        <v>12921982.158001004</v>
      </c>
      <c r="Q95" s="41">
        <f t="shared" si="201"/>
        <v>2.8142593213275591E-3</v>
      </c>
      <c r="R95" s="41">
        <f t="shared" si="202"/>
        <v>1.9061063126224184E-2</v>
      </c>
      <c r="S95" s="24">
        <f t="shared" ca="1" si="203"/>
        <v>1.0517500752306187E-15</v>
      </c>
      <c r="T95" s="10">
        <f t="shared" ca="1" si="204"/>
        <v>0</v>
      </c>
      <c r="U95" s="41">
        <f t="shared" ca="1" si="205"/>
        <v>0.27359763903840212</v>
      </c>
      <c r="V95" s="41">
        <f t="shared" ca="1" si="206"/>
        <v>2.3788701854221807E-2</v>
      </c>
      <c r="W95" s="41">
        <f t="shared" ca="1" si="207"/>
        <v>11.501158857470251</v>
      </c>
      <c r="X95" s="20">
        <f t="shared" ca="1" si="208"/>
        <v>1076.9825352434673</v>
      </c>
      <c r="Y95" s="41">
        <f t="shared" si="209"/>
        <v>0.54936851317696045</v>
      </c>
      <c r="Z95" s="41">
        <f t="shared" ca="1" si="210"/>
        <v>200.28105683697231</v>
      </c>
      <c r="AA95" s="14">
        <f t="shared" ca="1" si="211"/>
        <v>1076.9825352434673</v>
      </c>
      <c r="AB95" s="14">
        <f t="shared" si="114"/>
        <v>2916.5765113289031</v>
      </c>
      <c r="AC95" s="25">
        <f t="shared" ca="1" si="212"/>
        <v>597588.19511226006</v>
      </c>
      <c r="AD95" s="41">
        <f t="shared" si="213"/>
        <v>1618328.6509078268</v>
      </c>
      <c r="AE95" s="5">
        <f t="shared" ca="1" si="214"/>
        <v>36.92625689948909</v>
      </c>
      <c r="AF95" s="7">
        <f t="shared" ca="1" si="215"/>
        <v>1076.9825352434673</v>
      </c>
      <c r="AG95" s="41">
        <f t="shared" ca="1" si="216"/>
        <v>1839.5939760854358</v>
      </c>
      <c r="AH95" s="41">
        <f t="shared" ca="1" si="217"/>
        <v>1020740.4557955668</v>
      </c>
      <c r="AI95" s="41">
        <f t="shared" ca="1" si="218"/>
        <v>854.50775538248536</v>
      </c>
      <c r="AJ95" s="13">
        <f t="shared" ca="1" si="219"/>
        <v>0</v>
      </c>
      <c r="AK95" s="11"/>
      <c r="AL95" s="6">
        <v>0</v>
      </c>
      <c r="AM95" s="41">
        <f t="shared" si="220"/>
        <v>140.7916810332664</v>
      </c>
      <c r="AN95" s="41">
        <f t="shared" ca="1" si="221"/>
        <v>33.418773148962032</v>
      </c>
      <c r="AO95" s="6">
        <f t="shared" si="142"/>
        <v>12.857142857142858</v>
      </c>
      <c r="AP95" s="67">
        <f t="shared" si="143"/>
        <v>0.7934276809691363</v>
      </c>
      <c r="AQ95" s="11">
        <f t="shared" si="222"/>
        <v>0.92829992071837586</v>
      </c>
      <c r="AR95" s="11">
        <f t="shared" si="223"/>
        <v>0.49937958210548988</v>
      </c>
      <c r="AS95" s="11">
        <f t="shared" si="224"/>
        <v>0.53795068916847377</v>
      </c>
      <c r="AT95" s="11">
        <f t="shared" si="225"/>
        <v>481.48131987899995</v>
      </c>
      <c r="AU95" s="11">
        <f t="shared" si="226"/>
        <v>1056.7970592432796</v>
      </c>
      <c r="AV95" s="11">
        <f t="shared" si="227"/>
        <v>1.2786549930845453E-3</v>
      </c>
      <c r="AW95" s="11">
        <f t="shared" si="228"/>
        <v>3.5253330369939681E-7</v>
      </c>
      <c r="AX95" s="41">
        <f t="shared" ca="1" si="229"/>
        <v>2.211591891324705</v>
      </c>
      <c r="AY95" s="41">
        <f t="shared" ca="1" si="230"/>
        <v>2.9790582165261261</v>
      </c>
      <c r="AZ95" s="41">
        <f t="shared" si="231"/>
        <v>0.35430464035867143</v>
      </c>
    </row>
    <row r="96" spans="1:52" s="103" customFormat="1" ht="14.5">
      <c r="A96" s="41">
        <f t="shared" ca="1" si="188"/>
        <v>3473.0688121306184</v>
      </c>
      <c r="B96" s="41">
        <f t="shared" ca="1" si="189"/>
        <v>57.884480202176974</v>
      </c>
      <c r="C96" s="41">
        <f t="shared" ca="1" si="190"/>
        <v>0.96474133670294959</v>
      </c>
      <c r="D96" s="41">
        <f t="shared" ca="1" si="191"/>
        <v>12353.12845140721</v>
      </c>
      <c r="E96" s="41">
        <f t="shared" ca="1" si="192"/>
        <v>308.19524660598086</v>
      </c>
      <c r="F96" s="7">
        <f t="shared" si="193"/>
        <v>295.71428571428567</v>
      </c>
      <c r="G96" s="41"/>
      <c r="H96" s="7">
        <f t="shared" si="194"/>
        <v>18000</v>
      </c>
      <c r="I96" s="6">
        <v>15</v>
      </c>
      <c r="J96" s="41">
        <f t="shared" si="195"/>
        <v>0.5158343068733543</v>
      </c>
      <c r="K96" s="41">
        <f t="shared" si="196"/>
        <v>554.87268879171449</v>
      </c>
      <c r="L96" s="6">
        <f t="shared" si="140"/>
        <v>245</v>
      </c>
      <c r="M96" s="41">
        <f t="shared" si="197"/>
        <v>328.75319014607015</v>
      </c>
      <c r="N96" s="41">
        <f t="shared" si="198"/>
        <v>196.8385156375023</v>
      </c>
      <c r="O96" s="41">
        <f t="shared" si="199"/>
        <v>2012549.5282418809</v>
      </c>
      <c r="P96" s="41">
        <f t="shared" si="200"/>
        <v>12921982.158001004</v>
      </c>
      <c r="Q96" s="41">
        <f t="shared" si="201"/>
        <v>2.8142593213275591E-3</v>
      </c>
      <c r="R96" s="41">
        <f t="shared" si="202"/>
        <v>1.9061063126224184E-2</v>
      </c>
      <c r="S96" s="24">
        <f t="shared" ca="1" si="203"/>
        <v>2.109190724684892E-15</v>
      </c>
      <c r="T96" s="10">
        <f t="shared" ca="1" si="204"/>
        <v>1.054595362342446E-15</v>
      </c>
      <c r="U96" s="41">
        <f t="shared" ca="1" si="205"/>
        <v>0.27285947550764922</v>
      </c>
      <c r="V96" s="41">
        <f t="shared" ca="1" si="206"/>
        <v>2.376322602902153E-2</v>
      </c>
      <c r="W96" s="41">
        <f t="shared" ca="1" si="207"/>
        <v>11.48242562581409</v>
      </c>
      <c r="X96" s="20">
        <f t="shared" ca="1" si="208"/>
        <v>1075.8291718115429</v>
      </c>
      <c r="Y96" s="41">
        <f t="shared" si="209"/>
        <v>0.54936851317696045</v>
      </c>
      <c r="Z96" s="41">
        <f t="shared" ca="1" si="210"/>
        <v>200.0106962718591</v>
      </c>
      <c r="AA96" s="14">
        <f t="shared" ca="1" si="211"/>
        <v>1075.8291718115431</v>
      </c>
      <c r="AB96" s="14">
        <f t="shared" si="114"/>
        <v>2916.5765113289031</v>
      </c>
      <c r="AC96" s="25">
        <f t="shared" ca="1" si="212"/>
        <v>596948.22524363431</v>
      </c>
      <c r="AD96" s="41">
        <f t="shared" si="213"/>
        <v>1618328.6509078268</v>
      </c>
      <c r="AE96" s="5">
        <f t="shared" ca="1" si="214"/>
        <v>36.886711788039271</v>
      </c>
      <c r="AF96" s="7">
        <f t="shared" ca="1" si="215"/>
        <v>1075.8291718115431</v>
      </c>
      <c r="AG96" s="41">
        <f t="shared" ca="1" si="216"/>
        <v>1840.7473395173599</v>
      </c>
      <c r="AH96" s="41">
        <f t="shared" ca="1" si="217"/>
        <v>1021380.4256641925</v>
      </c>
      <c r="AI96" s="41">
        <f t="shared" ca="1" si="218"/>
        <v>853.59264490937915</v>
      </c>
      <c r="AJ96" s="13">
        <f t="shared" ca="1" si="219"/>
        <v>1.02130762381305E-14</v>
      </c>
      <c r="AK96" s="11"/>
      <c r="AL96" s="6">
        <v>0</v>
      </c>
      <c r="AM96" s="41">
        <f t="shared" si="220"/>
        <v>140.7916810332664</v>
      </c>
      <c r="AN96" s="41">
        <f t="shared" ca="1" si="221"/>
        <v>33.382984276228761</v>
      </c>
      <c r="AO96" s="6">
        <f t="shared" si="142"/>
        <v>12.857142857142858</v>
      </c>
      <c r="AP96" s="67">
        <f t="shared" si="143"/>
        <v>0.7934276809691363</v>
      </c>
      <c r="AQ96" s="11">
        <f t="shared" si="222"/>
        <v>0.92829992071837586</v>
      </c>
      <c r="AR96" s="11">
        <f t="shared" si="223"/>
        <v>0.49937958210548988</v>
      </c>
      <c r="AS96" s="11">
        <f t="shared" si="224"/>
        <v>0.53795068916847377</v>
      </c>
      <c r="AT96" s="11">
        <f t="shared" si="225"/>
        <v>481.48131987899995</v>
      </c>
      <c r="AU96" s="11">
        <f t="shared" si="226"/>
        <v>1056.7970592432796</v>
      </c>
      <c r="AV96" s="11">
        <f t="shared" si="227"/>
        <v>1.2786549930845453E-3</v>
      </c>
      <c r="AW96" s="11">
        <f t="shared" si="228"/>
        <v>3.5253330369939681E-7</v>
      </c>
      <c r="AX96" s="41">
        <f t="shared" ca="1" si="229"/>
        <v>2.2170461353233279</v>
      </c>
      <c r="AY96" s="41">
        <f t="shared" ca="1" si="230"/>
        <v>2.9864051915547347</v>
      </c>
      <c r="AZ96" s="41">
        <f t="shared" si="231"/>
        <v>0.35430464035867143</v>
      </c>
    </row>
    <row r="97" spans="1:52" s="103" customFormat="1" ht="14.5">
      <c r="A97" s="41">
        <f t="shared" ref="A97:A143" ca="1" si="232">A96+AM96</f>
        <v>3613.8604931638847</v>
      </c>
      <c r="B97" s="41">
        <f t="shared" ref="B97:B143" ca="1" si="233">A97/60</f>
        <v>60.231008219398078</v>
      </c>
      <c r="C97" s="41">
        <f t="shared" ref="C97:C143" ca="1" si="234">B97/60</f>
        <v>1.0038501369899679</v>
      </c>
      <c r="D97" s="41">
        <f t="shared" ref="D97:D143" ca="1" si="235">D96-AN96</f>
        <v>12319.745467130982</v>
      </c>
      <c r="E97" s="41">
        <f t="shared" ref="E97:E143" ca="1" si="236">E96+AO96</f>
        <v>321.05238946312369</v>
      </c>
      <c r="F97" s="7">
        <f t="shared" ref="F97:F143" si="237">F96+AO96</f>
        <v>308.5714285714285</v>
      </c>
      <c r="G97" s="41"/>
      <c r="H97" s="7">
        <f t="shared" ref="H97:H143" si="238">H96+AL96</f>
        <v>18000</v>
      </c>
      <c r="I97" s="6">
        <v>15</v>
      </c>
      <c r="J97" s="41">
        <f t="shared" ref="J97:J143" si="239">SQRT((((((((L97^2)*(0.2))/(661.477)^2) + 1)^(3.5) - 1)*(1/AR97) + 1)^(1/3.5) - 1)*(5))</f>
        <v>0.5158343068733543</v>
      </c>
      <c r="K97" s="41">
        <f t="shared" ref="K97:K143" si="240">SQRT((1.4*2116.22*AR97*(J97)^2)/AV97)</f>
        <v>554.87268879171449</v>
      </c>
      <c r="L97" s="6">
        <f t="shared" si="140"/>
        <v>245</v>
      </c>
      <c r="M97" s="41">
        <f t="shared" ref="M97:M143" si="241">K97*0.592484</f>
        <v>328.75319014607015</v>
      </c>
      <c r="N97" s="41">
        <f t="shared" ref="N97:N143" si="242">0.5*AV97*K97^2</f>
        <v>196.8385156375023</v>
      </c>
      <c r="O97" s="41">
        <f t="shared" ref="O97:O143" si="243">P97/$B$7</f>
        <v>2012549.5282418809</v>
      </c>
      <c r="P97" s="41">
        <f t="shared" ref="P97:P143" si="244">(AV97*K97*$B$7)/(AW97)</f>
        <v>12921982.158001004</v>
      </c>
      <c r="Q97" s="41">
        <f t="shared" ref="Q97:Q143" si="245">0.455/(LOG10(P97)^2.58 * (1+0.144*J97*J97)^0.65)</f>
        <v>2.8142593213275591E-3</v>
      </c>
      <c r="R97" s="41">
        <f t="shared" ref="R97:R143" si="246">(((Q97*$B$4)+$B$17)+(0.1*(Q97*$B$4)))</f>
        <v>1.9061063126224184E-2</v>
      </c>
      <c r="S97" s="24">
        <f t="shared" ref="S97:S143" ca="1" si="247">T97</f>
        <v>0</v>
      </c>
      <c r="T97" s="10">
        <f t="shared" ref="T97:T143" ca="1" si="248">DEGREES(ASIN(((AF97-X97)/(D97))))</f>
        <v>0</v>
      </c>
      <c r="U97" s="41">
        <f t="shared" ref="U97:U143" ca="1" si="249">(D97*COS(RADIANS(S97)))/(N97*$B$3)</f>
        <v>0.27212210249187252</v>
      </c>
      <c r="V97" s="41">
        <f t="shared" ref="V97:V143" ca="1" si="250">(X97)/(N97*$B$3)</f>
        <v>2.3737846202253488E-2</v>
      </c>
      <c r="W97" s="41">
        <f t="shared" ref="W97:W143" ca="1" si="251">U97/V97</f>
        <v>11.46363912603155</v>
      </c>
      <c r="X97" s="20">
        <f t="shared" ref="X97:X143" ca="1" si="252">(N97*$B$3*R97)+((N97*$B$3)*((U97^2)/(PI()*$B$6*$B$5)))</f>
        <v>1074.6801545030664</v>
      </c>
      <c r="Y97" s="41">
        <f t="shared" ref="Y97:Y143" si="253">SQRT(PI()*$B$6*$B$5*R97)</f>
        <v>0.54936851317696045</v>
      </c>
      <c r="Z97" s="41">
        <f t="shared" ref="Z97:Z143" ca="1" si="254">SQRT((2*((U97*N97*$B$3)/(D97))*D97)/(AV97*$B$3*$B$18))</f>
        <v>199.74025988015171</v>
      </c>
      <c r="AA97" s="14">
        <f t="shared" ref="AA97:AA143" ca="1" si="255">D97/W97</f>
        <v>1074.6801545030662</v>
      </c>
      <c r="AB97" s="14">
        <f t="shared" si="114"/>
        <v>2916.5765113289031</v>
      </c>
      <c r="AC97" s="25">
        <f t="shared" ref="AC97:AC143" ca="1" si="256">AA97*K97</f>
        <v>596310.66692021152</v>
      </c>
      <c r="AD97" s="41">
        <f t="shared" ref="AD97:AD143" si="257">AB97*K97</f>
        <v>1618328.6509078268</v>
      </c>
      <c r="AE97" s="5">
        <f t="shared" ref="AE97:AE143" ca="1" si="258">(AA97/AB97)*100</f>
        <v>36.847315691142327</v>
      </c>
      <c r="AF97" s="7">
        <f t="shared" ref="AF97:AF143" ca="1" si="259">(AB97)*(AE97/100)</f>
        <v>1074.6801545030664</v>
      </c>
      <c r="AG97" s="41">
        <f t="shared" ref="AG97:AG143" ca="1" si="260">AB97-AA97</f>
        <v>1841.8963568258368</v>
      </c>
      <c r="AH97" s="41">
        <f t="shared" ref="AH97:AH143" ca="1" si="261">AD97-AC97</f>
        <v>1022017.9839876153</v>
      </c>
      <c r="AI97" s="41">
        <f t="shared" ref="AI97:AI143" ca="1" si="262">(AP97*AF97)</f>
        <v>852.6809827709211</v>
      </c>
      <c r="AJ97" s="13">
        <f t="shared" ref="AJ97:AJ143" ca="1" si="263">K97*SIN(RADIANS(T97))</f>
        <v>0</v>
      </c>
      <c r="AK97" s="11"/>
      <c r="AL97" s="6">
        <v>0</v>
      </c>
      <c r="AM97" s="41">
        <f t="shared" ref="AM97:AM143" si="264">(AO97/M97)*3600</f>
        <v>140.7916810332664</v>
      </c>
      <c r="AN97" s="41">
        <f t="shared" ref="AN97:AN143" ca="1" si="265">AI97*(AM97/3600)</f>
        <v>33.347330263726569</v>
      </c>
      <c r="AO97" s="6">
        <f t="shared" si="142"/>
        <v>12.857142857142858</v>
      </c>
      <c r="AP97" s="67">
        <f t="shared" si="143"/>
        <v>0.7934276809691363</v>
      </c>
      <c r="AQ97" s="11">
        <f t="shared" ref="AQ97:AQ143" si="266">IF(H97 &lt;= 36089, ((1 - 6.87535*10^(-6)*H97) + ((I97*1.8)/518.67)), 0.75187 + ((I97*1.8)/518.67))</f>
        <v>0.92829992071837586</v>
      </c>
      <c r="AR97" s="11">
        <f t="shared" ref="AR97:AR143" si="267">IF(H97 &lt;= 36089, (1 - 6.87535*10^(-6)*H97)^5.2561, 0.22336*EXP((36089 - H97)/(20806.7)))</f>
        <v>0.49937958210548988</v>
      </c>
      <c r="AS97" s="11">
        <f t="shared" ref="AS97:AS143" si="268">(AR97/AQ97)</f>
        <v>0.53795068916847377</v>
      </c>
      <c r="AT97" s="11">
        <f t="shared" ref="AT97:AT143" si="269">(518.67*AQ97)</f>
        <v>481.48131987899995</v>
      </c>
      <c r="AU97" s="11">
        <f t="shared" ref="AU97:AU143" si="270">2116.22*AR97</f>
        <v>1056.7970592432796</v>
      </c>
      <c r="AV97" s="11">
        <f t="shared" ref="AV97:AV143" si="271">(0.0023769*AS97)</f>
        <v>1.2786549930845453E-3</v>
      </c>
      <c r="AW97" s="11">
        <f t="shared" ref="AW97:AW143" si="272">((2.2697*10^-8)*(AT97^1.5))/(AT97+198.72)</f>
        <v>3.5253330369939681E-7</v>
      </c>
      <c r="AX97" s="41">
        <f t="shared" ref="AX97:AX143" ca="1" si="273">(1/U97)*(((1 + 0.2*(U97)^2)/1.2)^3)</f>
        <v>2.2225255951748597</v>
      </c>
      <c r="AY97" s="41">
        <f t="shared" ref="AY97:AY143" ca="1" si="274">($H$4/$H$3)*AX97</f>
        <v>2.9937861328381885</v>
      </c>
      <c r="AZ97" s="41">
        <f t="shared" ref="AZ97:AZ143" si="275">-6.6*10^(-3) + 0.825*J97 - 0.243*(J97^2)</f>
        <v>0.35430464035867143</v>
      </c>
    </row>
    <row r="98" spans="1:52" s="105" customFormat="1" ht="14.5">
      <c r="A98" s="41">
        <f t="shared" ca="1" si="232"/>
        <v>3754.652174197151</v>
      </c>
      <c r="B98" s="41">
        <f t="shared" ca="1" si="233"/>
        <v>62.577536236619181</v>
      </c>
      <c r="C98" s="41">
        <f t="shared" ca="1" si="234"/>
        <v>1.0429589372769863</v>
      </c>
      <c r="D98" s="41">
        <f t="shared" ca="1" si="235"/>
        <v>12286.398136867256</v>
      </c>
      <c r="E98" s="41">
        <f t="shared" ca="1" si="236"/>
        <v>333.90953232026652</v>
      </c>
      <c r="F98" s="7">
        <f t="shared" si="237"/>
        <v>321.42857142857133</v>
      </c>
      <c r="G98" s="41"/>
      <c r="H98" s="7">
        <f t="shared" si="238"/>
        <v>18000</v>
      </c>
      <c r="I98" s="6">
        <v>15</v>
      </c>
      <c r="J98" s="41">
        <f t="shared" si="239"/>
        <v>0.5158343068733543</v>
      </c>
      <c r="K98" s="41">
        <f t="shared" si="240"/>
        <v>554.87268879171449</v>
      </c>
      <c r="L98" s="6">
        <f t="shared" si="140"/>
        <v>245</v>
      </c>
      <c r="M98" s="41">
        <f t="shared" si="241"/>
        <v>328.75319014607015</v>
      </c>
      <c r="N98" s="41">
        <f t="shared" si="242"/>
        <v>196.8385156375023</v>
      </c>
      <c r="O98" s="41">
        <f t="shared" si="243"/>
        <v>2012549.5282418809</v>
      </c>
      <c r="P98" s="41">
        <f t="shared" si="244"/>
        <v>12921982.158001004</v>
      </c>
      <c r="Q98" s="41">
        <f t="shared" si="245"/>
        <v>2.8142593213275591E-3</v>
      </c>
      <c r="R98" s="41">
        <f t="shared" si="246"/>
        <v>1.9061063126224184E-2</v>
      </c>
      <c r="S98" s="24">
        <f t="shared" ca="1" si="247"/>
        <v>0</v>
      </c>
      <c r="T98" s="10">
        <f t="shared" ca="1" si="248"/>
        <v>0</v>
      </c>
      <c r="U98" s="41">
        <f t="shared" ca="1" si="249"/>
        <v>0.27138551701224006</v>
      </c>
      <c r="V98" s="41">
        <f t="shared" ca="1" si="250"/>
        <v>2.3712562050918397E-2</v>
      </c>
      <c r="W98" s="41">
        <f t="shared" ca="1" si="251"/>
        <v>11.444799445521291</v>
      </c>
      <c r="X98" s="20">
        <f t="shared" ca="1" si="252"/>
        <v>1073.5354686949372</v>
      </c>
      <c r="Y98" s="41">
        <f t="shared" si="253"/>
        <v>0.54936851317696045</v>
      </c>
      <c r="Z98" s="41">
        <f t="shared" ca="1" si="254"/>
        <v>199.46974625870996</v>
      </c>
      <c r="AA98" s="14">
        <f t="shared" ca="1" si="255"/>
        <v>1073.5354686949372</v>
      </c>
      <c r="AB98" s="14">
        <f t="shared" si="114"/>
        <v>2916.5765113289031</v>
      </c>
      <c r="AC98" s="25">
        <f t="shared" ca="1" si="256"/>
        <v>595675.51202803326</v>
      </c>
      <c r="AD98" s="41">
        <f t="shared" si="257"/>
        <v>1618328.6509078268</v>
      </c>
      <c r="AE98" s="5">
        <f t="shared" ca="1" si="258"/>
        <v>36.808068107419331</v>
      </c>
      <c r="AF98" s="7">
        <f t="shared" ca="1" si="259"/>
        <v>1073.5354686949372</v>
      </c>
      <c r="AG98" s="41">
        <f t="shared" ca="1" si="260"/>
        <v>1843.0410426339658</v>
      </c>
      <c r="AH98" s="41">
        <f t="shared" ca="1" si="261"/>
        <v>1022653.1388797936</v>
      </c>
      <c r="AI98" s="41">
        <f t="shared" ca="1" si="262"/>
        <v>851.77275736473882</v>
      </c>
      <c r="AJ98" s="13">
        <f t="shared" ca="1" si="263"/>
        <v>0</v>
      </c>
      <c r="AK98" s="11"/>
      <c r="AL98" s="6">
        <v>0</v>
      </c>
      <c r="AM98" s="41">
        <f t="shared" si="264"/>
        <v>140.7916810332664</v>
      </c>
      <c r="AN98" s="41">
        <f t="shared" ca="1" si="265"/>
        <v>33.31181065770059</v>
      </c>
      <c r="AO98" s="6">
        <f t="shared" si="142"/>
        <v>12.857142857142858</v>
      </c>
      <c r="AP98" s="67">
        <f t="shared" si="143"/>
        <v>0.7934276809691363</v>
      </c>
      <c r="AQ98" s="11">
        <f t="shared" si="266"/>
        <v>0.92829992071837586</v>
      </c>
      <c r="AR98" s="11">
        <f t="shared" si="267"/>
        <v>0.49937958210548988</v>
      </c>
      <c r="AS98" s="11">
        <f t="shared" si="268"/>
        <v>0.53795068916847377</v>
      </c>
      <c r="AT98" s="11">
        <f t="shared" si="269"/>
        <v>481.48131987899995</v>
      </c>
      <c r="AU98" s="11">
        <f t="shared" si="270"/>
        <v>1056.7970592432796</v>
      </c>
      <c r="AV98" s="11">
        <f t="shared" si="271"/>
        <v>1.2786549930845453E-3</v>
      </c>
      <c r="AW98" s="11">
        <f t="shared" si="272"/>
        <v>3.5253330369939681E-7</v>
      </c>
      <c r="AX98" s="41">
        <f t="shared" ca="1" si="273"/>
        <v>2.2280304452955342</v>
      </c>
      <c r="AY98" s="41">
        <f t="shared" ca="1" si="274"/>
        <v>3.0012012753186204</v>
      </c>
      <c r="AZ98" s="41">
        <f t="shared" si="275"/>
        <v>0.35430464035867143</v>
      </c>
    </row>
    <row r="99" spans="1:52" s="104" customFormat="1" ht="14.5">
      <c r="A99" s="41">
        <f t="shared" ca="1" si="232"/>
        <v>3895.4438552304173</v>
      </c>
      <c r="B99" s="41">
        <f t="shared" ca="1" si="233"/>
        <v>64.924064253840285</v>
      </c>
      <c r="C99" s="41">
        <f t="shared" ca="1" si="234"/>
        <v>1.0820677375640047</v>
      </c>
      <c r="D99" s="41">
        <f t="shared" ca="1" si="235"/>
        <v>12253.086326209555</v>
      </c>
      <c r="E99" s="41">
        <f t="shared" ca="1" si="236"/>
        <v>346.76667517740935</v>
      </c>
      <c r="F99" s="7">
        <f t="shared" si="237"/>
        <v>334.28571428571416</v>
      </c>
      <c r="G99" s="41"/>
      <c r="H99" s="7">
        <f t="shared" si="238"/>
        <v>18000</v>
      </c>
      <c r="I99" s="6">
        <v>15</v>
      </c>
      <c r="J99" s="41">
        <f t="shared" si="239"/>
        <v>0.5158343068733543</v>
      </c>
      <c r="K99" s="41">
        <f t="shared" si="240"/>
        <v>554.87268879171449</v>
      </c>
      <c r="L99" s="6">
        <f t="shared" si="140"/>
        <v>245</v>
      </c>
      <c r="M99" s="41">
        <f t="shared" si="241"/>
        <v>328.75319014607015</v>
      </c>
      <c r="N99" s="41">
        <f t="shared" si="242"/>
        <v>196.8385156375023</v>
      </c>
      <c r="O99" s="41">
        <f t="shared" si="243"/>
        <v>2012549.5282418809</v>
      </c>
      <c r="P99" s="41">
        <f t="shared" si="244"/>
        <v>12921982.158001004</v>
      </c>
      <c r="Q99" s="41">
        <f t="shared" si="245"/>
        <v>2.8142593213275591E-3</v>
      </c>
      <c r="R99" s="41">
        <f t="shared" si="246"/>
        <v>1.9061063126224184E-2</v>
      </c>
      <c r="S99" s="24">
        <f t="shared" ca="1" si="247"/>
        <v>2.1264115225252943E-15</v>
      </c>
      <c r="T99" s="10">
        <f t="shared" ca="1" si="248"/>
        <v>1.0632057612626472E-15</v>
      </c>
      <c r="U99" s="41">
        <f t="shared" ca="1" si="249"/>
        <v>0.27064971609994282</v>
      </c>
      <c r="V99" s="41">
        <f t="shared" ca="1" si="250"/>
        <v>2.3687373253703851E-2</v>
      </c>
      <c r="W99" s="41">
        <f t="shared" ca="1" si="251"/>
        <v>11.425906671927963</v>
      </c>
      <c r="X99" s="20">
        <f t="shared" ca="1" si="252"/>
        <v>1072.3950998404239</v>
      </c>
      <c r="Y99" s="41">
        <f t="shared" si="253"/>
        <v>0.54936851317696045</v>
      </c>
      <c r="Z99" s="41">
        <f t="shared" ca="1" si="254"/>
        <v>199.19915400037161</v>
      </c>
      <c r="AA99" s="14">
        <f t="shared" ca="1" si="255"/>
        <v>1072.3950998404241</v>
      </c>
      <c r="AB99" s="14">
        <f t="shared" si="114"/>
        <v>2916.5765113289031</v>
      </c>
      <c r="AC99" s="25">
        <f t="shared" ca="1" si="256"/>
        <v>595042.75249551528</v>
      </c>
      <c r="AD99" s="41">
        <f t="shared" si="257"/>
        <v>1618328.6509078268</v>
      </c>
      <c r="AE99" s="5">
        <f t="shared" ca="1" si="258"/>
        <v>36.768968538109775</v>
      </c>
      <c r="AF99" s="7">
        <f t="shared" ca="1" si="259"/>
        <v>1072.3950998404241</v>
      </c>
      <c r="AG99" s="41">
        <f t="shared" ca="1" si="260"/>
        <v>1844.1814114884789</v>
      </c>
      <c r="AH99" s="41">
        <f t="shared" ca="1" si="261"/>
        <v>1023285.8984123116</v>
      </c>
      <c r="AI99" s="41">
        <f t="shared" ca="1" si="262"/>
        <v>850.86795714905304</v>
      </c>
      <c r="AJ99" s="13">
        <f t="shared" ca="1" si="263"/>
        <v>1.0296462400968733E-14</v>
      </c>
      <c r="AK99" s="11"/>
      <c r="AL99" s="6">
        <v>0</v>
      </c>
      <c r="AM99" s="41">
        <f t="shared" si="264"/>
        <v>140.7916810332664</v>
      </c>
      <c r="AN99" s="41">
        <f t="shared" ca="1" si="265"/>
        <v>33.276425006765685</v>
      </c>
      <c r="AO99" s="6">
        <f t="shared" si="142"/>
        <v>12.857142857142858</v>
      </c>
      <c r="AP99" s="67">
        <f t="shared" si="143"/>
        <v>0.7934276809691363</v>
      </c>
      <c r="AQ99" s="11">
        <f t="shared" si="266"/>
        <v>0.92829992071837586</v>
      </c>
      <c r="AR99" s="11">
        <f t="shared" si="267"/>
        <v>0.49937958210548988</v>
      </c>
      <c r="AS99" s="11">
        <f t="shared" si="268"/>
        <v>0.53795068916847377</v>
      </c>
      <c r="AT99" s="11">
        <f t="shared" si="269"/>
        <v>481.48131987899995</v>
      </c>
      <c r="AU99" s="11">
        <f t="shared" si="270"/>
        <v>1056.7970592432796</v>
      </c>
      <c r="AV99" s="11">
        <f t="shared" si="271"/>
        <v>1.2786549930845453E-3</v>
      </c>
      <c r="AW99" s="11">
        <f t="shared" si="272"/>
        <v>3.5253330369939681E-7</v>
      </c>
      <c r="AX99" s="41">
        <f t="shared" ca="1" si="273"/>
        <v>2.2335608617604072</v>
      </c>
      <c r="AY99" s="41">
        <f t="shared" ca="1" si="274"/>
        <v>3.0086508561726282</v>
      </c>
      <c r="AZ99" s="41">
        <f t="shared" si="275"/>
        <v>0.35430464035867143</v>
      </c>
    </row>
    <row r="100" spans="1:52" ht="14.5">
      <c r="A100" s="41">
        <f t="shared" ca="1" si="232"/>
        <v>4036.2355362636836</v>
      </c>
      <c r="B100" s="41">
        <f t="shared" ca="1" si="233"/>
        <v>67.270592271061389</v>
      </c>
      <c r="C100" s="41">
        <f t="shared" ca="1" si="234"/>
        <v>1.1211765378510232</v>
      </c>
      <c r="D100" s="41">
        <f t="shared" ca="1" si="235"/>
        <v>12219.809901202791</v>
      </c>
      <c r="E100" s="41">
        <f t="shared" ca="1" si="236"/>
        <v>359.62381803455219</v>
      </c>
      <c r="F100" s="7">
        <f t="shared" si="237"/>
        <v>347.142857142857</v>
      </c>
      <c r="G100" s="41"/>
      <c r="H100" s="7">
        <f t="shared" si="238"/>
        <v>18000</v>
      </c>
      <c r="I100" s="6">
        <v>15</v>
      </c>
      <c r="J100" s="41">
        <f t="shared" si="239"/>
        <v>0.5158343068733543</v>
      </c>
      <c r="K100" s="41">
        <f t="shared" si="240"/>
        <v>554.87268879171449</v>
      </c>
      <c r="L100" s="6">
        <f t="shared" si="140"/>
        <v>245</v>
      </c>
      <c r="M100" s="41">
        <f t="shared" si="241"/>
        <v>328.75319014607015</v>
      </c>
      <c r="N100" s="41">
        <f t="shared" si="242"/>
        <v>196.8385156375023</v>
      </c>
      <c r="O100" s="41">
        <f t="shared" si="243"/>
        <v>2012549.5282418809</v>
      </c>
      <c r="P100" s="41">
        <f t="shared" si="244"/>
        <v>12921982.158001004</v>
      </c>
      <c r="Q100" s="41">
        <f t="shared" si="245"/>
        <v>2.8142593213275591E-3</v>
      </c>
      <c r="R100" s="41">
        <f t="shared" si="246"/>
        <v>1.9061063126224184E-2</v>
      </c>
      <c r="S100" s="24">
        <f t="shared" ca="1" si="247"/>
        <v>0</v>
      </c>
      <c r="T100" s="10">
        <f t="shared" ca="1" si="248"/>
        <v>0</v>
      </c>
      <c r="U100" s="41">
        <f t="shared" ca="1" si="249"/>
        <v>0.269914696796142</v>
      </c>
      <c r="V100" s="41">
        <f t="shared" ca="1" si="250"/>
        <v>2.3662279490974915E-2</v>
      </c>
      <c r="W100" s="41">
        <f t="shared" ca="1" si="251"/>
        <v>11.406960893141795</v>
      </c>
      <c r="X100" s="20">
        <f t="shared" ca="1" si="252"/>
        <v>1071.2590334687395</v>
      </c>
      <c r="Y100" s="41">
        <f t="shared" si="253"/>
        <v>0.54936851317696045</v>
      </c>
      <c r="Z100" s="41">
        <f t="shared" ca="1" si="254"/>
        <v>198.9284816938999</v>
      </c>
      <c r="AA100" s="14">
        <f t="shared" ca="1" si="255"/>
        <v>1071.2590334687397</v>
      </c>
      <c r="AB100" s="14">
        <f t="shared" si="114"/>
        <v>2916.5765113289031</v>
      </c>
      <c r="AC100" s="25">
        <f t="shared" ca="1" si="256"/>
        <v>594412.38029321295</v>
      </c>
      <c r="AD100" s="41">
        <f t="shared" si="257"/>
        <v>1618328.6509078268</v>
      </c>
      <c r="AE100" s="5">
        <f t="shared" ca="1" si="258"/>
        <v>36.730016487057057</v>
      </c>
      <c r="AF100" s="7">
        <f t="shared" ca="1" si="259"/>
        <v>1071.2590334687395</v>
      </c>
      <c r="AG100" s="41">
        <f t="shared" ca="1" si="260"/>
        <v>1845.3174778601633</v>
      </c>
      <c r="AH100" s="41">
        <f t="shared" ca="1" si="261"/>
        <v>1023916.2706146139</v>
      </c>
      <c r="AI100" s="41">
        <f t="shared" ca="1" si="262"/>
        <v>849.96657064234034</v>
      </c>
      <c r="AJ100" s="13">
        <f t="shared" ca="1" si="263"/>
        <v>0</v>
      </c>
      <c r="AK100" s="11"/>
      <c r="AL100" s="6">
        <v>0</v>
      </c>
      <c r="AM100" s="41">
        <f t="shared" si="264"/>
        <v>140.7916810332664</v>
      </c>
      <c r="AN100" s="41">
        <f t="shared" ca="1" si="265"/>
        <v>33.24117286189324</v>
      </c>
      <c r="AO100" s="6">
        <f t="shared" si="142"/>
        <v>12.857142857142858</v>
      </c>
      <c r="AP100" s="67">
        <f t="shared" si="143"/>
        <v>0.7934276809691363</v>
      </c>
      <c r="AQ100" s="11">
        <f t="shared" si="266"/>
        <v>0.92829992071837586</v>
      </c>
      <c r="AR100" s="11">
        <f t="shared" si="267"/>
        <v>0.49937958210548988</v>
      </c>
      <c r="AS100" s="11">
        <f t="shared" si="268"/>
        <v>0.53795068916847377</v>
      </c>
      <c r="AT100" s="11">
        <f t="shared" si="269"/>
        <v>481.48131987899995</v>
      </c>
      <c r="AU100" s="11">
        <f t="shared" si="270"/>
        <v>1056.7970592432796</v>
      </c>
      <c r="AV100" s="11">
        <f t="shared" si="271"/>
        <v>1.2786549930845453E-3</v>
      </c>
      <c r="AW100" s="11">
        <f t="shared" si="272"/>
        <v>3.5253330369939681E-7</v>
      </c>
      <c r="AX100" s="41">
        <f t="shared" ca="1" si="273"/>
        <v>2.2391170223228136</v>
      </c>
      <c r="AY100" s="41">
        <f t="shared" ca="1" si="274"/>
        <v>3.0161351148374855</v>
      </c>
      <c r="AZ100" s="41">
        <f t="shared" si="275"/>
        <v>0.35430464035867143</v>
      </c>
    </row>
    <row r="101" spans="1:52" ht="14.5">
      <c r="A101" s="41">
        <f t="shared" ca="1" si="232"/>
        <v>4177.0272172969499</v>
      </c>
      <c r="B101" s="41">
        <f t="shared" ca="1" si="233"/>
        <v>69.617120288282493</v>
      </c>
      <c r="C101" s="41">
        <f t="shared" ca="1" si="234"/>
        <v>1.1602853381380416</v>
      </c>
      <c r="D101" s="41">
        <f t="shared" ca="1" si="235"/>
        <v>12186.568728340897</v>
      </c>
      <c r="E101" s="41">
        <f t="shared" ca="1" si="236"/>
        <v>372.48096089169502</v>
      </c>
      <c r="F101" s="7">
        <f t="shared" si="237"/>
        <v>359.99999999999983</v>
      </c>
      <c r="G101" s="41"/>
      <c r="H101" s="7">
        <f t="shared" si="238"/>
        <v>18000</v>
      </c>
      <c r="I101" s="6">
        <v>15</v>
      </c>
      <c r="J101" s="41">
        <f t="shared" si="239"/>
        <v>0.5158343068733543</v>
      </c>
      <c r="K101" s="41">
        <f t="shared" si="240"/>
        <v>554.87268879171449</v>
      </c>
      <c r="L101" s="6">
        <f t="shared" si="140"/>
        <v>245</v>
      </c>
      <c r="M101" s="41">
        <f t="shared" si="241"/>
        <v>328.75319014607015</v>
      </c>
      <c r="N101" s="41">
        <f t="shared" si="242"/>
        <v>196.8385156375023</v>
      </c>
      <c r="O101" s="41">
        <f t="shared" si="243"/>
        <v>2012549.5282418809</v>
      </c>
      <c r="P101" s="41">
        <f t="shared" si="244"/>
        <v>12921982.158001004</v>
      </c>
      <c r="Q101" s="41">
        <f t="shared" si="245"/>
        <v>2.8142593213275591E-3</v>
      </c>
      <c r="R101" s="41">
        <f t="shared" si="246"/>
        <v>1.9061063126224184E-2</v>
      </c>
      <c r="S101" s="24">
        <f t="shared" ca="1" si="247"/>
        <v>2.1380180534292461E-15</v>
      </c>
      <c r="T101" s="10">
        <f t="shared" ca="1" si="248"/>
        <v>1.0690090267146231E-15</v>
      </c>
      <c r="U101" s="41">
        <f t="shared" ca="1" si="249"/>
        <v>0.26918045615191699</v>
      </c>
      <c r="V101" s="41">
        <f t="shared" ca="1" si="250"/>
        <v>2.3637280444764795E-2</v>
      </c>
      <c r="W101" s="41">
        <f t="shared" ca="1" si="251"/>
        <v>11.387962197298179</v>
      </c>
      <c r="X101" s="20">
        <f t="shared" ca="1" si="252"/>
        <v>1070.1272551846182</v>
      </c>
      <c r="Y101" s="41">
        <f t="shared" si="253"/>
        <v>0.54936851317696045</v>
      </c>
      <c r="Z101" s="41">
        <f t="shared" ca="1" si="254"/>
        <v>198.65772792393102</v>
      </c>
      <c r="AA101" s="14">
        <f t="shared" ca="1" si="255"/>
        <v>1070.1272551846184</v>
      </c>
      <c r="AB101" s="14">
        <f t="shared" si="114"/>
        <v>2916.5765113289031</v>
      </c>
      <c r="AC101" s="25">
        <f t="shared" ca="1" si="256"/>
        <v>593784.38743358641</v>
      </c>
      <c r="AD101" s="41">
        <f t="shared" si="257"/>
        <v>1618328.6509078268</v>
      </c>
      <c r="AE101" s="5">
        <f t="shared" ca="1" si="258"/>
        <v>36.691211460693957</v>
      </c>
      <c r="AF101" s="7">
        <f t="shared" ca="1" si="259"/>
        <v>1070.1272551846184</v>
      </c>
      <c r="AG101" s="41">
        <f t="shared" ca="1" si="260"/>
        <v>1846.4492561442846</v>
      </c>
      <c r="AH101" s="41">
        <f t="shared" ca="1" si="261"/>
        <v>1024544.2634742404</v>
      </c>
      <c r="AI101" s="41">
        <f t="shared" ca="1" si="262"/>
        <v>849.06858642299892</v>
      </c>
      <c r="AJ101" s="13">
        <f t="shared" ca="1" si="263"/>
        <v>1.0352663285789136E-14</v>
      </c>
      <c r="AK101" s="11"/>
      <c r="AL101" s="6">
        <v>0</v>
      </c>
      <c r="AM101" s="41">
        <f t="shared" si="264"/>
        <v>140.7916810332664</v>
      </c>
      <c r="AN101" s="41">
        <f t="shared" ca="1" si="265"/>
        <v>33.206053776398122</v>
      </c>
      <c r="AO101" s="6">
        <f t="shared" si="142"/>
        <v>12.857142857142858</v>
      </c>
      <c r="AP101" s="67">
        <f t="shared" si="143"/>
        <v>0.7934276809691363</v>
      </c>
      <c r="AQ101" s="11">
        <f t="shared" si="266"/>
        <v>0.92829992071837586</v>
      </c>
      <c r="AR101" s="11">
        <f t="shared" si="267"/>
        <v>0.49937958210548988</v>
      </c>
      <c r="AS101" s="11">
        <f t="shared" si="268"/>
        <v>0.53795068916847377</v>
      </c>
      <c r="AT101" s="11">
        <f t="shared" si="269"/>
        <v>481.48131987899995</v>
      </c>
      <c r="AU101" s="11">
        <f t="shared" si="270"/>
        <v>1056.7970592432796</v>
      </c>
      <c r="AV101" s="11">
        <f t="shared" si="271"/>
        <v>1.2786549930845453E-3</v>
      </c>
      <c r="AW101" s="11">
        <f t="shared" si="272"/>
        <v>3.5253330369939681E-7</v>
      </c>
      <c r="AX101" s="41">
        <f t="shared" ca="1" si="273"/>
        <v>2.2446991064341035</v>
      </c>
      <c r="AY101" s="41">
        <f t="shared" ca="1" si="274"/>
        <v>3.0236542930377266</v>
      </c>
      <c r="AZ101" s="41">
        <f t="shared" si="275"/>
        <v>0.35430464035867143</v>
      </c>
    </row>
    <row r="102" spans="1:52" ht="14.5">
      <c r="A102" s="41">
        <f t="shared" ca="1" si="232"/>
        <v>4317.8188983302161</v>
      </c>
      <c r="B102" s="41">
        <f t="shared" ca="1" si="233"/>
        <v>71.963648305503597</v>
      </c>
      <c r="C102" s="41">
        <f t="shared" ca="1" si="234"/>
        <v>1.1993941384250599</v>
      </c>
      <c r="D102" s="41">
        <f t="shared" ca="1" si="235"/>
        <v>12153.3626745645</v>
      </c>
      <c r="E102" s="41">
        <f t="shared" ca="1" si="236"/>
        <v>385.33810374883785</v>
      </c>
      <c r="F102" s="7">
        <f t="shared" si="237"/>
        <v>372.85714285714266</v>
      </c>
      <c r="G102" s="41"/>
      <c r="H102" s="7">
        <f t="shared" si="238"/>
        <v>18000</v>
      </c>
      <c r="I102" s="6">
        <v>15</v>
      </c>
      <c r="J102" s="41">
        <f t="shared" si="239"/>
        <v>0.5158343068733543</v>
      </c>
      <c r="K102" s="41">
        <f t="shared" si="240"/>
        <v>554.87268879171449</v>
      </c>
      <c r="L102" s="6">
        <f t="shared" si="140"/>
        <v>245</v>
      </c>
      <c r="M102" s="41">
        <f t="shared" si="241"/>
        <v>328.75319014607015</v>
      </c>
      <c r="N102" s="41">
        <f t="shared" si="242"/>
        <v>196.8385156375023</v>
      </c>
      <c r="O102" s="41">
        <f t="shared" si="243"/>
        <v>2012549.5282418809</v>
      </c>
      <c r="P102" s="41">
        <f t="shared" si="244"/>
        <v>12921982.158001004</v>
      </c>
      <c r="Q102" s="41">
        <f t="shared" si="245"/>
        <v>2.8142593213275591E-3</v>
      </c>
      <c r="R102" s="41">
        <f t="shared" si="246"/>
        <v>1.9061063126224184E-2</v>
      </c>
      <c r="S102" s="24">
        <f t="shared" ca="1" si="247"/>
        <v>1.0719298291442941E-15</v>
      </c>
      <c r="T102" s="10">
        <f t="shared" ca="1" si="248"/>
        <v>0</v>
      </c>
      <c r="U102" s="41">
        <f t="shared" ca="1" si="249"/>
        <v>0.26844699122821386</v>
      </c>
      <c r="V102" s="41">
        <f t="shared" ca="1" si="250"/>
        <v>2.3612375798765576E-2</v>
      </c>
      <c r="W102" s="41">
        <f t="shared" ca="1" si="251"/>
        <v>11.368910672777279</v>
      </c>
      <c r="X102" s="20">
        <f t="shared" ca="1" si="252"/>
        <v>1068.9997506678967</v>
      </c>
      <c r="Y102" s="41">
        <f t="shared" si="253"/>
        <v>0.54936851317696045</v>
      </c>
      <c r="Z102" s="41">
        <f t="shared" ca="1" si="254"/>
        <v>198.38689127092113</v>
      </c>
      <c r="AA102" s="14">
        <f t="shared" ca="1" si="255"/>
        <v>1068.9997506678967</v>
      </c>
      <c r="AB102" s="14">
        <f t="shared" si="114"/>
        <v>2916.5765113289031</v>
      </c>
      <c r="AC102" s="25">
        <f t="shared" ca="1" si="256"/>
        <v>593158.76597076829</v>
      </c>
      <c r="AD102" s="41">
        <f t="shared" si="257"/>
        <v>1618328.6509078268</v>
      </c>
      <c r="AE102" s="5">
        <f t="shared" ca="1" si="258"/>
        <v>36.652552968028253</v>
      </c>
      <c r="AF102" s="7">
        <f t="shared" ca="1" si="259"/>
        <v>1068.9997506678967</v>
      </c>
      <c r="AG102" s="41">
        <f t="shared" ca="1" si="260"/>
        <v>1847.5767606610063</v>
      </c>
      <c r="AH102" s="41">
        <f t="shared" ca="1" si="261"/>
        <v>1025169.8849370586</v>
      </c>
      <c r="AI102" s="41">
        <f t="shared" ca="1" si="262"/>
        <v>848.17399312901421</v>
      </c>
      <c r="AJ102" s="13">
        <f t="shared" ca="1" si="263"/>
        <v>0</v>
      </c>
      <c r="AK102" s="11"/>
      <c r="AL102" s="6">
        <v>0</v>
      </c>
      <c r="AM102" s="41">
        <f t="shared" si="264"/>
        <v>140.7916810332664</v>
      </c>
      <c r="AN102" s="41">
        <f t="shared" ca="1" si="265"/>
        <v>33.171067305925568</v>
      </c>
      <c r="AO102" s="6">
        <f t="shared" si="142"/>
        <v>12.857142857142858</v>
      </c>
      <c r="AP102" s="67">
        <f t="shared" si="143"/>
        <v>0.7934276809691363</v>
      </c>
      <c r="AQ102" s="11">
        <f t="shared" si="266"/>
        <v>0.92829992071837586</v>
      </c>
      <c r="AR102" s="11">
        <f t="shared" si="267"/>
        <v>0.49937958210548988</v>
      </c>
      <c r="AS102" s="11">
        <f t="shared" si="268"/>
        <v>0.53795068916847377</v>
      </c>
      <c r="AT102" s="11">
        <f t="shared" si="269"/>
        <v>481.48131987899995</v>
      </c>
      <c r="AU102" s="11">
        <f t="shared" si="270"/>
        <v>1056.7970592432796</v>
      </c>
      <c r="AV102" s="11">
        <f t="shared" si="271"/>
        <v>1.2786549930845453E-3</v>
      </c>
      <c r="AW102" s="11">
        <f t="shared" si="272"/>
        <v>3.5253330369939681E-7</v>
      </c>
      <c r="AX102" s="41">
        <f t="shared" ca="1" si="273"/>
        <v>2.2503072952636467</v>
      </c>
      <c r="AY102" s="41">
        <f t="shared" ca="1" si="274"/>
        <v>3.0312086348120912</v>
      </c>
      <c r="AZ102" s="41">
        <f t="shared" si="275"/>
        <v>0.35430464035867143</v>
      </c>
    </row>
    <row r="103" spans="1:52" ht="14.5">
      <c r="A103" s="41">
        <f t="shared" ca="1" si="232"/>
        <v>4458.6105793634824</v>
      </c>
      <c r="B103" s="41">
        <f t="shared" ca="1" si="233"/>
        <v>74.310176322724701</v>
      </c>
      <c r="C103" s="41">
        <f t="shared" ca="1" si="234"/>
        <v>1.2385029387120783</v>
      </c>
      <c r="D103" s="41">
        <f t="shared" ca="1" si="235"/>
        <v>12120.191607258574</v>
      </c>
      <c r="E103" s="41">
        <f t="shared" ca="1" si="236"/>
        <v>398.19524660598069</v>
      </c>
      <c r="F103" s="7">
        <f t="shared" si="237"/>
        <v>385.7142857142855</v>
      </c>
      <c r="G103" s="41"/>
      <c r="H103" s="7">
        <f t="shared" si="238"/>
        <v>18000</v>
      </c>
      <c r="I103" s="6">
        <v>15</v>
      </c>
      <c r="J103" s="41">
        <f t="shared" si="239"/>
        <v>0.5158343068733543</v>
      </c>
      <c r="K103" s="41">
        <f t="shared" si="240"/>
        <v>554.87268879171449</v>
      </c>
      <c r="L103" s="6">
        <f t="shared" si="140"/>
        <v>245</v>
      </c>
      <c r="M103" s="41">
        <f t="shared" si="241"/>
        <v>328.75319014607015</v>
      </c>
      <c r="N103" s="41">
        <f t="shared" si="242"/>
        <v>196.8385156375023</v>
      </c>
      <c r="O103" s="41">
        <f t="shared" si="243"/>
        <v>2012549.5282418809</v>
      </c>
      <c r="P103" s="41">
        <f t="shared" si="244"/>
        <v>12921982.158001004</v>
      </c>
      <c r="Q103" s="41">
        <f t="shared" si="245"/>
        <v>2.8142593213275591E-3</v>
      </c>
      <c r="R103" s="41">
        <f t="shared" si="246"/>
        <v>1.9061063126224184E-2</v>
      </c>
      <c r="S103" s="24">
        <f t="shared" ca="1" si="247"/>
        <v>1.0748635333019479E-15</v>
      </c>
      <c r="T103" s="10">
        <f t="shared" ca="1" si="248"/>
        <v>0</v>
      </c>
      <c r="U103" s="41">
        <f t="shared" ca="1" si="249"/>
        <v>0.26771429909579353</v>
      </c>
      <c r="V103" s="41">
        <f t="shared" ca="1" si="250"/>
        <v>2.3587565238319036E-2</v>
      </c>
      <c r="W103" s="41">
        <f t="shared" ca="1" si="251"/>
        <v>11.349806408203586</v>
      </c>
      <c r="X103" s="20">
        <f t="shared" ca="1" si="252"/>
        <v>1067.8765056730974</v>
      </c>
      <c r="Y103" s="41">
        <f t="shared" si="253"/>
        <v>0.54936851317696045</v>
      </c>
      <c r="Z103" s="41">
        <f t="shared" ca="1" si="254"/>
        <v>198.11597031109284</v>
      </c>
      <c r="AA103" s="14">
        <f t="shared" ca="1" si="255"/>
        <v>1067.8765056730974</v>
      </c>
      <c r="AB103" s="14">
        <f t="shared" si="114"/>
        <v>2916.5765113289031</v>
      </c>
      <c r="AC103" s="25">
        <f t="shared" ca="1" si="256"/>
        <v>592535.50800033216</v>
      </c>
      <c r="AD103" s="41">
        <f t="shared" si="257"/>
        <v>1618328.6509078268</v>
      </c>
      <c r="AE103" s="5">
        <f t="shared" ca="1" si="258"/>
        <v>36.614040520628492</v>
      </c>
      <c r="AF103" s="7">
        <f t="shared" ca="1" si="259"/>
        <v>1067.8765056730974</v>
      </c>
      <c r="AG103" s="41">
        <f t="shared" ca="1" si="260"/>
        <v>1848.7000056558056</v>
      </c>
      <c r="AH103" s="41">
        <f t="shared" ca="1" si="261"/>
        <v>1025793.1429074947</v>
      </c>
      <c r="AI103" s="41">
        <f t="shared" ca="1" si="262"/>
        <v>847.28277945763045</v>
      </c>
      <c r="AJ103" s="13">
        <f t="shared" ca="1" si="263"/>
        <v>0</v>
      </c>
      <c r="AK103" s="11"/>
      <c r="AL103" s="6">
        <v>0</v>
      </c>
      <c r="AM103" s="41">
        <f t="shared" si="264"/>
        <v>140.7916810332664</v>
      </c>
      <c r="AN103" s="41">
        <f t="shared" ca="1" si="265"/>
        <v>33.136213008438361</v>
      </c>
      <c r="AO103" s="6">
        <f t="shared" si="142"/>
        <v>12.857142857142858</v>
      </c>
      <c r="AP103" s="67">
        <f t="shared" si="143"/>
        <v>0.7934276809691363</v>
      </c>
      <c r="AQ103" s="11">
        <f t="shared" si="266"/>
        <v>0.92829992071837586</v>
      </c>
      <c r="AR103" s="11">
        <f t="shared" si="267"/>
        <v>0.49937958210548988</v>
      </c>
      <c r="AS103" s="11">
        <f t="shared" si="268"/>
        <v>0.53795068916847377</v>
      </c>
      <c r="AT103" s="11">
        <f t="shared" si="269"/>
        <v>481.48131987899995</v>
      </c>
      <c r="AU103" s="11">
        <f t="shared" si="270"/>
        <v>1056.7970592432796</v>
      </c>
      <c r="AV103" s="11">
        <f t="shared" si="271"/>
        <v>1.2786549930845453E-3</v>
      </c>
      <c r="AW103" s="11">
        <f t="shared" si="272"/>
        <v>3.5253330369939681E-7</v>
      </c>
      <c r="AX103" s="41">
        <f t="shared" ca="1" si="273"/>
        <v>2.2559417717191352</v>
      </c>
      <c r="AY103" s="41">
        <f t="shared" ca="1" si="274"/>
        <v>3.0387983865408752</v>
      </c>
      <c r="AZ103" s="41">
        <f t="shared" si="275"/>
        <v>0.35430464035867143</v>
      </c>
    </row>
    <row r="104" spans="1:52" ht="14.5">
      <c r="A104" s="41">
        <f t="shared" ca="1" si="232"/>
        <v>4599.4022603967487</v>
      </c>
      <c r="B104" s="41">
        <f t="shared" ca="1" si="233"/>
        <v>76.656704339945819</v>
      </c>
      <c r="C104" s="41">
        <f t="shared" ca="1" si="234"/>
        <v>1.2776117389990971</v>
      </c>
      <c r="D104" s="41">
        <f t="shared" ca="1" si="235"/>
        <v>12087.055394250136</v>
      </c>
      <c r="E104" s="41">
        <f t="shared" ca="1" si="236"/>
        <v>411.05238946312352</v>
      </c>
      <c r="F104" s="7">
        <f t="shared" si="237"/>
        <v>398.57142857142833</v>
      </c>
      <c r="G104" s="41"/>
      <c r="H104" s="7">
        <f t="shared" si="238"/>
        <v>18000</v>
      </c>
      <c r="I104" s="6">
        <v>15</v>
      </c>
      <c r="J104" s="41">
        <f t="shared" si="239"/>
        <v>0.5158343068733543</v>
      </c>
      <c r="K104" s="41">
        <f t="shared" si="240"/>
        <v>554.87268879171449</v>
      </c>
      <c r="L104" s="6">
        <f t="shared" si="140"/>
        <v>245</v>
      </c>
      <c r="M104" s="41">
        <f t="shared" si="241"/>
        <v>328.75319014607015</v>
      </c>
      <c r="N104" s="41">
        <f t="shared" si="242"/>
        <v>196.8385156375023</v>
      </c>
      <c r="O104" s="41">
        <f t="shared" si="243"/>
        <v>2012549.5282418809</v>
      </c>
      <c r="P104" s="41">
        <f t="shared" si="244"/>
        <v>12921982.158001004</v>
      </c>
      <c r="Q104" s="41">
        <f t="shared" si="245"/>
        <v>2.8142593213275591E-3</v>
      </c>
      <c r="R104" s="41">
        <f t="shared" si="246"/>
        <v>1.9061063126224184E-2</v>
      </c>
      <c r="S104" s="24">
        <f t="shared" ca="1" si="247"/>
        <v>1.0778102317187879E-15</v>
      </c>
      <c r="T104" s="10">
        <f t="shared" ca="1" si="248"/>
        <v>0</v>
      </c>
      <c r="U104" s="41">
        <f t="shared" ca="1" si="249"/>
        <v>0.26698237683518089</v>
      </c>
      <c r="V104" s="41">
        <f t="shared" ca="1" si="250"/>
        <v>2.3562848450407473E-2</v>
      </c>
      <c r="W104" s="41">
        <f t="shared" ca="1" si="251"/>
        <v>11.330649492445552</v>
      </c>
      <c r="X104" s="20">
        <f t="shared" ca="1" si="252"/>
        <v>1066.7575060290144</v>
      </c>
      <c r="Y104" s="41">
        <f t="shared" si="253"/>
        <v>0.54936851317696045</v>
      </c>
      <c r="Z104" s="41">
        <f t="shared" ca="1" si="254"/>
        <v>197.84496361638114</v>
      </c>
      <c r="AA104" s="14">
        <f t="shared" ca="1" si="255"/>
        <v>1066.7575060290144</v>
      </c>
      <c r="AB104" s="14">
        <f t="shared" si="114"/>
        <v>2916.5765113289031</v>
      </c>
      <c r="AC104" s="25">
        <f t="shared" ca="1" si="256"/>
        <v>591914.60565906286</v>
      </c>
      <c r="AD104" s="41">
        <f t="shared" si="257"/>
        <v>1618328.6509078268</v>
      </c>
      <c r="AE104" s="5">
        <f t="shared" ca="1" si="258"/>
        <v>36.575673632609735</v>
      </c>
      <c r="AF104" s="7">
        <f t="shared" ca="1" si="259"/>
        <v>1066.7575060290144</v>
      </c>
      <c r="AG104" s="41">
        <f t="shared" ca="1" si="260"/>
        <v>1849.8190052998887</v>
      </c>
      <c r="AH104" s="41">
        <f t="shared" ca="1" si="261"/>
        <v>1026414.045248764</v>
      </c>
      <c r="AI104" s="41">
        <f t="shared" ca="1" si="262"/>
        <v>846.39493416502035</v>
      </c>
      <c r="AJ104" s="13">
        <f t="shared" ca="1" si="263"/>
        <v>0</v>
      </c>
      <c r="AK104" s="11"/>
      <c r="AL104" s="6">
        <v>0</v>
      </c>
      <c r="AM104" s="41">
        <f t="shared" si="264"/>
        <v>140.7916810332664</v>
      </c>
      <c r="AN104" s="41">
        <f t="shared" ca="1" si="265"/>
        <v>33.101490444203904</v>
      </c>
      <c r="AO104" s="6">
        <f t="shared" si="142"/>
        <v>12.857142857142858</v>
      </c>
      <c r="AP104" s="67">
        <f t="shared" si="143"/>
        <v>0.7934276809691363</v>
      </c>
      <c r="AQ104" s="11">
        <f t="shared" si="266"/>
        <v>0.92829992071837586</v>
      </c>
      <c r="AR104" s="11">
        <f t="shared" si="267"/>
        <v>0.49937958210548988</v>
      </c>
      <c r="AS104" s="11">
        <f t="shared" si="268"/>
        <v>0.53795068916847377</v>
      </c>
      <c r="AT104" s="11">
        <f t="shared" si="269"/>
        <v>481.48131987899995</v>
      </c>
      <c r="AU104" s="11">
        <f t="shared" si="270"/>
        <v>1056.7970592432796</v>
      </c>
      <c r="AV104" s="11">
        <f t="shared" si="271"/>
        <v>1.2786549930845453E-3</v>
      </c>
      <c r="AW104" s="11">
        <f t="shared" si="272"/>
        <v>3.5253330369939681E-7</v>
      </c>
      <c r="AX104" s="41">
        <f t="shared" ca="1" si="273"/>
        <v>2.2616027204671703</v>
      </c>
      <c r="AY104" s="41">
        <f t="shared" ca="1" si="274"/>
        <v>3.0464237969736585</v>
      </c>
      <c r="AZ104" s="41">
        <f t="shared" si="275"/>
        <v>0.35430464035867143</v>
      </c>
    </row>
    <row r="105" spans="1:52" ht="14.5">
      <c r="A105" s="41">
        <f t="shared" ca="1" si="232"/>
        <v>4740.193941430015</v>
      </c>
      <c r="B105" s="41">
        <f t="shared" ca="1" si="233"/>
        <v>79.003232357166922</v>
      </c>
      <c r="C105" s="41">
        <f t="shared" ca="1" si="234"/>
        <v>1.3167205392861154</v>
      </c>
      <c r="D105" s="41">
        <f t="shared" ca="1" si="235"/>
        <v>12053.953903805932</v>
      </c>
      <c r="E105" s="41">
        <f t="shared" ca="1" si="236"/>
        <v>423.90953232026635</v>
      </c>
      <c r="F105" s="7">
        <f t="shared" si="237"/>
        <v>411.42857142857116</v>
      </c>
      <c r="G105" s="41"/>
      <c r="H105" s="7">
        <f t="shared" si="238"/>
        <v>18000</v>
      </c>
      <c r="I105" s="6">
        <v>15</v>
      </c>
      <c r="J105" s="41">
        <f t="shared" si="239"/>
        <v>0.5158343068733543</v>
      </c>
      <c r="K105" s="41">
        <f t="shared" si="240"/>
        <v>554.87268879171449</v>
      </c>
      <c r="L105" s="6">
        <f t="shared" si="140"/>
        <v>245</v>
      </c>
      <c r="M105" s="41">
        <f t="shared" si="241"/>
        <v>328.75319014607015</v>
      </c>
      <c r="N105" s="41">
        <f t="shared" si="242"/>
        <v>196.8385156375023</v>
      </c>
      <c r="O105" s="41">
        <f t="shared" si="243"/>
        <v>2012549.5282418809</v>
      </c>
      <c r="P105" s="41">
        <f t="shared" si="244"/>
        <v>12921982.158001004</v>
      </c>
      <c r="Q105" s="41">
        <f t="shared" si="245"/>
        <v>2.8142593213275591E-3</v>
      </c>
      <c r="R105" s="41">
        <f t="shared" si="246"/>
        <v>1.9061063126224184E-2</v>
      </c>
      <c r="S105" s="24">
        <f t="shared" ca="1" si="247"/>
        <v>1.0807700178081174E-15</v>
      </c>
      <c r="T105" s="10">
        <f t="shared" ca="1" si="248"/>
        <v>1.0807700178081174E-15</v>
      </c>
      <c r="U105" s="41">
        <f t="shared" ca="1" si="249"/>
        <v>0.26625122153661374</v>
      </c>
      <c r="V105" s="41">
        <f t="shared" ca="1" si="250"/>
        <v>2.353822512364466E-2</v>
      </c>
      <c r="W105" s="41">
        <f t="shared" ca="1" si="251"/>
        <v>11.311440014615146</v>
      </c>
      <c r="X105" s="20">
        <f t="shared" ca="1" si="252"/>
        <v>1065.6427376383031</v>
      </c>
      <c r="Y105" s="41">
        <f t="shared" si="253"/>
        <v>0.54936851317696045</v>
      </c>
      <c r="Z105" s="41">
        <f t="shared" ca="1" si="254"/>
        <v>197.57386975437922</v>
      </c>
      <c r="AA105" s="14">
        <f t="shared" ca="1" si="255"/>
        <v>1065.6427376383033</v>
      </c>
      <c r="AB105" s="14">
        <f t="shared" si="114"/>
        <v>2916.5765113289031</v>
      </c>
      <c r="AC105" s="25">
        <f t="shared" ca="1" si="256"/>
        <v>591296.05112472887</v>
      </c>
      <c r="AD105" s="41">
        <f t="shared" si="257"/>
        <v>1618328.6509078268</v>
      </c>
      <c r="AE105" s="5">
        <f t="shared" ca="1" si="258"/>
        <v>36.537451820619509</v>
      </c>
      <c r="AF105" s="7">
        <f t="shared" ca="1" si="259"/>
        <v>1065.6427376383033</v>
      </c>
      <c r="AG105" s="41">
        <f t="shared" ca="1" si="260"/>
        <v>1850.9337736905998</v>
      </c>
      <c r="AH105" s="41">
        <f t="shared" ca="1" si="261"/>
        <v>1027032.599783098</v>
      </c>
      <c r="AI105" s="41">
        <f t="shared" ca="1" si="262"/>
        <v>845.51044606596076</v>
      </c>
      <c r="AJ105" s="13">
        <f t="shared" ca="1" si="263"/>
        <v>1.0466560902792717E-14</v>
      </c>
      <c r="AK105" s="11"/>
      <c r="AL105" s="6">
        <v>0</v>
      </c>
      <c r="AM105" s="41">
        <f t="shared" si="264"/>
        <v>140.7916810332664</v>
      </c>
      <c r="AN105" s="41">
        <f t="shared" ca="1" si="265"/>
        <v>33.066899175781536</v>
      </c>
      <c r="AO105" s="6">
        <f t="shared" si="142"/>
        <v>12.857142857142858</v>
      </c>
      <c r="AP105" s="67">
        <f t="shared" si="143"/>
        <v>0.7934276809691363</v>
      </c>
      <c r="AQ105" s="11">
        <f t="shared" si="266"/>
        <v>0.92829992071837586</v>
      </c>
      <c r="AR105" s="11">
        <f t="shared" si="267"/>
        <v>0.49937958210548988</v>
      </c>
      <c r="AS105" s="11">
        <f t="shared" si="268"/>
        <v>0.53795068916847377</v>
      </c>
      <c r="AT105" s="11">
        <f t="shared" si="269"/>
        <v>481.48131987899995</v>
      </c>
      <c r="AU105" s="11">
        <f t="shared" si="270"/>
        <v>1056.7970592432796</v>
      </c>
      <c r="AV105" s="11">
        <f t="shared" si="271"/>
        <v>1.2786549930845453E-3</v>
      </c>
      <c r="AW105" s="11">
        <f t="shared" si="272"/>
        <v>3.5253330369939681E-7</v>
      </c>
      <c r="AX105" s="41">
        <f t="shared" ca="1" si="273"/>
        <v>2.2672903279541434</v>
      </c>
      <c r="AY105" s="41">
        <f t="shared" ca="1" si="274"/>
        <v>3.0540851172574359</v>
      </c>
      <c r="AZ105" s="41">
        <f t="shared" si="275"/>
        <v>0.35430464035867143</v>
      </c>
    </row>
    <row r="106" spans="1:52" ht="14.5">
      <c r="A106" s="41">
        <f t="shared" ca="1" si="232"/>
        <v>4880.9856224632813</v>
      </c>
      <c r="B106" s="41">
        <f t="shared" ca="1" si="233"/>
        <v>81.349760374388026</v>
      </c>
      <c r="C106" s="41">
        <f t="shared" ca="1" si="234"/>
        <v>1.3558293395731338</v>
      </c>
      <c r="D106" s="41">
        <f t="shared" ca="1" si="235"/>
        <v>12020.887004630151</v>
      </c>
      <c r="E106" s="41">
        <f t="shared" ca="1" si="236"/>
        <v>436.76667517740918</v>
      </c>
      <c r="F106" s="7">
        <f t="shared" si="237"/>
        <v>424.28571428571399</v>
      </c>
      <c r="G106" s="41"/>
      <c r="H106" s="7">
        <f t="shared" si="238"/>
        <v>18000</v>
      </c>
      <c r="I106" s="6">
        <v>15</v>
      </c>
      <c r="J106" s="41">
        <f t="shared" si="239"/>
        <v>0.5158343068733543</v>
      </c>
      <c r="K106" s="41">
        <f t="shared" si="240"/>
        <v>554.87268879171449</v>
      </c>
      <c r="L106" s="6">
        <f t="shared" si="140"/>
        <v>245</v>
      </c>
      <c r="M106" s="41">
        <f t="shared" si="241"/>
        <v>328.75319014607015</v>
      </c>
      <c r="N106" s="41">
        <f t="shared" si="242"/>
        <v>196.8385156375023</v>
      </c>
      <c r="O106" s="41">
        <f t="shared" si="243"/>
        <v>2012549.5282418809</v>
      </c>
      <c r="P106" s="41">
        <f t="shared" si="244"/>
        <v>12921982.158001004</v>
      </c>
      <c r="Q106" s="41">
        <f t="shared" si="245"/>
        <v>2.8142593213275591E-3</v>
      </c>
      <c r="R106" s="41">
        <f t="shared" si="246"/>
        <v>1.9061063126224184E-2</v>
      </c>
      <c r="S106" s="24">
        <f t="shared" ca="1" si="247"/>
        <v>2.1674859717517804E-15</v>
      </c>
      <c r="T106" s="10">
        <f t="shared" ca="1" si="248"/>
        <v>0</v>
      </c>
      <c r="U106" s="41">
        <f t="shared" ca="1" si="249"/>
        <v>0.26552083029999224</v>
      </c>
      <c r="V106" s="41">
        <f t="shared" ca="1" si="250"/>
        <v>2.3513694948266824E-2</v>
      </c>
      <c r="W106" s="41">
        <f t="shared" ca="1" si="251"/>
        <v>11.29217806406745</v>
      </c>
      <c r="X106" s="20">
        <f t="shared" ca="1" si="252"/>
        <v>1064.5321864770719</v>
      </c>
      <c r="Y106" s="41">
        <f t="shared" si="253"/>
        <v>0.54936851317696045</v>
      </c>
      <c r="Z106" s="41">
        <f t="shared" ca="1" si="254"/>
        <v>197.30268728828338</v>
      </c>
      <c r="AA106" s="14">
        <f t="shared" ca="1" si="255"/>
        <v>1064.5321864770719</v>
      </c>
      <c r="AB106" s="14">
        <f t="shared" si="114"/>
        <v>2916.5765113289031</v>
      </c>
      <c r="AC106" s="25">
        <f t="shared" ca="1" si="256"/>
        <v>590679.83661585569</v>
      </c>
      <c r="AD106" s="41">
        <f t="shared" si="257"/>
        <v>1618328.6509078268</v>
      </c>
      <c r="AE106" s="5">
        <f t="shared" ca="1" si="258"/>
        <v>36.499374603823803</v>
      </c>
      <c r="AF106" s="7">
        <f t="shared" ca="1" si="259"/>
        <v>1064.5321864770719</v>
      </c>
      <c r="AG106" s="41">
        <f t="shared" ca="1" si="260"/>
        <v>1852.0443248518311</v>
      </c>
      <c r="AH106" s="41">
        <f t="shared" ca="1" si="261"/>
        <v>1027648.8142919712</v>
      </c>
      <c r="AI106" s="41">
        <f t="shared" ca="1" si="262"/>
        <v>844.62930403350731</v>
      </c>
      <c r="AJ106" s="13">
        <f t="shared" ca="1" si="263"/>
        <v>0</v>
      </c>
      <c r="AK106" s="11"/>
      <c r="AL106" s="6">
        <v>0</v>
      </c>
      <c r="AM106" s="41">
        <f t="shared" si="264"/>
        <v>140.7916810332664</v>
      </c>
      <c r="AN106" s="41">
        <f t="shared" ca="1" si="265"/>
        <v>33.032438768009818</v>
      </c>
      <c r="AO106" s="6">
        <f t="shared" si="142"/>
        <v>12.857142857142858</v>
      </c>
      <c r="AP106" s="67">
        <f t="shared" si="143"/>
        <v>0.7934276809691363</v>
      </c>
      <c r="AQ106" s="11">
        <f t="shared" si="266"/>
        <v>0.92829992071837586</v>
      </c>
      <c r="AR106" s="11">
        <f t="shared" si="267"/>
        <v>0.49937958210548988</v>
      </c>
      <c r="AS106" s="11">
        <f t="shared" si="268"/>
        <v>0.53795068916847377</v>
      </c>
      <c r="AT106" s="11">
        <f t="shared" si="269"/>
        <v>481.48131987899995</v>
      </c>
      <c r="AU106" s="11">
        <f t="shared" si="270"/>
        <v>1056.7970592432796</v>
      </c>
      <c r="AV106" s="11">
        <f t="shared" si="271"/>
        <v>1.2786549930845453E-3</v>
      </c>
      <c r="AW106" s="11">
        <f t="shared" si="272"/>
        <v>3.5253330369939681E-7</v>
      </c>
      <c r="AX106" s="41">
        <f t="shared" ca="1" si="273"/>
        <v>2.2730047824274253</v>
      </c>
      <c r="AY106" s="41">
        <f t="shared" ca="1" si="274"/>
        <v>3.0617826009651545</v>
      </c>
      <c r="AZ106" s="41">
        <f t="shared" si="275"/>
        <v>0.35430464035867143</v>
      </c>
    </row>
    <row r="107" spans="1:52" ht="14.5">
      <c r="A107" s="41">
        <f t="shared" ca="1" si="232"/>
        <v>5021.7773034965476</v>
      </c>
      <c r="B107" s="41">
        <f t="shared" ca="1" si="233"/>
        <v>83.69628839160913</v>
      </c>
      <c r="C107" s="41">
        <f t="shared" ca="1" si="234"/>
        <v>1.3949381398601521</v>
      </c>
      <c r="D107" s="41">
        <f t="shared" ca="1" si="235"/>
        <v>11987.854565862141</v>
      </c>
      <c r="E107" s="41">
        <f t="shared" ca="1" si="236"/>
        <v>449.62381803455202</v>
      </c>
      <c r="F107" s="7">
        <f t="shared" si="237"/>
        <v>437.14285714285683</v>
      </c>
      <c r="G107" s="41"/>
      <c r="H107" s="7">
        <f t="shared" si="238"/>
        <v>18000</v>
      </c>
      <c r="I107" s="6">
        <v>15</v>
      </c>
      <c r="J107" s="41">
        <f t="shared" si="239"/>
        <v>0.5158343068733543</v>
      </c>
      <c r="K107" s="41">
        <f t="shared" si="240"/>
        <v>554.87268879171449</v>
      </c>
      <c r="L107" s="6">
        <f t="shared" si="140"/>
        <v>245</v>
      </c>
      <c r="M107" s="41">
        <f t="shared" si="241"/>
        <v>328.75319014607015</v>
      </c>
      <c r="N107" s="41">
        <f t="shared" si="242"/>
        <v>196.8385156375023</v>
      </c>
      <c r="O107" s="41">
        <f t="shared" si="243"/>
        <v>2012549.5282418809</v>
      </c>
      <c r="P107" s="41">
        <f t="shared" si="244"/>
        <v>12921982.158001004</v>
      </c>
      <c r="Q107" s="41">
        <f t="shared" si="245"/>
        <v>2.8142593213275591E-3</v>
      </c>
      <c r="R107" s="41">
        <f t="shared" si="246"/>
        <v>1.9061063126224184E-2</v>
      </c>
      <c r="S107" s="24">
        <f t="shared" ca="1" si="247"/>
        <v>1.0867292311314131E-15</v>
      </c>
      <c r="T107" s="10">
        <f t="shared" ca="1" si="248"/>
        <v>1.0867292311314131E-15</v>
      </c>
      <c r="U107" s="41">
        <f t="shared" ca="1" si="249"/>
        <v>0.26479120023482838</v>
      </c>
      <c r="V107" s="41">
        <f t="shared" ca="1" si="250"/>
        <v>2.34892576161237E-2</v>
      </c>
      <c r="W107" s="41">
        <f t="shared" ca="1" si="251"/>
        <v>11.272863730400237</v>
      </c>
      <c r="X107" s="20">
        <f t="shared" ca="1" si="252"/>
        <v>1063.4258385944775</v>
      </c>
      <c r="Y107" s="41">
        <f t="shared" si="253"/>
        <v>0.54936851317696045</v>
      </c>
      <c r="Z107" s="41">
        <f t="shared" ca="1" si="254"/>
        <v>197.03141477683752</v>
      </c>
      <c r="AA107" s="14">
        <f t="shared" ca="1" si="255"/>
        <v>1063.4258385944775</v>
      </c>
      <c r="AB107" s="14">
        <f t="shared" si="114"/>
        <v>2916.5765113289031</v>
      </c>
      <c r="AC107" s="25">
        <f t="shared" ca="1" si="256"/>
        <v>590065.95439150149</v>
      </c>
      <c r="AD107" s="41">
        <f t="shared" si="257"/>
        <v>1618328.6509078268</v>
      </c>
      <c r="AE107" s="5">
        <f t="shared" ca="1" si="258"/>
        <v>36.461441503893219</v>
      </c>
      <c r="AF107" s="7">
        <f t="shared" ca="1" si="259"/>
        <v>1063.4258385944777</v>
      </c>
      <c r="AG107" s="41">
        <f t="shared" ca="1" si="260"/>
        <v>1853.1506727344256</v>
      </c>
      <c r="AH107" s="41">
        <f t="shared" ca="1" si="261"/>
        <v>1028262.6965163253</v>
      </c>
      <c r="AI107" s="41">
        <f t="shared" ca="1" si="262"/>
        <v>843.75149699867552</v>
      </c>
      <c r="AJ107" s="13">
        <f t="shared" ca="1" si="263"/>
        <v>1.0524272042214869E-14</v>
      </c>
      <c r="AK107" s="11"/>
      <c r="AL107" s="6">
        <v>0</v>
      </c>
      <c r="AM107" s="41">
        <f t="shared" si="264"/>
        <v>140.7916810332664</v>
      </c>
      <c r="AN107" s="41">
        <f t="shared" ca="1" si="265"/>
        <v>32.998108787994042</v>
      </c>
      <c r="AO107" s="6">
        <f t="shared" si="142"/>
        <v>12.857142857142858</v>
      </c>
      <c r="AP107" s="67">
        <f t="shared" si="143"/>
        <v>0.7934276809691363</v>
      </c>
      <c r="AQ107" s="11">
        <f t="shared" si="266"/>
        <v>0.92829992071837586</v>
      </c>
      <c r="AR107" s="11">
        <f t="shared" si="267"/>
        <v>0.49937958210548988</v>
      </c>
      <c r="AS107" s="11">
        <f t="shared" si="268"/>
        <v>0.53795068916847377</v>
      </c>
      <c r="AT107" s="11">
        <f t="shared" si="269"/>
        <v>481.48131987899995</v>
      </c>
      <c r="AU107" s="11">
        <f t="shared" si="270"/>
        <v>1056.7970592432796</v>
      </c>
      <c r="AV107" s="11">
        <f t="shared" si="271"/>
        <v>1.2786549930845453E-3</v>
      </c>
      <c r="AW107" s="11">
        <f t="shared" si="272"/>
        <v>3.5253330369939681E-7</v>
      </c>
      <c r="AX107" s="41">
        <f t="shared" ca="1" si="273"/>
        <v>2.2787462739568527</v>
      </c>
      <c r="AY107" s="41">
        <f t="shared" ca="1" si="274"/>
        <v>3.0695165041246613</v>
      </c>
      <c r="AZ107" s="41">
        <f t="shared" si="275"/>
        <v>0.35430464035867143</v>
      </c>
    </row>
    <row r="108" spans="1:52" ht="14.5">
      <c r="A108" s="41">
        <f t="shared" ca="1" si="232"/>
        <v>5162.5689845298139</v>
      </c>
      <c r="B108" s="41">
        <f t="shared" ca="1" si="233"/>
        <v>86.042816408830234</v>
      </c>
      <c r="C108" s="41">
        <f t="shared" ca="1" si="234"/>
        <v>1.4340469401471705</v>
      </c>
      <c r="D108" s="41">
        <f t="shared" ca="1" si="235"/>
        <v>11954.856457074147</v>
      </c>
      <c r="E108" s="41">
        <f t="shared" ca="1" si="236"/>
        <v>462.48096089169485</v>
      </c>
      <c r="F108" s="7">
        <f t="shared" si="237"/>
        <v>449.99999999999966</v>
      </c>
      <c r="G108" s="41"/>
      <c r="H108" s="7">
        <f t="shared" si="238"/>
        <v>18000</v>
      </c>
      <c r="I108" s="6">
        <v>15</v>
      </c>
      <c r="J108" s="41">
        <f t="shared" si="239"/>
        <v>0.5158343068733543</v>
      </c>
      <c r="K108" s="41">
        <f t="shared" si="240"/>
        <v>554.87268879171449</v>
      </c>
      <c r="L108" s="6">
        <f t="shared" si="140"/>
        <v>245</v>
      </c>
      <c r="M108" s="41">
        <f t="shared" si="241"/>
        <v>328.75319014607015</v>
      </c>
      <c r="N108" s="41">
        <f t="shared" si="242"/>
        <v>196.8385156375023</v>
      </c>
      <c r="O108" s="41">
        <f t="shared" si="243"/>
        <v>2012549.5282418809</v>
      </c>
      <c r="P108" s="41">
        <f t="shared" si="244"/>
        <v>12921982.158001004</v>
      </c>
      <c r="Q108" s="41">
        <f t="shared" si="245"/>
        <v>2.8142593213275591E-3</v>
      </c>
      <c r="R108" s="41">
        <f t="shared" si="246"/>
        <v>1.9061063126224184E-2</v>
      </c>
      <c r="S108" s="24">
        <f t="shared" ca="1" si="247"/>
        <v>1.0897288496982046E-15</v>
      </c>
      <c r="T108" s="10">
        <f t="shared" ca="1" si="248"/>
        <v>-1.0897288496982046E-15</v>
      </c>
      <c r="U108" s="41">
        <f t="shared" ca="1" si="249"/>
        <v>0.26406232846019623</v>
      </c>
      <c r="V108" s="41">
        <f t="shared" ca="1" si="250"/>
        <v>2.346491282066962E-2</v>
      </c>
      <c r="W108" s="41">
        <f t="shared" ca="1" si="251"/>
        <v>11.253497103453576</v>
      </c>
      <c r="X108" s="20">
        <f t="shared" ca="1" si="252"/>
        <v>1062.3236801123212</v>
      </c>
      <c r="Y108" s="41">
        <f t="shared" si="253"/>
        <v>0.54936851317696045</v>
      </c>
      <c r="Z108" s="41">
        <f t="shared" ca="1" si="254"/>
        <v>196.76005077427766</v>
      </c>
      <c r="AA108" s="14">
        <f t="shared" ca="1" si="255"/>
        <v>1062.323680112321</v>
      </c>
      <c r="AB108" s="14">
        <f t="shared" si="114"/>
        <v>2916.5765113289031</v>
      </c>
      <c r="AC108" s="25">
        <f t="shared" ca="1" si="256"/>
        <v>589454.39675103279</v>
      </c>
      <c r="AD108" s="41">
        <f t="shared" si="257"/>
        <v>1618328.6509078268</v>
      </c>
      <c r="AE108" s="5">
        <f t="shared" ca="1" si="258"/>
        <v>36.423652044989076</v>
      </c>
      <c r="AF108" s="7">
        <f t="shared" ca="1" si="259"/>
        <v>1062.323680112321</v>
      </c>
      <c r="AG108" s="41">
        <f t="shared" ca="1" si="260"/>
        <v>1854.2528312165821</v>
      </c>
      <c r="AH108" s="41">
        <f t="shared" ca="1" si="261"/>
        <v>1028874.254156794</v>
      </c>
      <c r="AI108" s="41">
        <f t="shared" ca="1" si="262"/>
        <v>842.87701395011743</v>
      </c>
      <c r="AJ108" s="13">
        <f t="shared" ca="1" si="263"/>
        <v>-1.0553321414326564E-14</v>
      </c>
      <c r="AK108" s="11"/>
      <c r="AL108" s="6">
        <v>0</v>
      </c>
      <c r="AM108" s="41">
        <f t="shared" si="264"/>
        <v>140.7916810332664</v>
      </c>
      <c r="AN108" s="41">
        <f t="shared" ca="1" si="265"/>
        <v>32.963908805093602</v>
      </c>
      <c r="AO108" s="6">
        <f t="shared" si="142"/>
        <v>12.857142857142858</v>
      </c>
      <c r="AP108" s="67">
        <f t="shared" si="143"/>
        <v>0.7934276809691363</v>
      </c>
      <c r="AQ108" s="11">
        <f t="shared" si="266"/>
        <v>0.92829992071837586</v>
      </c>
      <c r="AR108" s="11">
        <f t="shared" si="267"/>
        <v>0.49937958210548988</v>
      </c>
      <c r="AS108" s="11">
        <f t="shared" si="268"/>
        <v>0.53795068916847377</v>
      </c>
      <c r="AT108" s="11">
        <f t="shared" si="269"/>
        <v>481.48131987899995</v>
      </c>
      <c r="AU108" s="11">
        <f t="shared" si="270"/>
        <v>1056.7970592432796</v>
      </c>
      <c r="AV108" s="11">
        <f t="shared" si="271"/>
        <v>1.2786549930845453E-3</v>
      </c>
      <c r="AW108" s="11">
        <f t="shared" si="272"/>
        <v>3.5253330369939681E-7</v>
      </c>
      <c r="AX108" s="41">
        <f t="shared" ca="1" si="273"/>
        <v>2.2845149944565302</v>
      </c>
      <c r="AY108" s="41">
        <f t="shared" ca="1" si="274"/>
        <v>3.0772870852480678</v>
      </c>
      <c r="AZ108" s="41">
        <f t="shared" si="275"/>
        <v>0.35430464035867143</v>
      </c>
    </row>
    <row r="109" spans="1:52" ht="14.5">
      <c r="A109" s="41">
        <f t="shared" ca="1" si="232"/>
        <v>5303.3606655630801</v>
      </c>
      <c r="B109" s="41">
        <f t="shared" ca="1" si="233"/>
        <v>88.389344426051338</v>
      </c>
      <c r="C109" s="41">
        <f t="shared" ca="1" si="234"/>
        <v>1.4731557404341891</v>
      </c>
      <c r="D109" s="41">
        <f t="shared" ca="1" si="235"/>
        <v>11921.892548269054</v>
      </c>
      <c r="E109" s="41">
        <f t="shared" ca="1" si="236"/>
        <v>475.33810374883768</v>
      </c>
      <c r="F109" s="7">
        <f t="shared" si="237"/>
        <v>462.85714285714249</v>
      </c>
      <c r="G109" s="41"/>
      <c r="H109" s="7">
        <f t="shared" si="238"/>
        <v>18000</v>
      </c>
      <c r="I109" s="6">
        <v>15</v>
      </c>
      <c r="J109" s="41">
        <f t="shared" si="239"/>
        <v>0.5158343068733543</v>
      </c>
      <c r="K109" s="41">
        <f t="shared" si="240"/>
        <v>554.87268879171449</v>
      </c>
      <c r="L109" s="6">
        <f t="shared" si="140"/>
        <v>245</v>
      </c>
      <c r="M109" s="41">
        <f t="shared" si="241"/>
        <v>328.75319014607015</v>
      </c>
      <c r="N109" s="41">
        <f t="shared" si="242"/>
        <v>196.8385156375023</v>
      </c>
      <c r="O109" s="41">
        <f t="shared" si="243"/>
        <v>2012549.5282418809</v>
      </c>
      <c r="P109" s="41">
        <f t="shared" si="244"/>
        <v>12921982.158001004</v>
      </c>
      <c r="Q109" s="41">
        <f t="shared" si="245"/>
        <v>2.8142593213275591E-3</v>
      </c>
      <c r="R109" s="41">
        <f t="shared" si="246"/>
        <v>1.9061063126224184E-2</v>
      </c>
      <c r="S109" s="24">
        <f t="shared" ca="1" si="247"/>
        <v>0</v>
      </c>
      <c r="T109" s="10">
        <f t="shared" ca="1" si="248"/>
        <v>0</v>
      </c>
      <c r="U109" s="41">
        <f t="shared" ca="1" si="249"/>
        <v>0.26333421210468183</v>
      </c>
      <c r="V109" s="41">
        <f t="shared" ca="1" si="250"/>
        <v>2.3440660256954734E-2</v>
      </c>
      <c r="W109" s="41">
        <f t="shared" ca="1" si="251"/>
        <v>11.234078273309379</v>
      </c>
      <c r="X109" s="20">
        <f t="shared" ca="1" si="252"/>
        <v>1061.2256972246514</v>
      </c>
      <c r="Y109" s="41">
        <f t="shared" si="253"/>
        <v>0.54936851317696045</v>
      </c>
      <c r="Z109" s="41">
        <f t="shared" ca="1" si="254"/>
        <v>196.48859383027516</v>
      </c>
      <c r="AA109" s="14">
        <f t="shared" ca="1" si="255"/>
        <v>1061.2256972246514</v>
      </c>
      <c r="AB109" s="14">
        <f t="shared" si="114"/>
        <v>2916.5765113289031</v>
      </c>
      <c r="AC109" s="25">
        <f t="shared" ca="1" si="256"/>
        <v>588845.15603390429</v>
      </c>
      <c r="AD109" s="41">
        <f t="shared" si="257"/>
        <v>1618328.6509078268</v>
      </c>
      <c r="AE109" s="5">
        <f t="shared" ca="1" si="258"/>
        <v>36.386005753749856</v>
      </c>
      <c r="AF109" s="7">
        <f t="shared" ca="1" si="259"/>
        <v>1061.2256972246514</v>
      </c>
      <c r="AG109" s="41">
        <f t="shared" ca="1" si="260"/>
        <v>1855.3508141042516</v>
      </c>
      <c r="AH109" s="41">
        <f t="shared" ca="1" si="261"/>
        <v>1029483.4948739226</v>
      </c>
      <c r="AI109" s="41">
        <f t="shared" ca="1" si="262"/>
        <v>842.00584393380996</v>
      </c>
      <c r="AJ109" s="13">
        <f t="shared" ca="1" si="263"/>
        <v>0</v>
      </c>
      <c r="AK109" s="11"/>
      <c r="AL109" s="6">
        <v>0</v>
      </c>
      <c r="AM109" s="41">
        <f t="shared" si="264"/>
        <v>140.7916810332664</v>
      </c>
      <c r="AN109" s="41">
        <f t="shared" ca="1" si="265"/>
        <v>32.929838390909794</v>
      </c>
      <c r="AO109" s="6">
        <f t="shared" si="142"/>
        <v>12.857142857142858</v>
      </c>
      <c r="AP109" s="67">
        <f t="shared" si="143"/>
        <v>0.7934276809691363</v>
      </c>
      <c r="AQ109" s="11">
        <f t="shared" si="266"/>
        <v>0.92829992071837586</v>
      </c>
      <c r="AR109" s="11">
        <f t="shared" si="267"/>
        <v>0.49937958210548988</v>
      </c>
      <c r="AS109" s="11">
        <f t="shared" si="268"/>
        <v>0.53795068916847377</v>
      </c>
      <c r="AT109" s="11">
        <f t="shared" si="269"/>
        <v>481.48131987899995</v>
      </c>
      <c r="AU109" s="11">
        <f t="shared" si="270"/>
        <v>1056.7970592432796</v>
      </c>
      <c r="AV109" s="11">
        <f t="shared" si="271"/>
        <v>1.2786549930845453E-3</v>
      </c>
      <c r="AW109" s="11">
        <f t="shared" si="272"/>
        <v>3.5253330369939681E-7</v>
      </c>
      <c r="AX109" s="41">
        <f t="shared" ca="1" si="273"/>
        <v>2.2903111377069458</v>
      </c>
      <c r="AY109" s="41">
        <f t="shared" ca="1" si="274"/>
        <v>3.085094605361542</v>
      </c>
      <c r="AZ109" s="41">
        <f t="shared" si="275"/>
        <v>0.35430464035867143</v>
      </c>
    </row>
    <row r="110" spans="1:52" ht="14.5">
      <c r="A110" s="41">
        <f t="shared" ca="1" si="232"/>
        <v>5444.1523465963464</v>
      </c>
      <c r="B110" s="41">
        <f t="shared" ca="1" si="233"/>
        <v>90.735872443272442</v>
      </c>
      <c r="C110" s="41">
        <f t="shared" ca="1" si="234"/>
        <v>1.5122645407212074</v>
      </c>
      <c r="D110" s="41">
        <f t="shared" ca="1" si="235"/>
        <v>11888.962709878144</v>
      </c>
      <c r="E110" s="41">
        <f t="shared" ca="1" si="236"/>
        <v>488.19524660598051</v>
      </c>
      <c r="F110" s="7">
        <f t="shared" si="237"/>
        <v>475.71428571428532</v>
      </c>
      <c r="G110" s="41"/>
      <c r="H110" s="7">
        <f t="shared" si="238"/>
        <v>18000</v>
      </c>
      <c r="I110" s="6">
        <v>15</v>
      </c>
      <c r="J110" s="41">
        <f t="shared" si="239"/>
        <v>0.5158343068733543</v>
      </c>
      <c r="K110" s="41">
        <f t="shared" si="240"/>
        <v>554.87268879171449</v>
      </c>
      <c r="L110" s="6">
        <f t="shared" si="140"/>
        <v>245</v>
      </c>
      <c r="M110" s="41">
        <f t="shared" si="241"/>
        <v>328.75319014607015</v>
      </c>
      <c r="N110" s="41">
        <f t="shared" si="242"/>
        <v>196.8385156375023</v>
      </c>
      <c r="O110" s="41">
        <f t="shared" si="243"/>
        <v>2012549.5282418809</v>
      </c>
      <c r="P110" s="41">
        <f t="shared" si="244"/>
        <v>12921982.158001004</v>
      </c>
      <c r="Q110" s="41">
        <f t="shared" si="245"/>
        <v>2.8142593213275591E-3</v>
      </c>
      <c r="R110" s="41">
        <f t="shared" si="246"/>
        <v>1.9061063126224184E-2</v>
      </c>
      <c r="S110" s="24">
        <f t="shared" ca="1" si="247"/>
        <v>1.0957685958969663E-15</v>
      </c>
      <c r="T110" s="10">
        <f t="shared" ca="1" si="248"/>
        <v>0</v>
      </c>
      <c r="U110" s="41">
        <f t="shared" ca="1" si="249"/>
        <v>0.26260684830633391</v>
      </c>
      <c r="V110" s="41">
        <f t="shared" ca="1" si="250"/>
        <v>2.3416499621616179E-2</v>
      </c>
      <c r="W110" s="41">
        <f t="shared" ca="1" si="251"/>
        <v>11.214607330291029</v>
      </c>
      <c r="X110" s="20">
        <f t="shared" ca="1" si="252"/>
        <v>1060.1318761973644</v>
      </c>
      <c r="Y110" s="41">
        <f t="shared" si="253"/>
        <v>0.54936851317696045</v>
      </c>
      <c r="Z110" s="41">
        <f t="shared" ca="1" si="254"/>
        <v>196.21704248988004</v>
      </c>
      <c r="AA110" s="14">
        <f t="shared" ca="1" si="255"/>
        <v>1060.1318761973644</v>
      </c>
      <c r="AB110" s="14">
        <f t="shared" si="114"/>
        <v>2916.5765113289031</v>
      </c>
      <c r="AC110" s="25">
        <f t="shared" ca="1" si="256"/>
        <v>588238.22461943654</v>
      </c>
      <c r="AD110" s="41">
        <f t="shared" si="257"/>
        <v>1618328.6509078268</v>
      </c>
      <c r="AE110" s="5">
        <f t="shared" ca="1" si="258"/>
        <v>36.348502159277416</v>
      </c>
      <c r="AF110" s="7">
        <f t="shared" ca="1" si="259"/>
        <v>1060.1318761973644</v>
      </c>
      <c r="AG110" s="41">
        <f t="shared" ca="1" si="260"/>
        <v>1856.4446351315387</v>
      </c>
      <c r="AH110" s="41">
        <f t="shared" ca="1" si="261"/>
        <v>1030090.4262883903</v>
      </c>
      <c r="AI110" s="41">
        <f t="shared" ca="1" si="262"/>
        <v>841.1379760527343</v>
      </c>
      <c r="AJ110" s="13">
        <f t="shared" ca="1" si="263"/>
        <v>0</v>
      </c>
      <c r="AK110" s="11"/>
      <c r="AL110" s="6">
        <v>0</v>
      </c>
      <c r="AM110" s="41">
        <f t="shared" si="264"/>
        <v>140.7916810332664</v>
      </c>
      <c r="AN110" s="41">
        <f t="shared" ca="1" si="265"/>
        <v>32.895897119273286</v>
      </c>
      <c r="AO110" s="6">
        <f t="shared" si="142"/>
        <v>12.857142857142858</v>
      </c>
      <c r="AP110" s="67">
        <f t="shared" si="143"/>
        <v>0.7934276809691363</v>
      </c>
      <c r="AQ110" s="11">
        <f t="shared" si="266"/>
        <v>0.92829992071837586</v>
      </c>
      <c r="AR110" s="11">
        <f t="shared" si="267"/>
        <v>0.49937958210548988</v>
      </c>
      <c r="AS110" s="11">
        <f t="shared" si="268"/>
        <v>0.53795068916847377</v>
      </c>
      <c r="AT110" s="11">
        <f t="shared" si="269"/>
        <v>481.48131987899995</v>
      </c>
      <c r="AU110" s="11">
        <f t="shared" si="270"/>
        <v>1056.7970592432796</v>
      </c>
      <c r="AV110" s="11">
        <f t="shared" si="271"/>
        <v>1.2786549930845453E-3</v>
      </c>
      <c r="AW110" s="11">
        <f t="shared" si="272"/>
        <v>3.5253330369939681E-7</v>
      </c>
      <c r="AX110" s="41">
        <f t="shared" ca="1" si="273"/>
        <v>2.2961348993774089</v>
      </c>
      <c r="AY110" s="41">
        <f t="shared" ca="1" si="274"/>
        <v>3.0929393280355297</v>
      </c>
      <c r="AZ110" s="41">
        <f t="shared" si="275"/>
        <v>0.35430464035867143</v>
      </c>
    </row>
    <row r="111" spans="1:52" ht="14.5">
      <c r="A111" s="41">
        <f t="shared" ca="1" si="232"/>
        <v>5584.9440276296127</v>
      </c>
      <c r="B111" s="41">
        <f t="shared" ca="1" si="233"/>
        <v>93.082400460493545</v>
      </c>
      <c r="C111" s="41">
        <f t="shared" ca="1" si="234"/>
        <v>1.5513733410082258</v>
      </c>
      <c r="D111" s="41">
        <f t="shared" ca="1" si="235"/>
        <v>11856.066812758871</v>
      </c>
      <c r="E111" s="41">
        <f t="shared" ca="1" si="236"/>
        <v>501.05238946312335</v>
      </c>
      <c r="F111" s="7">
        <f t="shared" si="237"/>
        <v>488.57142857142816</v>
      </c>
      <c r="G111" s="41"/>
      <c r="H111" s="7">
        <f t="shared" si="238"/>
        <v>18000</v>
      </c>
      <c r="I111" s="6">
        <v>15</v>
      </c>
      <c r="J111" s="41">
        <f t="shared" si="239"/>
        <v>0.5158343068733543</v>
      </c>
      <c r="K111" s="41">
        <f t="shared" si="240"/>
        <v>554.87268879171449</v>
      </c>
      <c r="L111" s="6">
        <f t="shared" si="140"/>
        <v>245</v>
      </c>
      <c r="M111" s="41">
        <f t="shared" si="241"/>
        <v>328.75319014607015</v>
      </c>
      <c r="N111" s="41">
        <f t="shared" si="242"/>
        <v>196.8385156375023</v>
      </c>
      <c r="O111" s="41">
        <f t="shared" si="243"/>
        <v>2012549.5282418809</v>
      </c>
      <c r="P111" s="41">
        <f t="shared" si="244"/>
        <v>12921982.158001004</v>
      </c>
      <c r="Q111" s="41">
        <f t="shared" si="245"/>
        <v>2.8142593213275591E-3</v>
      </c>
      <c r="R111" s="41">
        <f t="shared" si="246"/>
        <v>1.9061063126224184E-2</v>
      </c>
      <c r="S111" s="24">
        <f t="shared" ca="1" si="247"/>
        <v>1.0988089204469568E-15</v>
      </c>
      <c r="T111" s="10">
        <f t="shared" ca="1" si="248"/>
        <v>1.0988089204469568E-15</v>
      </c>
      <c r="U111" s="41">
        <f t="shared" ca="1" si="249"/>
        <v>0.26188023421261447</v>
      </c>
      <c r="V111" s="41">
        <f t="shared" ca="1" si="250"/>
        <v>2.3392430612869441E-2</v>
      </c>
      <c r="W111" s="41">
        <f t="shared" ca="1" si="251"/>
        <v>11.195084364962911</v>
      </c>
      <c r="X111" s="20">
        <f t="shared" ca="1" si="252"/>
        <v>1059.0422033678124</v>
      </c>
      <c r="Y111" s="41">
        <f t="shared" si="253"/>
        <v>0.54936851317696045</v>
      </c>
      <c r="Z111" s="41">
        <f t="shared" ca="1" si="254"/>
        <v>195.94539529346355</v>
      </c>
      <c r="AA111" s="14">
        <f t="shared" ca="1" si="255"/>
        <v>1059.0422033678126</v>
      </c>
      <c r="AB111" s="14">
        <f t="shared" si="114"/>
        <v>2916.5765113289031</v>
      </c>
      <c r="AC111" s="25">
        <f t="shared" ca="1" si="256"/>
        <v>587633.59492659988</v>
      </c>
      <c r="AD111" s="41">
        <f t="shared" si="257"/>
        <v>1618328.6509078268</v>
      </c>
      <c r="AE111" s="5">
        <f t="shared" ca="1" si="258"/>
        <v>36.311140793123677</v>
      </c>
      <c r="AF111" s="7">
        <f t="shared" ca="1" si="259"/>
        <v>1059.0422033678126</v>
      </c>
      <c r="AG111" s="41">
        <f t="shared" ca="1" si="260"/>
        <v>1857.5343079610905</v>
      </c>
      <c r="AH111" s="41">
        <f t="shared" ca="1" si="261"/>
        <v>1030695.055981227</v>
      </c>
      <c r="AI111" s="41">
        <f t="shared" ca="1" si="262"/>
        <v>840.27339946656798</v>
      </c>
      <c r="AJ111" s="13">
        <f t="shared" ca="1" si="263"/>
        <v>1.0641256046049808E-14</v>
      </c>
      <c r="AK111" s="11"/>
      <c r="AL111" s="6">
        <v>0</v>
      </c>
      <c r="AM111" s="41">
        <f t="shared" si="264"/>
        <v>140.7916810332664</v>
      </c>
      <c r="AN111" s="41">
        <f t="shared" ca="1" si="265"/>
        <v>32.862084566232078</v>
      </c>
      <c r="AO111" s="6">
        <f t="shared" si="142"/>
        <v>12.857142857142858</v>
      </c>
      <c r="AP111" s="67">
        <f t="shared" si="143"/>
        <v>0.7934276809691363</v>
      </c>
      <c r="AQ111" s="11">
        <f t="shared" si="266"/>
        <v>0.92829992071837586</v>
      </c>
      <c r="AR111" s="11">
        <f t="shared" si="267"/>
        <v>0.49937958210548988</v>
      </c>
      <c r="AS111" s="11">
        <f t="shared" si="268"/>
        <v>0.53795068916847377</v>
      </c>
      <c r="AT111" s="11">
        <f t="shared" si="269"/>
        <v>481.48131987899995</v>
      </c>
      <c r="AU111" s="11">
        <f t="shared" si="270"/>
        <v>1056.7970592432796</v>
      </c>
      <c r="AV111" s="11">
        <f t="shared" si="271"/>
        <v>1.2786549930845453E-3</v>
      </c>
      <c r="AW111" s="11">
        <f t="shared" si="272"/>
        <v>3.5253330369939681E-7</v>
      </c>
      <c r="AX111" s="41">
        <f t="shared" ca="1" si="273"/>
        <v>2.3019864770488154</v>
      </c>
      <c r="AY111" s="41">
        <f t="shared" ca="1" si="274"/>
        <v>3.1008215194154243</v>
      </c>
      <c r="AZ111" s="41">
        <f t="shared" si="275"/>
        <v>0.35430464035867143</v>
      </c>
    </row>
    <row r="112" spans="1:52" ht="14.5">
      <c r="A112" s="41">
        <f t="shared" ca="1" si="232"/>
        <v>5725.735708662879</v>
      </c>
      <c r="B112" s="41">
        <f t="shared" ca="1" si="233"/>
        <v>95.428928477714649</v>
      </c>
      <c r="C112" s="41">
        <f t="shared" ca="1" si="234"/>
        <v>1.5904821412952441</v>
      </c>
      <c r="D112" s="41">
        <f t="shared" ca="1" si="235"/>
        <v>11823.204728192639</v>
      </c>
      <c r="E112" s="41">
        <f t="shared" ca="1" si="236"/>
        <v>513.90953232026618</v>
      </c>
      <c r="F112" s="7">
        <f t="shared" si="237"/>
        <v>501.42857142857099</v>
      </c>
      <c r="G112" s="41"/>
      <c r="H112" s="7">
        <f t="shared" si="238"/>
        <v>18000</v>
      </c>
      <c r="I112" s="6">
        <v>15</v>
      </c>
      <c r="J112" s="41">
        <f t="shared" si="239"/>
        <v>0.5158343068733543</v>
      </c>
      <c r="K112" s="41">
        <f t="shared" si="240"/>
        <v>554.87268879171449</v>
      </c>
      <c r="L112" s="6">
        <f t="shared" si="140"/>
        <v>245</v>
      </c>
      <c r="M112" s="41">
        <f t="shared" si="241"/>
        <v>328.75319014607015</v>
      </c>
      <c r="N112" s="41">
        <f t="shared" si="242"/>
        <v>196.8385156375023</v>
      </c>
      <c r="O112" s="41">
        <f t="shared" si="243"/>
        <v>2012549.5282418809</v>
      </c>
      <c r="P112" s="41">
        <f t="shared" si="244"/>
        <v>12921982.158001004</v>
      </c>
      <c r="Q112" s="41">
        <f t="shared" si="245"/>
        <v>2.8142593213275591E-3</v>
      </c>
      <c r="R112" s="41">
        <f t="shared" si="246"/>
        <v>1.9061063126224184E-2</v>
      </c>
      <c r="S112" s="24">
        <f t="shared" ca="1" si="247"/>
        <v>1.1018630121670938E-15</v>
      </c>
      <c r="T112" s="10">
        <f t="shared" ca="1" si="248"/>
        <v>0</v>
      </c>
      <c r="U112" s="41">
        <f t="shared" ca="1" si="249"/>
        <v>0.26115436698035005</v>
      </c>
      <c r="V112" s="41">
        <f t="shared" ca="1" si="250"/>
        <v>2.3368452930499651E-2</v>
      </c>
      <c r="W112" s="41">
        <f t="shared" ca="1" si="251"/>
        <v>11.175509468130041</v>
      </c>
      <c r="X112" s="20">
        <f t="shared" ca="1" si="252"/>
        <v>1057.9566651444102</v>
      </c>
      <c r="Y112" s="41">
        <f t="shared" si="253"/>
        <v>0.54936851317696045</v>
      </c>
      <c r="Z112" s="41">
        <f t="shared" ca="1" si="254"/>
        <v>195.67365077666037</v>
      </c>
      <c r="AA112" s="14">
        <f t="shared" ca="1" si="255"/>
        <v>1057.9566651444102</v>
      </c>
      <c r="AB112" s="14">
        <f t="shared" si="114"/>
        <v>2916.5765113289031</v>
      </c>
      <c r="AC112" s="25">
        <f t="shared" ca="1" si="256"/>
        <v>587031.25941379438</v>
      </c>
      <c r="AD112" s="41">
        <f t="shared" si="257"/>
        <v>1618328.6509078268</v>
      </c>
      <c r="AE112" s="5">
        <f t="shared" ca="1" si="258"/>
        <v>36.273921189276976</v>
      </c>
      <c r="AF112" s="7">
        <f t="shared" ca="1" si="259"/>
        <v>1057.9566651444102</v>
      </c>
      <c r="AG112" s="41">
        <f t="shared" ca="1" si="260"/>
        <v>1858.6198461844929</v>
      </c>
      <c r="AH112" s="41">
        <f t="shared" ca="1" si="261"/>
        <v>1031297.3914940325</v>
      </c>
      <c r="AI112" s="41">
        <f t="shared" ca="1" si="262"/>
        <v>839.41210339137047</v>
      </c>
      <c r="AJ112" s="13">
        <f t="shared" ca="1" si="263"/>
        <v>0</v>
      </c>
      <c r="AK112" s="11"/>
      <c r="AL112" s="6">
        <v>0</v>
      </c>
      <c r="AM112" s="41">
        <f t="shared" si="264"/>
        <v>140.7916810332664</v>
      </c>
      <c r="AN112" s="41">
        <f t="shared" ca="1" si="265"/>
        <v>32.828400310039186</v>
      </c>
      <c r="AO112" s="6">
        <f t="shared" si="142"/>
        <v>12.857142857142858</v>
      </c>
      <c r="AP112" s="67">
        <f t="shared" si="143"/>
        <v>0.7934276809691363</v>
      </c>
      <c r="AQ112" s="11">
        <f t="shared" si="266"/>
        <v>0.92829992071837586</v>
      </c>
      <c r="AR112" s="11">
        <f t="shared" si="267"/>
        <v>0.49937958210548988</v>
      </c>
      <c r="AS112" s="11">
        <f t="shared" si="268"/>
        <v>0.53795068916847377</v>
      </c>
      <c r="AT112" s="11">
        <f t="shared" si="269"/>
        <v>481.48131987899995</v>
      </c>
      <c r="AU112" s="11">
        <f t="shared" si="270"/>
        <v>1056.7970592432796</v>
      </c>
      <c r="AV112" s="11">
        <f t="shared" si="271"/>
        <v>1.2786549930845453E-3</v>
      </c>
      <c r="AW112" s="11">
        <f t="shared" si="272"/>
        <v>3.5253330369939681E-7</v>
      </c>
      <c r="AX112" s="41">
        <f t="shared" ca="1" si="273"/>
        <v>2.3078660702367384</v>
      </c>
      <c r="AY112" s="41">
        <f t="shared" ca="1" si="274"/>
        <v>3.1087414482526663</v>
      </c>
      <c r="AZ112" s="41">
        <f t="shared" si="275"/>
        <v>0.35430464035867143</v>
      </c>
    </row>
    <row r="113" spans="1:52" ht="14.5">
      <c r="A113" s="41">
        <f t="shared" ca="1" si="232"/>
        <v>5866.5273896961453</v>
      </c>
      <c r="B113" s="41">
        <f t="shared" ca="1" si="233"/>
        <v>97.775456494935753</v>
      </c>
      <c r="C113" s="41">
        <f t="shared" ca="1" si="234"/>
        <v>1.6295909415822625</v>
      </c>
      <c r="D113" s="41">
        <f t="shared" ca="1" si="235"/>
        <v>11790.376327882599</v>
      </c>
      <c r="E113" s="41">
        <f t="shared" ca="1" si="236"/>
        <v>526.76667517740907</v>
      </c>
      <c r="F113" s="7">
        <f t="shared" si="237"/>
        <v>514.28571428571388</v>
      </c>
      <c r="G113" s="41"/>
      <c r="H113" s="7">
        <f t="shared" si="238"/>
        <v>18000</v>
      </c>
      <c r="I113" s="6">
        <v>15</v>
      </c>
      <c r="J113" s="41">
        <f t="shared" si="239"/>
        <v>0.5158343068733543</v>
      </c>
      <c r="K113" s="41">
        <f t="shared" si="240"/>
        <v>554.87268879171449</v>
      </c>
      <c r="L113" s="6">
        <f t="shared" si="140"/>
        <v>245</v>
      </c>
      <c r="M113" s="41">
        <f t="shared" si="241"/>
        <v>328.75319014607015</v>
      </c>
      <c r="N113" s="41">
        <f t="shared" si="242"/>
        <v>196.8385156375023</v>
      </c>
      <c r="O113" s="41">
        <f t="shared" si="243"/>
        <v>2012549.5282418809</v>
      </c>
      <c r="P113" s="41">
        <f t="shared" si="244"/>
        <v>12921982.158001004</v>
      </c>
      <c r="Q113" s="41">
        <f t="shared" si="245"/>
        <v>2.8142593213275591E-3</v>
      </c>
      <c r="R113" s="41">
        <f t="shared" si="246"/>
        <v>1.9061063126224184E-2</v>
      </c>
      <c r="S113" s="24">
        <f t="shared" ca="1" si="247"/>
        <v>1.1049309719203973E-15</v>
      </c>
      <c r="T113" s="10">
        <f t="shared" ca="1" si="248"/>
        <v>-1.1049309719203973E-15</v>
      </c>
      <c r="U113" s="41">
        <f t="shared" ca="1" si="249"/>
        <v>0.26042924377568266</v>
      </c>
      <c r="V113" s="41">
        <f t="shared" ca="1" si="250"/>
        <v>2.3344566275853042E-2</v>
      </c>
      <c r="W113" s="41">
        <f t="shared" ca="1" si="251"/>
        <v>11.155882730837595</v>
      </c>
      <c r="X113" s="20">
        <f t="shared" ca="1" si="252"/>
        <v>1056.8752480062478</v>
      </c>
      <c r="Y113" s="41">
        <f t="shared" si="253"/>
        <v>0.54936851317696045</v>
      </c>
      <c r="Z113" s="41">
        <f t="shared" ca="1" si="254"/>
        <v>195.4018074703099</v>
      </c>
      <c r="AA113" s="14">
        <f t="shared" ca="1" si="255"/>
        <v>1056.8752480062476</v>
      </c>
      <c r="AB113" s="14">
        <f t="shared" si="114"/>
        <v>2916.5765113289031</v>
      </c>
      <c r="AC113" s="25">
        <f t="shared" ca="1" si="256"/>
        <v>586431.21057863673</v>
      </c>
      <c r="AD113" s="41">
        <f t="shared" si="257"/>
        <v>1618328.6509078268</v>
      </c>
      <c r="AE113" s="5">
        <f t="shared" ca="1" si="258"/>
        <v>36.236842884148963</v>
      </c>
      <c r="AF113" s="7">
        <f t="shared" ca="1" si="259"/>
        <v>1056.8752480062476</v>
      </c>
      <c r="AG113" s="41">
        <f t="shared" ca="1" si="260"/>
        <v>1859.7012633226554</v>
      </c>
      <c r="AH113" s="41">
        <f t="shared" ca="1" si="261"/>
        <v>1031897.4403291901</v>
      </c>
      <c r="AI113" s="41">
        <f t="shared" ca="1" si="262"/>
        <v>838.55407709927783</v>
      </c>
      <c r="AJ113" s="13">
        <f t="shared" ca="1" si="263"/>
        <v>-1.0700544167982308E-14</v>
      </c>
      <c r="AK113" s="11"/>
      <c r="AL113" s="6">
        <v>0</v>
      </c>
      <c r="AM113" s="41">
        <f t="shared" si="264"/>
        <v>140.7916810332664</v>
      </c>
      <c r="AN113" s="41">
        <f t="shared" ca="1" si="265"/>
        <v>32.794843931140726</v>
      </c>
      <c r="AO113" s="6">
        <f t="shared" si="142"/>
        <v>12.857142857142858</v>
      </c>
      <c r="AP113" s="67">
        <f t="shared" si="143"/>
        <v>0.7934276809691363</v>
      </c>
      <c r="AQ113" s="11">
        <f t="shared" si="266"/>
        <v>0.92829992071837586</v>
      </c>
      <c r="AR113" s="11">
        <f t="shared" si="267"/>
        <v>0.49937958210548988</v>
      </c>
      <c r="AS113" s="11">
        <f t="shared" si="268"/>
        <v>0.53795068916847377</v>
      </c>
      <c r="AT113" s="11">
        <f t="shared" si="269"/>
        <v>481.48131987899995</v>
      </c>
      <c r="AU113" s="11">
        <f t="shared" si="270"/>
        <v>1056.7970592432796</v>
      </c>
      <c r="AV113" s="11">
        <f t="shared" si="271"/>
        <v>1.2786549930845453E-3</v>
      </c>
      <c r="AW113" s="11">
        <f t="shared" si="272"/>
        <v>3.5253330369939681E-7</v>
      </c>
      <c r="AX113" s="41">
        <f t="shared" ca="1" si="273"/>
        <v>2.3137738804148711</v>
      </c>
      <c r="AY113" s="41">
        <f t="shared" ca="1" si="274"/>
        <v>3.1166993859363235</v>
      </c>
      <c r="AZ113" s="41">
        <f t="shared" si="275"/>
        <v>0.35430464035867143</v>
      </c>
    </row>
    <row r="114" spans="1:52" ht="14.5">
      <c r="A114" s="41">
        <f t="shared" ca="1" si="232"/>
        <v>6007.3190707294116</v>
      </c>
      <c r="B114" s="41">
        <f t="shared" ca="1" si="233"/>
        <v>100.12198451215686</v>
      </c>
      <c r="C114" s="41">
        <f t="shared" ca="1" si="234"/>
        <v>1.6686997418692811</v>
      </c>
      <c r="D114" s="41">
        <f t="shared" ca="1" si="235"/>
        <v>11757.581483951459</v>
      </c>
      <c r="E114" s="41">
        <f t="shared" ca="1" si="236"/>
        <v>539.62381803455196</v>
      </c>
      <c r="F114" s="7">
        <f t="shared" si="237"/>
        <v>527.14285714285677</v>
      </c>
      <c r="G114" s="41"/>
      <c r="H114" s="7">
        <f t="shared" si="238"/>
        <v>18000</v>
      </c>
      <c r="I114" s="6">
        <v>15</v>
      </c>
      <c r="J114" s="41">
        <f t="shared" si="239"/>
        <v>0.5158343068733543</v>
      </c>
      <c r="K114" s="41">
        <f t="shared" si="240"/>
        <v>554.87268879171449</v>
      </c>
      <c r="L114" s="6">
        <f t="shared" si="140"/>
        <v>245</v>
      </c>
      <c r="M114" s="41">
        <f t="shared" si="241"/>
        <v>328.75319014607015</v>
      </c>
      <c r="N114" s="41">
        <f t="shared" si="242"/>
        <v>196.8385156375023</v>
      </c>
      <c r="O114" s="41">
        <f t="shared" si="243"/>
        <v>2012549.5282418809</v>
      </c>
      <c r="P114" s="41">
        <f t="shared" si="244"/>
        <v>12921982.158001004</v>
      </c>
      <c r="Q114" s="41">
        <f t="shared" si="245"/>
        <v>2.8142593213275591E-3</v>
      </c>
      <c r="R114" s="41">
        <f t="shared" si="246"/>
        <v>1.9061063126224184E-2</v>
      </c>
      <c r="S114" s="24">
        <f t="shared" ca="1" si="247"/>
        <v>1.1080129015526328E-15</v>
      </c>
      <c r="T114" s="10">
        <f t="shared" ca="1" si="248"/>
        <v>1.1080129015526328E-15</v>
      </c>
      <c r="U114" s="41">
        <f t="shared" ca="1" si="249"/>
        <v>0.25970486177402163</v>
      </c>
      <c r="V114" s="41">
        <f t="shared" ca="1" si="250"/>
        <v>2.3320770351828387E-2</v>
      </c>
      <c r="W114" s="41">
        <f t="shared" ca="1" si="251"/>
        <v>11.136204244370527</v>
      </c>
      <c r="X114" s="20">
        <f t="shared" ca="1" si="252"/>
        <v>1055.7979385027036</v>
      </c>
      <c r="Y114" s="41">
        <f t="shared" si="253"/>
        <v>0.54936851317696045</v>
      </c>
      <c r="Z114" s="41">
        <f t="shared" ca="1" si="254"/>
        <v>195.12986390039762</v>
      </c>
      <c r="AA114" s="14">
        <f t="shared" ca="1" si="255"/>
        <v>1055.7979385027036</v>
      </c>
      <c r="AB114" s="14">
        <f t="shared" si="114"/>
        <v>2916.5765113289031</v>
      </c>
      <c r="AC114" s="25">
        <f t="shared" ca="1" si="256"/>
        <v>585833.44095774437</v>
      </c>
      <c r="AD114" s="41">
        <f t="shared" si="257"/>
        <v>1618328.6509078268</v>
      </c>
      <c r="AE114" s="5">
        <f t="shared" ca="1" si="258"/>
        <v>36.199905416561215</v>
      </c>
      <c r="AF114" s="7">
        <f t="shared" ca="1" si="259"/>
        <v>1055.7979385027038</v>
      </c>
      <c r="AG114" s="41">
        <f t="shared" ca="1" si="260"/>
        <v>1860.7785728261995</v>
      </c>
      <c r="AH114" s="41">
        <f t="shared" ca="1" si="261"/>
        <v>1032495.2099500825</v>
      </c>
      <c r="AI114" s="41">
        <f t="shared" ca="1" si="262"/>
        <v>837.69930991819501</v>
      </c>
      <c r="AJ114" s="13">
        <f t="shared" ca="1" si="263"/>
        <v>1.0730390669700901E-14</v>
      </c>
      <c r="AK114" s="11"/>
      <c r="AL114" s="6">
        <v>0</v>
      </c>
      <c r="AM114" s="41">
        <f t="shared" si="264"/>
        <v>140.7916810332664</v>
      </c>
      <c r="AN114" s="41">
        <f t="shared" ca="1" si="265"/>
        <v>32.761415012163859</v>
      </c>
      <c r="AO114" s="6">
        <f t="shared" si="142"/>
        <v>12.857142857142858</v>
      </c>
      <c r="AP114" s="67">
        <f t="shared" si="143"/>
        <v>0.7934276809691363</v>
      </c>
      <c r="AQ114" s="11">
        <f t="shared" si="266"/>
        <v>0.92829992071837586</v>
      </c>
      <c r="AR114" s="11">
        <f t="shared" si="267"/>
        <v>0.49937958210548988</v>
      </c>
      <c r="AS114" s="11">
        <f t="shared" si="268"/>
        <v>0.53795068916847377</v>
      </c>
      <c r="AT114" s="11">
        <f t="shared" si="269"/>
        <v>481.48131987899995</v>
      </c>
      <c r="AU114" s="11">
        <f t="shared" si="270"/>
        <v>1056.7970592432796</v>
      </c>
      <c r="AV114" s="11">
        <f t="shared" si="271"/>
        <v>1.2786549930845453E-3</v>
      </c>
      <c r="AW114" s="11">
        <f t="shared" si="272"/>
        <v>3.5253330369939681E-7</v>
      </c>
      <c r="AX114" s="41">
        <f t="shared" ca="1" si="273"/>
        <v>2.3197101110388001</v>
      </c>
      <c r="AY114" s="41">
        <f t="shared" ca="1" si="274"/>
        <v>3.1246956065251124</v>
      </c>
      <c r="AZ114" s="41">
        <f t="shared" si="275"/>
        <v>0.35430464035867143</v>
      </c>
    </row>
    <row r="115" spans="1:52" ht="14.5">
      <c r="A115" s="41">
        <f t="shared" ca="1" si="232"/>
        <v>6148.1107517626779</v>
      </c>
      <c r="B115" s="41">
        <f t="shared" ca="1" si="233"/>
        <v>102.46851252937796</v>
      </c>
      <c r="C115" s="41">
        <f t="shared" ca="1" si="234"/>
        <v>1.7078085421562994</v>
      </c>
      <c r="D115" s="41">
        <f t="shared" ca="1" si="235"/>
        <v>11724.820068939294</v>
      </c>
      <c r="E115" s="41">
        <f t="shared" ca="1" si="236"/>
        <v>552.48096089169485</v>
      </c>
      <c r="F115" s="7">
        <f t="shared" si="237"/>
        <v>539.99999999999966</v>
      </c>
      <c r="G115" s="41"/>
      <c r="H115" s="7">
        <f t="shared" si="238"/>
        <v>18000</v>
      </c>
      <c r="I115" s="6">
        <v>15</v>
      </c>
      <c r="J115" s="41">
        <f t="shared" si="239"/>
        <v>0.5158343068733543</v>
      </c>
      <c r="K115" s="41">
        <f t="shared" si="240"/>
        <v>554.87268879171449</v>
      </c>
      <c r="L115" s="6">
        <f t="shared" si="140"/>
        <v>245</v>
      </c>
      <c r="M115" s="41">
        <f t="shared" si="241"/>
        <v>328.75319014607015</v>
      </c>
      <c r="N115" s="41">
        <f t="shared" si="242"/>
        <v>196.8385156375023</v>
      </c>
      <c r="O115" s="41">
        <f t="shared" si="243"/>
        <v>2012549.5282418809</v>
      </c>
      <c r="P115" s="41">
        <f t="shared" si="244"/>
        <v>12921982.158001004</v>
      </c>
      <c r="Q115" s="41">
        <f t="shared" si="245"/>
        <v>2.8142593213275591E-3</v>
      </c>
      <c r="R115" s="41">
        <f t="shared" si="246"/>
        <v>1.9061063126224184E-2</v>
      </c>
      <c r="S115" s="24">
        <f t="shared" ca="1" si="247"/>
        <v>0</v>
      </c>
      <c r="T115" s="10">
        <f t="shared" ca="1" si="248"/>
        <v>0</v>
      </c>
      <c r="U115" s="41">
        <f t="shared" ca="1" si="249"/>
        <v>0.25898121815999531</v>
      </c>
      <c r="V115" s="41">
        <f t="shared" ca="1" si="250"/>
        <v>2.3297064862868547E-2</v>
      </c>
      <c r="W115" s="41">
        <f t="shared" ca="1" si="251"/>
        <v>11.116474100253125</v>
      </c>
      <c r="X115" s="20">
        <f t="shared" ca="1" si="252"/>
        <v>1054.7247232530608</v>
      </c>
      <c r="Y115" s="41">
        <f t="shared" si="253"/>
        <v>0.54936851317696045</v>
      </c>
      <c r="Z115" s="41">
        <f t="shared" ca="1" si="254"/>
        <v>194.8578185879953</v>
      </c>
      <c r="AA115" s="14">
        <f t="shared" ca="1" si="255"/>
        <v>1054.7247232530608</v>
      </c>
      <c r="AB115" s="14">
        <f t="shared" si="114"/>
        <v>2916.5765113289031</v>
      </c>
      <c r="AC115" s="25">
        <f t="shared" ca="1" si="256"/>
        <v>585237.94312652282</v>
      </c>
      <c r="AD115" s="41">
        <f t="shared" si="257"/>
        <v>1618328.6509078268</v>
      </c>
      <c r="AE115" s="5">
        <f t="shared" ca="1" si="258"/>
        <v>36.163108327732097</v>
      </c>
      <c r="AF115" s="7">
        <f t="shared" ca="1" si="259"/>
        <v>1054.7247232530608</v>
      </c>
      <c r="AG115" s="41">
        <f t="shared" ca="1" si="260"/>
        <v>1861.8517880758423</v>
      </c>
      <c r="AH115" s="41">
        <f t="shared" ca="1" si="261"/>
        <v>1033090.707781304</v>
      </c>
      <c r="AI115" s="41">
        <f t="shared" ca="1" si="262"/>
        <v>836.84779123149008</v>
      </c>
      <c r="AJ115" s="13">
        <f t="shared" ca="1" si="263"/>
        <v>0</v>
      </c>
      <c r="AK115" s="11"/>
      <c r="AL115" s="6">
        <v>0</v>
      </c>
      <c r="AM115" s="41">
        <f t="shared" si="264"/>
        <v>140.7916810332664</v>
      </c>
      <c r="AN115" s="41">
        <f t="shared" ca="1" si="265"/>
        <v>32.728113137904849</v>
      </c>
      <c r="AO115" s="6">
        <f t="shared" si="142"/>
        <v>12.857142857142858</v>
      </c>
      <c r="AP115" s="67">
        <f t="shared" si="143"/>
        <v>0.7934276809691363</v>
      </c>
      <c r="AQ115" s="11">
        <f t="shared" si="266"/>
        <v>0.92829992071837586</v>
      </c>
      <c r="AR115" s="11">
        <f t="shared" si="267"/>
        <v>0.49937958210548988</v>
      </c>
      <c r="AS115" s="11">
        <f t="shared" si="268"/>
        <v>0.53795068916847377</v>
      </c>
      <c r="AT115" s="11">
        <f t="shared" si="269"/>
        <v>481.48131987899995</v>
      </c>
      <c r="AU115" s="11">
        <f t="shared" si="270"/>
        <v>1056.7970592432796</v>
      </c>
      <c r="AV115" s="11">
        <f t="shared" si="271"/>
        <v>1.2786549930845453E-3</v>
      </c>
      <c r="AW115" s="11">
        <f t="shared" si="272"/>
        <v>3.5253330369939681E-7</v>
      </c>
      <c r="AX115" s="41">
        <f t="shared" ca="1" si="273"/>
        <v>2.3256749675701318</v>
      </c>
      <c r="AY115" s="41">
        <f t="shared" ca="1" si="274"/>
        <v>3.1327303867798997</v>
      </c>
      <c r="AZ115" s="41">
        <f t="shared" si="275"/>
        <v>0.35430464035867143</v>
      </c>
    </row>
    <row r="116" spans="1:52" ht="14.5">
      <c r="A116" s="41">
        <f t="shared" ca="1" si="232"/>
        <v>6288.9024327959442</v>
      </c>
      <c r="B116" s="41">
        <f t="shared" ca="1" si="233"/>
        <v>104.81504054659906</v>
      </c>
      <c r="C116" s="41">
        <f t="shared" ca="1" si="234"/>
        <v>1.7469173424433178</v>
      </c>
      <c r="D116" s="41">
        <f t="shared" ca="1" si="235"/>
        <v>11692.09195580139</v>
      </c>
      <c r="E116" s="41">
        <f t="shared" ca="1" si="236"/>
        <v>565.33810374883774</v>
      </c>
      <c r="F116" s="7">
        <f t="shared" si="237"/>
        <v>552.85714285714255</v>
      </c>
      <c r="G116" s="41"/>
      <c r="H116" s="7">
        <f t="shared" si="238"/>
        <v>18000</v>
      </c>
      <c r="I116" s="6">
        <v>15</v>
      </c>
      <c r="J116" s="41">
        <f t="shared" si="239"/>
        <v>0.5158343068733543</v>
      </c>
      <c r="K116" s="41">
        <f t="shared" si="240"/>
        <v>554.87268879171449</v>
      </c>
      <c r="L116" s="6">
        <f t="shared" si="140"/>
        <v>245</v>
      </c>
      <c r="M116" s="41">
        <f t="shared" si="241"/>
        <v>328.75319014607015</v>
      </c>
      <c r="N116" s="41">
        <f t="shared" si="242"/>
        <v>196.8385156375023</v>
      </c>
      <c r="O116" s="41">
        <f t="shared" si="243"/>
        <v>2012549.5282418809</v>
      </c>
      <c r="P116" s="41">
        <f t="shared" si="244"/>
        <v>12921982.158001004</v>
      </c>
      <c r="Q116" s="41">
        <f t="shared" si="245"/>
        <v>2.8142593213275591E-3</v>
      </c>
      <c r="R116" s="41">
        <f t="shared" si="246"/>
        <v>1.9061063126224184E-2</v>
      </c>
      <c r="S116" s="24">
        <f t="shared" ca="1" si="247"/>
        <v>2.2284381656458912E-15</v>
      </c>
      <c r="T116" s="10">
        <f t="shared" ca="1" si="248"/>
        <v>0</v>
      </c>
      <c r="U116" s="41">
        <f t="shared" ca="1" si="249"/>
        <v>0.25825831012740325</v>
      </c>
      <c r="V116" s="41">
        <f t="shared" ca="1" si="250"/>
        <v>2.3273449514952055E-2</v>
      </c>
      <c r="W116" s="41">
        <f t="shared" ca="1" si="251"/>
        <v>11.096692390248592</v>
      </c>
      <c r="X116" s="20">
        <f t="shared" ca="1" si="252"/>
        <v>1053.6555889461274</v>
      </c>
      <c r="Y116" s="41">
        <f t="shared" si="253"/>
        <v>0.54936851317696045</v>
      </c>
      <c r="Z116" s="41">
        <f t="shared" ca="1" si="254"/>
        <v>194.58567004920107</v>
      </c>
      <c r="AA116" s="14">
        <f t="shared" ca="1" si="255"/>
        <v>1053.6555889461274</v>
      </c>
      <c r="AB116" s="14">
        <f t="shared" si="114"/>
        <v>2916.5765113289031</v>
      </c>
      <c r="AC116" s="25">
        <f t="shared" ca="1" si="256"/>
        <v>584644.70969895518</v>
      </c>
      <c r="AD116" s="41">
        <f t="shared" si="257"/>
        <v>1618328.6509078268</v>
      </c>
      <c r="AE116" s="5">
        <f t="shared" ca="1" si="258"/>
        <v>36.126451161263788</v>
      </c>
      <c r="AF116" s="7">
        <f t="shared" ca="1" si="259"/>
        <v>1053.6555889461274</v>
      </c>
      <c r="AG116" s="41">
        <f t="shared" ca="1" si="260"/>
        <v>1862.9209223827756</v>
      </c>
      <c r="AH116" s="41">
        <f t="shared" ca="1" si="261"/>
        <v>1033683.9412088717</v>
      </c>
      <c r="AI116" s="41">
        <f t="shared" ca="1" si="262"/>
        <v>835.99951047769537</v>
      </c>
      <c r="AJ116" s="13">
        <f t="shared" ca="1" si="263"/>
        <v>0</v>
      </c>
      <c r="AK116" s="11"/>
      <c r="AL116" s="6">
        <v>0</v>
      </c>
      <c r="AM116" s="41">
        <f t="shared" si="264"/>
        <v>140.7916810332664</v>
      </c>
      <c r="AN116" s="41">
        <f t="shared" ca="1" si="265"/>
        <v>32.694937895317373</v>
      </c>
      <c r="AO116" s="6">
        <f t="shared" si="142"/>
        <v>12.857142857142858</v>
      </c>
      <c r="AP116" s="67">
        <f t="shared" si="143"/>
        <v>0.7934276809691363</v>
      </c>
      <c r="AQ116" s="11">
        <f t="shared" si="266"/>
        <v>0.92829992071837586</v>
      </c>
      <c r="AR116" s="11">
        <f t="shared" si="267"/>
        <v>0.49937958210548988</v>
      </c>
      <c r="AS116" s="11">
        <f t="shared" si="268"/>
        <v>0.53795068916847377</v>
      </c>
      <c r="AT116" s="11">
        <f t="shared" si="269"/>
        <v>481.48131987899995</v>
      </c>
      <c r="AU116" s="11">
        <f t="shared" si="270"/>
        <v>1056.7970592432796</v>
      </c>
      <c r="AV116" s="11">
        <f t="shared" si="271"/>
        <v>1.2786549930845453E-3</v>
      </c>
      <c r="AW116" s="11">
        <f t="shared" si="272"/>
        <v>3.5253330369939681E-7</v>
      </c>
      <c r="AX116" s="41">
        <f t="shared" ca="1" si="273"/>
        <v>2.3316686575009737</v>
      </c>
      <c r="AY116" s="41">
        <f t="shared" ca="1" si="274"/>
        <v>3.1408040061966762</v>
      </c>
      <c r="AZ116" s="41">
        <f t="shared" si="275"/>
        <v>0.35430464035867143</v>
      </c>
    </row>
    <row r="117" spans="1:52" ht="14.5">
      <c r="A117" s="41">
        <f t="shared" ca="1" si="232"/>
        <v>6429.6941138292104</v>
      </c>
      <c r="B117" s="41">
        <f t="shared" ca="1" si="233"/>
        <v>107.16156856382017</v>
      </c>
      <c r="C117" s="41">
        <f t="shared" ca="1" si="234"/>
        <v>1.7860261427303361</v>
      </c>
      <c r="D117" s="41">
        <f t="shared" ca="1" si="235"/>
        <v>11659.397017906073</v>
      </c>
      <c r="E117" s="41">
        <f t="shared" ca="1" si="236"/>
        <v>578.19524660598063</v>
      </c>
      <c r="F117" s="7">
        <f t="shared" si="237"/>
        <v>565.71428571428544</v>
      </c>
      <c r="G117" s="41"/>
      <c r="H117" s="7">
        <f t="shared" si="238"/>
        <v>18000</v>
      </c>
      <c r="I117" s="6">
        <v>15</v>
      </c>
      <c r="J117" s="41">
        <f t="shared" si="239"/>
        <v>0.5158343068733543</v>
      </c>
      <c r="K117" s="41">
        <f t="shared" si="240"/>
        <v>554.87268879171449</v>
      </c>
      <c r="L117" s="6">
        <f t="shared" si="140"/>
        <v>245</v>
      </c>
      <c r="M117" s="41">
        <f t="shared" si="241"/>
        <v>328.75319014607015</v>
      </c>
      <c r="N117" s="41">
        <f t="shared" si="242"/>
        <v>196.8385156375023</v>
      </c>
      <c r="O117" s="41">
        <f t="shared" si="243"/>
        <v>2012549.5282418809</v>
      </c>
      <c r="P117" s="41">
        <f t="shared" si="244"/>
        <v>12921982.158001004</v>
      </c>
      <c r="Q117" s="41">
        <f t="shared" si="245"/>
        <v>2.8142593213275591E-3</v>
      </c>
      <c r="R117" s="41">
        <f t="shared" si="246"/>
        <v>1.9061063126224184E-2</v>
      </c>
      <c r="S117" s="24">
        <f t="shared" ca="1" si="247"/>
        <v>-1.1173435431752885E-15</v>
      </c>
      <c r="T117" s="10">
        <f t="shared" ca="1" si="248"/>
        <v>-1.1173435431752885E-15</v>
      </c>
      <c r="U117" s="41">
        <f t="shared" ca="1" si="249"/>
        <v>0.25753613487916843</v>
      </c>
      <c r="V117" s="41">
        <f t="shared" ca="1" si="250"/>
        <v>2.3249924015584778E-2</v>
      </c>
      <c r="W117" s="41">
        <f t="shared" ca="1" si="251"/>
        <v>11.076859206358611</v>
      </c>
      <c r="X117" s="20">
        <f t="shared" ca="1" si="252"/>
        <v>1052.5905223398577</v>
      </c>
      <c r="Y117" s="41">
        <f t="shared" si="253"/>
        <v>0.54936851317696045</v>
      </c>
      <c r="Z117" s="41">
        <f t="shared" ca="1" si="254"/>
        <v>194.31341679507895</v>
      </c>
      <c r="AA117" s="14">
        <f t="shared" ca="1" si="255"/>
        <v>1052.5905223398577</v>
      </c>
      <c r="AB117" s="14">
        <f t="shared" si="114"/>
        <v>2916.5765113289031</v>
      </c>
      <c r="AC117" s="25">
        <f t="shared" ca="1" si="256"/>
        <v>584053.73332739202</v>
      </c>
      <c r="AD117" s="41">
        <f t="shared" si="257"/>
        <v>1618328.6509078268</v>
      </c>
      <c r="AE117" s="5">
        <f t="shared" ca="1" si="258"/>
        <v>36.089933463129256</v>
      </c>
      <c r="AF117" s="7">
        <f t="shared" ca="1" si="259"/>
        <v>1052.5905223398574</v>
      </c>
      <c r="AG117" s="41">
        <f t="shared" ca="1" si="260"/>
        <v>1863.9859889890454</v>
      </c>
      <c r="AH117" s="41">
        <f t="shared" ca="1" si="261"/>
        <v>1034274.9175804348</v>
      </c>
      <c r="AI117" s="41">
        <f t="shared" ca="1" si="262"/>
        <v>835.15445715020496</v>
      </c>
      <c r="AJ117" s="13">
        <f t="shared" ca="1" si="263"/>
        <v>-1.0820751918807089E-14</v>
      </c>
      <c r="AK117" s="11"/>
      <c r="AL117" s="6">
        <v>0</v>
      </c>
      <c r="AM117" s="41">
        <f t="shared" si="264"/>
        <v>140.7916810332664</v>
      </c>
      <c r="AN117" s="41">
        <f t="shared" ca="1" si="265"/>
        <v>32.661888873500665</v>
      </c>
      <c r="AO117" s="6">
        <f t="shared" si="142"/>
        <v>12.857142857142858</v>
      </c>
      <c r="AP117" s="67">
        <f t="shared" si="143"/>
        <v>0.7934276809691363</v>
      </c>
      <c r="AQ117" s="11">
        <f t="shared" si="266"/>
        <v>0.92829992071837586</v>
      </c>
      <c r="AR117" s="11">
        <f t="shared" si="267"/>
        <v>0.49937958210548988</v>
      </c>
      <c r="AS117" s="11">
        <f t="shared" si="268"/>
        <v>0.53795068916847377</v>
      </c>
      <c r="AT117" s="11">
        <f t="shared" si="269"/>
        <v>481.48131987899995</v>
      </c>
      <c r="AU117" s="11">
        <f t="shared" si="270"/>
        <v>1056.7970592432796</v>
      </c>
      <c r="AV117" s="11">
        <f t="shared" si="271"/>
        <v>1.2786549930845453E-3</v>
      </c>
      <c r="AW117" s="11">
        <f t="shared" si="272"/>
        <v>3.5253330369939681E-7</v>
      </c>
      <c r="AX117" s="41">
        <f t="shared" ca="1" si="273"/>
        <v>2.337691390378783</v>
      </c>
      <c r="AY117" s="41">
        <f t="shared" ca="1" si="274"/>
        <v>3.1489167470400297</v>
      </c>
      <c r="AZ117" s="41">
        <f t="shared" si="275"/>
        <v>0.35430464035867143</v>
      </c>
    </row>
    <row r="118" spans="1:52" ht="14.5">
      <c r="A118" s="41">
        <f t="shared" ca="1" si="232"/>
        <v>6570.4857948624767</v>
      </c>
      <c r="B118" s="41">
        <f t="shared" ca="1" si="233"/>
        <v>109.50809658104127</v>
      </c>
      <c r="C118" s="41">
        <f t="shared" ca="1" si="234"/>
        <v>1.8251349430173545</v>
      </c>
      <c r="D118" s="41">
        <f t="shared" ca="1" si="235"/>
        <v>11626.735129032571</v>
      </c>
      <c r="E118" s="41">
        <f t="shared" ca="1" si="236"/>
        <v>591.05238946312352</v>
      </c>
      <c r="F118" s="7">
        <f t="shared" si="237"/>
        <v>578.57142857142833</v>
      </c>
      <c r="G118" s="41"/>
      <c r="H118" s="7">
        <f t="shared" si="238"/>
        <v>18000</v>
      </c>
      <c r="I118" s="6">
        <v>15</v>
      </c>
      <c r="J118" s="41">
        <f t="shared" si="239"/>
        <v>0.5158343068733543</v>
      </c>
      <c r="K118" s="41">
        <f t="shared" si="240"/>
        <v>554.87268879171449</v>
      </c>
      <c r="L118" s="6">
        <f t="shared" si="140"/>
        <v>245</v>
      </c>
      <c r="M118" s="41">
        <f t="shared" si="241"/>
        <v>328.75319014607015</v>
      </c>
      <c r="N118" s="41">
        <f t="shared" si="242"/>
        <v>196.8385156375023</v>
      </c>
      <c r="O118" s="41">
        <f t="shared" si="243"/>
        <v>2012549.5282418809</v>
      </c>
      <c r="P118" s="41">
        <f t="shared" si="244"/>
        <v>12921982.158001004</v>
      </c>
      <c r="Q118" s="41">
        <f t="shared" si="245"/>
        <v>2.8142593213275591E-3</v>
      </c>
      <c r="R118" s="41">
        <f t="shared" si="246"/>
        <v>1.9061063126224184E-2</v>
      </c>
      <c r="S118" s="24">
        <f t="shared" ca="1" si="247"/>
        <v>0</v>
      </c>
      <c r="T118" s="10">
        <f t="shared" ca="1" si="248"/>
        <v>0</v>
      </c>
      <c r="U118" s="41">
        <f t="shared" ca="1" si="249"/>
        <v>0.25681468962728998</v>
      </c>
      <c r="V118" s="41">
        <f t="shared" ca="1" si="250"/>
        <v>2.3226488073791587E-2</v>
      </c>
      <c r="W118" s="41">
        <f t="shared" ca="1" si="251"/>
        <v>11.056974640822938</v>
      </c>
      <c r="X118" s="20">
        <f t="shared" ca="1" si="252"/>
        <v>1051.5295102609757</v>
      </c>
      <c r="Y118" s="41">
        <f t="shared" si="253"/>
        <v>0.54936851317696045</v>
      </c>
      <c r="Z118" s="41">
        <f t="shared" ca="1" si="254"/>
        <v>194.04105733159727</v>
      </c>
      <c r="AA118" s="14">
        <f t="shared" ca="1" si="255"/>
        <v>1051.5295102609757</v>
      </c>
      <c r="AB118" s="14">
        <f t="shared" si="114"/>
        <v>2916.5765113289031</v>
      </c>
      <c r="AC118" s="25">
        <f t="shared" ca="1" si="256"/>
        <v>583465.0067023423</v>
      </c>
      <c r="AD118" s="41">
        <f t="shared" si="257"/>
        <v>1618328.6509078268</v>
      </c>
      <c r="AE118" s="5">
        <f t="shared" ca="1" si="258"/>
        <v>36.053554781659372</v>
      </c>
      <c r="AF118" s="7">
        <f t="shared" ca="1" si="259"/>
        <v>1051.5295102609757</v>
      </c>
      <c r="AG118" s="41">
        <f t="shared" ca="1" si="260"/>
        <v>1865.0470010679273</v>
      </c>
      <c r="AH118" s="41">
        <f t="shared" ca="1" si="261"/>
        <v>1034863.6442054845</v>
      </c>
      <c r="AI118" s="41">
        <f t="shared" ca="1" si="262"/>
        <v>834.31262079697751</v>
      </c>
      <c r="AJ118" s="13">
        <f t="shared" ca="1" si="263"/>
        <v>0</v>
      </c>
      <c r="AK118" s="11"/>
      <c r="AL118" s="6">
        <v>0</v>
      </c>
      <c r="AM118" s="41">
        <f t="shared" si="264"/>
        <v>140.7916810332664</v>
      </c>
      <c r="AN118" s="41">
        <f t="shared" ca="1" si="265"/>
        <v>32.628965663687943</v>
      </c>
      <c r="AO118" s="6">
        <f t="shared" si="142"/>
        <v>12.857142857142858</v>
      </c>
      <c r="AP118" s="67">
        <f t="shared" si="143"/>
        <v>0.7934276809691363</v>
      </c>
      <c r="AQ118" s="11">
        <f t="shared" si="266"/>
        <v>0.92829992071837586</v>
      </c>
      <c r="AR118" s="11">
        <f t="shared" si="267"/>
        <v>0.49937958210548988</v>
      </c>
      <c r="AS118" s="11">
        <f t="shared" si="268"/>
        <v>0.53795068916847377</v>
      </c>
      <c r="AT118" s="11">
        <f t="shared" si="269"/>
        <v>481.48131987899995</v>
      </c>
      <c r="AU118" s="11">
        <f t="shared" si="270"/>
        <v>1056.7970592432796</v>
      </c>
      <c r="AV118" s="11">
        <f t="shared" si="271"/>
        <v>1.2786549930845453E-3</v>
      </c>
      <c r="AW118" s="11">
        <f t="shared" si="272"/>
        <v>3.5253330369939681E-7</v>
      </c>
      <c r="AX118" s="41">
        <f t="shared" ca="1" si="273"/>
        <v>2.3437433778315793</v>
      </c>
      <c r="AY118" s="41">
        <f t="shared" ca="1" si="274"/>
        <v>3.1570688943771077</v>
      </c>
      <c r="AZ118" s="41">
        <f t="shared" si="275"/>
        <v>0.35430464035867143</v>
      </c>
    </row>
    <row r="119" spans="1:52" ht="14.5">
      <c r="A119" s="41">
        <f t="shared" ca="1" si="232"/>
        <v>6711.277475895743</v>
      </c>
      <c r="B119" s="41">
        <f t="shared" ca="1" si="233"/>
        <v>111.85462459826239</v>
      </c>
      <c r="C119" s="41">
        <f t="shared" ca="1" si="234"/>
        <v>1.8642437433043733</v>
      </c>
      <c r="D119" s="41">
        <f t="shared" ca="1" si="235"/>
        <v>11594.106163368884</v>
      </c>
      <c r="E119" s="41">
        <f t="shared" ca="1" si="236"/>
        <v>603.90953232026641</v>
      </c>
      <c r="F119" s="7">
        <f t="shared" si="237"/>
        <v>591.42857142857122</v>
      </c>
      <c r="G119" s="41"/>
      <c r="H119" s="7">
        <f t="shared" si="238"/>
        <v>18000</v>
      </c>
      <c r="I119" s="6">
        <v>15</v>
      </c>
      <c r="J119" s="41">
        <f t="shared" si="239"/>
        <v>0.5158343068733543</v>
      </c>
      <c r="K119" s="41">
        <f t="shared" si="240"/>
        <v>554.87268879171449</v>
      </c>
      <c r="L119" s="6">
        <f t="shared" si="140"/>
        <v>245</v>
      </c>
      <c r="M119" s="41">
        <f t="shared" si="241"/>
        <v>328.75319014607015</v>
      </c>
      <c r="N119" s="41">
        <f t="shared" si="242"/>
        <v>196.8385156375023</v>
      </c>
      <c r="O119" s="41">
        <f t="shared" si="243"/>
        <v>2012549.5282418809</v>
      </c>
      <c r="P119" s="41">
        <f t="shared" si="244"/>
        <v>12921982.158001004</v>
      </c>
      <c r="Q119" s="41">
        <f t="shared" si="245"/>
        <v>2.8142593213275591E-3</v>
      </c>
      <c r="R119" s="41">
        <f t="shared" si="246"/>
        <v>1.9061063126224184E-2</v>
      </c>
      <c r="S119" s="24">
        <f t="shared" ca="1" si="247"/>
        <v>1.1236357328204044E-15</v>
      </c>
      <c r="T119" s="10">
        <f t="shared" ca="1" si="248"/>
        <v>0</v>
      </c>
      <c r="U119" s="41">
        <f t="shared" ca="1" si="249"/>
        <v>0.2560939715927959</v>
      </c>
      <c r="V119" s="41">
        <f t="shared" ca="1" si="250"/>
        <v>2.3203141400108141E-2</v>
      </c>
      <c r="W119" s="41">
        <f t="shared" ca="1" si="251"/>
        <v>11.03703878611895</v>
      </c>
      <c r="X119" s="20">
        <f t="shared" ca="1" si="252"/>
        <v>1050.4725396046035</v>
      </c>
      <c r="Y119" s="41">
        <f t="shared" si="253"/>
        <v>0.54936851317696045</v>
      </c>
      <c r="Z119" s="41">
        <f t="shared" ca="1" si="254"/>
        <v>193.76859015956728</v>
      </c>
      <c r="AA119" s="14">
        <f t="shared" ca="1" si="255"/>
        <v>1050.4725396046035</v>
      </c>
      <c r="AB119" s="14">
        <f t="shared" si="114"/>
        <v>2916.5765113289031</v>
      </c>
      <c r="AC119" s="25">
        <f t="shared" ca="1" si="256"/>
        <v>582878.52255226718</v>
      </c>
      <c r="AD119" s="41">
        <f t="shared" si="257"/>
        <v>1618328.6509078268</v>
      </c>
      <c r="AE119" s="5">
        <f t="shared" ca="1" si="258"/>
        <v>36.01731466753013</v>
      </c>
      <c r="AF119" s="7">
        <f t="shared" ca="1" si="259"/>
        <v>1050.4725396046035</v>
      </c>
      <c r="AG119" s="41">
        <f t="shared" ca="1" si="260"/>
        <v>1866.1039717242995</v>
      </c>
      <c r="AH119" s="41">
        <f t="shared" ca="1" si="261"/>
        <v>1035450.1283555597</v>
      </c>
      <c r="AI119" s="41">
        <f t="shared" ca="1" si="262"/>
        <v>833.47399102023974</v>
      </c>
      <c r="AJ119" s="13">
        <f t="shared" ca="1" si="263"/>
        <v>0</v>
      </c>
      <c r="AK119" s="11"/>
      <c r="AL119" s="6">
        <v>0</v>
      </c>
      <c r="AM119" s="41">
        <f t="shared" si="264"/>
        <v>140.7916810332664</v>
      </c>
      <c r="AN119" s="41">
        <f t="shared" ca="1" si="265"/>
        <v>32.596167859234761</v>
      </c>
      <c r="AO119" s="6">
        <f t="shared" si="142"/>
        <v>12.857142857142858</v>
      </c>
      <c r="AP119" s="67">
        <f t="shared" si="143"/>
        <v>0.7934276809691363</v>
      </c>
      <c r="AQ119" s="11">
        <f t="shared" si="266"/>
        <v>0.92829992071837586</v>
      </c>
      <c r="AR119" s="11">
        <f t="shared" si="267"/>
        <v>0.49937958210548988</v>
      </c>
      <c r="AS119" s="11">
        <f t="shared" si="268"/>
        <v>0.53795068916847377</v>
      </c>
      <c r="AT119" s="11">
        <f t="shared" si="269"/>
        <v>481.48131987899995</v>
      </c>
      <c r="AU119" s="11">
        <f t="shared" si="270"/>
        <v>1056.7970592432796</v>
      </c>
      <c r="AV119" s="11">
        <f t="shared" si="271"/>
        <v>1.2786549930845453E-3</v>
      </c>
      <c r="AW119" s="11">
        <f t="shared" si="272"/>
        <v>3.5253330369939681E-7</v>
      </c>
      <c r="AX119" s="41">
        <f t="shared" ca="1" si="273"/>
        <v>2.3498248335935221</v>
      </c>
      <c r="AY119" s="41">
        <f t="shared" ca="1" si="274"/>
        <v>3.165260736112069</v>
      </c>
      <c r="AZ119" s="41">
        <f t="shared" si="275"/>
        <v>0.35430464035867143</v>
      </c>
    </row>
    <row r="120" spans="1:52" ht="14.5">
      <c r="A120" s="41">
        <f t="shared" ca="1" si="232"/>
        <v>6852.0691569290093</v>
      </c>
      <c r="B120" s="41">
        <f t="shared" ca="1" si="233"/>
        <v>114.20115261548349</v>
      </c>
      <c r="C120" s="41">
        <f t="shared" ca="1" si="234"/>
        <v>1.9033525435913916</v>
      </c>
      <c r="D120" s="41">
        <f t="shared" ca="1" si="235"/>
        <v>11561.50999550965</v>
      </c>
      <c r="E120" s="41">
        <f t="shared" ca="1" si="236"/>
        <v>616.7666751774093</v>
      </c>
      <c r="F120" s="7">
        <f t="shared" si="237"/>
        <v>604.28571428571411</v>
      </c>
      <c r="G120" s="41"/>
      <c r="H120" s="7">
        <f t="shared" si="238"/>
        <v>18000</v>
      </c>
      <c r="I120" s="6">
        <v>15</v>
      </c>
      <c r="J120" s="41">
        <f t="shared" si="239"/>
        <v>0.5158343068733543</v>
      </c>
      <c r="K120" s="41">
        <f t="shared" si="240"/>
        <v>554.87268879171449</v>
      </c>
      <c r="L120" s="6">
        <f t="shared" si="140"/>
        <v>245</v>
      </c>
      <c r="M120" s="41">
        <f t="shared" si="241"/>
        <v>328.75319014607015</v>
      </c>
      <c r="N120" s="41">
        <f t="shared" si="242"/>
        <v>196.8385156375023</v>
      </c>
      <c r="O120" s="41">
        <f t="shared" si="243"/>
        <v>2012549.5282418809</v>
      </c>
      <c r="P120" s="41">
        <f t="shared" si="244"/>
        <v>12921982.158001004</v>
      </c>
      <c r="Q120" s="41">
        <f t="shared" si="245"/>
        <v>2.8142593213275591E-3</v>
      </c>
      <c r="R120" s="41">
        <f t="shared" si="246"/>
        <v>1.9061063126224184E-2</v>
      </c>
      <c r="S120" s="24">
        <f t="shared" ca="1" si="247"/>
        <v>0</v>
      </c>
      <c r="T120" s="10">
        <f t="shared" ca="1" si="248"/>
        <v>0</v>
      </c>
      <c r="U120" s="41">
        <f t="shared" ca="1" si="249"/>
        <v>0.25537397800569639</v>
      </c>
      <c r="V120" s="41">
        <f t="shared" ca="1" si="250"/>
        <v>2.3179883706572705E-2</v>
      </c>
      <c r="W120" s="41">
        <f t="shared" ca="1" si="251"/>
        <v>11.017051734961232</v>
      </c>
      <c r="X120" s="20">
        <f t="shared" ca="1" si="252"/>
        <v>1049.4195973338901</v>
      </c>
      <c r="Y120" s="41">
        <f t="shared" si="253"/>
        <v>0.54936851317696045</v>
      </c>
      <c r="Z120" s="41">
        <f t="shared" ca="1" si="254"/>
        <v>193.49601377458069</v>
      </c>
      <c r="AA120" s="14">
        <f t="shared" ca="1" si="255"/>
        <v>1049.4195973338901</v>
      </c>
      <c r="AB120" s="14">
        <f t="shared" si="114"/>
        <v>2916.5765113289031</v>
      </c>
      <c r="AC120" s="25">
        <f t="shared" ca="1" si="256"/>
        <v>582294.27364337398</v>
      </c>
      <c r="AD120" s="41">
        <f t="shared" si="257"/>
        <v>1618328.6509078268</v>
      </c>
      <c r="AE120" s="5">
        <f t="shared" ca="1" si="258"/>
        <v>35.981212673749972</v>
      </c>
      <c r="AF120" s="7">
        <f t="shared" ca="1" si="259"/>
        <v>1049.4195973338901</v>
      </c>
      <c r="AG120" s="41">
        <f t="shared" ca="1" si="260"/>
        <v>1867.1569139950129</v>
      </c>
      <c r="AH120" s="41">
        <f t="shared" ca="1" si="261"/>
        <v>1036034.3772644529</v>
      </c>
      <c r="AI120" s="41">
        <f t="shared" ca="1" si="262"/>
        <v>832.63855747619323</v>
      </c>
      <c r="AJ120" s="13">
        <f t="shared" ca="1" si="263"/>
        <v>0</v>
      </c>
      <c r="AK120" s="11"/>
      <c r="AL120" s="6">
        <v>0</v>
      </c>
      <c r="AM120" s="41">
        <f t="shared" si="264"/>
        <v>140.7916810332664</v>
      </c>
      <c r="AN120" s="41">
        <f t="shared" ca="1" si="265"/>
        <v>32.563495055607568</v>
      </c>
      <c r="AO120" s="6">
        <f t="shared" si="142"/>
        <v>12.857142857142858</v>
      </c>
      <c r="AP120" s="67">
        <f t="shared" si="143"/>
        <v>0.7934276809691363</v>
      </c>
      <c r="AQ120" s="11">
        <f t="shared" si="266"/>
        <v>0.92829992071837586</v>
      </c>
      <c r="AR120" s="11">
        <f t="shared" si="267"/>
        <v>0.49937958210548988</v>
      </c>
      <c r="AS120" s="11">
        <f t="shared" si="268"/>
        <v>0.53795068916847377</v>
      </c>
      <c r="AT120" s="11">
        <f t="shared" si="269"/>
        <v>481.48131987899995</v>
      </c>
      <c r="AU120" s="11">
        <f t="shared" si="270"/>
        <v>1056.7970592432796</v>
      </c>
      <c r="AV120" s="11">
        <f t="shared" si="271"/>
        <v>1.2786549930845453E-3</v>
      </c>
      <c r="AW120" s="11">
        <f t="shared" si="272"/>
        <v>3.5253330369939681E-7</v>
      </c>
      <c r="AX120" s="41">
        <f t="shared" ca="1" si="273"/>
        <v>2.3559359735308849</v>
      </c>
      <c r="AY120" s="41">
        <f t="shared" ca="1" si="274"/>
        <v>3.1734925630210729</v>
      </c>
      <c r="AZ120" s="41">
        <f t="shared" si="275"/>
        <v>0.35430464035867143</v>
      </c>
    </row>
    <row r="121" spans="1:52" ht="14.5">
      <c r="A121" s="41">
        <f t="shared" ca="1" si="232"/>
        <v>6992.8608379622756</v>
      </c>
      <c r="B121" s="41">
        <f t="shared" ca="1" si="233"/>
        <v>116.5476806327046</v>
      </c>
      <c r="C121" s="41">
        <f t="shared" ca="1" si="234"/>
        <v>1.94246134387841</v>
      </c>
      <c r="D121" s="41">
        <f t="shared" ca="1" si="235"/>
        <v>11528.946500454043</v>
      </c>
      <c r="E121" s="41">
        <f t="shared" ca="1" si="236"/>
        <v>629.62381803455219</v>
      </c>
      <c r="F121" s="7">
        <f t="shared" si="237"/>
        <v>617.142857142857</v>
      </c>
      <c r="G121" s="41"/>
      <c r="H121" s="7">
        <f t="shared" si="238"/>
        <v>18000</v>
      </c>
      <c r="I121" s="6">
        <v>15</v>
      </c>
      <c r="J121" s="41">
        <f t="shared" si="239"/>
        <v>0.5158343068733543</v>
      </c>
      <c r="K121" s="41">
        <f t="shared" si="240"/>
        <v>554.87268879171449</v>
      </c>
      <c r="L121" s="6">
        <f t="shared" si="140"/>
        <v>245</v>
      </c>
      <c r="M121" s="41">
        <f t="shared" si="241"/>
        <v>328.75319014607015</v>
      </c>
      <c r="N121" s="41">
        <f t="shared" si="242"/>
        <v>196.8385156375023</v>
      </c>
      <c r="O121" s="41">
        <f t="shared" si="243"/>
        <v>2012549.5282418809</v>
      </c>
      <c r="P121" s="41">
        <f t="shared" si="244"/>
        <v>12921982.158001004</v>
      </c>
      <c r="Q121" s="41">
        <f t="shared" si="245"/>
        <v>2.8142593213275591E-3</v>
      </c>
      <c r="R121" s="41">
        <f t="shared" si="246"/>
        <v>1.9061063126224184E-2</v>
      </c>
      <c r="S121" s="24">
        <f t="shared" ca="1" si="247"/>
        <v>-1.129986332642059E-15</v>
      </c>
      <c r="T121" s="10">
        <f t="shared" ca="1" si="248"/>
        <v>-1.129986332642059E-15</v>
      </c>
      <c r="U121" s="41">
        <f t="shared" ca="1" si="249"/>
        <v>0.25465470610493701</v>
      </c>
      <c r="V121" s="41">
        <f t="shared" ca="1" si="250"/>
        <v>2.3156714706718009E-2</v>
      </c>
      <c r="W121" s="41">
        <f t="shared" ca="1" si="251"/>
        <v>10.997013580301138</v>
      </c>
      <c r="X121" s="20">
        <f t="shared" ca="1" si="252"/>
        <v>1048.3706704796432</v>
      </c>
      <c r="Y121" s="41">
        <f t="shared" si="253"/>
        <v>0.54936851317696045</v>
      </c>
      <c r="Z121" s="41">
        <f t="shared" ca="1" si="254"/>
        <v>193.22332666694652</v>
      </c>
      <c r="AA121" s="14">
        <f t="shared" ca="1" si="255"/>
        <v>1048.370670479643</v>
      </c>
      <c r="AB121" s="14">
        <f t="shared" si="114"/>
        <v>2916.5765113289031</v>
      </c>
      <c r="AC121" s="25">
        <f t="shared" ca="1" si="256"/>
        <v>581712.25277941197</v>
      </c>
      <c r="AD121" s="41">
        <f t="shared" si="257"/>
        <v>1618328.6509078268</v>
      </c>
      <c r="AE121" s="5">
        <f t="shared" ca="1" si="258"/>
        <v>35.945248355647131</v>
      </c>
      <c r="AF121" s="7">
        <f t="shared" ca="1" si="259"/>
        <v>1048.370670479643</v>
      </c>
      <c r="AG121" s="41">
        <f t="shared" ca="1" si="260"/>
        <v>1868.2058408492601</v>
      </c>
      <c r="AH121" s="41">
        <f t="shared" ca="1" si="261"/>
        <v>1036616.3981284149</v>
      </c>
      <c r="AI121" s="41">
        <f t="shared" ca="1" si="262"/>
        <v>831.80630987472171</v>
      </c>
      <c r="AJ121" s="13">
        <f t="shared" ca="1" si="263"/>
        <v>-1.0943189184603477E-14</v>
      </c>
      <c r="AK121" s="11"/>
      <c r="AL121" s="6">
        <v>0</v>
      </c>
      <c r="AM121" s="41">
        <f t="shared" si="264"/>
        <v>140.7916810332664</v>
      </c>
      <c r="AN121" s="41">
        <f t="shared" ca="1" si="265"/>
        <v>32.530946850372267</v>
      </c>
      <c r="AO121" s="6">
        <f t="shared" si="142"/>
        <v>12.857142857142858</v>
      </c>
      <c r="AP121" s="67">
        <f t="shared" si="143"/>
        <v>0.7934276809691363</v>
      </c>
      <c r="AQ121" s="11">
        <f t="shared" si="266"/>
        <v>0.92829992071837586</v>
      </c>
      <c r="AR121" s="11">
        <f t="shared" si="267"/>
        <v>0.49937958210548988</v>
      </c>
      <c r="AS121" s="11">
        <f t="shared" si="268"/>
        <v>0.53795068916847377</v>
      </c>
      <c r="AT121" s="11">
        <f t="shared" si="269"/>
        <v>481.48131987899995</v>
      </c>
      <c r="AU121" s="11">
        <f t="shared" si="270"/>
        <v>1056.7970592432796</v>
      </c>
      <c r="AV121" s="11">
        <f t="shared" si="271"/>
        <v>1.2786549930845453E-3</v>
      </c>
      <c r="AW121" s="11">
        <f t="shared" si="272"/>
        <v>3.5253330369939681E-7</v>
      </c>
      <c r="AX121" s="41">
        <f t="shared" ca="1" si="273"/>
        <v>2.3620770156684086</v>
      </c>
      <c r="AY121" s="41">
        <f t="shared" ca="1" si="274"/>
        <v>3.181764668787777</v>
      </c>
      <c r="AZ121" s="41">
        <f t="shared" si="275"/>
        <v>0.35430464035867143</v>
      </c>
    </row>
    <row r="122" spans="1:52" ht="14.5">
      <c r="A122" s="41">
        <f t="shared" ca="1" si="232"/>
        <v>7133.6525189955419</v>
      </c>
      <c r="B122" s="41">
        <f t="shared" ca="1" si="233"/>
        <v>118.8942086499257</v>
      </c>
      <c r="C122" s="41">
        <f t="shared" ca="1" si="234"/>
        <v>1.9815701441654283</v>
      </c>
      <c r="D122" s="41">
        <f t="shared" ca="1" si="235"/>
        <v>11496.415553603671</v>
      </c>
      <c r="E122" s="41">
        <f t="shared" ca="1" si="236"/>
        <v>642.48096089169508</v>
      </c>
      <c r="F122" s="7">
        <f t="shared" si="237"/>
        <v>629.99999999999989</v>
      </c>
      <c r="G122" s="41"/>
      <c r="H122" s="7">
        <f t="shared" si="238"/>
        <v>18000</v>
      </c>
      <c r="I122" s="6">
        <v>15</v>
      </c>
      <c r="J122" s="41">
        <f t="shared" si="239"/>
        <v>0.5158343068733543</v>
      </c>
      <c r="K122" s="41">
        <f t="shared" si="240"/>
        <v>554.87268879171449</v>
      </c>
      <c r="L122" s="6">
        <f t="shared" si="140"/>
        <v>245</v>
      </c>
      <c r="M122" s="41">
        <f t="shared" si="241"/>
        <v>328.75319014607015</v>
      </c>
      <c r="N122" s="41">
        <f t="shared" si="242"/>
        <v>196.8385156375023</v>
      </c>
      <c r="O122" s="41">
        <f t="shared" si="243"/>
        <v>2012549.5282418809</v>
      </c>
      <c r="P122" s="41">
        <f t="shared" si="244"/>
        <v>12921982.158001004</v>
      </c>
      <c r="Q122" s="41">
        <f t="shared" si="245"/>
        <v>2.8142593213275591E-3</v>
      </c>
      <c r="R122" s="41">
        <f t="shared" si="246"/>
        <v>1.9061063126224184E-2</v>
      </c>
      <c r="S122" s="24">
        <f t="shared" ca="1" si="247"/>
        <v>1.1331838097302375E-15</v>
      </c>
      <c r="T122" s="10">
        <f t="shared" ca="1" si="248"/>
        <v>0</v>
      </c>
      <c r="U122" s="41">
        <f t="shared" ca="1" si="249"/>
        <v>0.25393615313835233</v>
      </c>
      <c r="V122" s="41">
        <f t="shared" ca="1" si="250"/>
        <v>2.3133634115563177E-2</v>
      </c>
      <c r="W122" s="41">
        <f t="shared" ca="1" si="251"/>
        <v>10.976924415326362</v>
      </c>
      <c r="X122" s="20">
        <f t="shared" ca="1" si="252"/>
        <v>1047.3257461399639</v>
      </c>
      <c r="Y122" s="41">
        <f t="shared" si="253"/>
        <v>0.54936851317696045</v>
      </c>
      <c r="Z122" s="41">
        <f t="shared" ca="1" si="254"/>
        <v>192.95052732162799</v>
      </c>
      <c r="AA122" s="14">
        <f t="shared" ca="1" si="255"/>
        <v>1047.3257461399639</v>
      </c>
      <c r="AB122" s="14">
        <f t="shared" si="114"/>
        <v>2916.5765113289031</v>
      </c>
      <c r="AC122" s="25">
        <f t="shared" ca="1" si="256"/>
        <v>581132.45280147041</v>
      </c>
      <c r="AD122" s="41">
        <f t="shared" si="257"/>
        <v>1618328.6509078268</v>
      </c>
      <c r="AE122" s="5">
        <f t="shared" ca="1" si="258"/>
        <v>35.909421270857131</v>
      </c>
      <c r="AF122" s="7">
        <f t="shared" ca="1" si="259"/>
        <v>1047.3257461399639</v>
      </c>
      <c r="AG122" s="41">
        <f t="shared" ca="1" si="260"/>
        <v>1869.2507651889391</v>
      </c>
      <c r="AH122" s="41">
        <f t="shared" ca="1" si="261"/>
        <v>1037196.1981063564</v>
      </c>
      <c r="AI122" s="41">
        <f t="shared" ca="1" si="262"/>
        <v>830.97723797910191</v>
      </c>
      <c r="AJ122" s="13">
        <f t="shared" ca="1" si="263"/>
        <v>0</v>
      </c>
      <c r="AK122" s="11"/>
      <c r="AL122" s="6">
        <v>0</v>
      </c>
      <c r="AM122" s="41">
        <f t="shared" si="264"/>
        <v>140.7916810332664</v>
      </c>
      <c r="AN122" s="41">
        <f t="shared" ca="1" si="265"/>
        <v>32.498522843182897</v>
      </c>
      <c r="AO122" s="6">
        <f t="shared" si="142"/>
        <v>12.857142857142858</v>
      </c>
      <c r="AP122" s="67">
        <f t="shared" si="143"/>
        <v>0.7934276809691363</v>
      </c>
      <c r="AQ122" s="11">
        <f t="shared" si="266"/>
        <v>0.92829992071837586</v>
      </c>
      <c r="AR122" s="11">
        <f t="shared" si="267"/>
        <v>0.49937958210548988</v>
      </c>
      <c r="AS122" s="11">
        <f t="shared" si="268"/>
        <v>0.53795068916847377</v>
      </c>
      <c r="AT122" s="11">
        <f t="shared" si="269"/>
        <v>481.48131987899995</v>
      </c>
      <c r="AU122" s="11">
        <f t="shared" si="270"/>
        <v>1056.7970592432796</v>
      </c>
      <c r="AV122" s="11">
        <f t="shared" si="271"/>
        <v>1.2786549930845453E-3</v>
      </c>
      <c r="AW122" s="11">
        <f t="shared" si="272"/>
        <v>3.5253330369939681E-7</v>
      </c>
      <c r="AX122" s="41">
        <f t="shared" ca="1" si="273"/>
        <v>2.3682481802160482</v>
      </c>
      <c r="AY122" s="41">
        <f t="shared" ca="1" si="274"/>
        <v>3.190077350039366</v>
      </c>
      <c r="AZ122" s="41">
        <f t="shared" si="275"/>
        <v>0.35430464035867143</v>
      </c>
    </row>
    <row r="123" spans="1:52" ht="14.5">
      <c r="A123" s="41">
        <f t="shared" ca="1" si="232"/>
        <v>7274.4442000288082</v>
      </c>
      <c r="B123" s="41">
        <f t="shared" ca="1" si="233"/>
        <v>121.24073666714681</v>
      </c>
      <c r="C123" s="41">
        <f t="shared" ca="1" si="234"/>
        <v>2.0206789444524467</v>
      </c>
      <c r="D123" s="41">
        <f t="shared" ca="1" si="235"/>
        <v>11463.917030760487</v>
      </c>
      <c r="E123" s="41">
        <f t="shared" ca="1" si="236"/>
        <v>655.33810374883797</v>
      </c>
      <c r="F123" s="7">
        <f t="shared" si="237"/>
        <v>642.85714285714278</v>
      </c>
      <c r="G123" s="41"/>
      <c r="H123" s="7">
        <f t="shared" si="238"/>
        <v>18000</v>
      </c>
      <c r="I123" s="6">
        <v>15</v>
      </c>
      <c r="J123" s="41">
        <f t="shared" si="239"/>
        <v>0.5158343068733543</v>
      </c>
      <c r="K123" s="41">
        <f t="shared" si="240"/>
        <v>554.87268879171449</v>
      </c>
      <c r="L123" s="6">
        <f t="shared" si="140"/>
        <v>245</v>
      </c>
      <c r="M123" s="41">
        <f t="shared" si="241"/>
        <v>328.75319014607015</v>
      </c>
      <c r="N123" s="41">
        <f t="shared" si="242"/>
        <v>196.8385156375023</v>
      </c>
      <c r="O123" s="41">
        <f t="shared" si="243"/>
        <v>2012549.5282418809</v>
      </c>
      <c r="P123" s="41">
        <f t="shared" si="244"/>
        <v>12921982.158001004</v>
      </c>
      <c r="Q123" s="41">
        <f t="shared" si="245"/>
        <v>2.8142593213275591E-3</v>
      </c>
      <c r="R123" s="41">
        <f t="shared" si="246"/>
        <v>1.9061063126224184E-2</v>
      </c>
      <c r="S123" s="24">
        <f t="shared" ca="1" si="247"/>
        <v>0</v>
      </c>
      <c r="T123" s="10">
        <f t="shared" ca="1" si="248"/>
        <v>0</v>
      </c>
      <c r="U123" s="41">
        <f t="shared" ca="1" si="249"/>
        <v>0.2532183163626201</v>
      </c>
      <c r="V123" s="41">
        <f t="shared" ca="1" si="250"/>
        <v>2.3110641649605728E-2</v>
      </c>
      <c r="W123" s="41">
        <f t="shared" ca="1" si="251"/>
        <v>10.956784333460515</v>
      </c>
      <c r="X123" s="20">
        <f t="shared" ca="1" si="252"/>
        <v>1046.2848114798846</v>
      </c>
      <c r="Y123" s="41">
        <f t="shared" si="253"/>
        <v>0.54936851317696045</v>
      </c>
      <c r="Z123" s="41">
        <f t="shared" ca="1" si="254"/>
        <v>192.67761421817804</v>
      </c>
      <c r="AA123" s="14">
        <f t="shared" ca="1" si="255"/>
        <v>1046.2848114798846</v>
      </c>
      <c r="AB123" s="14">
        <f t="shared" si="114"/>
        <v>2916.5765113289031</v>
      </c>
      <c r="AC123" s="25">
        <f t="shared" ca="1" si="256"/>
        <v>580554.86658777564</v>
      </c>
      <c r="AD123" s="41">
        <f t="shared" si="257"/>
        <v>1618328.6509078268</v>
      </c>
      <c r="AE123" s="5">
        <f t="shared" ca="1" si="258"/>
        <v>35.873730979310317</v>
      </c>
      <c r="AF123" s="7">
        <f t="shared" ca="1" si="259"/>
        <v>1046.2848114798846</v>
      </c>
      <c r="AG123" s="41">
        <f t="shared" ca="1" si="260"/>
        <v>1870.2916998490184</v>
      </c>
      <c r="AH123" s="41">
        <f t="shared" ca="1" si="261"/>
        <v>1037773.7843200512</v>
      </c>
      <c r="AI123" s="41">
        <f t="shared" ca="1" si="262"/>
        <v>830.15133160571486</v>
      </c>
      <c r="AJ123" s="13">
        <f t="shared" ca="1" si="263"/>
        <v>0</v>
      </c>
      <c r="AK123" s="11"/>
      <c r="AL123" s="6">
        <v>0</v>
      </c>
      <c r="AM123" s="41">
        <f t="shared" si="264"/>
        <v>140.7916810332664</v>
      </c>
      <c r="AN123" s="41">
        <f t="shared" ca="1" si="265"/>
        <v>32.466222635770322</v>
      </c>
      <c r="AO123" s="6">
        <f t="shared" si="142"/>
        <v>12.857142857142858</v>
      </c>
      <c r="AP123" s="67">
        <f t="shared" si="143"/>
        <v>0.7934276809691363</v>
      </c>
      <c r="AQ123" s="11">
        <f t="shared" si="266"/>
        <v>0.92829992071837586</v>
      </c>
      <c r="AR123" s="11">
        <f t="shared" si="267"/>
        <v>0.49937958210548988</v>
      </c>
      <c r="AS123" s="11">
        <f t="shared" si="268"/>
        <v>0.53795068916847377</v>
      </c>
      <c r="AT123" s="11">
        <f t="shared" si="269"/>
        <v>481.48131987899995</v>
      </c>
      <c r="AU123" s="11">
        <f t="shared" si="270"/>
        <v>1056.7970592432796</v>
      </c>
      <c r="AV123" s="11">
        <f t="shared" si="271"/>
        <v>1.2786549930845453E-3</v>
      </c>
      <c r="AW123" s="11">
        <f t="shared" si="272"/>
        <v>3.5253330369939681E-7</v>
      </c>
      <c r="AX123" s="41">
        <f t="shared" ca="1" si="273"/>
        <v>2.3744496895961213</v>
      </c>
      <c r="AY123" s="41">
        <f t="shared" ca="1" si="274"/>
        <v>3.1984309063831198</v>
      </c>
      <c r="AZ123" s="41">
        <f t="shared" si="275"/>
        <v>0.35430464035867143</v>
      </c>
    </row>
    <row r="124" spans="1:52" ht="14.5">
      <c r="A124" s="41">
        <f t="shared" ca="1" si="232"/>
        <v>7415.2358810620744</v>
      </c>
      <c r="B124" s="41">
        <f t="shared" ca="1" si="233"/>
        <v>123.58726468436791</v>
      </c>
      <c r="C124" s="41">
        <f t="shared" ca="1" si="234"/>
        <v>2.0597877447394652</v>
      </c>
      <c r="D124" s="41">
        <f t="shared" ca="1" si="235"/>
        <v>11431.450808124717</v>
      </c>
      <c r="E124" s="41">
        <f t="shared" ca="1" si="236"/>
        <v>668.19524660598086</v>
      </c>
      <c r="F124" s="7">
        <f t="shared" si="237"/>
        <v>655.71428571428567</v>
      </c>
      <c r="G124" s="41"/>
      <c r="H124" s="7">
        <f t="shared" si="238"/>
        <v>18000</v>
      </c>
      <c r="I124" s="6">
        <v>15</v>
      </c>
      <c r="J124" s="41">
        <f t="shared" si="239"/>
        <v>0.5158343068733543</v>
      </c>
      <c r="K124" s="41">
        <f t="shared" si="240"/>
        <v>554.87268879171449</v>
      </c>
      <c r="L124" s="6">
        <f t="shared" si="140"/>
        <v>245</v>
      </c>
      <c r="M124" s="41">
        <f t="shared" si="241"/>
        <v>328.75319014607015</v>
      </c>
      <c r="N124" s="41">
        <f t="shared" si="242"/>
        <v>196.8385156375023</v>
      </c>
      <c r="O124" s="41">
        <f t="shared" si="243"/>
        <v>2012549.5282418809</v>
      </c>
      <c r="P124" s="41">
        <f t="shared" si="244"/>
        <v>12921982.158001004</v>
      </c>
      <c r="Q124" s="41">
        <f t="shared" si="245"/>
        <v>2.8142593213275591E-3</v>
      </c>
      <c r="R124" s="41">
        <f t="shared" si="246"/>
        <v>1.9061063126224184E-2</v>
      </c>
      <c r="S124" s="24">
        <f t="shared" ca="1" si="247"/>
        <v>1.1396236745396696E-15</v>
      </c>
      <c r="T124" s="10">
        <f t="shared" ca="1" si="248"/>
        <v>1.1396236745396696E-15</v>
      </c>
      <c r="U124" s="41">
        <f t="shared" ca="1" si="249"/>
        <v>0.252501193043215</v>
      </c>
      <c r="V124" s="41">
        <f t="shared" ca="1" si="250"/>
        <v>2.308773702681359E-2</v>
      </c>
      <c r="W124" s="41">
        <f t="shared" ca="1" si="251"/>
        <v>10.93659342836267</v>
      </c>
      <c r="X124" s="20">
        <f t="shared" ca="1" si="252"/>
        <v>1045.2478537310071</v>
      </c>
      <c r="Y124" s="41">
        <f t="shared" si="253"/>
        <v>0.54936851317696045</v>
      </c>
      <c r="Z124" s="41">
        <f t="shared" ca="1" si="254"/>
        <v>192.40458583067468</v>
      </c>
      <c r="AA124" s="14">
        <f t="shared" ca="1" si="255"/>
        <v>1045.2478537310071</v>
      </c>
      <c r="AB124" s="14">
        <f t="shared" si="114"/>
        <v>2916.5765113289031</v>
      </c>
      <c r="AC124" s="25">
        <f t="shared" ca="1" si="256"/>
        <v>579979.48705349257</v>
      </c>
      <c r="AD124" s="41">
        <f t="shared" si="257"/>
        <v>1618328.6509078268</v>
      </c>
      <c r="AE124" s="5">
        <f t="shared" ca="1" si="258"/>
        <v>35.838177043219503</v>
      </c>
      <c r="AF124" s="7">
        <f t="shared" ca="1" si="259"/>
        <v>1045.2478537310074</v>
      </c>
      <c r="AG124" s="41">
        <f t="shared" ca="1" si="260"/>
        <v>1871.3286575978959</v>
      </c>
      <c r="AH124" s="41">
        <f t="shared" ca="1" si="261"/>
        <v>1038349.1638543343</v>
      </c>
      <c r="AI124" s="41">
        <f t="shared" ca="1" si="262"/>
        <v>829.3285806237601</v>
      </c>
      <c r="AJ124" s="13">
        <f t="shared" ca="1" si="263"/>
        <v>1.1036520628157907E-14</v>
      </c>
      <c r="AK124" s="11"/>
      <c r="AL124" s="6">
        <v>0</v>
      </c>
      <c r="AM124" s="41">
        <f t="shared" si="264"/>
        <v>140.7916810332664</v>
      </c>
      <c r="AN124" s="41">
        <f t="shared" ca="1" si="265"/>
        <v>32.434045831931108</v>
      </c>
      <c r="AO124" s="6">
        <f t="shared" si="142"/>
        <v>12.857142857142858</v>
      </c>
      <c r="AP124" s="67">
        <f t="shared" si="143"/>
        <v>0.7934276809691363</v>
      </c>
      <c r="AQ124" s="11">
        <f t="shared" si="266"/>
        <v>0.92829992071837586</v>
      </c>
      <c r="AR124" s="11">
        <f t="shared" si="267"/>
        <v>0.49937958210548988</v>
      </c>
      <c r="AS124" s="11">
        <f t="shared" si="268"/>
        <v>0.53795068916847377</v>
      </c>
      <c r="AT124" s="11">
        <f t="shared" si="269"/>
        <v>481.48131987899995</v>
      </c>
      <c r="AU124" s="11">
        <f t="shared" si="270"/>
        <v>1056.7970592432796</v>
      </c>
      <c r="AV124" s="11">
        <f t="shared" si="271"/>
        <v>1.2786549930845453E-3</v>
      </c>
      <c r="AW124" s="11">
        <f t="shared" si="272"/>
        <v>3.5253330369939681E-7</v>
      </c>
      <c r="AX124" s="41">
        <f t="shared" ca="1" si="273"/>
        <v>2.3806817684708643</v>
      </c>
      <c r="AY124" s="41">
        <f t="shared" ca="1" si="274"/>
        <v>3.2068256404435354</v>
      </c>
      <c r="AZ124" s="41">
        <f t="shared" si="275"/>
        <v>0.35430464035867143</v>
      </c>
    </row>
    <row r="125" spans="1:52" ht="14.5">
      <c r="A125" s="41">
        <f t="shared" ca="1" si="232"/>
        <v>7556.0275620953407</v>
      </c>
      <c r="B125" s="41">
        <f t="shared" ca="1" si="233"/>
        <v>125.93379270158901</v>
      </c>
      <c r="C125" s="41">
        <f t="shared" ca="1" si="234"/>
        <v>2.0988965450264834</v>
      </c>
      <c r="D125" s="41">
        <f t="shared" ca="1" si="235"/>
        <v>11399.016762292786</v>
      </c>
      <c r="E125" s="41">
        <f t="shared" ca="1" si="236"/>
        <v>681.05238946312375</v>
      </c>
      <c r="F125" s="7">
        <f t="shared" si="237"/>
        <v>668.57142857142856</v>
      </c>
      <c r="G125" s="41"/>
      <c r="H125" s="7">
        <f t="shared" si="238"/>
        <v>18000</v>
      </c>
      <c r="I125" s="6">
        <v>15</v>
      </c>
      <c r="J125" s="41">
        <f t="shared" si="239"/>
        <v>0.5158343068733543</v>
      </c>
      <c r="K125" s="41">
        <f t="shared" si="240"/>
        <v>554.87268879171449</v>
      </c>
      <c r="L125" s="6">
        <f t="shared" si="140"/>
        <v>245</v>
      </c>
      <c r="M125" s="41">
        <f t="shared" si="241"/>
        <v>328.75319014607015</v>
      </c>
      <c r="N125" s="41">
        <f t="shared" si="242"/>
        <v>196.8385156375023</v>
      </c>
      <c r="O125" s="41">
        <f t="shared" si="243"/>
        <v>2012549.5282418809</v>
      </c>
      <c r="P125" s="41">
        <f t="shared" si="244"/>
        <v>12921982.158001004</v>
      </c>
      <c r="Q125" s="41">
        <f t="shared" si="245"/>
        <v>2.8142593213275591E-3</v>
      </c>
      <c r="R125" s="41">
        <f t="shared" si="246"/>
        <v>1.9061063126224184E-2</v>
      </c>
      <c r="S125" s="24">
        <f t="shared" ca="1" si="247"/>
        <v>1.1428662881143282E-15</v>
      </c>
      <c r="T125" s="10">
        <f t="shared" ca="1" si="248"/>
        <v>-1.1428662881143282E-15</v>
      </c>
      <c r="U125" s="41">
        <f t="shared" ca="1" si="249"/>
        <v>0.25178478045436314</v>
      </c>
      <c r="V125" s="41">
        <f t="shared" ca="1" si="250"/>
        <v>2.3064919966617196E-2</v>
      </c>
      <c r="W125" s="41">
        <f t="shared" ca="1" si="251"/>
        <v>10.91635179392695</v>
      </c>
      <c r="X125" s="20">
        <f t="shared" ca="1" si="252"/>
        <v>1044.2148601911451</v>
      </c>
      <c r="Y125" s="41">
        <f t="shared" si="253"/>
        <v>0.54936851317696045</v>
      </c>
      <c r="Z125" s="41">
        <f t="shared" ca="1" si="254"/>
        <v>192.13144062765559</v>
      </c>
      <c r="AA125" s="14">
        <f t="shared" ca="1" si="255"/>
        <v>1044.2148601911451</v>
      </c>
      <c r="AB125" s="14">
        <f t="shared" si="114"/>
        <v>2916.5765113289031</v>
      </c>
      <c r="AC125" s="25">
        <f t="shared" ca="1" si="256"/>
        <v>579406.30715052492</v>
      </c>
      <c r="AD125" s="41">
        <f t="shared" si="257"/>
        <v>1618328.6509078268</v>
      </c>
      <c r="AE125" s="5">
        <f t="shared" ca="1" si="258"/>
        <v>35.802759027067701</v>
      </c>
      <c r="AF125" s="7">
        <f t="shared" ca="1" si="259"/>
        <v>1044.2148601911449</v>
      </c>
      <c r="AG125" s="41">
        <f t="shared" ca="1" si="260"/>
        <v>1872.3616511377579</v>
      </c>
      <c r="AH125" s="41">
        <f t="shared" ca="1" si="261"/>
        <v>1038922.3437573019</v>
      </c>
      <c r="AI125" s="41">
        <f t="shared" ca="1" si="262"/>
        <v>828.50897495497099</v>
      </c>
      <c r="AJ125" s="13">
        <f t="shared" ca="1" si="263"/>
        <v>-1.1067923250273773E-14</v>
      </c>
      <c r="AK125" s="11"/>
      <c r="AL125" s="6">
        <v>0</v>
      </c>
      <c r="AM125" s="41">
        <f t="shared" si="264"/>
        <v>140.7916810332664</v>
      </c>
      <c r="AN125" s="41">
        <f t="shared" ca="1" si="265"/>
        <v>32.401992037516322</v>
      </c>
      <c r="AO125" s="6">
        <f t="shared" si="142"/>
        <v>12.857142857142858</v>
      </c>
      <c r="AP125" s="67">
        <f t="shared" si="143"/>
        <v>0.7934276809691363</v>
      </c>
      <c r="AQ125" s="11">
        <f t="shared" si="266"/>
        <v>0.92829992071837586</v>
      </c>
      <c r="AR125" s="11">
        <f t="shared" si="267"/>
        <v>0.49937958210548988</v>
      </c>
      <c r="AS125" s="11">
        <f t="shared" si="268"/>
        <v>0.53795068916847377</v>
      </c>
      <c r="AT125" s="11">
        <f t="shared" si="269"/>
        <v>481.48131987899995</v>
      </c>
      <c r="AU125" s="11">
        <f t="shared" si="270"/>
        <v>1056.7970592432796</v>
      </c>
      <c r="AV125" s="11">
        <f t="shared" si="271"/>
        <v>1.2786549930845453E-3</v>
      </c>
      <c r="AW125" s="11">
        <f t="shared" si="272"/>
        <v>3.5253330369939681E-7</v>
      </c>
      <c r="AX125" s="41">
        <f t="shared" ca="1" si="273"/>
        <v>2.3869446437704052</v>
      </c>
      <c r="AY125" s="41">
        <f t="shared" ca="1" si="274"/>
        <v>3.215261857900003</v>
      </c>
      <c r="AZ125" s="41">
        <f t="shared" si="275"/>
        <v>0.35430464035867143</v>
      </c>
    </row>
    <row r="126" spans="1:52" ht="14.5">
      <c r="A126" s="41">
        <f t="shared" ca="1" si="232"/>
        <v>7696.819243128607</v>
      </c>
      <c r="B126" s="41">
        <f t="shared" ca="1" si="233"/>
        <v>128.28032071881012</v>
      </c>
      <c r="C126" s="41">
        <f t="shared" ca="1" si="234"/>
        <v>2.1380053453135019</v>
      </c>
      <c r="D126" s="41">
        <f t="shared" ca="1" si="235"/>
        <v>11366.61477025527</v>
      </c>
      <c r="E126" s="41">
        <f t="shared" ca="1" si="236"/>
        <v>693.90953232026663</v>
      </c>
      <c r="F126" s="7">
        <f t="shared" si="237"/>
        <v>681.42857142857144</v>
      </c>
      <c r="G126" s="41"/>
      <c r="H126" s="7">
        <f t="shared" si="238"/>
        <v>18000</v>
      </c>
      <c r="I126" s="6">
        <v>15</v>
      </c>
      <c r="J126" s="41">
        <f t="shared" si="239"/>
        <v>0.5158343068733543</v>
      </c>
      <c r="K126" s="41">
        <f t="shared" si="240"/>
        <v>554.87268879171449</v>
      </c>
      <c r="L126" s="6">
        <f t="shared" si="140"/>
        <v>245</v>
      </c>
      <c r="M126" s="41">
        <f t="shared" si="241"/>
        <v>328.75319014607015</v>
      </c>
      <c r="N126" s="41">
        <f t="shared" si="242"/>
        <v>196.8385156375023</v>
      </c>
      <c r="O126" s="41">
        <f t="shared" si="243"/>
        <v>2012549.5282418809</v>
      </c>
      <c r="P126" s="41">
        <f t="shared" si="244"/>
        <v>12921982.158001004</v>
      </c>
      <c r="Q126" s="41">
        <f t="shared" si="245"/>
        <v>2.8142593213275591E-3</v>
      </c>
      <c r="R126" s="41">
        <f t="shared" si="246"/>
        <v>1.9061063126224184E-2</v>
      </c>
      <c r="S126" s="24">
        <f t="shared" ca="1" si="247"/>
        <v>1.1461241749272369E-15</v>
      </c>
      <c r="T126" s="10">
        <f t="shared" ca="1" si="248"/>
        <v>0</v>
      </c>
      <c r="U126" s="41">
        <f t="shared" ca="1" si="249"/>
        <v>0.25106907587899685</v>
      </c>
      <c r="V126" s="41">
        <f t="shared" ca="1" si="250"/>
        <v>2.3042190189901651E-2</v>
      </c>
      <c r="W126" s="41">
        <f t="shared" ca="1" si="251"/>
        <v>10.896059524282075</v>
      </c>
      <c r="X126" s="20">
        <f t="shared" ca="1" si="252"/>
        <v>1043.1858182239694</v>
      </c>
      <c r="Y126" s="41">
        <f t="shared" si="253"/>
        <v>0.54936851317696045</v>
      </c>
      <c r="Z126" s="41">
        <f t="shared" ca="1" si="254"/>
        <v>191.85817707205217</v>
      </c>
      <c r="AA126" s="14">
        <f t="shared" ca="1" si="255"/>
        <v>1043.1858182239694</v>
      </c>
      <c r="AB126" s="14">
        <f t="shared" si="114"/>
        <v>2916.5765113289031</v>
      </c>
      <c r="AC126" s="25">
        <f t="shared" ca="1" si="256"/>
        <v>578835.31986731861</v>
      </c>
      <c r="AD126" s="41">
        <f t="shared" si="257"/>
        <v>1618328.6509078268</v>
      </c>
      <c r="AE126" s="5">
        <f t="shared" ca="1" si="258"/>
        <v>35.76747649759595</v>
      </c>
      <c r="AF126" s="7">
        <f t="shared" ca="1" si="259"/>
        <v>1043.1858182239694</v>
      </c>
      <c r="AG126" s="41">
        <f t="shared" ca="1" si="260"/>
        <v>1873.3906931049337</v>
      </c>
      <c r="AH126" s="41">
        <f t="shared" ca="1" si="261"/>
        <v>1039493.3310405082</v>
      </c>
      <c r="AI126" s="41">
        <f t="shared" ca="1" si="262"/>
        <v>827.69250457333499</v>
      </c>
      <c r="AJ126" s="13">
        <f t="shared" ca="1" si="263"/>
        <v>0</v>
      </c>
      <c r="AK126" s="11"/>
      <c r="AL126" s="6">
        <v>0</v>
      </c>
      <c r="AM126" s="41">
        <f t="shared" si="264"/>
        <v>140.7916810332664</v>
      </c>
      <c r="AN126" s="41">
        <f t="shared" ca="1" si="265"/>
        <v>32.370060860420658</v>
      </c>
      <c r="AO126" s="6">
        <f t="shared" si="142"/>
        <v>12.857142857142858</v>
      </c>
      <c r="AP126" s="67">
        <f t="shared" si="143"/>
        <v>0.7934276809691363</v>
      </c>
      <c r="AQ126" s="11">
        <f t="shared" si="266"/>
        <v>0.92829992071837586</v>
      </c>
      <c r="AR126" s="11">
        <f t="shared" si="267"/>
        <v>0.49937958210548988</v>
      </c>
      <c r="AS126" s="11">
        <f t="shared" si="268"/>
        <v>0.53795068916847377</v>
      </c>
      <c r="AT126" s="11">
        <f t="shared" si="269"/>
        <v>481.48131987899995</v>
      </c>
      <c r="AU126" s="11">
        <f t="shared" si="270"/>
        <v>1056.7970592432796</v>
      </c>
      <c r="AV126" s="11">
        <f t="shared" si="271"/>
        <v>1.2786549930845453E-3</v>
      </c>
      <c r="AW126" s="11">
        <f t="shared" si="272"/>
        <v>3.5253330369939681E-7</v>
      </c>
      <c r="AX126" s="41">
        <f t="shared" ca="1" si="273"/>
        <v>2.3932385447211515</v>
      </c>
      <c r="AY126" s="41">
        <f t="shared" ca="1" si="274"/>
        <v>3.2237398675250479</v>
      </c>
      <c r="AZ126" s="41">
        <f t="shared" si="275"/>
        <v>0.35430464035867143</v>
      </c>
    </row>
    <row r="127" spans="1:52" ht="14.5">
      <c r="A127" s="41">
        <f t="shared" ca="1" si="232"/>
        <v>7837.6109241618733</v>
      </c>
      <c r="B127" s="41">
        <f t="shared" ca="1" si="233"/>
        <v>130.62684873603123</v>
      </c>
      <c r="C127" s="41">
        <f t="shared" ca="1" si="234"/>
        <v>2.1771141456005205</v>
      </c>
      <c r="D127" s="41">
        <f t="shared" ca="1" si="235"/>
        <v>11334.244709394849</v>
      </c>
      <c r="E127" s="41">
        <f t="shared" ca="1" si="236"/>
        <v>706.76667517740952</v>
      </c>
      <c r="F127" s="7">
        <f t="shared" si="237"/>
        <v>694.28571428571433</v>
      </c>
      <c r="G127" s="41"/>
      <c r="H127" s="7">
        <f t="shared" si="238"/>
        <v>18000</v>
      </c>
      <c r="I127" s="6">
        <v>15</v>
      </c>
      <c r="J127" s="41">
        <f t="shared" si="239"/>
        <v>0.5158343068733543</v>
      </c>
      <c r="K127" s="41">
        <f t="shared" si="240"/>
        <v>554.87268879171449</v>
      </c>
      <c r="L127" s="6">
        <f t="shared" si="140"/>
        <v>245</v>
      </c>
      <c r="M127" s="41">
        <f t="shared" si="241"/>
        <v>328.75319014607015</v>
      </c>
      <c r="N127" s="41">
        <f t="shared" si="242"/>
        <v>196.8385156375023</v>
      </c>
      <c r="O127" s="41">
        <f t="shared" si="243"/>
        <v>2012549.5282418809</v>
      </c>
      <c r="P127" s="41">
        <f t="shared" si="244"/>
        <v>12921982.158001004</v>
      </c>
      <c r="Q127" s="41">
        <f t="shared" si="245"/>
        <v>2.8142593213275591E-3</v>
      </c>
      <c r="R127" s="41">
        <f t="shared" si="246"/>
        <v>1.9061063126224184E-2</v>
      </c>
      <c r="S127" s="24">
        <f t="shared" ca="1" si="247"/>
        <v>2.2987949015210776E-15</v>
      </c>
      <c r="T127" s="10">
        <f t="shared" ca="1" si="248"/>
        <v>1.1493974507605388E-15</v>
      </c>
      <c r="U127" s="41">
        <f t="shared" ca="1" si="249"/>
        <v>0.25035407660870923</v>
      </c>
      <c r="V127" s="41">
        <f t="shared" ca="1" si="250"/>
        <v>2.3019547418998899E-2</v>
      </c>
      <c r="W127" s="41">
        <f t="shared" ca="1" si="251"/>
        <v>10.875716713790931</v>
      </c>
      <c r="X127" s="20">
        <f t="shared" ca="1" si="252"/>
        <v>1042.1607152586532</v>
      </c>
      <c r="Y127" s="41">
        <f t="shared" si="253"/>
        <v>0.54936851317696045</v>
      </c>
      <c r="Z127" s="41">
        <f t="shared" ca="1" si="254"/>
        <v>191.5847936211226</v>
      </c>
      <c r="AA127" s="14">
        <f t="shared" ca="1" si="255"/>
        <v>1042.1607152586535</v>
      </c>
      <c r="AB127" s="14">
        <f t="shared" si="114"/>
        <v>2916.5765113289031</v>
      </c>
      <c r="AC127" s="25">
        <f t="shared" ca="1" si="256"/>
        <v>578266.51822866534</v>
      </c>
      <c r="AD127" s="41">
        <f t="shared" si="257"/>
        <v>1618328.6509078268</v>
      </c>
      <c r="AE127" s="5">
        <f t="shared" ca="1" si="258"/>
        <v>35.732329023791166</v>
      </c>
      <c r="AF127" s="7">
        <f t="shared" ca="1" si="259"/>
        <v>1042.1607152586535</v>
      </c>
      <c r="AG127" s="41">
        <f t="shared" ca="1" si="260"/>
        <v>1874.4157960702496</v>
      </c>
      <c r="AH127" s="41">
        <f t="shared" ca="1" si="261"/>
        <v>1040062.1326791615</v>
      </c>
      <c r="AI127" s="41">
        <f t="shared" ca="1" si="262"/>
        <v>826.87915950480976</v>
      </c>
      <c r="AJ127" s="13">
        <f t="shared" ca="1" si="263"/>
        <v>1.1131173350180546E-14</v>
      </c>
      <c r="AK127" s="11"/>
      <c r="AL127" s="6">
        <v>0</v>
      </c>
      <c r="AM127" s="41">
        <f t="shared" si="264"/>
        <v>140.7916810332664</v>
      </c>
      <c r="AN127" s="41">
        <f t="shared" ca="1" si="265"/>
        <v>32.338251910571273</v>
      </c>
      <c r="AO127" s="6">
        <f t="shared" si="142"/>
        <v>12.857142857142858</v>
      </c>
      <c r="AP127" s="67">
        <f t="shared" si="143"/>
        <v>0.7934276809691363</v>
      </c>
      <c r="AQ127" s="11">
        <f t="shared" si="266"/>
        <v>0.92829992071837586</v>
      </c>
      <c r="AR127" s="11">
        <f t="shared" si="267"/>
        <v>0.49937958210548988</v>
      </c>
      <c r="AS127" s="11">
        <f t="shared" si="268"/>
        <v>0.53795068916847377</v>
      </c>
      <c r="AT127" s="11">
        <f t="shared" si="269"/>
        <v>481.48131987899995</v>
      </c>
      <c r="AU127" s="11">
        <f t="shared" si="270"/>
        <v>1056.7970592432796</v>
      </c>
      <c r="AV127" s="11">
        <f t="shared" si="271"/>
        <v>1.2786549930845453E-3</v>
      </c>
      <c r="AW127" s="11">
        <f t="shared" si="272"/>
        <v>3.5253330369939681E-7</v>
      </c>
      <c r="AX127" s="41">
        <f t="shared" ca="1" si="273"/>
        <v>2.3995637028746279</v>
      </c>
      <c r="AY127" s="41">
        <f t="shared" ca="1" si="274"/>
        <v>3.2322599812231747</v>
      </c>
      <c r="AZ127" s="41">
        <f t="shared" si="275"/>
        <v>0.35430464035867143</v>
      </c>
    </row>
    <row r="128" spans="1:52" ht="14.5">
      <c r="A128" s="41">
        <f t="shared" ca="1" si="232"/>
        <v>7978.4026051951396</v>
      </c>
      <c r="B128" s="41">
        <f t="shared" ca="1" si="233"/>
        <v>132.97337675325232</v>
      </c>
      <c r="C128" s="41">
        <f t="shared" ca="1" si="234"/>
        <v>2.2162229458875387</v>
      </c>
      <c r="D128" s="41">
        <f t="shared" ca="1" si="235"/>
        <v>11301.906457484278</v>
      </c>
      <c r="E128" s="41">
        <f t="shared" ca="1" si="236"/>
        <v>719.62381803455241</v>
      </c>
      <c r="F128" s="7">
        <f t="shared" si="237"/>
        <v>707.14285714285722</v>
      </c>
      <c r="G128" s="41"/>
      <c r="H128" s="7">
        <f t="shared" si="238"/>
        <v>18000</v>
      </c>
      <c r="I128" s="6">
        <v>15</v>
      </c>
      <c r="J128" s="41">
        <f t="shared" si="239"/>
        <v>0.5158343068733543</v>
      </c>
      <c r="K128" s="41">
        <f t="shared" si="240"/>
        <v>554.87268879171449</v>
      </c>
      <c r="L128" s="6">
        <f t="shared" si="140"/>
        <v>245</v>
      </c>
      <c r="M128" s="41">
        <f t="shared" si="241"/>
        <v>328.75319014607015</v>
      </c>
      <c r="N128" s="41">
        <f t="shared" si="242"/>
        <v>196.8385156375023</v>
      </c>
      <c r="O128" s="41">
        <f t="shared" si="243"/>
        <v>2012549.5282418809</v>
      </c>
      <c r="P128" s="41">
        <f t="shared" si="244"/>
        <v>12921982.158001004</v>
      </c>
      <c r="Q128" s="41">
        <f t="shared" si="245"/>
        <v>2.8142593213275591E-3</v>
      </c>
      <c r="R128" s="41">
        <f t="shared" si="246"/>
        <v>1.9061063126224184E-2</v>
      </c>
      <c r="S128" s="24">
        <f t="shared" ca="1" si="247"/>
        <v>0</v>
      </c>
      <c r="T128" s="10">
        <f t="shared" ca="1" si="248"/>
        <v>0</v>
      </c>
      <c r="U128" s="41">
        <f t="shared" ca="1" si="249"/>
        <v>0.24963977994370959</v>
      </c>
      <c r="V128" s="41">
        <f t="shared" ca="1" si="250"/>
        <v>2.299699137768E-2</v>
      </c>
      <c r="W128" s="41">
        <f t="shared" ca="1" si="251"/>
        <v>10.855323457050144</v>
      </c>
      <c r="X128" s="20">
        <f t="shared" ca="1" si="252"/>
        <v>1041.1395387895232</v>
      </c>
      <c r="Y128" s="41">
        <f t="shared" si="253"/>
        <v>0.54936851317696045</v>
      </c>
      <c r="Z128" s="41">
        <f t="shared" ca="1" si="254"/>
        <v>191.31128872638502</v>
      </c>
      <c r="AA128" s="14">
        <f t="shared" ca="1" si="255"/>
        <v>1041.1395387895232</v>
      </c>
      <c r="AB128" s="14">
        <f t="shared" si="114"/>
        <v>2916.5765113289031</v>
      </c>
      <c r="AC128" s="25">
        <f t="shared" ca="1" si="256"/>
        <v>577699.89529550821</v>
      </c>
      <c r="AD128" s="41">
        <f t="shared" si="257"/>
        <v>1618328.6509078268</v>
      </c>
      <c r="AE128" s="5">
        <f t="shared" ca="1" si="258"/>
        <v>35.697316176874111</v>
      </c>
      <c r="AF128" s="7">
        <f t="shared" ca="1" si="259"/>
        <v>1041.1395387895232</v>
      </c>
      <c r="AG128" s="41">
        <f t="shared" ca="1" si="260"/>
        <v>1875.4369725393799</v>
      </c>
      <c r="AH128" s="41">
        <f t="shared" ca="1" si="261"/>
        <v>1040628.7556123186</v>
      </c>
      <c r="AI128" s="41">
        <f t="shared" ca="1" si="262"/>
        <v>826.06892982704744</v>
      </c>
      <c r="AJ128" s="13">
        <f t="shared" ca="1" si="263"/>
        <v>0</v>
      </c>
      <c r="AK128" s="11"/>
      <c r="AL128" s="6">
        <v>0</v>
      </c>
      <c r="AM128" s="41">
        <f t="shared" si="264"/>
        <v>140.7916810332664</v>
      </c>
      <c r="AN128" s="41">
        <f t="shared" ca="1" si="265"/>
        <v>32.306564799917048</v>
      </c>
      <c r="AO128" s="6">
        <f t="shared" si="142"/>
        <v>12.857142857142858</v>
      </c>
      <c r="AP128" s="67">
        <f t="shared" si="143"/>
        <v>0.7934276809691363</v>
      </c>
      <c r="AQ128" s="11">
        <f t="shared" si="266"/>
        <v>0.92829992071837586</v>
      </c>
      <c r="AR128" s="11">
        <f t="shared" si="267"/>
        <v>0.49937958210548988</v>
      </c>
      <c r="AS128" s="11">
        <f t="shared" si="268"/>
        <v>0.53795068916847377</v>
      </c>
      <c r="AT128" s="11">
        <f t="shared" si="269"/>
        <v>481.48131987899995</v>
      </c>
      <c r="AU128" s="11">
        <f t="shared" si="270"/>
        <v>1056.7970592432796</v>
      </c>
      <c r="AV128" s="11">
        <f t="shared" si="271"/>
        <v>1.2786549930845453E-3</v>
      </c>
      <c r="AW128" s="11">
        <f t="shared" si="272"/>
        <v>3.5253330369939681E-7</v>
      </c>
      <c r="AX128" s="41">
        <f t="shared" ca="1" si="273"/>
        <v>2.4059203521367212</v>
      </c>
      <c r="AY128" s="41">
        <f t="shared" ca="1" si="274"/>
        <v>3.2408225140702589</v>
      </c>
      <c r="AZ128" s="41">
        <f t="shared" si="275"/>
        <v>0.35430464035867143</v>
      </c>
    </row>
    <row r="129" spans="1:52" ht="14.5">
      <c r="A129" s="41">
        <f t="shared" ca="1" si="232"/>
        <v>8119.1942862284059</v>
      </c>
      <c r="B129" s="41">
        <f t="shared" ca="1" si="233"/>
        <v>135.31990477047344</v>
      </c>
      <c r="C129" s="41">
        <f t="shared" ca="1" si="234"/>
        <v>2.2553317461745572</v>
      </c>
      <c r="D129" s="41">
        <f t="shared" ca="1" si="235"/>
        <v>11269.59989268436</v>
      </c>
      <c r="E129" s="41">
        <f t="shared" ca="1" si="236"/>
        <v>732.4809608916953</v>
      </c>
      <c r="F129" s="7">
        <f t="shared" si="237"/>
        <v>720.00000000000011</v>
      </c>
      <c r="G129" s="41"/>
      <c r="H129" s="7">
        <f t="shared" si="238"/>
        <v>18000</v>
      </c>
      <c r="I129" s="6">
        <v>15</v>
      </c>
      <c r="J129" s="41">
        <f t="shared" si="239"/>
        <v>0.5158343068733543</v>
      </c>
      <c r="K129" s="41">
        <f t="shared" si="240"/>
        <v>554.87268879171449</v>
      </c>
      <c r="L129" s="6">
        <f t="shared" si="140"/>
        <v>245</v>
      </c>
      <c r="M129" s="41">
        <f t="shared" si="241"/>
        <v>328.75319014607015</v>
      </c>
      <c r="N129" s="41">
        <f t="shared" si="242"/>
        <v>196.8385156375023</v>
      </c>
      <c r="O129" s="41">
        <f t="shared" si="243"/>
        <v>2012549.5282418809</v>
      </c>
      <c r="P129" s="41">
        <f t="shared" si="244"/>
        <v>12921982.158001004</v>
      </c>
      <c r="Q129" s="41">
        <f t="shared" si="245"/>
        <v>2.8142593213275591E-3</v>
      </c>
      <c r="R129" s="41">
        <f t="shared" si="246"/>
        <v>1.9061063126224184E-2</v>
      </c>
      <c r="S129" s="24">
        <f t="shared" ca="1" si="247"/>
        <v>1.1559906384725668E-15</v>
      </c>
      <c r="T129" s="10">
        <f t="shared" ca="1" si="248"/>
        <v>0</v>
      </c>
      <c r="U129" s="41">
        <f t="shared" ca="1" si="249"/>
        <v>0.24892618319277846</v>
      </c>
      <c r="V129" s="41">
        <f t="shared" ca="1" si="250"/>
        <v>2.2974521791147413E-2</v>
      </c>
      <c r="W129" s="41">
        <f t="shared" ca="1" si="251"/>
        <v>10.834879848889615</v>
      </c>
      <c r="X129" s="20">
        <f t="shared" ca="1" si="252"/>
        <v>1040.1222763757087</v>
      </c>
      <c r="Y129" s="41">
        <f t="shared" si="253"/>
        <v>0.54936851317696045</v>
      </c>
      <c r="Z129" s="41">
        <f t="shared" ca="1" si="254"/>
        <v>191.03766083354895</v>
      </c>
      <c r="AA129" s="14">
        <f t="shared" ca="1" si="255"/>
        <v>1040.1222763757087</v>
      </c>
      <c r="AB129" s="14">
        <f t="shared" si="114"/>
        <v>2916.5765113289031</v>
      </c>
      <c r="AC129" s="25">
        <f t="shared" ca="1" si="256"/>
        <v>577135.4441647483</v>
      </c>
      <c r="AD129" s="41">
        <f t="shared" si="257"/>
        <v>1618328.6509078268</v>
      </c>
      <c r="AE129" s="5">
        <f t="shared" ca="1" si="258"/>
        <v>35.662437530287505</v>
      </c>
      <c r="AF129" s="7">
        <f t="shared" ca="1" si="259"/>
        <v>1040.1222763757087</v>
      </c>
      <c r="AG129" s="41">
        <f t="shared" ca="1" si="260"/>
        <v>1876.4542349531944</v>
      </c>
      <c r="AH129" s="41">
        <f t="shared" ca="1" si="261"/>
        <v>1041193.2067430785</v>
      </c>
      <c r="AI129" s="41">
        <f t="shared" ca="1" si="262"/>
        <v>825.26180566911762</v>
      </c>
      <c r="AJ129" s="13">
        <f t="shared" ca="1" si="263"/>
        <v>0</v>
      </c>
      <c r="AK129" s="11"/>
      <c r="AL129" s="6">
        <v>0</v>
      </c>
      <c r="AM129" s="41">
        <f t="shared" si="264"/>
        <v>140.7916810332664</v>
      </c>
      <c r="AN129" s="41">
        <f t="shared" ca="1" si="265"/>
        <v>32.274999142417748</v>
      </c>
      <c r="AO129" s="6">
        <f t="shared" si="142"/>
        <v>12.857142857142858</v>
      </c>
      <c r="AP129" s="67">
        <f t="shared" si="143"/>
        <v>0.7934276809691363</v>
      </c>
      <c r="AQ129" s="11">
        <f t="shared" si="266"/>
        <v>0.92829992071837586</v>
      </c>
      <c r="AR129" s="11">
        <f t="shared" si="267"/>
        <v>0.49937958210548988</v>
      </c>
      <c r="AS129" s="11">
        <f t="shared" si="268"/>
        <v>0.53795068916847377</v>
      </c>
      <c r="AT129" s="11">
        <f t="shared" si="269"/>
        <v>481.48131987899995</v>
      </c>
      <c r="AU129" s="11">
        <f t="shared" si="270"/>
        <v>1056.7970592432796</v>
      </c>
      <c r="AV129" s="11">
        <f t="shared" si="271"/>
        <v>1.2786549930845453E-3</v>
      </c>
      <c r="AW129" s="11">
        <f t="shared" si="272"/>
        <v>3.5253330369939681E-7</v>
      </c>
      <c r="AX129" s="41">
        <f t="shared" ca="1" si="273"/>
        <v>2.412308728797393</v>
      </c>
      <c r="AY129" s="41">
        <f t="shared" ca="1" si="274"/>
        <v>3.2494277843535748</v>
      </c>
      <c r="AZ129" s="41">
        <f t="shared" si="275"/>
        <v>0.35430464035867143</v>
      </c>
    </row>
    <row r="130" spans="1:52" ht="14.5">
      <c r="A130" s="41">
        <f t="shared" ca="1" si="232"/>
        <v>8259.9859672616731</v>
      </c>
      <c r="B130" s="41">
        <f t="shared" ca="1" si="233"/>
        <v>137.66643278769456</v>
      </c>
      <c r="C130" s="41">
        <f t="shared" ca="1" si="234"/>
        <v>2.2944405464615758</v>
      </c>
      <c r="D130" s="41">
        <f t="shared" ca="1" si="235"/>
        <v>11237.324893541943</v>
      </c>
      <c r="E130" s="41">
        <f t="shared" ca="1" si="236"/>
        <v>745.33810374883819</v>
      </c>
      <c r="F130" s="7">
        <f t="shared" si="237"/>
        <v>732.857142857143</v>
      </c>
      <c r="G130" s="41"/>
      <c r="H130" s="7">
        <f t="shared" si="238"/>
        <v>18000</v>
      </c>
      <c r="I130" s="6">
        <v>15</v>
      </c>
      <c r="J130" s="41">
        <f t="shared" si="239"/>
        <v>0.5158343068733543</v>
      </c>
      <c r="K130" s="41">
        <f t="shared" si="240"/>
        <v>554.87268879171449</v>
      </c>
      <c r="L130" s="6">
        <f t="shared" si="140"/>
        <v>245</v>
      </c>
      <c r="M130" s="41">
        <f t="shared" si="241"/>
        <v>328.75319014607015</v>
      </c>
      <c r="N130" s="41">
        <f t="shared" si="242"/>
        <v>196.8385156375023</v>
      </c>
      <c r="O130" s="41">
        <f t="shared" si="243"/>
        <v>2012549.5282418809</v>
      </c>
      <c r="P130" s="41">
        <f t="shared" si="244"/>
        <v>12921982.158001004</v>
      </c>
      <c r="Q130" s="41">
        <f t="shared" si="245"/>
        <v>2.8142593213275591E-3</v>
      </c>
      <c r="R130" s="41">
        <f t="shared" si="246"/>
        <v>1.9061063126224184E-2</v>
      </c>
      <c r="S130" s="24">
        <f t="shared" ca="1" si="247"/>
        <v>1.1593107878158315E-15</v>
      </c>
      <c r="T130" s="10">
        <f t="shared" ca="1" si="248"/>
        <v>0</v>
      </c>
      <c r="U130" s="41">
        <f t="shared" ca="1" si="249"/>
        <v>0.24821328367322343</v>
      </c>
      <c r="V130" s="41">
        <f t="shared" ca="1" si="250"/>
        <v>2.2952138386027381E-2</v>
      </c>
      <c r="W130" s="41">
        <f t="shared" ca="1" si="251"/>
        <v>10.814385984372102</v>
      </c>
      <c r="X130" s="20">
        <f t="shared" ca="1" si="252"/>
        <v>1039.1089156407984</v>
      </c>
      <c r="Y130" s="41">
        <f t="shared" si="253"/>
        <v>0.54936851317696045</v>
      </c>
      <c r="Z130" s="41">
        <f t="shared" ca="1" si="254"/>
        <v>190.76390838244711</v>
      </c>
      <c r="AA130" s="14">
        <f t="shared" ca="1" si="255"/>
        <v>1039.1089156407984</v>
      </c>
      <c r="AB130" s="14">
        <f t="shared" si="114"/>
        <v>2916.5765113289031</v>
      </c>
      <c r="AC130" s="25">
        <f t="shared" ca="1" si="256"/>
        <v>576573.15796905267</v>
      </c>
      <c r="AD130" s="41">
        <f t="shared" si="257"/>
        <v>1618328.6509078268</v>
      </c>
      <c r="AE130" s="5">
        <f t="shared" ca="1" si="258"/>
        <v>35.627692659684108</v>
      </c>
      <c r="AF130" s="7">
        <f t="shared" ca="1" si="259"/>
        <v>1039.1089156407984</v>
      </c>
      <c r="AG130" s="41">
        <f t="shared" ca="1" si="260"/>
        <v>1877.4675956881047</v>
      </c>
      <c r="AH130" s="41">
        <f t="shared" ca="1" si="261"/>
        <v>1041755.4929387742</v>
      </c>
      <c r="AI130" s="41">
        <f t="shared" ca="1" si="262"/>
        <v>824.4577772112325</v>
      </c>
      <c r="AJ130" s="13">
        <f t="shared" ca="1" si="263"/>
        <v>0</v>
      </c>
      <c r="AK130" s="11"/>
      <c r="AL130" s="6">
        <v>0</v>
      </c>
      <c r="AM130" s="41">
        <f t="shared" si="264"/>
        <v>140.7916810332664</v>
      </c>
      <c r="AN130" s="41">
        <f t="shared" ca="1" si="265"/>
        <v>32.243554554033238</v>
      </c>
      <c r="AO130" s="6">
        <f t="shared" si="142"/>
        <v>12.857142857142858</v>
      </c>
      <c r="AP130" s="67">
        <f t="shared" si="143"/>
        <v>0.7934276809691363</v>
      </c>
      <c r="AQ130" s="11">
        <f t="shared" si="266"/>
        <v>0.92829992071837586</v>
      </c>
      <c r="AR130" s="11">
        <f t="shared" si="267"/>
        <v>0.49937958210548988</v>
      </c>
      <c r="AS130" s="11">
        <f t="shared" si="268"/>
        <v>0.53795068916847377</v>
      </c>
      <c r="AT130" s="11">
        <f t="shared" si="269"/>
        <v>481.48131987899995</v>
      </c>
      <c r="AU130" s="11">
        <f t="shared" si="270"/>
        <v>1056.7970592432796</v>
      </c>
      <c r="AV130" s="11">
        <f t="shared" si="271"/>
        <v>1.2786549930845453E-3</v>
      </c>
      <c r="AW130" s="11">
        <f t="shared" si="272"/>
        <v>3.5253330369939681E-7</v>
      </c>
      <c r="AX130" s="41">
        <f t="shared" ca="1" si="273"/>
        <v>2.4187290715608389</v>
      </c>
      <c r="AY130" s="41">
        <f t="shared" ca="1" si="274"/>
        <v>3.258076113612415</v>
      </c>
      <c r="AZ130" s="41">
        <f t="shared" si="275"/>
        <v>0.35430464035867143</v>
      </c>
    </row>
    <row r="131" spans="1:52" ht="14.5">
      <c r="A131" s="41">
        <f t="shared" ca="1" si="232"/>
        <v>8400.7776482949394</v>
      </c>
      <c r="B131" s="41">
        <f t="shared" ca="1" si="233"/>
        <v>140.01296080491565</v>
      </c>
      <c r="C131" s="41">
        <f t="shared" ca="1" si="234"/>
        <v>2.3335493467485944</v>
      </c>
      <c r="D131" s="41">
        <f t="shared" ca="1" si="235"/>
        <v>11205.081338987909</v>
      </c>
      <c r="E131" s="41">
        <f t="shared" ca="1" si="236"/>
        <v>758.19524660598108</v>
      </c>
      <c r="F131" s="7">
        <f t="shared" si="237"/>
        <v>745.71428571428589</v>
      </c>
      <c r="G131" s="41"/>
      <c r="H131" s="7">
        <f t="shared" si="238"/>
        <v>18000</v>
      </c>
      <c r="I131" s="6">
        <v>15</v>
      </c>
      <c r="J131" s="41">
        <f t="shared" si="239"/>
        <v>0.5158343068733543</v>
      </c>
      <c r="K131" s="41">
        <f t="shared" si="240"/>
        <v>554.87268879171449</v>
      </c>
      <c r="L131" s="6">
        <f t="shared" si="140"/>
        <v>245</v>
      </c>
      <c r="M131" s="41">
        <f t="shared" si="241"/>
        <v>328.75319014607015</v>
      </c>
      <c r="N131" s="41">
        <f t="shared" si="242"/>
        <v>196.8385156375023</v>
      </c>
      <c r="O131" s="41">
        <f t="shared" si="243"/>
        <v>2012549.5282418809</v>
      </c>
      <c r="P131" s="41">
        <f t="shared" si="244"/>
        <v>12921982.158001004</v>
      </c>
      <c r="Q131" s="41">
        <f t="shared" si="245"/>
        <v>2.8142593213275591E-3</v>
      </c>
      <c r="R131" s="41">
        <f t="shared" si="246"/>
        <v>1.9061063126224184E-2</v>
      </c>
      <c r="S131" s="24">
        <f t="shared" ca="1" si="247"/>
        <v>1.1626468011388186E-15</v>
      </c>
      <c r="T131" s="10">
        <f t="shared" ca="1" si="248"/>
        <v>1.1626468011388186E-15</v>
      </c>
      <c r="U131" s="41">
        <f t="shared" ca="1" si="249"/>
        <v>0.24750107871083482</v>
      </c>
      <c r="V131" s="41">
        <f t="shared" ca="1" si="250"/>
        <v>2.2929840890362305E-2</v>
      </c>
      <c r="W131" s="41">
        <f t="shared" ca="1" si="251"/>
        <v>10.79384195879277</v>
      </c>
      <c r="X131" s="20">
        <f t="shared" ca="1" si="252"/>
        <v>1038.0994442724946</v>
      </c>
      <c r="Y131" s="41">
        <f t="shared" si="253"/>
        <v>0.54936851317696045</v>
      </c>
      <c r="Z131" s="41">
        <f t="shared" ca="1" si="254"/>
        <v>190.49002980696571</v>
      </c>
      <c r="AA131" s="14">
        <f t="shared" ca="1" si="255"/>
        <v>1038.0994442724946</v>
      </c>
      <c r="AB131" s="14">
        <f t="shared" si="114"/>
        <v>2916.5765113289031</v>
      </c>
      <c r="AC131" s="25">
        <f t="shared" ca="1" si="256"/>
        <v>576013.0298766637</v>
      </c>
      <c r="AD131" s="41">
        <f t="shared" si="257"/>
        <v>1618328.6509078268</v>
      </c>
      <c r="AE131" s="5">
        <f t="shared" ca="1" si="258"/>
        <v>35.593081142914954</v>
      </c>
      <c r="AF131" s="7">
        <f t="shared" ca="1" si="259"/>
        <v>1038.0994442724948</v>
      </c>
      <c r="AG131" s="41">
        <f t="shared" ca="1" si="260"/>
        <v>1878.4770670564085</v>
      </c>
      <c r="AH131" s="41">
        <f t="shared" ca="1" si="261"/>
        <v>1042315.6210311631</v>
      </c>
      <c r="AI131" s="41">
        <f t="shared" ca="1" si="262"/>
        <v>823.65683468447469</v>
      </c>
      <c r="AJ131" s="13">
        <f t="shared" ca="1" si="263"/>
        <v>1.1259484767384688E-14</v>
      </c>
      <c r="AK131" s="11"/>
      <c r="AL131" s="6">
        <v>0</v>
      </c>
      <c r="AM131" s="41">
        <f t="shared" si="264"/>
        <v>140.7916810332664</v>
      </c>
      <c r="AN131" s="41">
        <f t="shared" ca="1" si="265"/>
        <v>32.212230652712883</v>
      </c>
      <c r="AO131" s="6">
        <f t="shared" si="142"/>
        <v>12.857142857142858</v>
      </c>
      <c r="AP131" s="67">
        <f t="shared" si="143"/>
        <v>0.7934276809691363</v>
      </c>
      <c r="AQ131" s="11">
        <f t="shared" si="266"/>
        <v>0.92829992071837586</v>
      </c>
      <c r="AR131" s="11">
        <f t="shared" si="267"/>
        <v>0.49937958210548988</v>
      </c>
      <c r="AS131" s="11">
        <f t="shared" si="268"/>
        <v>0.53795068916847377</v>
      </c>
      <c r="AT131" s="11">
        <f t="shared" si="269"/>
        <v>481.48131987899995</v>
      </c>
      <c r="AU131" s="11">
        <f t="shared" si="270"/>
        <v>1056.7970592432796</v>
      </c>
      <c r="AV131" s="11">
        <f t="shared" si="271"/>
        <v>1.2786549930845453E-3</v>
      </c>
      <c r="AW131" s="11">
        <f t="shared" si="272"/>
        <v>3.5253330369939681E-7</v>
      </c>
      <c r="AX131" s="41">
        <f t="shared" ca="1" si="273"/>
        <v>2.4251816215761144</v>
      </c>
      <c r="AY131" s="41">
        <f t="shared" ca="1" si="274"/>
        <v>3.2667678266793492</v>
      </c>
      <c r="AZ131" s="41">
        <f t="shared" si="275"/>
        <v>0.35430464035867143</v>
      </c>
    </row>
    <row r="132" spans="1:52" ht="14.5">
      <c r="A132" s="41">
        <f t="shared" ca="1" si="232"/>
        <v>8541.5693293282056</v>
      </c>
      <c r="B132" s="41">
        <f t="shared" ca="1" si="233"/>
        <v>142.35948882213677</v>
      </c>
      <c r="C132" s="41">
        <f t="shared" ca="1" si="234"/>
        <v>2.372658147035613</v>
      </c>
      <c r="D132" s="41">
        <f t="shared" ca="1" si="235"/>
        <v>11172.869108335197</v>
      </c>
      <c r="E132" s="41">
        <f t="shared" ca="1" si="236"/>
        <v>771.05238946312397</v>
      </c>
      <c r="F132" s="7">
        <f t="shared" si="237"/>
        <v>758.57142857142878</v>
      </c>
      <c r="G132" s="41"/>
      <c r="H132" s="7">
        <f t="shared" si="238"/>
        <v>18000</v>
      </c>
      <c r="I132" s="6">
        <v>15</v>
      </c>
      <c r="J132" s="41">
        <f t="shared" si="239"/>
        <v>0.5158343068733543</v>
      </c>
      <c r="K132" s="41">
        <f t="shared" si="240"/>
        <v>554.87268879171449</v>
      </c>
      <c r="L132" s="6">
        <f t="shared" si="140"/>
        <v>245</v>
      </c>
      <c r="M132" s="41">
        <f t="shared" si="241"/>
        <v>328.75319014607015</v>
      </c>
      <c r="N132" s="41">
        <f t="shared" si="242"/>
        <v>196.8385156375023</v>
      </c>
      <c r="O132" s="41">
        <f t="shared" si="243"/>
        <v>2012549.5282418809</v>
      </c>
      <c r="P132" s="41">
        <f t="shared" si="244"/>
        <v>12921982.158001004</v>
      </c>
      <c r="Q132" s="41">
        <f t="shared" si="245"/>
        <v>2.8142593213275591E-3</v>
      </c>
      <c r="R132" s="41">
        <f t="shared" si="246"/>
        <v>1.9061063126224184E-2</v>
      </c>
      <c r="S132" s="24">
        <f t="shared" ca="1" si="247"/>
        <v>-1.1659988002146856E-15</v>
      </c>
      <c r="T132" s="10">
        <f t="shared" ca="1" si="248"/>
        <v>-1.1659988002146856E-15</v>
      </c>
      <c r="U132" s="41">
        <f t="shared" ca="1" si="249"/>
        <v>0.24678956563984192</v>
      </c>
      <c r="V132" s="41">
        <f t="shared" ca="1" si="250"/>
        <v>2.2907629033603241E-2</v>
      </c>
      <c r="W132" s="41">
        <f t="shared" ca="1" si="251"/>
        <v>10.77324786767875</v>
      </c>
      <c r="X132" s="20">
        <f t="shared" ca="1" si="252"/>
        <v>1037.093850022273</v>
      </c>
      <c r="Y132" s="41">
        <f t="shared" si="253"/>
        <v>0.54936851317696045</v>
      </c>
      <c r="Z132" s="41">
        <f t="shared" ca="1" si="254"/>
        <v>190.21602353497465</v>
      </c>
      <c r="AA132" s="14">
        <f t="shared" ca="1" si="255"/>
        <v>1037.0938500222728</v>
      </c>
      <c r="AB132" s="14">
        <f t="shared" si="114"/>
        <v>2916.5765113289031</v>
      </c>
      <c r="AC132" s="25">
        <f t="shared" ca="1" si="256"/>
        <v>575455.05309120961</v>
      </c>
      <c r="AD132" s="41">
        <f t="shared" si="257"/>
        <v>1618328.6509078268</v>
      </c>
      <c r="AE132" s="5">
        <f t="shared" ca="1" si="258"/>
        <v>35.558602560017647</v>
      </c>
      <c r="AF132" s="7">
        <f t="shared" ca="1" si="259"/>
        <v>1037.0938500222728</v>
      </c>
      <c r="AG132" s="41">
        <f t="shared" ca="1" si="260"/>
        <v>1879.4826613066302</v>
      </c>
      <c r="AH132" s="41">
        <f t="shared" ca="1" si="261"/>
        <v>1042873.5978166172</v>
      </c>
      <c r="AI132" s="41">
        <f t="shared" ca="1" si="262"/>
        <v>822.85896837052519</v>
      </c>
      <c r="AJ132" s="13">
        <f t="shared" ca="1" si="263"/>
        <v>-1.1291946717564264E-14</v>
      </c>
      <c r="AK132" s="11"/>
      <c r="AL132" s="6">
        <v>0</v>
      </c>
      <c r="AM132" s="41">
        <f t="shared" si="264"/>
        <v>140.7916810332664</v>
      </c>
      <c r="AN132" s="41">
        <f t="shared" ca="1" si="265"/>
        <v>32.181027058384892</v>
      </c>
      <c r="AO132" s="6">
        <f t="shared" si="142"/>
        <v>12.857142857142858</v>
      </c>
      <c r="AP132" s="67">
        <f t="shared" si="143"/>
        <v>0.7934276809691363</v>
      </c>
      <c r="AQ132" s="11">
        <f t="shared" si="266"/>
        <v>0.92829992071837586</v>
      </c>
      <c r="AR132" s="11">
        <f t="shared" si="267"/>
        <v>0.49937958210548988</v>
      </c>
      <c r="AS132" s="11">
        <f t="shared" si="268"/>
        <v>0.53795068916847377</v>
      </c>
      <c r="AT132" s="11">
        <f t="shared" si="269"/>
        <v>481.48131987899995</v>
      </c>
      <c r="AU132" s="11">
        <f t="shared" si="270"/>
        <v>1056.7970592432796</v>
      </c>
      <c r="AV132" s="11">
        <f t="shared" si="271"/>
        <v>1.2786549930845453E-3</v>
      </c>
      <c r="AW132" s="11">
        <f t="shared" si="272"/>
        <v>3.5253330369939681E-7</v>
      </c>
      <c r="AX132" s="41">
        <f t="shared" ca="1" si="273"/>
        <v>2.4316666224682013</v>
      </c>
      <c r="AY132" s="41">
        <f t="shared" ca="1" si="274"/>
        <v>3.2755032517220672</v>
      </c>
      <c r="AZ132" s="41">
        <f t="shared" si="275"/>
        <v>0.35430464035867143</v>
      </c>
    </row>
    <row r="133" spans="1:52" ht="14.5">
      <c r="A133" s="41">
        <f t="shared" ca="1" si="232"/>
        <v>8682.3610103614719</v>
      </c>
      <c r="B133" s="41">
        <f t="shared" ca="1" si="233"/>
        <v>144.70601683935786</v>
      </c>
      <c r="C133" s="41">
        <f t="shared" ca="1" si="234"/>
        <v>2.4117669473226311</v>
      </c>
      <c r="D133" s="41">
        <f t="shared" ca="1" si="235"/>
        <v>11140.688081276812</v>
      </c>
      <c r="E133" s="41">
        <f t="shared" ca="1" si="236"/>
        <v>783.90953232026686</v>
      </c>
      <c r="F133" s="7">
        <f t="shared" si="237"/>
        <v>771.42857142857167</v>
      </c>
      <c r="G133" s="41"/>
      <c r="H133" s="7">
        <f t="shared" si="238"/>
        <v>18000</v>
      </c>
      <c r="I133" s="6">
        <v>15</v>
      </c>
      <c r="J133" s="41">
        <f t="shared" si="239"/>
        <v>0.5158343068733543</v>
      </c>
      <c r="K133" s="41">
        <f t="shared" si="240"/>
        <v>554.87268879171449</v>
      </c>
      <c r="L133" s="6">
        <f t="shared" si="140"/>
        <v>245</v>
      </c>
      <c r="M133" s="41">
        <f t="shared" si="241"/>
        <v>328.75319014607015</v>
      </c>
      <c r="N133" s="41">
        <f t="shared" si="242"/>
        <v>196.8385156375023</v>
      </c>
      <c r="O133" s="41">
        <f t="shared" si="243"/>
        <v>2012549.5282418809</v>
      </c>
      <c r="P133" s="41">
        <f t="shared" si="244"/>
        <v>12921982.158001004</v>
      </c>
      <c r="Q133" s="41">
        <f t="shared" si="245"/>
        <v>2.8142593213275591E-3</v>
      </c>
      <c r="R133" s="41">
        <f t="shared" si="246"/>
        <v>1.9061063126224184E-2</v>
      </c>
      <c r="S133" s="24">
        <f t="shared" ca="1" si="247"/>
        <v>2.3387338161219757E-15</v>
      </c>
      <c r="T133" s="10">
        <f t="shared" ca="1" si="248"/>
        <v>0</v>
      </c>
      <c r="U133" s="41">
        <f t="shared" ca="1" si="249"/>
        <v>0.24607874180286901</v>
      </c>
      <c r="V133" s="41">
        <f t="shared" ca="1" si="250"/>
        <v>2.2885502546602376E-2</v>
      </c>
      <c r="W133" s="41">
        <f t="shared" ca="1" si="251"/>
        <v>10.752603806788692</v>
      </c>
      <c r="X133" s="20">
        <f t="shared" ca="1" si="252"/>
        <v>1036.0921207050428</v>
      </c>
      <c r="Y133" s="41">
        <f t="shared" si="253"/>
        <v>0.54936851317696045</v>
      </c>
      <c r="Z133" s="41">
        <f t="shared" ca="1" si="254"/>
        <v>189.94188798825675</v>
      </c>
      <c r="AA133" s="14">
        <f t="shared" ca="1" si="255"/>
        <v>1036.0921207050428</v>
      </c>
      <c r="AB133" s="14">
        <f t="shared" si="114"/>
        <v>2916.5765113289031</v>
      </c>
      <c r="AC133" s="25">
        <f t="shared" ca="1" si="256"/>
        <v>574899.2208515167</v>
      </c>
      <c r="AD133" s="41">
        <f t="shared" si="257"/>
        <v>1618328.6509078268</v>
      </c>
      <c r="AE133" s="5">
        <f t="shared" ca="1" si="258"/>
        <v>35.524256493204767</v>
      </c>
      <c r="AF133" s="7">
        <f t="shared" ca="1" si="259"/>
        <v>1036.0921207050428</v>
      </c>
      <c r="AG133" s="41">
        <f t="shared" ca="1" si="260"/>
        <v>1880.4843906238602</v>
      </c>
      <c r="AH133" s="41">
        <f t="shared" ca="1" si="261"/>
        <v>1043429.4300563101</v>
      </c>
      <c r="AI133" s="41">
        <f t="shared" ca="1" si="262"/>
        <v>822.06416860139655</v>
      </c>
      <c r="AJ133" s="13">
        <f t="shared" ca="1" si="263"/>
        <v>0</v>
      </c>
      <c r="AK133" s="11"/>
      <c r="AL133" s="6">
        <v>0</v>
      </c>
      <c r="AM133" s="41">
        <f t="shared" si="264"/>
        <v>140.7916810332664</v>
      </c>
      <c r="AN133" s="41">
        <f t="shared" ca="1" si="265"/>
        <v>32.149943392945872</v>
      </c>
      <c r="AO133" s="6">
        <f t="shared" si="142"/>
        <v>12.857142857142858</v>
      </c>
      <c r="AP133" s="67">
        <f t="shared" si="143"/>
        <v>0.7934276809691363</v>
      </c>
      <c r="AQ133" s="11">
        <f t="shared" si="266"/>
        <v>0.92829992071837586</v>
      </c>
      <c r="AR133" s="11">
        <f t="shared" si="267"/>
        <v>0.49937958210548988</v>
      </c>
      <c r="AS133" s="11">
        <f t="shared" si="268"/>
        <v>0.53795068916847377</v>
      </c>
      <c r="AT133" s="11">
        <f t="shared" si="269"/>
        <v>481.48131987899995</v>
      </c>
      <c r="AU133" s="11">
        <f t="shared" si="270"/>
        <v>1056.7970592432796</v>
      </c>
      <c r="AV133" s="11">
        <f t="shared" si="271"/>
        <v>1.2786549930845453E-3</v>
      </c>
      <c r="AW133" s="11">
        <f t="shared" si="272"/>
        <v>3.5253330369939681E-7</v>
      </c>
      <c r="AX133" s="41">
        <f t="shared" ca="1" si="273"/>
        <v>2.4381843203696061</v>
      </c>
      <c r="AY133" s="41">
        <f t="shared" ca="1" si="274"/>
        <v>3.2842827202859466</v>
      </c>
      <c r="AZ133" s="41">
        <f t="shared" si="275"/>
        <v>0.35430464035867143</v>
      </c>
    </row>
    <row r="134" spans="1:52" ht="14.5">
      <c r="A134" s="41">
        <f t="shared" ca="1" si="232"/>
        <v>8823.1526913947382</v>
      </c>
      <c r="B134" s="41">
        <f t="shared" ca="1" si="233"/>
        <v>147.05254485657898</v>
      </c>
      <c r="C134" s="41">
        <f t="shared" ca="1" si="234"/>
        <v>2.4508757476096497</v>
      </c>
      <c r="D134" s="41">
        <f t="shared" ca="1" si="235"/>
        <v>11108.538137883867</v>
      </c>
      <c r="E134" s="41">
        <f t="shared" ca="1" si="236"/>
        <v>796.76667517740975</v>
      </c>
      <c r="F134" s="7">
        <f t="shared" si="237"/>
        <v>784.28571428571456</v>
      </c>
      <c r="G134" s="41"/>
      <c r="H134" s="7">
        <f t="shared" si="238"/>
        <v>18000</v>
      </c>
      <c r="I134" s="6">
        <v>15</v>
      </c>
      <c r="J134" s="41">
        <f t="shared" si="239"/>
        <v>0.5158343068733543</v>
      </c>
      <c r="K134" s="41">
        <f t="shared" si="240"/>
        <v>554.87268879171449</v>
      </c>
      <c r="L134" s="6">
        <f t="shared" si="140"/>
        <v>245</v>
      </c>
      <c r="M134" s="41">
        <f t="shared" si="241"/>
        <v>328.75319014607015</v>
      </c>
      <c r="N134" s="41">
        <f t="shared" si="242"/>
        <v>196.8385156375023</v>
      </c>
      <c r="O134" s="41">
        <f t="shared" si="243"/>
        <v>2012549.5282418809</v>
      </c>
      <c r="P134" s="41">
        <f t="shared" si="244"/>
        <v>12921982.158001004</v>
      </c>
      <c r="Q134" s="41">
        <f t="shared" si="245"/>
        <v>2.8142593213275591E-3</v>
      </c>
      <c r="R134" s="41">
        <f t="shared" si="246"/>
        <v>1.9061063126224184E-2</v>
      </c>
      <c r="S134" s="24">
        <f t="shared" ca="1" si="247"/>
        <v>2.3455024979112619E-15</v>
      </c>
      <c r="T134" s="10">
        <f t="shared" ca="1" si="248"/>
        <v>0</v>
      </c>
      <c r="U134" s="41">
        <f t="shared" ca="1" si="249"/>
        <v>0.24536860455089213</v>
      </c>
      <c r="V134" s="41">
        <f t="shared" ca="1" si="250"/>
        <v>2.2863461161605619E-2</v>
      </c>
      <c r="W134" s="41">
        <f t="shared" ca="1" si="251"/>
        <v>10.731909872112327</v>
      </c>
      <c r="X134" s="20">
        <f t="shared" ca="1" si="252"/>
        <v>1035.0942441988109</v>
      </c>
      <c r="Y134" s="41">
        <f t="shared" si="253"/>
        <v>0.54936851317696045</v>
      </c>
      <c r="Z134" s="41">
        <f t="shared" ca="1" si="254"/>
        <v>189.66762158243611</v>
      </c>
      <c r="AA134" s="14">
        <f t="shared" ca="1" si="255"/>
        <v>1035.0942441988109</v>
      </c>
      <c r="AB134" s="14">
        <f t="shared" si="114"/>
        <v>2916.5765113289031</v>
      </c>
      <c r="AC134" s="25">
        <f t="shared" ca="1" si="256"/>
        <v>574345.52643142175</v>
      </c>
      <c r="AD134" s="41">
        <f t="shared" si="257"/>
        <v>1618328.6509078268</v>
      </c>
      <c r="AE134" s="5">
        <f t="shared" ca="1" si="258"/>
        <v>35.490042526852235</v>
      </c>
      <c r="AF134" s="7">
        <f t="shared" ca="1" si="259"/>
        <v>1035.0942441988109</v>
      </c>
      <c r="AG134" s="41">
        <f t="shared" ca="1" si="260"/>
        <v>1881.4822671300922</v>
      </c>
      <c r="AH134" s="41">
        <f t="shared" ca="1" si="261"/>
        <v>1043983.1244764051</v>
      </c>
      <c r="AI134" s="41">
        <f t="shared" ca="1" si="262"/>
        <v>821.27242575916341</v>
      </c>
      <c r="AJ134" s="13">
        <f t="shared" ca="1" si="263"/>
        <v>0</v>
      </c>
      <c r="AK134" s="11"/>
      <c r="AL134" s="6">
        <v>0</v>
      </c>
      <c r="AM134" s="41">
        <f t="shared" si="264"/>
        <v>140.7916810332664</v>
      </c>
      <c r="AN134" s="41">
        <f t="shared" ca="1" si="265"/>
        <v>32.118979280250301</v>
      </c>
      <c r="AO134" s="6">
        <f t="shared" si="142"/>
        <v>12.857142857142858</v>
      </c>
      <c r="AP134" s="67">
        <f t="shared" si="143"/>
        <v>0.7934276809691363</v>
      </c>
      <c r="AQ134" s="11">
        <f t="shared" si="266"/>
        <v>0.92829992071837586</v>
      </c>
      <c r="AR134" s="11">
        <f t="shared" si="267"/>
        <v>0.49937958210548988</v>
      </c>
      <c r="AS134" s="11">
        <f t="shared" si="268"/>
        <v>0.53795068916847377</v>
      </c>
      <c r="AT134" s="11">
        <f t="shared" si="269"/>
        <v>481.48131987899995</v>
      </c>
      <c r="AU134" s="11">
        <f t="shared" si="270"/>
        <v>1056.7970592432796</v>
      </c>
      <c r="AV134" s="11">
        <f t="shared" si="271"/>
        <v>1.2786549930845453E-3</v>
      </c>
      <c r="AW134" s="11">
        <f t="shared" si="272"/>
        <v>3.5253330369939681E-7</v>
      </c>
      <c r="AX134" s="41">
        <f t="shared" ca="1" si="273"/>
        <v>2.4447349639523872</v>
      </c>
      <c r="AY134" s="41">
        <f t="shared" ca="1" si="274"/>
        <v>3.2931065673371895</v>
      </c>
      <c r="AZ134" s="41">
        <f t="shared" si="275"/>
        <v>0.35430464035867143</v>
      </c>
    </row>
    <row r="135" spans="1:52" ht="14.5">
      <c r="A135" s="41">
        <f t="shared" ca="1" si="232"/>
        <v>8963.9443724280045</v>
      </c>
      <c r="B135" s="41">
        <f t="shared" ca="1" si="233"/>
        <v>149.39907287380007</v>
      </c>
      <c r="C135" s="41">
        <f t="shared" ca="1" si="234"/>
        <v>2.4899845478966678</v>
      </c>
      <c r="D135" s="41">
        <f t="shared" ca="1" si="235"/>
        <v>11076.419158603616</v>
      </c>
      <c r="E135" s="41">
        <f t="shared" ca="1" si="236"/>
        <v>809.62381803455264</v>
      </c>
      <c r="F135" s="7">
        <f t="shared" si="237"/>
        <v>797.14285714285745</v>
      </c>
      <c r="G135" s="41"/>
      <c r="H135" s="7">
        <f t="shared" si="238"/>
        <v>18000</v>
      </c>
      <c r="I135" s="6">
        <v>15</v>
      </c>
      <c r="J135" s="41">
        <f t="shared" si="239"/>
        <v>0.5158343068733543</v>
      </c>
      <c r="K135" s="41">
        <f t="shared" si="240"/>
        <v>554.87268879171449</v>
      </c>
      <c r="L135" s="6">
        <f t="shared" si="140"/>
        <v>245</v>
      </c>
      <c r="M135" s="41">
        <f t="shared" si="241"/>
        <v>328.75319014607015</v>
      </c>
      <c r="N135" s="41">
        <f t="shared" si="242"/>
        <v>196.8385156375023</v>
      </c>
      <c r="O135" s="41">
        <f t="shared" si="243"/>
        <v>2012549.5282418809</v>
      </c>
      <c r="P135" s="41">
        <f t="shared" si="244"/>
        <v>12921982.158001004</v>
      </c>
      <c r="Q135" s="41">
        <f t="shared" si="245"/>
        <v>2.8142593213275591E-3</v>
      </c>
      <c r="R135" s="41">
        <f t="shared" si="246"/>
        <v>1.9061063126224184E-2</v>
      </c>
      <c r="S135" s="24">
        <f t="shared" ca="1" si="247"/>
        <v>2.3523038969061416E-15</v>
      </c>
      <c r="T135" s="10">
        <f t="shared" ca="1" si="248"/>
        <v>0</v>
      </c>
      <c r="U135" s="41">
        <f t="shared" ca="1" si="249"/>
        <v>0.24465915124319568</v>
      </c>
      <c r="V135" s="41">
        <f t="shared" ca="1" si="250"/>
        <v>2.2841504612245198E-2</v>
      </c>
      <c r="W135" s="41">
        <f t="shared" ca="1" si="251"/>
        <v>10.711166159870016</v>
      </c>
      <c r="X135" s="20">
        <f t="shared" ca="1" si="252"/>
        <v>1034.1002084443467</v>
      </c>
      <c r="Y135" s="41">
        <f t="shared" si="253"/>
        <v>0.54936851317696045</v>
      </c>
      <c r="Z135" s="41">
        <f t="shared" ca="1" si="254"/>
        <v>189.39322272690606</v>
      </c>
      <c r="AA135" s="14">
        <f t="shared" ca="1" si="255"/>
        <v>1034.1002084443467</v>
      </c>
      <c r="AB135" s="14">
        <f t="shared" si="114"/>
        <v>2916.5765113289031</v>
      </c>
      <c r="AC135" s="25">
        <f t="shared" ca="1" si="256"/>
        <v>573793.96313958708</v>
      </c>
      <c r="AD135" s="41">
        <f t="shared" si="257"/>
        <v>1618328.6509078268</v>
      </c>
      <c r="AE135" s="5">
        <f t="shared" ca="1" si="258"/>
        <v>35.455960247487944</v>
      </c>
      <c r="AF135" s="7">
        <f t="shared" ca="1" si="259"/>
        <v>1034.1002084443467</v>
      </c>
      <c r="AG135" s="41">
        <f t="shared" ca="1" si="260"/>
        <v>1882.4763028845564</v>
      </c>
      <c r="AH135" s="41">
        <f t="shared" ca="1" si="261"/>
        <v>1044534.6877682398</v>
      </c>
      <c r="AI135" s="41">
        <f t="shared" ca="1" si="262"/>
        <v>820.48373027569846</v>
      </c>
      <c r="AJ135" s="13">
        <f t="shared" ca="1" si="263"/>
        <v>0</v>
      </c>
      <c r="AK135" s="11"/>
      <c r="AL135" s="6">
        <v>0</v>
      </c>
      <c r="AM135" s="41">
        <f t="shared" si="264"/>
        <v>140.7916810332664</v>
      </c>
      <c r="AN135" s="41">
        <f t="shared" ca="1" si="265"/>
        <v>32.088134346100198</v>
      </c>
      <c r="AO135" s="6">
        <f t="shared" si="142"/>
        <v>12.857142857142858</v>
      </c>
      <c r="AP135" s="67">
        <f t="shared" si="143"/>
        <v>0.7934276809691363</v>
      </c>
      <c r="AQ135" s="11">
        <f t="shared" si="266"/>
        <v>0.92829992071837586</v>
      </c>
      <c r="AR135" s="11">
        <f t="shared" si="267"/>
        <v>0.49937958210548988</v>
      </c>
      <c r="AS135" s="11">
        <f t="shared" si="268"/>
        <v>0.53795068916847377</v>
      </c>
      <c r="AT135" s="11">
        <f t="shared" si="269"/>
        <v>481.48131987899995</v>
      </c>
      <c r="AU135" s="11">
        <f t="shared" si="270"/>
        <v>1056.7970592432796</v>
      </c>
      <c r="AV135" s="11">
        <f t="shared" si="271"/>
        <v>1.2786549930845453E-3</v>
      </c>
      <c r="AW135" s="11">
        <f t="shared" si="272"/>
        <v>3.5253330369939681E-7</v>
      </c>
      <c r="AX135" s="41">
        <f t="shared" ca="1" si="273"/>
        <v>2.4513188044607177</v>
      </c>
      <c r="AY135" s="41">
        <f t="shared" ca="1" si="274"/>
        <v>3.3019751313066887</v>
      </c>
      <c r="AZ135" s="41">
        <f t="shared" si="275"/>
        <v>0.35430464035867143</v>
      </c>
    </row>
    <row r="136" spans="1:52" ht="14.5">
      <c r="A136" s="41">
        <f t="shared" ca="1" si="232"/>
        <v>9104.7360534612708</v>
      </c>
      <c r="B136" s="41">
        <f t="shared" ca="1" si="233"/>
        <v>151.74560089102118</v>
      </c>
      <c r="C136" s="41">
        <f t="shared" ca="1" si="234"/>
        <v>2.5290933481836864</v>
      </c>
      <c r="D136" s="41">
        <f t="shared" ca="1" si="235"/>
        <v>11044.331024257515</v>
      </c>
      <c r="E136" s="41">
        <f t="shared" ca="1" si="236"/>
        <v>822.48096089169553</v>
      </c>
      <c r="F136" s="7">
        <f t="shared" si="237"/>
        <v>810.00000000000034</v>
      </c>
      <c r="G136" s="41"/>
      <c r="H136" s="7">
        <f t="shared" si="238"/>
        <v>18000</v>
      </c>
      <c r="I136" s="6">
        <v>15</v>
      </c>
      <c r="J136" s="41">
        <f t="shared" si="239"/>
        <v>0.5158343068733543</v>
      </c>
      <c r="K136" s="41">
        <f t="shared" si="240"/>
        <v>554.87268879171449</v>
      </c>
      <c r="L136" s="6">
        <f t="shared" si="140"/>
        <v>245</v>
      </c>
      <c r="M136" s="41">
        <f t="shared" si="241"/>
        <v>328.75319014607015</v>
      </c>
      <c r="N136" s="41">
        <f t="shared" si="242"/>
        <v>196.8385156375023</v>
      </c>
      <c r="O136" s="41">
        <f t="shared" si="243"/>
        <v>2012549.5282418809</v>
      </c>
      <c r="P136" s="41">
        <f t="shared" si="244"/>
        <v>12921982.158001004</v>
      </c>
      <c r="Q136" s="41">
        <f t="shared" si="245"/>
        <v>2.8142593213275591E-3</v>
      </c>
      <c r="R136" s="41">
        <f t="shared" si="246"/>
        <v>1.9061063126224184E-2</v>
      </c>
      <c r="S136" s="24">
        <f t="shared" ca="1" si="247"/>
        <v>1.17956913340076E-15</v>
      </c>
      <c r="T136" s="10">
        <f t="shared" ca="1" si="248"/>
        <v>-1.17956913340076E-15</v>
      </c>
      <c r="U136" s="41">
        <f t="shared" ca="1" si="249"/>
        <v>0.24395037924732943</v>
      </c>
      <c r="V136" s="41">
        <f t="shared" ca="1" si="250"/>
        <v>2.2819632633532316E-2</v>
      </c>
      <c r="W136" s="41">
        <f t="shared" ca="1" si="251"/>
        <v>10.69037276651231</v>
      </c>
      <c r="X136" s="20">
        <f t="shared" ca="1" si="252"/>
        <v>1033.11000144485</v>
      </c>
      <c r="Y136" s="41">
        <f t="shared" si="253"/>
        <v>0.54936851317696045</v>
      </c>
      <c r="Z136" s="41">
        <f t="shared" ca="1" si="254"/>
        <v>189.11868982475627</v>
      </c>
      <c r="AA136" s="14">
        <f t="shared" ca="1" si="255"/>
        <v>1033.1100014448498</v>
      </c>
      <c r="AB136" s="14">
        <f t="shared" si="114"/>
        <v>2916.5765113289031</v>
      </c>
      <c r="AC136" s="25">
        <f t="shared" ca="1" si="256"/>
        <v>573244.52431931579</v>
      </c>
      <c r="AD136" s="41">
        <f t="shared" si="257"/>
        <v>1618328.6509078268</v>
      </c>
      <c r="AE136" s="5">
        <f t="shared" ca="1" si="258"/>
        <v>35.42200924378033</v>
      </c>
      <c r="AF136" s="7">
        <f t="shared" ca="1" si="259"/>
        <v>1033.1100014448498</v>
      </c>
      <c r="AG136" s="41">
        <f t="shared" ca="1" si="260"/>
        <v>1883.4665098840533</v>
      </c>
      <c r="AH136" s="41">
        <f t="shared" ca="1" si="261"/>
        <v>1045084.126588511</v>
      </c>
      <c r="AI136" s="41">
        <f t="shared" ca="1" si="262"/>
        <v>819.69807263240818</v>
      </c>
      <c r="AJ136" s="13">
        <f t="shared" ca="1" si="263"/>
        <v>-1.1423366646339947E-14</v>
      </c>
      <c r="AK136" s="11"/>
      <c r="AL136" s="6">
        <v>0</v>
      </c>
      <c r="AM136" s="41">
        <f t="shared" si="264"/>
        <v>140.7916810332664</v>
      </c>
      <c r="AN136" s="41">
        <f t="shared" ca="1" si="265"/>
        <v>32.057408218234791</v>
      </c>
      <c r="AO136" s="6">
        <f t="shared" si="142"/>
        <v>12.857142857142858</v>
      </c>
      <c r="AP136" s="67">
        <f t="shared" si="143"/>
        <v>0.7934276809691363</v>
      </c>
      <c r="AQ136" s="11">
        <f t="shared" si="266"/>
        <v>0.92829992071837586</v>
      </c>
      <c r="AR136" s="11">
        <f t="shared" si="267"/>
        <v>0.49937958210548988</v>
      </c>
      <c r="AS136" s="11">
        <f t="shared" si="268"/>
        <v>0.53795068916847377</v>
      </c>
      <c r="AT136" s="11">
        <f t="shared" si="269"/>
        <v>481.48131987899995</v>
      </c>
      <c r="AU136" s="11">
        <f t="shared" si="270"/>
        <v>1056.7970592432796</v>
      </c>
      <c r="AV136" s="11">
        <f t="shared" si="271"/>
        <v>1.2786549930845453E-3</v>
      </c>
      <c r="AW136" s="11">
        <f t="shared" si="272"/>
        <v>3.5253330369939681E-7</v>
      </c>
      <c r="AX136" s="41">
        <f t="shared" ca="1" si="273"/>
        <v>2.4579360957439245</v>
      </c>
      <c r="AY136" s="41">
        <f t="shared" ca="1" si="274"/>
        <v>3.3108887541345315</v>
      </c>
      <c r="AZ136" s="41">
        <f t="shared" si="275"/>
        <v>0.35430464035867143</v>
      </c>
    </row>
    <row r="137" spans="1:52" ht="14.5">
      <c r="A137" s="41">
        <f t="shared" ca="1" si="232"/>
        <v>9245.5277344945371</v>
      </c>
      <c r="B137" s="41">
        <f t="shared" ca="1" si="233"/>
        <v>154.09212890824227</v>
      </c>
      <c r="C137" s="41">
        <f t="shared" ca="1" si="234"/>
        <v>2.5682021484707045</v>
      </c>
      <c r="D137" s="41">
        <f t="shared" ca="1" si="235"/>
        <v>11012.27361603928</v>
      </c>
      <c r="E137" s="41">
        <f t="shared" ca="1" si="236"/>
        <v>835.33810374883842</v>
      </c>
      <c r="F137" s="7">
        <f t="shared" si="237"/>
        <v>822.85714285714323</v>
      </c>
      <c r="G137" s="41"/>
      <c r="H137" s="7">
        <f t="shared" si="238"/>
        <v>18000</v>
      </c>
      <c r="I137" s="6">
        <v>15</v>
      </c>
      <c r="J137" s="41">
        <f t="shared" si="239"/>
        <v>0.5158343068733543</v>
      </c>
      <c r="K137" s="41">
        <f t="shared" si="240"/>
        <v>554.87268879171449</v>
      </c>
      <c r="L137" s="6">
        <f t="shared" si="140"/>
        <v>245</v>
      </c>
      <c r="M137" s="41">
        <f t="shared" si="241"/>
        <v>328.75319014607015</v>
      </c>
      <c r="N137" s="41">
        <f t="shared" si="242"/>
        <v>196.8385156375023</v>
      </c>
      <c r="O137" s="41">
        <f t="shared" si="243"/>
        <v>2012549.5282418809</v>
      </c>
      <c r="P137" s="41">
        <f t="shared" si="244"/>
        <v>12921982.158001004</v>
      </c>
      <c r="Q137" s="41">
        <f t="shared" si="245"/>
        <v>2.8142593213275591E-3</v>
      </c>
      <c r="R137" s="41">
        <f t="shared" si="246"/>
        <v>1.9061063126224184E-2</v>
      </c>
      <c r="S137" s="24">
        <f t="shared" ca="1" si="247"/>
        <v>1.1830029319558544E-15</v>
      </c>
      <c r="T137" s="10">
        <f t="shared" ca="1" si="248"/>
        <v>0</v>
      </c>
      <c r="U137" s="41">
        <f t="shared" ca="1" si="249"/>
        <v>0.2432422859390658</v>
      </c>
      <c r="V137" s="41">
        <f t="shared" ca="1" si="250"/>
        <v>2.2797844961849886E-2</v>
      </c>
      <c r="W137" s="41">
        <f t="shared" ca="1" si="251"/>
        <v>10.669529788719485</v>
      </c>
      <c r="X137" s="20">
        <f t="shared" ca="1" si="252"/>
        <v>1032.1236112656215</v>
      </c>
      <c r="Y137" s="41">
        <f t="shared" si="253"/>
        <v>0.54936851317696045</v>
      </c>
      <c r="Z137" s="41">
        <f t="shared" ca="1" si="254"/>
        <v>188.84402127269885</v>
      </c>
      <c r="AA137" s="14">
        <f t="shared" ca="1" si="255"/>
        <v>1032.1236112656215</v>
      </c>
      <c r="AB137" s="14">
        <f t="shared" ref="AB137:AB143" si="276">$B$15*AR137*0.93</f>
        <v>2916.5765113289031</v>
      </c>
      <c r="AC137" s="25">
        <f t="shared" ca="1" si="256"/>
        <v>572697.20334836969</v>
      </c>
      <c r="AD137" s="41">
        <f t="shared" si="257"/>
        <v>1618328.6509078268</v>
      </c>
      <c r="AE137" s="5">
        <f t="shared" ca="1" si="258"/>
        <v>35.388189106527051</v>
      </c>
      <c r="AF137" s="7">
        <f t="shared" ca="1" si="259"/>
        <v>1032.1236112656215</v>
      </c>
      <c r="AG137" s="41">
        <f t="shared" ca="1" si="260"/>
        <v>1884.4529000632815</v>
      </c>
      <c r="AH137" s="41">
        <f t="shared" ca="1" si="261"/>
        <v>1045631.4475594572</v>
      </c>
      <c r="AI137" s="41">
        <f t="shared" ca="1" si="262"/>
        <v>818.91544335997241</v>
      </c>
      <c r="AJ137" s="13">
        <f t="shared" ca="1" si="263"/>
        <v>0</v>
      </c>
      <c r="AK137" s="11"/>
      <c r="AL137" s="6">
        <v>0</v>
      </c>
      <c r="AM137" s="41">
        <f t="shared" si="264"/>
        <v>140.7916810332664</v>
      </c>
      <c r="AN137" s="41">
        <f t="shared" ca="1" si="265"/>
        <v>32.026800526320322</v>
      </c>
      <c r="AO137" s="6">
        <f t="shared" si="142"/>
        <v>12.857142857142858</v>
      </c>
      <c r="AP137" s="67">
        <f t="shared" si="143"/>
        <v>0.7934276809691363</v>
      </c>
      <c r="AQ137" s="11">
        <f t="shared" si="266"/>
        <v>0.92829992071837586</v>
      </c>
      <c r="AR137" s="11">
        <f t="shared" si="267"/>
        <v>0.49937958210548988</v>
      </c>
      <c r="AS137" s="11">
        <f t="shared" si="268"/>
        <v>0.53795068916847377</v>
      </c>
      <c r="AT137" s="11">
        <f t="shared" si="269"/>
        <v>481.48131987899995</v>
      </c>
      <c r="AU137" s="11">
        <f t="shared" si="270"/>
        <v>1056.7970592432796</v>
      </c>
      <c r="AV137" s="11">
        <f t="shared" si="271"/>
        <v>1.2786549930845453E-3</v>
      </c>
      <c r="AW137" s="11">
        <f t="shared" si="272"/>
        <v>3.5253330369939681E-7</v>
      </c>
      <c r="AX137" s="41">
        <f t="shared" ca="1" si="273"/>
        <v>2.4645870942900667</v>
      </c>
      <c r="AY137" s="41">
        <f t="shared" ca="1" si="274"/>
        <v>3.3198477813152292</v>
      </c>
      <c r="AZ137" s="41">
        <f t="shared" si="275"/>
        <v>0.35430464035867143</v>
      </c>
    </row>
    <row r="138" spans="1:52" ht="14.5">
      <c r="A138" s="41">
        <f t="shared" ca="1" si="232"/>
        <v>9386.3194155278034</v>
      </c>
      <c r="B138" s="41">
        <f t="shared" ca="1" si="233"/>
        <v>156.43865692546339</v>
      </c>
      <c r="C138" s="41">
        <f t="shared" ca="1" si="234"/>
        <v>2.6073109487577231</v>
      </c>
      <c r="D138" s="41">
        <f t="shared" ca="1" si="235"/>
        <v>10980.246815512959</v>
      </c>
      <c r="E138" s="41">
        <f t="shared" ca="1" si="236"/>
        <v>848.19524660598131</v>
      </c>
      <c r="F138" s="7">
        <f t="shared" si="237"/>
        <v>835.71428571428612</v>
      </c>
      <c r="G138" s="41"/>
      <c r="H138" s="7">
        <f t="shared" si="238"/>
        <v>18000</v>
      </c>
      <c r="I138" s="6">
        <v>15</v>
      </c>
      <c r="J138" s="41">
        <f t="shared" si="239"/>
        <v>0.5158343068733543</v>
      </c>
      <c r="K138" s="41">
        <f t="shared" si="240"/>
        <v>554.87268879171449</v>
      </c>
      <c r="L138" s="6">
        <f t="shared" ref="L138:L143" si="277">L137</f>
        <v>245</v>
      </c>
      <c r="M138" s="41">
        <f t="shared" si="241"/>
        <v>328.75319014607015</v>
      </c>
      <c r="N138" s="41">
        <f t="shared" si="242"/>
        <v>196.8385156375023</v>
      </c>
      <c r="O138" s="41">
        <f t="shared" si="243"/>
        <v>2012549.5282418809</v>
      </c>
      <c r="P138" s="41">
        <f t="shared" si="244"/>
        <v>12921982.158001004</v>
      </c>
      <c r="Q138" s="41">
        <f t="shared" si="245"/>
        <v>2.8142593213275591E-3</v>
      </c>
      <c r="R138" s="41">
        <f t="shared" si="246"/>
        <v>1.9061063126224184E-2</v>
      </c>
      <c r="S138" s="24">
        <f t="shared" ca="1" si="247"/>
        <v>1.1864534736021745E-15</v>
      </c>
      <c r="T138" s="10">
        <f t="shared" ca="1" si="248"/>
        <v>0</v>
      </c>
      <c r="U138" s="41">
        <f t="shared" ca="1" si="249"/>
        <v>0.24253486870235727</v>
      </c>
      <c r="V138" s="41">
        <f t="shared" ca="1" si="250"/>
        <v>2.2776141334945269E-2</v>
      </c>
      <c r="W138" s="41">
        <f t="shared" ca="1" si="251"/>
        <v>10.648637323401124</v>
      </c>
      <c r="X138" s="20">
        <f t="shared" ca="1" si="252"/>
        <v>1031.141026033735</v>
      </c>
      <c r="Y138" s="41">
        <f t="shared" si="253"/>
        <v>0.54936851317696045</v>
      </c>
      <c r="Z138" s="41">
        <f t="shared" ca="1" si="254"/>
        <v>188.56921546099434</v>
      </c>
      <c r="AA138" s="14">
        <f t="shared" ca="1" si="255"/>
        <v>1031.141026033735</v>
      </c>
      <c r="AB138" s="14">
        <f t="shared" si="276"/>
        <v>2916.5765113289031</v>
      </c>
      <c r="AC138" s="25">
        <f t="shared" ca="1" si="256"/>
        <v>572151.99363878579</v>
      </c>
      <c r="AD138" s="41">
        <f t="shared" si="257"/>
        <v>1618328.6509078268</v>
      </c>
      <c r="AE138" s="5">
        <f t="shared" ca="1" si="258"/>
        <v>35.354499428643756</v>
      </c>
      <c r="AF138" s="7">
        <f t="shared" ca="1" si="259"/>
        <v>1031.141026033735</v>
      </c>
      <c r="AG138" s="41">
        <f t="shared" ca="1" si="260"/>
        <v>1885.4354852951681</v>
      </c>
      <c r="AH138" s="41">
        <f t="shared" ca="1" si="261"/>
        <v>1046176.6572690411</v>
      </c>
      <c r="AI138" s="41">
        <f t="shared" ca="1" si="262"/>
        <v>818.13583303808218</v>
      </c>
      <c r="AJ138" s="13">
        <f t="shared" ca="1" si="263"/>
        <v>0</v>
      </c>
      <c r="AK138" s="11"/>
      <c r="AL138" s="6">
        <v>0</v>
      </c>
      <c r="AM138" s="41">
        <f t="shared" si="264"/>
        <v>140.7916810332664</v>
      </c>
      <c r="AN138" s="41">
        <f t="shared" ca="1" si="265"/>
        <v>31.996310901939822</v>
      </c>
      <c r="AO138" s="6">
        <f t="shared" ref="AO138:AO142" si="278">(900/70)</f>
        <v>12.857142857142858</v>
      </c>
      <c r="AP138" s="67">
        <f t="shared" ref="AP138:AP143" si="279">0.692 + 0.298*AZ138 + -0.0331*AZ138^2</f>
        <v>0.7934276809691363</v>
      </c>
      <c r="AQ138" s="11">
        <f t="shared" si="266"/>
        <v>0.92829992071837586</v>
      </c>
      <c r="AR138" s="11">
        <f t="shared" si="267"/>
        <v>0.49937958210548988</v>
      </c>
      <c r="AS138" s="11">
        <f t="shared" si="268"/>
        <v>0.53795068916847377</v>
      </c>
      <c r="AT138" s="11">
        <f t="shared" si="269"/>
        <v>481.48131987899995</v>
      </c>
      <c r="AU138" s="11">
        <f t="shared" si="270"/>
        <v>1056.7970592432796</v>
      </c>
      <c r="AV138" s="11">
        <f t="shared" si="271"/>
        <v>1.2786549930845453E-3</v>
      </c>
      <c r="AW138" s="11">
        <f t="shared" si="272"/>
        <v>3.5253330369939681E-7</v>
      </c>
      <c r="AX138" s="41">
        <f t="shared" ca="1" si="273"/>
        <v>2.4712720592600101</v>
      </c>
      <c r="AY138" s="41">
        <f t="shared" ca="1" si="274"/>
        <v>3.3288525619436165</v>
      </c>
      <c r="AZ138" s="41">
        <f t="shared" si="275"/>
        <v>0.35430464035867143</v>
      </c>
    </row>
    <row r="139" spans="1:52" ht="14.5">
      <c r="A139" s="41">
        <f t="shared" ca="1" si="232"/>
        <v>9527.1110965610696</v>
      </c>
      <c r="B139" s="41">
        <f t="shared" ca="1" si="233"/>
        <v>158.78518494268448</v>
      </c>
      <c r="C139" s="41">
        <f t="shared" ca="1" si="234"/>
        <v>2.6464197490447412</v>
      </c>
      <c r="D139" s="41">
        <f t="shared" ca="1" si="235"/>
        <v>10948.25050461102</v>
      </c>
      <c r="E139" s="41">
        <f t="shared" ca="1" si="236"/>
        <v>861.0523894631242</v>
      </c>
      <c r="F139" s="7">
        <f t="shared" si="237"/>
        <v>848.57142857142901</v>
      </c>
      <c r="G139" s="41"/>
      <c r="H139" s="7">
        <f t="shared" si="238"/>
        <v>18000</v>
      </c>
      <c r="I139" s="6">
        <v>15</v>
      </c>
      <c r="J139" s="41">
        <f t="shared" si="239"/>
        <v>0.5158343068733543</v>
      </c>
      <c r="K139" s="41">
        <f t="shared" si="240"/>
        <v>554.87268879171449</v>
      </c>
      <c r="L139" s="6">
        <f t="shared" si="277"/>
        <v>245</v>
      </c>
      <c r="M139" s="41">
        <f t="shared" si="241"/>
        <v>328.75319014607015</v>
      </c>
      <c r="N139" s="41">
        <f t="shared" si="242"/>
        <v>196.8385156375023</v>
      </c>
      <c r="O139" s="41">
        <f t="shared" si="243"/>
        <v>2012549.5282418809</v>
      </c>
      <c r="P139" s="41">
        <f t="shared" si="244"/>
        <v>12921982.158001004</v>
      </c>
      <c r="Q139" s="41">
        <f t="shared" si="245"/>
        <v>2.8142593213275591E-3</v>
      </c>
      <c r="R139" s="41">
        <f t="shared" si="246"/>
        <v>1.9061063126224184E-2</v>
      </c>
      <c r="S139" s="24">
        <f t="shared" ca="1" si="247"/>
        <v>1.1899208891674351E-15</v>
      </c>
      <c r="T139" s="10">
        <f t="shared" ca="1" si="248"/>
        <v>1.1899208891674351E-15</v>
      </c>
      <c r="U139" s="41">
        <f t="shared" ca="1" si="249"/>
        <v>0.24182812492929401</v>
      </c>
      <c r="V139" s="41">
        <f t="shared" ca="1" si="250"/>
        <v>2.2754521491923103E-2</v>
      </c>
      <c r="W139" s="41">
        <f t="shared" ca="1" si="251"/>
        <v>10.627695467695633</v>
      </c>
      <c r="X139" s="20">
        <f t="shared" ca="1" si="252"/>
        <v>1030.1622339377111</v>
      </c>
      <c r="Y139" s="41">
        <f t="shared" si="253"/>
        <v>0.54936851317696045</v>
      </c>
      <c r="Z139" s="41">
        <f t="shared" ca="1" si="254"/>
        <v>188.29427077337596</v>
      </c>
      <c r="AA139" s="14">
        <f t="shared" ca="1" si="255"/>
        <v>1030.1622339377111</v>
      </c>
      <c r="AB139" s="14">
        <f t="shared" si="276"/>
        <v>2916.5765113289031</v>
      </c>
      <c r="AC139" s="25">
        <f t="shared" ca="1" si="256"/>
        <v>571608.88863669697</v>
      </c>
      <c r="AD139" s="41">
        <f t="shared" si="257"/>
        <v>1618328.6509078268</v>
      </c>
      <c r="AE139" s="5">
        <f t="shared" ca="1" si="258"/>
        <v>35.320939805152932</v>
      </c>
      <c r="AF139" s="7">
        <f t="shared" ca="1" si="259"/>
        <v>1030.1622339377113</v>
      </c>
      <c r="AG139" s="41">
        <f t="shared" ca="1" si="260"/>
        <v>1886.4142773911919</v>
      </c>
      <c r="AH139" s="41">
        <f t="shared" ca="1" si="261"/>
        <v>1046719.7622711299</v>
      </c>
      <c r="AI139" s="41">
        <f t="shared" ca="1" si="262"/>
        <v>817.35923229518323</v>
      </c>
      <c r="AJ139" s="13">
        <f t="shared" ca="1" si="263"/>
        <v>1.1523616727668514E-14</v>
      </c>
      <c r="AK139" s="11"/>
      <c r="AL139" s="6">
        <v>0</v>
      </c>
      <c r="AM139" s="41">
        <f t="shared" si="264"/>
        <v>140.7916810332664</v>
      </c>
      <c r="AN139" s="41">
        <f t="shared" ca="1" si="265"/>
        <v>31.965938978583036</v>
      </c>
      <c r="AO139" s="6">
        <f t="shared" si="278"/>
        <v>12.857142857142858</v>
      </c>
      <c r="AP139" s="67">
        <f t="shared" si="279"/>
        <v>0.7934276809691363</v>
      </c>
      <c r="AQ139" s="11">
        <f t="shared" si="266"/>
        <v>0.92829992071837586</v>
      </c>
      <c r="AR139" s="11">
        <f t="shared" si="267"/>
        <v>0.49937958210548988</v>
      </c>
      <c r="AS139" s="11">
        <f t="shared" si="268"/>
        <v>0.53795068916847377</v>
      </c>
      <c r="AT139" s="11">
        <f t="shared" si="269"/>
        <v>481.48131987899995</v>
      </c>
      <c r="AU139" s="11">
        <f t="shared" si="270"/>
        <v>1056.7970592432796</v>
      </c>
      <c r="AV139" s="11">
        <f t="shared" si="271"/>
        <v>1.2786549930845453E-3</v>
      </c>
      <c r="AW139" s="11">
        <f t="shared" si="272"/>
        <v>3.5253330369939681E-7</v>
      </c>
      <c r="AX139" s="41">
        <f t="shared" ca="1" si="273"/>
        <v>2.4779912525220551</v>
      </c>
      <c r="AY139" s="41">
        <f t="shared" ca="1" si="274"/>
        <v>3.3379034487614971</v>
      </c>
      <c r="AZ139" s="41">
        <f t="shared" si="275"/>
        <v>0.35430464035867143</v>
      </c>
    </row>
    <row r="140" spans="1:52" ht="14.5">
      <c r="A140" s="41">
        <f t="shared" ca="1" si="232"/>
        <v>9667.9027775943359</v>
      </c>
      <c r="B140" s="41">
        <f t="shared" ca="1" si="233"/>
        <v>161.1317129599056</v>
      </c>
      <c r="C140" s="41">
        <f t="shared" ca="1" si="234"/>
        <v>2.6855285493317598</v>
      </c>
      <c r="D140" s="41">
        <f t="shared" ca="1" si="235"/>
        <v>10916.284565632437</v>
      </c>
      <c r="E140" s="41">
        <f t="shared" ca="1" si="236"/>
        <v>873.90953232026709</v>
      </c>
      <c r="F140" s="7">
        <f t="shared" si="237"/>
        <v>861.4285714285719</v>
      </c>
      <c r="G140" s="41"/>
      <c r="H140" s="7">
        <f t="shared" si="238"/>
        <v>18000</v>
      </c>
      <c r="I140" s="6">
        <v>15</v>
      </c>
      <c r="J140" s="41">
        <f t="shared" si="239"/>
        <v>0.5158343068733543</v>
      </c>
      <c r="K140" s="41">
        <f t="shared" si="240"/>
        <v>554.87268879171449</v>
      </c>
      <c r="L140" s="6">
        <f t="shared" si="277"/>
        <v>245</v>
      </c>
      <c r="M140" s="41">
        <f t="shared" si="241"/>
        <v>328.75319014607015</v>
      </c>
      <c r="N140" s="41">
        <f t="shared" si="242"/>
        <v>196.8385156375023</v>
      </c>
      <c r="O140" s="41">
        <f t="shared" si="243"/>
        <v>2012549.5282418809</v>
      </c>
      <c r="P140" s="41">
        <f t="shared" si="244"/>
        <v>12921982.158001004</v>
      </c>
      <c r="Q140" s="41">
        <f t="shared" si="245"/>
        <v>2.8142593213275591E-3</v>
      </c>
      <c r="R140" s="41">
        <f t="shared" si="246"/>
        <v>1.9061063126224184E-2</v>
      </c>
      <c r="S140" s="24">
        <f t="shared" ca="1" si="247"/>
        <v>0</v>
      </c>
      <c r="T140" s="10">
        <f t="shared" ca="1" si="248"/>
        <v>0</v>
      </c>
      <c r="U140" s="41">
        <f t="shared" ca="1" si="249"/>
        <v>0.24112205202006168</v>
      </c>
      <c r="V140" s="41">
        <f t="shared" ca="1" si="250"/>
        <v>2.2732985173238136E-2</v>
      </c>
      <c r="W140" s="41">
        <f t="shared" ca="1" si="251"/>
        <v>10.606704318969813</v>
      </c>
      <c r="X140" s="20">
        <f t="shared" ca="1" si="252"/>
        <v>1029.1872232271949</v>
      </c>
      <c r="Y140" s="41">
        <f t="shared" si="253"/>
        <v>0.54936851317696045</v>
      </c>
      <c r="Z140" s="41">
        <f t="shared" ca="1" si="254"/>
        <v>188.019185586974</v>
      </c>
      <c r="AA140" s="14">
        <f t="shared" ca="1" si="255"/>
        <v>1029.1872232271949</v>
      </c>
      <c r="AB140" s="14">
        <f t="shared" si="276"/>
        <v>2916.5765113289031</v>
      </c>
      <c r="AC140" s="25">
        <f t="shared" ca="1" si="256"/>
        <v>571067.88182215206</v>
      </c>
      <c r="AD140" s="41">
        <f t="shared" si="257"/>
        <v>1618328.6509078268</v>
      </c>
      <c r="AE140" s="5">
        <f t="shared" ca="1" si="258"/>
        <v>35.287509833172798</v>
      </c>
      <c r="AF140" s="7">
        <f t="shared" ca="1" si="259"/>
        <v>1029.1872232271949</v>
      </c>
      <c r="AG140" s="41">
        <f t="shared" ca="1" si="260"/>
        <v>1887.3892881017082</v>
      </c>
      <c r="AH140" s="41">
        <f t="shared" ca="1" si="261"/>
        <v>1047260.7690856748</v>
      </c>
      <c r="AI140" s="41">
        <f t="shared" ca="1" si="262"/>
        <v>816.58563180821807</v>
      </c>
      <c r="AJ140" s="13">
        <f t="shared" ca="1" si="263"/>
        <v>0</v>
      </c>
      <c r="AK140" s="11"/>
      <c r="AL140" s="6">
        <v>0</v>
      </c>
      <c r="AM140" s="41">
        <f t="shared" si="264"/>
        <v>140.7916810332664</v>
      </c>
      <c r="AN140" s="41">
        <f t="shared" ca="1" si="265"/>
        <v>31.935684391636375</v>
      </c>
      <c r="AO140" s="6">
        <f t="shared" si="278"/>
        <v>12.857142857142858</v>
      </c>
      <c r="AP140" s="67">
        <f t="shared" si="279"/>
        <v>0.7934276809691363</v>
      </c>
      <c r="AQ140" s="11">
        <f t="shared" si="266"/>
        <v>0.92829992071837586</v>
      </c>
      <c r="AR140" s="11">
        <f t="shared" si="267"/>
        <v>0.49937958210548988</v>
      </c>
      <c r="AS140" s="11">
        <f t="shared" si="268"/>
        <v>0.53795068916847377</v>
      </c>
      <c r="AT140" s="11">
        <f t="shared" si="269"/>
        <v>481.48131987899995</v>
      </c>
      <c r="AU140" s="11">
        <f t="shared" si="270"/>
        <v>1056.7970592432796</v>
      </c>
      <c r="AV140" s="11">
        <f t="shared" si="271"/>
        <v>1.2786549930845453E-3</v>
      </c>
      <c r="AW140" s="11">
        <f t="shared" si="272"/>
        <v>3.5253330369939681E-7</v>
      </c>
      <c r="AX140" s="41">
        <f t="shared" ca="1" si="273"/>
        <v>2.4847449386870899</v>
      </c>
      <c r="AY140" s="41">
        <f t="shared" ca="1" si="274"/>
        <v>3.3470007982049941</v>
      </c>
      <c r="AZ140" s="41">
        <f t="shared" si="275"/>
        <v>0.35430464035867143</v>
      </c>
    </row>
    <row r="141" spans="1:52" ht="14.5">
      <c r="A141" s="41">
        <f t="shared" ca="1" si="232"/>
        <v>9808.6944586276022</v>
      </c>
      <c r="B141" s="41">
        <f t="shared" ca="1" si="233"/>
        <v>163.47824097712672</v>
      </c>
      <c r="C141" s="41">
        <f t="shared" ca="1" si="234"/>
        <v>2.7246373496187788</v>
      </c>
      <c r="D141" s="41">
        <f t="shared" ca="1" si="235"/>
        <v>10884.348881240801</v>
      </c>
      <c r="E141" s="41">
        <f t="shared" ca="1" si="236"/>
        <v>886.76667517740998</v>
      </c>
      <c r="F141" s="7">
        <f t="shared" si="237"/>
        <v>874.28571428571479</v>
      </c>
      <c r="G141" s="41"/>
      <c r="H141" s="7">
        <f t="shared" si="238"/>
        <v>18000</v>
      </c>
      <c r="I141" s="6">
        <v>15</v>
      </c>
      <c r="J141" s="41">
        <f t="shared" si="239"/>
        <v>0.5158343068733543</v>
      </c>
      <c r="K141" s="41">
        <f t="shared" si="240"/>
        <v>554.87268879171449</v>
      </c>
      <c r="L141" s="6">
        <f t="shared" si="277"/>
        <v>245</v>
      </c>
      <c r="M141" s="41">
        <f t="shared" si="241"/>
        <v>328.75319014607015</v>
      </c>
      <c r="N141" s="41">
        <f t="shared" si="242"/>
        <v>196.8385156375023</v>
      </c>
      <c r="O141" s="41">
        <f t="shared" si="243"/>
        <v>2012549.5282418809</v>
      </c>
      <c r="P141" s="41">
        <f t="shared" si="244"/>
        <v>12921982.158001004</v>
      </c>
      <c r="Q141" s="41">
        <f t="shared" si="245"/>
        <v>2.8142593213275591E-3</v>
      </c>
      <c r="R141" s="41">
        <f t="shared" si="246"/>
        <v>1.9061063126224184E-2</v>
      </c>
      <c r="S141" s="24">
        <f t="shared" ca="1" si="247"/>
        <v>1.1969068721903592E-15</v>
      </c>
      <c r="T141" s="10">
        <f t="shared" ca="1" si="248"/>
        <v>0</v>
      </c>
      <c r="U141" s="41">
        <f t="shared" ca="1" si="249"/>
        <v>0.24041664738289975</v>
      </c>
      <c r="V141" s="41">
        <f t="shared" ca="1" si="250"/>
        <v>2.2711532120688174E-2</v>
      </c>
      <c r="W141" s="41">
        <f t="shared" ca="1" si="251"/>
        <v>10.5856639748184</v>
      </c>
      <c r="X141" s="20">
        <f t="shared" ca="1" si="252"/>
        <v>1028.2159822126343</v>
      </c>
      <c r="Y141" s="41">
        <f t="shared" si="253"/>
        <v>0.54936851317696045</v>
      </c>
      <c r="Z141" s="41">
        <f t="shared" ca="1" si="254"/>
        <v>187.74395827223904</v>
      </c>
      <c r="AA141" s="14">
        <f t="shared" ca="1" si="255"/>
        <v>1028.2159822126343</v>
      </c>
      <c r="AB141" s="14">
        <f t="shared" si="276"/>
        <v>2916.5765113289031</v>
      </c>
      <c r="AC141" s="25">
        <f t="shared" ca="1" si="256"/>
        <v>570528.96670893813</v>
      </c>
      <c r="AD141" s="41">
        <f t="shared" si="257"/>
        <v>1618328.6509078268</v>
      </c>
      <c r="AE141" s="5">
        <f t="shared" ca="1" si="258"/>
        <v>35.254209111906341</v>
      </c>
      <c r="AF141" s="7">
        <f t="shared" ca="1" si="259"/>
        <v>1028.2159822126343</v>
      </c>
      <c r="AG141" s="41">
        <f t="shared" ca="1" si="260"/>
        <v>1888.3605291162687</v>
      </c>
      <c r="AH141" s="41">
        <f t="shared" ca="1" si="261"/>
        <v>1047799.6841988887</v>
      </c>
      <c r="AI141" s="41">
        <f t="shared" ca="1" si="262"/>
        <v>815.81502230237311</v>
      </c>
      <c r="AJ141" s="13">
        <f t="shared" ca="1" si="263"/>
        <v>0</v>
      </c>
      <c r="AK141" s="11"/>
      <c r="AL141" s="6">
        <v>0</v>
      </c>
      <c r="AM141" s="41">
        <f t="shared" si="264"/>
        <v>140.7916810332664</v>
      </c>
      <c r="AN141" s="41">
        <f t="shared" ca="1" si="265"/>
        <v>31.905546778373008</v>
      </c>
      <c r="AO141" s="6">
        <f t="shared" si="278"/>
        <v>12.857142857142858</v>
      </c>
      <c r="AP141" s="67">
        <f t="shared" si="279"/>
        <v>0.7934276809691363</v>
      </c>
      <c r="AQ141" s="11">
        <f t="shared" si="266"/>
        <v>0.92829992071837586</v>
      </c>
      <c r="AR141" s="11">
        <f t="shared" si="267"/>
        <v>0.49937958210548988</v>
      </c>
      <c r="AS141" s="11">
        <f t="shared" si="268"/>
        <v>0.53795068916847377</v>
      </c>
      <c r="AT141" s="11">
        <f t="shared" si="269"/>
        <v>481.48131987899995</v>
      </c>
      <c r="AU141" s="11">
        <f t="shared" si="270"/>
        <v>1056.7970592432796</v>
      </c>
      <c r="AV141" s="11">
        <f t="shared" si="271"/>
        <v>1.2786549930845453E-3</v>
      </c>
      <c r="AW141" s="11">
        <f t="shared" si="272"/>
        <v>3.5253330369939681E-7</v>
      </c>
      <c r="AX141" s="41">
        <f t="shared" ca="1" si="273"/>
        <v>2.4915333851443053</v>
      </c>
      <c r="AY141" s="41">
        <f t="shared" ca="1" si="274"/>
        <v>3.3561449704526605</v>
      </c>
      <c r="AZ141" s="41">
        <f t="shared" si="275"/>
        <v>0.35430464035867143</v>
      </c>
    </row>
    <row r="142" spans="1:52" ht="14.5">
      <c r="A142" s="41">
        <f t="shared" ca="1" si="232"/>
        <v>9949.4861396608685</v>
      </c>
      <c r="B142" s="41">
        <f t="shared" ca="1" si="233"/>
        <v>165.82476899434781</v>
      </c>
      <c r="C142" s="41">
        <f t="shared" ca="1" si="234"/>
        <v>2.7637461499057969</v>
      </c>
      <c r="D142" s="41">
        <f t="shared" ca="1" si="235"/>
        <v>10852.443334462429</v>
      </c>
      <c r="E142" s="41">
        <f t="shared" ca="1" si="236"/>
        <v>899.62381803455287</v>
      </c>
      <c r="F142" s="7">
        <f t="shared" si="237"/>
        <v>887.14285714285768</v>
      </c>
      <c r="G142" s="41"/>
      <c r="H142" s="7">
        <f t="shared" si="238"/>
        <v>18000</v>
      </c>
      <c r="I142" s="6">
        <v>15</v>
      </c>
      <c r="J142" s="41">
        <f t="shared" si="239"/>
        <v>0.5158343068733543</v>
      </c>
      <c r="K142" s="41">
        <f t="shared" si="240"/>
        <v>554.87268879171449</v>
      </c>
      <c r="L142" s="6">
        <f t="shared" si="277"/>
        <v>245</v>
      </c>
      <c r="M142" s="41">
        <f t="shared" si="241"/>
        <v>328.75319014607015</v>
      </c>
      <c r="N142" s="41">
        <f t="shared" si="242"/>
        <v>196.8385156375023</v>
      </c>
      <c r="O142" s="41">
        <f t="shared" si="243"/>
        <v>2012549.5282418809</v>
      </c>
      <c r="P142" s="41">
        <f t="shared" si="244"/>
        <v>12921982.158001004</v>
      </c>
      <c r="Q142" s="41">
        <f t="shared" si="245"/>
        <v>2.8142593213275591E-3</v>
      </c>
      <c r="R142" s="41">
        <f t="shared" si="246"/>
        <v>1.9061063126224184E-2</v>
      </c>
      <c r="S142" s="24">
        <f t="shared" ca="1" si="247"/>
        <v>1.2004257081817676E-15</v>
      </c>
      <c r="T142" s="10">
        <f t="shared" ca="1" si="248"/>
        <v>0</v>
      </c>
      <c r="U142" s="41">
        <f t="shared" ca="1" si="249"/>
        <v>0.23971190843405965</v>
      </c>
      <c r="V142" s="41">
        <f t="shared" ca="1" si="250"/>
        <v>2.2690162077406983E-2</v>
      </c>
      <c r="W142" s="41">
        <f t="shared" ca="1" si="251"/>
        <v>10.564574533063617</v>
      </c>
      <c r="X142" s="20">
        <f t="shared" ca="1" si="252"/>
        <v>1027.2484992649613</v>
      </c>
      <c r="Y142" s="41">
        <f t="shared" si="253"/>
        <v>0.54936851317696045</v>
      </c>
      <c r="Z142" s="41">
        <f t="shared" ca="1" si="254"/>
        <v>187.46858719286402</v>
      </c>
      <c r="AA142" s="14">
        <f t="shared" ca="1" si="255"/>
        <v>1027.2484992649613</v>
      </c>
      <c r="AB142" s="14">
        <f t="shared" si="276"/>
        <v>2916.5765113289031</v>
      </c>
      <c r="AC142" s="25">
        <f t="shared" ca="1" si="256"/>
        <v>569992.13684440264</v>
      </c>
      <c r="AD142" s="41">
        <f t="shared" si="257"/>
        <v>1618328.6509078268</v>
      </c>
      <c r="AE142" s="5">
        <f t="shared" ca="1" si="258"/>
        <v>35.221037242630324</v>
      </c>
      <c r="AF142" s="7">
        <f t="shared" ca="1" si="259"/>
        <v>1027.2484992649613</v>
      </c>
      <c r="AG142" s="41">
        <f t="shared" ca="1" si="260"/>
        <v>1889.3280120639417</v>
      </c>
      <c r="AH142" s="41">
        <f t="shared" ca="1" si="261"/>
        <v>1048336.5140634242</v>
      </c>
      <c r="AI142" s="41">
        <f t="shared" ca="1" si="262"/>
        <v>815.04739455082381</v>
      </c>
      <c r="AJ142" s="13">
        <f t="shared" ca="1" si="263"/>
        <v>0</v>
      </c>
      <c r="AK142" s="11"/>
      <c r="AL142" s="6">
        <v>0</v>
      </c>
      <c r="AM142" s="41">
        <f t="shared" si="264"/>
        <v>140.7916810332664</v>
      </c>
      <c r="AN142" s="41">
        <f t="shared" ca="1" si="265"/>
        <v>31.875525777942894</v>
      </c>
      <c r="AO142" s="6">
        <f t="shared" si="278"/>
        <v>12.857142857142858</v>
      </c>
      <c r="AP142" s="67">
        <f t="shared" si="279"/>
        <v>0.7934276809691363</v>
      </c>
      <c r="AQ142" s="11">
        <f t="shared" si="266"/>
        <v>0.92829992071837586</v>
      </c>
      <c r="AR142" s="11">
        <f t="shared" si="267"/>
        <v>0.49937958210548988</v>
      </c>
      <c r="AS142" s="11">
        <f t="shared" si="268"/>
        <v>0.53795068916847377</v>
      </c>
      <c r="AT142" s="11">
        <f t="shared" si="269"/>
        <v>481.48131987899995</v>
      </c>
      <c r="AU142" s="11">
        <f t="shared" si="270"/>
        <v>1056.7970592432796</v>
      </c>
      <c r="AV142" s="11">
        <f t="shared" si="271"/>
        <v>1.2786549930845453E-3</v>
      </c>
      <c r="AW142" s="11">
        <f t="shared" si="272"/>
        <v>3.5253330369939681E-7</v>
      </c>
      <c r="AX142" s="41">
        <f t="shared" ca="1" si="273"/>
        <v>2.4983568620974661</v>
      </c>
      <c r="AY142" s="41">
        <f t="shared" ca="1" si="274"/>
        <v>3.3653363294743355</v>
      </c>
      <c r="AZ142" s="41">
        <f t="shared" si="275"/>
        <v>0.35430464035867143</v>
      </c>
    </row>
    <row r="143" spans="1:52" ht="14.5">
      <c r="A143" s="41">
        <f t="shared" ca="1" si="232"/>
        <v>10090.277820694135</v>
      </c>
      <c r="B143" s="41">
        <f t="shared" ca="1" si="233"/>
        <v>168.17129701156892</v>
      </c>
      <c r="C143" s="41">
        <f t="shared" ca="1" si="234"/>
        <v>2.8028549501928155</v>
      </c>
      <c r="D143" s="41">
        <f t="shared" ca="1" si="235"/>
        <v>10820.567808684485</v>
      </c>
      <c r="E143" s="41">
        <f t="shared" ca="1" si="236"/>
        <v>912.48096089169576</v>
      </c>
      <c r="F143" s="7">
        <f t="shared" si="237"/>
        <v>900.00000000000057</v>
      </c>
      <c r="G143" s="41"/>
      <c r="H143" s="7">
        <f t="shared" si="238"/>
        <v>18000</v>
      </c>
      <c r="I143" s="6">
        <v>15</v>
      </c>
      <c r="J143" s="41">
        <f t="shared" si="239"/>
        <v>0.5158343068733543</v>
      </c>
      <c r="K143" s="41">
        <f t="shared" si="240"/>
        <v>554.87268879171449</v>
      </c>
      <c r="L143" s="6">
        <f t="shared" si="277"/>
        <v>245</v>
      </c>
      <c r="M143" s="41">
        <f t="shared" si="241"/>
        <v>328.75319014607015</v>
      </c>
      <c r="N143" s="41">
        <f t="shared" si="242"/>
        <v>196.8385156375023</v>
      </c>
      <c r="O143" s="41">
        <f t="shared" si="243"/>
        <v>2012549.5282418809</v>
      </c>
      <c r="P143" s="41">
        <f t="shared" si="244"/>
        <v>12921982.158001004</v>
      </c>
      <c r="Q143" s="41">
        <f t="shared" si="245"/>
        <v>2.8142593213275591E-3</v>
      </c>
      <c r="R143" s="41">
        <f t="shared" si="246"/>
        <v>1.9061063126224184E-2</v>
      </c>
      <c r="S143" s="24">
        <f t="shared" ca="1" si="247"/>
        <v>2.4079239103919806E-15</v>
      </c>
      <c r="T143" s="10">
        <f t="shared" ca="1" si="248"/>
        <v>0</v>
      </c>
      <c r="U143" s="41">
        <f t="shared" ca="1" si="249"/>
        <v>0.23900783259776334</v>
      </c>
      <c r="V143" s="41">
        <f t="shared" ca="1" si="250"/>
        <v>2.266887478785734E-2</v>
      </c>
      <c r="W143" s="41">
        <f t="shared" ca="1" si="251"/>
        <v>10.543436091754703</v>
      </c>
      <c r="X143" s="20">
        <f t="shared" ca="1" si="252"/>
        <v>1026.2847628152749</v>
      </c>
      <c r="Y143" s="41">
        <f t="shared" si="253"/>
        <v>0.54936851317696045</v>
      </c>
      <c r="Z143" s="41">
        <f t="shared" ca="1" si="254"/>
        <v>187.1930707057063</v>
      </c>
      <c r="AA143" s="14">
        <f t="shared" ca="1" si="255"/>
        <v>1026.2847628152749</v>
      </c>
      <c r="AB143" s="14">
        <f t="shared" si="276"/>
        <v>2916.5765113289031</v>
      </c>
      <c r="AC143" s="25">
        <f t="shared" ca="1" si="256"/>
        <v>569457.38580927858</v>
      </c>
      <c r="AD143" s="41">
        <f t="shared" si="257"/>
        <v>1618328.6509078268</v>
      </c>
      <c r="AE143" s="5">
        <f t="shared" ca="1" si="258"/>
        <v>35.187993828684462</v>
      </c>
      <c r="AF143" s="7">
        <f t="shared" ca="1" si="259"/>
        <v>1026.2847628152749</v>
      </c>
      <c r="AG143" s="41">
        <f t="shared" ca="1" si="260"/>
        <v>1890.2917485136281</v>
      </c>
      <c r="AH143" s="41">
        <f t="shared" ca="1" si="261"/>
        <v>1048871.2650985483</v>
      </c>
      <c r="AI143" s="41">
        <f t="shared" ca="1" si="262"/>
        <v>814.28273937448364</v>
      </c>
      <c r="AJ143" s="13">
        <f t="shared" ca="1" si="263"/>
        <v>0</v>
      </c>
      <c r="AK143" s="11"/>
      <c r="AL143" s="6">
        <v>0</v>
      </c>
      <c r="AM143" s="41">
        <f t="shared" si="264"/>
        <v>0</v>
      </c>
      <c r="AN143" s="41">
        <f t="shared" ca="1" si="265"/>
        <v>0</v>
      </c>
      <c r="AO143" s="6">
        <v>0</v>
      </c>
      <c r="AP143" s="67">
        <f t="shared" si="279"/>
        <v>0.7934276809691363</v>
      </c>
      <c r="AQ143" s="11">
        <f t="shared" si="266"/>
        <v>0.92829992071837586</v>
      </c>
      <c r="AR143" s="11">
        <f t="shared" si="267"/>
        <v>0.49937958210548988</v>
      </c>
      <c r="AS143" s="11">
        <f t="shared" si="268"/>
        <v>0.53795068916847377</v>
      </c>
      <c r="AT143" s="11">
        <f t="shared" si="269"/>
        <v>481.48131987899995</v>
      </c>
      <c r="AU143" s="11">
        <f t="shared" si="270"/>
        <v>1056.7970592432796</v>
      </c>
      <c r="AV143" s="11">
        <f t="shared" si="271"/>
        <v>1.2786549930845453E-3</v>
      </c>
      <c r="AW143" s="11">
        <f t="shared" si="272"/>
        <v>3.5253330369939681E-7</v>
      </c>
      <c r="AX143" s="41">
        <f t="shared" ca="1" si="273"/>
        <v>2.5052156426017569</v>
      </c>
      <c r="AY143" s="41">
        <f t="shared" ca="1" si="274"/>
        <v>3.3745752430807774</v>
      </c>
      <c r="AZ143" s="41">
        <f t="shared" si="275"/>
        <v>0.35430464035867143</v>
      </c>
    </row>
    <row r="144" spans="1:52" ht="14.5">
      <c r="B144" s="135">
        <f ca="1">B143-B73</f>
        <v>164.25696120547738</v>
      </c>
      <c r="X144" s="32">
        <f ca="1">AVERAGE(X73:X143)</f>
        <v>1063.2015050853367</v>
      </c>
      <c r="AC144" s="3"/>
      <c r="AD144" s="3"/>
      <c r="AN144" s="32">
        <f ca="1">SUM(AN73:AN143)</f>
        <v>2310.5258669570849</v>
      </c>
      <c r="AP144" s="53"/>
    </row>
    <row r="145" spans="1:52" ht="14.5">
      <c r="A145" s="67" t="s">
        <v>6</v>
      </c>
      <c r="B145" s="67" t="s">
        <v>22</v>
      </c>
      <c r="C145" s="67">
        <v>0</v>
      </c>
      <c r="D145" s="67" t="s">
        <v>9</v>
      </c>
      <c r="E145" s="53"/>
      <c r="F145" s="53"/>
      <c r="G145" s="53"/>
      <c r="H145" s="53"/>
      <c r="I145" s="53"/>
      <c r="J145" s="53"/>
      <c r="K145" s="53"/>
      <c r="L145" s="67" t="s">
        <v>60</v>
      </c>
      <c r="M145" s="53"/>
      <c r="N145" s="53"/>
      <c r="O145" s="53"/>
      <c r="P145" s="53"/>
      <c r="Q145" s="67"/>
      <c r="R145" s="53"/>
      <c r="S145" s="53"/>
      <c r="T145" s="53"/>
      <c r="U145" s="67"/>
      <c r="V145" s="67"/>
      <c r="W145" s="67"/>
      <c r="X145" s="67"/>
      <c r="Y145" s="53"/>
      <c r="Z145" s="53"/>
      <c r="AA145" s="67"/>
      <c r="AB145" s="67"/>
      <c r="AC145" s="53"/>
      <c r="AD145" s="53"/>
      <c r="AE145" s="53"/>
      <c r="AF145" s="67"/>
      <c r="AG145" s="53"/>
      <c r="AH145" s="53"/>
      <c r="AI145" s="53"/>
      <c r="AJ145" s="67" t="s">
        <v>61</v>
      </c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</row>
    <row r="146" spans="1:52" ht="14.5">
      <c r="A146" s="41" t="s">
        <v>2</v>
      </c>
      <c r="B146" s="41" t="s">
        <v>2</v>
      </c>
      <c r="C146" s="41" t="s">
        <v>2</v>
      </c>
      <c r="D146" s="41" t="s">
        <v>23</v>
      </c>
      <c r="E146" s="41" t="s">
        <v>24</v>
      </c>
      <c r="F146" s="41" t="s">
        <v>25</v>
      </c>
      <c r="G146" s="41"/>
      <c r="H146" s="41" t="s">
        <v>0</v>
      </c>
      <c r="I146" s="5" t="s">
        <v>26</v>
      </c>
      <c r="J146" s="41" t="s">
        <v>27</v>
      </c>
      <c r="K146" s="41" t="s">
        <v>28</v>
      </c>
      <c r="L146" s="12" t="s">
        <v>29</v>
      </c>
      <c r="M146" s="13" t="s">
        <v>30</v>
      </c>
      <c r="N146" s="41" t="s">
        <v>31</v>
      </c>
      <c r="O146" s="41" t="s">
        <v>32</v>
      </c>
      <c r="P146" s="41" t="s">
        <v>33</v>
      </c>
      <c r="Q146" s="41" t="s">
        <v>34</v>
      </c>
      <c r="R146" s="41" t="s">
        <v>13</v>
      </c>
      <c r="S146" s="24" t="s">
        <v>35</v>
      </c>
      <c r="T146" s="10" t="s">
        <v>35</v>
      </c>
      <c r="U146" s="41" t="s">
        <v>36</v>
      </c>
      <c r="V146" s="41" t="s">
        <v>37</v>
      </c>
      <c r="W146" s="41" t="s">
        <v>38</v>
      </c>
      <c r="X146" s="41" t="s">
        <v>39</v>
      </c>
      <c r="Y146" s="41" t="s">
        <v>40</v>
      </c>
      <c r="Z146" s="35" t="s">
        <v>108</v>
      </c>
      <c r="AA146" s="35" t="s">
        <v>109</v>
      </c>
      <c r="AB146" s="9" t="s">
        <v>110</v>
      </c>
      <c r="AC146" s="7" t="s">
        <v>111</v>
      </c>
      <c r="AD146" s="7" t="s">
        <v>112</v>
      </c>
      <c r="AE146" s="5" t="s">
        <v>41</v>
      </c>
      <c r="AF146" s="7" t="s">
        <v>113</v>
      </c>
      <c r="AG146" s="7" t="s">
        <v>114</v>
      </c>
      <c r="AH146" s="7" t="s">
        <v>115</v>
      </c>
      <c r="AI146" s="41" t="s">
        <v>42</v>
      </c>
      <c r="AJ146" s="41" t="s">
        <v>43</v>
      </c>
      <c r="AK146" s="36"/>
      <c r="AL146" s="5" t="s">
        <v>44</v>
      </c>
      <c r="AM146" s="41" t="s">
        <v>45</v>
      </c>
      <c r="AN146" s="41" t="s">
        <v>46</v>
      </c>
      <c r="AO146" s="5" t="s">
        <v>47</v>
      </c>
      <c r="AP146" s="53"/>
      <c r="AQ146" s="15" t="s">
        <v>62</v>
      </c>
      <c r="AR146" s="16" t="s">
        <v>63</v>
      </c>
      <c r="AS146" s="16" t="s">
        <v>64</v>
      </c>
      <c r="AT146" s="17" t="s">
        <v>65</v>
      </c>
      <c r="AU146" s="18" t="s">
        <v>66</v>
      </c>
      <c r="AV146" s="18" t="s">
        <v>67</v>
      </c>
      <c r="AW146" s="19" t="s">
        <v>68</v>
      </c>
      <c r="AX146" s="7" t="s">
        <v>207</v>
      </c>
      <c r="AY146" s="7" t="s">
        <v>208</v>
      </c>
      <c r="AZ146" s="7" t="s">
        <v>209</v>
      </c>
    </row>
    <row r="147" spans="1:52" ht="14.5">
      <c r="A147" s="41" t="s">
        <v>18</v>
      </c>
      <c r="B147" s="41" t="s">
        <v>21</v>
      </c>
      <c r="C147" s="41" t="s">
        <v>48</v>
      </c>
      <c r="D147" s="41" t="s">
        <v>8</v>
      </c>
      <c r="E147" s="41" t="s">
        <v>49</v>
      </c>
      <c r="F147" s="41" t="s">
        <v>49</v>
      </c>
      <c r="G147" s="41"/>
      <c r="H147" s="41" t="s">
        <v>9</v>
      </c>
      <c r="I147" s="5" t="s">
        <v>50</v>
      </c>
      <c r="J147" s="41"/>
      <c r="K147" s="41" t="s">
        <v>51</v>
      </c>
      <c r="L147" s="5" t="s">
        <v>52</v>
      </c>
      <c r="M147" s="41" t="s">
        <v>52</v>
      </c>
      <c r="N147" s="41" t="s">
        <v>53</v>
      </c>
      <c r="O147" s="41" t="s">
        <v>54</v>
      </c>
      <c r="P147" s="41"/>
      <c r="Q147" s="41"/>
      <c r="R147" s="41"/>
      <c r="S147" s="24" t="s">
        <v>55</v>
      </c>
      <c r="T147" s="10" t="s">
        <v>55</v>
      </c>
      <c r="U147" s="41"/>
      <c r="V147" s="41"/>
      <c r="W147" s="41"/>
      <c r="X147" s="41"/>
      <c r="Y147" s="41"/>
      <c r="Z147" s="41"/>
      <c r="AA147" s="9" t="s">
        <v>118</v>
      </c>
      <c r="AB147" s="9" t="s">
        <v>118</v>
      </c>
      <c r="AC147" s="7" t="s">
        <v>119</v>
      </c>
      <c r="AD147" s="7" t="s">
        <v>119</v>
      </c>
      <c r="AE147" s="5" t="s">
        <v>20</v>
      </c>
      <c r="AF147" s="7" t="s">
        <v>118</v>
      </c>
      <c r="AG147" s="7" t="s">
        <v>118</v>
      </c>
      <c r="AH147" s="7" t="s">
        <v>119</v>
      </c>
      <c r="AI147" s="41" t="s">
        <v>56</v>
      </c>
      <c r="AJ147" s="41" t="s">
        <v>57</v>
      </c>
      <c r="AK147" s="11"/>
      <c r="AL147" s="5" t="s">
        <v>9</v>
      </c>
      <c r="AM147" s="41" t="s">
        <v>18</v>
      </c>
      <c r="AN147" s="41" t="s">
        <v>8</v>
      </c>
      <c r="AO147" s="5" t="s">
        <v>49</v>
      </c>
      <c r="AP147" s="53"/>
      <c r="AQ147" s="11"/>
      <c r="AR147" s="11"/>
      <c r="AS147" s="11"/>
      <c r="AT147" s="11"/>
      <c r="AU147" s="11"/>
      <c r="AV147" s="11"/>
      <c r="AW147" s="11"/>
      <c r="AX147" s="41"/>
      <c r="AY147" s="41"/>
      <c r="AZ147" s="41"/>
    </row>
    <row r="148" spans="1:52" ht="14.5">
      <c r="A148" s="41">
        <f ca="1">A143</f>
        <v>10090.277820694135</v>
      </c>
      <c r="B148" s="41">
        <f t="shared" ref="B148:B149" ca="1" si="280">A148/60</f>
        <v>168.17129701156892</v>
      </c>
      <c r="C148" s="41">
        <f t="shared" ref="C148:C149" ca="1" si="281">B148/60</f>
        <v>2.8028549501928155</v>
      </c>
      <c r="D148" s="41">
        <f t="shared" ref="D148:E148" ca="1" si="282">D143</f>
        <v>10820.567808684485</v>
      </c>
      <c r="E148" s="7">
        <f t="shared" ca="1" si="282"/>
        <v>912.48096089169576</v>
      </c>
      <c r="F148" s="7">
        <v>0</v>
      </c>
      <c r="G148" s="41"/>
      <c r="H148" s="7">
        <f>H143</f>
        <v>18000</v>
      </c>
      <c r="I148" s="6">
        <v>15</v>
      </c>
      <c r="J148" s="41">
        <f t="shared" ref="J148:J149" si="283">SQRT((((((((L148^2)*(0.2))/(661.477)^2) + 1)^(3.5) - 1)*(1/AR148) + 1)^(1/3.5) - 1)*(5))</f>
        <v>0.5158343068733543</v>
      </c>
      <c r="K148" s="41">
        <f t="shared" ref="K148:K149" si="284">SQRT((1.4*2116.22*AR148*(J148)^2)/AV148)</f>
        <v>554.87268879171449</v>
      </c>
      <c r="L148" s="6">
        <f t="shared" ref="L148:L191" si="285">L149+($L$143-$L$193)/45</f>
        <v>244.99999999999972</v>
      </c>
      <c r="M148" s="41">
        <f t="shared" ref="M148:M149" si="286">K148*0.592484</f>
        <v>328.75319014607015</v>
      </c>
      <c r="N148" s="41">
        <f t="shared" ref="N148:N149" si="287">0.5*AV148*K148^2</f>
        <v>196.8385156375023</v>
      </c>
      <c r="O148" s="41">
        <f t="shared" ref="O148:O149" si="288">P148/$B$7</f>
        <v>2012549.5282418809</v>
      </c>
      <c r="P148" s="41">
        <f t="shared" ref="P148:P149" si="289">(AV148*K148*$B$7)/(AW148)</f>
        <v>12921982.158001004</v>
      </c>
      <c r="Q148" s="41">
        <f t="shared" ref="Q148:Q149" si="290">0.455/(LOG10(P148)^2.58 * (1+0.144*J148*J148)^0.65)</f>
        <v>2.8142593213275591E-3</v>
      </c>
      <c r="R148" s="41">
        <f t="shared" ref="R148:R149" si="291">(((Q148*$B$4)+$B$17)+(0.1*(Q148*$B$4)))</f>
        <v>1.9061063126224184E-2</v>
      </c>
      <c r="S148" s="24">
        <f ca="1">T148</f>
        <v>-4.6615139222734996</v>
      </c>
      <c r="T148" s="10">
        <f t="shared" ref="T148:T149" ca="1" si="292">DEGREES(ASIN(((AF148-X148)/(D148))))</f>
        <v>-4.6615139222734996</v>
      </c>
      <c r="U148" s="41">
        <f t="shared" ref="U148:U149" ca="1" si="293">(D148*COS(RADIANS(S148)))/(N148*$B$3)</f>
        <v>0.23821724267820299</v>
      </c>
      <c r="V148" s="41">
        <f t="shared" ref="V148:V149" ca="1" si="294">(X148)/(N148*$B$3)</f>
        <v>2.2645046429737501E-2</v>
      </c>
      <c r="W148" s="41">
        <f t="shared" ref="W148:W149" ca="1" si="295">U148/V148</f>
        <v>10.519618205126568</v>
      </c>
      <c r="X148" s="20">
        <f t="shared" ref="X148:X149" ca="1" si="296">(N148*$B$3*R148)+((N148*$B$3)*((U148^2)/(PI()*$B$6*$B$5)))</f>
        <v>1025.2059849275256</v>
      </c>
      <c r="Y148" s="41">
        <f t="shared" ref="Y148:Y149" si="297">SQRT(PI()*$B$6*$B$5*R148)</f>
        <v>0.54936851317696045</v>
      </c>
      <c r="Z148" s="41">
        <f t="shared" ref="Z148:Z149" ca="1" si="298">SQRT((2*((U148*N148*$B$3)/(D148))*D148)/(AV148*$B$3*$B$18))</f>
        <v>186.8832157133522</v>
      </c>
      <c r="AA148" s="14">
        <f t="shared" ref="AA148:AA149" ca="1" si="299">D148/W148</f>
        <v>1028.608415028908</v>
      </c>
      <c r="AB148" s="14">
        <f t="shared" ref="AB148:AB193" si="300">$B$15*AR148*0.93</f>
        <v>2916.5765113289031</v>
      </c>
      <c r="AC148" s="25">
        <f t="shared" ref="AC148:AC149" ca="1" si="301">AA148*K148</f>
        <v>570746.71696087392</v>
      </c>
      <c r="AD148" s="41">
        <f t="shared" ref="AD148:AD149" si="302">AB148*K148</f>
        <v>1618328.6509078268</v>
      </c>
      <c r="AE148" s="6">
        <v>5</v>
      </c>
      <c r="AF148" s="41">
        <f t="shared" ref="AF148:AF149" si="303">AB148*(AE148/100)</f>
        <v>145.82882556644515</v>
      </c>
      <c r="AG148" s="41">
        <f t="shared" ref="AG148:AG149" ca="1" si="304">AB148-AA148</f>
        <v>1887.9680962999951</v>
      </c>
      <c r="AH148" s="41">
        <f t="shared" ref="AH148:AH149" ca="1" si="305">AD148-AC148</f>
        <v>1047581.9339469529</v>
      </c>
      <c r="AI148" s="41">
        <f t="shared" ref="AI148:AI149" si="306">(AP148*AF148)</f>
        <v>117.81439539909934</v>
      </c>
      <c r="AJ148" s="13">
        <f t="shared" ref="AJ148:AJ149" ca="1" si="307">K148*SIN(RADIANS(T148))</f>
        <v>-45.093970806696923</v>
      </c>
      <c r="AK148" s="11"/>
      <c r="AL148" s="6">
        <v>-400</v>
      </c>
      <c r="AM148" s="41">
        <f t="shared" ref="AM148:AM149" ca="1" si="308">AL148/AJ148</f>
        <v>8.8703654356514523</v>
      </c>
      <c r="AN148" s="41">
        <f t="shared" ref="AN148:AN149" ca="1" si="309">AI148*(AM148/3600)</f>
        <v>0.29029353910287342</v>
      </c>
      <c r="AO148" s="41">
        <f t="shared" ref="AO148:AO149" ca="1" si="310">M148*COS(RADIANS(T148))*(AM148/3600)</f>
        <v>0.80736523886090394</v>
      </c>
      <c r="AP148" s="67">
        <f>0.705 + 0.302*AZ148 + -0.0327*AZ148^2</f>
        <v>0.80789511224184296</v>
      </c>
      <c r="AQ148" s="11">
        <f t="shared" ref="AQ148:AQ149" si="311">IF(H148 &lt;= 36089, ((1 - 6.87535*10^(-6)*H148) + ((I148*1.8)/518.67)), 0.75187 + ((I148*1.8)/518.67))</f>
        <v>0.92829992071837586</v>
      </c>
      <c r="AR148" s="11">
        <f t="shared" ref="AR148:AR149" si="312">IF(H148 &lt;= 36089, (1 - 6.87535*10^(-6)*H148)^5.2561, 0.22336*EXP((36089 - H148)/(20806.7)))</f>
        <v>0.49937958210548988</v>
      </c>
      <c r="AS148" s="11">
        <f t="shared" ref="AS148:AS149" si="313">(AR148/AQ148)</f>
        <v>0.53795068916847377</v>
      </c>
      <c r="AT148" s="11">
        <f t="shared" ref="AT148:AT149" si="314">(518.67*AQ148)</f>
        <v>481.48131987899995</v>
      </c>
      <c r="AU148" s="11">
        <f t="shared" ref="AU148:AU149" si="315">2116.22*AR148</f>
        <v>1056.7970592432796</v>
      </c>
      <c r="AV148" s="11">
        <f t="shared" ref="AV148:AV149" si="316">(0.0023769*AS148)</f>
        <v>1.2786549930845453E-3</v>
      </c>
      <c r="AW148" s="11">
        <f t="shared" ref="AW148:AW149" si="317">((2.2697*10^-8)*(AT148^1.5))/(AT148+198.72)</f>
        <v>3.5253330369939681E-7</v>
      </c>
      <c r="AX148" s="41">
        <f t="shared" ref="AX148:AX149" ca="1" si="318">(1/U148)*(((1 + 0.2*(U148)^2)/1.2)^3)</f>
        <v>2.5129673672845168</v>
      </c>
      <c r="AY148" s="41">
        <f t="shared" ref="AY148:AY149" ca="1" si="319">($H$4/$H$3)*AX148</f>
        <v>3.3850169702362303</v>
      </c>
      <c r="AZ148" s="41">
        <f t="shared" ref="AZ148:AZ149" si="320">-6.6*10^(-3) + 0.825*J148 - 0.243*(J148^2)</f>
        <v>0.35430464035867143</v>
      </c>
    </row>
    <row r="149" spans="1:52" ht="14.5">
      <c r="A149" s="41">
        <f t="shared" ref="A149" ca="1" si="321">A148+AM148</f>
        <v>10099.148186129787</v>
      </c>
      <c r="B149" s="41">
        <f t="shared" ca="1" si="280"/>
        <v>168.31913643549646</v>
      </c>
      <c r="C149" s="41">
        <f t="shared" ca="1" si="281"/>
        <v>2.8053189405916075</v>
      </c>
      <c r="D149" s="41">
        <f t="shared" ref="D149" ca="1" si="322">D148-AN148</f>
        <v>10820.277515145382</v>
      </c>
      <c r="E149" s="41">
        <f t="shared" ref="E149" ca="1" si="323">E148+AO148</f>
        <v>913.2883261305567</v>
      </c>
      <c r="F149" s="41">
        <f t="shared" ref="F149" ca="1" si="324">F148+AO148</f>
        <v>0.80736523886090394</v>
      </c>
      <c r="G149" s="41"/>
      <c r="H149" s="7">
        <f t="shared" ref="H149" si="325">H148+AL148</f>
        <v>17600</v>
      </c>
      <c r="I149" s="6">
        <v>15</v>
      </c>
      <c r="J149" s="41">
        <f t="shared" si="283"/>
        <v>0.5052063490541524</v>
      </c>
      <c r="K149" s="41">
        <f t="shared" si="284"/>
        <v>544.24479711743629</v>
      </c>
      <c r="L149" s="6">
        <f t="shared" si="285"/>
        <v>241.72222222222194</v>
      </c>
      <c r="M149" s="41">
        <f t="shared" si="286"/>
        <v>322.45633437532712</v>
      </c>
      <c r="N149" s="41">
        <f t="shared" si="287"/>
        <v>191.94658212380401</v>
      </c>
      <c r="O149" s="41">
        <f t="shared" si="288"/>
        <v>1996175.1551720414</v>
      </c>
      <c r="P149" s="41">
        <f t="shared" si="289"/>
        <v>12816847.176879939</v>
      </c>
      <c r="Q149" s="41">
        <f t="shared" si="290"/>
        <v>2.8206450119203203E-3</v>
      </c>
      <c r="R149" s="41">
        <f t="shared" si="291"/>
        <v>1.9097506455713273E-2</v>
      </c>
      <c r="S149" s="24">
        <f t="shared" ref="S149" ca="1" si="326">T149</f>
        <v>-4.5655477224281746</v>
      </c>
      <c r="T149" s="10">
        <f t="shared" ca="1" si="292"/>
        <v>-4.5655477224281746</v>
      </c>
      <c r="U149" s="41">
        <f t="shared" ca="1" si="293"/>
        <v>0.24431489162311121</v>
      </c>
      <c r="V149" s="41">
        <f t="shared" ca="1" si="294"/>
        <v>2.2867316516697954E-2</v>
      </c>
      <c r="W149" s="41">
        <f t="shared" ca="1" si="295"/>
        <v>10.684021076312558</v>
      </c>
      <c r="X149" s="20">
        <f t="shared" ca="1" si="296"/>
        <v>1009.5397469763783</v>
      </c>
      <c r="Y149" s="41">
        <f t="shared" si="297"/>
        <v>0.5498934381815157</v>
      </c>
      <c r="Z149" s="41">
        <f t="shared" ca="1" si="298"/>
        <v>185.63489134327713</v>
      </c>
      <c r="AA149" s="14">
        <f t="shared" ca="1" si="299"/>
        <v>1012.7532918420497</v>
      </c>
      <c r="AB149" s="14">
        <f t="shared" si="300"/>
        <v>2965.0124511703848</v>
      </c>
      <c r="AC149" s="25">
        <f t="shared" ca="1" si="301"/>
        <v>551185.70984859206</v>
      </c>
      <c r="AD149" s="41">
        <f t="shared" si="302"/>
        <v>1613692.5999378986</v>
      </c>
      <c r="AE149" s="6">
        <v>5</v>
      </c>
      <c r="AF149" s="41">
        <f t="shared" si="303"/>
        <v>148.25062255851924</v>
      </c>
      <c r="AG149" s="41">
        <f t="shared" ca="1" si="304"/>
        <v>1952.259159328335</v>
      </c>
      <c r="AH149" s="41">
        <f t="shared" ca="1" si="305"/>
        <v>1062506.8900893065</v>
      </c>
      <c r="AI149" s="41">
        <f t="shared" si="306"/>
        <v>119.51733161140196</v>
      </c>
      <c r="AJ149" s="13">
        <f t="shared" ca="1" si="307"/>
        <v>-43.321636078384252</v>
      </c>
      <c r="AK149" s="11"/>
      <c r="AL149" s="6">
        <v>-400</v>
      </c>
      <c r="AM149" s="41">
        <f t="shared" ca="1" si="308"/>
        <v>9.2332616265059269</v>
      </c>
      <c r="AN149" s="41">
        <f t="shared" ca="1" si="309"/>
        <v>0.30653744213053929</v>
      </c>
      <c r="AO149" s="41">
        <f t="shared" ca="1" si="310"/>
        <v>0.82441011639943429</v>
      </c>
      <c r="AP149" s="67">
        <f t="shared" ref="AP149:AP193" si="327">0.705 + 0.302*AZ149 + -0.0327*AZ149^2</f>
        <v>0.80618434883283319</v>
      </c>
      <c r="AQ149" s="11">
        <f t="shared" si="311"/>
        <v>0.93105006071837593</v>
      </c>
      <c r="AR149" s="11">
        <f t="shared" si="312"/>
        <v>0.50767283938949126</v>
      </c>
      <c r="AS149" s="11">
        <f t="shared" si="313"/>
        <v>0.54526911152100999</v>
      </c>
      <c r="AT149" s="11">
        <f t="shared" si="314"/>
        <v>482.90773499279999</v>
      </c>
      <c r="AU149" s="11">
        <f t="shared" si="315"/>
        <v>1074.3474161728291</v>
      </c>
      <c r="AV149" s="11">
        <f t="shared" si="316"/>
        <v>1.2960501511742886E-3</v>
      </c>
      <c r="AW149" s="11">
        <f t="shared" si="317"/>
        <v>3.5336004946874555E-7</v>
      </c>
      <c r="AX149" s="41">
        <f t="shared" ca="1" si="318"/>
        <v>2.4545279208257771</v>
      </c>
      <c r="AY149" s="41">
        <f t="shared" ca="1" si="319"/>
        <v>3.3062978748077025</v>
      </c>
      <c r="AZ149" s="41">
        <f t="shared" si="320"/>
        <v>0.34817350837439159</v>
      </c>
    </row>
    <row r="150" spans="1:52" ht="14.5">
      <c r="A150" s="41">
        <f t="shared" ref="A150:A193" ca="1" si="328">A149+AM149</f>
        <v>10108.381447756294</v>
      </c>
      <c r="B150" s="41">
        <f t="shared" ref="B150:B193" ca="1" si="329">A150/60</f>
        <v>168.47302412927155</v>
      </c>
      <c r="C150" s="41">
        <f t="shared" ref="C150:C193" ca="1" si="330">B150/60</f>
        <v>2.807883735487859</v>
      </c>
      <c r="D150" s="41">
        <f t="shared" ref="D150:D193" ca="1" si="331">D149-AN149</f>
        <v>10819.970977703251</v>
      </c>
      <c r="E150" s="41">
        <f t="shared" ref="E150:E193" ca="1" si="332">E149+AO149</f>
        <v>914.11273624695616</v>
      </c>
      <c r="F150" s="41">
        <f t="shared" ref="F150:F193" ca="1" si="333">F149+AO149</f>
        <v>1.6317753552603382</v>
      </c>
      <c r="G150" s="41"/>
      <c r="H150" s="7">
        <f t="shared" ref="H150:H193" si="334">H149+AL149</f>
        <v>17200</v>
      </c>
      <c r="I150" s="6">
        <v>15</v>
      </c>
      <c r="J150" s="41">
        <f t="shared" ref="J150:J193" si="335">SQRT((((((((L150^2)*(0.2))/(661.477)^2) + 1)^(3.5) - 1)*(1/AR150) + 1)^(1/3.5) - 1)*(5))</f>
        <v>0.49470124729170695</v>
      </c>
      <c r="K150" s="41">
        <f t="shared" ref="K150:K193" si="336">SQRT((1.4*2116.22*AR150*(J150)^2)/AV150)</f>
        <v>533.71444430889392</v>
      </c>
      <c r="L150" s="6">
        <f t="shared" si="285"/>
        <v>238.44444444444417</v>
      </c>
      <c r="M150" s="41">
        <f t="shared" ref="M150:M193" si="337">K150*0.592484</f>
        <v>316.21726882191069</v>
      </c>
      <c r="N150" s="41">
        <f t="shared" ref="N150:N193" si="338">0.5*AV150*K150^2</f>
        <v>187.09388646436949</v>
      </c>
      <c r="O150" s="41">
        <f t="shared" ref="O150:O193" si="339">P150/$B$7</f>
        <v>1979473.4196786918</v>
      </c>
      <c r="P150" s="41">
        <f t="shared" ref="P150:P193" si="340">(AV150*K150*$B$7)/(AW150)</f>
        <v>12709610.298967548</v>
      </c>
      <c r="Q150" s="41">
        <f t="shared" ref="Q150:Q193" si="341">0.455/(LOG10(P150)^2.58 * (1+0.144*J150*J150)^0.65)</f>
        <v>2.8270661102591551E-3</v>
      </c>
      <c r="R150" s="41">
        <f t="shared" ref="R150:R193" si="342">(((Q150*$B$4)+$B$17)+(0.1*(Q150*$B$4)))</f>
        <v>1.9134151858280889E-2</v>
      </c>
      <c r="S150" s="24">
        <f t="shared" ref="S150:S193" ca="1" si="343">T150</f>
        <v>-4.470908778859414</v>
      </c>
      <c r="T150" s="10">
        <f t="shared" ref="T150:T193" ca="1" si="344">DEGREES(ASIN(((AF150-X150)/(D150))))</f>
        <v>-4.470908778859414</v>
      </c>
      <c r="U150" s="41">
        <f t="shared" ref="U150:U193" ca="1" si="345">(D150*COS(RADIANS(S150)))/(N150*$B$3)</f>
        <v>0.25067735783488493</v>
      </c>
      <c r="V150" s="41">
        <f t="shared" ref="V150:V193" ca="1" si="346">(X150)/(N150*$B$3)</f>
        <v>2.3102865901746622E-2</v>
      </c>
      <c r="W150" s="41">
        <f t="shared" ref="W150:W193" ca="1" si="347">U150/V150</f>
        <v>10.850487506657485</v>
      </c>
      <c r="X150" s="20">
        <f t="shared" ref="X150:X193" ca="1" si="348">(N150*$B$3*R150)+((N150*$B$3)*((U150^2)/(PI()*$B$6*$B$5)))</f>
        <v>994.15314310527526</v>
      </c>
      <c r="Y150" s="41">
        <f t="shared" ref="Y150:Y193" si="349">SQRT(PI()*$B$6*$B$5*R150)</f>
        <v>0.55042076903915926</v>
      </c>
      <c r="Z150" s="41">
        <f t="shared" ref="Z150:Z193" ca="1" si="350">SQRT((2*((U150*N150*$B$3)/(D150))*D150)/(AV150*$B$3*$B$18))</f>
        <v>184.39827902539889</v>
      </c>
      <c r="AA150" s="14">
        <f t="shared" ref="AA150:AA193" ca="1" si="351">D150/W150</f>
        <v>997.18754305412449</v>
      </c>
      <c r="AB150" s="14">
        <f t="shared" si="300"/>
        <v>3014.0976866857582</v>
      </c>
      <c r="AC150" s="25">
        <f t="shared" ref="AC150:AC193" ca="1" si="352">AA150*K150</f>
        <v>532213.39541288326</v>
      </c>
      <c r="AD150" s="41">
        <f t="shared" ref="AD150:AD193" si="353">AB150*K150</f>
        <v>1608667.471942212</v>
      </c>
      <c r="AE150" s="6">
        <v>5</v>
      </c>
      <c r="AF150" s="41">
        <f t="shared" ref="AF150:AF193" si="354">AB150*(AE150/100)</f>
        <v>150.70488433428793</v>
      </c>
      <c r="AG150" s="41">
        <f t="shared" ref="AG150:AG193" ca="1" si="355">AB150-AA150</f>
        <v>2016.9101436316337</v>
      </c>
      <c r="AH150" s="41">
        <f t="shared" ref="AH150:AH193" ca="1" si="356">AD150-AC150</f>
        <v>1076454.0765293287</v>
      </c>
      <c r="AI150" s="41">
        <f t="shared" ref="AI150:AI193" si="357">(AP150*AF150)</f>
        <v>121.23844146826409</v>
      </c>
      <c r="AJ150" s="13">
        <f t="shared" ref="AJ150:AJ193" ca="1" si="358">K150*SIN(RADIANS(T150))</f>
        <v>-41.604595766560628</v>
      </c>
      <c r="AK150" s="11"/>
      <c r="AL150" s="6">
        <v>-400</v>
      </c>
      <c r="AM150" s="41">
        <f t="shared" ref="AM150:AM193" ca="1" si="359">AL150/AJ150</f>
        <v>9.6143224715933169</v>
      </c>
      <c r="AN150" s="41">
        <f t="shared" ref="AN150:AN193" ca="1" si="360">AI150*(AM150/3600)</f>
        <v>0.3237848533970229</v>
      </c>
      <c r="AO150" s="41">
        <f t="shared" ref="AO150:AO193" ca="1" si="361">M150*COS(RADIANS(T150))*(AM150/3600)</f>
        <v>0.84193431866508539</v>
      </c>
      <c r="AP150" s="67">
        <f t="shared" si="327"/>
        <v>0.80447586024708739</v>
      </c>
      <c r="AQ150" s="11">
        <f t="shared" ref="AQ150:AQ193" si="362">IF(H150 &lt;= 36089, ((1 - 6.87535*10^(-6)*H150) + ((I150*1.8)/518.67)), 0.75187 + ((I150*1.8)/518.67))</f>
        <v>0.93380020071837588</v>
      </c>
      <c r="AR150" s="11">
        <f t="shared" ref="AR150:AR193" si="363">IF(H150 &lt;= 36089, (1 - 6.87535*10^(-6)*H150)^5.2561, 0.22336*EXP((36089 - H150)/(20806.7)))</f>
        <v>0.5160772698249706</v>
      </c>
      <c r="AS150" s="11">
        <f t="shared" ref="AS150:AS193" si="364">(AR150/AQ150)</f>
        <v>0.55266348136137744</v>
      </c>
      <c r="AT150" s="11">
        <f t="shared" ref="AT150:AT193" si="365">(518.67*AQ150)</f>
        <v>484.33415010659996</v>
      </c>
      <c r="AU150" s="11">
        <f t="shared" ref="AU150:AU193" si="366">2116.22*AR150</f>
        <v>1092.1330399489991</v>
      </c>
      <c r="AV150" s="11">
        <f t="shared" ref="AV150:AV193" si="367">(0.0023769*AS150)</f>
        <v>1.3136258288478581E-3</v>
      </c>
      <c r="AW150" s="11">
        <f t="shared" ref="AW150:AW193" si="368">((2.2697*10^-8)*(AT150^1.5))/(AT150+198.72)</f>
        <v>3.5418564973059727E-7</v>
      </c>
      <c r="AX150" s="41">
        <f t="shared" ref="AX150:AX193" ca="1" si="369">(1/U150)*(((1 + 0.2*(U150)^2)/1.2)^3)</f>
        <v>2.3966991752688598</v>
      </c>
      <c r="AY150" s="41">
        <f t="shared" ref="AY150:AY193" ca="1" si="370">($H$4/$H$3)*AX150</f>
        <v>3.2284014056270602</v>
      </c>
      <c r="AZ150" s="41">
        <f t="shared" ref="AZ150:AZ193" si="371">-6.6*10^(-3) + 0.825*J150 - 0.243*(J150^2)</f>
        <v>0.34205930326616935</v>
      </c>
    </row>
    <row r="151" spans="1:52" ht="14.5">
      <c r="A151" s="41">
        <f t="shared" ca="1" si="328"/>
        <v>10117.995770227886</v>
      </c>
      <c r="B151" s="41">
        <f t="shared" ca="1" si="329"/>
        <v>168.63326283713144</v>
      </c>
      <c r="C151" s="41">
        <f t="shared" ca="1" si="330"/>
        <v>2.8105543806188575</v>
      </c>
      <c r="D151" s="41">
        <f t="shared" ca="1" si="331"/>
        <v>10819.647192849854</v>
      </c>
      <c r="E151" s="41">
        <f t="shared" ca="1" si="332"/>
        <v>914.9546705656212</v>
      </c>
      <c r="F151" s="41">
        <f t="shared" ca="1" si="333"/>
        <v>2.4737096739254234</v>
      </c>
      <c r="G151" s="41"/>
      <c r="H151" s="7">
        <f t="shared" si="334"/>
        <v>16800</v>
      </c>
      <c r="I151" s="6">
        <v>15</v>
      </c>
      <c r="J151" s="41">
        <f t="shared" si="335"/>
        <v>0.48431840674126669</v>
      </c>
      <c r="K151" s="41">
        <f t="shared" si="336"/>
        <v>523.28165271379726</v>
      </c>
      <c r="L151" s="6">
        <f t="shared" si="285"/>
        <v>235.1666666666664</v>
      </c>
      <c r="M151" s="41">
        <f t="shared" si="337"/>
        <v>310.03600672648145</v>
      </c>
      <c r="N151" s="41">
        <f t="shared" si="338"/>
        <v>182.28214550904912</v>
      </c>
      <c r="O151" s="41">
        <f t="shared" si="339"/>
        <v>1962446.8376797591</v>
      </c>
      <c r="P151" s="41">
        <f t="shared" si="340"/>
        <v>12600287.678224817</v>
      </c>
      <c r="Q151" s="41">
        <f t="shared" si="341"/>
        <v>2.8335265245151772E-3</v>
      </c>
      <c r="R151" s="41">
        <f t="shared" si="342"/>
        <v>1.9171021637977875E-2</v>
      </c>
      <c r="S151" s="24">
        <f t="shared" ca="1" si="343"/>
        <v>-4.3776940556986847</v>
      </c>
      <c r="T151" s="10">
        <f t="shared" ca="1" si="344"/>
        <v>-4.3776940556986847</v>
      </c>
      <c r="U151" s="41">
        <f t="shared" ca="1" si="345"/>
        <v>0.25731923111862787</v>
      </c>
      <c r="V151" s="41">
        <f t="shared" ca="1" si="346"/>
        <v>2.3352829559297596E-2</v>
      </c>
      <c r="W151" s="41">
        <f t="shared" ca="1" si="347"/>
        <v>11.018760294774639</v>
      </c>
      <c r="X151" s="20">
        <f t="shared" ca="1" si="348"/>
        <v>979.06489142845874</v>
      </c>
      <c r="Y151" s="41">
        <f t="shared" si="349"/>
        <v>0.55095081933689738</v>
      </c>
      <c r="Z151" s="41">
        <f t="shared" ca="1" si="350"/>
        <v>183.17322126419984</v>
      </c>
      <c r="AA151" s="14">
        <f t="shared" ca="1" si="351"/>
        <v>981.92962759892248</v>
      </c>
      <c r="AB151" s="14">
        <f t="shared" si="300"/>
        <v>3063.8388559125397</v>
      </c>
      <c r="AC151" s="25">
        <f t="shared" ca="1" si="352"/>
        <v>513825.75837860763</v>
      </c>
      <c r="AD151" s="41">
        <f t="shared" si="353"/>
        <v>1603250.6601706634</v>
      </c>
      <c r="AE151" s="6">
        <v>5</v>
      </c>
      <c r="AF151" s="41">
        <f t="shared" si="354"/>
        <v>153.191942795627</v>
      </c>
      <c r="AG151" s="41">
        <f t="shared" ca="1" si="355"/>
        <v>2081.9092283136169</v>
      </c>
      <c r="AH151" s="41">
        <f t="shared" ca="1" si="356"/>
        <v>1089424.9017920557</v>
      </c>
      <c r="AI151" s="41">
        <f t="shared" si="357"/>
        <v>122.97791054920883</v>
      </c>
      <c r="AJ151" s="13">
        <f t="shared" ca="1" si="358"/>
        <v>-39.942537292509876</v>
      </c>
      <c r="AK151" s="11"/>
      <c r="AL151" s="6">
        <v>-400</v>
      </c>
      <c r="AM151" s="41">
        <f t="shared" ca="1" si="359"/>
        <v>10.014386343829214</v>
      </c>
      <c r="AN151" s="41">
        <f t="shared" ca="1" si="360"/>
        <v>0.34209675222129099</v>
      </c>
      <c r="AO151" s="41">
        <f t="shared" ca="1" si="361"/>
        <v>0.85993393780076277</v>
      </c>
      <c r="AP151" s="67">
        <f t="shared" si="327"/>
        <v>0.80277009550870027</v>
      </c>
      <c r="AQ151" s="11">
        <f t="shared" si="362"/>
        <v>0.93655034071837595</v>
      </c>
      <c r="AR151" s="11">
        <f t="shared" si="363"/>
        <v>0.52459400998434003</v>
      </c>
      <c r="AS151" s="11">
        <f t="shared" si="364"/>
        <v>0.5601343432131507</v>
      </c>
      <c r="AT151" s="11">
        <f t="shared" si="365"/>
        <v>485.7605652204</v>
      </c>
      <c r="AU151" s="11">
        <f t="shared" si="366"/>
        <v>1110.15633580906</v>
      </c>
      <c r="AV151" s="11">
        <f t="shared" si="367"/>
        <v>1.3313833203833379E-3</v>
      </c>
      <c r="AW151" s="11">
        <f t="shared" si="368"/>
        <v>3.5501010825316673E-7</v>
      </c>
      <c r="AX151" s="41">
        <f t="shared" ca="1" si="369"/>
        <v>2.3395072036449225</v>
      </c>
      <c r="AY151" s="41">
        <f t="shared" ca="1" si="370"/>
        <v>3.1513626835852797</v>
      </c>
      <c r="AZ151" s="41">
        <f t="shared" si="371"/>
        <v>0.33596355601820405</v>
      </c>
    </row>
    <row r="152" spans="1:52" ht="14.5">
      <c r="A152" s="41">
        <f t="shared" ca="1" si="328"/>
        <v>10128.010156571716</v>
      </c>
      <c r="B152" s="41">
        <f t="shared" ca="1" si="329"/>
        <v>168.80016927619528</v>
      </c>
      <c r="C152" s="41">
        <f t="shared" ca="1" si="330"/>
        <v>2.8133361546032547</v>
      </c>
      <c r="D152" s="41">
        <f t="shared" ca="1" si="331"/>
        <v>10819.305096097632</v>
      </c>
      <c r="E152" s="41">
        <f t="shared" ca="1" si="332"/>
        <v>915.81460450342195</v>
      </c>
      <c r="F152" s="41">
        <f t="shared" ca="1" si="333"/>
        <v>3.3336436117261861</v>
      </c>
      <c r="G152" s="41"/>
      <c r="H152" s="7">
        <f t="shared" si="334"/>
        <v>16400</v>
      </c>
      <c r="I152" s="6">
        <v>15</v>
      </c>
      <c r="J152" s="41">
        <f t="shared" si="335"/>
        <v>0.47405720087032743</v>
      </c>
      <c r="K152" s="41">
        <f t="shared" si="336"/>
        <v>512.94640442697369</v>
      </c>
      <c r="L152" s="6">
        <f t="shared" si="285"/>
        <v>231.88888888888863</v>
      </c>
      <c r="M152" s="41">
        <f t="shared" si="337"/>
        <v>303.91253748051111</v>
      </c>
      <c r="N152" s="41">
        <f t="shared" si="338"/>
        <v>177.51301694908722</v>
      </c>
      <c r="O152" s="41">
        <f t="shared" si="339"/>
        <v>1945097.9021308885</v>
      </c>
      <c r="P152" s="41">
        <f t="shared" si="340"/>
        <v>12488895.321178749</v>
      </c>
      <c r="Q152" s="41">
        <f t="shared" si="341"/>
        <v>2.8400303017943533E-3</v>
      </c>
      <c r="R152" s="41">
        <f t="shared" si="342"/>
        <v>1.9208138891760471E-2</v>
      </c>
      <c r="S152" s="24">
        <f t="shared" ca="1" si="343"/>
        <v>-4.2860028640812509</v>
      </c>
      <c r="T152" s="10">
        <f t="shared" ca="1" si="344"/>
        <v>-4.2860028640812509</v>
      </c>
      <c r="U152" s="41">
        <f t="shared" ca="1" si="345"/>
        <v>0.26425613952931093</v>
      </c>
      <c r="V152" s="41">
        <f t="shared" ca="1" si="346"/>
        <v>2.3618455453669796E-2</v>
      </c>
      <c r="W152" s="41">
        <f t="shared" ca="1" si="347"/>
        <v>11.188544485801728</v>
      </c>
      <c r="X152" s="20">
        <f t="shared" ca="1" si="348"/>
        <v>964.29415514946595</v>
      </c>
      <c r="Y152" s="41">
        <f t="shared" si="349"/>
        <v>0.55148391280135711</v>
      </c>
      <c r="Z152" s="41">
        <f t="shared" ca="1" si="350"/>
        <v>181.95956320370891</v>
      </c>
      <c r="AA152" s="14">
        <f t="shared" ca="1" si="351"/>
        <v>966.99844290089197</v>
      </c>
      <c r="AB152" s="14">
        <f t="shared" si="300"/>
        <v>3114.242643762911</v>
      </c>
      <c r="AC152" s="25">
        <f t="shared" ca="1" si="352"/>
        <v>496018.37437249476</v>
      </c>
      <c r="AD152" s="41">
        <f t="shared" si="353"/>
        <v>1597439.5666313379</v>
      </c>
      <c r="AE152" s="6">
        <v>5</v>
      </c>
      <c r="AF152" s="41">
        <f t="shared" si="354"/>
        <v>155.71213218814557</v>
      </c>
      <c r="AG152" s="41">
        <f t="shared" ca="1" si="355"/>
        <v>2147.2442008620192</v>
      </c>
      <c r="AH152" s="41">
        <f t="shared" ca="1" si="356"/>
        <v>1101421.1922588432</v>
      </c>
      <c r="AI152" s="41">
        <f t="shared" si="357"/>
        <v>124.73592708724186</v>
      </c>
      <c r="AJ152" s="13">
        <f t="shared" ca="1" si="358"/>
        <v>-38.335109110833336</v>
      </c>
      <c r="AK152" s="11"/>
      <c r="AL152" s="6">
        <v>-400</v>
      </c>
      <c r="AM152" s="41">
        <f t="shared" ca="1" si="359"/>
        <v>10.434299243639344</v>
      </c>
      <c r="AN152" s="41">
        <f t="shared" ca="1" si="360"/>
        <v>0.36153666379473898</v>
      </c>
      <c r="AO152" s="41">
        <f t="shared" ca="1" si="361"/>
        <v>0.87840169095591969</v>
      </c>
      <c r="AP152" s="67">
        <f t="shared" si="327"/>
        <v>0.80106749123777043</v>
      </c>
      <c r="AQ152" s="11">
        <f t="shared" si="362"/>
        <v>0.93930048071837591</v>
      </c>
      <c r="AR152" s="11">
        <f t="shared" si="363"/>
        <v>0.53322420446594598</v>
      </c>
      <c r="AS152" s="11">
        <f t="shared" si="364"/>
        <v>0.56768224376733711</v>
      </c>
      <c r="AT152" s="11">
        <f t="shared" si="365"/>
        <v>487.18698033419997</v>
      </c>
      <c r="AU152" s="11">
        <f t="shared" si="366"/>
        <v>1128.4197259749242</v>
      </c>
      <c r="AV152" s="11">
        <f t="shared" si="367"/>
        <v>1.3493239252105836E-3</v>
      </c>
      <c r="AW152" s="11">
        <f t="shared" si="368"/>
        <v>3.5583342878824671E-7</v>
      </c>
      <c r="AX152" s="41">
        <f t="shared" ca="1" si="369"/>
        <v>2.2829778058074068</v>
      </c>
      <c r="AY152" s="41">
        <f t="shared" ca="1" si="370"/>
        <v>3.075216461597527</v>
      </c>
      <c r="AZ152" s="41">
        <f t="shared" si="371"/>
        <v>0.32988774490164668</v>
      </c>
    </row>
    <row r="153" spans="1:52" ht="14.5">
      <c r="A153" s="41">
        <f t="shared" ca="1" si="328"/>
        <v>10138.444455815355</v>
      </c>
      <c r="B153" s="41">
        <f t="shared" ca="1" si="329"/>
        <v>168.97407426358924</v>
      </c>
      <c r="C153" s="41">
        <f t="shared" ca="1" si="330"/>
        <v>2.8162345710598209</v>
      </c>
      <c r="D153" s="41">
        <f t="shared" ca="1" si="331"/>
        <v>10818.943559433837</v>
      </c>
      <c r="E153" s="41">
        <f t="shared" ca="1" si="332"/>
        <v>916.69300619437786</v>
      </c>
      <c r="F153" s="41">
        <f t="shared" ca="1" si="333"/>
        <v>4.2120453026821059</v>
      </c>
      <c r="G153" s="41"/>
      <c r="H153" s="7">
        <f t="shared" si="334"/>
        <v>16000</v>
      </c>
      <c r="I153" s="6">
        <v>15</v>
      </c>
      <c r="J153" s="41">
        <f t="shared" si="335"/>
        <v>0.46391697252572939</v>
      </c>
      <c r="K153" s="41">
        <f t="shared" si="336"/>
        <v>502.70864222666307</v>
      </c>
      <c r="L153" s="6">
        <f t="shared" si="285"/>
        <v>228.61111111111086</v>
      </c>
      <c r="M153" s="41">
        <f t="shared" si="337"/>
        <v>297.84682718102226</v>
      </c>
      <c r="N153" s="41">
        <f t="shared" si="338"/>
        <v>172.78809978154047</v>
      </c>
      <c r="O153" s="41">
        <f t="shared" si="339"/>
        <v>1927429.0796836345</v>
      </c>
      <c r="P153" s="41">
        <f t="shared" si="340"/>
        <v>12375449.065465599</v>
      </c>
      <c r="Q153" s="41">
        <f t="shared" si="341"/>
        <v>2.8465816345602918E-3</v>
      </c>
      <c r="R153" s="41">
        <f t="shared" si="342"/>
        <v>1.9245527546145384E-2</v>
      </c>
      <c r="S153" s="24">
        <f t="shared" ca="1" si="343"/>
        <v>-4.1959371854806626</v>
      </c>
      <c r="T153" s="10">
        <f t="shared" ca="1" si="344"/>
        <v>-4.1959371854806626</v>
      </c>
      <c r="U153" s="41">
        <f t="shared" ca="1" si="345"/>
        <v>0.2715048389994818</v>
      </c>
      <c r="V153" s="41">
        <f t="shared" ca="1" si="346"/>
        <v>2.3901117684826115E-2</v>
      </c>
      <c r="W153" s="41">
        <f t="shared" ca="1" si="347"/>
        <v>11.359503876751738</v>
      </c>
      <c r="X153" s="20">
        <f t="shared" ca="1" si="348"/>
        <v>949.8606027056976</v>
      </c>
      <c r="Y153" s="41">
        <f t="shared" si="349"/>
        <v>0.55202038375886886</v>
      </c>
      <c r="Z153" s="41">
        <f t="shared" ca="1" si="350"/>
        <v>180.75715250641386</v>
      </c>
      <c r="AA153" s="14">
        <f t="shared" ca="1" si="351"/>
        <v>952.41338678318459</v>
      </c>
      <c r="AB153" s="14">
        <f t="shared" si="300"/>
        <v>3165.3157822074531</v>
      </c>
      <c r="AC153" s="25">
        <f t="shared" ca="1" si="352"/>
        <v>478786.44050827244</v>
      </c>
      <c r="AD153" s="41">
        <f t="shared" si="353"/>
        <v>1591231.5990921368</v>
      </c>
      <c r="AE153" s="6">
        <v>5</v>
      </c>
      <c r="AF153" s="41">
        <f t="shared" si="354"/>
        <v>158.26578911037268</v>
      </c>
      <c r="AG153" s="41">
        <f t="shared" ca="1" si="355"/>
        <v>2212.9023954242684</v>
      </c>
      <c r="AH153" s="41">
        <f t="shared" ca="1" si="356"/>
        <v>1112445.1585838643</v>
      </c>
      <c r="AI153" s="41">
        <f t="shared" si="357"/>
        <v>126.51268194554279</v>
      </c>
      <c r="AJ153" s="13">
        <f t="shared" ca="1" si="358"/>
        <v>-36.78192346138821</v>
      </c>
      <c r="AK153" s="11"/>
      <c r="AL153" s="6">
        <v>-400</v>
      </c>
      <c r="AM153" s="41">
        <f t="shared" ca="1" si="359"/>
        <v>10.874907083635787</v>
      </c>
      <c r="AN153" s="41">
        <f t="shared" ca="1" si="360"/>
        <v>0.38217046140537347</v>
      </c>
      <c r="AO153" s="41">
        <f t="shared" ca="1" si="361"/>
        <v>0.89732633993724942</v>
      </c>
      <c r="AP153" s="67">
        <f t="shared" si="327"/>
        <v>0.79936847158620206</v>
      </c>
      <c r="AQ153" s="11">
        <f t="shared" si="362"/>
        <v>0.94205062071837586</v>
      </c>
      <c r="AR153" s="11">
        <f t="shared" si="363"/>
        <v>0.54196900592552788</v>
      </c>
      <c r="AS153" s="11">
        <f t="shared" si="364"/>
        <v>0.57530773188413242</v>
      </c>
      <c r="AT153" s="11">
        <f t="shared" si="365"/>
        <v>488.61339544799995</v>
      </c>
      <c r="AU153" s="11">
        <f t="shared" si="366"/>
        <v>1146.9256497197205</v>
      </c>
      <c r="AV153" s="11">
        <f t="shared" si="367"/>
        <v>1.3674489479153942E-3</v>
      </c>
      <c r="AW153" s="11">
        <f t="shared" si="368"/>
        <v>3.5665561507127427E-7</v>
      </c>
      <c r="AX153" s="41">
        <f t="shared" ca="1" si="369"/>
        <v>2.2271365658788116</v>
      </c>
      <c r="AY153" s="41">
        <f t="shared" ca="1" si="370"/>
        <v>2.9999972019851016</v>
      </c>
      <c r="AZ153" s="41">
        <f t="shared" si="371"/>
        <v>0.32383329568614921</v>
      </c>
    </row>
    <row r="154" spans="1:52" ht="14.5">
      <c r="A154" s="41">
        <f t="shared" ca="1" si="328"/>
        <v>10149.319362898992</v>
      </c>
      <c r="B154" s="41">
        <f t="shared" ca="1" si="329"/>
        <v>169.15532271498321</v>
      </c>
      <c r="C154" s="41">
        <f t="shared" ca="1" si="330"/>
        <v>2.8192553785830534</v>
      </c>
      <c r="D154" s="41">
        <f t="shared" ca="1" si="331"/>
        <v>10818.561388972432</v>
      </c>
      <c r="E154" s="41">
        <f t="shared" ca="1" si="332"/>
        <v>917.59033253431505</v>
      </c>
      <c r="F154" s="41">
        <f t="shared" ca="1" si="333"/>
        <v>5.1093716426193554</v>
      </c>
      <c r="G154" s="41"/>
      <c r="H154" s="7">
        <f t="shared" si="334"/>
        <v>15600</v>
      </c>
      <c r="I154" s="6">
        <v>15</v>
      </c>
      <c r="J154" s="41">
        <f t="shared" si="335"/>
        <v>0.45389703502569717</v>
      </c>
      <c r="K154" s="41">
        <f t="shared" si="336"/>
        <v>492.56827054878408</v>
      </c>
      <c r="L154" s="6">
        <f t="shared" si="285"/>
        <v>225.33333333333309</v>
      </c>
      <c r="M154" s="41">
        <f t="shared" si="337"/>
        <v>291.83881920782579</v>
      </c>
      <c r="N154" s="41">
        <f t="shared" si="338"/>
        <v>168.10893487120745</v>
      </c>
      <c r="O154" s="41">
        <f t="shared" si="339"/>
        <v>1909442.8075311705</v>
      </c>
      <c r="P154" s="41">
        <f t="shared" si="340"/>
        <v>12259964.559578123</v>
      </c>
      <c r="Q154" s="41">
        <f t="shared" si="341"/>
        <v>2.8531848677112127E-3</v>
      </c>
      <c r="R154" s="41">
        <f t="shared" si="342"/>
        <v>1.9283212397598264E-2</v>
      </c>
      <c r="S154" s="24">
        <f t="shared" ca="1" si="343"/>
        <v>-4.107602031044487</v>
      </c>
      <c r="T154" s="10">
        <f t="shared" ca="1" si="344"/>
        <v>-4.107602031044487</v>
      </c>
      <c r="U154" s="41">
        <f t="shared" ca="1" si="345"/>
        <v>0.27908331212919085</v>
      </c>
      <c r="V154" s="41">
        <f t="shared" ca="1" si="346"/>
        <v>2.4202331386345515E-2</v>
      </c>
      <c r="W154" s="41">
        <f t="shared" ca="1" si="347"/>
        <v>11.5312573683147</v>
      </c>
      <c r="X154" s="20">
        <f t="shared" ca="1" si="348"/>
        <v>935.78447467446381</v>
      </c>
      <c r="Y154" s="41">
        <f t="shared" si="349"/>
        <v>0.55256057764354483</v>
      </c>
      <c r="Z154" s="41">
        <f t="shared" ca="1" si="350"/>
        <v>179.56583923415425</v>
      </c>
      <c r="AA154" s="14">
        <f t="shared" ca="1" si="351"/>
        <v>938.19442610824069</v>
      </c>
      <c r="AB154" s="14">
        <f t="shared" si="300"/>
        <v>3217.0650504589998</v>
      </c>
      <c r="AC154" s="25">
        <f t="shared" ca="1" si="352"/>
        <v>462124.80590664514</v>
      </c>
      <c r="AD154" s="41">
        <f t="shared" si="353"/>
        <v>1584624.1681475264</v>
      </c>
      <c r="AE154" s="6">
        <v>5</v>
      </c>
      <c r="AF154" s="41">
        <f t="shared" si="354"/>
        <v>160.85325252295002</v>
      </c>
      <c r="AG154" s="41">
        <f t="shared" ca="1" si="355"/>
        <v>2278.870624350759</v>
      </c>
      <c r="AH154" s="41">
        <f t="shared" ca="1" si="356"/>
        <v>1122499.3622408812</v>
      </c>
      <c r="AI154" s="41">
        <f t="shared" si="357"/>
        <v>128.30836859320166</v>
      </c>
      <c r="AJ154" s="13">
        <f t="shared" ca="1" si="358"/>
        <v>-35.282559128287389</v>
      </c>
      <c r="AK154" s="11"/>
      <c r="AL154" s="6">
        <v>-400</v>
      </c>
      <c r="AM154" s="41">
        <f t="shared" ca="1" si="359"/>
        <v>11.337046118043761</v>
      </c>
      <c r="AN154" s="41">
        <f t="shared" ca="1" si="360"/>
        <v>0.40406608113113474</v>
      </c>
      <c r="AO154" s="41">
        <f t="shared" ca="1" si="361"/>
        <v>0.91669203795197374</v>
      </c>
      <c r="AP154" s="67">
        <f t="shared" si="327"/>
        <v>0.79767344819399932</v>
      </c>
      <c r="AQ154" s="11">
        <f t="shared" si="362"/>
        <v>0.94480076071837593</v>
      </c>
      <c r="AR154" s="11">
        <f t="shared" si="363"/>
        <v>0.55082957510769803</v>
      </c>
      <c r="AS154" s="11">
        <f t="shared" si="364"/>
        <v>0.5830113585946699</v>
      </c>
      <c r="AT154" s="11">
        <f t="shared" si="365"/>
        <v>490.03981056179998</v>
      </c>
      <c r="AU154" s="11">
        <f t="shared" si="366"/>
        <v>1165.6765634344126</v>
      </c>
      <c r="AV154" s="11">
        <f t="shared" si="367"/>
        <v>1.3857596982436709E-3</v>
      </c>
      <c r="AW154" s="11">
        <f t="shared" si="368"/>
        <v>3.5747667082138938E-7</v>
      </c>
      <c r="AX154" s="41">
        <f t="shared" ca="1" si="369"/>
        <v>2.1720089166105656</v>
      </c>
      <c r="AY154" s="41">
        <f t="shared" ca="1" si="370"/>
        <v>2.9257391631694643</v>
      </c>
      <c r="AZ154" s="41">
        <f t="shared" si="371"/>
        <v>0.31780158192375629</v>
      </c>
    </row>
    <row r="155" spans="1:52" ht="14.5">
      <c r="A155" s="41">
        <f t="shared" ca="1" si="328"/>
        <v>10160.656409017036</v>
      </c>
      <c r="B155" s="41">
        <f t="shared" ca="1" si="329"/>
        <v>169.34427348361726</v>
      </c>
      <c r="C155" s="41">
        <f t="shared" ca="1" si="330"/>
        <v>2.8224045580602874</v>
      </c>
      <c r="D155" s="41">
        <f t="shared" ca="1" si="331"/>
        <v>10818.1573228913</v>
      </c>
      <c r="E155" s="41">
        <f t="shared" ca="1" si="332"/>
        <v>918.50702457226703</v>
      </c>
      <c r="F155" s="41">
        <f t="shared" ca="1" si="333"/>
        <v>6.0260636805713288</v>
      </c>
      <c r="G155" s="41"/>
      <c r="H155" s="7">
        <f t="shared" si="334"/>
        <v>15200</v>
      </c>
      <c r="I155" s="6">
        <v>15</v>
      </c>
      <c r="J155" s="41">
        <f t="shared" si="335"/>
        <v>0.44399667327273246</v>
      </c>
      <c r="K155" s="41">
        <f t="shared" si="336"/>
        <v>482.52515649494512</v>
      </c>
      <c r="L155" s="6">
        <f t="shared" si="285"/>
        <v>222.05555555555532</v>
      </c>
      <c r="M155" s="41">
        <f t="shared" si="337"/>
        <v>285.88843482075106</v>
      </c>
      <c r="N155" s="41">
        <f t="shared" si="338"/>
        <v>163.47700560348898</v>
      </c>
      <c r="O155" s="41">
        <f t="shared" si="339"/>
        <v>1891141.4904405363</v>
      </c>
      <c r="P155" s="41">
        <f t="shared" si="340"/>
        <v>12142457.243810503</v>
      </c>
      <c r="Q155" s="41">
        <f t="shared" si="341"/>
        <v>2.8598445063689093E-3</v>
      </c>
      <c r="R155" s="41">
        <f t="shared" si="342"/>
        <v>1.9321219156985547E-2</v>
      </c>
      <c r="S155" s="24">
        <f t="shared" ca="1" si="343"/>
        <v>-4.021105840673874</v>
      </c>
      <c r="T155" s="10">
        <f t="shared" ca="1" si="344"/>
        <v>-4.021105840673874</v>
      </c>
      <c r="U155" s="41">
        <f t="shared" ca="1" si="345"/>
        <v>0.2870108772260454</v>
      </c>
      <c r="V155" s="41">
        <f t="shared" ca="1" si="346"/>
        <v>2.4523769638997588E-2</v>
      </c>
      <c r="W155" s="41">
        <f t="shared" ca="1" si="347"/>
        <v>11.703375192761637</v>
      </c>
      <c r="X155" s="20">
        <f t="shared" ca="1" si="348"/>
        <v>922.08665813940877</v>
      </c>
      <c r="Y155" s="41">
        <f t="shared" si="349"/>
        <v>0.55310485155746025</v>
      </c>
      <c r="Z155" s="41">
        <f t="shared" ca="1" si="350"/>
        <v>178.38547573130163</v>
      </c>
      <c r="AA155" s="14">
        <f t="shared" ca="1" si="351"/>
        <v>924.36217285268003</v>
      </c>
      <c r="AB155" s="14">
        <f t="shared" si="300"/>
        <v>3269.497275156642</v>
      </c>
      <c r="AC155" s="25">
        <f t="shared" ca="1" si="352"/>
        <v>446028.00211374694</v>
      </c>
      <c r="AD155" s="41">
        <f t="shared" si="353"/>
        <v>1577614.6843547553</v>
      </c>
      <c r="AE155" s="6">
        <v>5</v>
      </c>
      <c r="AF155" s="41">
        <f t="shared" si="354"/>
        <v>163.47486375783211</v>
      </c>
      <c r="AG155" s="41">
        <f t="shared" ca="1" si="355"/>
        <v>2345.135102303962</v>
      </c>
      <c r="AH155" s="41">
        <f t="shared" ca="1" si="356"/>
        <v>1131586.6822410084</v>
      </c>
      <c r="AI155" s="41">
        <f t="shared" si="357"/>
        <v>130.12318308012854</v>
      </c>
      <c r="AJ155" s="13">
        <f t="shared" ca="1" si="358"/>
        <v>-33.836564201956882</v>
      </c>
      <c r="AK155" s="11"/>
      <c r="AL155" s="6">
        <v>-400</v>
      </c>
      <c r="AM155" s="41">
        <f t="shared" ca="1" si="359"/>
        <v>11.821531217311557</v>
      </c>
      <c r="AN155" s="41">
        <f t="shared" ca="1" si="360"/>
        <v>0.42729313079935738</v>
      </c>
      <c r="AO155" s="41">
        <f t="shared" ca="1" si="361"/>
        <v>0.93647759840915601</v>
      </c>
      <c r="AP155" s="67">
        <f t="shared" si="327"/>
        <v>0.7959828201654906</v>
      </c>
      <c r="AQ155" s="11">
        <f t="shared" si="362"/>
        <v>0.94755090071837589</v>
      </c>
      <c r="AR155" s="11">
        <f t="shared" si="363"/>
        <v>0.55980708087744702</v>
      </c>
      <c r="AS155" s="11">
        <f t="shared" si="364"/>
        <v>0.59079367710276576</v>
      </c>
      <c r="AT155" s="11">
        <f t="shared" si="365"/>
        <v>491.46622567559996</v>
      </c>
      <c r="AU155" s="11">
        <f t="shared" si="366"/>
        <v>1184.6749406944707</v>
      </c>
      <c r="AV155" s="11">
        <f t="shared" si="367"/>
        <v>1.4042574911055639E-3</v>
      </c>
      <c r="AW155" s="11">
        <f t="shared" si="368"/>
        <v>3.5829659974149717E-7</v>
      </c>
      <c r="AX155" s="41">
        <f t="shared" ca="1" si="369"/>
        <v>2.117620211462194</v>
      </c>
      <c r="AY155" s="41">
        <f t="shared" ca="1" si="370"/>
        <v>2.8524764967643064</v>
      </c>
      <c r="AZ155" s="41">
        <f t="shared" si="371"/>
        <v>0.31179392530183164</v>
      </c>
    </row>
    <row r="156" spans="1:52" ht="14.5">
      <c r="A156" s="41">
        <f t="shared" ca="1" si="328"/>
        <v>10172.477940234348</v>
      </c>
      <c r="B156" s="41">
        <f t="shared" ca="1" si="329"/>
        <v>169.54129900390581</v>
      </c>
      <c r="C156" s="41">
        <f t="shared" ca="1" si="330"/>
        <v>2.8256883167317635</v>
      </c>
      <c r="D156" s="41">
        <f t="shared" ca="1" si="331"/>
        <v>10817.730029760502</v>
      </c>
      <c r="E156" s="41">
        <f t="shared" ca="1" si="332"/>
        <v>919.4435021706762</v>
      </c>
      <c r="F156" s="41">
        <f t="shared" ca="1" si="333"/>
        <v>6.9625412789804848</v>
      </c>
      <c r="G156" s="41"/>
      <c r="H156" s="7">
        <f t="shared" si="334"/>
        <v>14800</v>
      </c>
      <c r="I156" s="6">
        <v>15</v>
      </c>
      <c r="J156" s="41">
        <f t="shared" si="335"/>
        <v>0.43421514488344776</v>
      </c>
      <c r="K156" s="41">
        <f t="shared" si="336"/>
        <v>472.57913087011502</v>
      </c>
      <c r="L156" s="6">
        <f t="shared" si="285"/>
        <v>218.77777777777754</v>
      </c>
      <c r="M156" s="41">
        <f t="shared" si="337"/>
        <v>279.99557377444921</v>
      </c>
      <c r="N156" s="41">
        <f t="shared" si="338"/>
        <v>158.89373862165965</v>
      </c>
      <c r="O156" s="41">
        <f t="shared" si="339"/>
        <v>1872527.4979700649</v>
      </c>
      <c r="P156" s="41">
        <f t="shared" si="340"/>
        <v>12022942.332392288</v>
      </c>
      <c r="Q156" s="41">
        <f t="shared" si="341"/>
        <v>2.8665652244433235E-3</v>
      </c>
      <c r="R156" s="41">
        <f t="shared" si="342"/>
        <v>1.9359574498452728E-2</v>
      </c>
      <c r="S156" s="24">
        <f t="shared" ca="1" si="343"/>
        <v>-3.9365609261211931</v>
      </c>
      <c r="T156" s="10">
        <f t="shared" ca="1" si="344"/>
        <v>-3.9365609261211931</v>
      </c>
      <c r="U156" s="41">
        <f t="shared" ca="1" si="345"/>
        <v>0.29530830883101589</v>
      </c>
      <c r="V156" s="41">
        <f t="shared" ca="1" si="346"/>
        <v>2.4867282707527333E-2</v>
      </c>
      <c r="W156" s="41">
        <f t="shared" ca="1" si="347"/>
        <v>11.875375058233685</v>
      </c>
      <c r="X156" s="20">
        <f t="shared" ca="1" si="348"/>
        <v>908.78876931497587</v>
      </c>
      <c r="Y156" s="41">
        <f t="shared" si="349"/>
        <v>0.55365357488745204</v>
      </c>
      <c r="Z156" s="41">
        <f t="shared" ca="1" si="350"/>
        <v>177.21591651056397</v>
      </c>
      <c r="AA156" s="14">
        <f t="shared" ca="1" si="351"/>
        <v>910.93796841895323</v>
      </c>
      <c r="AB156" s="14">
        <f t="shared" si="300"/>
        <v>3322.6193305498932</v>
      </c>
      <c r="AC156" s="25">
        <f t="shared" ca="1" si="352"/>
        <v>430490.27339201723</v>
      </c>
      <c r="AD156" s="41">
        <f t="shared" si="353"/>
        <v>1570200.555443512</v>
      </c>
      <c r="AE156" s="6">
        <v>5</v>
      </c>
      <c r="AF156" s="41">
        <f t="shared" si="354"/>
        <v>166.13096652749468</v>
      </c>
      <c r="AG156" s="41">
        <f t="shared" ca="1" si="355"/>
        <v>2411.6813621309402</v>
      </c>
      <c r="AH156" s="41">
        <f t="shared" ca="1" si="356"/>
        <v>1139710.2820514948</v>
      </c>
      <c r="AI156" s="41">
        <f t="shared" si="357"/>
        <v>131.95732401126082</v>
      </c>
      <c r="AJ156" s="13">
        <f t="shared" ca="1" si="358"/>
        <v>-32.443458841150914</v>
      </c>
      <c r="AK156" s="11"/>
      <c r="AL156" s="6">
        <v>-400</v>
      </c>
      <c r="AM156" s="41">
        <f t="shared" ca="1" si="359"/>
        <v>12.329141660217946</v>
      </c>
      <c r="AN156" s="41">
        <f t="shared" ca="1" si="360"/>
        <v>0.45192237245503158</v>
      </c>
      <c r="AO156" s="41">
        <f t="shared" ca="1" si="361"/>
        <v>0.95665568166768933</v>
      </c>
      <c r="AP156" s="67">
        <f t="shared" si="327"/>
        <v>0.79429697406486766</v>
      </c>
      <c r="AQ156" s="11">
        <f t="shared" si="362"/>
        <v>0.95030104071837584</v>
      </c>
      <c r="AR156" s="11">
        <f t="shared" si="363"/>
        <v>0.56890270025167677</v>
      </c>
      <c r="AS156" s="11">
        <f t="shared" si="364"/>
        <v>0.59865524278666193</v>
      </c>
      <c r="AT156" s="11">
        <f t="shared" si="365"/>
        <v>492.89264078939993</v>
      </c>
      <c r="AU156" s="11">
        <f t="shared" si="366"/>
        <v>1203.9232723266034</v>
      </c>
      <c r="AV156" s="11">
        <f t="shared" si="367"/>
        <v>1.4229436465796168E-3</v>
      </c>
      <c r="AW156" s="11">
        <f t="shared" si="368"/>
        <v>3.5911540551833192E-7</v>
      </c>
      <c r="AX156" s="41">
        <f t="shared" ca="1" si="369"/>
        <v>2.0639958053667131</v>
      </c>
      <c r="AY156" s="41">
        <f t="shared" ca="1" si="370"/>
        <v>2.7802433563681421</v>
      </c>
      <c r="AZ156" s="41">
        <f t="shared" si="371"/>
        <v>0.30581159606162911</v>
      </c>
    </row>
    <row r="157" spans="1:52" ht="14.5">
      <c r="A157" s="41">
        <f t="shared" ca="1" si="328"/>
        <v>10184.807081894567</v>
      </c>
      <c r="B157" s="41">
        <f t="shared" ca="1" si="329"/>
        <v>169.74678469824278</v>
      </c>
      <c r="C157" s="41">
        <f t="shared" ca="1" si="330"/>
        <v>2.8291130783040463</v>
      </c>
      <c r="D157" s="41">
        <f t="shared" ca="1" si="331"/>
        <v>10817.278107388047</v>
      </c>
      <c r="E157" s="41">
        <f t="shared" ca="1" si="332"/>
        <v>920.40015785234391</v>
      </c>
      <c r="F157" s="41">
        <f t="shared" ca="1" si="333"/>
        <v>7.9191969606481738</v>
      </c>
      <c r="G157" s="41"/>
      <c r="H157" s="7">
        <f t="shared" si="334"/>
        <v>14400</v>
      </c>
      <c r="I157" s="6">
        <v>15</v>
      </c>
      <c r="J157" s="41">
        <f t="shared" si="335"/>
        <v>0.4245516813315609</v>
      </c>
      <c r="K157" s="41">
        <f t="shared" si="336"/>
        <v>462.72998924595748</v>
      </c>
      <c r="L157" s="6">
        <f t="shared" si="285"/>
        <v>215.49999999999977</v>
      </c>
      <c r="M157" s="41">
        <f t="shared" si="337"/>
        <v>274.16011494840188</v>
      </c>
      <c r="N157" s="41">
        <f t="shared" si="338"/>
        <v>154.36050464207514</v>
      </c>
      <c r="O157" s="41">
        <f t="shared" si="339"/>
        <v>1853603.1618699848</v>
      </c>
      <c r="P157" s="41">
        <f t="shared" si="340"/>
        <v>11901434.796798432</v>
      </c>
      <c r="Q157" s="41">
        <f t="shared" si="341"/>
        <v>2.873351874042604E-3</v>
      </c>
      <c r="R157" s="41">
        <f t="shared" si="342"/>
        <v>1.9398306113127876E-2</v>
      </c>
      <c r="S157" s="24">
        <f t="shared" ca="1" si="343"/>
        <v>-3.8540839629933408</v>
      </c>
      <c r="T157" s="10">
        <f t="shared" ca="1" si="344"/>
        <v>-3.8540839629933408</v>
      </c>
      <c r="U157" s="41">
        <f t="shared" ca="1" si="345"/>
        <v>0.30399797113604032</v>
      </c>
      <c r="V157" s="41">
        <f t="shared" ca="1" si="346"/>
        <v>2.5234919960734653E-2</v>
      </c>
      <c r="W157" s="41">
        <f t="shared" ca="1" si="347"/>
        <v>12.046718262196151</v>
      </c>
      <c r="X157" s="20">
        <f t="shared" ca="1" si="348"/>
        <v>895.91324534051648</v>
      </c>
      <c r="Y157" s="41">
        <f t="shared" si="349"/>
        <v>0.5542071299834801</v>
      </c>
      <c r="Z157" s="41">
        <f t="shared" ca="1" si="350"/>
        <v>176.05701814178337</v>
      </c>
      <c r="AA157" s="14">
        <f t="shared" ca="1" si="351"/>
        <v>897.94397710236035</v>
      </c>
      <c r="AB157" s="14">
        <f t="shared" si="300"/>
        <v>3376.438138682985</v>
      </c>
      <c r="AC157" s="25">
        <f t="shared" ca="1" si="352"/>
        <v>415505.6068680475</v>
      </c>
      <c r="AD157" s="41">
        <f t="shared" si="353"/>
        <v>1562379.1836024183</v>
      </c>
      <c r="AE157" s="6">
        <v>5</v>
      </c>
      <c r="AF157" s="41">
        <f t="shared" si="354"/>
        <v>168.82190693414927</v>
      </c>
      <c r="AG157" s="41">
        <f t="shared" ca="1" si="355"/>
        <v>2478.4941615806247</v>
      </c>
      <c r="AH157" s="41">
        <f t="shared" ca="1" si="356"/>
        <v>1146873.5767343708</v>
      </c>
      <c r="AI157" s="41">
        <f t="shared" si="357"/>
        <v>133.81099252018615</v>
      </c>
      <c r="AJ157" s="13">
        <f t="shared" ca="1" si="358"/>
        <v>-31.102738032760627</v>
      </c>
      <c r="AK157" s="11"/>
      <c r="AL157" s="6">
        <v>-400</v>
      </c>
      <c r="AM157" s="41">
        <f t="shared" ca="1" si="359"/>
        <v>12.860604091468685</v>
      </c>
      <c r="AN157" s="41">
        <f t="shared" ca="1" si="360"/>
        <v>0.47802505496905323</v>
      </c>
      <c r="AO157" s="41">
        <f t="shared" ca="1" si="361"/>
        <v>0.97719189708095655</v>
      </c>
      <c r="AP157" s="67">
        <f t="shared" si="327"/>
        <v>0.79261628393038186</v>
      </c>
      <c r="AQ157" s="11">
        <f t="shared" si="362"/>
        <v>0.95305118071837591</v>
      </c>
      <c r="AR157" s="11">
        <f t="shared" si="363"/>
        <v>0.5781176184307556</v>
      </c>
      <c r="AS157" s="11">
        <f t="shared" si="364"/>
        <v>0.60659661320076352</v>
      </c>
      <c r="AT157" s="11">
        <f t="shared" si="365"/>
        <v>494.31905590320002</v>
      </c>
      <c r="AU157" s="11">
        <f t="shared" si="366"/>
        <v>1223.4240664755334</v>
      </c>
      <c r="AV157" s="11">
        <f t="shared" si="367"/>
        <v>1.4418194899168948E-3</v>
      </c>
      <c r="AW157" s="11">
        <f t="shared" si="368"/>
        <v>3.5993309182251675E-7</v>
      </c>
      <c r="AX157" s="41">
        <f t="shared" ca="1" si="369"/>
        <v>2.0111611453418665</v>
      </c>
      <c r="AY157" s="41">
        <f t="shared" ca="1" si="370"/>
        <v>2.7090740196194414</v>
      </c>
      <c r="AZ157" s="41">
        <f t="shared" si="371"/>
        <v>0.29985581347902412</v>
      </c>
    </row>
    <row r="158" spans="1:52" ht="14.5">
      <c r="A158" s="41">
        <f t="shared" ca="1" si="328"/>
        <v>10197.667685986036</v>
      </c>
      <c r="B158" s="41">
        <f t="shared" ca="1" si="329"/>
        <v>169.96112809976728</v>
      </c>
      <c r="C158" s="41">
        <f t="shared" ca="1" si="330"/>
        <v>2.8326854683294544</v>
      </c>
      <c r="D158" s="41">
        <f t="shared" ca="1" si="331"/>
        <v>10816.800082333079</v>
      </c>
      <c r="E158" s="41">
        <f t="shared" ca="1" si="332"/>
        <v>921.37734974942487</v>
      </c>
      <c r="F158" s="41">
        <f t="shared" ca="1" si="333"/>
        <v>8.8963888577291304</v>
      </c>
      <c r="G158" s="41"/>
      <c r="H158" s="7">
        <f t="shared" si="334"/>
        <v>14000</v>
      </c>
      <c r="I158" s="6">
        <v>15</v>
      </c>
      <c r="J158" s="41">
        <f t="shared" si="335"/>
        <v>0.41500548910037155</v>
      </c>
      <c r="K158" s="41">
        <f t="shared" si="336"/>
        <v>452.97749304590405</v>
      </c>
      <c r="L158" s="6">
        <f t="shared" si="285"/>
        <v>212.222222222222</v>
      </c>
      <c r="M158" s="41">
        <f t="shared" si="337"/>
        <v>268.38191698980944</v>
      </c>
      <c r="N158" s="41">
        <f t="shared" si="338"/>
        <v>149.8786193408948</v>
      </c>
      <c r="O158" s="41">
        <f t="shared" si="339"/>
        <v>1834370.7736633662</v>
      </c>
      <c r="P158" s="41">
        <f t="shared" si="340"/>
        <v>11777949.35021726</v>
      </c>
      <c r="Q158" s="41">
        <f t="shared" si="341"/>
        <v>2.8802094958059903E-3</v>
      </c>
      <c r="R158" s="41">
        <f t="shared" si="342"/>
        <v>1.9437442768091701E-2</v>
      </c>
      <c r="S158" s="24">
        <f t="shared" ca="1" si="343"/>
        <v>-3.7737965372581659</v>
      </c>
      <c r="T158" s="10">
        <f t="shared" ca="1" si="344"/>
        <v>-3.7737965372581659</v>
      </c>
      <c r="U158" s="41">
        <f t="shared" ca="1" si="345"/>
        <v>0.31310396589646494</v>
      </c>
      <c r="V158" s="41">
        <f t="shared" ca="1" si="346"/>
        <v>2.5628954897340475E-2</v>
      </c>
      <c r="W158" s="41">
        <f t="shared" ca="1" si="347"/>
        <v>12.216805841308647</v>
      </c>
      <c r="X158" s="20">
        <f t="shared" ca="1" si="348"/>
        <v>883.48344628759457</v>
      </c>
      <c r="Y158" s="41">
        <f t="shared" si="349"/>
        <v>0.55476591290402577</v>
      </c>
      <c r="Z158" s="41">
        <f t="shared" ca="1" si="350"/>
        <v>174.90863914412725</v>
      </c>
      <c r="AA158" s="14">
        <f t="shared" ca="1" si="351"/>
        <v>885.40328976648436</v>
      </c>
      <c r="AB158" s="14">
        <f t="shared" si="300"/>
        <v>3430.9606695793041</v>
      </c>
      <c r="AC158" s="25">
        <f t="shared" ca="1" si="352"/>
        <v>401067.76253301825</v>
      </c>
      <c r="AD158" s="41">
        <f t="shared" si="353"/>
        <v>1554147.9628451294</v>
      </c>
      <c r="AE158" s="6">
        <v>5</v>
      </c>
      <c r="AF158" s="41">
        <f t="shared" si="354"/>
        <v>171.54803347896521</v>
      </c>
      <c r="AG158" s="41">
        <f t="shared" ca="1" si="355"/>
        <v>2545.5573798128198</v>
      </c>
      <c r="AH158" s="41">
        <f t="shared" ca="1" si="356"/>
        <v>1153080.2003121111</v>
      </c>
      <c r="AI158" s="41">
        <f t="shared" si="357"/>
        <v>135.68439224229562</v>
      </c>
      <c r="AJ158" s="13">
        <f t="shared" ca="1" si="358"/>
        <v>-29.813874348234755</v>
      </c>
      <c r="AK158" s="11"/>
      <c r="AL158" s="6">
        <v>-400</v>
      </c>
      <c r="AM158" s="41">
        <f t="shared" ca="1" si="359"/>
        <v>13.416572275306565</v>
      </c>
      <c r="AN158" s="41">
        <f t="shared" ca="1" si="360"/>
        <v>0.5056720708749457</v>
      </c>
      <c r="AO158" s="41">
        <f t="shared" ca="1" si="361"/>
        <v>0.99804381983797286</v>
      </c>
      <c r="AP158" s="67">
        <f t="shared" si="327"/>
        <v>0.79094111130648959</v>
      </c>
      <c r="AQ158" s="11">
        <f t="shared" si="362"/>
        <v>0.95580132071837587</v>
      </c>
      <c r="AR158" s="11">
        <f t="shared" si="363"/>
        <v>0.58745302883009798</v>
      </c>
      <c r="AS158" s="11">
        <f t="shared" si="364"/>
        <v>0.61461834807737137</v>
      </c>
      <c r="AT158" s="11">
        <f t="shared" si="365"/>
        <v>495.745471017</v>
      </c>
      <c r="AU158" s="11">
        <f t="shared" si="366"/>
        <v>1243.1798486708299</v>
      </c>
      <c r="AV158" s="11">
        <f t="shared" si="367"/>
        <v>1.460886351545104E-3</v>
      </c>
      <c r="AW158" s="11">
        <f t="shared" si="368"/>
        <v>3.6074966230862931E-7</v>
      </c>
      <c r="AX158" s="41">
        <f t="shared" ca="1" si="369"/>
        <v>1.9591418723389074</v>
      </c>
      <c r="AY158" s="41">
        <f t="shared" ca="1" si="370"/>
        <v>2.6390030253889654</v>
      </c>
      <c r="AZ158" s="41">
        <f t="shared" si="371"/>
        <v>0.2939277464038309</v>
      </c>
    </row>
    <row r="159" spans="1:52" ht="14.5">
      <c r="A159" s="41">
        <f t="shared" ca="1" si="328"/>
        <v>10211.084258261342</v>
      </c>
      <c r="B159" s="41">
        <f t="shared" ca="1" si="329"/>
        <v>170.18473763768904</v>
      </c>
      <c r="C159" s="41">
        <f t="shared" ca="1" si="330"/>
        <v>2.8364122939614842</v>
      </c>
      <c r="D159" s="41">
        <f t="shared" ca="1" si="331"/>
        <v>10816.294410262204</v>
      </c>
      <c r="E159" s="41">
        <f t="shared" ca="1" si="332"/>
        <v>922.37539356926288</v>
      </c>
      <c r="F159" s="41">
        <f t="shared" ca="1" si="333"/>
        <v>9.894432677567103</v>
      </c>
      <c r="G159" s="41"/>
      <c r="H159" s="7">
        <f t="shared" si="334"/>
        <v>13600</v>
      </c>
      <c r="I159" s="6">
        <v>15</v>
      </c>
      <c r="J159" s="41">
        <f t="shared" si="335"/>
        <v>0.40557575084127778</v>
      </c>
      <c r="K159" s="41">
        <f t="shared" si="336"/>
        <v>443.3213706482432</v>
      </c>
      <c r="L159" s="6">
        <f t="shared" si="285"/>
        <v>208.94444444444423</v>
      </c>
      <c r="M159" s="41">
        <f t="shared" si="337"/>
        <v>262.66081896715372</v>
      </c>
      <c r="N159" s="41">
        <f t="shared" si="338"/>
        <v>145.44934430606236</v>
      </c>
      <c r="O159" s="41">
        <f t="shared" si="339"/>
        <v>1814832.5824045104</v>
      </c>
      <c r="P159" s="41">
        <f t="shared" si="340"/>
        <v>11652500.433157763</v>
      </c>
      <c r="Q159" s="41">
        <f t="shared" si="341"/>
        <v>2.8871433302449278E-3</v>
      </c>
      <c r="R159" s="41">
        <f t="shared" si="342"/>
        <v>1.9477014371101629E-2</v>
      </c>
      <c r="S159" s="24">
        <f t="shared" ca="1" si="343"/>
        <v>-3.6958257526753817</v>
      </c>
      <c r="T159" s="10">
        <f t="shared" ca="1" si="344"/>
        <v>-3.6958257526753817</v>
      </c>
      <c r="U159" s="41">
        <f t="shared" ca="1" si="345"/>
        <v>0.32265229666929995</v>
      </c>
      <c r="V159" s="41">
        <f t="shared" ca="1" si="346"/>
        <v>2.6051913774524028E-2</v>
      </c>
      <c r="W159" s="41">
        <f t="shared" ca="1" si="347"/>
        <v>12.384974841457492</v>
      </c>
      <c r="X159" s="20">
        <f t="shared" ca="1" si="348"/>
        <v>871.52376857719662</v>
      </c>
      <c r="Y159" s="41">
        <f t="shared" si="349"/>
        <v>0.55533033423455547</v>
      </c>
      <c r="Z159" s="41">
        <f t="shared" ca="1" si="350"/>
        <v>173.77063988209099</v>
      </c>
      <c r="AA159" s="14">
        <f t="shared" ca="1" si="351"/>
        <v>873.34003893618876</v>
      </c>
      <c r="AB159" s="14">
        <f t="shared" si="300"/>
        <v>3486.193941425995</v>
      </c>
      <c r="AC159" s="25">
        <f t="shared" ca="1" si="352"/>
        <v>387170.3031031813</v>
      </c>
      <c r="AD159" s="41">
        <f t="shared" si="353"/>
        <v>1545504.2764585733</v>
      </c>
      <c r="AE159" s="6">
        <v>5</v>
      </c>
      <c r="AF159" s="41">
        <f t="shared" si="354"/>
        <v>174.30969707129975</v>
      </c>
      <c r="AG159" s="41">
        <f t="shared" ca="1" si="355"/>
        <v>2612.8539024898064</v>
      </c>
      <c r="AH159" s="41">
        <f t="shared" ca="1" si="356"/>
        <v>1158333.973355392</v>
      </c>
      <c r="AI159" s="41">
        <f t="shared" si="357"/>
        <v>137.57772928757831</v>
      </c>
      <c r="AJ159" s="13">
        <f t="shared" ca="1" si="358"/>
        <v>-28.57632069648367</v>
      </c>
      <c r="AK159" s="11"/>
      <c r="AL159" s="6">
        <v>-400</v>
      </c>
      <c r="AM159" s="41">
        <f t="shared" ca="1" si="359"/>
        <v>13.997603269101756</v>
      </c>
      <c r="AN159" s="41">
        <f t="shared" ca="1" si="360"/>
        <v>0.53493290923094516</v>
      </c>
      <c r="AO159" s="41">
        <f t="shared" ca="1" si="361"/>
        <v>1.0191599251126009</v>
      </c>
      <c r="AP159" s="67">
        <f t="shared" si="327"/>
        <v>0.78927180529321572</v>
      </c>
      <c r="AQ159" s="11">
        <f t="shared" si="362"/>
        <v>0.95855146071837594</v>
      </c>
      <c r="AR159" s="11">
        <f t="shared" si="363"/>
        <v>0.59691013311177232</v>
      </c>
      <c r="AS159" s="11">
        <f t="shared" si="364"/>
        <v>0.62272100932841368</v>
      </c>
      <c r="AT159" s="11">
        <f t="shared" si="365"/>
        <v>497.17188613080003</v>
      </c>
      <c r="AU159" s="11">
        <f t="shared" si="366"/>
        <v>1263.1931618937947</v>
      </c>
      <c r="AV159" s="11">
        <f t="shared" si="367"/>
        <v>1.4801455670727065E-3</v>
      </c>
      <c r="AW159" s="11">
        <f t="shared" si="368"/>
        <v>3.6156512061526155E-7</v>
      </c>
      <c r="AX159" s="41">
        <f t="shared" ca="1" si="369"/>
        <v>1.9079639360028777</v>
      </c>
      <c r="AY159" s="41">
        <f t="shared" ca="1" si="370"/>
        <v>2.5700653283641413</v>
      </c>
      <c r="AZ159" s="41">
        <f t="shared" si="371"/>
        <v>0.28802851385413086</v>
      </c>
    </row>
    <row r="160" spans="1:52" ht="14.5">
      <c r="A160" s="41">
        <f t="shared" ca="1" si="328"/>
        <v>10225.081861530443</v>
      </c>
      <c r="B160" s="41">
        <f t="shared" ca="1" si="329"/>
        <v>170.41803102550739</v>
      </c>
      <c r="C160" s="41">
        <f t="shared" ca="1" si="330"/>
        <v>2.8403005170917899</v>
      </c>
      <c r="D160" s="41">
        <f t="shared" ca="1" si="331"/>
        <v>10815.759477352973</v>
      </c>
      <c r="E160" s="41">
        <f t="shared" ca="1" si="332"/>
        <v>923.39455349437549</v>
      </c>
      <c r="F160" s="41">
        <f t="shared" ca="1" si="333"/>
        <v>10.913592602679703</v>
      </c>
      <c r="G160" s="41"/>
      <c r="H160" s="7">
        <f t="shared" si="334"/>
        <v>13200</v>
      </c>
      <c r="I160" s="6">
        <v>15</v>
      </c>
      <c r="J160" s="41">
        <f t="shared" si="335"/>
        <v>0.39626162653495306</v>
      </c>
      <c r="K160" s="41">
        <f t="shared" si="336"/>
        <v>433.76131850353755</v>
      </c>
      <c r="L160" s="6">
        <f t="shared" si="285"/>
        <v>205.66666666666646</v>
      </c>
      <c r="M160" s="41">
        <f t="shared" si="337"/>
        <v>256.99664103224995</v>
      </c>
      <c r="N160" s="41">
        <f t="shared" si="338"/>
        <v>141.07388804835185</v>
      </c>
      <c r="O160" s="41">
        <f t="shared" si="339"/>
        <v>1794990.7926108199</v>
      </c>
      <c r="P160" s="41">
        <f t="shared" si="340"/>
        <v>11525102.200170744</v>
      </c>
      <c r="Q160" s="41">
        <f t="shared" si="341"/>
        <v>2.8941588301875272E-3</v>
      </c>
      <c r="R160" s="41">
        <f t="shared" si="342"/>
        <v>1.9517052041612731E-2</v>
      </c>
      <c r="S160" s="24">
        <f t="shared" ca="1" si="343"/>
        <v>-3.6203049065281476</v>
      </c>
      <c r="T160" s="10">
        <f t="shared" ca="1" si="344"/>
        <v>-3.6203049065281476</v>
      </c>
      <c r="U160" s="41">
        <f t="shared" ca="1" si="345"/>
        <v>0.33267105147302611</v>
      </c>
      <c r="V160" s="41">
        <f t="shared" ca="1" si="346"/>
        <v>2.65066084249512E-2</v>
      </c>
      <c r="W160" s="41">
        <f t="shared" ca="1" si="347"/>
        <v>12.550494810187644</v>
      </c>
      <c r="X160" s="20">
        <f t="shared" ca="1" si="348"/>
        <v>860.05977118110513</v>
      </c>
      <c r="Y160" s="41">
        <f t="shared" si="349"/>
        <v>0.55590081998576646</v>
      </c>
      <c r="Z160" s="41">
        <f t="shared" ca="1" si="350"/>
        <v>172.64288246574151</v>
      </c>
      <c r="AA160" s="14">
        <f t="shared" ca="1" si="351"/>
        <v>861.77952669829961</v>
      </c>
      <c r="AB160" s="14">
        <f t="shared" si="300"/>
        <v>3542.1450207586813</v>
      </c>
      <c r="AC160" s="25">
        <f t="shared" ca="1" si="352"/>
        <v>373806.62376000895</v>
      </c>
      <c r="AD160" s="41">
        <f t="shared" si="353"/>
        <v>1536445.4945350259</v>
      </c>
      <c r="AE160" s="6">
        <v>5</v>
      </c>
      <c r="AF160" s="41">
        <f t="shared" si="354"/>
        <v>177.10725103793408</v>
      </c>
      <c r="AG160" s="41">
        <f t="shared" ca="1" si="355"/>
        <v>2680.3654940603819</v>
      </c>
      <c r="AH160" s="41">
        <f t="shared" ca="1" si="356"/>
        <v>1162638.870775017</v>
      </c>
      <c r="AI160" s="41">
        <f t="shared" si="357"/>
        <v>139.49121221315852</v>
      </c>
      <c r="AJ160" s="13">
        <f t="shared" ca="1" si="358"/>
        <v>-27.389513074223476</v>
      </c>
      <c r="AK160" s="11"/>
      <c r="AL160" s="6">
        <v>-400</v>
      </c>
      <c r="AM160" s="41">
        <f t="shared" ca="1" si="359"/>
        <v>14.604129650499106</v>
      </c>
      <c r="AN160" s="41">
        <f t="shared" ca="1" si="360"/>
        <v>0.56587437451840317</v>
      </c>
      <c r="AO160" s="41">
        <f t="shared" ca="1" si="361"/>
        <v>1.0404784461011234</v>
      </c>
      <c r="AP160" s="67">
        <f t="shared" si="327"/>
        <v>0.78760870261196314</v>
      </c>
      <c r="AQ160" s="11">
        <f t="shared" si="362"/>
        <v>0.96130160071837589</v>
      </c>
      <c r="AR160" s="11">
        <f t="shared" si="363"/>
        <v>0.60649014121612921</v>
      </c>
      <c r="AS160" s="11">
        <f t="shared" si="364"/>
        <v>0.63090516104716998</v>
      </c>
      <c r="AT160" s="11">
        <f t="shared" si="365"/>
        <v>498.59830124460001</v>
      </c>
      <c r="AU160" s="11">
        <f t="shared" si="366"/>
        <v>1283.4665666443968</v>
      </c>
      <c r="AV160" s="11">
        <f t="shared" si="367"/>
        <v>1.4995984772930182E-3</v>
      </c>
      <c r="AW160" s="11">
        <f t="shared" si="368"/>
        <v>3.6237947036508706E-7</v>
      </c>
      <c r="AX160" s="41">
        <f t="shared" ca="1" si="369"/>
        <v>1.8576537243595264</v>
      </c>
      <c r="AY160" s="41">
        <f t="shared" ca="1" si="370"/>
        <v>2.5022964737399183</v>
      </c>
      <c r="AZ160" s="41">
        <f t="shared" si="371"/>
        <v>0.28215918566195353</v>
      </c>
    </row>
    <row r="161" spans="1:52" ht="14.5">
      <c r="A161" s="41">
        <f t="shared" ca="1" si="328"/>
        <v>10239.685991180942</v>
      </c>
      <c r="B161" s="41">
        <f t="shared" ca="1" si="329"/>
        <v>170.66143318634903</v>
      </c>
      <c r="C161" s="41">
        <f t="shared" ca="1" si="330"/>
        <v>2.8443572197724838</v>
      </c>
      <c r="D161" s="41">
        <f t="shared" ca="1" si="331"/>
        <v>10815.193602978454</v>
      </c>
      <c r="E161" s="41">
        <f t="shared" ca="1" si="332"/>
        <v>924.43503194047662</v>
      </c>
      <c r="F161" s="41">
        <f t="shared" ca="1" si="333"/>
        <v>11.954071048780825</v>
      </c>
      <c r="G161" s="41"/>
      <c r="H161" s="7">
        <f t="shared" si="334"/>
        <v>12800</v>
      </c>
      <c r="I161" s="6">
        <v>15</v>
      </c>
      <c r="J161" s="41">
        <f t="shared" si="335"/>
        <v>0.38706225465208077</v>
      </c>
      <c r="K161" s="41">
        <f t="shared" si="336"/>
        <v>424.29700226293573</v>
      </c>
      <c r="L161" s="6">
        <f t="shared" si="285"/>
        <v>202.38888888888869</v>
      </c>
      <c r="M161" s="41">
        <f t="shared" si="337"/>
        <v>251.38918508875321</v>
      </c>
      <c r="N161" s="41">
        <f t="shared" si="338"/>
        <v>136.75340706551819</v>
      </c>
      <c r="O161" s="41">
        <f t="shared" si="339"/>
        <v>1774847.5623644027</v>
      </c>
      <c r="P161" s="41">
        <f t="shared" si="340"/>
        <v>11395768.507659785</v>
      </c>
      <c r="Q161" s="41">
        <f t="shared" si="341"/>
        <v>2.9012616744318719E-3</v>
      </c>
      <c r="R161" s="41">
        <f t="shared" si="342"/>
        <v>1.9557588188697548E-2</v>
      </c>
      <c r="S161" s="24">
        <f t="shared" ca="1" si="343"/>
        <v>-3.5473742421436465</v>
      </c>
      <c r="T161" s="10">
        <f t="shared" ca="1" si="344"/>
        <v>-3.5473742421436465</v>
      </c>
      <c r="U161" s="41">
        <f t="shared" ca="1" si="345"/>
        <v>0.34319060627223663</v>
      </c>
      <c r="V161" s="41">
        <f t="shared" ca="1" si="346"/>
        <v>2.6996173954689139E-2</v>
      </c>
      <c r="W161" s="41">
        <f t="shared" ca="1" si="347"/>
        <v>12.712564634094219</v>
      </c>
      <c r="X161" s="20">
        <f t="shared" ca="1" si="348"/>
        <v>849.11831618854308</v>
      </c>
      <c r="Y161" s="41">
        <f t="shared" si="349"/>
        <v>0.55647781257904205</v>
      </c>
      <c r="Z161" s="41">
        <f t="shared" ca="1" si="350"/>
        <v>171.5252306556076</v>
      </c>
      <c r="AA161" s="14">
        <f t="shared" ca="1" si="351"/>
        <v>850.74836701107915</v>
      </c>
      <c r="AB161" s="14">
        <f t="shared" si="300"/>
        <v>3598.8210226463525</v>
      </c>
      <c r="AC161" s="25">
        <f t="shared" ca="1" si="352"/>
        <v>360969.98180288874</v>
      </c>
      <c r="AD161" s="41">
        <f t="shared" si="353"/>
        <v>1526968.9715896801</v>
      </c>
      <c r="AE161" s="6">
        <v>5</v>
      </c>
      <c r="AF161" s="41">
        <f t="shared" si="354"/>
        <v>179.94105113231763</v>
      </c>
      <c r="AG161" s="41">
        <f t="shared" ca="1" si="355"/>
        <v>2748.0726556352733</v>
      </c>
      <c r="AH161" s="41">
        <f t="shared" ca="1" si="356"/>
        <v>1165998.9897867914</v>
      </c>
      <c r="AI161" s="41">
        <f t="shared" si="357"/>
        <v>141.42505199567756</v>
      </c>
      <c r="AJ161" s="13">
        <f t="shared" ca="1" si="358"/>
        <v>-26.252873315894547</v>
      </c>
      <c r="AK161" s="11"/>
      <c r="AL161" s="6">
        <v>-400</v>
      </c>
      <c r="AM161" s="41">
        <f t="shared" ca="1" si="359"/>
        <v>15.236427464030152</v>
      </c>
      <c r="AN161" s="41">
        <f t="shared" ca="1" si="360"/>
        <v>0.59855904064689824</v>
      </c>
      <c r="AO161" s="41">
        <f t="shared" ca="1" si="361"/>
        <v>1.0619261678607723</v>
      </c>
      <c r="AP161" s="67">
        <f t="shared" si="327"/>
        <v>0.78595212768698475</v>
      </c>
      <c r="AQ161" s="11">
        <f t="shared" si="362"/>
        <v>0.96405174071837596</v>
      </c>
      <c r="AR161" s="11">
        <f t="shared" si="363"/>
        <v>0.61619427139345806</v>
      </c>
      <c r="AS161" s="11">
        <f t="shared" si="364"/>
        <v>0.63917136950999409</v>
      </c>
      <c r="AT161" s="11">
        <f t="shared" si="365"/>
        <v>500.02471635840004</v>
      </c>
      <c r="AU161" s="11">
        <f t="shared" si="366"/>
        <v>1304.0026410082637</v>
      </c>
      <c r="AV161" s="11">
        <f t="shared" si="367"/>
        <v>1.5192464281883048E-3</v>
      </c>
      <c r="AW161" s="11">
        <f t="shared" si="368"/>
        <v>3.6319271516492172E-7</v>
      </c>
      <c r="AX161" s="41">
        <f t="shared" ca="1" si="369"/>
        <v>1.8082382108624238</v>
      </c>
      <c r="AY161" s="41">
        <f t="shared" ca="1" si="370"/>
        <v>2.4357327952941525</v>
      </c>
      <c r="AZ161" s="41">
        <f t="shared" si="371"/>
        <v>0.27632078316671305</v>
      </c>
    </row>
    <row r="162" spans="1:52" ht="14.5">
      <c r="A162" s="41">
        <f t="shared" ca="1" si="328"/>
        <v>10254.922418644972</v>
      </c>
      <c r="B162" s="41">
        <f t="shared" ca="1" si="329"/>
        <v>170.91537364408288</v>
      </c>
      <c r="C162" s="41">
        <f t="shared" ca="1" si="330"/>
        <v>2.8485895607347147</v>
      </c>
      <c r="D162" s="41">
        <f t="shared" ca="1" si="331"/>
        <v>10814.595043937807</v>
      </c>
      <c r="E162" s="41">
        <f t="shared" ca="1" si="332"/>
        <v>925.49695810833737</v>
      </c>
      <c r="F162" s="41">
        <f t="shared" ca="1" si="333"/>
        <v>13.015997216641598</v>
      </c>
      <c r="G162" s="41"/>
      <c r="H162" s="7">
        <f t="shared" si="334"/>
        <v>12400</v>
      </c>
      <c r="I162" s="6">
        <v>15</v>
      </c>
      <c r="J162" s="41">
        <f t="shared" si="335"/>
        <v>0.37797675331064118</v>
      </c>
      <c r="K162" s="41">
        <f t="shared" si="336"/>
        <v>414.92805791401798</v>
      </c>
      <c r="L162" s="6">
        <f t="shared" si="285"/>
        <v>199.11111111111092</v>
      </c>
      <c r="M162" s="41">
        <f t="shared" si="337"/>
        <v>245.83823546512903</v>
      </c>
      <c r="N162" s="41">
        <f t="shared" si="338"/>
        <v>132.48900695371097</v>
      </c>
      <c r="O162" s="41">
        <f t="shared" si="339"/>
        <v>1754405.0015787864</v>
      </c>
      <c r="P162" s="41">
        <f t="shared" si="340"/>
        <v>11264512.90275234</v>
      </c>
      <c r="Q162" s="41">
        <f t="shared" si="341"/>
        <v>2.9084577827262078E-3</v>
      </c>
      <c r="R162" s="41">
        <f t="shared" si="342"/>
        <v>1.9598656596538498E-2</v>
      </c>
      <c r="S162" s="24">
        <f t="shared" ca="1" si="343"/>
        <v>-3.4771817879850322</v>
      </c>
      <c r="T162" s="10">
        <f t="shared" ca="1" si="344"/>
        <v>-3.4771817879850322</v>
      </c>
      <c r="U162" s="41">
        <f t="shared" ca="1" si="345"/>
        <v>0.35424385204909148</v>
      </c>
      <c r="V162" s="41">
        <f t="shared" ca="1" si="346"/>
        <v>2.7524112142504494E-2</v>
      </c>
      <c r="W162" s="41">
        <f t="shared" ca="1" si="347"/>
        <v>12.87030986558311</v>
      </c>
      <c r="X162" s="20">
        <f t="shared" ca="1" si="348"/>
        <v>838.72772555988968</v>
      </c>
      <c r="Y162" s="41">
        <f t="shared" si="349"/>
        <v>0.55706177192743089</v>
      </c>
      <c r="Z162" s="41">
        <f t="shared" ca="1" si="350"/>
        <v>170.41754977257057</v>
      </c>
      <c r="AA162" s="14">
        <f t="shared" ca="1" si="351"/>
        <v>840.2746442692453</v>
      </c>
      <c r="AB162" s="14">
        <f t="shared" si="300"/>
        <v>3656.2291108763789</v>
      </c>
      <c r="AC162" s="25">
        <f t="shared" ca="1" si="352"/>
        <v>348653.52626103029</v>
      </c>
      <c r="AD162" s="41">
        <f t="shared" si="353"/>
        <v>1517072.0442646325</v>
      </c>
      <c r="AE162" s="6">
        <v>5</v>
      </c>
      <c r="AF162" s="41">
        <f t="shared" si="354"/>
        <v>182.81145554381897</v>
      </c>
      <c r="AG162" s="41">
        <f t="shared" ca="1" si="355"/>
        <v>2815.9544666071333</v>
      </c>
      <c r="AH162" s="41">
        <f t="shared" ca="1" si="356"/>
        <v>1168418.5180036023</v>
      </c>
      <c r="AI162" s="41">
        <f t="shared" si="357"/>
        <v>143.37946200361148</v>
      </c>
      <c r="AJ162" s="13">
        <f t="shared" ca="1" si="358"/>
        <v>-25.165811846513371</v>
      </c>
      <c r="AK162" s="11"/>
      <c r="AL162" s="6">
        <v>-400</v>
      </c>
      <c r="AM162" s="41">
        <f t="shared" ca="1" si="359"/>
        <v>15.894579616171551</v>
      </c>
      <c r="AN162" s="41">
        <f t="shared" ca="1" si="360"/>
        <v>0.63304340948340176</v>
      </c>
      <c r="AO162" s="41">
        <f t="shared" ca="1" si="361"/>
        <v>1.0834171756662712</v>
      </c>
      <c r="AP162" s="67">
        <f t="shared" si="327"/>
        <v>0.78430239274170743</v>
      </c>
      <c r="AQ162" s="11">
        <f t="shared" si="362"/>
        <v>0.96680188071837592</v>
      </c>
      <c r="AR162" s="11">
        <f t="shared" si="363"/>
        <v>0.62602375023566514</v>
      </c>
      <c r="AS162" s="11">
        <f t="shared" si="364"/>
        <v>0.64752020317803083</v>
      </c>
      <c r="AT162" s="11">
        <f t="shared" si="365"/>
        <v>501.45113147220002</v>
      </c>
      <c r="AU162" s="11">
        <f t="shared" si="366"/>
        <v>1324.8039807237192</v>
      </c>
      <c r="AV162" s="11">
        <f t="shared" si="367"/>
        <v>1.5390907709338614E-3</v>
      </c>
      <c r="AW162" s="11">
        <f t="shared" si="368"/>
        <v>3.6400485860578931E-7</v>
      </c>
      <c r="AX162" s="41">
        <f t="shared" ca="1" si="369"/>
        <v>1.7597451217444726</v>
      </c>
      <c r="AY162" s="41">
        <f t="shared" ca="1" si="370"/>
        <v>2.3704116408134155</v>
      </c>
      <c r="AZ162" s="41">
        <f t="shared" si="371"/>
        <v>0.27051427995276839</v>
      </c>
    </row>
    <row r="163" spans="1:52" ht="14.5">
      <c r="A163" s="41">
        <f t="shared" ca="1" si="328"/>
        <v>10270.816998261143</v>
      </c>
      <c r="B163" s="41">
        <f t="shared" ca="1" si="329"/>
        <v>171.1802833043524</v>
      </c>
      <c r="C163" s="41">
        <f t="shared" ca="1" si="330"/>
        <v>2.8530047217392065</v>
      </c>
      <c r="D163" s="41">
        <f t="shared" ca="1" si="331"/>
        <v>10813.962000528323</v>
      </c>
      <c r="E163" s="41">
        <f t="shared" ca="1" si="332"/>
        <v>926.58037528400359</v>
      </c>
      <c r="F163" s="41">
        <f t="shared" ca="1" si="333"/>
        <v>14.099414392307869</v>
      </c>
      <c r="G163" s="41"/>
      <c r="H163" s="7">
        <f t="shared" si="334"/>
        <v>12000</v>
      </c>
      <c r="I163" s="6">
        <v>15</v>
      </c>
      <c r="J163" s="41">
        <f t="shared" si="335"/>
        <v>0.36900422142693123</v>
      </c>
      <c r="K163" s="41">
        <f t="shared" si="336"/>
        <v>405.6540929209811</v>
      </c>
      <c r="L163" s="6">
        <f t="shared" si="285"/>
        <v>195.83333333333314</v>
      </c>
      <c r="M163" s="41">
        <f t="shared" si="337"/>
        <v>240.34355959019456</v>
      </c>
      <c r="N163" s="41">
        <f t="shared" si="338"/>
        <v>128.28174356051133</v>
      </c>
      <c r="O163" s="41">
        <f t="shared" si="339"/>
        <v>1733665.1704259594</v>
      </c>
      <c r="P163" s="41">
        <f t="shared" si="340"/>
        <v>11131348.613200219</v>
      </c>
      <c r="Q163" s="41">
        <f t="shared" si="341"/>
        <v>2.9157533322078113E-3</v>
      </c>
      <c r="R163" s="41">
        <f t="shared" si="342"/>
        <v>1.9640292518244978E-2</v>
      </c>
      <c r="S163" s="24">
        <f t="shared" ca="1" si="343"/>
        <v>-3.4098842946077537</v>
      </c>
      <c r="T163" s="10">
        <f t="shared" ca="1" si="344"/>
        <v>-3.4098842946077537</v>
      </c>
      <c r="U163" s="41">
        <f t="shared" ca="1" si="345"/>
        <v>0.36586644864233225</v>
      </c>
      <c r="V163" s="41">
        <f t="shared" ca="1" si="346"/>
        <v>2.8094341515431481E-2</v>
      </c>
      <c r="W163" s="41">
        <f t="shared" ca="1" si="347"/>
        <v>13.022780706263269</v>
      </c>
      <c r="X163" s="20">
        <f t="shared" ca="1" si="348"/>
        <v>828.91795617032199</v>
      </c>
      <c r="Y163" s="41">
        <f t="shared" si="349"/>
        <v>0.55765317662141223</v>
      </c>
      <c r="Z163" s="41">
        <f t="shared" ca="1" si="350"/>
        <v>169.31970661299047</v>
      </c>
      <c r="AA163" s="14">
        <f t="shared" ca="1" si="351"/>
        <v>830.38809025843295</v>
      </c>
      <c r="AB163" s="14">
        <f t="shared" si="300"/>
        <v>3714.3764981396826</v>
      </c>
      <c r="AC163" s="25">
        <f t="shared" ca="1" si="352"/>
        <v>336850.32752617041</v>
      </c>
      <c r="AD163" s="41">
        <f t="shared" si="353"/>
        <v>1506752.0291198632</v>
      </c>
      <c r="AE163" s="6">
        <v>5</v>
      </c>
      <c r="AF163" s="41">
        <f t="shared" si="354"/>
        <v>185.71882490698414</v>
      </c>
      <c r="AG163" s="41">
        <f t="shared" ca="1" si="355"/>
        <v>2883.9884078812497</v>
      </c>
      <c r="AH163" s="41">
        <f t="shared" ca="1" si="356"/>
        <v>1169901.7015936929</v>
      </c>
      <c r="AI163" s="41">
        <f t="shared" si="357"/>
        <v>145.35465796961313</v>
      </c>
      <c r="AJ163" s="13">
        <f t="shared" ca="1" si="358"/>
        <v>-24.127730442130751</v>
      </c>
      <c r="AK163" s="11"/>
      <c r="AL163" s="6">
        <v>-400</v>
      </c>
      <c r="AM163" s="41">
        <f t="shared" ca="1" si="359"/>
        <v>16.578434551039997</v>
      </c>
      <c r="AN163" s="41">
        <f t="shared" ca="1" si="360"/>
        <v>0.66937574551056545</v>
      </c>
      <c r="AO163" s="41">
        <f t="shared" ca="1" si="361"/>
        <v>1.1048515850644849</v>
      </c>
      <c r="AP163" s="67">
        <f t="shared" si="327"/>
        <v>0.78265979790908602</v>
      </c>
      <c r="AQ163" s="11">
        <f t="shared" si="362"/>
        <v>0.96955202071837587</v>
      </c>
      <c r="AR163" s="11">
        <f t="shared" si="363"/>
        <v>0.63597981270797932</v>
      </c>
      <c r="AS163" s="11">
        <f t="shared" si="364"/>
        <v>0.65595223269893144</v>
      </c>
      <c r="AT163" s="11">
        <f t="shared" si="365"/>
        <v>502.87754658599999</v>
      </c>
      <c r="AU163" s="11">
        <f t="shared" si="366"/>
        <v>1345.8731992488799</v>
      </c>
      <c r="AV163" s="11">
        <f t="shared" si="367"/>
        <v>1.55913286190209E-3</v>
      </c>
      <c r="AW163" s="11">
        <f t="shared" si="368"/>
        <v>3.6481590426298337E-7</v>
      </c>
      <c r="AX163" s="41">
        <f t="shared" ca="1" si="369"/>
        <v>1.7122031272473905</v>
      </c>
      <c r="AY163" s="41">
        <f t="shared" ca="1" si="370"/>
        <v>2.3063716296829089</v>
      </c>
      <c r="AZ163" s="41">
        <f t="shared" si="371"/>
        <v>0.26474060262751059</v>
      </c>
    </row>
    <row r="164" spans="1:52" ht="14.5">
      <c r="A164" s="41">
        <f t="shared" ca="1" si="328"/>
        <v>10287.395432812184</v>
      </c>
      <c r="B164" s="41">
        <f t="shared" ca="1" si="329"/>
        <v>171.45659054686973</v>
      </c>
      <c r="C164" s="41">
        <f t="shared" ca="1" si="330"/>
        <v>2.8576098424478289</v>
      </c>
      <c r="D164" s="41">
        <f t="shared" ca="1" si="331"/>
        <v>10813.292624782813</v>
      </c>
      <c r="E164" s="41">
        <f t="shared" ca="1" si="332"/>
        <v>927.68522686906806</v>
      </c>
      <c r="F164" s="41">
        <f t="shared" ca="1" si="333"/>
        <v>15.204265977372355</v>
      </c>
      <c r="G164" s="41"/>
      <c r="H164" s="7">
        <f t="shared" si="334"/>
        <v>11600</v>
      </c>
      <c r="I164" s="6">
        <v>15</v>
      </c>
      <c r="J164" s="41">
        <f t="shared" si="335"/>
        <v>0.36014373985775749</v>
      </c>
      <c r="K164" s="41">
        <f t="shared" si="336"/>
        <v>396.47468736621983</v>
      </c>
      <c r="L164" s="6">
        <f t="shared" si="285"/>
        <v>192.55555555555537</v>
      </c>
      <c r="M164" s="41">
        <f t="shared" si="337"/>
        <v>234.90490866948738</v>
      </c>
      <c r="N164" s="41">
        <f t="shared" si="338"/>
        <v>124.13262417421163</v>
      </c>
      <c r="O164" s="41">
        <f t="shared" si="339"/>
        <v>1712630.0779189297</v>
      </c>
      <c r="P164" s="41">
        <f t="shared" si="340"/>
        <v>10996288.538278639</v>
      </c>
      <c r="Q164" s="41">
        <f t="shared" si="341"/>
        <v>2.9231547754483733E-3</v>
      </c>
      <c r="R164" s="41">
        <f t="shared" si="342"/>
        <v>1.968253277883893E-2</v>
      </c>
      <c r="S164" s="24">
        <f t="shared" ca="1" si="343"/>
        <v>-3.3456482825406151</v>
      </c>
      <c r="T164" s="10">
        <f t="shared" ca="1" si="344"/>
        <v>-3.3456482825406151</v>
      </c>
      <c r="U164" s="41">
        <f t="shared" ca="1" si="345"/>
        <v>0.37809710902463761</v>
      </c>
      <c r="V164" s="41">
        <f t="shared" ca="1" si="346"/>
        <v>2.8711255262114547E-2</v>
      </c>
      <c r="W164" s="41">
        <f t="shared" ca="1" si="347"/>
        <v>13.168950837323692</v>
      </c>
      <c r="X164" s="20">
        <f t="shared" ca="1" si="348"/>
        <v>819.72079557504185</v>
      </c>
      <c r="Y164" s="41">
        <f t="shared" si="349"/>
        <v>0.55825252522983271</v>
      </c>
      <c r="Z164" s="41">
        <f t="shared" ca="1" si="350"/>
        <v>168.23156936911303</v>
      </c>
      <c r="AA164" s="14">
        <f t="shared" ca="1" si="351"/>
        <v>821.12028196927974</v>
      </c>
      <c r="AB164" s="14">
        <f t="shared" si="300"/>
        <v>3773.2704462160432</v>
      </c>
      <c r="AC164" s="25">
        <f t="shared" ca="1" si="352"/>
        <v>325553.40708383248</v>
      </c>
      <c r="AD164" s="41">
        <f t="shared" si="353"/>
        <v>1496006.2205117026</v>
      </c>
      <c r="AE164" s="6">
        <v>5</v>
      </c>
      <c r="AF164" s="41">
        <f t="shared" si="354"/>
        <v>188.66352231080216</v>
      </c>
      <c r="AG164" s="41">
        <f t="shared" ca="1" si="355"/>
        <v>2952.1501642467633</v>
      </c>
      <c r="AH164" s="41">
        <f t="shared" ca="1" si="356"/>
        <v>1170452.8134278702</v>
      </c>
      <c r="AI164" s="41">
        <f t="shared" si="357"/>
        <v>147.35085796296133</v>
      </c>
      <c r="AJ164" s="13">
        <f t="shared" ca="1" si="358"/>
        <v>-23.138025003983824</v>
      </c>
      <c r="AK164" s="11"/>
      <c r="AL164" s="6">
        <v>-400</v>
      </c>
      <c r="AM164" s="41">
        <f t="shared" ca="1" si="359"/>
        <v>17.287560192848328</v>
      </c>
      <c r="AN164" s="41">
        <f t="shared" ca="1" si="360"/>
        <v>0.70759356291737174</v>
      </c>
      <c r="AO164" s="41">
        <f t="shared" ca="1" si="361"/>
        <v>1.1261142910632833</v>
      </c>
      <c r="AP164" s="67">
        <f t="shared" si="327"/>
        <v>0.78102463135516564</v>
      </c>
      <c r="AQ164" s="11">
        <f t="shared" si="362"/>
        <v>0.97230216071837594</v>
      </c>
      <c r="AR164" s="11">
        <f t="shared" si="363"/>
        <v>0.64606370218067988</v>
      </c>
      <c r="AS164" s="11">
        <f t="shared" si="364"/>
        <v>0.66446803090856243</v>
      </c>
      <c r="AT164" s="11">
        <f t="shared" si="365"/>
        <v>504.30396169980003</v>
      </c>
      <c r="AU164" s="11">
        <f t="shared" si="366"/>
        <v>1367.2129278287982</v>
      </c>
      <c r="AV164" s="11">
        <f t="shared" si="367"/>
        <v>1.579374062666562E-3</v>
      </c>
      <c r="AW164" s="11">
        <f t="shared" si="368"/>
        <v>3.6562585569613188E-7</v>
      </c>
      <c r="AX164" s="41">
        <f t="shared" ca="1" si="369"/>
        <v>1.665642061080892</v>
      </c>
      <c r="AY164" s="41">
        <f t="shared" ca="1" si="370"/>
        <v>2.2436529485023406</v>
      </c>
      <c r="AZ164" s="41">
        <f t="shared" si="371"/>
        <v>0.25900063163647802</v>
      </c>
    </row>
    <row r="165" spans="1:52" ht="14.5">
      <c r="A165" s="41">
        <f t="shared" ca="1" si="328"/>
        <v>10304.682993005032</v>
      </c>
      <c r="B165" s="41">
        <f t="shared" ca="1" si="329"/>
        <v>171.74471655008387</v>
      </c>
      <c r="C165" s="41">
        <f t="shared" ca="1" si="330"/>
        <v>2.8624119425013976</v>
      </c>
      <c r="D165" s="41">
        <f t="shared" ca="1" si="331"/>
        <v>10812.585031219895</v>
      </c>
      <c r="E165" s="41">
        <f t="shared" ca="1" si="332"/>
        <v>928.81134116013129</v>
      </c>
      <c r="F165" s="41">
        <f t="shared" ca="1" si="333"/>
        <v>16.33038026843564</v>
      </c>
      <c r="G165" s="41"/>
      <c r="H165" s="7">
        <f t="shared" si="334"/>
        <v>11200</v>
      </c>
      <c r="I165" s="6">
        <v>15</v>
      </c>
      <c r="J165" s="41">
        <f t="shared" si="335"/>
        <v>0.35139437253126449</v>
      </c>
      <c r="K165" s="41">
        <f t="shared" si="336"/>
        <v>387.38939509035401</v>
      </c>
      <c r="L165" s="6">
        <f t="shared" si="285"/>
        <v>189.2777777777776</v>
      </c>
      <c r="M165" s="41">
        <f t="shared" si="337"/>
        <v>229.5220183607133</v>
      </c>
      <c r="N165" s="41">
        <f t="shared" si="338"/>
        <v>120.0426087440658</v>
      </c>
      <c r="O165" s="41">
        <f t="shared" si="339"/>
        <v>1691301.6806440798</v>
      </c>
      <c r="P165" s="41">
        <f t="shared" si="340"/>
        <v>10859345.240647038</v>
      </c>
      <c r="Q165" s="41">
        <f t="shared" si="341"/>
        <v>2.9306688602721009E-3</v>
      </c>
      <c r="R165" s="41">
        <f t="shared" si="342"/>
        <v>1.9725415888357339E-2</v>
      </c>
      <c r="S165" s="24">
        <f t="shared" ca="1" si="343"/>
        <v>-3.2846512162195851</v>
      </c>
      <c r="T165" s="10">
        <f t="shared" ca="1" si="344"/>
        <v>-3.2846512162195851</v>
      </c>
      <c r="U165" s="41">
        <f t="shared" ca="1" si="345"/>
        <v>0.39097791826443667</v>
      </c>
      <c r="V165" s="41">
        <f t="shared" ca="1" si="346"/>
        <v>2.9379788371712706E-2</v>
      </c>
      <c r="W165" s="41">
        <f t="shared" ca="1" si="347"/>
        <v>13.307717309525483</v>
      </c>
      <c r="X165" s="20">
        <f t="shared" ca="1" si="348"/>
        <v>811.17008131246143</v>
      </c>
      <c r="Y165" s="41">
        <f t="shared" si="349"/>
        <v>0.55886033772767296</v>
      </c>
      <c r="Z165" s="41">
        <f t="shared" ca="1" si="350"/>
        <v>167.15300755449309</v>
      </c>
      <c r="AA165" s="14">
        <f t="shared" ca="1" si="351"/>
        <v>812.50486313534725</v>
      </c>
      <c r="AB165" s="14">
        <f t="shared" si="300"/>
        <v>3832.9182661595396</v>
      </c>
      <c r="AC165" s="25">
        <f t="shared" ca="1" si="352"/>
        <v>314755.76743797306</v>
      </c>
      <c r="AD165" s="41">
        <f t="shared" si="353"/>
        <v>1484831.8885583126</v>
      </c>
      <c r="AE165" s="6">
        <v>5</v>
      </c>
      <c r="AF165" s="41">
        <f t="shared" si="354"/>
        <v>191.645913307977</v>
      </c>
      <c r="AG165" s="41">
        <f t="shared" ca="1" si="355"/>
        <v>3020.4134030241921</v>
      </c>
      <c r="AH165" s="41">
        <f t="shared" ca="1" si="356"/>
        <v>1170076.1211203395</v>
      </c>
      <c r="AI165" s="41">
        <f t="shared" si="357"/>
        <v>149.36828236219139</v>
      </c>
      <c r="AJ165" s="13">
        <f t="shared" ca="1" si="358"/>
        <v>-22.196088353909129</v>
      </c>
      <c r="AK165" s="11"/>
      <c r="AL165" s="6">
        <v>-400</v>
      </c>
      <c r="AM165" s="41">
        <f t="shared" ca="1" si="359"/>
        <v>18.021193357231923</v>
      </c>
      <c r="AN165" s="41">
        <f t="shared" ca="1" si="360"/>
        <v>0.74772074941296274</v>
      </c>
      <c r="AO165" s="41">
        <f t="shared" ca="1" si="361"/>
        <v>1.147073785979104</v>
      </c>
      <c r="AP165" s="67">
        <f t="shared" si="327"/>
        <v>0.77939716941500858</v>
      </c>
      <c r="AQ165" s="11">
        <f t="shared" si="362"/>
        <v>0.9750523007183759</v>
      </c>
      <c r="AR165" s="11">
        <f t="shared" si="363"/>
        <v>0.65627667046084848</v>
      </c>
      <c r="AS165" s="11">
        <f t="shared" si="364"/>
        <v>0.67306817283271114</v>
      </c>
      <c r="AT165" s="11">
        <f t="shared" si="365"/>
        <v>505.7303768136</v>
      </c>
      <c r="AU165" s="11">
        <f t="shared" si="366"/>
        <v>1388.8258155626565</v>
      </c>
      <c r="AV165" s="11">
        <f t="shared" si="367"/>
        <v>1.5998157400060711E-3</v>
      </c>
      <c r="AW165" s="11">
        <f t="shared" si="368"/>
        <v>3.6643471644926505E-7</v>
      </c>
      <c r="AX165" s="41">
        <f t="shared" ca="1" si="369"/>
        <v>1.6200931734274766</v>
      </c>
      <c r="AY165" s="41">
        <f t="shared" ca="1" si="370"/>
        <v>2.1822976918884023</v>
      </c>
      <c r="AZ165" s="41">
        <f t="shared" si="371"/>
        <v>0.25329520211195938</v>
      </c>
    </row>
    <row r="166" spans="1:52" ht="14.5">
      <c r="A166" s="41">
        <f t="shared" ca="1" si="328"/>
        <v>10322.704186362263</v>
      </c>
      <c r="B166" s="41">
        <f t="shared" ca="1" si="329"/>
        <v>172.04506977270438</v>
      </c>
      <c r="C166" s="41">
        <f t="shared" ca="1" si="330"/>
        <v>2.8674178295450732</v>
      </c>
      <c r="D166" s="41">
        <f t="shared" ca="1" si="331"/>
        <v>10811.837310470482</v>
      </c>
      <c r="E166" s="41">
        <f t="shared" ca="1" si="332"/>
        <v>929.95841494611045</v>
      </c>
      <c r="F166" s="41">
        <f t="shared" ca="1" si="333"/>
        <v>17.477454054414743</v>
      </c>
      <c r="G166" s="41"/>
      <c r="H166" s="7">
        <f t="shared" si="334"/>
        <v>10800</v>
      </c>
      <c r="I166" s="6">
        <v>15</v>
      </c>
      <c r="J166" s="41">
        <f t="shared" si="335"/>
        <v>0.34275516756424929</v>
      </c>
      <c r="K166" s="41">
        <f t="shared" si="336"/>
        <v>378.39774482815267</v>
      </c>
      <c r="L166" s="6">
        <f t="shared" si="285"/>
        <v>185.99999999999983</v>
      </c>
      <c r="M166" s="41">
        <f t="shared" si="337"/>
        <v>224.1946094467632</v>
      </c>
      <c r="N166" s="41">
        <f t="shared" si="338"/>
        <v>116.01261112661403</v>
      </c>
      <c r="O166" s="41">
        <f t="shared" si="339"/>
        <v>1669681.8816384396</v>
      </c>
      <c r="P166" s="41">
        <f t="shared" si="340"/>
        <v>10720530.939140379</v>
      </c>
      <c r="Q166" s="41">
        <f t="shared" si="341"/>
        <v>2.9383026515334425E-3</v>
      </c>
      <c r="R166" s="41">
        <f t="shared" si="342"/>
        <v>1.9768982166138375E-2</v>
      </c>
      <c r="S166" s="24">
        <f t="shared" ca="1" si="343"/>
        <v>-3.2270828215329881</v>
      </c>
      <c r="T166" s="10">
        <f t="shared" ca="1" si="344"/>
        <v>-3.2270828215329881</v>
      </c>
      <c r="U166" s="41">
        <f t="shared" ca="1" si="345"/>
        <v>0.40455469209406064</v>
      </c>
      <c r="V166" s="41">
        <f t="shared" ca="1" si="346"/>
        <v>3.0105495661316251E-2</v>
      </c>
      <c r="W166" s="41">
        <f t="shared" ca="1" si="347"/>
        <v>13.437901725494228</v>
      </c>
      <c r="X166" s="20">
        <f t="shared" ca="1" si="348"/>
        <v>803.30194701395703</v>
      </c>
      <c r="Y166" s="41">
        <f t="shared" si="349"/>
        <v>0.55947715706373857</v>
      </c>
      <c r="Z166" s="41">
        <f t="shared" ca="1" si="350"/>
        <v>166.0838919337175</v>
      </c>
      <c r="AA166" s="14">
        <f t="shared" ca="1" si="351"/>
        <v>804.57779282299646</v>
      </c>
      <c r="AB166" s="14">
        <f t="shared" si="300"/>
        <v>3893.3273184841605</v>
      </c>
      <c r="AC166" s="25">
        <f t="shared" ca="1" si="352"/>
        <v>304450.42234303447</v>
      </c>
      <c r="AD166" s="41">
        <f t="shared" si="353"/>
        <v>1473226.2771922452</v>
      </c>
      <c r="AE166" s="6">
        <v>5</v>
      </c>
      <c r="AF166" s="41">
        <f t="shared" si="354"/>
        <v>194.66636592420804</v>
      </c>
      <c r="AG166" s="41">
        <f t="shared" ca="1" si="355"/>
        <v>3088.7495256611642</v>
      </c>
      <c r="AH166" s="41">
        <f t="shared" ca="1" si="356"/>
        <v>1168775.8548492107</v>
      </c>
      <c r="AI166" s="41">
        <f t="shared" si="357"/>
        <v>151.40715382798237</v>
      </c>
      <c r="AJ166" s="13">
        <f t="shared" ca="1" si="358"/>
        <v>-21.30131306022319</v>
      </c>
      <c r="AK166" s="11"/>
      <c r="AL166" s="6">
        <v>-400</v>
      </c>
      <c r="AM166" s="41">
        <f t="shared" ca="1" si="359"/>
        <v>18.778185122631537</v>
      </c>
      <c r="AN166" s="41">
        <f t="shared" ca="1" si="360"/>
        <v>0.78976432318683421</v>
      </c>
      <c r="AO166" s="41">
        <f t="shared" ca="1" si="361"/>
        <v>1.1675811092704451</v>
      </c>
      <c r="AP166" s="67">
        <f t="shared" si="327"/>
        <v>0.77777767674017018</v>
      </c>
      <c r="AQ166" s="11">
        <f t="shared" si="362"/>
        <v>0.97780244071837585</v>
      </c>
      <c r="AR166" s="11">
        <f t="shared" si="363"/>
        <v>0.66661997782414906</v>
      </c>
      <c r="AS166" s="11">
        <f t="shared" si="364"/>
        <v>0.68175323568879009</v>
      </c>
      <c r="AT166" s="11">
        <f t="shared" si="365"/>
        <v>507.15679192739998</v>
      </c>
      <c r="AU166" s="11">
        <f t="shared" si="366"/>
        <v>1410.7145294710206</v>
      </c>
      <c r="AV166" s="11">
        <f t="shared" si="367"/>
        <v>1.6204592659086851E-3</v>
      </c>
      <c r="AW166" s="11">
        <f t="shared" si="368"/>
        <v>3.6724249005087463E-7</v>
      </c>
      <c r="AX166" s="41">
        <f t="shared" ca="1" si="369"/>
        <v>1.5755894240145873</v>
      </c>
      <c r="AY166" s="41">
        <f t="shared" ca="1" si="370"/>
        <v>2.1223502572487885</v>
      </c>
      <c r="AZ166" s="41">
        <f t="shared" si="371"/>
        <v>0.24762510475175045</v>
      </c>
    </row>
    <row r="167" spans="1:52" ht="14.5">
      <c r="A167" s="41">
        <f t="shared" ca="1" si="328"/>
        <v>10341.482371484895</v>
      </c>
      <c r="B167" s="41">
        <f t="shared" ca="1" si="329"/>
        <v>172.35803952474825</v>
      </c>
      <c r="C167" s="41">
        <f t="shared" ca="1" si="330"/>
        <v>2.8726339920791375</v>
      </c>
      <c r="D167" s="41">
        <f t="shared" ca="1" si="331"/>
        <v>10811.047546147296</v>
      </c>
      <c r="E167" s="41">
        <f t="shared" ca="1" si="332"/>
        <v>931.12599605538094</v>
      </c>
      <c r="F167" s="41">
        <f t="shared" ca="1" si="333"/>
        <v>18.645035163685186</v>
      </c>
      <c r="G167" s="41"/>
      <c r="H167" s="7">
        <f t="shared" si="334"/>
        <v>10400</v>
      </c>
      <c r="I167" s="6">
        <v>15</v>
      </c>
      <c r="J167" s="41">
        <f t="shared" si="335"/>
        <v>0.33422515836376321</v>
      </c>
      <c r="K167" s="41">
        <f t="shared" si="336"/>
        <v>369.49924133772191</v>
      </c>
      <c r="L167" s="6">
        <f t="shared" si="285"/>
        <v>182.72222222222206</v>
      </c>
      <c r="M167" s="41">
        <f t="shared" si="337"/>
        <v>218.92238850473882</v>
      </c>
      <c r="N167" s="41">
        <f t="shared" si="338"/>
        <v>112.04350035325751</v>
      </c>
      <c r="O167" s="41">
        <f t="shared" si="339"/>
        <v>1647772.5294055834</v>
      </c>
      <c r="P167" s="41">
        <f t="shared" si="340"/>
        <v>10579857.502450528</v>
      </c>
      <c r="Q167" s="41">
        <f t="shared" si="341"/>
        <v>2.9460635550658462E-3</v>
      </c>
      <c r="R167" s="41">
        <f t="shared" si="342"/>
        <v>1.9813273877497678E-2</v>
      </c>
      <c r="S167" s="24">
        <f t="shared" ca="1" si="343"/>
        <v>-3.1731465673913641</v>
      </c>
      <c r="T167" s="10">
        <f t="shared" ca="1" si="344"/>
        <v>-3.1731465673913641</v>
      </c>
      <c r="U167" s="41">
        <f t="shared" ca="1" si="345"/>
        <v>0.41887738080354114</v>
      </c>
      <c r="V167" s="41">
        <f t="shared" ca="1" si="346"/>
        <v>3.0894642690589256E-2</v>
      </c>
      <c r="W167" s="41">
        <f t="shared" ca="1" si="347"/>
        <v>13.558252963098175</v>
      </c>
      <c r="X167" s="20">
        <f t="shared" ca="1" si="348"/>
        <v>796.15509911986442</v>
      </c>
      <c r="Y167" s="41">
        <f t="shared" si="349"/>
        <v>0.56010355088307617</v>
      </c>
      <c r="Z167" s="41">
        <f t="shared" ca="1" si="350"/>
        <v>165.02409445505646</v>
      </c>
      <c r="AA167" s="14">
        <f t="shared" ca="1" si="351"/>
        <v>797.37762494710682</v>
      </c>
      <c r="AB167" s="14">
        <f t="shared" si="300"/>
        <v>3954.505013349527</v>
      </c>
      <c r="AC167" s="25">
        <f t="shared" ca="1" si="352"/>
        <v>294630.42747763055</v>
      </c>
      <c r="AD167" s="41">
        <f t="shared" si="353"/>
        <v>1461186.6022988681</v>
      </c>
      <c r="AE167" s="6">
        <v>5</v>
      </c>
      <c r="AF167" s="41">
        <f t="shared" si="354"/>
        <v>197.72525066747636</v>
      </c>
      <c r="AG167" s="41">
        <f t="shared" ca="1" si="355"/>
        <v>3157.1273884024204</v>
      </c>
      <c r="AH167" s="41">
        <f t="shared" ca="1" si="356"/>
        <v>1166556.1748212376</v>
      </c>
      <c r="AI167" s="41">
        <f t="shared" si="357"/>
        <v>153.46769727636044</v>
      </c>
      <c r="AJ167" s="13">
        <f t="shared" ca="1" si="358"/>
        <v>-20.453094304982962</v>
      </c>
      <c r="AK167" s="11"/>
      <c r="AL167" s="6">
        <v>-400</v>
      </c>
      <c r="AM167" s="41">
        <f t="shared" ca="1" si="359"/>
        <v>19.556943024633124</v>
      </c>
      <c r="AN167" s="41">
        <f t="shared" ca="1" si="360"/>
        <v>0.83371083659872924</v>
      </c>
      <c r="AO167" s="41">
        <f t="shared" ca="1" si="361"/>
        <v>1.1874690078605203</v>
      </c>
      <c r="AP167" s="67">
        <f t="shared" si="327"/>
        <v>0.77616640645687751</v>
      </c>
      <c r="AQ167" s="11">
        <f t="shared" si="362"/>
        <v>0.98055258071837592</v>
      </c>
      <c r="AR167" s="11">
        <f t="shared" si="363"/>
        <v>0.67709489304662807</v>
      </c>
      <c r="AS167" s="11">
        <f t="shared" si="364"/>
        <v>0.69052379888753379</v>
      </c>
      <c r="AT167" s="11">
        <f t="shared" si="365"/>
        <v>508.58320704120001</v>
      </c>
      <c r="AU167" s="11">
        <f t="shared" si="366"/>
        <v>1432.881754563135</v>
      </c>
      <c r="AV167" s="11">
        <f t="shared" si="367"/>
        <v>1.6413060175757791E-3</v>
      </c>
      <c r="AW167" s="11">
        <f t="shared" si="368"/>
        <v>3.6804918001398082E-7</v>
      </c>
      <c r="AX167" s="41">
        <f t="shared" ca="1" si="369"/>
        <v>1.5321658232837245</v>
      </c>
      <c r="AY167" s="41">
        <f t="shared" ca="1" si="370"/>
        <v>2.0638578043437721</v>
      </c>
      <c r="AZ167" s="41">
        <f t="shared" si="371"/>
        <v>0.24199108672466696</v>
      </c>
    </row>
    <row r="168" spans="1:52" ht="14.5">
      <c r="A168" s="41">
        <f t="shared" ca="1" si="328"/>
        <v>10361.039314509528</v>
      </c>
      <c r="B168" s="41">
        <f t="shared" ca="1" si="329"/>
        <v>172.68398857515879</v>
      </c>
      <c r="C168" s="41">
        <f t="shared" ca="1" si="330"/>
        <v>2.8780664762526467</v>
      </c>
      <c r="D168" s="41">
        <f t="shared" ca="1" si="331"/>
        <v>10810.213835310697</v>
      </c>
      <c r="E168" s="41">
        <f t="shared" ca="1" si="332"/>
        <v>932.31346506324144</v>
      </c>
      <c r="F168" s="41">
        <f t="shared" ca="1" si="333"/>
        <v>19.832504171545708</v>
      </c>
      <c r="G168" s="41"/>
      <c r="H168" s="7">
        <f t="shared" si="334"/>
        <v>10000</v>
      </c>
      <c r="I168" s="6">
        <v>15</v>
      </c>
      <c r="J168" s="41">
        <f t="shared" si="335"/>
        <v>0.32580336471120408</v>
      </c>
      <c r="K168" s="41">
        <f t="shared" si="336"/>
        <v>360.69336652074583</v>
      </c>
      <c r="L168" s="6">
        <f t="shared" si="285"/>
        <v>179.44444444444429</v>
      </c>
      <c r="M168" s="41">
        <f t="shared" si="337"/>
        <v>213.70504856967759</v>
      </c>
      <c r="N168" s="41">
        <f t="shared" si="338"/>
        <v>108.13610191465942</v>
      </c>
      <c r="O168" s="41">
        <f t="shared" si="339"/>
        <v>1625575.4170650092</v>
      </c>
      <c r="P168" s="41">
        <f t="shared" si="340"/>
        <v>10437336.443664653</v>
      </c>
      <c r="Q168" s="41">
        <f t="shared" si="341"/>
        <v>2.9539593440402988E-3</v>
      </c>
      <c r="R168" s="41">
        <f t="shared" si="342"/>
        <v>1.9858335384157346E-2</v>
      </c>
      <c r="S168" s="24">
        <f t="shared" ca="1" si="343"/>
        <v>-3.123061335103515</v>
      </c>
      <c r="T168" s="10">
        <f t="shared" ca="1" si="344"/>
        <v>-3.123061335103515</v>
      </c>
      <c r="U168" s="41">
        <f t="shared" ca="1" si="345"/>
        <v>0.43400052512048398</v>
      </c>
      <c r="V168" s="41">
        <f t="shared" ca="1" si="346"/>
        <v>3.1754311973289463E-2</v>
      </c>
      <c r="W168" s="41">
        <f t="shared" ca="1" si="347"/>
        <v>13.667451698703122</v>
      </c>
      <c r="X168" s="20">
        <f t="shared" ca="1" si="348"/>
        <v>789.77112862790943</v>
      </c>
      <c r="Y168" s="41">
        <f t="shared" si="349"/>
        <v>0.56074011342079888</v>
      </c>
      <c r="Z168" s="41">
        <f t="shared" ca="1" si="350"/>
        <v>163.97348818376511</v>
      </c>
      <c r="AA168" s="14">
        <f t="shared" ca="1" si="351"/>
        <v>790.94582323173358</v>
      </c>
      <c r="AB168" s="14">
        <f t="shared" si="300"/>
        <v>4016.4588107467653</v>
      </c>
      <c r="AC168" s="25">
        <f t="shared" ca="1" si="352"/>
        <v>285288.91171697673</v>
      </c>
      <c r="AD168" s="41">
        <f t="shared" si="353"/>
        <v>1448710.0499401619</v>
      </c>
      <c r="AE168" s="6">
        <v>5</v>
      </c>
      <c r="AF168" s="41">
        <f t="shared" si="354"/>
        <v>200.82294053733827</v>
      </c>
      <c r="AG168" s="41">
        <f t="shared" ca="1" si="355"/>
        <v>3225.5129875150315</v>
      </c>
      <c r="AH168" s="41">
        <f t="shared" ca="1" si="356"/>
        <v>1163421.1382231852</v>
      </c>
      <c r="AI168" s="41">
        <f t="shared" si="357"/>
        <v>155.55013985228416</v>
      </c>
      <c r="AJ168" s="13">
        <f t="shared" ca="1" si="358"/>
        <v>-19.650832805434153</v>
      </c>
      <c r="AK168" s="11"/>
      <c r="AL168" s="6">
        <v>-400</v>
      </c>
      <c r="AM168" s="41">
        <f t="shared" ca="1" si="359"/>
        <v>20.355371396238525</v>
      </c>
      <c r="AN168" s="41">
        <f t="shared" ca="1" si="360"/>
        <v>0.87952246317502425</v>
      </c>
      <c r="AO168" s="41">
        <f t="shared" ca="1" si="361"/>
        <v>1.206551401344458</v>
      </c>
      <c r="AP168" s="67">
        <f t="shared" si="327"/>
        <v>0.77456360033411276</v>
      </c>
      <c r="AQ168" s="11">
        <f t="shared" si="362"/>
        <v>0.98330272071837588</v>
      </c>
      <c r="AR168" s="11">
        <f t="shared" si="363"/>
        <v>0.68770269343653956</v>
      </c>
      <c r="AS168" s="11">
        <f t="shared" si="364"/>
        <v>0.69938044403469313</v>
      </c>
      <c r="AT168" s="11">
        <f t="shared" si="365"/>
        <v>510.00962215499999</v>
      </c>
      <c r="AU168" s="11">
        <f t="shared" si="366"/>
        <v>1455.3301939042735</v>
      </c>
      <c r="AV168" s="11">
        <f t="shared" si="367"/>
        <v>1.6623573774260621E-3</v>
      </c>
      <c r="AW168" s="11">
        <f t="shared" si="368"/>
        <v>3.6885478983619832E-7</v>
      </c>
      <c r="AX168" s="41">
        <f t="shared" ca="1" si="369"/>
        <v>1.4898598315899292</v>
      </c>
      <c r="AY168" s="41">
        <f t="shared" ca="1" si="370"/>
        <v>2.0068707930158385</v>
      </c>
      <c r="AZ168" s="41">
        <f t="shared" si="371"/>
        <v>0.23639385259965789</v>
      </c>
    </row>
    <row r="169" spans="1:52" ht="14.5">
      <c r="A169" s="41">
        <f t="shared" ca="1" si="328"/>
        <v>10381.394685905767</v>
      </c>
      <c r="B169" s="41">
        <f t="shared" ca="1" si="329"/>
        <v>173.02324476509611</v>
      </c>
      <c r="C169" s="41">
        <f t="shared" ca="1" si="330"/>
        <v>2.883720746084935</v>
      </c>
      <c r="D169" s="41">
        <f t="shared" ca="1" si="331"/>
        <v>10809.334312847521</v>
      </c>
      <c r="E169" s="41">
        <f t="shared" ca="1" si="332"/>
        <v>933.52001646458586</v>
      </c>
      <c r="F169" s="41">
        <f t="shared" ca="1" si="333"/>
        <v>21.039055572890167</v>
      </c>
      <c r="G169" s="41"/>
      <c r="H169" s="7">
        <f t="shared" si="334"/>
        <v>9600</v>
      </c>
      <c r="I169" s="6">
        <v>15</v>
      </c>
      <c r="J169" s="41">
        <f t="shared" si="335"/>
        <v>0.31748879382707201</v>
      </c>
      <c r="K169" s="41">
        <f t="shared" si="336"/>
        <v>351.9795805315141</v>
      </c>
      <c r="L169" s="6">
        <f t="shared" si="285"/>
        <v>176.16666666666652</v>
      </c>
      <c r="M169" s="41">
        <f t="shared" si="337"/>
        <v>208.5422697916336</v>
      </c>
      <c r="N169" s="41">
        <f t="shared" si="338"/>
        <v>104.29119905765137</v>
      </c>
      <c r="O169" s="41">
        <f t="shared" si="339"/>
        <v>1603092.2816287156</v>
      </c>
      <c r="P169" s="41">
        <f t="shared" si="340"/>
        <v>10292978.915620361</v>
      </c>
      <c r="Q169" s="41">
        <f t="shared" si="341"/>
        <v>2.9619981880047667E-3</v>
      </c>
      <c r="R169" s="41">
        <f t="shared" si="342"/>
        <v>1.9904213309974886E-2</v>
      </c>
      <c r="S169" s="24">
        <f t="shared" ca="1" si="343"/>
        <v>-3.0770633033149579</v>
      </c>
      <c r="T169" s="10">
        <f t="shared" ca="1" si="344"/>
        <v>-3.0770633033149579</v>
      </c>
      <c r="U169" s="41">
        <f t="shared" ca="1" si="345"/>
        <v>0.4499837718521757</v>
      </c>
      <c r="V169" s="41">
        <f t="shared" ca="1" si="346"/>
        <v>3.2692527400083451E-2</v>
      </c>
      <c r="W169" s="41">
        <f t="shared" ca="1" si="347"/>
        <v>13.764116990570361</v>
      </c>
      <c r="X169" s="20">
        <f t="shared" ca="1" si="348"/>
        <v>784.19486303935969</v>
      </c>
      <c r="Y169" s="41">
        <f t="shared" si="349"/>
        <v>0.56138746758625668</v>
      </c>
      <c r="Z169" s="41">
        <f t="shared" ca="1" si="350"/>
        <v>162.93194723252535</v>
      </c>
      <c r="AA169" s="14">
        <f t="shared" ca="1" si="351"/>
        <v>785.32711689771827</v>
      </c>
      <c r="AB169" s="14">
        <f t="shared" si="300"/>
        <v>4079.1962206845465</v>
      </c>
      <c r="AC169" s="25">
        <f t="shared" ca="1" si="352"/>
        <v>276419.1091856822</v>
      </c>
      <c r="AD169" s="41">
        <f t="shared" si="353"/>
        <v>1435793.7746622842</v>
      </c>
      <c r="AE169" s="6">
        <v>5</v>
      </c>
      <c r="AF169" s="41">
        <f t="shared" si="354"/>
        <v>203.95981103422733</v>
      </c>
      <c r="AG169" s="41">
        <f t="shared" ca="1" si="355"/>
        <v>3293.8691037868284</v>
      </c>
      <c r="AH169" s="41">
        <f t="shared" ca="1" si="356"/>
        <v>1159374.665476602</v>
      </c>
      <c r="AI169" s="41">
        <f t="shared" si="357"/>
        <v>157.65471090366299</v>
      </c>
      <c r="AJ169" s="13">
        <f t="shared" ca="1" si="358"/>
        <v>-18.893937804449948</v>
      </c>
      <c r="AK169" s="11"/>
      <c r="AL169" s="6">
        <v>-400</v>
      </c>
      <c r="AM169" s="41">
        <f t="shared" ca="1" si="359"/>
        <v>21.170811724901043</v>
      </c>
      <c r="AN169" s="41">
        <f t="shared" ca="1" si="360"/>
        <v>0.92713283391254242</v>
      </c>
      <c r="AO169" s="41">
        <f t="shared" ca="1" si="361"/>
        <v>1.2246232620312034</v>
      </c>
      <c r="AP169" s="67">
        <f t="shared" si="327"/>
        <v>0.77296948896077522</v>
      </c>
      <c r="AQ169" s="11">
        <f t="shared" si="362"/>
        <v>0.98605286071837595</v>
      </c>
      <c r="AR169" s="11">
        <f t="shared" si="363"/>
        <v>0.69844466486619861</v>
      </c>
      <c r="AS169" s="11">
        <f t="shared" si="364"/>
        <v>0.70832375493272826</v>
      </c>
      <c r="AT169" s="11">
        <f t="shared" si="365"/>
        <v>511.43603726880002</v>
      </c>
      <c r="AU169" s="11">
        <f t="shared" si="366"/>
        <v>1478.0625686831468</v>
      </c>
      <c r="AV169" s="11">
        <f t="shared" si="367"/>
        <v>1.6836147330996018E-3</v>
      </c>
      <c r="AW169" s="11">
        <f t="shared" si="368"/>
        <v>3.6965932299979949E-7</v>
      </c>
      <c r="AX169" s="41">
        <f t="shared" ca="1" si="369"/>
        <v>1.4487118287729379</v>
      </c>
      <c r="AY169" s="41">
        <f t="shared" ca="1" si="370"/>
        <v>1.9514436157113615</v>
      </c>
      <c r="AZ169" s="41">
        <f t="shared" si="371"/>
        <v>0.23083406529533254</v>
      </c>
    </row>
    <row r="170" spans="1:52" ht="14.5">
      <c r="A170" s="41">
        <f t="shared" ca="1" si="328"/>
        <v>10402.565497630669</v>
      </c>
      <c r="B170" s="41">
        <f t="shared" ca="1" si="329"/>
        <v>173.3760916271778</v>
      </c>
      <c r="C170" s="41">
        <f t="shared" ca="1" si="330"/>
        <v>2.88960152711963</v>
      </c>
      <c r="D170" s="41">
        <f t="shared" ca="1" si="331"/>
        <v>10808.407180013608</v>
      </c>
      <c r="E170" s="41">
        <f t="shared" ca="1" si="332"/>
        <v>934.74463972661704</v>
      </c>
      <c r="F170" s="41">
        <f t="shared" ca="1" si="333"/>
        <v>22.263678834921372</v>
      </c>
      <c r="G170" s="41"/>
      <c r="H170" s="7">
        <f t="shared" si="334"/>
        <v>9200</v>
      </c>
      <c r="I170" s="6">
        <v>15</v>
      </c>
      <c r="J170" s="41">
        <f t="shared" si="335"/>
        <v>0.30928044141488337</v>
      </c>
      <c r="K170" s="41">
        <f t="shared" si="336"/>
        <v>343.35732287280575</v>
      </c>
      <c r="L170" s="6">
        <f t="shared" si="285"/>
        <v>172.88888888888874</v>
      </c>
      <c r="M170" s="41">
        <f t="shared" si="337"/>
        <v>203.43372008497144</v>
      </c>
      <c r="N170" s="41">
        <f t="shared" si="338"/>
        <v>100.5095340906726</v>
      </c>
      <c r="O170" s="41">
        <f t="shared" si="339"/>
        <v>1580324.8033993684</v>
      </c>
      <c r="P170" s="41">
        <f t="shared" si="340"/>
        <v>10146795.707041485</v>
      </c>
      <c r="Q170" s="41">
        <f t="shared" si="341"/>
        <v>2.9701886849125398E-3</v>
      </c>
      <c r="R170" s="41">
        <f t="shared" si="342"/>
        <v>1.995095672372996E-2</v>
      </c>
      <c r="S170" s="24">
        <f t="shared" ca="1" si="343"/>
        <v>-3.0354080809728079</v>
      </c>
      <c r="T170" s="10">
        <f t="shared" ca="1" si="344"/>
        <v>-3.0354080809728079</v>
      </c>
      <c r="U170" s="41">
        <f t="shared" ca="1" si="345"/>
        <v>0.46689245839015209</v>
      </c>
      <c r="V170" s="41">
        <f t="shared" ca="1" si="346"/>
        <v>3.3718400409139447E-2</v>
      </c>
      <c r="W170" s="41">
        <f t="shared" ca="1" si="347"/>
        <v>13.846815172869228</v>
      </c>
      <c r="X170" s="20">
        <f t="shared" ca="1" si="348"/>
        <v>779.47476454323066</v>
      </c>
      <c r="Y170" s="41">
        <f t="shared" si="349"/>
        <v>0.56204626725902551</v>
      </c>
      <c r="Z170" s="41">
        <f t="shared" ca="1" si="350"/>
        <v>161.8993466838856</v>
      </c>
      <c r="AA170" s="14">
        <f t="shared" ca="1" si="351"/>
        <v>780.56990326490904</v>
      </c>
      <c r="AB170" s="14">
        <f t="shared" si="300"/>
        <v>4142.7248033752157</v>
      </c>
      <c r="AC170" s="25">
        <f t="shared" ca="1" si="352"/>
        <v>268014.39230012411</v>
      </c>
      <c r="AD170" s="41">
        <f t="shared" si="353"/>
        <v>1422434.8978856846</v>
      </c>
      <c r="AE170" s="6">
        <v>5</v>
      </c>
      <c r="AF170" s="41">
        <f t="shared" si="354"/>
        <v>207.13624016876079</v>
      </c>
      <c r="AG170" s="41">
        <f t="shared" ca="1" si="355"/>
        <v>3362.1549001103067</v>
      </c>
      <c r="AH170" s="41">
        <f t="shared" ca="1" si="356"/>
        <v>1154420.5055855606</v>
      </c>
      <c r="AI170" s="41">
        <f t="shared" si="357"/>
        <v>159.78164195585845</v>
      </c>
      <c r="AJ170" s="13">
        <f t="shared" ca="1" si="358"/>
        <v>-18.181830146959975</v>
      </c>
      <c r="AK170" s="11"/>
      <c r="AL170" s="6">
        <v>-400</v>
      </c>
      <c r="AM170" s="41">
        <f t="shared" ca="1" si="359"/>
        <v>21.999985522187959</v>
      </c>
      <c r="AN170" s="41">
        <f t="shared" ca="1" si="360"/>
        <v>0.97644272492786277</v>
      </c>
      <c r="AO170" s="41">
        <f t="shared" ca="1" si="361"/>
        <v>1.2414610334474545</v>
      </c>
      <c r="AP170" s="67">
        <f t="shared" si="327"/>
        <v>0.77138429193114166</v>
      </c>
      <c r="AQ170" s="11">
        <f t="shared" si="362"/>
        <v>0.9888030007183759</v>
      </c>
      <c r="AR170" s="11">
        <f t="shared" si="363"/>
        <v>0.70932210180385169</v>
      </c>
      <c r="AS170" s="11">
        <f t="shared" si="364"/>
        <v>0.7173543175824928</v>
      </c>
      <c r="AT170" s="11">
        <f t="shared" si="365"/>
        <v>512.86245238259994</v>
      </c>
      <c r="AU170" s="11">
        <f t="shared" si="366"/>
        <v>1501.0816182793469</v>
      </c>
      <c r="AV170" s="11">
        <f t="shared" si="367"/>
        <v>1.705079477461827E-3</v>
      </c>
      <c r="AW170" s="11">
        <f t="shared" si="368"/>
        <v>3.7046278297177631E-7</v>
      </c>
      <c r="AX170" s="41">
        <f t="shared" ca="1" si="369"/>
        <v>1.408765669511423</v>
      </c>
      <c r="AY170" s="41">
        <f t="shared" ca="1" si="370"/>
        <v>1.8976353455537978</v>
      </c>
      <c r="AZ170" s="41">
        <f t="shared" si="371"/>
        <v>0.22531234704692499</v>
      </c>
    </row>
    <row r="171" spans="1:52" ht="14.5">
      <c r="A171" s="41">
        <f t="shared" ca="1" si="328"/>
        <v>10424.565483152857</v>
      </c>
      <c r="B171" s="41">
        <f t="shared" ca="1" si="329"/>
        <v>173.74275805254763</v>
      </c>
      <c r="C171" s="41">
        <f t="shared" ca="1" si="330"/>
        <v>2.8957126342091271</v>
      </c>
      <c r="D171" s="41">
        <f t="shared" ca="1" si="331"/>
        <v>10807.43073728868</v>
      </c>
      <c r="E171" s="41">
        <f t="shared" ca="1" si="332"/>
        <v>935.98610076006446</v>
      </c>
      <c r="F171" s="41">
        <f t="shared" ca="1" si="333"/>
        <v>23.505139868368826</v>
      </c>
      <c r="G171" s="41"/>
      <c r="H171" s="7">
        <f t="shared" si="334"/>
        <v>8800</v>
      </c>
      <c r="I171" s="6">
        <v>15</v>
      </c>
      <c r="J171" s="41">
        <f t="shared" si="335"/>
        <v>0.3011772926827978</v>
      </c>
      <c r="K171" s="41">
        <f t="shared" si="336"/>
        <v>334.82601347675109</v>
      </c>
      <c r="L171" s="6">
        <f t="shared" si="285"/>
        <v>169.61111111111097</v>
      </c>
      <c r="M171" s="41">
        <f t="shared" si="337"/>
        <v>198.3790557687594</v>
      </c>
      <c r="N171" s="41">
        <f t="shared" si="338"/>
        <v>96.791809693948508</v>
      </c>
      <c r="O171" s="41">
        <f t="shared" si="339"/>
        <v>1557274.6054839226</v>
      </c>
      <c r="P171" s="41">
        <f t="shared" si="340"/>
        <v>9998797.2394152097</v>
      </c>
      <c r="Q171" s="41">
        <f t="shared" si="341"/>
        <v>2.9785398964904388E-3</v>
      </c>
      <c r="R171" s="41">
        <f t="shared" si="342"/>
        <v>1.9998617340971803E-2</v>
      </c>
      <c r="S171" s="24">
        <f t="shared" ca="1" si="343"/>
        <v>-2.998373126364859</v>
      </c>
      <c r="T171" s="10">
        <f t="shared" ca="1" si="344"/>
        <v>-2.998373126364859</v>
      </c>
      <c r="U171" s="41">
        <f t="shared" ca="1" si="345"/>
        <v>0.48479827675466447</v>
      </c>
      <c r="V171" s="41">
        <f t="shared" ca="1" si="346"/>
        <v>3.4842302210449538E-2</v>
      </c>
      <c r="W171" s="41">
        <f t="shared" ca="1" si="347"/>
        <v>13.914071286864301</v>
      </c>
      <c r="X171" s="20">
        <f t="shared" ca="1" si="348"/>
        <v>775.66338151616083</v>
      </c>
      <c r="Y171" s="41">
        <f t="shared" si="349"/>
        <v>0.56271719982115909</v>
      </c>
      <c r="Z171" s="41">
        <f t="shared" ca="1" si="350"/>
        <v>160.87556249743085</v>
      </c>
      <c r="AA171" s="14">
        <f t="shared" ca="1" si="351"/>
        <v>776.72670453338321</v>
      </c>
      <c r="AB171" s="14">
        <f t="shared" si="300"/>
        <v>4207.0521694211193</v>
      </c>
      <c r="AC171" s="25">
        <f t="shared" ca="1" si="352"/>
        <v>260068.30603984703</v>
      </c>
      <c r="AD171" s="41">
        <f t="shared" si="353"/>
        <v>1408630.5063759906</v>
      </c>
      <c r="AE171" s="6">
        <v>5</v>
      </c>
      <c r="AF171" s="41">
        <f t="shared" si="354"/>
        <v>210.35260847105599</v>
      </c>
      <c r="AG171" s="41">
        <f t="shared" ca="1" si="355"/>
        <v>3430.325464887736</v>
      </c>
      <c r="AH171" s="41">
        <f t="shared" ca="1" si="356"/>
        <v>1148562.2003361436</v>
      </c>
      <c r="AI171" s="41">
        <f t="shared" si="357"/>
        <v>161.93116668671485</v>
      </c>
      <c r="AJ171" s="13">
        <f t="shared" ca="1" si="358"/>
        <v>-17.513945461716535</v>
      </c>
      <c r="AK171" s="11"/>
      <c r="AL171" s="6">
        <v>-400</v>
      </c>
      <c r="AM171" s="41">
        <f t="shared" ca="1" si="359"/>
        <v>22.838942879795638</v>
      </c>
      <c r="AN171" s="41">
        <f t="shared" ca="1" si="360"/>
        <v>1.027315740671263</v>
      </c>
      <c r="AO171" s="41">
        <f t="shared" ca="1" si="361"/>
        <v>1.2568237206578434</v>
      </c>
      <c r="AP171" s="67">
        <f t="shared" si="327"/>
        <v>0.76980821803783894</v>
      </c>
      <c r="AQ171" s="11">
        <f t="shared" si="362"/>
        <v>0.99155314071837586</v>
      </c>
      <c r="AR171" s="11">
        <f t="shared" si="363"/>
        <v>0.72033630734557885</v>
      </c>
      <c r="AS171" s="11">
        <f t="shared" si="364"/>
        <v>0.7264727201849196</v>
      </c>
      <c r="AT171" s="11">
        <f t="shared" si="365"/>
        <v>514.28886749639992</v>
      </c>
      <c r="AU171" s="11">
        <f t="shared" si="366"/>
        <v>1524.3901003308608</v>
      </c>
      <c r="AV171" s="11">
        <f t="shared" si="367"/>
        <v>1.7267530086075354E-3</v>
      </c>
      <c r="AW171" s="11">
        <f t="shared" si="368"/>
        <v>3.7126517320391516E-7</v>
      </c>
      <c r="AX171" s="41">
        <f t="shared" ca="1" si="369"/>
        <v>1.3700693438028986</v>
      </c>
      <c r="AY171" s="41">
        <f t="shared" ca="1" si="370"/>
        <v>1.8455106260232423</v>
      </c>
      <c r="AZ171" s="41">
        <f t="shared" si="371"/>
        <v>0.21982928038776745</v>
      </c>
    </row>
    <row r="172" spans="1:52" ht="14.5">
      <c r="A172" s="41">
        <f t="shared" ca="1" si="328"/>
        <v>10447.404426032654</v>
      </c>
      <c r="B172" s="41">
        <f t="shared" ca="1" si="329"/>
        <v>174.12340710054423</v>
      </c>
      <c r="C172" s="41">
        <f t="shared" ca="1" si="330"/>
        <v>2.9020567850090706</v>
      </c>
      <c r="D172" s="41">
        <f t="shared" ca="1" si="331"/>
        <v>10806.403421548008</v>
      </c>
      <c r="E172" s="41">
        <f t="shared" ca="1" si="332"/>
        <v>937.24292448072231</v>
      </c>
      <c r="F172" s="41">
        <f t="shared" ca="1" si="333"/>
        <v>24.761963589026671</v>
      </c>
      <c r="G172" s="41"/>
      <c r="H172" s="7">
        <f t="shared" si="334"/>
        <v>8400</v>
      </c>
      <c r="I172" s="6">
        <v>15</v>
      </c>
      <c r="J172" s="41">
        <f t="shared" si="335"/>
        <v>0.29317832334175886</v>
      </c>
      <c r="K172" s="41">
        <f t="shared" si="336"/>
        <v>326.38505376904641</v>
      </c>
      <c r="L172" s="6">
        <f t="shared" si="285"/>
        <v>166.3333333333332</v>
      </c>
      <c r="M172" s="41">
        <f t="shared" si="337"/>
        <v>193.37792219729968</v>
      </c>
      <c r="N172" s="41">
        <f t="shared" si="338"/>
        <v>93.13869023091091</v>
      </c>
      <c r="O172" s="41">
        <f t="shared" si="339"/>
        <v>1533943.253417135</v>
      </c>
      <c r="P172" s="41">
        <f t="shared" si="340"/>
        <v>9848993.5645747483</v>
      </c>
      <c r="Q172" s="41">
        <f t="shared" si="341"/>
        <v>2.9870613873478717E-3</v>
      </c>
      <c r="R172" s="41">
        <f t="shared" si="342"/>
        <v>2.0047249747215806E-2</v>
      </c>
      <c r="S172" s="24">
        <f t="shared" ca="1" si="343"/>
        <v>-2.966260496923963</v>
      </c>
      <c r="T172" s="10">
        <f t="shared" ca="1" si="344"/>
        <v>-2.966260496923963</v>
      </c>
      <c r="U172" s="41">
        <f t="shared" ca="1" si="345"/>
        <v>0.5037800297392252</v>
      </c>
      <c r="V172" s="41">
        <f t="shared" ca="1" si="346"/>
        <v>3.6076067325103697E-2</v>
      </c>
      <c r="W172" s="41">
        <f t="shared" ca="1" si="347"/>
        <v>13.964383234994894</v>
      </c>
      <c r="X172" s="20">
        <f t="shared" ca="1" si="348"/>
        <v>772.81786164873358</v>
      </c>
      <c r="Y172" s="41">
        <f t="shared" si="349"/>
        <v>0.56340098895359281</v>
      </c>
      <c r="Z172" s="41">
        <f t="shared" ca="1" si="350"/>
        <v>159.86047139170219</v>
      </c>
      <c r="AA172" s="14">
        <f t="shared" ca="1" si="351"/>
        <v>773.85468729238573</v>
      </c>
      <c r="AB172" s="14">
        <f t="shared" si="300"/>
        <v>4272.1859800010343</v>
      </c>
      <c r="AC172" s="25">
        <f t="shared" ca="1" si="352"/>
        <v>252574.60372135392</v>
      </c>
      <c r="AD172" s="41">
        <f t="shared" si="353"/>
        <v>1394377.6507940039</v>
      </c>
      <c r="AE172" s="6">
        <v>5</v>
      </c>
      <c r="AF172" s="41">
        <f t="shared" si="354"/>
        <v>213.60929900005172</v>
      </c>
      <c r="AG172" s="41">
        <f t="shared" ca="1" si="355"/>
        <v>3498.3312927086486</v>
      </c>
      <c r="AH172" s="41">
        <f t="shared" ca="1" si="356"/>
        <v>1141803.0470726499</v>
      </c>
      <c r="AI172" s="41">
        <f t="shared" si="357"/>
        <v>164.10352090215702</v>
      </c>
      <c r="AJ172" s="13">
        <f t="shared" ca="1" si="358"/>
        <v>-16.889737470309598</v>
      </c>
      <c r="AK172" s="11"/>
      <c r="AL172" s="6">
        <v>-400</v>
      </c>
      <c r="AM172" s="41">
        <f t="shared" ca="1" si="359"/>
        <v>23.683020574070994</v>
      </c>
      <c r="AN172" s="41">
        <f t="shared" ca="1" si="360"/>
        <v>1.0795741838342428</v>
      </c>
      <c r="AO172" s="41">
        <f t="shared" ca="1" si="361"/>
        <v>1.2704547889239779</v>
      </c>
      <c r="AP172" s="67">
        <f t="shared" si="327"/>
        <v>0.76824146547158179</v>
      </c>
      <c r="AQ172" s="11">
        <f t="shared" si="362"/>
        <v>0.99430328071837593</v>
      </c>
      <c r="AR172" s="11">
        <f t="shared" si="363"/>
        <v>0.73148859324721494</v>
      </c>
      <c r="AS172" s="11">
        <f t="shared" si="364"/>
        <v>0.7356795531426995</v>
      </c>
      <c r="AT172" s="11">
        <f t="shared" si="365"/>
        <v>515.71528261020001</v>
      </c>
      <c r="AU172" s="11">
        <f t="shared" si="366"/>
        <v>1547.990790801621</v>
      </c>
      <c r="AV172" s="11">
        <f t="shared" si="367"/>
        <v>1.7486367298648823E-3</v>
      </c>
      <c r="AW172" s="11">
        <f t="shared" si="368"/>
        <v>3.7206649713284872E-7</v>
      </c>
      <c r="AX172" s="41">
        <f t="shared" ca="1" si="369"/>
        <v>1.3326757669803118</v>
      </c>
      <c r="AY172" s="41">
        <f t="shared" ca="1" si="370"/>
        <v>1.795140735124473</v>
      </c>
      <c r="AZ172" s="41">
        <f t="shared" si="371"/>
        <v>0.21438540914252224</v>
      </c>
    </row>
    <row r="173" spans="1:52" ht="14.5">
      <c r="A173" s="41">
        <f t="shared" ca="1" si="328"/>
        <v>10471.087446606725</v>
      </c>
      <c r="B173" s="41">
        <f t="shared" ca="1" si="329"/>
        <v>174.5181241101121</v>
      </c>
      <c r="C173" s="41">
        <f t="shared" ca="1" si="330"/>
        <v>2.9086354018352014</v>
      </c>
      <c r="D173" s="41">
        <f t="shared" ca="1" si="331"/>
        <v>10805.323847364174</v>
      </c>
      <c r="E173" s="41">
        <f t="shared" ca="1" si="332"/>
        <v>938.51337926964629</v>
      </c>
      <c r="F173" s="41">
        <f t="shared" ca="1" si="333"/>
        <v>26.032418377950648</v>
      </c>
      <c r="G173" s="41"/>
      <c r="H173" s="7">
        <f t="shared" si="334"/>
        <v>8000</v>
      </c>
      <c r="I173" s="6">
        <v>15</v>
      </c>
      <c r="J173" s="41">
        <f t="shared" si="335"/>
        <v>0.28528250057900201</v>
      </c>
      <c r="K173" s="41">
        <f t="shared" si="336"/>
        <v>318.03382771494825</v>
      </c>
      <c r="L173" s="6">
        <f t="shared" si="285"/>
        <v>163.05555555555543</v>
      </c>
      <c r="M173" s="41">
        <f t="shared" si="337"/>
        <v>188.4299543798634</v>
      </c>
      <c r="N173" s="41">
        <f t="shared" si="338"/>
        <v>89.550803057544073</v>
      </c>
      <c r="O173" s="41">
        <f t="shared" si="339"/>
        <v>1510332.2548886684</v>
      </c>
      <c r="P173" s="41">
        <f t="shared" si="340"/>
        <v>9697394.3629471678</v>
      </c>
      <c r="Q173" s="41">
        <f t="shared" si="341"/>
        <v>2.995763268285882E-3</v>
      </c>
      <c r="R173" s="41">
        <f t="shared" si="342"/>
        <v>2.0096911645109544E-2</v>
      </c>
      <c r="S173" s="24">
        <f t="shared" ca="1" si="343"/>
        <v>-2.9393999824104471</v>
      </c>
      <c r="T173" s="10">
        <f t="shared" ca="1" si="344"/>
        <v>-2.9393999824104471</v>
      </c>
      <c r="U173" s="41">
        <f t="shared" ca="1" si="345"/>
        <v>0.52392449397059748</v>
      </c>
      <c r="V173" s="41">
        <f t="shared" ca="1" si="346"/>
        <v>3.7433234891292272E-2</v>
      </c>
      <c r="W173" s="41">
        <f t="shared" ca="1" si="347"/>
        <v>13.99623878331907</v>
      </c>
      <c r="X173" s="20">
        <f t="shared" ca="1" si="348"/>
        <v>771.00053647808727</v>
      </c>
      <c r="Y173" s="41">
        <f t="shared" si="349"/>
        <v>0.56409839772858894</v>
      </c>
      <c r="Z173" s="41">
        <f t="shared" ca="1" si="350"/>
        <v>158.85395068747982</v>
      </c>
      <c r="AA173" s="14">
        <f t="shared" ca="1" si="351"/>
        <v>772.01625484141664</v>
      </c>
      <c r="AB173" s="14">
        <f t="shared" si="300"/>
        <v>4338.1339470567436</v>
      </c>
      <c r="AC173" s="25">
        <f t="shared" ca="1" si="352"/>
        <v>245527.28458537467</v>
      </c>
      <c r="AD173" s="41">
        <f t="shared" si="353"/>
        <v>1379673.3443226127</v>
      </c>
      <c r="AE173" s="6">
        <v>5</v>
      </c>
      <c r="AF173" s="41">
        <f t="shared" si="354"/>
        <v>216.9066973528372</v>
      </c>
      <c r="AG173" s="41">
        <f t="shared" ca="1" si="355"/>
        <v>3566.1176922153272</v>
      </c>
      <c r="AH173" s="41">
        <f t="shared" ca="1" si="356"/>
        <v>1134146.0597372381</v>
      </c>
      <c r="AI173" s="41">
        <f t="shared" si="357"/>
        <v>166.29894251239037</v>
      </c>
      <c r="AJ173" s="13">
        <f t="shared" ca="1" si="358"/>
        <v>-16.308681448104945</v>
      </c>
      <c r="AK173" s="11"/>
      <c r="AL173" s="6">
        <v>-400</v>
      </c>
      <c r="AM173" s="41">
        <f t="shared" ca="1" si="359"/>
        <v>24.526814216883221</v>
      </c>
      <c r="AN173" s="41">
        <f t="shared" ca="1" si="360"/>
        <v>1.1329953520737615</v>
      </c>
      <c r="AO173" s="41">
        <f t="shared" ca="1" si="361"/>
        <v>1.2820850007927265</v>
      </c>
      <c r="AP173" s="67">
        <f t="shared" si="327"/>
        <v>0.76668422202692832</v>
      </c>
      <c r="AQ173" s="11">
        <f t="shared" si="362"/>
        <v>0.99705342071837588</v>
      </c>
      <c r="AR173" s="11">
        <f t="shared" si="363"/>
        <v>0.7427802799562947</v>
      </c>
      <c r="AS173" s="11">
        <f t="shared" si="364"/>
        <v>0.74497540906195614</v>
      </c>
      <c r="AT173" s="11">
        <f t="shared" si="365"/>
        <v>517.14169772399998</v>
      </c>
      <c r="AU173" s="11">
        <f t="shared" si="366"/>
        <v>1571.8864840491099</v>
      </c>
      <c r="AV173" s="11">
        <f t="shared" si="367"/>
        <v>1.7707320497993635E-3</v>
      </c>
      <c r="AW173" s="11">
        <f t="shared" si="368"/>
        <v>3.7286675818013285E-7</v>
      </c>
      <c r="AX173" s="41">
        <f t="shared" ca="1" si="369"/>
        <v>1.2966437302493732</v>
      </c>
      <c r="AY173" s="41">
        <f t="shared" ca="1" si="370"/>
        <v>1.7466048657796194</v>
      </c>
      <c r="AZ173" s="41">
        <f t="shared" si="371"/>
        <v>0.20898123942948083</v>
      </c>
    </row>
    <row r="174" spans="1:52" ht="14.5">
      <c r="A174" s="41">
        <f t="shared" ca="1" si="328"/>
        <v>10495.614260823608</v>
      </c>
      <c r="B174" s="41">
        <f t="shared" ca="1" si="329"/>
        <v>174.92690434706012</v>
      </c>
      <c r="C174" s="41">
        <f t="shared" ca="1" si="330"/>
        <v>2.9154484057843351</v>
      </c>
      <c r="D174" s="41">
        <f t="shared" ca="1" si="331"/>
        <v>10804.1908520121</v>
      </c>
      <c r="E174" s="41">
        <f t="shared" ca="1" si="332"/>
        <v>939.79546427043897</v>
      </c>
      <c r="F174" s="41">
        <f t="shared" ca="1" si="333"/>
        <v>27.314503378743375</v>
      </c>
      <c r="G174" s="41"/>
      <c r="H174" s="7">
        <f t="shared" si="334"/>
        <v>7600</v>
      </c>
      <c r="I174" s="6">
        <v>15</v>
      </c>
      <c r="J174" s="41">
        <f t="shared" si="335"/>
        <v>0.27748878400605043</v>
      </c>
      <c r="K174" s="41">
        <f t="shared" si="336"/>
        <v>309.77170284575544</v>
      </c>
      <c r="L174" s="6">
        <f t="shared" si="285"/>
        <v>159.77777777777766</v>
      </c>
      <c r="M174" s="41">
        <f t="shared" si="337"/>
        <v>183.53477758886456</v>
      </c>
      <c r="N174" s="41">
        <f t="shared" si="338"/>
        <v>86.028739826651474</v>
      </c>
      <c r="O174" s="41">
        <f t="shared" si="339"/>
        <v>1486443.0595684864</v>
      </c>
      <c r="P174" s="41">
        <f t="shared" si="340"/>
        <v>9544008.9424322937</v>
      </c>
      <c r="Q174" s="41">
        <f t="shared" si="341"/>
        <v>3.0046562443332273E-3</v>
      </c>
      <c r="R174" s="41">
        <f t="shared" si="342"/>
        <v>2.0147664128576149E-2</v>
      </c>
      <c r="S174" s="24">
        <f t="shared" ca="1" si="343"/>
        <v>-2.9181526835610221</v>
      </c>
      <c r="T174" s="10">
        <f t="shared" ca="1" si="344"/>
        <v>-2.9181526835610221</v>
      </c>
      <c r="U174" s="41">
        <f t="shared" ca="1" si="345"/>
        <v>0.54532740740791197</v>
      </c>
      <c r="V174" s="41">
        <f t="shared" ca="1" si="346"/>
        <v>3.8929335678425075E-2</v>
      </c>
      <c r="W174" s="41">
        <f t="shared" ca="1" si="347"/>
        <v>14.00813545631955</v>
      </c>
      <c r="X174" s="20">
        <f t="shared" ca="1" si="348"/>
        <v>770.27958886183069</v>
      </c>
      <c r="Y174" s="41">
        <f t="shared" si="349"/>
        <v>0.56481023203477854</v>
      </c>
      <c r="Z174" s="41">
        <f t="shared" ca="1" si="350"/>
        <v>157.85587809483363</v>
      </c>
      <c r="AA174" s="14">
        <f t="shared" ca="1" si="351"/>
        <v>771.27972425037899</v>
      </c>
      <c r="AB174" s="14">
        <f t="shared" si="300"/>
        <v>4404.9038334797742</v>
      </c>
      <c r="AC174" s="25">
        <f t="shared" ca="1" si="352"/>
        <v>238920.6335514446</v>
      </c>
      <c r="AD174" s="41">
        <f t="shared" si="353"/>
        <v>1364514.5613688256</v>
      </c>
      <c r="AE174" s="6">
        <v>5</v>
      </c>
      <c r="AF174" s="41">
        <f t="shared" si="354"/>
        <v>220.24519167398873</v>
      </c>
      <c r="AG174" s="41">
        <f t="shared" ca="1" si="355"/>
        <v>3633.6241092293953</v>
      </c>
      <c r="AH174" s="41">
        <f t="shared" ca="1" si="356"/>
        <v>1125593.927817381</v>
      </c>
      <c r="AI174" s="41">
        <f t="shared" si="357"/>
        <v>168.5176715087361</v>
      </c>
      <c r="AJ174" s="13">
        <f t="shared" ca="1" si="358"/>
        <v>-15.770277864805122</v>
      </c>
      <c r="AK174" s="11"/>
      <c r="AL174" s="6">
        <v>-400</v>
      </c>
      <c r="AM174" s="41">
        <f t="shared" ca="1" si="359"/>
        <v>25.364169447685438</v>
      </c>
      <c r="AN174" s="41">
        <f t="shared" ca="1" si="360"/>
        <v>1.187308548632493</v>
      </c>
      <c r="AO174" s="41">
        <f t="shared" ca="1" si="361"/>
        <v>1.2914363024185538</v>
      </c>
      <c r="AP174" s="67">
        <f t="shared" si="327"/>
        <v>0.76513666531335345</v>
      </c>
      <c r="AQ174" s="11">
        <f t="shared" si="362"/>
        <v>0.99980356071837595</v>
      </c>
      <c r="AR174" s="11">
        <f t="shared" si="363"/>
        <v>0.75421269664402679</v>
      </c>
      <c r="AS174" s="11">
        <f t="shared" si="364"/>
        <v>0.75436088275392021</v>
      </c>
      <c r="AT174" s="11">
        <f t="shared" si="365"/>
        <v>518.56811283779996</v>
      </c>
      <c r="AU174" s="11">
        <f t="shared" si="366"/>
        <v>1596.0799928920221</v>
      </c>
      <c r="AV174" s="11">
        <f t="shared" si="367"/>
        <v>1.7930403822177929E-3</v>
      </c>
      <c r="AW174" s="11">
        <f t="shared" si="368"/>
        <v>3.7366595975230416E-7</v>
      </c>
      <c r="AX174" s="41">
        <f t="shared" ca="1" si="369"/>
        <v>1.2620390513150113</v>
      </c>
      <c r="AY174" s="41">
        <f t="shared" ca="1" si="370"/>
        <v>1.6999916757448563</v>
      </c>
      <c r="AZ174" s="41">
        <f t="shared" si="371"/>
        <v>0.20361724066944659</v>
      </c>
    </row>
    <row r="175" spans="1:52" ht="14.5">
      <c r="A175" s="41">
        <f t="shared" ca="1" si="328"/>
        <v>10520.978430271292</v>
      </c>
      <c r="B175" s="41">
        <f t="shared" ca="1" si="329"/>
        <v>175.34964050452155</v>
      </c>
      <c r="C175" s="41">
        <f t="shared" ca="1" si="330"/>
        <v>2.9224940084086923</v>
      </c>
      <c r="D175" s="41">
        <f t="shared" ca="1" si="331"/>
        <v>10803.003543463466</v>
      </c>
      <c r="E175" s="41">
        <f t="shared" ca="1" si="332"/>
        <v>941.08690057285753</v>
      </c>
      <c r="F175" s="41">
        <f t="shared" ca="1" si="333"/>
        <v>28.605939681161928</v>
      </c>
      <c r="G175" s="41"/>
      <c r="H175" s="7">
        <f t="shared" si="334"/>
        <v>7200</v>
      </c>
      <c r="I175" s="6">
        <v>15</v>
      </c>
      <c r="J175" s="41">
        <f t="shared" si="335"/>
        <v>0.26979612658032448</v>
      </c>
      <c r="K175" s="41">
        <f t="shared" si="336"/>
        <v>301.59803126448492</v>
      </c>
      <c r="L175" s="6">
        <f t="shared" si="285"/>
        <v>156.49999999999989</v>
      </c>
      <c r="M175" s="41">
        <f t="shared" si="337"/>
        <v>178.69200795570708</v>
      </c>
      <c r="N175" s="41">
        <f t="shared" si="338"/>
        <v>82.573057784184613</v>
      </c>
      <c r="O175" s="41">
        <f t="shared" si="339"/>
        <v>1462277.0590243286</v>
      </c>
      <c r="P175" s="41">
        <f t="shared" si="340"/>
        <v>9388846.2378728464</v>
      </c>
      <c r="Q175" s="41">
        <f t="shared" si="341"/>
        <v>3.013751668116493E-3</v>
      </c>
      <c r="R175" s="41">
        <f t="shared" si="342"/>
        <v>2.0199571987399148E-2</v>
      </c>
      <c r="S175" s="24">
        <f t="shared" ca="1" si="343"/>
        <v>-2.9029151096591699</v>
      </c>
      <c r="T175" s="10">
        <f t="shared" ca="1" si="344"/>
        <v>-2.9029151096591699</v>
      </c>
      <c r="U175" s="41">
        <f t="shared" ca="1" si="345"/>
        <v>0.56809460206933127</v>
      </c>
      <c r="V175" s="41">
        <f t="shared" ca="1" si="346"/>
        <v>4.0582234622332666E-2</v>
      </c>
      <c r="W175" s="41">
        <f t="shared" ca="1" si="347"/>
        <v>13.998603264609415</v>
      </c>
      <c r="X175" s="20">
        <f t="shared" ca="1" si="348"/>
        <v>770.72981703067899</v>
      </c>
      <c r="Y175" s="41">
        <f t="shared" si="349"/>
        <v>0.56553734437683911</v>
      </c>
      <c r="Z175" s="41">
        <f t="shared" ca="1" si="350"/>
        <v>156.86613142122548</v>
      </c>
      <c r="AA175" s="14">
        <f t="shared" ca="1" si="351"/>
        <v>771.7201023029985</v>
      </c>
      <c r="AB175" s="14">
        <f t="shared" si="300"/>
        <v>4472.5034532982363</v>
      </c>
      <c r="AC175" s="25">
        <f t="shared" ca="1" si="352"/>
        <v>232749.26354181123</v>
      </c>
      <c r="AD175" s="41">
        <f t="shared" si="353"/>
        <v>1348898.2363383581</v>
      </c>
      <c r="AE175" s="6">
        <v>5</v>
      </c>
      <c r="AF175" s="41">
        <f t="shared" si="354"/>
        <v>223.62517266491182</v>
      </c>
      <c r="AG175" s="41">
        <f t="shared" ca="1" si="355"/>
        <v>3700.7833509952379</v>
      </c>
      <c r="AH175" s="41">
        <f t="shared" ca="1" si="356"/>
        <v>1116148.972796547</v>
      </c>
      <c r="AI175" s="41">
        <f t="shared" si="357"/>
        <v>170.75994994112384</v>
      </c>
      <c r="AJ175" s="13">
        <f t="shared" ca="1" si="358"/>
        <v>-15.274056235611527</v>
      </c>
      <c r="AK175" s="11"/>
      <c r="AL175" s="6">
        <v>-400</v>
      </c>
      <c r="AM175" s="41">
        <f t="shared" ca="1" si="359"/>
        <v>26.188197413297349</v>
      </c>
      <c r="AN175" s="41">
        <f t="shared" ca="1" si="360"/>
        <v>1.2421931331508123</v>
      </c>
      <c r="AO175" s="41">
        <f t="shared" ca="1" si="361"/>
        <v>1.2982268347198376</v>
      </c>
      <c r="AP175" s="67">
        <f t="shared" si="327"/>
        <v>0.76359896297093899</v>
      </c>
      <c r="AQ175" s="11">
        <f t="shared" si="362"/>
        <v>1.0025537007183758</v>
      </c>
      <c r="AR175" s="11">
        <f t="shared" si="363"/>
        <v>0.7657871812372844</v>
      </c>
      <c r="AS175" s="11">
        <f t="shared" si="364"/>
        <v>0.76383657123659576</v>
      </c>
      <c r="AT175" s="11">
        <f t="shared" si="365"/>
        <v>519.99452795159993</v>
      </c>
      <c r="AU175" s="11">
        <f t="shared" si="366"/>
        <v>1620.5741486779659</v>
      </c>
      <c r="AV175" s="11">
        <f t="shared" si="367"/>
        <v>1.8155631461722645E-3</v>
      </c>
      <c r="AW175" s="11">
        <f t="shared" si="368"/>
        <v>3.7446410524094736E-7</v>
      </c>
      <c r="AX175" s="41">
        <f t="shared" ca="1" si="369"/>
        <v>1.2289359759504224</v>
      </c>
      <c r="AY175" s="41">
        <f t="shared" ca="1" si="370"/>
        <v>1.655401175551761</v>
      </c>
      <c r="AZ175" s="41">
        <f t="shared" si="371"/>
        <v>0.19829384659875529</v>
      </c>
    </row>
    <row r="176" spans="1:52" ht="14.5">
      <c r="A176" s="41">
        <f t="shared" ca="1" si="328"/>
        <v>10547.16662768459</v>
      </c>
      <c r="B176" s="41">
        <f t="shared" ca="1" si="329"/>
        <v>175.78611046140983</v>
      </c>
      <c r="C176" s="41">
        <f t="shared" ca="1" si="330"/>
        <v>2.9297685076901638</v>
      </c>
      <c r="D176" s="41">
        <f t="shared" ca="1" si="331"/>
        <v>10801.761350330316</v>
      </c>
      <c r="E176" s="41">
        <f t="shared" ca="1" si="332"/>
        <v>942.38512740757733</v>
      </c>
      <c r="F176" s="41">
        <f t="shared" ca="1" si="333"/>
        <v>29.904166515881766</v>
      </c>
      <c r="G176" s="41"/>
      <c r="H176" s="7">
        <f t="shared" si="334"/>
        <v>6800</v>
      </c>
      <c r="I176" s="6">
        <v>15</v>
      </c>
      <c r="J176" s="41">
        <f t="shared" si="335"/>
        <v>0.26220347549974293</v>
      </c>
      <c r="K176" s="41">
        <f t="shared" si="336"/>
        <v>293.51215062972358</v>
      </c>
      <c r="L176" s="6">
        <f t="shared" si="285"/>
        <v>153.22222222222211</v>
      </c>
      <c r="M176" s="41">
        <f t="shared" si="337"/>
        <v>173.90125305370114</v>
      </c>
      <c r="N176" s="41">
        <f t="shared" si="338"/>
        <v>79.184281055079452</v>
      </c>
      <c r="O176" s="41">
        <f t="shared" si="339"/>
        <v>1437835.5867259563</v>
      </c>
      <c r="P176" s="41">
        <f t="shared" si="340"/>
        <v>9231914.8110817019</v>
      </c>
      <c r="Q176" s="41">
        <f t="shared" si="341"/>
        <v>3.023061599264648E-3</v>
      </c>
      <c r="R176" s="41">
        <f t="shared" si="342"/>
        <v>2.0252704046246087E-2</v>
      </c>
      <c r="S176" s="24">
        <f t="shared" ca="1" si="343"/>
        <v>-2.8941238821627167</v>
      </c>
      <c r="T176" s="10">
        <f t="shared" ca="1" si="344"/>
        <v>-2.8941238821627167</v>
      </c>
      <c r="U176" s="41">
        <f t="shared" ca="1" si="345"/>
        <v>0.59234330672156998</v>
      </c>
      <c r="V176" s="41">
        <f t="shared" ca="1" si="346"/>
        <v>4.2412541055918518E-2</v>
      </c>
      <c r="W176" s="41">
        <f t="shared" ca="1" si="347"/>
        <v>13.966230081347852</v>
      </c>
      <c r="X176" s="20">
        <f t="shared" ca="1" si="348"/>
        <v>772.4335113833481</v>
      </c>
      <c r="Y176" s="41">
        <f t="shared" si="349"/>
        <v>0.56628063809824492</v>
      </c>
      <c r="Z176" s="41">
        <f t="shared" ca="1" si="350"/>
        <v>155.88458817179227</v>
      </c>
      <c r="AA176" s="14">
        <f t="shared" ca="1" si="351"/>
        <v>773.41997714589138</v>
      </c>
      <c r="AB176" s="14">
        <f t="shared" si="300"/>
        <v>4540.9406718638411</v>
      </c>
      <c r="AC176" s="25">
        <f t="shared" ca="1" si="352"/>
        <v>227008.16083208224</v>
      </c>
      <c r="AD176" s="41">
        <f t="shared" si="353"/>
        <v>1332821.2624807379</v>
      </c>
      <c r="AE176" s="6">
        <v>5</v>
      </c>
      <c r="AF176" s="41">
        <f t="shared" si="354"/>
        <v>227.04703359319205</v>
      </c>
      <c r="AG176" s="41">
        <f t="shared" ca="1" si="355"/>
        <v>3767.5206947179495</v>
      </c>
      <c r="AH176" s="41">
        <f t="shared" ca="1" si="356"/>
        <v>1105813.1016486557</v>
      </c>
      <c r="AI176" s="41">
        <f t="shared" si="357"/>
        <v>173.02602189626845</v>
      </c>
      <c r="AJ176" s="13">
        <f t="shared" ca="1" si="358"/>
        <v>-14.819579217574875</v>
      </c>
      <c r="AK176" s="11"/>
      <c r="AL176" s="6">
        <v>-400</v>
      </c>
      <c r="AM176" s="41">
        <f t="shared" ca="1" si="359"/>
        <v>26.991319667540285</v>
      </c>
      <c r="AN176" s="41">
        <f t="shared" ca="1" si="360"/>
        <v>1.2972779632791684</v>
      </c>
      <c r="AO176" s="41">
        <f t="shared" ca="1" si="361"/>
        <v>1.302177091534394</v>
      </c>
      <c r="AP176" s="67">
        <f t="shared" si="327"/>
        <v>0.76207127289002641</v>
      </c>
      <c r="AQ176" s="11">
        <f t="shared" si="362"/>
        <v>1.0053038407183759</v>
      </c>
      <c r="AR176" s="11">
        <f t="shared" si="363"/>
        <v>0.77750508045062683</v>
      </c>
      <c r="AS176" s="11">
        <f t="shared" si="364"/>
        <v>0.77340307373642647</v>
      </c>
      <c r="AT176" s="11">
        <f t="shared" si="365"/>
        <v>521.42094306540002</v>
      </c>
      <c r="AU176" s="11">
        <f t="shared" si="366"/>
        <v>1645.3718013512253</v>
      </c>
      <c r="AV176" s="11">
        <f t="shared" si="367"/>
        <v>1.8383017659641121E-3</v>
      </c>
      <c r="AW176" s="11">
        <f t="shared" si="368"/>
        <v>3.7526119802276337E-7</v>
      </c>
      <c r="AX176" s="41">
        <f t="shared" ca="1" si="369"/>
        <v>1.1974188963104786</v>
      </c>
      <c r="AY176" s="41">
        <f t="shared" ca="1" si="370"/>
        <v>1.6129470431096116</v>
      </c>
      <c r="AZ176" s="41">
        <f t="shared" si="371"/>
        <v>0.19301145628420086</v>
      </c>
    </row>
    <row r="177" spans="1:52" ht="14.5">
      <c r="A177" s="41">
        <f t="shared" ca="1" si="328"/>
        <v>10574.157947352131</v>
      </c>
      <c r="B177" s="41">
        <f t="shared" ca="1" si="329"/>
        <v>176.23596578920217</v>
      </c>
      <c r="C177" s="41">
        <f t="shared" ca="1" si="330"/>
        <v>2.9372660964867028</v>
      </c>
      <c r="D177" s="41">
        <f t="shared" ca="1" si="331"/>
        <v>10800.464072367036</v>
      </c>
      <c r="E177" s="41">
        <f t="shared" ca="1" si="332"/>
        <v>943.68730449911175</v>
      </c>
      <c r="F177" s="41">
        <f t="shared" ca="1" si="333"/>
        <v>31.206343607416159</v>
      </c>
      <c r="G177" s="41"/>
      <c r="H177" s="7">
        <f t="shared" si="334"/>
        <v>6400</v>
      </c>
      <c r="I177" s="6">
        <v>15</v>
      </c>
      <c r="J177" s="41">
        <f t="shared" si="335"/>
        <v>0.25470977306976911</v>
      </c>
      <c r="K177" s="41">
        <f t="shared" si="336"/>
        <v>285.51338511671236</v>
      </c>
      <c r="L177" s="6">
        <f t="shared" si="285"/>
        <v>149.94444444444434</v>
      </c>
      <c r="M177" s="41">
        <f t="shared" si="337"/>
        <v>169.1621124674902</v>
      </c>
      <c r="N177" s="41">
        <f t="shared" si="338"/>
        <v>75.862901916228822</v>
      </c>
      <c r="O177" s="41">
        <f t="shared" si="339"/>
        <v>1413119.9181306595</v>
      </c>
      <c r="P177" s="41">
        <f t="shared" si="340"/>
        <v>9073222.8513909057</v>
      </c>
      <c r="Q177" s="41">
        <f t="shared" si="341"/>
        <v>3.032598870659152E-3</v>
      </c>
      <c r="R177" s="41">
        <f t="shared" si="342"/>
        <v>2.0307133542759863E-2</v>
      </c>
      <c r="S177" s="24">
        <f t="shared" ca="1" si="343"/>
        <v>-2.892261148045018</v>
      </c>
      <c r="T177" s="10">
        <f t="shared" ca="1" si="344"/>
        <v>-2.892261148045018</v>
      </c>
      <c r="U177" s="41">
        <f t="shared" ca="1" si="345"/>
        <v>0.61820364905794956</v>
      </c>
      <c r="V177" s="41">
        <f t="shared" ca="1" si="346"/>
        <v>4.4444101802394345E-2</v>
      </c>
      <c r="W177" s="41">
        <f t="shared" ca="1" si="347"/>
        <v>13.909689339804476</v>
      </c>
      <c r="X177" s="20">
        <f t="shared" ca="1" si="348"/>
        <v>775.48146323168407</v>
      </c>
      <c r="Y177" s="41">
        <f t="shared" si="349"/>
        <v>0.56704107208309196</v>
      </c>
      <c r="Z177" s="41">
        <f t="shared" ca="1" si="350"/>
        <v>154.91112500562699</v>
      </c>
      <c r="AA177" s="14">
        <f t="shared" ca="1" si="351"/>
        <v>776.47054571233548</v>
      </c>
      <c r="AB177" s="14">
        <f t="shared" si="300"/>
        <v>4610.2234060390356</v>
      </c>
      <c r="AC177" s="25">
        <f t="shared" ca="1" si="352"/>
        <v>221692.73394974985</v>
      </c>
      <c r="AD177" s="41">
        <f t="shared" si="353"/>
        <v>1316280.4908025046</v>
      </c>
      <c r="AE177" s="6">
        <v>5</v>
      </c>
      <c r="AF177" s="41">
        <f t="shared" si="354"/>
        <v>230.51117030195178</v>
      </c>
      <c r="AG177" s="41">
        <f t="shared" ca="1" si="355"/>
        <v>3833.7528603267001</v>
      </c>
      <c r="AH177" s="41">
        <f t="shared" ca="1" si="356"/>
        <v>1094587.7568527549</v>
      </c>
      <c r="AI177" s="41">
        <f t="shared" si="357"/>
        <v>175.31613347654721</v>
      </c>
      <c r="AJ177" s="13">
        <f t="shared" ca="1" si="358"/>
        <v>-14.406446989672142</v>
      </c>
      <c r="AK177" s="11"/>
      <c r="AL177" s="6">
        <v>-400</v>
      </c>
      <c r="AM177" s="41">
        <f t="shared" ca="1" si="359"/>
        <v>27.765347020452477</v>
      </c>
      <c r="AN177" s="41">
        <f t="shared" ca="1" si="360"/>
        <v>1.3521425789611941</v>
      </c>
      <c r="AO177" s="41">
        <f t="shared" ca="1" si="361"/>
        <v>1.3030171744516497</v>
      </c>
      <c r="AP177" s="67">
        <f t="shared" si="327"/>
        <v>0.76055374343419735</v>
      </c>
      <c r="AQ177" s="11">
        <f t="shared" si="362"/>
        <v>1.0080539807183759</v>
      </c>
      <c r="AR177" s="11">
        <f t="shared" si="363"/>
        <v>0.78936774981834046</v>
      </c>
      <c r="AS177" s="11">
        <f t="shared" si="364"/>
        <v>0.78306099168995724</v>
      </c>
      <c r="AT177" s="11">
        <f t="shared" si="365"/>
        <v>522.8473581792</v>
      </c>
      <c r="AU177" s="11">
        <f t="shared" si="366"/>
        <v>1670.4758195205684</v>
      </c>
      <c r="AV177" s="11">
        <f t="shared" si="367"/>
        <v>1.8612576711478594E-3</v>
      </c>
      <c r="AW177" s="11">
        <f t="shared" si="368"/>
        <v>3.7605724145962998E-7</v>
      </c>
      <c r="AX177" s="41">
        <f t="shared" ca="1" si="369"/>
        <v>1.1675844717385839</v>
      </c>
      <c r="AY177" s="41">
        <f t="shared" ca="1" si="370"/>
        <v>1.5727594804743574</v>
      </c>
      <c r="AZ177" s="41">
        <f t="shared" si="371"/>
        <v>0.18777043513772698</v>
      </c>
    </row>
    <row r="178" spans="1:52" ht="14.5">
      <c r="A178" s="41">
        <f t="shared" ca="1" si="328"/>
        <v>10601.923294372584</v>
      </c>
      <c r="B178" s="41">
        <f t="shared" ca="1" si="329"/>
        <v>176.69872157287639</v>
      </c>
      <c r="C178" s="41">
        <f t="shared" ca="1" si="330"/>
        <v>2.9449786928812731</v>
      </c>
      <c r="D178" s="41">
        <f t="shared" ca="1" si="331"/>
        <v>10799.111929788076</v>
      </c>
      <c r="E178" s="41">
        <f t="shared" ca="1" si="332"/>
        <v>944.99032167356336</v>
      </c>
      <c r="F178" s="41">
        <f t="shared" ca="1" si="333"/>
        <v>32.509360781867805</v>
      </c>
      <c r="G178" s="41"/>
      <c r="H178" s="7">
        <f t="shared" si="334"/>
        <v>6000</v>
      </c>
      <c r="I178" s="6">
        <v>15</v>
      </c>
      <c r="J178" s="41">
        <f t="shared" si="335"/>
        <v>0.24731395754242333</v>
      </c>
      <c r="K178" s="41">
        <f t="shared" si="336"/>
        <v>277.60104635479604</v>
      </c>
      <c r="L178" s="6">
        <f t="shared" si="285"/>
        <v>146.66666666666657</v>
      </c>
      <c r="M178" s="41">
        <f t="shared" si="337"/>
        <v>164.47417834847499</v>
      </c>
      <c r="N178" s="41">
        <f t="shared" si="338"/>
        <v>72.609382054404534</v>
      </c>
      <c r="O178" s="41">
        <f t="shared" si="339"/>
        <v>1388131.2708443012</v>
      </c>
      <c r="P178" s="41">
        <f t="shared" si="340"/>
        <v>8912778.1766856909</v>
      </c>
      <c r="Q178" s="41">
        <f t="shared" si="341"/>
        <v>3.0423771624714701E-3</v>
      </c>
      <c r="R178" s="41">
        <f t="shared" si="342"/>
        <v>2.036293855009309E-2</v>
      </c>
      <c r="S178" s="24">
        <f t="shared" ca="1" si="343"/>
        <v>-2.8978608265281691</v>
      </c>
      <c r="T178" s="10">
        <f t="shared" ca="1" si="344"/>
        <v>-2.8978608265281691</v>
      </c>
      <c r="U178" s="41">
        <f t="shared" ca="1" si="345"/>
        <v>0.64582039272563863</v>
      </c>
      <c r="V178" s="41">
        <f t="shared" ca="1" si="346"/>
        <v>4.6704596108575615E-2</v>
      </c>
      <c r="W178" s="41">
        <f t="shared" ca="1" si="347"/>
        <v>13.827769567352217</v>
      </c>
      <c r="X178" s="20">
        <f t="shared" ca="1" si="348"/>
        <v>779.97412838517107</v>
      </c>
      <c r="Y178" s="41">
        <f t="shared" si="349"/>
        <v>0.56781966600192979</v>
      </c>
      <c r="Z178" s="41">
        <f t="shared" ca="1" si="350"/>
        <v>153.94561700324365</v>
      </c>
      <c r="AA178" s="14">
        <f t="shared" ca="1" si="351"/>
        <v>780.97280094145526</v>
      </c>
      <c r="AB178" s="14">
        <f t="shared" si="300"/>
        <v>4680.3596243842703</v>
      </c>
      <c r="AC178" s="25">
        <f t="shared" ca="1" si="352"/>
        <v>216798.86671598384</v>
      </c>
      <c r="AD178" s="41">
        <f t="shared" si="353"/>
        <v>1299272.7290458137</v>
      </c>
      <c r="AE178" s="6">
        <v>5</v>
      </c>
      <c r="AF178" s="41">
        <f t="shared" si="354"/>
        <v>234.01798121921354</v>
      </c>
      <c r="AG178" s="41">
        <f t="shared" ca="1" si="355"/>
        <v>3899.3868234428151</v>
      </c>
      <c r="AH178" s="41">
        <f t="shared" ca="1" si="356"/>
        <v>1082473.8623298299</v>
      </c>
      <c r="AI178" s="41">
        <f t="shared" si="357"/>
        <v>177.63053277959065</v>
      </c>
      <c r="AJ178" s="13">
        <f t="shared" ca="1" si="358"/>
        <v>-14.034301959501684</v>
      </c>
      <c r="AK178" s="11"/>
      <c r="AL178" s="6">
        <v>-400</v>
      </c>
      <c r="AM178" s="41">
        <f t="shared" ca="1" si="359"/>
        <v>28.501595672821249</v>
      </c>
      <c r="AN178" s="41">
        <f t="shared" ca="1" si="360"/>
        <v>1.4063204512310314</v>
      </c>
      <c r="AO178" s="41">
        <f t="shared" ca="1" si="361"/>
        <v>1.3004950039274206</v>
      </c>
      <c r="AP178" s="67">
        <f t="shared" si="327"/>
        <v>0.75904651366596221</v>
      </c>
      <c r="AQ178" s="11">
        <f t="shared" si="362"/>
        <v>1.0108041207183758</v>
      </c>
      <c r="AR178" s="11">
        <f t="shared" si="363"/>
        <v>0.80137655372650329</v>
      </c>
      <c r="AS178" s="11">
        <f t="shared" si="364"/>
        <v>0.79281092874548942</v>
      </c>
      <c r="AT178" s="11">
        <f t="shared" si="365"/>
        <v>524.27377329299998</v>
      </c>
      <c r="AU178" s="11">
        <f t="shared" si="366"/>
        <v>1695.8890905271007</v>
      </c>
      <c r="AV178" s="11">
        <f t="shared" si="367"/>
        <v>1.8844322965351538E-3</v>
      </c>
      <c r="AW178" s="11">
        <f t="shared" si="368"/>
        <v>3.7685223889866925E-7</v>
      </c>
      <c r="AX178" s="41">
        <f t="shared" ca="1" si="369"/>
        <v>1.1395442646486211</v>
      </c>
      <c r="AY178" s="41">
        <f t="shared" ca="1" si="370"/>
        <v>1.5349887644339706</v>
      </c>
      <c r="AZ178" s="41">
        <f t="shared" si="371"/>
        <v>0.18257111592884243</v>
      </c>
    </row>
    <row r="179" spans="1:52" ht="14.5">
      <c r="A179" s="41">
        <f t="shared" ca="1" si="328"/>
        <v>10630.424890045406</v>
      </c>
      <c r="B179" s="41">
        <f t="shared" ca="1" si="329"/>
        <v>177.17374816742344</v>
      </c>
      <c r="C179" s="41">
        <f t="shared" ca="1" si="330"/>
        <v>2.9528958027903909</v>
      </c>
      <c r="D179" s="41">
        <f t="shared" ca="1" si="331"/>
        <v>10797.705609336845</v>
      </c>
      <c r="E179" s="41">
        <f t="shared" ca="1" si="332"/>
        <v>946.29081667749074</v>
      </c>
      <c r="F179" s="41">
        <f t="shared" ca="1" si="333"/>
        <v>33.809855785795229</v>
      </c>
      <c r="G179" s="41"/>
      <c r="H179" s="7">
        <f t="shared" si="334"/>
        <v>5600</v>
      </c>
      <c r="I179" s="6">
        <v>15</v>
      </c>
      <c r="J179" s="41">
        <f t="shared" si="335"/>
        <v>0.24001496392704072</v>
      </c>
      <c r="K179" s="41">
        <f t="shared" si="336"/>
        <v>269.77443434065214</v>
      </c>
      <c r="L179" s="6">
        <f t="shared" si="285"/>
        <v>143.3888888888888</v>
      </c>
      <c r="M179" s="41">
        <f t="shared" si="337"/>
        <v>159.83703595588693</v>
      </c>
      <c r="N179" s="41">
        <f t="shared" si="338"/>
        <v>69.424153807232756</v>
      </c>
      <c r="O179" s="41">
        <f t="shared" si="339"/>
        <v>1362870.8048531911</v>
      </c>
      <c r="P179" s="41">
        <f t="shared" si="340"/>
        <v>8750588.2348932698</v>
      </c>
      <c r="Q179" s="41">
        <f t="shared" si="341"/>
        <v>3.0524110850849197E-3</v>
      </c>
      <c r="R179" s="41">
        <f t="shared" si="342"/>
        <v>2.0420202450145572E-2</v>
      </c>
      <c r="S179" s="24">
        <f t="shared" ca="1" si="343"/>
        <v>-2.9115158372392247</v>
      </c>
      <c r="T179" s="10">
        <f t="shared" ca="1" si="344"/>
        <v>-2.9115158372392247</v>
      </c>
      <c r="U179" s="41">
        <f t="shared" ca="1" si="345"/>
        <v>0.675354951696436</v>
      </c>
      <c r="V179" s="41">
        <f t="shared" ca="1" si="346"/>
        <v>4.922625627010651E-2</v>
      </c>
      <c r="W179" s="41">
        <f t="shared" ca="1" si="347"/>
        <v>13.719405107525045</v>
      </c>
      <c r="X179" s="20">
        <f t="shared" ca="1" si="348"/>
        <v>786.02297292952994</v>
      </c>
      <c r="Y179" s="41">
        <f t="shared" si="349"/>
        <v>0.5686175061770925</v>
      </c>
      <c r="Z179" s="41">
        <f t="shared" ca="1" si="350"/>
        <v>152.98793669025102</v>
      </c>
      <c r="AA179" s="14">
        <f t="shared" ca="1" si="351"/>
        <v>787.03890764289349</v>
      </c>
      <c r="AB179" s="14">
        <f t="shared" si="300"/>
        <v>4751.3573473454289</v>
      </c>
      <c r="AC179" s="25">
        <f t="shared" ca="1" si="352"/>
        <v>212322.97611344635</v>
      </c>
      <c r="AD179" s="41">
        <f t="shared" si="353"/>
        <v>1281794.7407304146</v>
      </c>
      <c r="AE179" s="6">
        <v>5</v>
      </c>
      <c r="AF179" s="41">
        <f t="shared" si="354"/>
        <v>237.56786736727145</v>
      </c>
      <c r="AG179" s="41">
        <f t="shared" ca="1" si="355"/>
        <v>3964.3184397025352</v>
      </c>
      <c r="AH179" s="41">
        <f t="shared" ca="1" si="356"/>
        <v>1069471.7646169683</v>
      </c>
      <c r="AI179" s="41">
        <f t="shared" si="357"/>
        <v>179.96946987860426</v>
      </c>
      <c r="AJ179" s="13">
        <f t="shared" ca="1" si="358"/>
        <v>-13.702833844290005</v>
      </c>
      <c r="AK179" s="11"/>
      <c r="AL179" s="6">
        <v>-400</v>
      </c>
      <c r="AM179" s="41">
        <f t="shared" ca="1" si="359"/>
        <v>29.191042126419763</v>
      </c>
      <c r="AN179" s="41">
        <f t="shared" ca="1" si="360"/>
        <v>1.4593045490821581</v>
      </c>
      <c r="AO179" s="41">
        <f t="shared" ca="1" si="361"/>
        <v>1.2943852431362317</v>
      </c>
      <c r="AP179" s="67">
        <f t="shared" si="327"/>
        <v>0.75754971357459666</v>
      </c>
      <c r="AQ179" s="11">
        <f t="shared" si="362"/>
        <v>1.0135542607183758</v>
      </c>
      <c r="AR179" s="11">
        <f t="shared" si="363"/>
        <v>0.81353286544507719</v>
      </c>
      <c r="AS179" s="11">
        <f t="shared" si="364"/>
        <v>0.80265349076473747</v>
      </c>
      <c r="AT179" s="11">
        <f t="shared" si="365"/>
        <v>525.70018840679995</v>
      </c>
      <c r="AU179" s="11">
        <f t="shared" si="366"/>
        <v>1721.6145205121811</v>
      </c>
      <c r="AV179" s="11">
        <f t="shared" si="367"/>
        <v>1.9078270821987044E-3</v>
      </c>
      <c r="AW179" s="11">
        <f t="shared" si="368"/>
        <v>3.776461936723152E-7</v>
      </c>
      <c r="AX179" s="41">
        <f t="shared" ca="1" si="369"/>
        <v>1.1134280404590764</v>
      </c>
      <c r="AY179" s="41">
        <f t="shared" ca="1" si="370"/>
        <v>1.4998096915852726</v>
      </c>
      <c r="AZ179" s="41">
        <f t="shared" si="371"/>
        <v>0.17741379979294622</v>
      </c>
    </row>
    <row r="180" spans="1:52" ht="14.5">
      <c r="A180" s="41">
        <f t="shared" ca="1" si="328"/>
        <v>10659.615932171826</v>
      </c>
      <c r="B180" s="41">
        <f t="shared" ca="1" si="329"/>
        <v>177.6602655361971</v>
      </c>
      <c r="C180" s="41">
        <f t="shared" ca="1" si="330"/>
        <v>2.961004425603285</v>
      </c>
      <c r="D180" s="41">
        <f t="shared" ca="1" si="331"/>
        <v>10796.246304787763</v>
      </c>
      <c r="E180" s="41">
        <f t="shared" ca="1" si="332"/>
        <v>947.58520192062701</v>
      </c>
      <c r="F180" s="41">
        <f t="shared" ca="1" si="333"/>
        <v>35.104241028931462</v>
      </c>
      <c r="G180" s="41"/>
      <c r="H180" s="7">
        <f t="shared" si="334"/>
        <v>5200</v>
      </c>
      <c r="I180" s="6">
        <v>15</v>
      </c>
      <c r="J180" s="41">
        <f t="shared" si="335"/>
        <v>0.2328117247724644</v>
      </c>
      <c r="K180" s="41">
        <f t="shared" si="336"/>
        <v>262.03283832661742</v>
      </c>
      <c r="L180" s="6">
        <f t="shared" si="285"/>
        <v>140.11111111111103</v>
      </c>
      <c r="M180" s="41">
        <f t="shared" si="337"/>
        <v>155.25026418310759</v>
      </c>
      <c r="N180" s="41">
        <f t="shared" si="338"/>
        <v>66.307621385407543</v>
      </c>
      <c r="O180" s="41">
        <f t="shared" si="339"/>
        <v>1337339.622821142</v>
      </c>
      <c r="P180" s="41">
        <f t="shared" si="340"/>
        <v>8586660.1058901437</v>
      </c>
      <c r="Q180" s="41">
        <f t="shared" si="341"/>
        <v>3.0627162721830977E-3</v>
      </c>
      <c r="R180" s="41">
        <f t="shared" si="342"/>
        <v>2.0479014464822778E-2</v>
      </c>
      <c r="S180" s="24">
        <f t="shared" ca="1" si="343"/>
        <v>-2.9338864875492781</v>
      </c>
      <c r="T180" s="10">
        <f t="shared" ca="1" si="344"/>
        <v>-2.9338864875492781</v>
      </c>
      <c r="U180" s="41">
        <f t="shared" ca="1" si="345"/>
        <v>0.7069877332341914</v>
      </c>
      <c r="V180" s="41">
        <f t="shared" ca="1" si="346"/>
        <v>5.2046744067235369E-2</v>
      </c>
      <c r="W180" s="41">
        <f t="shared" ca="1" si="347"/>
        <v>13.583707221356361</v>
      </c>
      <c r="X180" s="20">
        <f t="shared" ca="1" si="348"/>
        <v>793.7520339892933</v>
      </c>
      <c r="Y180" s="41">
        <f t="shared" si="349"/>
        <v>0.56943575215563136</v>
      </c>
      <c r="Z180" s="41">
        <f t="shared" ca="1" si="350"/>
        <v>152.03795275024444</v>
      </c>
      <c r="AA180" s="14">
        <f t="shared" ca="1" si="351"/>
        <v>794.79380178438032</v>
      </c>
      <c r="AB180" s="14">
        <f t="shared" si="300"/>
        <v>4823.2246474413787</v>
      </c>
      <c r="AC180" s="25">
        <f t="shared" ca="1" si="352"/>
        <v>208262.07576596414</v>
      </c>
      <c r="AD180" s="41">
        <f t="shared" si="353"/>
        <v>1263843.244255963</v>
      </c>
      <c r="AE180" s="6">
        <v>5</v>
      </c>
      <c r="AF180" s="41">
        <f t="shared" si="354"/>
        <v>241.16123237206895</v>
      </c>
      <c r="AG180" s="41">
        <f t="shared" ca="1" si="355"/>
        <v>4028.4308456569984</v>
      </c>
      <c r="AH180" s="41">
        <f t="shared" ca="1" si="356"/>
        <v>1055581.1684899989</v>
      </c>
      <c r="AI180" s="41">
        <f t="shared" si="357"/>
        <v>182.33319680342257</v>
      </c>
      <c r="AJ180" s="13">
        <f t="shared" ca="1" si="358"/>
        <v>-13.411785179144127</v>
      </c>
      <c r="AK180" s="11"/>
      <c r="AL180" s="6">
        <v>-400</v>
      </c>
      <c r="AM180" s="41">
        <f t="shared" ca="1" si="359"/>
        <v>29.824515875933976</v>
      </c>
      <c r="AN180" s="41">
        <f t="shared" ca="1" si="360"/>
        <v>1.5105553674370753</v>
      </c>
      <c r="AO180" s="41">
        <f t="shared" ca="1" si="361"/>
        <v>1.2844985827869215</v>
      </c>
      <c r="AP180" s="67">
        <f t="shared" si="327"/>
        <v>0.75606346430555149</v>
      </c>
      <c r="AQ180" s="11">
        <f t="shared" si="362"/>
        <v>1.0163044007183759</v>
      </c>
      <c r="AR180" s="11">
        <f t="shared" si="363"/>
        <v>0.82583806716001962</v>
      </c>
      <c r="AS180" s="11">
        <f t="shared" si="364"/>
        <v>0.81258928582447842</v>
      </c>
      <c r="AT180" s="11">
        <f t="shared" si="365"/>
        <v>527.12660352060004</v>
      </c>
      <c r="AU180" s="11">
        <f t="shared" si="366"/>
        <v>1747.6550344853765</v>
      </c>
      <c r="AV180" s="11">
        <f t="shared" si="367"/>
        <v>1.9314434734762026E-3</v>
      </c>
      <c r="AW180" s="11">
        <f t="shared" si="368"/>
        <v>3.7843910909837524E-7</v>
      </c>
      <c r="AX180" s="41">
        <f t="shared" ca="1" si="369"/>
        <v>1.0893879303481639</v>
      </c>
      <c r="AY180" s="41">
        <f t="shared" ca="1" si="370"/>
        <v>1.4674271856477918</v>
      </c>
      <c r="AZ180" s="41">
        <f t="shared" si="371"/>
        <v>0.17229875723374138</v>
      </c>
    </row>
    <row r="181" spans="1:52" ht="14.5">
      <c r="A181" s="41">
        <f t="shared" ca="1" si="328"/>
        <v>10689.440448047761</v>
      </c>
      <c r="B181" s="41">
        <f t="shared" ca="1" si="329"/>
        <v>178.15734080079602</v>
      </c>
      <c r="C181" s="41">
        <f t="shared" ca="1" si="330"/>
        <v>2.9692890133466006</v>
      </c>
      <c r="D181" s="41">
        <f t="shared" ca="1" si="331"/>
        <v>10794.735749420326</v>
      </c>
      <c r="E181" s="41">
        <f t="shared" ca="1" si="332"/>
        <v>948.86970050341392</v>
      </c>
      <c r="F181" s="41">
        <f t="shared" ca="1" si="333"/>
        <v>36.388739611718385</v>
      </c>
      <c r="G181" s="41"/>
      <c r="H181" s="7">
        <f t="shared" si="334"/>
        <v>4800</v>
      </c>
      <c r="I181" s="6">
        <v>15</v>
      </c>
      <c r="J181" s="41">
        <f t="shared" si="335"/>
        <v>0.22570317092065301</v>
      </c>
      <c r="K181" s="41">
        <f t="shared" si="336"/>
        <v>254.37553768374906</v>
      </c>
      <c r="L181" s="6">
        <f t="shared" si="285"/>
        <v>136.83333333333326</v>
      </c>
      <c r="M181" s="41">
        <f t="shared" si="337"/>
        <v>150.71343606901837</v>
      </c>
      <c r="N181" s="41">
        <f t="shared" si="338"/>
        <v>63.260162074627331</v>
      </c>
      <c r="O181" s="41">
        <f t="shared" si="339"/>
        <v>1311538.770447226</v>
      </c>
      <c r="P181" s="41">
        <f t="shared" si="340"/>
        <v>8421000.5037991535</v>
      </c>
      <c r="Q181" s="41">
        <f t="shared" si="341"/>
        <v>3.073309485508084E-3</v>
      </c>
      <c r="R181" s="41">
        <f t="shared" si="342"/>
        <v>2.0539470253894097E-2</v>
      </c>
      <c r="S181" s="24">
        <f t="shared" ca="1" si="343"/>
        <v>-2.9657102332751353</v>
      </c>
      <c r="T181" s="10">
        <f t="shared" ca="1" si="344"/>
        <v>-2.9657102332751344</v>
      </c>
      <c r="U181" s="41">
        <f t="shared" ca="1" si="345"/>
        <v>0.74092087150510777</v>
      </c>
      <c r="V181" s="41">
        <f t="shared" ca="1" si="346"/>
        <v>5.5210221227762479E-2</v>
      </c>
      <c r="W181" s="41">
        <f t="shared" ca="1" si="347"/>
        <v>13.419994613833126</v>
      </c>
      <c r="X181" s="20">
        <f t="shared" ca="1" si="348"/>
        <v>803.29973490018574</v>
      </c>
      <c r="Y181" s="41">
        <f t="shared" si="349"/>
        <v>0.57027564409295028</v>
      </c>
      <c r="Z181" s="41">
        <f t="shared" ca="1" si="350"/>
        <v>151.095528345556</v>
      </c>
      <c r="AA181" s="14">
        <f t="shared" ca="1" si="351"/>
        <v>804.37705528534843</v>
      </c>
      <c r="AB181" s="14">
        <f t="shared" si="300"/>
        <v>4895.969649451652</v>
      </c>
      <c r="AC181" s="25">
        <f t="shared" ca="1" si="352"/>
        <v>204613.84593868125</v>
      </c>
      <c r="AD181" s="41">
        <f t="shared" si="353"/>
        <v>1245414.9120625805</v>
      </c>
      <c r="AE181" s="6">
        <v>5</v>
      </c>
      <c r="AF181" s="41">
        <f t="shared" si="354"/>
        <v>244.79848247258261</v>
      </c>
      <c r="AG181" s="41">
        <f t="shared" ca="1" si="355"/>
        <v>4091.5925941663036</v>
      </c>
      <c r="AH181" s="41">
        <f t="shared" ca="1" si="356"/>
        <v>1040801.0661238992</v>
      </c>
      <c r="AI181" s="41">
        <f t="shared" si="357"/>
        <v>184.72196752230599</v>
      </c>
      <c r="AJ181" s="13">
        <f t="shared" ca="1" si="358"/>
        <v>-13.160957311154913</v>
      </c>
      <c r="AK181" s="11"/>
      <c r="AL181" s="6">
        <v>-400</v>
      </c>
      <c r="AM181" s="41">
        <f t="shared" ca="1" si="359"/>
        <v>30.39292587485027</v>
      </c>
      <c r="AN181" s="41">
        <f t="shared" ca="1" si="360"/>
        <v>1.5595114073227625</v>
      </c>
      <c r="AO181" s="41">
        <f t="shared" ca="1" si="361"/>
        <v>1.270690933261631</v>
      </c>
      <c r="AP181" s="67">
        <f t="shared" si="327"/>
        <v>0.75458787839093255</v>
      </c>
      <c r="AQ181" s="11">
        <f t="shared" si="362"/>
        <v>1.0190545407183758</v>
      </c>
      <c r="AR181" s="11">
        <f t="shared" si="363"/>
        <v>0.8382935500054195</v>
      </c>
      <c r="AS181" s="11">
        <f t="shared" si="364"/>
        <v>0.82261892421819738</v>
      </c>
      <c r="AT181" s="11">
        <f t="shared" si="365"/>
        <v>528.5530186343999</v>
      </c>
      <c r="AU181" s="11">
        <f t="shared" si="366"/>
        <v>1774.0135763924686</v>
      </c>
      <c r="AV181" s="11">
        <f t="shared" si="367"/>
        <v>1.9552829209742331E-3</v>
      </c>
      <c r="AW181" s="11">
        <f t="shared" si="368"/>
        <v>3.7923098848009661E-7</v>
      </c>
      <c r="AX181" s="41">
        <f t="shared" ca="1" si="369"/>
        <v>1.0676037243414482</v>
      </c>
      <c r="AY181" s="41">
        <f t="shared" ca="1" si="370"/>
        <v>1.4380834273579508</v>
      </c>
      <c r="AZ181" s="41">
        <f t="shared" si="371"/>
        <v>0.16722622911817481</v>
      </c>
    </row>
    <row r="182" spans="1:52" ht="14.5">
      <c r="A182" s="41">
        <f t="shared" ca="1" si="328"/>
        <v>10719.833373922611</v>
      </c>
      <c r="B182" s="41">
        <f t="shared" ca="1" si="329"/>
        <v>178.66388956537685</v>
      </c>
      <c r="C182" s="41">
        <f t="shared" ca="1" si="330"/>
        <v>2.977731492756281</v>
      </c>
      <c r="D182" s="41">
        <f t="shared" ca="1" si="331"/>
        <v>10793.176238013004</v>
      </c>
      <c r="E182" s="41">
        <f t="shared" ca="1" si="332"/>
        <v>950.1403914366756</v>
      </c>
      <c r="F182" s="41">
        <f t="shared" ca="1" si="333"/>
        <v>37.659430544980019</v>
      </c>
      <c r="G182" s="41"/>
      <c r="H182" s="7">
        <f t="shared" si="334"/>
        <v>4400</v>
      </c>
      <c r="I182" s="6">
        <v>15</v>
      </c>
      <c r="J182" s="41">
        <f t="shared" si="335"/>
        <v>0.218688232231631</v>
      </c>
      <c r="K182" s="41">
        <f t="shared" si="336"/>
        <v>246.80180273920575</v>
      </c>
      <c r="L182" s="6">
        <f t="shared" si="285"/>
        <v>133.55555555555549</v>
      </c>
      <c r="M182" s="41">
        <f t="shared" si="337"/>
        <v>146.22611929413557</v>
      </c>
      <c r="N182" s="41">
        <f t="shared" si="338"/>
        <v>60.282127415835831</v>
      </c>
      <c r="O182" s="41">
        <f t="shared" si="339"/>
        <v>1285469.2368791935</v>
      </c>
      <c r="P182" s="41">
        <f t="shared" si="340"/>
        <v>8253615.7796439147</v>
      </c>
      <c r="Q182" s="41">
        <f t="shared" si="341"/>
        <v>3.0842087330577661E-3</v>
      </c>
      <c r="R182" s="41">
        <f t="shared" si="342"/>
        <v>2.0601672589548512E-2</v>
      </c>
      <c r="S182" s="24">
        <f t="shared" ca="1" si="343"/>
        <v>-3.0078130716949372</v>
      </c>
      <c r="T182" s="10">
        <f t="shared" ca="1" si="344"/>
        <v>-3.0078130716949372</v>
      </c>
      <c r="U182" s="41">
        <f t="shared" ca="1" si="345"/>
        <v>0.77738142723539638</v>
      </c>
      <c r="V182" s="41">
        <f t="shared" ca="1" si="346"/>
        <v>5.876866265438653E-2</v>
      </c>
      <c r="W182" s="41">
        <f t="shared" ca="1" si="347"/>
        <v>13.227822314200171</v>
      </c>
      <c r="X182" s="20">
        <f t="shared" ca="1" si="348"/>
        <v>814.82100234370034</v>
      </c>
      <c r="Y182" s="41">
        <f t="shared" si="349"/>
        <v>0.57113851106828595</v>
      </c>
      <c r="Z182" s="41">
        <f t="shared" ca="1" si="350"/>
        <v>150.16051894699223</v>
      </c>
      <c r="AA182" s="14">
        <f t="shared" ca="1" si="351"/>
        <v>815.94505744354035</v>
      </c>
      <c r="AB182" s="14">
        <f t="shared" si="300"/>
        <v>4969.6005306042962</v>
      </c>
      <c r="AC182" s="25">
        <f t="shared" ca="1" si="352"/>
        <v>201376.71111321056</v>
      </c>
      <c r="AD182" s="41">
        <f t="shared" si="353"/>
        <v>1226506.3698468537</v>
      </c>
      <c r="AE182" s="6">
        <v>5</v>
      </c>
      <c r="AF182" s="41">
        <f t="shared" si="354"/>
        <v>248.48002653021481</v>
      </c>
      <c r="AG182" s="41">
        <f t="shared" ca="1" si="355"/>
        <v>4153.6554731607557</v>
      </c>
      <c r="AH182" s="41">
        <f t="shared" ca="1" si="356"/>
        <v>1025129.6587336431</v>
      </c>
      <c r="AI182" s="41">
        <f t="shared" si="357"/>
        <v>187.13603792448242</v>
      </c>
      <c r="AJ182" s="13">
        <f t="shared" ca="1" si="358"/>
        <v>-12.950216943884646</v>
      </c>
      <c r="AK182" s="11"/>
      <c r="AL182" s="6">
        <v>-400</v>
      </c>
      <c r="AM182" s="41">
        <f t="shared" ca="1" si="359"/>
        <v>30.88751344732399</v>
      </c>
      <c r="AN182" s="41">
        <f t="shared" ca="1" si="360"/>
        <v>1.6056019132976065</v>
      </c>
      <c r="AO182" s="41">
        <f t="shared" ca="1" si="361"/>
        <v>1.252871989011024</v>
      </c>
      <c r="AP182" s="67">
        <f t="shared" si="327"/>
        <v>0.75312305998054518</v>
      </c>
      <c r="AQ182" s="11">
        <f t="shared" si="362"/>
        <v>1.0218046807183758</v>
      </c>
      <c r="AR182" s="11">
        <f t="shared" si="363"/>
        <v>0.85090071409566059</v>
      </c>
      <c r="AS182" s="11">
        <f t="shared" si="364"/>
        <v>0.83274301845773313</v>
      </c>
      <c r="AT182" s="11">
        <f t="shared" si="365"/>
        <v>529.97943374819999</v>
      </c>
      <c r="AU182" s="11">
        <f t="shared" si="366"/>
        <v>1800.6931091835188</v>
      </c>
      <c r="AV182" s="11">
        <f t="shared" si="367"/>
        <v>1.9793468805721858E-3</v>
      </c>
      <c r="AW182" s="11">
        <f t="shared" si="368"/>
        <v>3.8002183510623204E-7</v>
      </c>
      <c r="AX182" s="41">
        <f t="shared" ca="1" si="369"/>
        <v>1.0482896580443544</v>
      </c>
      <c r="AY182" s="41">
        <f t="shared" ca="1" si="370"/>
        <v>1.412066996332594</v>
      </c>
      <c r="AZ182" s="41">
        <f t="shared" si="371"/>
        <v>0.16219642766236278</v>
      </c>
    </row>
    <row r="183" spans="1:52" ht="14.5">
      <c r="A183" s="41">
        <f t="shared" ca="1" si="328"/>
        <v>10750.720887369935</v>
      </c>
      <c r="B183" s="41">
        <f t="shared" ca="1" si="329"/>
        <v>179.17868145616558</v>
      </c>
      <c r="C183" s="41">
        <f t="shared" ca="1" si="330"/>
        <v>2.9863113576027596</v>
      </c>
      <c r="D183" s="41">
        <f t="shared" ca="1" si="331"/>
        <v>10791.570636099706</v>
      </c>
      <c r="E183" s="41">
        <f t="shared" ca="1" si="332"/>
        <v>951.39326342568665</v>
      </c>
      <c r="F183" s="41">
        <f t="shared" ca="1" si="333"/>
        <v>38.912302533991046</v>
      </c>
      <c r="G183" s="41"/>
      <c r="H183" s="7">
        <f t="shared" si="334"/>
        <v>4000</v>
      </c>
      <c r="I183" s="6">
        <v>15</v>
      </c>
      <c r="J183" s="41">
        <f t="shared" si="335"/>
        <v>0.21176583827986881</v>
      </c>
      <c r="K183" s="41">
        <f t="shared" si="336"/>
        <v>239.31089558771302</v>
      </c>
      <c r="L183" s="6">
        <f t="shared" si="285"/>
        <v>130.27777777777771</v>
      </c>
      <c r="M183" s="41">
        <f t="shared" si="337"/>
        <v>141.78787666139056</v>
      </c>
      <c r="N183" s="41">
        <f t="shared" si="338"/>
        <v>57.373844362560945</v>
      </c>
      <c r="O183" s="41">
        <f t="shared" si="339"/>
        <v>1259131.9551780627</v>
      </c>
      <c r="P183" s="41">
        <f t="shared" si="340"/>
        <v>8084511.9243318103</v>
      </c>
      <c r="Q183" s="41">
        <f t="shared" si="341"/>
        <v>3.0954334028119221E-3</v>
      </c>
      <c r="R183" s="41">
        <f t="shared" si="342"/>
        <v>2.0665732119573441E-2</v>
      </c>
      <c r="S183" s="24">
        <f t="shared" ca="1" si="343"/>
        <v>-3.0611228810408657</v>
      </c>
      <c r="T183" s="10">
        <f t="shared" ca="1" si="344"/>
        <v>-3.0611228810408657</v>
      </c>
      <c r="U183" s="41">
        <f t="shared" ca="1" si="345"/>
        <v>0.81662514541747355</v>
      </c>
      <c r="V183" s="41">
        <f t="shared" ca="1" si="346"/>
        <v>6.2783474896972002E-2</v>
      </c>
      <c r="W183" s="41">
        <f t="shared" ca="1" si="347"/>
        <v>13.007007763707879</v>
      </c>
      <c r="X183" s="20">
        <f t="shared" ca="1" si="348"/>
        <v>828.48974297431346</v>
      </c>
      <c r="Y183" s="41">
        <f t="shared" si="349"/>
        <v>0.57202578047483921</v>
      </c>
      <c r="Z183" s="41">
        <f t="shared" ca="1" si="350"/>
        <v>149.23276955182843</v>
      </c>
      <c r="AA183" s="14">
        <f t="shared" ca="1" si="351"/>
        <v>829.67357536376051</v>
      </c>
      <c r="AB183" s="14">
        <f t="shared" si="300"/>
        <v>5044.1255207638187</v>
      </c>
      <c r="AC183" s="25">
        <f t="shared" ca="1" si="352"/>
        <v>198549.92636576144</v>
      </c>
      <c r="AD183" s="41">
        <f t="shared" si="353"/>
        <v>1207114.1958308287</v>
      </c>
      <c r="AE183" s="6">
        <v>5</v>
      </c>
      <c r="AF183" s="41">
        <f t="shared" si="354"/>
        <v>252.20627603819094</v>
      </c>
      <c r="AG183" s="41">
        <f t="shared" ca="1" si="355"/>
        <v>4214.4519454000583</v>
      </c>
      <c r="AH183" s="41">
        <f t="shared" ca="1" si="356"/>
        <v>1008564.2694650673</v>
      </c>
      <c r="AI183" s="41">
        <f t="shared" si="357"/>
        <v>189.57566580343155</v>
      </c>
      <c r="AJ183" s="13">
        <f t="shared" ca="1" si="358"/>
        <v>-12.779503302655444</v>
      </c>
      <c r="AK183" s="11"/>
      <c r="AL183" s="6">
        <v>-400</v>
      </c>
      <c r="AM183" s="41">
        <f t="shared" ca="1" si="359"/>
        <v>31.300121024021667</v>
      </c>
      <c r="AN183" s="41">
        <f t="shared" ca="1" si="360"/>
        <v>1.648261467460248</v>
      </c>
      <c r="AO183" s="41">
        <f t="shared" ca="1" si="361"/>
        <v>1.2310125841953052</v>
      </c>
      <c r="AP183" s="67">
        <f t="shared" si="327"/>
        <v>0.75166910507304185</v>
      </c>
      <c r="AQ183" s="11">
        <f t="shared" si="362"/>
        <v>1.0245548207183759</v>
      </c>
      <c r="AR183" s="11">
        <f t="shared" si="363"/>
        <v>0.86366096855760188</v>
      </c>
      <c r="AS183" s="11">
        <f t="shared" si="364"/>
        <v>0.84296218327491557</v>
      </c>
      <c r="AT183" s="11">
        <f t="shared" si="365"/>
        <v>531.40584886199997</v>
      </c>
      <c r="AU183" s="11">
        <f t="shared" si="366"/>
        <v>1827.6966148809681</v>
      </c>
      <c r="AV183" s="11">
        <f t="shared" si="367"/>
        <v>2.0036368134261468E-3</v>
      </c>
      <c r="AW183" s="11">
        <f t="shared" si="368"/>
        <v>3.8081165225110524E-7</v>
      </c>
      <c r="AX183" s="41">
        <f t="shared" ca="1" si="369"/>
        <v>1.0317031911711618</v>
      </c>
      <c r="AY183" s="41">
        <f t="shared" ca="1" si="370"/>
        <v>1.3897246959219491</v>
      </c>
      <c r="AZ183" s="41">
        <f t="shared" si="371"/>
        <v>0.1572095374071345</v>
      </c>
    </row>
    <row r="184" spans="1:52" ht="14.5">
      <c r="A184" s="41">
        <f t="shared" ca="1" si="328"/>
        <v>10782.021008393956</v>
      </c>
      <c r="B184" s="41">
        <f t="shared" ca="1" si="329"/>
        <v>179.70035013989929</v>
      </c>
      <c r="C184" s="41">
        <f t="shared" ca="1" si="330"/>
        <v>2.9950058356649882</v>
      </c>
      <c r="D184" s="41">
        <f t="shared" ca="1" si="331"/>
        <v>10789.922374632246</v>
      </c>
      <c r="E184" s="41">
        <f t="shared" ca="1" si="332"/>
        <v>952.62427600988201</v>
      </c>
      <c r="F184" s="41">
        <f t="shared" ca="1" si="333"/>
        <v>40.143315118186351</v>
      </c>
      <c r="G184" s="41"/>
      <c r="H184" s="7">
        <f t="shared" si="334"/>
        <v>3600</v>
      </c>
      <c r="I184" s="6">
        <v>15</v>
      </c>
      <c r="J184" s="41">
        <f t="shared" si="335"/>
        <v>0.20493491902222619</v>
      </c>
      <c r="K184" s="41">
        <f t="shared" si="336"/>
        <v>231.90207087693224</v>
      </c>
      <c r="L184" s="6">
        <f t="shared" si="285"/>
        <v>126.99999999999994</v>
      </c>
      <c r="M184" s="41">
        <f t="shared" si="337"/>
        <v>137.39826656144834</v>
      </c>
      <c r="N184" s="41">
        <f t="shared" si="338"/>
        <v>54.535616414290075</v>
      </c>
      <c r="O184" s="41">
        <f t="shared" si="339"/>
        <v>1232527.8028294041</v>
      </c>
      <c r="P184" s="41">
        <f t="shared" si="340"/>
        <v>7913694.5719367992</v>
      </c>
      <c r="Q184" s="41">
        <f t="shared" si="341"/>
        <v>3.1070044144650717E-3</v>
      </c>
      <c r="R184" s="41">
        <f t="shared" si="342"/>
        <v>2.073176823329868E-2</v>
      </c>
      <c r="S184" s="24">
        <f t="shared" ca="1" si="343"/>
        <v>-3.1266850889151652</v>
      </c>
      <c r="T184" s="10">
        <f t="shared" ca="1" si="344"/>
        <v>-3.1266850889151652</v>
      </c>
      <c r="U184" s="41">
        <f t="shared" ca="1" si="345"/>
        <v>0.85894088377169497</v>
      </c>
      <c r="V184" s="41">
        <f t="shared" ca="1" si="346"/>
        <v>6.732750040645627E-2</v>
      </c>
      <c r="W184" s="41">
        <f t="shared" ca="1" si="347"/>
        <v>12.757652943986736</v>
      </c>
      <c r="X184" s="20">
        <f t="shared" ca="1" si="348"/>
        <v>844.50174934887536</v>
      </c>
      <c r="Y184" s="41">
        <f t="shared" si="349"/>
        <v>0.57293898865358539</v>
      </c>
      <c r="Z184" s="41">
        <f t="shared" ca="1" si="350"/>
        <v>148.31211114130565</v>
      </c>
      <c r="AA184" s="14">
        <f t="shared" ca="1" si="351"/>
        <v>845.76076979096911</v>
      </c>
      <c r="AB184" s="14">
        <f t="shared" si="300"/>
        <v>5119.5529026193071</v>
      </c>
      <c r="AC184" s="25">
        <f t="shared" ca="1" si="352"/>
        <v>196133.67398099409</v>
      </c>
      <c r="AD184" s="41">
        <f t="shared" si="353"/>
        <v>1187234.9200814269</v>
      </c>
      <c r="AE184" s="6">
        <v>5</v>
      </c>
      <c r="AF184" s="41">
        <f t="shared" si="354"/>
        <v>255.97764513096536</v>
      </c>
      <c r="AG184" s="41">
        <f t="shared" ca="1" si="355"/>
        <v>4273.7921328283383</v>
      </c>
      <c r="AH184" s="41">
        <f t="shared" ca="1" si="356"/>
        <v>991101.24610043271</v>
      </c>
      <c r="AI184" s="41">
        <f t="shared" si="357"/>
        <v>192.04111084091232</v>
      </c>
      <c r="AJ184" s="13">
        <f t="shared" ca="1" si="358"/>
        <v>-12.648835996262344</v>
      </c>
      <c r="AK184" s="11"/>
      <c r="AL184" s="6">
        <v>-400</v>
      </c>
      <c r="AM184" s="41">
        <f t="shared" ca="1" si="359"/>
        <v>31.623463227620125</v>
      </c>
      <c r="AN184" s="41">
        <f t="shared" ca="1" si="360"/>
        <v>1.6869458352413642</v>
      </c>
      <c r="AO184" s="41">
        <f t="shared" ca="1" si="361"/>
        <v>1.2051502616726804</v>
      </c>
      <c r="AP184" s="67">
        <f t="shared" si="327"/>
        <v>0.75022610174673143</v>
      </c>
      <c r="AQ184" s="11">
        <f t="shared" si="362"/>
        <v>1.0273049607183757</v>
      </c>
      <c r="AR184" s="11">
        <f t="shared" si="363"/>
        <v>0.8765757315627879</v>
      </c>
      <c r="AS184" s="11">
        <f t="shared" si="364"/>
        <v>0.85327703562320423</v>
      </c>
      <c r="AT184" s="11">
        <f t="shared" si="365"/>
        <v>532.83226397579995</v>
      </c>
      <c r="AU184" s="11">
        <f t="shared" si="366"/>
        <v>1855.0270946478029</v>
      </c>
      <c r="AV184" s="11">
        <f t="shared" si="367"/>
        <v>2.0281541859727939E-3</v>
      </c>
      <c r="AW184" s="11">
        <f t="shared" si="368"/>
        <v>3.816004431746755E-7</v>
      </c>
      <c r="AX184" s="41">
        <f t="shared" ca="1" si="369"/>
        <v>1.0181564677775972</v>
      </c>
      <c r="AY184" s="41">
        <f t="shared" ca="1" si="370"/>
        <v>1.3714769903706177</v>
      </c>
      <c r="AZ184" s="41">
        <f t="shared" si="371"/>
        <v>0.15226571618191753</v>
      </c>
    </row>
    <row r="185" spans="1:52" ht="14.5">
      <c r="A185" s="41">
        <f t="shared" ca="1" si="328"/>
        <v>10813.644471621577</v>
      </c>
      <c r="B185" s="41">
        <f t="shared" ca="1" si="329"/>
        <v>180.22740786035962</v>
      </c>
      <c r="C185" s="41">
        <f t="shared" ca="1" si="330"/>
        <v>3.0037901310059936</v>
      </c>
      <c r="D185" s="41">
        <f t="shared" ca="1" si="331"/>
        <v>10788.235428797005</v>
      </c>
      <c r="E185" s="41">
        <f t="shared" ca="1" si="332"/>
        <v>953.82942627155467</v>
      </c>
      <c r="F185" s="41">
        <f t="shared" ca="1" si="333"/>
        <v>41.348465379859029</v>
      </c>
      <c r="G185" s="41"/>
      <c r="H185" s="7">
        <f t="shared" si="334"/>
        <v>3200</v>
      </c>
      <c r="I185" s="6">
        <v>15</v>
      </c>
      <c r="J185" s="41">
        <f t="shared" si="335"/>
        <v>0.19819440543770228</v>
      </c>
      <c r="K185" s="41">
        <f t="shared" si="336"/>
        <v>224.57457656668188</v>
      </c>
      <c r="L185" s="6">
        <f t="shared" si="285"/>
        <v>123.72222222222217</v>
      </c>
      <c r="M185" s="41">
        <f t="shared" si="337"/>
        <v>133.05684342253394</v>
      </c>
      <c r="N185" s="41">
        <f t="shared" si="338"/>
        <v>51.767724724991609</v>
      </c>
      <c r="O185" s="41">
        <f t="shared" si="339"/>
        <v>1205657.6022972353</v>
      </c>
      <c r="P185" s="41">
        <f t="shared" si="340"/>
        <v>7741169.0032558069</v>
      </c>
      <c r="Q185" s="41">
        <f t="shared" si="341"/>
        <v>3.1189443921165721E-3</v>
      </c>
      <c r="R185" s="41">
        <f t="shared" si="342"/>
        <v>2.0799910047144037E-2</v>
      </c>
      <c r="S185" s="24">
        <f t="shared" ca="1" si="343"/>
        <v>-3.2056811367355329</v>
      </c>
      <c r="T185" s="10">
        <f t="shared" ca="1" si="344"/>
        <v>-3.2056811367355329</v>
      </c>
      <c r="U185" s="41">
        <f t="shared" ca="1" si="345"/>
        <v>0.90465585060532816</v>
      </c>
      <c r="V185" s="41">
        <f t="shared" ca="1" si="346"/>
        <v>7.248751197016165E-2</v>
      </c>
      <c r="W185" s="41">
        <f t="shared" ca="1" si="347"/>
        <v>12.480161423911412</v>
      </c>
      <c r="X185" s="20">
        <f t="shared" ca="1" si="348"/>
        <v>863.07812010429836</v>
      </c>
      <c r="Y185" s="41">
        <f t="shared" si="349"/>
        <v>0.57387979297162794</v>
      </c>
      <c r="Z185" s="41">
        <f t="shared" ca="1" si="350"/>
        <v>147.39835619205371</v>
      </c>
      <c r="AA185" s="14">
        <f t="shared" ca="1" si="351"/>
        <v>864.43076033674095</v>
      </c>
      <c r="AB185" s="14">
        <f t="shared" si="300"/>
        <v>5195.8910118726662</v>
      </c>
      <c r="AC185" s="25">
        <f t="shared" ca="1" si="352"/>
        <v>194129.17197383847</v>
      </c>
      <c r="AD185" s="41">
        <f t="shared" si="353"/>
        <v>1166865.0238779322</v>
      </c>
      <c r="AE185" s="6">
        <v>5</v>
      </c>
      <c r="AF185" s="41">
        <f t="shared" si="354"/>
        <v>259.79455059363335</v>
      </c>
      <c r="AG185" s="41">
        <f t="shared" ca="1" si="355"/>
        <v>4331.4602515359256</v>
      </c>
      <c r="AH185" s="41">
        <f t="shared" ca="1" si="356"/>
        <v>972735.85190409375</v>
      </c>
      <c r="AI185" s="41">
        <f t="shared" si="357"/>
        <v>194.53263459172925</v>
      </c>
      <c r="AJ185" s="13">
        <f t="shared" ca="1" si="358"/>
        <v>-12.558323654195746</v>
      </c>
      <c r="AK185" s="11"/>
      <c r="AL185" s="6">
        <v>-400</v>
      </c>
      <c r="AM185" s="41">
        <f t="shared" ca="1" si="359"/>
        <v>31.851384867466741</v>
      </c>
      <c r="AN185" s="41">
        <f t="shared" ca="1" si="360"/>
        <v>1.7211482815731785</v>
      </c>
      <c r="AO185" s="41">
        <f t="shared" ca="1" si="361"/>
        <v>1.1753925388251609</v>
      </c>
      <c r="AP185" s="67">
        <f t="shared" si="327"/>
        <v>0.74879413038964859</v>
      </c>
      <c r="AQ185" s="11">
        <f t="shared" si="362"/>
        <v>1.0300551007183758</v>
      </c>
      <c r="AR185" s="11">
        <f t="shared" si="363"/>
        <v>0.88964643035967839</v>
      </c>
      <c r="AS185" s="11">
        <f t="shared" si="364"/>
        <v>0.86368819467931923</v>
      </c>
      <c r="AT185" s="11">
        <f t="shared" si="365"/>
        <v>534.25867908959992</v>
      </c>
      <c r="AU185" s="11">
        <f t="shared" si="366"/>
        <v>1882.6875688557584</v>
      </c>
      <c r="AV185" s="11">
        <f t="shared" si="367"/>
        <v>2.052900469933274E-3</v>
      </c>
      <c r="AW185" s="11">
        <f t="shared" si="368"/>
        <v>3.8238821112260357E-7</v>
      </c>
      <c r="AX185" s="41">
        <f t="shared" ca="1" si="369"/>
        <v>1.0080314237765833</v>
      </c>
      <c r="AY185" s="41">
        <f t="shared" ca="1" si="370"/>
        <v>1.3578383549414375</v>
      </c>
      <c r="AZ185" s="41">
        <f t="shared" si="371"/>
        <v>0.14736509605583092</v>
      </c>
    </row>
    <row r="186" spans="1:52" ht="14.5">
      <c r="A186" s="41">
        <f t="shared" ca="1" si="328"/>
        <v>10845.495856489044</v>
      </c>
      <c r="B186" s="41">
        <f t="shared" ca="1" si="329"/>
        <v>180.75826427481741</v>
      </c>
      <c r="C186" s="41">
        <f t="shared" ca="1" si="330"/>
        <v>3.0126377379136233</v>
      </c>
      <c r="D186" s="41">
        <f t="shared" ca="1" si="331"/>
        <v>10786.514280515432</v>
      </c>
      <c r="E186" s="41">
        <f t="shared" ca="1" si="332"/>
        <v>955.00481881037979</v>
      </c>
      <c r="F186" s="41">
        <f t="shared" ca="1" si="333"/>
        <v>42.523857918684186</v>
      </c>
      <c r="G186" s="41"/>
      <c r="H186" s="7">
        <f t="shared" si="334"/>
        <v>2800</v>
      </c>
      <c r="I186" s="6">
        <v>15</v>
      </c>
      <c r="J186" s="41">
        <f t="shared" si="335"/>
        <v>0.19154323013925537</v>
      </c>
      <c r="K186" s="41">
        <f t="shared" si="336"/>
        <v>217.32765466198555</v>
      </c>
      <c r="L186" s="6">
        <f t="shared" si="285"/>
        <v>120.4444444444444</v>
      </c>
      <c r="M186" s="41">
        <f t="shared" si="337"/>
        <v>128.76315814475186</v>
      </c>
      <c r="N186" s="41">
        <f t="shared" si="338"/>
        <v>49.070429186011346</v>
      </c>
      <c r="O186" s="41">
        <f t="shared" si="339"/>
        <v>1178522.1216163777</v>
      </c>
      <c r="P186" s="41">
        <f t="shared" si="340"/>
        <v>7566940.1496120719</v>
      </c>
      <c r="Q186" s="41">
        <f t="shared" si="341"/>
        <v>3.1312778614459389E-3</v>
      </c>
      <c r="R186" s="41">
        <f t="shared" si="342"/>
        <v>2.0870297529904821E-2</v>
      </c>
      <c r="S186" s="24">
        <f t="shared" ca="1" si="343"/>
        <v>-3.2994503124989509</v>
      </c>
      <c r="T186" s="10">
        <f t="shared" ca="1" si="344"/>
        <v>-3.2994503124989509</v>
      </c>
      <c r="U186" s="41">
        <f t="shared" ca="1" si="345"/>
        <v>0.95414182332465958</v>
      </c>
      <c r="V186" s="41">
        <f t="shared" ca="1" si="346"/>
        <v>7.8367333459000987E-2</v>
      </c>
      <c r="W186" s="41">
        <f t="shared" ca="1" si="347"/>
        <v>12.175249318950387</v>
      </c>
      <c r="X186" s="20">
        <f t="shared" ca="1" si="348"/>
        <v>884.46929800918235</v>
      </c>
      <c r="Y186" s="41">
        <f t="shared" si="349"/>
        <v>0.57484998558479428</v>
      </c>
      <c r="Z186" s="41">
        <f t="shared" ca="1" si="350"/>
        <v>146.49129300648914</v>
      </c>
      <c r="AA186" s="14">
        <f t="shared" ca="1" si="351"/>
        <v>885.93785621511392</v>
      </c>
      <c r="AB186" s="14">
        <f t="shared" si="300"/>
        <v>5273.1482374269854</v>
      </c>
      <c r="AC186" s="25">
        <f t="shared" ca="1" si="352"/>
        <v>192538.79646749809</v>
      </c>
      <c r="AD186" s="41">
        <f t="shared" si="353"/>
        <v>1146000.9391249896</v>
      </c>
      <c r="AE186" s="6">
        <v>5</v>
      </c>
      <c r="AF186" s="41">
        <f t="shared" si="354"/>
        <v>263.65741187134927</v>
      </c>
      <c r="AG186" s="41">
        <f t="shared" ca="1" si="355"/>
        <v>4387.2103812118712</v>
      </c>
      <c r="AH186" s="41">
        <f t="shared" ca="1" si="356"/>
        <v>953462.14265749149</v>
      </c>
      <c r="AI186" s="41">
        <f t="shared" si="357"/>
        <v>197.05050046923009</v>
      </c>
      <c r="AJ186" s="13">
        <f t="shared" ca="1" si="358"/>
        <v>-12.508173418389225</v>
      </c>
      <c r="AK186" s="11"/>
      <c r="AL186" s="6">
        <v>-400</v>
      </c>
      <c r="AM186" s="41">
        <f t="shared" ca="1" si="359"/>
        <v>31.979089721599905</v>
      </c>
      <c r="AN186" s="41">
        <f t="shared" ca="1" si="360"/>
        <v>1.7504154539421315</v>
      </c>
      <c r="AO186" s="41">
        <f t="shared" ca="1" si="361"/>
        <v>1.1419174755245183</v>
      </c>
      <c r="AP186" s="67">
        <f t="shared" si="327"/>
        <v>0.74737326392849601</v>
      </c>
      <c r="AQ186" s="11">
        <f t="shared" si="362"/>
        <v>1.0328052407183759</v>
      </c>
      <c r="AR186" s="11">
        <f t="shared" si="363"/>
        <v>0.90287450130590108</v>
      </c>
      <c r="AS186" s="11">
        <f t="shared" si="364"/>
        <v>0.87419628184487097</v>
      </c>
      <c r="AT186" s="11">
        <f t="shared" si="365"/>
        <v>535.68509420340001</v>
      </c>
      <c r="AU186" s="11">
        <f t="shared" si="366"/>
        <v>1910.6810771535738</v>
      </c>
      <c r="AV186" s="11">
        <f t="shared" si="367"/>
        <v>2.0778771423170736E-3</v>
      </c>
      <c r="AW186" s="11">
        <f t="shared" si="368"/>
        <v>3.8317495932631526E-7</v>
      </c>
      <c r="AX186" s="41">
        <f t="shared" ca="1" si="369"/>
        <v>1.0017999081698385</v>
      </c>
      <c r="AY186" s="41">
        <f t="shared" ca="1" si="370"/>
        <v>1.3494443796142064</v>
      </c>
      <c r="AZ186" s="41">
        <f t="shared" si="371"/>
        <v>0.142507784274926</v>
      </c>
    </row>
    <row r="187" spans="1:52" ht="14.5">
      <c r="A187" s="41">
        <f t="shared" ca="1" si="328"/>
        <v>10877.474946210645</v>
      </c>
      <c r="B187" s="41">
        <f t="shared" ca="1" si="329"/>
        <v>181.29124910351075</v>
      </c>
      <c r="C187" s="41">
        <f t="shared" ca="1" si="330"/>
        <v>3.0215208183918461</v>
      </c>
      <c r="D187" s="41">
        <f t="shared" ca="1" si="331"/>
        <v>10784.76386506149</v>
      </c>
      <c r="E187" s="41">
        <f t="shared" ca="1" si="332"/>
        <v>956.14673628590435</v>
      </c>
      <c r="F187" s="41">
        <f t="shared" ca="1" si="333"/>
        <v>43.665775394208701</v>
      </c>
      <c r="G187" s="41"/>
      <c r="H187" s="7">
        <f t="shared" si="334"/>
        <v>2400</v>
      </c>
      <c r="I187" s="6">
        <v>15</v>
      </c>
      <c r="J187" s="41">
        <f t="shared" si="335"/>
        <v>0.18498032795800173</v>
      </c>
      <c r="K187" s="41">
        <f t="shared" si="336"/>
        <v>210.1605419199802</v>
      </c>
      <c r="L187" s="6">
        <f t="shared" si="285"/>
        <v>117.16666666666663</v>
      </c>
      <c r="M187" s="41">
        <f t="shared" si="337"/>
        <v>124.51675851891756</v>
      </c>
      <c r="N187" s="41">
        <f t="shared" si="338"/>
        <v>46.443969482701576</v>
      </c>
      <c r="O187" s="41">
        <f t="shared" si="339"/>
        <v>1151122.0750192078</v>
      </c>
      <c r="P187" s="41">
        <f t="shared" si="340"/>
        <v>7391012.5968793305</v>
      </c>
      <c r="Q187" s="41">
        <f t="shared" si="341"/>
        <v>3.1440314756115287E-3</v>
      </c>
      <c r="R187" s="41">
        <f t="shared" si="342"/>
        <v>2.094308279196248E-2</v>
      </c>
      <c r="S187" s="24">
        <f t="shared" ca="1" si="343"/>
        <v>-3.4095156550395633</v>
      </c>
      <c r="T187" s="10">
        <f t="shared" ca="1" si="344"/>
        <v>-3.4095156550395633</v>
      </c>
      <c r="U187" s="41">
        <f t="shared" ca="1" si="345"/>
        <v>1.0078225600297794</v>
      </c>
      <c r="V187" s="41">
        <f t="shared" ca="1" si="346"/>
        <v>8.5091765476410383E-2</v>
      </c>
      <c r="W187" s="41">
        <f t="shared" ca="1" si="347"/>
        <v>11.843949345594124</v>
      </c>
      <c r="X187" s="20">
        <f t="shared" ca="1" si="348"/>
        <v>908.95985257358871</v>
      </c>
      <c r="Y187" s="41">
        <f t="shared" si="349"/>
        <v>0.57585150917182704</v>
      </c>
      <c r="Z187" s="41">
        <f t="shared" ca="1" si="350"/>
        <v>145.59067856008087</v>
      </c>
      <c r="AA187" s="14">
        <f t="shared" ca="1" si="351"/>
        <v>910.57159654886186</v>
      </c>
      <c r="AB187" s="14">
        <f t="shared" si="300"/>
        <v>5351.3330215750666</v>
      </c>
      <c r="AC187" s="25">
        <f t="shared" ca="1" si="352"/>
        <v>191366.22018765038</v>
      </c>
      <c r="AD187" s="41">
        <f t="shared" si="353"/>
        <v>1124639.0478085012</v>
      </c>
      <c r="AE187" s="6">
        <v>5</v>
      </c>
      <c r="AF187" s="41">
        <f t="shared" si="354"/>
        <v>267.56665107875335</v>
      </c>
      <c r="AG187" s="41">
        <f t="shared" ca="1" si="355"/>
        <v>4440.761425026205</v>
      </c>
      <c r="AH187" s="41">
        <f t="shared" ca="1" si="356"/>
        <v>933272.82762085076</v>
      </c>
      <c r="AI187" s="41">
        <f t="shared" si="357"/>
        <v>199.59497373152763</v>
      </c>
      <c r="AJ187" s="13">
        <f t="shared" ca="1" si="358"/>
        <v>-12.498701362079114</v>
      </c>
      <c r="AK187" s="11"/>
      <c r="AL187" s="6">
        <v>-400</v>
      </c>
      <c r="AM187" s="41">
        <f t="shared" ca="1" si="359"/>
        <v>32.003324858500456</v>
      </c>
      <c r="AN187" s="41">
        <f t="shared" ca="1" si="360"/>
        <v>1.77436188457054</v>
      </c>
      <c r="AO187" s="41">
        <f t="shared" ca="1" si="361"/>
        <v>1.1049713250253517</v>
      </c>
      <c r="AP187" s="67">
        <f t="shared" si="327"/>
        <v>0.7459635680560972</v>
      </c>
      <c r="AQ187" s="11">
        <f t="shared" si="362"/>
        <v>1.0355553807183759</v>
      </c>
      <c r="AR187" s="11">
        <f t="shared" si="363"/>
        <v>0.91626138990053196</v>
      </c>
      <c r="AS187" s="11">
        <f t="shared" si="364"/>
        <v>0.88480192074798703</v>
      </c>
      <c r="AT187" s="11">
        <f t="shared" si="365"/>
        <v>537.11150931719999</v>
      </c>
      <c r="AU187" s="11">
        <f t="shared" si="366"/>
        <v>1939.0106785353037</v>
      </c>
      <c r="AV187" s="11">
        <f t="shared" si="367"/>
        <v>2.1030856854258903E-3</v>
      </c>
      <c r="AW187" s="11">
        <f t="shared" si="368"/>
        <v>3.8396069100306597E-7</v>
      </c>
      <c r="AX187" s="41">
        <f t="shared" ca="1" si="369"/>
        <v>1.0000507743296345</v>
      </c>
      <c r="AY187" s="41">
        <f t="shared" ca="1" si="370"/>
        <v>1.3470882615804483</v>
      </c>
      <c r="AZ187" s="41">
        <f t="shared" si="371"/>
        <v>0.1376938641846091</v>
      </c>
    </row>
    <row r="188" spans="1:52" ht="14.5">
      <c r="A188" s="41">
        <f t="shared" ca="1" si="328"/>
        <v>10909.478271069145</v>
      </c>
      <c r="B188" s="41">
        <f t="shared" ca="1" si="329"/>
        <v>181.82463785115243</v>
      </c>
      <c r="C188" s="41">
        <f t="shared" ca="1" si="330"/>
        <v>3.0304106308525407</v>
      </c>
      <c r="D188" s="41">
        <f t="shared" ca="1" si="331"/>
        <v>10782.989503176919</v>
      </c>
      <c r="E188" s="41">
        <f t="shared" ca="1" si="332"/>
        <v>957.25170761092966</v>
      </c>
      <c r="F188" s="41">
        <f t="shared" ca="1" si="333"/>
        <v>44.770746719234054</v>
      </c>
      <c r="G188" s="41"/>
      <c r="H188" s="7">
        <f t="shared" si="334"/>
        <v>2000</v>
      </c>
      <c r="I188" s="6">
        <v>15</v>
      </c>
      <c r="J188" s="41">
        <f t="shared" si="335"/>
        <v>0.17850463650026863</v>
      </c>
      <c r="K188" s="41">
        <f t="shared" si="336"/>
        <v>203.07247053091095</v>
      </c>
      <c r="L188" s="6">
        <f t="shared" si="285"/>
        <v>113.88888888888886</v>
      </c>
      <c r="M188" s="41">
        <f t="shared" si="337"/>
        <v>120.31718963003624</v>
      </c>
      <c r="N188" s="41">
        <f t="shared" si="338"/>
        <v>43.888566124323283</v>
      </c>
      <c r="O188" s="41">
        <f t="shared" si="339"/>
        <v>1123458.123593583</v>
      </c>
      <c r="P188" s="41">
        <f t="shared" si="340"/>
        <v>7213390.5897061648</v>
      </c>
      <c r="Q188" s="41">
        <f t="shared" si="341"/>
        <v>3.1572342749871516E-3</v>
      </c>
      <c r="R188" s="41">
        <f t="shared" si="342"/>
        <v>2.1018431567609325E-2</v>
      </c>
      <c r="S188" s="24">
        <f t="shared" ca="1" si="343"/>
        <v>-3.5376147959813973</v>
      </c>
      <c r="T188" s="10">
        <f t="shared" ca="1" si="344"/>
        <v>-3.5376147959813973</v>
      </c>
      <c r="U188" s="41">
        <f t="shared" ca="1" si="345"/>
        <v>1.0661826687999456</v>
      </c>
      <c r="V188" s="41">
        <f t="shared" ca="1" si="346"/>
        <v>9.2811551685277272E-2</v>
      </c>
      <c r="W188" s="41">
        <f t="shared" ca="1" si="347"/>
        <v>11.48760740920868</v>
      </c>
      <c r="X188" s="20">
        <f t="shared" ca="1" si="348"/>
        <v>936.87416234527814</v>
      </c>
      <c r="Y188" s="41">
        <f t="shared" si="349"/>
        <v>0.57688647498621204</v>
      </c>
      <c r="Z188" s="41">
        <f t="shared" ca="1" si="350"/>
        <v>144.69622947124753</v>
      </c>
      <c r="AA188" s="14">
        <f t="shared" ca="1" si="351"/>
        <v>938.66277973018771</v>
      </c>
      <c r="AB188" s="14">
        <f t="shared" si="300"/>
        <v>5430.4538601880595</v>
      </c>
      <c r="AC188" s="25">
        <f t="shared" ca="1" si="352"/>
        <v>190616.56967522149</v>
      </c>
      <c r="AD188" s="41">
        <f t="shared" si="353"/>
        <v>1102775.6814925114</v>
      </c>
      <c r="AE188" s="6">
        <v>5</v>
      </c>
      <c r="AF188" s="41">
        <f t="shared" si="354"/>
        <v>271.52269300940299</v>
      </c>
      <c r="AG188" s="41">
        <f t="shared" ca="1" si="355"/>
        <v>4491.7910804578714</v>
      </c>
      <c r="AH188" s="41">
        <f t="shared" ca="1" si="356"/>
        <v>912159.11181728996</v>
      </c>
      <c r="AI188" s="41">
        <f t="shared" si="357"/>
        <v>202.1663214684373</v>
      </c>
      <c r="AJ188" s="13">
        <f t="shared" ca="1" si="358"/>
        <v>-12.530343891144467</v>
      </c>
      <c r="AK188" s="11"/>
      <c r="AL188" s="6">
        <v>-400</v>
      </c>
      <c r="AM188" s="41">
        <f t="shared" ca="1" si="359"/>
        <v>31.92250775197725</v>
      </c>
      <c r="AN188" s="41">
        <f t="shared" ca="1" si="360"/>
        <v>1.7926822122958097</v>
      </c>
      <c r="AO188" s="41">
        <f t="shared" ca="1" si="361"/>
        <v>1.0648632618068412</v>
      </c>
      <c r="AP188" s="67">
        <f t="shared" si="327"/>
        <v>0.74456510145704902</v>
      </c>
      <c r="AQ188" s="11">
        <f t="shared" si="362"/>
        <v>1.0383055207183758</v>
      </c>
      <c r="AR188" s="11">
        <f t="shared" si="363"/>
        <v>0.92980855081639258</v>
      </c>
      <c r="AS188" s="11">
        <f t="shared" si="364"/>
        <v>0.89550573724493243</v>
      </c>
      <c r="AT188" s="11">
        <f t="shared" si="365"/>
        <v>538.53792443099996</v>
      </c>
      <c r="AU188" s="11">
        <f t="shared" si="366"/>
        <v>1967.6794514086662</v>
      </c>
      <c r="AV188" s="11">
        <f t="shared" si="367"/>
        <v>2.12852758685748E-3</v>
      </c>
      <c r="AW188" s="11">
        <f t="shared" si="368"/>
        <v>3.8474540935600882E-7</v>
      </c>
      <c r="AX188" s="41">
        <f t="shared" ca="1" si="369"/>
        <v>1.0035267767786784</v>
      </c>
      <c r="AY188" s="41">
        <f t="shared" ca="1" si="370"/>
        <v>1.3517705059389615</v>
      </c>
      <c r="AZ188" s="41">
        <f t="shared" si="371"/>
        <v>0.13292339613646301</v>
      </c>
    </row>
    <row r="189" spans="1:52" ht="14.5">
      <c r="A189" s="41">
        <f t="shared" ca="1" si="328"/>
        <v>10941.400778821122</v>
      </c>
      <c r="B189" s="41">
        <f t="shared" ca="1" si="329"/>
        <v>182.35667964701869</v>
      </c>
      <c r="C189" s="41">
        <f t="shared" ca="1" si="330"/>
        <v>3.0392779941169783</v>
      </c>
      <c r="D189" s="41">
        <f t="shared" ca="1" si="331"/>
        <v>10781.196820964624</v>
      </c>
      <c r="E189" s="41">
        <f t="shared" ca="1" si="332"/>
        <v>958.31657087273652</v>
      </c>
      <c r="F189" s="41">
        <f t="shared" ca="1" si="333"/>
        <v>45.835609981040896</v>
      </c>
      <c r="G189" s="41"/>
      <c r="H189" s="7">
        <f t="shared" si="334"/>
        <v>1600</v>
      </c>
      <c r="I189" s="6">
        <v>15</v>
      </c>
      <c r="J189" s="41">
        <f t="shared" si="335"/>
        <v>0.17211509667786834</v>
      </c>
      <c r="K189" s="41">
        <f t="shared" si="336"/>
        <v>196.06266877332368</v>
      </c>
      <c r="L189" s="6">
        <f t="shared" si="285"/>
        <v>110.61111111111109</v>
      </c>
      <c r="M189" s="41">
        <f t="shared" si="337"/>
        <v>116.16399424549391</v>
      </c>
      <c r="N189" s="41">
        <f t="shared" si="338"/>
        <v>41.404421446798331</v>
      </c>
      <c r="O189" s="41">
        <f t="shared" si="339"/>
        <v>1095530.8759680379</v>
      </c>
      <c r="P189" s="41">
        <f t="shared" si="340"/>
        <v>7034078.0359154409</v>
      </c>
      <c r="Q189" s="41">
        <f t="shared" si="341"/>
        <v>3.1709179869410195E-3</v>
      </c>
      <c r="R189" s="41">
        <f t="shared" si="342"/>
        <v>2.1096524925896032E-2</v>
      </c>
      <c r="S189" s="24">
        <f t="shared" ca="1" si="343"/>
        <v>-3.6857368086962947</v>
      </c>
      <c r="T189" s="10">
        <f t="shared" ca="1" si="344"/>
        <v>-3.6857368086962947</v>
      </c>
      <c r="U189" s="41">
        <f t="shared" ca="1" si="345"/>
        <v>1.1297782656545972</v>
      </c>
      <c r="V189" s="41">
        <f t="shared" ca="1" si="346"/>
        <v>0.10170969913001179</v>
      </c>
      <c r="W189" s="41">
        <f t="shared" ca="1" si="347"/>
        <v>11.107871474582211</v>
      </c>
      <c r="X189" s="20">
        <f t="shared" ca="1" si="348"/>
        <v>968.58318704139515</v>
      </c>
      <c r="Y189" s="41">
        <f t="shared" si="349"/>
        <v>0.57795718364450088</v>
      </c>
      <c r="Z189" s="41">
        <f t="shared" ca="1" si="350"/>
        <v>143.80761057269788</v>
      </c>
      <c r="AA189" s="14">
        <f t="shared" ca="1" si="351"/>
        <v>970.59070638644801</v>
      </c>
      <c r="AB189" s="14">
        <f t="shared" si="300"/>
        <v>5510.5193029042548</v>
      </c>
      <c r="AC189" s="25">
        <f t="shared" ca="1" si="352"/>
        <v>190296.6041807124</v>
      </c>
      <c r="AD189" s="41">
        <f t="shared" si="353"/>
        <v>1080407.1208543235</v>
      </c>
      <c r="AE189" s="6">
        <v>5</v>
      </c>
      <c r="AF189" s="41">
        <f t="shared" si="354"/>
        <v>275.52596514521275</v>
      </c>
      <c r="AG189" s="41">
        <f t="shared" ca="1" si="355"/>
        <v>4539.9285965178069</v>
      </c>
      <c r="AH189" s="41">
        <f t="shared" ca="1" si="356"/>
        <v>890110.51667361113</v>
      </c>
      <c r="AI189" s="41">
        <f t="shared" si="357"/>
        <v>204.76481258911895</v>
      </c>
      <c r="AJ189" s="13">
        <f t="shared" ca="1" si="358"/>
        <v>-12.603670148508924</v>
      </c>
      <c r="AK189" s="11"/>
      <c r="AL189" s="6">
        <v>-400</v>
      </c>
      <c r="AM189" s="41">
        <f t="shared" ca="1" si="359"/>
        <v>31.736787402939292</v>
      </c>
      <c r="AN189" s="41">
        <f t="shared" ca="1" si="360"/>
        <v>1.8051603679843267</v>
      </c>
      <c r="AO189" s="41">
        <f t="shared" ca="1" si="361"/>
        <v>1.0219574079485851</v>
      </c>
      <c r="AP189" s="67">
        <f t="shared" si="327"/>
        <v>0.74317791603125327</v>
      </c>
      <c r="AQ189" s="11">
        <f t="shared" si="362"/>
        <v>1.0410556607183759</v>
      </c>
      <c r="AR189" s="11">
        <f t="shared" si="363"/>
        <v>0.94351744793237702</v>
      </c>
      <c r="AS189" s="11">
        <f t="shared" si="364"/>
        <v>0.9063083594217306</v>
      </c>
      <c r="AT189" s="11">
        <f t="shared" si="365"/>
        <v>539.96433954479994</v>
      </c>
      <c r="AU189" s="11">
        <f t="shared" si="366"/>
        <v>1996.6904936634546</v>
      </c>
      <c r="AV189" s="11">
        <f t="shared" si="367"/>
        <v>2.1542043395095115E-3</v>
      </c>
      <c r="AW189" s="11">
        <f t="shared" si="368"/>
        <v>3.8552911757425648E-7</v>
      </c>
      <c r="AX189" s="41">
        <f t="shared" ca="1" si="369"/>
        <v>1.0131754365167402</v>
      </c>
      <c r="AY189" s="41">
        <f t="shared" ca="1" si="370"/>
        <v>1.3647674423013574</v>
      </c>
      <c r="AZ189" s="41">
        <f t="shared" si="371"/>
        <v>0.12819641837866441</v>
      </c>
    </row>
    <row r="190" spans="1:52" ht="14.5">
      <c r="A190" s="41">
        <f t="shared" ca="1" si="328"/>
        <v>10973.137566224061</v>
      </c>
      <c r="B190" s="41">
        <f t="shared" ca="1" si="329"/>
        <v>182.88562610373435</v>
      </c>
      <c r="C190" s="41">
        <f t="shared" ca="1" si="330"/>
        <v>3.0480937683955727</v>
      </c>
      <c r="D190" s="41">
        <f t="shared" ca="1" si="331"/>
        <v>10779.391660596639</v>
      </c>
      <c r="E190" s="41">
        <f t="shared" ca="1" si="332"/>
        <v>959.33852828068507</v>
      </c>
      <c r="F190" s="41">
        <f t="shared" ca="1" si="333"/>
        <v>46.85756738898948</v>
      </c>
      <c r="G190" s="41"/>
      <c r="H190" s="7">
        <f t="shared" si="334"/>
        <v>1200</v>
      </c>
      <c r="I190" s="6">
        <v>15</v>
      </c>
      <c r="J190" s="41">
        <f t="shared" si="335"/>
        <v>0.16581065321211372</v>
      </c>
      <c r="K190" s="41">
        <f t="shared" si="336"/>
        <v>189.13036164374739</v>
      </c>
      <c r="L190" s="6">
        <f t="shared" si="285"/>
        <v>107.33333333333331</v>
      </c>
      <c r="M190" s="41">
        <f t="shared" si="337"/>
        <v>112.05671318813403</v>
      </c>
      <c r="N190" s="41">
        <f t="shared" si="338"/>
        <v>38.991720588054456</v>
      </c>
      <c r="O190" s="41">
        <f t="shared" si="339"/>
        <v>1067340.8890210865</v>
      </c>
      <c r="P190" s="41">
        <f t="shared" si="340"/>
        <v>6853078.5110585261</v>
      </c>
      <c r="Q190" s="41">
        <f t="shared" si="341"/>
        <v>3.185117373222527E-3</v>
      </c>
      <c r="R190" s="41">
        <f t="shared" si="342"/>
        <v>2.1177561253178535E-2</v>
      </c>
      <c r="S190" s="24">
        <f t="shared" ca="1" si="343"/>
        <v>-3.8561663864126996</v>
      </c>
      <c r="T190" s="10">
        <f t="shared" ca="1" si="344"/>
        <v>-3.8561663864126996</v>
      </c>
      <c r="U190" s="41">
        <f t="shared" ca="1" si="345"/>
        <v>1.1992498369143529</v>
      </c>
      <c r="V190" s="41">
        <f t="shared" ca="1" si="346"/>
        <v>0.11200957173898367</v>
      </c>
      <c r="W190" s="41">
        <f t="shared" ca="1" si="347"/>
        <v>10.70667281639974</v>
      </c>
      <c r="X190" s="20">
        <f t="shared" ca="1" si="348"/>
        <v>1004.5125626198412</v>
      </c>
      <c r="Y190" s="41">
        <f t="shared" si="349"/>
        <v>0.57906614916071986</v>
      </c>
      <c r="Z190" s="41">
        <f t="shared" ca="1" si="350"/>
        <v>142.92442038780746</v>
      </c>
      <c r="AA190" s="14">
        <f t="shared" ca="1" si="351"/>
        <v>1006.7919180350326</v>
      </c>
      <c r="AB190" s="14">
        <f t="shared" si="300"/>
        <v>5591.5379533180067</v>
      </c>
      <c r="AC190" s="25">
        <f t="shared" ca="1" si="352"/>
        <v>190414.91955796781</v>
      </c>
      <c r="AD190" s="41">
        <f t="shared" si="353"/>
        <v>1057529.5952557737</v>
      </c>
      <c r="AE190" s="6">
        <v>5</v>
      </c>
      <c r="AF190" s="41">
        <f t="shared" si="354"/>
        <v>279.57689766590033</v>
      </c>
      <c r="AG190" s="41">
        <f t="shared" ca="1" si="355"/>
        <v>4584.7460352829739</v>
      </c>
      <c r="AH190" s="41">
        <f t="shared" ca="1" si="356"/>
        <v>867114.67569780594</v>
      </c>
      <c r="AI190" s="41">
        <f t="shared" si="357"/>
        <v>207.39071781041037</v>
      </c>
      <c r="AJ190" s="13">
        <f t="shared" ca="1" si="358"/>
        <v>-12.719395379460629</v>
      </c>
      <c r="AK190" s="11"/>
      <c r="AL190" s="6">
        <v>-400</v>
      </c>
      <c r="AM190" s="41">
        <f t="shared" ca="1" si="359"/>
        <v>31.448035701911028</v>
      </c>
      <c r="AN190" s="41">
        <f t="shared" ca="1" si="360"/>
        <v>1.8116751938740945</v>
      </c>
      <c r="AO190" s="41">
        <f t="shared" ca="1" si="361"/>
        <v>0.97666259410728751</v>
      </c>
      <c r="AP190" s="67">
        <f t="shared" si="327"/>
        <v>0.74180205711505598</v>
      </c>
      <c r="AQ190" s="11">
        <f t="shared" si="362"/>
        <v>1.0438058007183759</v>
      </c>
      <c r="AR190" s="11">
        <f t="shared" si="363"/>
        <v>0.95738955436579787</v>
      </c>
      <c r="AS190" s="11">
        <f t="shared" si="364"/>
        <v>0.91721041759577882</v>
      </c>
      <c r="AT190" s="11">
        <f t="shared" si="365"/>
        <v>541.39075465860003</v>
      </c>
      <c r="AU190" s="11">
        <f t="shared" si="366"/>
        <v>2026.0469227399885</v>
      </c>
      <c r="AV190" s="11">
        <f t="shared" si="367"/>
        <v>2.1801174415834066E-3</v>
      </c>
      <c r="AW190" s="11">
        <f t="shared" si="368"/>
        <v>3.8631181883294748E-7</v>
      </c>
      <c r="AX190" s="41">
        <f t="shared" ca="1" si="369"/>
        <v>1.0302200709866836</v>
      </c>
      <c r="AY190" s="41">
        <f t="shared" ca="1" si="370"/>
        <v>1.3877269035674931</v>
      </c>
      <c r="AZ190" s="41">
        <f t="shared" si="371"/>
        <v>0.12351294792936725</v>
      </c>
    </row>
    <row r="191" spans="1:52" ht="14.5">
      <c r="A191" s="41">
        <f t="shared" ca="1" si="328"/>
        <v>11004.585601925972</v>
      </c>
      <c r="B191" s="41">
        <f t="shared" ca="1" si="329"/>
        <v>183.40976003209954</v>
      </c>
      <c r="C191" s="41">
        <f t="shared" ca="1" si="330"/>
        <v>3.0568293338683259</v>
      </c>
      <c r="D191" s="41">
        <f t="shared" ca="1" si="331"/>
        <v>10777.579985402765</v>
      </c>
      <c r="E191" s="41">
        <f t="shared" ca="1" si="332"/>
        <v>960.31519087479239</v>
      </c>
      <c r="F191" s="41">
        <f t="shared" ca="1" si="333"/>
        <v>47.834229983096769</v>
      </c>
      <c r="G191" s="41"/>
      <c r="H191" s="7">
        <f t="shared" si="334"/>
        <v>800</v>
      </c>
      <c r="I191" s="6">
        <v>15</v>
      </c>
      <c r="J191" s="41">
        <f t="shared" si="335"/>
        <v>0.15959025511210334</v>
      </c>
      <c r="K191" s="41">
        <f t="shared" si="336"/>
        <v>182.27477146117624</v>
      </c>
      <c r="L191" s="6">
        <f t="shared" si="285"/>
        <v>104.05555555555554</v>
      </c>
      <c r="M191" s="41">
        <f t="shared" si="337"/>
        <v>107.99488569440355</v>
      </c>
      <c r="N191" s="41">
        <f t="shared" si="338"/>
        <v>36.650632435790712</v>
      </c>
      <c r="O191" s="41">
        <f t="shared" si="339"/>
        <v>1038888.6686115643</v>
      </c>
      <c r="P191" s="41">
        <f t="shared" si="340"/>
        <v>6670395.2631046055</v>
      </c>
      <c r="Q191" s="41">
        <f t="shared" si="341"/>
        <v>3.1998706342341266E-3</v>
      </c>
      <c r="R191" s="41">
        <f t="shared" si="342"/>
        <v>2.1261758560309842E-2</v>
      </c>
      <c r="S191" s="24">
        <f t="shared" ca="1" si="343"/>
        <v>-4.0515369856766057</v>
      </c>
      <c r="T191" s="10">
        <f t="shared" ca="1" si="344"/>
        <v>-4.0515369856766057</v>
      </c>
      <c r="U191" s="41">
        <f t="shared" ca="1" si="345"/>
        <v>1.2753378302409666</v>
      </c>
      <c r="V191" s="41">
        <f t="shared" ca="1" si="346"/>
        <v>0.12398532176569806</v>
      </c>
      <c r="W191" s="41">
        <f t="shared" ca="1" si="347"/>
        <v>10.286200108840651</v>
      </c>
      <c r="X191" s="20">
        <f t="shared" ca="1" si="348"/>
        <v>1045.1523047576036</v>
      </c>
      <c r="Y191" s="41">
        <f t="shared" si="349"/>
        <v>0.58021612685030155</v>
      </c>
      <c r="Z191" s="41">
        <f t="shared" ca="1" si="350"/>
        <v>142.04617257363893</v>
      </c>
      <c r="AA191" s="14">
        <f t="shared" ca="1" si="351"/>
        <v>1047.7707872064232</v>
      </c>
      <c r="AB191" s="14">
        <f t="shared" si="300"/>
        <v>5673.5184691687655</v>
      </c>
      <c r="AC191" s="25">
        <f t="shared" ca="1" si="352"/>
        <v>190982.18078174751</v>
      </c>
      <c r="AD191" s="41">
        <f t="shared" si="353"/>
        <v>1034139.2823484992</v>
      </c>
      <c r="AE191" s="6">
        <v>5</v>
      </c>
      <c r="AF191" s="41">
        <f t="shared" si="354"/>
        <v>283.67592345843826</v>
      </c>
      <c r="AG191" s="41">
        <f t="shared" ca="1" si="355"/>
        <v>4625.7476819623425</v>
      </c>
      <c r="AH191" s="41">
        <f t="shared" ca="1" si="356"/>
        <v>843157.10156675172</v>
      </c>
      <c r="AI191" s="41">
        <f t="shared" si="357"/>
        <v>210.04430964584043</v>
      </c>
      <c r="AJ191" s="13">
        <f t="shared" ca="1" si="358"/>
        <v>-12.878395109326751</v>
      </c>
      <c r="AK191" s="11"/>
      <c r="AL191" s="6">
        <v>-400</v>
      </c>
      <c r="AM191" s="41">
        <f t="shared" ca="1" si="359"/>
        <v>31.059770771461519</v>
      </c>
      <c r="AN191" s="41">
        <f t="shared" ca="1" si="360"/>
        <v>1.8122022526249131</v>
      </c>
      <c r="AO191" s="41">
        <f t="shared" ca="1" si="361"/>
        <v>0.92942046581204596</v>
      </c>
      <c r="AP191" s="67">
        <f t="shared" si="327"/>
        <v>0.74043756369974167</v>
      </c>
      <c r="AQ191" s="11">
        <f t="shared" si="362"/>
        <v>1.0465559407183758</v>
      </c>
      <c r="AR191" s="11">
        <f t="shared" si="363"/>
        <v>0.97142635250475406</v>
      </c>
      <c r="AS191" s="11">
        <f t="shared" si="364"/>
        <v>0.92821254431745781</v>
      </c>
      <c r="AT191" s="11">
        <f t="shared" si="365"/>
        <v>542.81716977239989</v>
      </c>
      <c r="AU191" s="11">
        <f t="shared" si="366"/>
        <v>2055.7518756976106</v>
      </c>
      <c r="AV191" s="11">
        <f t="shared" si="367"/>
        <v>2.2062683965881655E-3</v>
      </c>
      <c r="AW191" s="11">
        <f t="shared" si="368"/>
        <v>3.8709351629330803E-7</v>
      </c>
      <c r="AX191" s="41">
        <f t="shared" ca="1" si="369"/>
        <v>1.0562603441028464</v>
      </c>
      <c r="AY191" s="41">
        <f t="shared" ca="1" si="370"/>
        <v>1.4228036688113839</v>
      </c>
      <c r="AZ191" s="41">
        <f t="shared" si="371"/>
        <v>0.11887298143248591</v>
      </c>
    </row>
    <row r="192" spans="1:52" ht="14.5">
      <c r="A192" s="41">
        <f t="shared" ca="1" si="328"/>
        <v>11035.645372697434</v>
      </c>
      <c r="B192" s="41">
        <f t="shared" ca="1" si="329"/>
        <v>183.92742287829057</v>
      </c>
      <c r="C192" s="41">
        <f t="shared" ca="1" si="330"/>
        <v>3.0654570479715093</v>
      </c>
      <c r="D192" s="41">
        <f t="shared" ca="1" si="331"/>
        <v>10775.767783150141</v>
      </c>
      <c r="E192" s="41">
        <f t="shared" ca="1" si="332"/>
        <v>961.24461134060448</v>
      </c>
      <c r="F192" s="41">
        <f t="shared" ca="1" si="333"/>
        <v>48.763650448908813</v>
      </c>
      <c r="G192" s="41"/>
      <c r="H192" s="7">
        <f t="shared" si="334"/>
        <v>400</v>
      </c>
      <c r="I192" s="6">
        <v>15</v>
      </c>
      <c r="J192" s="41">
        <f t="shared" si="335"/>
        <v>0.15345285612777962</v>
      </c>
      <c r="K192" s="41">
        <f t="shared" si="336"/>
        <v>175.49511844663914</v>
      </c>
      <c r="L192" s="6">
        <f>L193+($L$143-$L$193)/45</f>
        <v>100.77777777777777</v>
      </c>
      <c r="M192" s="41">
        <f t="shared" si="337"/>
        <v>103.97804975773855</v>
      </c>
      <c r="N192" s="41">
        <f t="shared" si="338"/>
        <v>34.381310547557135</v>
      </c>
      <c r="O192" s="41">
        <f t="shared" si="339"/>
        <v>1010174.6703266767</v>
      </c>
      <c r="P192" s="41">
        <f t="shared" si="340"/>
        <v>6486031.2172436705</v>
      </c>
      <c r="Q192" s="41">
        <f t="shared" si="341"/>
        <v>3.215219881632488E-3</v>
      </c>
      <c r="R192" s="41">
        <f t="shared" si="342"/>
        <v>2.1349357179789166E-2</v>
      </c>
      <c r="S192" s="24">
        <f t="shared" ca="1" si="343"/>
        <v>-4.2748949598327268</v>
      </c>
      <c r="T192" s="10">
        <f t="shared" ca="1" si="344"/>
        <v>-4.274894959832725</v>
      </c>
      <c r="U192" s="41">
        <f t="shared" ca="1" si="345"/>
        <v>1.3589016381278733</v>
      </c>
      <c r="V192" s="41">
        <f t="shared" ca="1" si="346"/>
        <v>0.13797542555490633</v>
      </c>
      <c r="W192" s="41">
        <f t="shared" ca="1" si="347"/>
        <v>9.8488671635740541</v>
      </c>
      <c r="X192" s="20">
        <f t="shared" ca="1" si="348"/>
        <v>1091.0684694049546</v>
      </c>
      <c r="Y192" s="41">
        <f t="shared" si="349"/>
        <v>0.58141014587074957</v>
      </c>
      <c r="Z192" s="41">
        <f t="shared" ca="1" si="350"/>
        <v>141.17227205790039</v>
      </c>
      <c r="AA192" s="14">
        <f t="shared" ca="1" si="351"/>
        <v>1094.112409496619</v>
      </c>
      <c r="AB192" s="14">
        <f t="shared" si="300"/>
        <v>5756.4695625303048</v>
      </c>
      <c r="AC192" s="25">
        <f t="shared" ca="1" si="352"/>
        <v>192011.38689854689</v>
      </c>
      <c r="AD192" s="41">
        <f t="shared" si="353"/>
        <v>1010232.3077107288</v>
      </c>
      <c r="AE192" s="6">
        <v>5</v>
      </c>
      <c r="AF192" s="41">
        <f t="shared" si="354"/>
        <v>287.82347812651523</v>
      </c>
      <c r="AG192" s="41">
        <f t="shared" ca="1" si="355"/>
        <v>4662.3571530336858</v>
      </c>
      <c r="AH192" s="41">
        <f t="shared" ca="1" si="356"/>
        <v>818220.9208121819</v>
      </c>
      <c r="AI192" s="41">
        <f t="shared" si="357"/>
        <v>212.72586239530634</v>
      </c>
      <c r="AJ192" s="13">
        <f t="shared" ca="1" si="358"/>
        <v>-13.081719810861596</v>
      </c>
      <c r="AK192" s="11"/>
      <c r="AL192" s="6">
        <v>-400</v>
      </c>
      <c r="AM192" s="41">
        <f t="shared" ca="1" si="359"/>
        <v>30.577019366206326</v>
      </c>
      <c r="AN192" s="41">
        <f t="shared" ca="1" si="360"/>
        <v>1.8068118928206178</v>
      </c>
      <c r="AO192" s="41">
        <f t="shared" ca="1" si="361"/>
        <v>0.88069265932740337</v>
      </c>
      <c r="AP192" s="67">
        <f t="shared" si="327"/>
        <v>0.73908446864713695</v>
      </c>
      <c r="AQ192" s="11">
        <f t="shared" si="362"/>
        <v>1.0493060807183758</v>
      </c>
      <c r="AR192" s="11">
        <f t="shared" si="363"/>
        <v>0.98562933404052866</v>
      </c>
      <c r="AS192" s="11">
        <f t="shared" si="364"/>
        <v>0.93931537437174406</v>
      </c>
      <c r="AT192" s="11">
        <f t="shared" si="365"/>
        <v>544.24358488619998</v>
      </c>
      <c r="AU192" s="11">
        <f t="shared" si="366"/>
        <v>2085.8085092832475</v>
      </c>
      <c r="AV192" s="11">
        <f t="shared" si="367"/>
        <v>2.2326587133441986E-3</v>
      </c>
      <c r="AW192" s="11">
        <f t="shared" si="368"/>
        <v>3.8787421310272172E-7</v>
      </c>
      <c r="AX192" s="41">
        <f t="shared" ca="1" si="369"/>
        <v>1.0934166775846934</v>
      </c>
      <c r="AY192" s="41">
        <f t="shared" ca="1" si="370"/>
        <v>1.4728539882167329</v>
      </c>
      <c r="AZ192" s="41">
        <f t="shared" si="371"/>
        <v>0.11427649599535132</v>
      </c>
    </row>
    <row r="193" spans="1:52" ht="14.5">
      <c r="A193" s="41">
        <f t="shared" ca="1" si="328"/>
        <v>11066.222392063641</v>
      </c>
      <c r="B193" s="41">
        <f t="shared" ca="1" si="329"/>
        <v>184.43703986772735</v>
      </c>
      <c r="C193" s="41">
        <f t="shared" ca="1" si="330"/>
        <v>3.0739506644621226</v>
      </c>
      <c r="D193" s="41">
        <f t="shared" ca="1" si="331"/>
        <v>10773.96097125732</v>
      </c>
      <c r="E193" s="41">
        <f t="shared" ca="1" si="332"/>
        <v>962.12530399993193</v>
      </c>
      <c r="F193" s="41">
        <f t="shared" ca="1" si="333"/>
        <v>49.644343108236214</v>
      </c>
      <c r="G193" s="41"/>
      <c r="H193" s="7">
        <f t="shared" si="334"/>
        <v>0</v>
      </c>
      <c r="I193" s="6">
        <v>15</v>
      </c>
      <c r="J193" s="41">
        <f t="shared" si="335"/>
        <v>0.14739741517845797</v>
      </c>
      <c r="K193" s="41">
        <f t="shared" si="336"/>
        <v>168.79062127837588</v>
      </c>
      <c r="L193" s="120">
        <v>97.5</v>
      </c>
      <c r="M193" s="41">
        <f t="shared" si="337"/>
        <v>100.00574245749726</v>
      </c>
      <c r="N193" s="41">
        <f t="shared" si="338"/>
        <v>32.183894043203999</v>
      </c>
      <c r="O193" s="41">
        <f t="shared" si="339"/>
        <v>981199.30024573347</v>
      </c>
      <c r="P193" s="41">
        <f t="shared" si="340"/>
        <v>6299988.980790236</v>
      </c>
      <c r="Q193" s="41">
        <f t="shared" si="341"/>
        <v>3.2312116934640634E-3</v>
      </c>
      <c r="R193" s="41">
        <f t="shared" si="342"/>
        <v>2.1440622933937392E-2</v>
      </c>
      <c r="S193" s="24">
        <f t="shared" ca="1" si="343"/>
        <v>-4.5297771842745265</v>
      </c>
      <c r="T193" s="10">
        <f t="shared" ca="1" si="344"/>
        <v>-4.5297771842745265</v>
      </c>
      <c r="U193" s="41">
        <f t="shared" ca="1" si="345"/>
        <v>1.4509428173283847</v>
      </c>
      <c r="V193" s="41">
        <f t="shared" ca="1" si="346"/>
        <v>0.15440037136059148</v>
      </c>
      <c r="W193" s="41">
        <f t="shared" ca="1" si="347"/>
        <v>9.3972754375040157</v>
      </c>
      <c r="X193" s="20">
        <f t="shared" ca="1" si="348"/>
        <v>1142.9171941831439</v>
      </c>
      <c r="Y193" s="41">
        <f t="shared" si="349"/>
        <v>0.58265154734896107</v>
      </c>
      <c r="Z193" s="41">
        <f t="shared" ca="1" si="350"/>
        <v>140.30198413488901</v>
      </c>
      <c r="AA193" s="14">
        <f t="shared" ca="1" si="351"/>
        <v>1146.4983699699837</v>
      </c>
      <c r="AB193" s="14">
        <f t="shared" si="300"/>
        <v>5840.4000000000005</v>
      </c>
      <c r="AC193" s="25">
        <f t="shared" ca="1" si="352"/>
        <v>193518.17216187881</v>
      </c>
      <c r="AD193" s="41">
        <f t="shared" si="353"/>
        <v>985804.74451422656</v>
      </c>
      <c r="AE193" s="6">
        <v>5</v>
      </c>
      <c r="AF193" s="41">
        <f t="shared" si="354"/>
        <v>292.02000000000004</v>
      </c>
      <c r="AG193" s="41">
        <f t="shared" ca="1" si="355"/>
        <v>4693.9016300300173</v>
      </c>
      <c r="AH193" s="41">
        <f t="shared" ca="1" si="356"/>
        <v>792286.57235234778</v>
      </c>
      <c r="AI193" s="41">
        <f t="shared" si="357"/>
        <v>215.43565213540307</v>
      </c>
      <c r="AJ193" s="13">
        <f t="shared" ca="1" si="358"/>
        <v>-13.330609460472072</v>
      </c>
      <c r="AK193" s="11"/>
      <c r="AL193" s="6">
        <v>0</v>
      </c>
      <c r="AM193" s="41">
        <f t="shared" ca="1" si="359"/>
        <v>0</v>
      </c>
      <c r="AN193" s="41">
        <f t="shared" ca="1" si="360"/>
        <v>0</v>
      </c>
      <c r="AO193" s="41">
        <f t="shared" ca="1" si="361"/>
        <v>0</v>
      </c>
      <c r="AP193" s="67">
        <f t="shared" si="327"/>
        <v>0.73774279890214045</v>
      </c>
      <c r="AQ193" s="11">
        <f t="shared" si="362"/>
        <v>1.0520562207183759</v>
      </c>
      <c r="AR193" s="11">
        <f t="shared" si="363"/>
        <v>1</v>
      </c>
      <c r="AS193" s="11">
        <f t="shared" si="364"/>
        <v>0.95051954477981193</v>
      </c>
      <c r="AT193" s="11">
        <f t="shared" si="365"/>
        <v>545.66999999999996</v>
      </c>
      <c r="AU193" s="11">
        <f t="shared" si="366"/>
        <v>2116.2199999999998</v>
      </c>
      <c r="AV193" s="11">
        <f t="shared" si="367"/>
        <v>2.259289905987135E-3</v>
      </c>
      <c r="AW193" s="11">
        <f t="shared" si="368"/>
        <v>3.8865391239478742E-7</v>
      </c>
      <c r="AX193" s="41">
        <f t="shared" ca="1" si="369"/>
        <v>1.1445408614479082</v>
      </c>
      <c r="AY193" s="41">
        <f t="shared" ca="1" si="370"/>
        <v>1.5417192795927455</v>
      </c>
      <c r="AZ193" s="41">
        <f t="shared" si="371"/>
        <v>0.10972345000791418</v>
      </c>
    </row>
    <row r="194" spans="1:52" s="148" customFormat="1" ht="14.5">
      <c r="A194" s="145"/>
      <c r="B194" s="135">
        <f ca="1">B193-B148</f>
        <v>16.265742856158425</v>
      </c>
      <c r="C194" s="145"/>
      <c r="D194" s="145"/>
      <c r="E194" s="145"/>
      <c r="F194" s="145"/>
      <c r="G194" s="145"/>
      <c r="H194" s="135"/>
      <c r="I194" s="135"/>
      <c r="J194" s="145"/>
      <c r="K194" s="145"/>
      <c r="L194" s="13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>
        <f ca="1">AVERAGE(X148:X193)</f>
        <v>874.02595676129408</v>
      </c>
      <c r="Y194" s="145"/>
      <c r="Z194" s="145"/>
      <c r="AA194" s="145"/>
      <c r="AB194" s="145"/>
      <c r="AC194" s="146"/>
      <c r="AD194" s="145"/>
      <c r="AE194" s="135"/>
      <c r="AF194" s="145"/>
      <c r="AG194" s="145"/>
      <c r="AH194" s="145"/>
      <c r="AI194" s="145"/>
      <c r="AJ194" s="147"/>
      <c r="AK194" s="145"/>
      <c r="AL194" s="135"/>
      <c r="AM194" s="145"/>
      <c r="AN194" s="145">
        <f ca="1">SUM(AN148:AN193)</f>
        <v>46.606837427163697</v>
      </c>
      <c r="AO194" s="145"/>
      <c r="AP194" s="135"/>
      <c r="AQ194" s="145"/>
      <c r="AR194" s="145"/>
      <c r="AS194" s="145"/>
      <c r="AT194" s="145"/>
      <c r="AU194" s="145"/>
      <c r="AV194" s="145"/>
      <c r="AW194" s="145"/>
      <c r="AX194" s="145"/>
      <c r="AY194" s="145"/>
      <c r="AZ194" s="145"/>
    </row>
    <row r="195" spans="1:52" s="101" customFormat="1" ht="14.5">
      <c r="A195" s="90">
        <f ca="1">A193+AM193</f>
        <v>11066.222392063641</v>
      </c>
      <c r="B195" s="90">
        <f t="shared" ref="B195:C195" ca="1" si="372">A195/60</f>
        <v>184.43703986772735</v>
      </c>
      <c r="C195" s="90">
        <f t="shared" ca="1" si="372"/>
        <v>3.0739506644621226</v>
      </c>
      <c r="D195" s="90">
        <f ca="1">0.85*B12</f>
        <v>11346.453894168026</v>
      </c>
      <c r="E195" s="90">
        <f ca="1">E193+AO193</f>
        <v>962.12530399993193</v>
      </c>
      <c r="F195" s="90">
        <f ca="1">F193+AO193</f>
        <v>49.644343108236214</v>
      </c>
      <c r="G195" s="90"/>
      <c r="H195" s="91">
        <f>H193+AL193</f>
        <v>0</v>
      </c>
      <c r="I195" s="92">
        <v>15</v>
      </c>
      <c r="J195" s="90">
        <f t="shared" ref="J195" si="373">SQRT((((((((L195^2)*(0.2))/(661.477)^2) + 1)^(3.5) - 1)*(1/AR195) + 1)^(1/3.5) - 1)*(5))</f>
        <v>0.15873567788449167</v>
      </c>
      <c r="K195" s="90">
        <f t="shared" ref="K195" si="374">SQRT((1.4*2116.22*AR195*(J195)^2)/AV195)</f>
        <v>181.77451522286458</v>
      </c>
      <c r="L195" s="92">
        <v>105</v>
      </c>
      <c r="M195" s="90">
        <f t="shared" ref="M195" si="375">K195*0.592484</f>
        <v>107.6984918773037</v>
      </c>
      <c r="N195" s="90">
        <f t="shared" ref="N195" si="376">0.5*AV195*K195^2</f>
        <v>37.325699600401549</v>
      </c>
      <c r="O195" s="90">
        <f t="shared" ref="O195" si="377">P195/$B$7</f>
        <v>1056676.1694953949</v>
      </c>
      <c r="P195" s="90">
        <f t="shared" ref="P195" si="378">(AV195*K195*$B$7)/(AW195)</f>
        <v>6784603.5177740334</v>
      </c>
      <c r="Q195" s="90">
        <f t="shared" ref="Q195" si="379">0.455/(LOG10(P195)^2.58 * (1+0.144*J195*J195)^0.65)</f>
        <v>3.191049279792382E-3</v>
      </c>
      <c r="R195" s="90">
        <f t="shared" ref="R195" si="380">(((Q195*$B$4)+$B$17)+(0.1*(Q195*$B$4)))</f>
        <v>2.1211414823514178E-2</v>
      </c>
      <c r="S195" s="93">
        <f t="shared" ref="S195" ca="1" si="381">T195</f>
        <v>-4.2056129593266256</v>
      </c>
      <c r="T195" s="94">
        <f t="shared" ref="T195" ca="1" si="382">DEGREES(ASIN(((AF195-X195)/(D195))))</f>
        <v>-4.2056129593266256</v>
      </c>
      <c r="U195" s="90">
        <f t="shared" ref="U195" ca="1" si="383">(D195*COS(RADIANS(S195)))/(N195*$B$3)</f>
        <v>1.3181151665594588</v>
      </c>
      <c r="V195" s="90">
        <f t="shared" ref="V195" ca="1" si="384">(X195)/(N195*$B$3)</f>
        <v>0.13094164878424219</v>
      </c>
      <c r="W195" s="90">
        <f t="shared" ref="W195" ca="1" si="385">U195/V195</f>
        <v>10.066431718233288</v>
      </c>
      <c r="X195" s="95">
        <f t="shared" ref="X195" ca="1" si="386">(N195*$B$3*R195)+((N195*$B$3)*((U195^2)/(PI()*$B$6*$B$5)))</f>
        <v>1124.1223889714388</v>
      </c>
      <c r="Y195" s="90">
        <f t="shared" ref="Y195" si="387">SQRT(PI()*$B$6*$B$5*R195)</f>
        <v>0.57952879989545025</v>
      </c>
      <c r="Z195" s="90">
        <f t="shared" ref="Z195" ca="1" si="388">SQRT((2*((U195*N195*$B$3)/(D195))*D195)/(AV195*$B$3*$B$18))</f>
        <v>144.0124458399481</v>
      </c>
      <c r="AA195" s="96">
        <f t="shared" ref="AA195" ca="1" si="389">D195/W195</f>
        <v>1127.1574885484238</v>
      </c>
      <c r="AB195" s="96">
        <f>$B$15*AR195*0.93</f>
        <v>5840.4000000000005</v>
      </c>
      <c r="AC195" s="97">
        <f t="shared" ref="AC195" ca="1" si="390">AA195*K195</f>
        <v>204888.50606071125</v>
      </c>
      <c r="AD195" s="90">
        <f t="shared" ref="AD195" si="391">AB195*K195</f>
        <v>1061635.8787076185</v>
      </c>
      <c r="AE195" s="92">
        <v>5</v>
      </c>
      <c r="AF195" s="90">
        <f t="shared" ref="AF195" si="392">AB195*(AE195/100)</f>
        <v>292.02000000000004</v>
      </c>
      <c r="AG195" s="90">
        <f t="shared" ref="AG195" ca="1" si="393">AB195-AA195</f>
        <v>4713.2425114515772</v>
      </c>
      <c r="AH195" s="90">
        <f t="shared" ref="AH195" ca="1" si="394">AD195-AC195</f>
        <v>856747.37264690723</v>
      </c>
      <c r="AI195" s="90">
        <f t="shared" ref="AI195" si="395">(AP195*AF195)</f>
        <v>233.64519549838266</v>
      </c>
      <c r="AJ195" s="98">
        <f t="shared" ref="AJ195" ca="1" si="396">K195*SIN(RADIANS(T195))</f>
        <v>-13.330597363887804</v>
      </c>
      <c r="AK195" s="99"/>
      <c r="AL195" s="92">
        <v>0</v>
      </c>
      <c r="AM195" s="91">
        <v>0</v>
      </c>
      <c r="AN195" s="90">
        <f t="shared" ref="AN195" si="397">AI195*(AM195/3600)</f>
        <v>0</v>
      </c>
      <c r="AO195" s="90">
        <f t="shared" ref="AO195" ca="1" si="398">M195*COS(RADIANS(T195))*(AM195/3600)</f>
        <v>0</v>
      </c>
      <c r="AP195" s="100">
        <f t="shared" ref="AP195" si="399">-18.066*(AZ195^6) + 34.325*(AZ195^5) - 25.292*(AZ195^4) + 8.7618*(AZ195^3) - 1.317*(AZ195^2) + 0.358*(AZ195^1) + 0.7659</f>
        <v>0.80009997773571206</v>
      </c>
      <c r="AQ195" s="99">
        <f t="shared" ref="AQ195" si="400">IF(H195 &lt;= 36089, ((1 - 6.87535*10^(-6)*H195) + ((I195*1.8)/518.67)), 0.75187 + ((I195*1.8)/518.67))</f>
        <v>1.0520562207183759</v>
      </c>
      <c r="AR195" s="99">
        <f t="shared" ref="AR195" si="401">IF(H195 &lt;= 36089, (1 - 6.87535*10^(-6)*H195)^5.2561, 0.22336*EXP((36089 - H195)/(20806.7)))</f>
        <v>1</v>
      </c>
      <c r="AS195" s="99">
        <f t="shared" ref="AS195" si="402">(AR195/AQ195)</f>
        <v>0.95051954477981193</v>
      </c>
      <c r="AT195" s="99">
        <f t="shared" ref="AT195" si="403">(518.67*AQ195)</f>
        <v>545.66999999999996</v>
      </c>
      <c r="AU195" s="99">
        <f t="shared" ref="AU195" si="404">2116.22*AR195</f>
        <v>2116.2199999999998</v>
      </c>
      <c r="AV195" s="99">
        <f t="shared" ref="AV195" si="405">(0.0023769*AS195)</f>
        <v>2.259289905987135E-3</v>
      </c>
      <c r="AW195" s="99">
        <f t="shared" ref="AW195" si="406">((2.2697*10^-8)*(AT195^1.5))/(AT195+198.72)</f>
        <v>3.8865391239478742E-7</v>
      </c>
      <c r="AX195" s="90">
        <f t="shared" ref="AX195" ca="1" si="407">(1/U195)*(((1 + 0.2*(U195)^2)/1.2)^3)</f>
        <v>1.0741754541761583</v>
      </c>
      <c r="AY195" s="90">
        <f t="shared" ref="AY195" ca="1" si="408">($H$4/$H$3)*AX195</f>
        <v>1.4469356780094742</v>
      </c>
      <c r="AZ195" s="90">
        <f t="shared" ref="AZ195" si="409">-6.6*10^(-3) + 0.825*J195 - 0.243*(J195^2)</f>
        <v>0.11823405950437749</v>
      </c>
    </row>
    <row r="196" spans="1:52" ht="14.5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3"/>
      <c r="AD196" s="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5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</row>
    <row r="197" spans="1:52" ht="14.5">
      <c r="B197" s="80" t="s">
        <v>218</v>
      </c>
      <c r="C197" s="80">
        <f ca="1">C198+C199+C201</f>
        <v>10719.77527752133</v>
      </c>
      <c r="F197" s="80" t="s">
        <v>229</v>
      </c>
      <c r="G197" s="80">
        <f ca="1">1.2*Z193</f>
        <v>168.36238096186682</v>
      </c>
      <c r="AC197" s="3"/>
      <c r="AD197" s="3"/>
      <c r="AP197" s="53"/>
    </row>
    <row r="198" spans="1:52" ht="14.5">
      <c r="B198" s="32" t="s">
        <v>58</v>
      </c>
      <c r="C198" s="21">
        <f>K6</f>
        <v>8420</v>
      </c>
      <c r="AC198" s="3"/>
      <c r="AD198" s="3"/>
      <c r="AP198" s="53"/>
    </row>
    <row r="199" spans="1:52" ht="14.5">
      <c r="B199" s="32" t="s">
        <v>59</v>
      </c>
      <c r="C199" s="21">
        <v>1800</v>
      </c>
      <c r="AC199" s="3"/>
      <c r="AD199" s="3"/>
      <c r="AP199" s="53"/>
    </row>
    <row r="200" spans="1:52" ht="14.5">
      <c r="B200" s="21" t="s">
        <v>125</v>
      </c>
      <c r="C200" s="32">
        <f ca="1">C201</f>
        <v>499.77527752132977</v>
      </c>
      <c r="AC200" s="3"/>
      <c r="AD200" s="3"/>
      <c r="AP200" s="53"/>
    </row>
    <row r="201" spans="1:52" ht="14.5">
      <c r="B201" s="21" t="s">
        <v>126</v>
      </c>
      <c r="C201" s="32">
        <f ca="1">SUM(AN207:AN227)+SUM(AN232:AN252)</f>
        <v>499.77527752132977</v>
      </c>
      <c r="AC201" s="3"/>
      <c r="AD201" s="3"/>
      <c r="AP201" s="53"/>
    </row>
    <row r="202" spans="1:52" ht="14.5">
      <c r="F202" s="80" t="s">
        <v>222</v>
      </c>
      <c r="G202" s="80">
        <f ca="1">1.1*Z207</f>
        <v>144.32443702467577</v>
      </c>
      <c r="AC202" s="3"/>
      <c r="AD202" s="3"/>
      <c r="AP202" s="53"/>
    </row>
    <row r="203" spans="1:52" ht="14.5">
      <c r="AC203" s="3"/>
      <c r="AD203" s="3"/>
      <c r="AP203" s="53"/>
    </row>
    <row r="204" spans="1:52" s="89" customFormat="1" ht="14.5">
      <c r="A204" s="124" t="s">
        <v>3</v>
      </c>
      <c r="B204" s="82" t="s">
        <v>22</v>
      </c>
      <c r="C204" s="81">
        <v>3000</v>
      </c>
      <c r="D204" s="82" t="s">
        <v>9</v>
      </c>
      <c r="E204" s="82"/>
      <c r="F204" s="82"/>
      <c r="G204" s="82"/>
      <c r="H204" s="82"/>
      <c r="I204" s="83"/>
      <c r="J204" s="82"/>
      <c r="K204" s="82"/>
      <c r="L204" s="84" t="s">
        <v>60</v>
      </c>
      <c r="M204" s="82"/>
      <c r="N204" s="82"/>
      <c r="O204" s="82"/>
      <c r="P204" s="82"/>
      <c r="Q204" s="81"/>
      <c r="R204" s="82"/>
      <c r="S204" s="85"/>
      <c r="T204" s="86"/>
      <c r="U204" s="81"/>
      <c r="V204" s="81"/>
      <c r="W204" s="81"/>
      <c r="X204" s="81"/>
      <c r="Y204" s="82"/>
      <c r="Z204" s="82"/>
      <c r="AA204" s="87"/>
      <c r="AB204" s="87"/>
      <c r="AC204" s="82"/>
      <c r="AD204" s="82"/>
      <c r="AE204" s="83"/>
      <c r="AF204" s="81"/>
      <c r="AG204" s="82"/>
      <c r="AH204" s="82"/>
      <c r="AI204" s="82"/>
      <c r="AJ204" s="81" t="s">
        <v>61</v>
      </c>
      <c r="AK204" s="88"/>
      <c r="AL204" s="83"/>
      <c r="AM204" s="82"/>
      <c r="AN204" s="82"/>
      <c r="AO204" s="82"/>
      <c r="AP204" s="53"/>
      <c r="AQ204" s="88"/>
      <c r="AR204" s="88"/>
      <c r="AS204" s="88"/>
      <c r="AT204" s="88"/>
      <c r="AU204" s="88"/>
      <c r="AV204" s="88"/>
      <c r="AW204" s="88"/>
      <c r="AX204" s="82"/>
      <c r="AY204" s="82"/>
      <c r="AZ204" s="82"/>
    </row>
    <row r="205" spans="1:52" ht="14.5">
      <c r="A205" s="41" t="s">
        <v>2</v>
      </c>
      <c r="B205" s="41" t="s">
        <v>2</v>
      </c>
      <c r="C205" s="41" t="s">
        <v>2</v>
      </c>
      <c r="D205" s="41" t="s">
        <v>23</v>
      </c>
      <c r="E205" s="41" t="s">
        <v>24</v>
      </c>
      <c r="F205" s="41" t="s">
        <v>25</v>
      </c>
      <c r="G205" s="41"/>
      <c r="H205" s="41" t="s">
        <v>0</v>
      </c>
      <c r="I205" s="5" t="s">
        <v>26</v>
      </c>
      <c r="J205" s="41" t="s">
        <v>27</v>
      </c>
      <c r="K205" s="41" t="s">
        <v>28</v>
      </c>
      <c r="L205" s="12" t="s">
        <v>29</v>
      </c>
      <c r="M205" s="13" t="s">
        <v>30</v>
      </c>
      <c r="N205" s="41" t="s">
        <v>31</v>
      </c>
      <c r="O205" s="41" t="s">
        <v>32</v>
      </c>
      <c r="P205" s="41" t="s">
        <v>33</v>
      </c>
      <c r="Q205" s="41" t="s">
        <v>34</v>
      </c>
      <c r="R205" s="41" t="s">
        <v>13</v>
      </c>
      <c r="S205" s="24" t="s">
        <v>35</v>
      </c>
      <c r="T205" s="10" t="s">
        <v>35</v>
      </c>
      <c r="U205" s="41" t="s">
        <v>36</v>
      </c>
      <c r="V205" s="41" t="s">
        <v>37</v>
      </c>
      <c r="W205" s="41" t="s">
        <v>38</v>
      </c>
      <c r="X205" s="41" t="s">
        <v>39</v>
      </c>
      <c r="Y205" s="41" t="s">
        <v>40</v>
      </c>
      <c r="Z205" s="35" t="s">
        <v>108</v>
      </c>
      <c r="AA205" s="35" t="s">
        <v>109</v>
      </c>
      <c r="AB205" s="9" t="s">
        <v>110</v>
      </c>
      <c r="AC205" s="7" t="s">
        <v>111</v>
      </c>
      <c r="AD205" s="7" t="s">
        <v>112</v>
      </c>
      <c r="AE205" s="5" t="s">
        <v>41</v>
      </c>
      <c r="AF205" s="7" t="s">
        <v>113</v>
      </c>
      <c r="AG205" s="41"/>
      <c r="AH205" s="41"/>
      <c r="AI205" s="41" t="s">
        <v>42</v>
      </c>
      <c r="AJ205" s="41" t="s">
        <v>43</v>
      </c>
      <c r="AK205" s="11"/>
      <c r="AL205" s="5" t="s">
        <v>44</v>
      </c>
      <c r="AM205" s="41" t="s">
        <v>45</v>
      </c>
      <c r="AN205" s="41" t="s">
        <v>46</v>
      </c>
      <c r="AO205" s="41" t="s">
        <v>47</v>
      </c>
      <c r="AP205" s="53"/>
      <c r="AQ205" s="15" t="s">
        <v>62</v>
      </c>
      <c r="AR205" s="16" t="s">
        <v>63</v>
      </c>
      <c r="AS205" s="16" t="s">
        <v>64</v>
      </c>
      <c r="AT205" s="17" t="s">
        <v>65</v>
      </c>
      <c r="AU205" s="18" t="s">
        <v>66</v>
      </c>
      <c r="AV205" s="18" t="s">
        <v>67</v>
      </c>
      <c r="AW205" s="19" t="s">
        <v>68</v>
      </c>
      <c r="AX205" s="7" t="s">
        <v>207</v>
      </c>
      <c r="AY205" s="7" t="s">
        <v>208</v>
      </c>
      <c r="AZ205" s="7" t="s">
        <v>209</v>
      </c>
    </row>
    <row r="206" spans="1:52" ht="14.5">
      <c r="A206" s="41" t="s">
        <v>18</v>
      </c>
      <c r="B206" s="41" t="s">
        <v>21</v>
      </c>
      <c r="C206" s="41" t="s">
        <v>48</v>
      </c>
      <c r="D206" s="41" t="s">
        <v>8</v>
      </c>
      <c r="E206" s="41" t="s">
        <v>49</v>
      </c>
      <c r="F206" s="41" t="s">
        <v>49</v>
      </c>
      <c r="G206" s="41"/>
      <c r="H206" s="41" t="s">
        <v>9</v>
      </c>
      <c r="I206" s="5" t="s">
        <v>50</v>
      </c>
      <c r="J206" s="41"/>
      <c r="K206" s="41" t="s">
        <v>51</v>
      </c>
      <c r="L206" s="5" t="s">
        <v>52</v>
      </c>
      <c r="M206" s="41" t="s">
        <v>52</v>
      </c>
      <c r="N206" s="41" t="s">
        <v>53</v>
      </c>
      <c r="O206" s="41" t="s">
        <v>54</v>
      </c>
      <c r="P206" s="41"/>
      <c r="Q206" s="41"/>
      <c r="R206" s="41"/>
      <c r="S206" s="24" t="s">
        <v>55</v>
      </c>
      <c r="T206" s="10" t="s">
        <v>55</v>
      </c>
      <c r="U206" s="41"/>
      <c r="V206" s="41"/>
      <c r="W206" s="41"/>
      <c r="X206" s="41"/>
      <c r="Y206" s="41"/>
      <c r="Z206" s="41"/>
      <c r="AA206" s="9" t="s">
        <v>118</v>
      </c>
      <c r="AB206" s="9" t="s">
        <v>118</v>
      </c>
      <c r="AC206" s="7" t="s">
        <v>119</v>
      </c>
      <c r="AD206" s="7" t="s">
        <v>119</v>
      </c>
      <c r="AE206" s="5" t="s">
        <v>20</v>
      </c>
      <c r="AF206" s="7" t="s">
        <v>118</v>
      </c>
      <c r="AG206" s="41"/>
      <c r="AH206" s="41"/>
      <c r="AI206" s="41" t="s">
        <v>56</v>
      </c>
      <c r="AJ206" s="41" t="s">
        <v>57</v>
      </c>
      <c r="AK206" s="11"/>
      <c r="AL206" s="5" t="s">
        <v>9</v>
      </c>
      <c r="AM206" s="41" t="s">
        <v>18</v>
      </c>
      <c r="AN206" s="41" t="s">
        <v>8</v>
      </c>
      <c r="AO206" s="41" t="s">
        <v>49</v>
      </c>
      <c r="AP206" s="53"/>
      <c r="AQ206" s="11"/>
      <c r="AR206" s="11"/>
      <c r="AS206" s="11"/>
      <c r="AT206" s="11"/>
      <c r="AU206" s="11"/>
      <c r="AV206" s="11"/>
      <c r="AW206" s="11"/>
      <c r="AX206" s="41"/>
      <c r="AY206" s="41"/>
      <c r="AZ206" s="41"/>
    </row>
    <row r="207" spans="1:52" ht="14.5">
      <c r="A207" s="41">
        <f ca="1">H207/(K207*SIN(RADIANS(T207)))</f>
        <v>0</v>
      </c>
      <c r="B207" s="41">
        <v>0</v>
      </c>
      <c r="C207" s="41">
        <v>0</v>
      </c>
      <c r="D207" s="41">
        <f ca="1">C198+C199+C200</f>
        <v>10719.77527752133</v>
      </c>
      <c r="E207" s="7">
        <v>0</v>
      </c>
      <c r="F207" s="7">
        <v>0</v>
      </c>
      <c r="G207" s="41"/>
      <c r="H207" s="41">
        <v>0</v>
      </c>
      <c r="I207" s="6">
        <v>15</v>
      </c>
      <c r="J207" s="41">
        <f t="shared" ref="J207:J227" si="410">SQRT((((((((L207^2)*(0.2))/(661.477)^2) + 1)^(3.5) - 1)*(1/AR207) + 1)^(1/3.5) - 1)*(5))</f>
        <v>0.12850031066839707</v>
      </c>
      <c r="K207" s="41">
        <f t="shared" ref="K207:K227" si="411">SQRT((1.4*2116.22*AR207*(J207)^2)/AV207)</f>
        <v>147.15079803755594</v>
      </c>
      <c r="L207" s="120">
        <v>85</v>
      </c>
      <c r="M207" s="41">
        <f t="shared" ref="M207:M227" si="412">K207*0.592484</f>
        <v>87.184493424483293</v>
      </c>
      <c r="N207" s="41">
        <f t="shared" ref="N207:N227" si="413">0.5*AV207*K207^2</f>
        <v>24.460605860580245</v>
      </c>
      <c r="O207" s="41">
        <f t="shared" ref="O207:O227" si="414">P207/$B$7</f>
        <v>855404.51816293225</v>
      </c>
      <c r="P207" s="41">
        <f t="shared" ref="P207:P227" si="415">(AV207*K207*$B$7)/(AW207)</f>
        <v>5492298.0858170334</v>
      </c>
      <c r="Q207" s="41">
        <f t="shared" ref="Q207:Q227" si="416">0.455/(LOG10(P207)^2.58 * (1+0.144*J207*J207)^0.65)</f>
        <v>3.3070389858677954E-3</v>
      </c>
      <c r="R207" s="41">
        <f t="shared" ref="R207:R227" si="417">(((Q207*$B$4)+$B$17)+(0.1*(Q207*$B$4)))</f>
        <v>2.1873371586756101E-2</v>
      </c>
      <c r="S207" s="24">
        <f ca="1">T207</f>
        <v>28.813994412697383</v>
      </c>
      <c r="T207" s="10">
        <f t="shared" ref="T207:T227" ca="1" si="418">DEGREES(ASIN(((AF207-X207)/(D207))))</f>
        <v>28.813994412697383</v>
      </c>
      <c r="U207" s="41">
        <f t="shared" ref="U207:U227" ca="1" si="419">(D207*COS(RADIANS(S207)))/(N207*$B$3)</f>
        <v>1.669507695057632</v>
      </c>
      <c r="V207" s="41">
        <f t="shared" ref="V207:V227" ca="1" si="420">(X207)/(N207*$B$3)</f>
        <v>0.19790732441495121</v>
      </c>
      <c r="W207" s="41">
        <f t="shared" ref="W207:W227" ca="1" si="421">U207/V207</f>
        <v>8.4358054962997944</v>
      </c>
      <c r="X207" s="20">
        <f t="shared" ref="X207:X227" ca="1" si="422">(N207*$B$3*R207)+((N207*$B$3)*((U207^2)/(PI()*$B$6*$B$5)))</f>
        <v>1113.4146036703055</v>
      </c>
      <c r="Y207" s="41">
        <f t="shared" ref="Y207:Y227" si="423">SQRT(PI()*$B$6*$B$5*R207)</f>
        <v>0.58850217193346965</v>
      </c>
      <c r="Z207" s="41">
        <f t="shared" ref="Z207:Z227" ca="1" si="424">SQRT((2*((U207*N207*$B$3)/(D207))*D207)/(AV207*$B$3*$B$18))</f>
        <v>131.20403365879613</v>
      </c>
      <c r="AA207" s="14">
        <f t="shared" ref="AA207:AA227" ca="1" si="425">D207/W207</f>
        <v>1270.7470889677761</v>
      </c>
      <c r="AB207" s="14">
        <f t="shared" ref="AB207:AB227" si="426">$B$15*AR207</f>
        <v>6280</v>
      </c>
      <c r="AC207" s="25">
        <f t="shared" ref="AC207:AC227" ca="1" si="427">AA207*K207</f>
        <v>186991.44824550935</v>
      </c>
      <c r="AD207" s="41">
        <f t="shared" ref="AD207:AD227" si="428">AB207*K207</f>
        <v>924107.0116758513</v>
      </c>
      <c r="AE207" s="6">
        <v>100</v>
      </c>
      <c r="AF207" s="41">
        <f t="shared" ref="AF207:AF227" si="429">AB207*(AE207/100)</f>
        <v>6280</v>
      </c>
      <c r="AG207" s="41"/>
      <c r="AH207" s="41"/>
      <c r="AI207" s="41">
        <f t="shared" ref="AI207:AI227" si="430">(AP207*AF207)</f>
        <v>4985.2972204089865</v>
      </c>
      <c r="AJ207" s="13">
        <f t="shared" ref="AJ207:AJ227" ca="1" si="431">K207*SIN(RADIANS(T207))</f>
        <v>70.921931152169535</v>
      </c>
      <c r="AK207" s="11"/>
      <c r="AL207" s="6">
        <v>150</v>
      </c>
      <c r="AM207" s="41">
        <f t="shared" ref="AM207:AM227" ca="1" si="432">AL207/AJ207</f>
        <v>2.1150016301468328</v>
      </c>
      <c r="AN207" s="41">
        <f t="shared" ref="AN207:AN227" ca="1" si="433">AI207*(AM207/3600)</f>
        <v>2.9288643744254115</v>
      </c>
      <c r="AO207" s="41">
        <f t="shared" ref="AO207:AO227" ca="1" si="434">M207*COS(RADIANS(T207))*(AM207/3600)</f>
        <v>4.4879214175965888E-2</v>
      </c>
      <c r="AP207" s="67">
        <f t="shared" ref="AP207:AP227" si="435">-18.066*(AZ207^6) + 34.325*(AZ207^5) - 25.292*(AZ207^4) + 8.7618*(AZ207^3) - 1.317*(AZ207^2) + 0.358*(AZ207^1) + 0.7659</f>
        <v>0.79383713700780034</v>
      </c>
      <c r="AQ207" s="11">
        <f t="shared" ref="AQ207:AQ227" si="436">IF(H207 &lt;= 36089, ((1 - 6.87535*10^(-6)*H207) + ((I207*1.8)/518.67)), 0.75187 + ((I207*1.8)/518.67))</f>
        <v>1.0520562207183759</v>
      </c>
      <c r="AR207" s="11">
        <f t="shared" ref="AR207:AR227" si="437">IF(H207 &lt;= 36089, (1 - 6.87535*10^(-6)*H207)^5.2561, 0.22336*EXP((36089 - H207)/(20806.7)))</f>
        <v>1</v>
      </c>
      <c r="AS207" s="11">
        <f t="shared" ref="AS207:AS227" si="438">(AR207/AQ207)</f>
        <v>0.95051954477981193</v>
      </c>
      <c r="AT207" s="11">
        <f t="shared" ref="AT207:AT227" si="439">(518.67*AQ207)</f>
        <v>545.66999999999996</v>
      </c>
      <c r="AU207" s="11">
        <f t="shared" ref="AU207:AU227" si="440">2116.22*AR207</f>
        <v>2116.2199999999998</v>
      </c>
      <c r="AV207" s="11">
        <f t="shared" ref="AV207:AV227" si="441">(0.0023769*AS207)</f>
        <v>2.259289905987135E-3</v>
      </c>
      <c r="AW207" s="11">
        <f t="shared" ref="AW207:AW227" si="442">((2.2697*10^-8)*(AT207^1.5))/(AT207+198.72)</f>
        <v>3.8865391239478742E-7</v>
      </c>
      <c r="AX207" s="41">
        <f t="shared" ref="AX207:AX227" ca="1" si="443">(1/U207)*(((1 + 0.2*(U207)^2)/1.2)^3)</f>
        <v>1.3095170893612036</v>
      </c>
      <c r="AY207" s="41">
        <f t="shared" ref="AY207:AY227" ca="1" si="444">($H$4/$H$3)*AX207</f>
        <v>1.7639455362653564</v>
      </c>
      <c r="AZ207" s="41">
        <f t="shared" ref="AZ207:AZ227" si="445">-6.6*10^(-3) + 0.825*J207 - 0.243*(J207^2)</f>
        <v>9.5400260149852062E-2</v>
      </c>
    </row>
    <row r="208" spans="1:52" ht="14.5">
      <c r="A208" s="41">
        <f t="shared" ref="A208:A227" ca="1" si="446">A207+AM207</f>
        <v>2.1150016301468328</v>
      </c>
      <c r="B208" s="41">
        <f t="shared" ref="B208:C223" ca="1" si="447">A208/60</f>
        <v>3.5250027169113879E-2</v>
      </c>
      <c r="C208" s="41">
        <f t="shared" ca="1" si="447"/>
        <v>5.8750045281856468E-4</v>
      </c>
      <c r="D208" s="41">
        <f t="shared" ref="D208:D227" ca="1" si="448">D207-AN207</f>
        <v>10716.846413146905</v>
      </c>
      <c r="E208" s="41">
        <f t="shared" ref="E208:E227" ca="1" si="449">E207+AO207</f>
        <v>4.4879214175965888E-2</v>
      </c>
      <c r="F208" s="41">
        <f t="shared" ref="F208:F227" ca="1" si="450">F207+AO207</f>
        <v>4.4879214175965888E-2</v>
      </c>
      <c r="G208" s="41"/>
      <c r="H208" s="7">
        <f t="shared" ref="H208:H227" si="451">H207+AL207</f>
        <v>150</v>
      </c>
      <c r="I208" s="6">
        <v>15</v>
      </c>
      <c r="J208" s="41">
        <f t="shared" si="410"/>
        <v>0.13415317282732284</v>
      </c>
      <c r="K208" s="41">
        <f t="shared" si="411"/>
        <v>153.54879924916679</v>
      </c>
      <c r="L208" s="6">
        <f>L207+($L$232-$L$207)/20</f>
        <v>88.5</v>
      </c>
      <c r="M208" s="41">
        <f t="shared" si="412"/>
        <v>90.975206774343334</v>
      </c>
      <c r="N208" s="41">
        <f t="shared" si="413"/>
        <v>26.515839864074255</v>
      </c>
      <c r="O208" s="41">
        <f t="shared" si="414"/>
        <v>889308.88252731704</v>
      </c>
      <c r="P208" s="41">
        <f t="shared" si="415"/>
        <v>5709987.9290964035</v>
      </c>
      <c r="Q208" s="41">
        <f t="shared" si="416"/>
        <v>3.2853084296077819E-3</v>
      </c>
      <c r="R208" s="41">
        <f t="shared" si="417"/>
        <v>2.1749354644459755E-2</v>
      </c>
      <c r="S208" s="24">
        <f t="shared" ref="S208:S227" ca="1" si="452">T208</f>
        <v>29.054367555479736</v>
      </c>
      <c r="T208" s="10">
        <f t="shared" ca="1" si="418"/>
        <v>29.054367555479736</v>
      </c>
      <c r="U208" s="41">
        <f t="shared" ca="1" si="419"/>
        <v>1.5361172143859263</v>
      </c>
      <c r="V208" s="41">
        <f t="shared" ca="1" si="420"/>
        <v>0.17077750215568485</v>
      </c>
      <c r="W208" s="41">
        <f t="shared" ca="1" si="421"/>
        <v>8.9948453103943695</v>
      </c>
      <c r="X208" s="20">
        <f t="shared" ca="1" si="422"/>
        <v>1041.5110468957491</v>
      </c>
      <c r="Y208" s="41">
        <f t="shared" si="423"/>
        <v>0.58683146504564943</v>
      </c>
      <c r="Z208" s="41">
        <f t="shared" ca="1" si="424"/>
        <v>131.32546743237785</v>
      </c>
      <c r="AA208" s="14">
        <f t="shared" ca="1" si="425"/>
        <v>1191.4431036143117</v>
      </c>
      <c r="AB208" s="14">
        <f t="shared" si="426"/>
        <v>6246.0330756029416</v>
      </c>
      <c r="AC208" s="25">
        <f t="shared" ca="1" si="427"/>
        <v>182944.65793367816</v>
      </c>
      <c r="AD208" s="41">
        <f t="shared" si="428"/>
        <v>959070.87882941193</v>
      </c>
      <c r="AE208" s="6">
        <v>100</v>
      </c>
      <c r="AF208" s="41">
        <f t="shared" si="429"/>
        <v>6246.0330756029416</v>
      </c>
      <c r="AG208" s="41"/>
      <c r="AH208" s="41"/>
      <c r="AI208" s="41">
        <f t="shared" si="430"/>
        <v>4965.6395352802938</v>
      </c>
      <c r="AJ208" s="13">
        <f t="shared" ca="1" si="431"/>
        <v>74.569334799225174</v>
      </c>
      <c r="AK208" s="11"/>
      <c r="AL208" s="6">
        <v>150</v>
      </c>
      <c r="AM208" s="41">
        <f t="shared" ca="1" si="432"/>
        <v>2.0115507319981969</v>
      </c>
      <c r="AN208" s="41">
        <f t="shared" ca="1" si="433"/>
        <v>2.7746210672311835</v>
      </c>
      <c r="AO208" s="41">
        <f t="shared" ca="1" si="434"/>
        <v>4.4436732138573472E-2</v>
      </c>
      <c r="AP208" s="67">
        <f t="shared" si="435"/>
        <v>0.79500692282212282</v>
      </c>
      <c r="AQ208" s="11">
        <f t="shared" si="436"/>
        <v>1.0510249182183757</v>
      </c>
      <c r="AR208" s="11">
        <f t="shared" si="437"/>
        <v>0.99459125407690152</v>
      </c>
      <c r="AS208" s="11">
        <f t="shared" si="438"/>
        <v>0.94630606452496235</v>
      </c>
      <c r="AT208" s="11">
        <f t="shared" si="439"/>
        <v>545.13509433232491</v>
      </c>
      <c r="AU208" s="11">
        <f t="shared" si="440"/>
        <v>2104.7739037026204</v>
      </c>
      <c r="AV208" s="11">
        <f t="shared" si="441"/>
        <v>2.2492748847693831E-3</v>
      </c>
      <c r="AW208" s="11">
        <f t="shared" si="442"/>
        <v>3.8836164185848879E-7</v>
      </c>
      <c r="AX208" s="41">
        <f t="shared" ca="1" si="443"/>
        <v>1.2014188890889548</v>
      </c>
      <c r="AY208" s="41">
        <f t="shared" ca="1" si="444"/>
        <v>1.6183351128522743</v>
      </c>
      <c r="AZ208" s="41">
        <f t="shared" si="445"/>
        <v>9.9703078654089408E-2</v>
      </c>
    </row>
    <row r="209" spans="1:52" ht="14.5">
      <c r="A209" s="41">
        <f t="shared" ca="1" si="446"/>
        <v>4.1265523621450297</v>
      </c>
      <c r="B209" s="41">
        <f t="shared" ca="1" si="447"/>
        <v>6.8775872702417168E-2</v>
      </c>
      <c r="C209" s="41">
        <f t="shared" ca="1" si="447"/>
        <v>1.146264545040286E-3</v>
      </c>
      <c r="D209" s="41">
        <f t="shared" ca="1" si="448"/>
        <v>10714.071792079674</v>
      </c>
      <c r="E209" s="41">
        <f t="shared" ca="1" si="449"/>
        <v>8.931594631453936E-2</v>
      </c>
      <c r="F209" s="41">
        <f t="shared" ca="1" si="450"/>
        <v>8.931594631453936E-2</v>
      </c>
      <c r="G209" s="41"/>
      <c r="H209" s="7">
        <f t="shared" si="451"/>
        <v>300</v>
      </c>
      <c r="I209" s="6">
        <v>15</v>
      </c>
      <c r="J209" s="41">
        <f t="shared" si="410"/>
        <v>0.13983576674268838</v>
      </c>
      <c r="K209" s="41">
        <f t="shared" si="411"/>
        <v>159.97442838968141</v>
      </c>
      <c r="L209" s="6">
        <f t="shared" ref="L209:L227" si="453">L208+($L$232-$L$207)/20</f>
        <v>92</v>
      </c>
      <c r="M209" s="41">
        <f t="shared" si="412"/>
        <v>94.782289230032006</v>
      </c>
      <c r="N209" s="41">
        <f t="shared" si="413"/>
        <v>28.653800293742965</v>
      </c>
      <c r="O209" s="41">
        <f t="shared" si="414"/>
        <v>923107.8579739175</v>
      </c>
      <c r="P209" s="41">
        <f t="shared" si="415"/>
        <v>5927001.1014684746</v>
      </c>
      <c r="Q209" s="41">
        <f t="shared" si="416"/>
        <v>3.2645983968564714E-3</v>
      </c>
      <c r="R209" s="41">
        <f t="shared" si="417"/>
        <v>2.1631161860715838E-2</v>
      </c>
      <c r="S209" s="24">
        <f t="shared" ca="1" si="452"/>
        <v>29.23031580158117</v>
      </c>
      <c r="T209" s="10">
        <f t="shared" ca="1" si="418"/>
        <v>29.23031580158117</v>
      </c>
      <c r="U209" s="41">
        <f t="shared" ca="1" si="419"/>
        <v>1.41870290796521</v>
      </c>
      <c r="V209" s="41">
        <f t="shared" ca="1" si="420"/>
        <v>0.14874783224597951</v>
      </c>
      <c r="W209" s="41">
        <f t="shared" ca="1" si="421"/>
        <v>9.53763753423409</v>
      </c>
      <c r="X209" s="20">
        <f t="shared" ca="1" si="422"/>
        <v>980.30385623979964</v>
      </c>
      <c r="Y209" s="41">
        <f t="shared" si="423"/>
        <v>0.58523478016843156</v>
      </c>
      <c r="Z209" s="41">
        <f t="shared" ca="1" si="424"/>
        <v>131.48816033225012</v>
      </c>
      <c r="AA209" s="14">
        <f t="shared" ca="1" si="425"/>
        <v>1123.3465052139934</v>
      </c>
      <c r="AB209" s="14">
        <f t="shared" si="426"/>
        <v>6212.2150696146691</v>
      </c>
      <c r="AC209" s="25">
        <f t="shared" ca="1" si="427"/>
        <v>179706.71505515487</v>
      </c>
      <c r="AD209" s="41">
        <f t="shared" si="428"/>
        <v>993795.5547953716</v>
      </c>
      <c r="AE209" s="6">
        <v>100</v>
      </c>
      <c r="AF209" s="41">
        <f t="shared" si="429"/>
        <v>6212.2150696146691</v>
      </c>
      <c r="AG209" s="41"/>
      <c r="AH209" s="41"/>
      <c r="AI209" s="41">
        <f t="shared" si="430"/>
        <v>4946.0577396346052</v>
      </c>
      <c r="AJ209" s="13">
        <f t="shared" ca="1" si="431"/>
        <v>78.11894693144923</v>
      </c>
      <c r="AK209" s="11"/>
      <c r="AL209" s="6">
        <v>150</v>
      </c>
      <c r="AM209" s="41">
        <f t="shared" ca="1" si="432"/>
        <v>1.9201487717394305</v>
      </c>
      <c r="AN209" s="41">
        <f t="shared" ca="1" si="433"/>
        <v>2.6381018593643586</v>
      </c>
      <c r="AO209" s="41">
        <f t="shared" ca="1" si="434"/>
        <v>4.4117058109683319E-2</v>
      </c>
      <c r="AP209" s="67">
        <f t="shared" si="435"/>
        <v>0.79618263118849153</v>
      </c>
      <c r="AQ209" s="11">
        <f t="shared" si="436"/>
        <v>1.0499936157183758</v>
      </c>
      <c r="AR209" s="11">
        <f t="shared" si="437"/>
        <v>0.98920622127622115</v>
      </c>
      <c r="AS209" s="11">
        <f t="shared" si="438"/>
        <v>0.94210689138279602</v>
      </c>
      <c r="AT209" s="11">
        <f t="shared" si="439"/>
        <v>544.60018866464998</v>
      </c>
      <c r="AU209" s="11">
        <f t="shared" si="440"/>
        <v>2093.3779895891644</v>
      </c>
      <c r="AV209" s="11">
        <f t="shared" si="441"/>
        <v>2.2392938701277679E-3</v>
      </c>
      <c r="AW209" s="11">
        <f t="shared" si="442"/>
        <v>3.8806923132088533E-7</v>
      </c>
      <c r="AX209" s="41">
        <f t="shared" ca="1" si="443"/>
        <v>1.1254181226245186</v>
      </c>
      <c r="AY209" s="41">
        <f t="shared" ca="1" si="444"/>
        <v>1.515960570475676</v>
      </c>
      <c r="AZ209" s="41">
        <f t="shared" si="445"/>
        <v>0.10401287543921263</v>
      </c>
    </row>
    <row r="210" spans="1:52" ht="14.5">
      <c r="A210" s="41">
        <f t="shared" ca="1" si="446"/>
        <v>6.0467011338844605</v>
      </c>
      <c r="B210" s="41">
        <f t="shared" ca="1" si="447"/>
        <v>0.10077835223140767</v>
      </c>
      <c r="C210" s="41">
        <f t="shared" ca="1" si="447"/>
        <v>1.6796392038567946E-3</v>
      </c>
      <c r="D210" s="41">
        <f t="shared" ca="1" si="448"/>
        <v>10711.43369022031</v>
      </c>
      <c r="E210" s="41">
        <f t="shared" ca="1" si="449"/>
        <v>0.13343300442422268</v>
      </c>
      <c r="F210" s="41">
        <f t="shared" ca="1" si="450"/>
        <v>0.13343300442422268</v>
      </c>
      <c r="G210" s="41"/>
      <c r="H210" s="7">
        <f t="shared" si="451"/>
        <v>450</v>
      </c>
      <c r="I210" s="6">
        <v>15</v>
      </c>
      <c r="J210" s="41">
        <f t="shared" si="410"/>
        <v>0.14554820646379638</v>
      </c>
      <c r="K210" s="41">
        <f t="shared" si="411"/>
        <v>166.42776101352038</v>
      </c>
      <c r="L210" s="6">
        <f t="shared" si="453"/>
        <v>95.5</v>
      </c>
      <c r="M210" s="41">
        <f t="shared" si="412"/>
        <v>98.60578555633461</v>
      </c>
      <c r="N210" s="41">
        <f t="shared" si="413"/>
        <v>30.874446112165643</v>
      </c>
      <c r="O210" s="41">
        <f t="shared" si="414"/>
        <v>956801.2002482774</v>
      </c>
      <c r="P210" s="41">
        <f t="shared" si="415"/>
        <v>6143336.0346480031</v>
      </c>
      <c r="Q210" s="41">
        <f t="shared" si="416"/>
        <v>3.2448222120849864E-3</v>
      </c>
      <c r="R210" s="41">
        <f t="shared" si="417"/>
        <v>2.1518298575657638E-2</v>
      </c>
      <c r="S210" s="24">
        <f t="shared" ca="1" si="452"/>
        <v>29.352128590030485</v>
      </c>
      <c r="T210" s="10">
        <f t="shared" ca="1" si="418"/>
        <v>29.352128590030485</v>
      </c>
      <c r="U210" s="41">
        <f t="shared" ca="1" si="419"/>
        <v>1.3147694520931279</v>
      </c>
      <c r="V210" s="41">
        <f t="shared" ca="1" si="420"/>
        <v>0.1306921925284254</v>
      </c>
      <c r="W210" s="41">
        <f t="shared" ca="1" si="421"/>
        <v>10.060045873108809</v>
      </c>
      <c r="X210" s="20">
        <f t="shared" ca="1" si="422"/>
        <v>928.06128276491881</v>
      </c>
      <c r="Y210" s="41">
        <f t="shared" si="423"/>
        <v>0.58370601569977865</v>
      </c>
      <c r="Z210" s="41">
        <f t="shared" ca="1" si="424"/>
        <v>131.68640013549305</v>
      </c>
      <c r="AA210" s="14">
        <f t="shared" ca="1" si="425"/>
        <v>1064.7499847741954</v>
      </c>
      <c r="AB210" s="14">
        <f t="shared" si="426"/>
        <v>6178.5454820302302</v>
      </c>
      <c r="AC210" s="25">
        <f t="shared" ca="1" si="427"/>
        <v>177203.95600514926</v>
      </c>
      <c r="AD210" s="41">
        <f t="shared" si="428"/>
        <v>1028281.4908944933</v>
      </c>
      <c r="AE210" s="6">
        <v>100</v>
      </c>
      <c r="AF210" s="41">
        <f t="shared" si="429"/>
        <v>6178.5454820302302</v>
      </c>
      <c r="AG210" s="41"/>
      <c r="AH210" s="41"/>
      <c r="AI210" s="41">
        <f t="shared" si="430"/>
        <v>4926.5560790381796</v>
      </c>
      <c r="AJ210" s="13">
        <f t="shared" ca="1" si="431"/>
        <v>81.578839471172557</v>
      </c>
      <c r="AK210" s="11"/>
      <c r="AL210" s="6">
        <v>150</v>
      </c>
      <c r="AM210" s="41">
        <f t="shared" ca="1" si="432"/>
        <v>1.838712109321013</v>
      </c>
      <c r="AN210" s="41">
        <f t="shared" ca="1" si="433"/>
        <v>2.5162550888268198</v>
      </c>
      <c r="AO210" s="41">
        <f t="shared" ca="1" si="434"/>
        <v>4.3897788852732753E-2</v>
      </c>
      <c r="AP210" s="67">
        <f t="shared" si="435"/>
        <v>0.79736502601893045</v>
      </c>
      <c r="AQ210" s="11">
        <f t="shared" si="436"/>
        <v>1.0489623132183759</v>
      </c>
      <c r="AR210" s="11">
        <f t="shared" si="437"/>
        <v>0.98384482197933598</v>
      </c>
      <c r="AS210" s="11">
        <f t="shared" si="438"/>
        <v>0.93792199164977674</v>
      </c>
      <c r="AT210" s="11">
        <f t="shared" si="439"/>
        <v>544.06528299697493</v>
      </c>
      <c r="AU210" s="11">
        <f t="shared" si="440"/>
        <v>2082.0320891691103</v>
      </c>
      <c r="AV210" s="11">
        <f t="shared" si="441"/>
        <v>2.2293467819523541E-3</v>
      </c>
      <c r="AW210" s="11">
        <f t="shared" si="442"/>
        <v>3.8777668061740615E-7</v>
      </c>
      <c r="AX210" s="41">
        <f t="shared" ca="1" si="443"/>
        <v>1.0726904173115588</v>
      </c>
      <c r="AY210" s="41">
        <f t="shared" ca="1" si="444"/>
        <v>1.4449353038488151</v>
      </c>
      <c r="AZ210" s="41">
        <f t="shared" si="445"/>
        <v>0.10832949019425883</v>
      </c>
    </row>
    <row r="211" spans="1:52" ht="14.5">
      <c r="A211" s="41">
        <f t="shared" ca="1" si="446"/>
        <v>7.8854132432054733</v>
      </c>
      <c r="B211" s="41">
        <f t="shared" ca="1" si="447"/>
        <v>0.13142355405342457</v>
      </c>
      <c r="C211" s="41">
        <f t="shared" ca="1" si="447"/>
        <v>2.1903925675570762E-3</v>
      </c>
      <c r="D211" s="41">
        <f t="shared" ca="1" si="448"/>
        <v>10708.917435131483</v>
      </c>
      <c r="E211" s="41">
        <f t="shared" ca="1" si="449"/>
        <v>0.17733079327695545</v>
      </c>
      <c r="F211" s="41">
        <f t="shared" ca="1" si="450"/>
        <v>0.17733079327695545</v>
      </c>
      <c r="G211" s="41"/>
      <c r="H211" s="7">
        <f t="shared" si="451"/>
        <v>600</v>
      </c>
      <c r="I211" s="6">
        <v>15</v>
      </c>
      <c r="J211" s="41">
        <f t="shared" si="410"/>
        <v>0.15129060357974145</v>
      </c>
      <c r="K211" s="41">
        <f t="shared" si="411"/>
        <v>172.90886954823506</v>
      </c>
      <c r="L211" s="6">
        <f t="shared" si="453"/>
        <v>99</v>
      </c>
      <c r="M211" s="41">
        <f t="shared" si="412"/>
        <v>102.4457386654165</v>
      </c>
      <c r="N211" s="41">
        <f t="shared" si="413"/>
        <v>33.177731798083506</v>
      </c>
      <c r="O211" s="41">
        <f t="shared" si="414"/>
        <v>990388.64778089244</v>
      </c>
      <c r="P211" s="41">
        <f t="shared" si="415"/>
        <v>6358991.0491749719</v>
      </c>
      <c r="Q211" s="41">
        <f t="shared" si="416"/>
        <v>3.2259032818358112E-3</v>
      </c>
      <c r="R211" s="41">
        <f t="shared" si="417"/>
        <v>2.1410327668104846E-2</v>
      </c>
      <c r="S211" s="24">
        <f t="shared" ca="1" si="452"/>
        <v>29.428098612132054</v>
      </c>
      <c r="T211" s="10">
        <f t="shared" ca="1" si="418"/>
        <v>29.428098612132054</v>
      </c>
      <c r="U211" s="41">
        <f t="shared" ca="1" si="419"/>
        <v>1.2222940977983754</v>
      </c>
      <c r="V211" s="41">
        <f t="shared" ca="1" si="420"/>
        <v>0.11576665322492613</v>
      </c>
      <c r="W211" s="41">
        <f t="shared" ca="1" si="421"/>
        <v>10.558257181569786</v>
      </c>
      <c r="X211" s="20">
        <f t="shared" ca="1" si="422"/>
        <v>883.40124352741782</v>
      </c>
      <c r="Y211" s="41">
        <f t="shared" si="423"/>
        <v>0.58223976306145997</v>
      </c>
      <c r="Z211" s="41">
        <f t="shared" ca="1" si="424"/>
        <v>131.9153947513625</v>
      </c>
      <c r="AA211" s="14">
        <f t="shared" ca="1" si="425"/>
        <v>1014.2694244865228</v>
      </c>
      <c r="AB211" s="14">
        <f t="shared" si="426"/>
        <v>6145.0238140091051</v>
      </c>
      <c r="AC211" s="25">
        <f t="shared" ca="1" si="427"/>
        <v>175376.17960530362</v>
      </c>
      <c r="AD211" s="41">
        <f t="shared" si="428"/>
        <v>1062529.1210272983</v>
      </c>
      <c r="AE211" s="6">
        <v>100</v>
      </c>
      <c r="AF211" s="41">
        <f t="shared" si="429"/>
        <v>6145.0238140091051</v>
      </c>
      <c r="AG211" s="41"/>
      <c r="AH211" s="41"/>
      <c r="AI211" s="41">
        <f t="shared" si="430"/>
        <v>4907.1382027947557</v>
      </c>
      <c r="AJ211" s="13">
        <f t="shared" ca="1" si="431"/>
        <v>84.955479035336964</v>
      </c>
      <c r="AK211" s="11"/>
      <c r="AL211" s="6">
        <v>150</v>
      </c>
      <c r="AM211" s="41">
        <f t="shared" ca="1" si="432"/>
        <v>1.7656306774235004</v>
      </c>
      <c r="AN211" s="41">
        <f t="shared" ca="1" si="433"/>
        <v>2.4067204858920119</v>
      </c>
      <c r="AO211" s="41">
        <f t="shared" ca="1" si="434"/>
        <v>4.3761876476907199E-2</v>
      </c>
      <c r="AP211" s="67">
        <f t="shared" si="435"/>
        <v>0.79855479023656795</v>
      </c>
      <c r="AQ211" s="11">
        <f t="shared" si="436"/>
        <v>1.0479310107183759</v>
      </c>
      <c r="AR211" s="11">
        <f t="shared" si="437"/>
        <v>0.97850697675304221</v>
      </c>
      <c r="AS211" s="11">
        <f t="shared" si="438"/>
        <v>0.93375133166663116</v>
      </c>
      <c r="AT211" s="11">
        <f t="shared" si="439"/>
        <v>543.53037732929999</v>
      </c>
      <c r="AU211" s="11">
        <f t="shared" si="440"/>
        <v>2070.7360343443229</v>
      </c>
      <c r="AV211" s="11">
        <f t="shared" si="441"/>
        <v>2.2194335402384155E-3</v>
      </c>
      <c r="AW211" s="11">
        <f t="shared" si="442"/>
        <v>3.8748398958321087E-7</v>
      </c>
      <c r="AX211" s="41">
        <f t="shared" ca="1" si="443"/>
        <v>1.0373085585876922</v>
      </c>
      <c r="AY211" s="41">
        <f t="shared" ca="1" si="444"/>
        <v>1.3972752371969313</v>
      </c>
      <c r="AZ211" s="41">
        <f t="shared" si="445"/>
        <v>0.11265275819752674</v>
      </c>
    </row>
    <row r="212" spans="1:52" ht="14.5">
      <c r="A212" s="41">
        <f t="shared" ca="1" si="446"/>
        <v>9.6510439206289735</v>
      </c>
      <c r="B212" s="41">
        <f t="shared" ca="1" si="447"/>
        <v>0.16085073201048289</v>
      </c>
      <c r="C212" s="41">
        <f t="shared" ca="1" si="447"/>
        <v>2.6808455335080483E-3</v>
      </c>
      <c r="D212" s="41">
        <f t="shared" ca="1" si="448"/>
        <v>10706.510714645592</v>
      </c>
      <c r="E212" s="41">
        <f t="shared" ca="1" si="449"/>
        <v>0.22109266975386266</v>
      </c>
      <c r="F212" s="41">
        <f t="shared" ca="1" si="450"/>
        <v>0.22109266975386266</v>
      </c>
      <c r="G212" s="41"/>
      <c r="H212" s="7">
        <f t="shared" si="451"/>
        <v>750</v>
      </c>
      <c r="I212" s="6">
        <v>15</v>
      </c>
      <c r="J212" s="41">
        <f t="shared" si="410"/>
        <v>0.15706306715479662</v>
      </c>
      <c r="K212" s="41">
        <f t="shared" si="411"/>
        <v>179.41782322715147</v>
      </c>
      <c r="L212" s="6">
        <f t="shared" si="453"/>
        <v>102.5</v>
      </c>
      <c r="M212" s="41">
        <f t="shared" si="412"/>
        <v>106.30218957691561</v>
      </c>
      <c r="N212" s="41">
        <f t="shared" si="413"/>
        <v>35.563607106344286</v>
      </c>
      <c r="O212" s="41">
        <f t="shared" si="414"/>
        <v>1023869.9216526221</v>
      </c>
      <c r="P212" s="41">
        <f t="shared" si="415"/>
        <v>6573964.3541925056</v>
      </c>
      <c r="Q212" s="41">
        <f t="shared" si="416"/>
        <v>3.2077736102405921E-3</v>
      </c>
      <c r="R212" s="41">
        <f t="shared" si="417"/>
        <v>2.1306861083578738E-2</v>
      </c>
      <c r="S212" s="24">
        <f t="shared" ca="1" si="452"/>
        <v>29.464968780852814</v>
      </c>
      <c r="T212" s="10">
        <f t="shared" ca="1" si="418"/>
        <v>29.464968780852814</v>
      </c>
      <c r="U212" s="41">
        <f t="shared" ca="1" si="419"/>
        <v>1.1396230266358032</v>
      </c>
      <c r="V212" s="41">
        <f t="shared" ca="1" si="420"/>
        <v>0.1033310646955235</v>
      </c>
      <c r="W212" s="41">
        <f t="shared" ca="1" si="421"/>
        <v>11.028852068773601</v>
      </c>
      <c r="X212" s="20">
        <f t="shared" ca="1" si="422"/>
        <v>845.2098389437233</v>
      </c>
      <c r="Y212" s="41">
        <f t="shared" si="423"/>
        <v>0.58083120645002817</v>
      </c>
      <c r="Z212" s="41">
        <f t="shared" ca="1" si="424"/>
        <v>132.1711119922648</v>
      </c>
      <c r="AA212" s="14">
        <f t="shared" ca="1" si="425"/>
        <v>970.77290074089706</v>
      </c>
      <c r="AB212" s="14">
        <f t="shared" si="426"/>
        <v>6111.6495678736692</v>
      </c>
      <c r="AC212" s="25">
        <f t="shared" ca="1" si="427"/>
        <v>174173.96069883934</v>
      </c>
      <c r="AD212" s="41">
        <f t="shared" si="428"/>
        <v>1096538.8617950547</v>
      </c>
      <c r="AE212" s="6">
        <v>100</v>
      </c>
      <c r="AF212" s="41">
        <f t="shared" si="429"/>
        <v>6111.6495678736692</v>
      </c>
      <c r="AG212" s="41"/>
      <c r="AH212" s="41"/>
      <c r="AI212" s="41">
        <f t="shared" si="430"/>
        <v>4887.8071938740914</v>
      </c>
      <c r="AJ212" s="13">
        <f t="shared" ca="1" si="431"/>
        <v>88.25407058427237</v>
      </c>
      <c r="AK212" s="11"/>
      <c r="AL212" s="6">
        <v>150</v>
      </c>
      <c r="AM212" s="41">
        <f t="shared" ca="1" si="432"/>
        <v>1.6996383170424694</v>
      </c>
      <c r="AN212" s="41">
        <f t="shared" ca="1" si="433"/>
        <v>2.3076401091733985</v>
      </c>
      <c r="AO212" s="41">
        <f t="shared" ca="1" si="434"/>
        <v>4.3696144822437E-2</v>
      </c>
      <c r="AP212" s="67">
        <f t="shared" si="435"/>
        <v>0.79975252828094157</v>
      </c>
      <c r="AQ212" s="11">
        <f t="shared" si="436"/>
        <v>1.0468997082183757</v>
      </c>
      <c r="AR212" s="11">
        <f t="shared" si="437"/>
        <v>0.97319260634931037</v>
      </c>
      <c r="AS212" s="11">
        <f t="shared" si="438"/>
        <v>0.92959487781833383</v>
      </c>
      <c r="AT212" s="11">
        <f t="shared" si="439"/>
        <v>542.99547166162495</v>
      </c>
      <c r="AU212" s="11">
        <f t="shared" si="440"/>
        <v>2059.4896574085374</v>
      </c>
      <c r="AV212" s="11">
        <f t="shared" si="441"/>
        <v>2.2095540650863975E-3</v>
      </c>
      <c r="AW212" s="11">
        <f t="shared" si="442"/>
        <v>3.8719115805318761E-7</v>
      </c>
      <c r="AX212" s="41">
        <f t="shared" ca="1" si="443"/>
        <v>1.0151873830981495</v>
      </c>
      <c r="AY212" s="41">
        <f t="shared" ca="1" si="444"/>
        <v>1.3674775743189644</v>
      </c>
      <c r="AZ212" s="41">
        <f t="shared" si="445"/>
        <v>0.11698251028613768</v>
      </c>
    </row>
    <row r="213" spans="1:52" ht="14.5">
      <c r="A213" s="41">
        <f t="shared" ca="1" si="446"/>
        <v>11.350682237671442</v>
      </c>
      <c r="B213" s="41">
        <f t="shared" ca="1" si="447"/>
        <v>0.18917803729452404</v>
      </c>
      <c r="C213" s="41">
        <f t="shared" ca="1" si="447"/>
        <v>3.1529672882420674E-3</v>
      </c>
      <c r="D213" s="41">
        <f t="shared" ca="1" si="448"/>
        <v>10704.203074536419</v>
      </c>
      <c r="E213" s="41">
        <f t="shared" ca="1" si="449"/>
        <v>0.26478881457629966</v>
      </c>
      <c r="F213" s="41">
        <f t="shared" ca="1" si="450"/>
        <v>0.26478881457629966</v>
      </c>
      <c r="G213" s="41"/>
      <c r="H213" s="7">
        <f t="shared" si="451"/>
        <v>900</v>
      </c>
      <c r="I213" s="6">
        <v>15</v>
      </c>
      <c r="J213" s="41">
        <f t="shared" si="410"/>
        <v>0.16286570366370945</v>
      </c>
      <c r="K213" s="41">
        <f t="shared" si="411"/>
        <v>185.95468802213801</v>
      </c>
      <c r="L213" s="6">
        <f t="shared" si="453"/>
        <v>106</v>
      </c>
      <c r="M213" s="41">
        <f t="shared" si="412"/>
        <v>110.17517737810842</v>
      </c>
      <c r="N213" s="41">
        <f t="shared" si="413"/>
        <v>38.032016825893791</v>
      </c>
      <c r="O213" s="41">
        <f t="shared" si="414"/>
        <v>1057244.7255665495</v>
      </c>
      <c r="P213" s="41">
        <f t="shared" si="415"/>
        <v>6788254.0472661955</v>
      </c>
      <c r="Q213" s="41">
        <f t="shared" si="416"/>
        <v>3.190372575623338E-3</v>
      </c>
      <c r="R213" s="41">
        <f t="shared" si="417"/>
        <v>2.1207552852339589E-2</v>
      </c>
      <c r="S213" s="24">
        <f t="shared" ca="1" si="452"/>
        <v>29.468267650664224</v>
      </c>
      <c r="T213" s="10">
        <f t="shared" ca="1" si="418"/>
        <v>29.468267650664224</v>
      </c>
      <c r="U213" s="41">
        <f t="shared" ca="1" si="419"/>
        <v>1.065393195694522</v>
      </c>
      <c r="V213" s="41">
        <f t="shared" ca="1" si="420"/>
        <v>9.2894391457885153E-2</v>
      </c>
      <c r="W213" s="41">
        <f t="shared" ca="1" si="421"/>
        <v>11.468864578089534</v>
      </c>
      <c r="X213" s="20">
        <f t="shared" ca="1" si="422"/>
        <v>812.58104356021408</v>
      </c>
      <c r="Y213" s="41">
        <f t="shared" si="423"/>
        <v>0.57947603996826103</v>
      </c>
      <c r="Z213" s="41">
        <f t="shared" ca="1" si="424"/>
        <v>132.45014670140321</v>
      </c>
      <c r="AA213" s="14">
        <f t="shared" ca="1" si="425"/>
        <v>933.32718349347795</v>
      </c>
      <c r="AB213" s="14">
        <f t="shared" si="426"/>
        <v>6078.4222471077064</v>
      </c>
      <c r="AC213" s="25">
        <f t="shared" ca="1" si="427"/>
        <v>173556.56522911045</v>
      </c>
      <c r="AD213" s="41">
        <f t="shared" si="428"/>
        <v>1130311.1126277368</v>
      </c>
      <c r="AE213" s="6">
        <v>100</v>
      </c>
      <c r="AF213" s="41">
        <f t="shared" si="429"/>
        <v>6078.4222471077064</v>
      </c>
      <c r="AG213" s="41"/>
      <c r="AH213" s="41"/>
      <c r="AI213" s="41">
        <f t="shared" si="430"/>
        <v>4868.5655984722825</v>
      </c>
      <c r="AJ213" s="13">
        <f t="shared" ca="1" si="431"/>
        <v>91.478819241497007</v>
      </c>
      <c r="AK213" s="11"/>
      <c r="AL213" s="6">
        <v>150</v>
      </c>
      <c r="AM213" s="41">
        <f t="shared" ca="1" si="432"/>
        <v>1.6397238316337643</v>
      </c>
      <c r="AN213" s="41">
        <f t="shared" ca="1" si="433"/>
        <v>2.217528621579806</v>
      </c>
      <c r="AO213" s="41">
        <f t="shared" ca="1" si="434"/>
        <v>4.3690270938676286E-2</v>
      </c>
      <c r="AP213" s="67">
        <f t="shared" si="435"/>
        <v>0.80095876866548554</v>
      </c>
      <c r="AQ213" s="11">
        <f t="shared" si="436"/>
        <v>1.0458684057183758</v>
      </c>
      <c r="AR213" s="11">
        <f t="shared" si="437"/>
        <v>0.96790163170504873</v>
      </c>
      <c r="AS213" s="11">
        <f t="shared" si="438"/>
        <v>0.92545259653409839</v>
      </c>
      <c r="AT213" s="11">
        <f t="shared" si="439"/>
        <v>542.4605659939499</v>
      </c>
      <c r="AU213" s="11">
        <f t="shared" si="440"/>
        <v>2048.2927910468579</v>
      </c>
      <c r="AV213" s="11">
        <f t="shared" si="441"/>
        <v>2.1997082767018982E-3</v>
      </c>
      <c r="AW213" s="11">
        <f t="shared" si="442"/>
        <v>3.8689818586195294E-7</v>
      </c>
      <c r="AX213" s="41">
        <f t="shared" ca="1" si="443"/>
        <v>1.0034444576325134</v>
      </c>
      <c r="AY213" s="41">
        <f t="shared" ca="1" si="444"/>
        <v>1.3516596204135978</v>
      </c>
      <c r="AZ213" s="41">
        <f t="shared" si="445"/>
        <v>0.12131857282710061</v>
      </c>
    </row>
    <row r="214" spans="1:52" ht="14.5">
      <c r="A214" s="41">
        <f t="shared" ca="1" si="446"/>
        <v>12.990406069305207</v>
      </c>
      <c r="B214" s="41">
        <f t="shared" ca="1" si="447"/>
        <v>0.21650676782175346</v>
      </c>
      <c r="C214" s="41">
        <f t="shared" ca="1" si="447"/>
        <v>3.6084461303625575E-3</v>
      </c>
      <c r="D214" s="41">
        <f t="shared" ca="1" si="448"/>
        <v>10701.985545914838</v>
      </c>
      <c r="E214" s="41">
        <f t="shared" ca="1" si="449"/>
        <v>0.30847908551497594</v>
      </c>
      <c r="F214" s="41">
        <f t="shared" ca="1" si="450"/>
        <v>0.30847908551497594</v>
      </c>
      <c r="G214" s="41"/>
      <c r="H214" s="7">
        <f t="shared" si="451"/>
        <v>1050</v>
      </c>
      <c r="I214" s="6">
        <v>15</v>
      </c>
      <c r="J214" s="41">
        <f t="shared" si="410"/>
        <v>0.16869861692705138</v>
      </c>
      <c r="K214" s="41">
        <f t="shared" si="411"/>
        <v>192.51952657666146</v>
      </c>
      <c r="L214" s="6">
        <f t="shared" si="453"/>
        <v>109.5</v>
      </c>
      <c r="M214" s="41">
        <f t="shared" si="412"/>
        <v>114.06473918424669</v>
      </c>
      <c r="N214" s="41">
        <f t="shared" si="413"/>
        <v>40.582900535984422</v>
      </c>
      <c r="O214" s="41">
        <f t="shared" si="414"/>
        <v>1090512.7458271373</v>
      </c>
      <c r="P214" s="41">
        <f t="shared" si="415"/>
        <v>7001858.1142502623</v>
      </c>
      <c r="Q214" s="41">
        <f t="shared" si="416"/>
        <v>3.1736459152849044E-3</v>
      </c>
      <c r="R214" s="41">
        <f t="shared" si="417"/>
        <v>2.1112093295521009E-2</v>
      </c>
      <c r="S214" s="24">
        <f t="shared" ca="1" si="452"/>
        <v>29.442563541945514</v>
      </c>
      <c r="T214" s="10">
        <f t="shared" ca="1" si="418"/>
        <v>29.442563541945514</v>
      </c>
      <c r="U214" s="41">
        <f t="shared" ca="1" si="419"/>
        <v>0.99847281176230385</v>
      </c>
      <c r="V214" s="41">
        <f t="shared" ca="1" si="420"/>
        <v>8.4076059634993094E-2</v>
      </c>
      <c r="W214" s="41">
        <f t="shared" ca="1" si="421"/>
        <v>11.875827864639032</v>
      </c>
      <c r="X214" s="20">
        <f t="shared" ca="1" si="422"/>
        <v>784.77158409361641</v>
      </c>
      <c r="Y214" s="41">
        <f t="shared" si="423"/>
        <v>0.5781703986572817</v>
      </c>
      <c r="Z214" s="41">
        <f t="shared" ca="1" si="424"/>
        <v>132.74961171603968</v>
      </c>
      <c r="AA214" s="14">
        <f t="shared" ca="1" si="425"/>
        <v>901.1570113592353</v>
      </c>
      <c r="AB214" s="14">
        <f t="shared" si="426"/>
        <v>6045.3413563548711</v>
      </c>
      <c r="AC214" s="25">
        <f t="shared" ca="1" si="427"/>
        <v>173490.32119811911</v>
      </c>
      <c r="AD214" s="41">
        <f t="shared" si="428"/>
        <v>1163846.2559197522</v>
      </c>
      <c r="AE214" s="6">
        <v>100</v>
      </c>
      <c r="AF214" s="41">
        <f t="shared" si="429"/>
        <v>6045.3413563548711</v>
      </c>
      <c r="AG214" s="41"/>
      <c r="AH214" s="41"/>
      <c r="AI214" s="41">
        <f t="shared" si="430"/>
        <v>4849.4154551799757</v>
      </c>
      <c r="AJ214" s="13">
        <f t="shared" ca="1" si="431"/>
        <v>94.633131182449063</v>
      </c>
      <c r="AK214" s="11"/>
      <c r="AL214" s="6">
        <v>150</v>
      </c>
      <c r="AM214" s="41">
        <f t="shared" ca="1" si="432"/>
        <v>1.5850685497323949</v>
      </c>
      <c r="AN214" s="41">
        <f t="shared" ca="1" si="433"/>
        <v>2.1351822007199961</v>
      </c>
      <c r="AO214" s="41">
        <f t="shared" ca="1" si="434"/>
        <v>4.3736070724148216E-2</v>
      </c>
      <c r="AP214" s="67">
        <f t="shared" si="435"/>
        <v>0.80217396658375018</v>
      </c>
      <c r="AQ214" s="11">
        <f t="shared" si="436"/>
        <v>1.0448371032183759</v>
      </c>
      <c r="AR214" s="11">
        <f t="shared" si="437"/>
        <v>0.96263397394185846</v>
      </c>
      <c r="AS214" s="11">
        <f t="shared" si="438"/>
        <v>0.9213244542873622</v>
      </c>
      <c r="AT214" s="11">
        <f t="shared" si="439"/>
        <v>541.92566032627496</v>
      </c>
      <c r="AU214" s="11">
        <f t="shared" si="440"/>
        <v>2037.1452683352395</v>
      </c>
      <c r="AV214" s="11">
        <f t="shared" si="441"/>
        <v>2.1898960953956313E-3</v>
      </c>
      <c r="AW214" s="11">
        <f t="shared" si="442"/>
        <v>3.8660507284384917E-7</v>
      </c>
      <c r="AX214" s="41">
        <f t="shared" ca="1" si="443"/>
        <v>1.0000019452388857</v>
      </c>
      <c r="AY214" s="41">
        <f t="shared" ca="1" si="444"/>
        <v>1.3470224878250951</v>
      </c>
      <c r="AZ214" s="41">
        <f t="shared" si="445"/>
        <v>0.12566076769001405</v>
      </c>
    </row>
    <row r="215" spans="1:52" ht="14.5">
      <c r="A215" s="41">
        <f t="shared" ca="1" si="446"/>
        <v>14.575474619037601</v>
      </c>
      <c r="B215" s="41">
        <f t="shared" ca="1" si="447"/>
        <v>0.24292457698396003</v>
      </c>
      <c r="C215" s="41">
        <f t="shared" ca="1" si="447"/>
        <v>4.0487429497326668E-3</v>
      </c>
      <c r="D215" s="41">
        <f t="shared" ca="1" si="448"/>
        <v>10699.850363714118</v>
      </c>
      <c r="E215" s="41">
        <f t="shared" ca="1" si="449"/>
        <v>0.35221515623912414</v>
      </c>
      <c r="F215" s="41">
        <f t="shared" ca="1" si="450"/>
        <v>0.35221515623912414</v>
      </c>
      <c r="G215" s="41"/>
      <c r="H215" s="7">
        <f t="shared" si="451"/>
        <v>1200</v>
      </c>
      <c r="I215" s="6">
        <v>15</v>
      </c>
      <c r="J215" s="41">
        <f t="shared" si="410"/>
        <v>0.17456190804661811</v>
      </c>
      <c r="K215" s="41">
        <f t="shared" si="411"/>
        <v>199.11239813912914</v>
      </c>
      <c r="L215" s="6">
        <f t="shared" si="453"/>
        <v>113</v>
      </c>
      <c r="M215" s="41">
        <f t="shared" si="412"/>
        <v>117.97091009906379</v>
      </c>
      <c r="N215" s="41">
        <f t="shared" si="413"/>
        <v>43.216192360716391</v>
      </c>
      <c r="O215" s="41">
        <f t="shared" si="414"/>
        <v>1123673.6513265397</v>
      </c>
      <c r="P215" s="41">
        <f t="shared" si="415"/>
        <v>7214774.4291996732</v>
      </c>
      <c r="Q215" s="41">
        <f t="shared" si="416"/>
        <v>3.1575448776116409E-3</v>
      </c>
      <c r="R215" s="41">
        <f t="shared" si="417"/>
        <v>2.1020204186188319E-2</v>
      </c>
      <c r="S215" s="24">
        <f t="shared" ca="1" si="452"/>
        <v>29.391658894647637</v>
      </c>
      <c r="T215" s="10">
        <f t="shared" ca="1" si="418"/>
        <v>29.391658894647637</v>
      </c>
      <c r="U215" s="41">
        <f t="shared" ca="1" si="419"/>
        <v>0.93791555568815155</v>
      </c>
      <c r="V215" s="41">
        <f t="shared" ca="1" si="420"/>
        <v>7.6578263690885592E-2</v>
      </c>
      <c r="W215" s="41">
        <f t="shared" ca="1" si="421"/>
        <v>12.247803886937476</v>
      </c>
      <c r="X215" s="20">
        <f t="shared" ca="1" si="422"/>
        <v>761.16682409244436</v>
      </c>
      <c r="Y215" s="41">
        <f t="shared" si="423"/>
        <v>0.57691080073384371</v>
      </c>
      <c r="Z215" s="41">
        <f t="shared" ca="1" si="424"/>
        <v>133.06704882651448</v>
      </c>
      <c r="AA215" s="14">
        <f t="shared" ca="1" si="425"/>
        <v>873.61378925455529</v>
      </c>
      <c r="AB215" s="14">
        <f t="shared" si="426"/>
        <v>6012.4064014172109</v>
      </c>
      <c r="AC215" s="25">
        <f t="shared" ca="1" si="427"/>
        <v>173947.33662588627</v>
      </c>
      <c r="AD215" s="41">
        <f t="shared" si="428"/>
        <v>1197144.6571732324</v>
      </c>
      <c r="AE215" s="6">
        <v>100</v>
      </c>
      <c r="AF215" s="41">
        <f t="shared" si="429"/>
        <v>6012.4064014172109</v>
      </c>
      <c r="AG215" s="41"/>
      <c r="AH215" s="41"/>
      <c r="AI215" s="41">
        <f t="shared" si="430"/>
        <v>4830.3583237343901</v>
      </c>
      <c r="AJ215" s="13">
        <f t="shared" ca="1" si="431"/>
        <v>97.719768959581828</v>
      </c>
      <c r="AK215" s="11"/>
      <c r="AL215" s="6">
        <v>150</v>
      </c>
      <c r="AM215" s="41">
        <f t="shared" ca="1" si="432"/>
        <v>1.5350015825563603</v>
      </c>
      <c r="AN215" s="41">
        <f t="shared" ca="1" si="433"/>
        <v>2.0596132420129378</v>
      </c>
      <c r="AO215" s="41">
        <f t="shared" ca="1" si="434"/>
        <v>4.3826988242888928E-2</v>
      </c>
      <c r="AP215" s="67">
        <f t="shared" si="435"/>
        <v>0.80339850656066847</v>
      </c>
      <c r="AQ215" s="11">
        <f t="shared" si="436"/>
        <v>1.0438058007183759</v>
      </c>
      <c r="AR215" s="11">
        <f t="shared" si="437"/>
        <v>0.95738955436579787</v>
      </c>
      <c r="AS215" s="11">
        <f t="shared" si="438"/>
        <v>0.91721041759577882</v>
      </c>
      <c r="AT215" s="11">
        <f t="shared" si="439"/>
        <v>541.39075465860003</v>
      </c>
      <c r="AU215" s="11">
        <f t="shared" si="440"/>
        <v>2026.0469227399885</v>
      </c>
      <c r="AV215" s="11">
        <f t="shared" si="441"/>
        <v>2.1801174415834066E-3</v>
      </c>
      <c r="AW215" s="11">
        <f t="shared" si="442"/>
        <v>3.8631181883294748E-7</v>
      </c>
      <c r="AX215" s="41">
        <f t="shared" ca="1" si="443"/>
        <v>1.0033323602456632</v>
      </c>
      <c r="AY215" s="41">
        <f t="shared" ca="1" si="444"/>
        <v>1.3515086230064099</v>
      </c>
      <c r="AZ215" s="41">
        <f t="shared" si="445"/>
        <v>0.1300089122214271</v>
      </c>
    </row>
    <row r="216" spans="1:52" ht="14.5">
      <c r="A216" s="41">
        <f t="shared" ca="1" si="446"/>
        <v>16.110476201593961</v>
      </c>
      <c r="B216" s="41">
        <f t="shared" ca="1" si="447"/>
        <v>0.2685079366932327</v>
      </c>
      <c r="C216" s="41">
        <f t="shared" ca="1" si="447"/>
        <v>4.4751322782205453E-3</v>
      </c>
      <c r="D216" s="41">
        <f t="shared" ca="1" si="448"/>
        <v>10697.790750472106</v>
      </c>
      <c r="E216" s="41">
        <f t="shared" ca="1" si="449"/>
        <v>0.39604214448201308</v>
      </c>
      <c r="F216" s="41">
        <f t="shared" ca="1" si="450"/>
        <v>0.39604214448201308</v>
      </c>
      <c r="G216" s="41"/>
      <c r="H216" s="7">
        <f t="shared" si="451"/>
        <v>1350</v>
      </c>
      <c r="I216" s="6">
        <v>15</v>
      </c>
      <c r="J216" s="41">
        <f t="shared" si="410"/>
        <v>0.18045567534095744</v>
      </c>
      <c r="K216" s="41">
        <f t="shared" si="411"/>
        <v>205.7333584966043</v>
      </c>
      <c r="L216" s="6">
        <f t="shared" si="453"/>
        <v>116.5</v>
      </c>
      <c r="M216" s="41">
        <f t="shared" si="412"/>
        <v>121.8937231755021</v>
      </c>
      <c r="N216" s="41">
        <f t="shared" si="413"/>
        <v>45.931820722066064</v>
      </c>
      <c r="O216" s="41">
        <f t="shared" si="414"/>
        <v>1156727.0935384731</v>
      </c>
      <c r="P216" s="41">
        <f t="shared" si="415"/>
        <v>7427000.7543307813</v>
      </c>
      <c r="Q216" s="41">
        <f t="shared" si="416"/>
        <v>3.1420255096708013E-3</v>
      </c>
      <c r="R216" s="41">
        <f t="shared" si="417"/>
        <v>2.0931634683624023E-2</v>
      </c>
      <c r="S216" s="24">
        <f t="shared" ca="1" si="452"/>
        <v>29.318740273531539</v>
      </c>
      <c r="T216" s="10">
        <f t="shared" ca="1" si="418"/>
        <v>29.318740273531539</v>
      </c>
      <c r="U216" s="41">
        <f t="shared" ca="1" si="419"/>
        <v>0.88292505566523605</v>
      </c>
      <c r="V216" s="41">
        <f t="shared" ca="1" si="420"/>
        <v>7.0165878688297961E-2</v>
      </c>
      <c r="W216" s="41">
        <f t="shared" ca="1" si="421"/>
        <v>12.583396262840322</v>
      </c>
      <c r="X216" s="20">
        <f t="shared" ca="1" si="422"/>
        <v>741.25470896494176</v>
      </c>
      <c r="Y216" s="41">
        <f t="shared" si="423"/>
        <v>0.57569409892622725</v>
      </c>
      <c r="Z216" s="41">
        <f t="shared" ca="1" si="424"/>
        <v>133.40035617301095</v>
      </c>
      <c r="AA216" s="14">
        <f t="shared" ca="1" si="425"/>
        <v>850.15130470487168</v>
      </c>
      <c r="AB216" s="14">
        <f t="shared" si="426"/>
        <v>5979.6168892536216</v>
      </c>
      <c r="AC216" s="25">
        <f t="shared" ca="1" si="427"/>
        <v>174904.48314720325</v>
      </c>
      <c r="AD216" s="41">
        <f t="shared" si="428"/>
        <v>1230206.6651491651</v>
      </c>
      <c r="AE216" s="6">
        <v>100</v>
      </c>
      <c r="AF216" s="41">
        <f t="shared" si="429"/>
        <v>5979.6168892536216</v>
      </c>
      <c r="AG216" s="41"/>
      <c r="AH216" s="41"/>
      <c r="AI216" s="41">
        <f t="shared" si="430"/>
        <v>4811.3953133308523</v>
      </c>
      <c r="AJ216" s="13">
        <f t="shared" ca="1" si="431"/>
        <v>100.74097255312496</v>
      </c>
      <c r="AK216" s="11"/>
      <c r="AL216" s="6">
        <v>150</v>
      </c>
      <c r="AM216" s="41">
        <f t="shared" ca="1" si="432"/>
        <v>1.4889671620045029</v>
      </c>
      <c r="AN216" s="41">
        <f t="shared" ca="1" si="433"/>
        <v>1.9900026736033347</v>
      </c>
      <c r="AO216" s="41">
        <f t="shared" ca="1" si="434"/>
        <v>4.3957724344637308E-2</v>
      </c>
      <c r="AP216" s="67">
        <f t="shared" si="435"/>
        <v>0.80463270514499674</v>
      </c>
      <c r="AQ216" s="11">
        <f t="shared" si="436"/>
        <v>1.0427744982183758</v>
      </c>
      <c r="AR216" s="11">
        <f t="shared" si="437"/>
        <v>0.95216829446713724</v>
      </c>
      <c r="AS216" s="11">
        <f t="shared" si="438"/>
        <v>0.91311045302120153</v>
      </c>
      <c r="AT216" s="11">
        <f t="shared" si="439"/>
        <v>540.85584899092487</v>
      </c>
      <c r="AU216" s="11">
        <f t="shared" si="440"/>
        <v>2014.997588117245</v>
      </c>
      <c r="AV216" s="11">
        <f t="shared" si="441"/>
        <v>2.170372235786094E-3</v>
      </c>
      <c r="AW216" s="11">
        <f t="shared" si="442"/>
        <v>3.8601842366304506E-7</v>
      </c>
      <c r="AX216" s="41">
        <f t="shared" ca="1" si="443"/>
        <v>1.0122924160293565</v>
      </c>
      <c r="AY216" s="41">
        <f t="shared" ca="1" si="444"/>
        <v>1.3635779961613981</v>
      </c>
      <c r="AZ216" s="41">
        <f t="shared" si="445"/>
        <v>0.13436281922093896</v>
      </c>
    </row>
    <row r="217" spans="1:52" ht="14.5">
      <c r="A217" s="41">
        <f t="shared" ca="1" si="446"/>
        <v>17.599443363598464</v>
      </c>
      <c r="B217" s="41">
        <f t="shared" ca="1" si="447"/>
        <v>0.29332405605997441</v>
      </c>
      <c r="C217" s="41">
        <f t="shared" ca="1" si="447"/>
        <v>4.8887342676662403E-3</v>
      </c>
      <c r="D217" s="41">
        <f t="shared" ca="1" si="448"/>
        <v>10695.800747798503</v>
      </c>
      <c r="E217" s="41">
        <f t="shared" ca="1" si="449"/>
        <v>0.43999986882665038</v>
      </c>
      <c r="F217" s="41">
        <f t="shared" ca="1" si="450"/>
        <v>0.43999986882665038</v>
      </c>
      <c r="G217" s="41"/>
      <c r="H217" s="7">
        <f t="shared" si="451"/>
        <v>1500</v>
      </c>
      <c r="I217" s="6">
        <v>15</v>
      </c>
      <c r="J217" s="41">
        <f t="shared" si="410"/>
        <v>0.18638001428108988</v>
      </c>
      <c r="K217" s="41">
        <f t="shared" si="411"/>
        <v>212.38245990896937</v>
      </c>
      <c r="L217" s="6">
        <f t="shared" si="453"/>
        <v>120</v>
      </c>
      <c r="M217" s="41">
        <f t="shared" si="412"/>
        <v>125.83320937670581</v>
      </c>
      <c r="N217" s="41">
        <f t="shared" si="413"/>
        <v>48.729708091560227</v>
      </c>
      <c r="O217" s="41">
        <f t="shared" si="414"/>
        <v>1189672.7065199257</v>
      </c>
      <c r="P217" s="41">
        <f t="shared" si="415"/>
        <v>7638534.7400323106</v>
      </c>
      <c r="Q217" s="41">
        <f t="shared" si="416"/>
        <v>3.127048055276025E-3</v>
      </c>
      <c r="R217" s="41">
        <f t="shared" si="417"/>
        <v>2.0846157898069241E-2</v>
      </c>
      <c r="S217" s="24">
        <f t="shared" ca="1" si="452"/>
        <v>29.226495165067586</v>
      </c>
      <c r="T217" s="10">
        <f t="shared" ca="1" si="418"/>
        <v>29.226495165067586</v>
      </c>
      <c r="U217" s="41">
        <f t="shared" ca="1" si="419"/>
        <v>0.83282707306335257</v>
      </c>
      <c r="V217" s="41">
        <f t="shared" ca="1" si="420"/>
        <v>6.46517202472493E-2</v>
      </c>
      <c r="W217" s="41">
        <f t="shared" ca="1" si="421"/>
        <v>12.881746531698612</v>
      </c>
      <c r="X217" s="20">
        <f t="shared" ca="1" si="422"/>
        <v>724.60567471110471</v>
      </c>
      <c r="Y217" s="41">
        <f t="shared" si="423"/>
        <v>0.57451743924885501</v>
      </c>
      <c r="Z217" s="41">
        <f t="shared" ca="1" si="424"/>
        <v>133.74772900936574</v>
      </c>
      <c r="AA217" s="14">
        <f t="shared" ca="1" si="425"/>
        <v>830.30672288722121</v>
      </c>
      <c r="AB217" s="14">
        <f t="shared" si="426"/>
        <v>5946.972327978373</v>
      </c>
      <c r="AC217" s="25">
        <f t="shared" ca="1" si="427"/>
        <v>176342.58428574301</v>
      </c>
      <c r="AD217" s="41">
        <f t="shared" si="428"/>
        <v>1263032.6120266169</v>
      </c>
      <c r="AE217" s="6">
        <v>100</v>
      </c>
      <c r="AF217" s="41">
        <f t="shared" si="429"/>
        <v>5946.972327978373</v>
      </c>
      <c r="AG217" s="41"/>
      <c r="AH217" s="41"/>
      <c r="AI217" s="41">
        <f t="shared" si="430"/>
        <v>4792.5271104697094</v>
      </c>
      <c r="AJ217" s="13">
        <f t="shared" ca="1" si="431"/>
        <v>103.69855446267231</v>
      </c>
      <c r="AK217" s="11"/>
      <c r="AL217" s="6">
        <v>150</v>
      </c>
      <c r="AM217" s="41">
        <f t="shared" ca="1" si="432"/>
        <v>1.4465003950850108</v>
      </c>
      <c r="AN217" s="41">
        <f t="shared" ca="1" si="433"/>
        <v>1.9256645440972391</v>
      </c>
      <c r="AO217" s="41">
        <f t="shared" ca="1" si="434"/>
        <v>4.4123962393014964E-2</v>
      </c>
      <c r="AP217" s="67">
        <f t="shared" si="435"/>
        <v>0.80587681363886421</v>
      </c>
      <c r="AQ217" s="11">
        <f t="shared" si="436"/>
        <v>1.0417431957183758</v>
      </c>
      <c r="AR217" s="11">
        <f t="shared" si="437"/>
        <v>0.94697011592012315</v>
      </c>
      <c r="AS217" s="11">
        <f t="shared" si="438"/>
        <v>0.9090245271696753</v>
      </c>
      <c r="AT217" s="11">
        <f t="shared" si="439"/>
        <v>540.32094332324994</v>
      </c>
      <c r="AU217" s="11">
        <f t="shared" si="440"/>
        <v>2003.9970987124827</v>
      </c>
      <c r="AV217" s="11">
        <f t="shared" si="441"/>
        <v>2.1606603986296011E-3</v>
      </c>
      <c r="AW217" s="11">
        <f t="shared" si="442"/>
        <v>3.8572488716766502E-7</v>
      </c>
      <c r="AX217" s="41">
        <f t="shared" ca="1" si="443"/>
        <v>1.026012109169111</v>
      </c>
      <c r="AY217" s="41">
        <f t="shared" ca="1" si="444"/>
        <v>1.3820586953973324</v>
      </c>
      <c r="AZ217" s="41">
        <f t="shared" si="445"/>
        <v>0.13872229691910826</v>
      </c>
    </row>
    <row r="218" spans="1:52" ht="14.5">
      <c r="A218" s="41">
        <f t="shared" ca="1" si="446"/>
        <v>19.045943758683475</v>
      </c>
      <c r="B218" s="41">
        <f t="shared" ca="1" si="447"/>
        <v>0.31743239597805789</v>
      </c>
      <c r="C218" s="41">
        <f t="shared" ca="1" si="447"/>
        <v>5.2905399329676315E-3</v>
      </c>
      <c r="D218" s="41">
        <f t="shared" ca="1" si="448"/>
        <v>10693.875083254406</v>
      </c>
      <c r="E218" s="41">
        <f t="shared" ca="1" si="449"/>
        <v>0.48412383121966535</v>
      </c>
      <c r="F218" s="41">
        <f t="shared" ca="1" si="450"/>
        <v>0.48412383121966535</v>
      </c>
      <c r="G218" s="41"/>
      <c r="H218" s="7">
        <f t="shared" si="451"/>
        <v>1650</v>
      </c>
      <c r="I218" s="6">
        <v>15</v>
      </c>
      <c r="J218" s="41">
        <f t="shared" si="410"/>
        <v>0.19233501742643172</v>
      </c>
      <c r="K218" s="41">
        <f t="shared" si="411"/>
        <v>219.05975104354766</v>
      </c>
      <c r="L218" s="6">
        <f t="shared" si="453"/>
        <v>123.5</v>
      </c>
      <c r="M218" s="41">
        <f t="shared" si="412"/>
        <v>129.78939753728528</v>
      </c>
      <c r="N218" s="41">
        <f t="shared" si="413"/>
        <v>51.609770740731186</v>
      </c>
      <c r="O218" s="41">
        <f t="shared" si="414"/>
        <v>1222510.1069206307</v>
      </c>
      <c r="P218" s="41">
        <f t="shared" si="415"/>
        <v>7849373.924926172</v>
      </c>
      <c r="Q218" s="41">
        <f t="shared" si="416"/>
        <v>3.1125764437117194E-3</v>
      </c>
      <c r="R218" s="41">
        <f t="shared" si="417"/>
        <v>2.076356797285835E-2</v>
      </c>
      <c r="S218" s="24">
        <f t="shared" ca="1" si="452"/>
        <v>29.117203682711498</v>
      </c>
      <c r="T218" s="10">
        <f t="shared" ca="1" si="418"/>
        <v>29.117203682711498</v>
      </c>
      <c r="U218" s="41">
        <f t="shared" ca="1" si="419"/>
        <v>0.78704754589427162</v>
      </c>
      <c r="V218" s="41">
        <f t="shared" ca="1" si="420"/>
        <v>5.9885611236334735E-2</v>
      </c>
      <c r="W218" s="41">
        <f t="shared" ca="1" si="421"/>
        <v>13.142515032337881</v>
      </c>
      <c r="X218" s="20">
        <f t="shared" ca="1" si="422"/>
        <v>710.85701331243195</v>
      </c>
      <c r="Y218" s="41">
        <f t="shared" si="423"/>
        <v>0.57337822589757825</v>
      </c>
      <c r="Z218" s="41">
        <f t="shared" ca="1" si="424"/>
        <v>134.10761127876256</v>
      </c>
      <c r="AA218" s="14">
        <f t="shared" ca="1" si="425"/>
        <v>813.68558886495759</v>
      </c>
      <c r="AB218" s="14">
        <f t="shared" si="426"/>
        <v>5914.4722268595669</v>
      </c>
      <c r="AC218" s="25">
        <f t="shared" ca="1" si="427"/>
        <v>178245.76252448009</v>
      </c>
      <c r="AD218" s="41">
        <f t="shared" si="428"/>
        <v>1295622.8135698338</v>
      </c>
      <c r="AE218" s="6">
        <v>100</v>
      </c>
      <c r="AF218" s="41">
        <f t="shared" si="429"/>
        <v>5914.4722268595669</v>
      </c>
      <c r="AG218" s="41"/>
      <c r="AH218" s="41"/>
      <c r="AI218" s="41">
        <f t="shared" si="430"/>
        <v>4773.7540063142378</v>
      </c>
      <c r="AJ218" s="13">
        <f t="shared" ca="1" si="431"/>
        <v>106.5939749933148</v>
      </c>
      <c r="AK218" s="11"/>
      <c r="AL218" s="6">
        <v>150</v>
      </c>
      <c r="AM218" s="41">
        <f t="shared" ca="1" si="432"/>
        <v>1.4072089910279402</v>
      </c>
      <c r="AN218" s="41">
        <f t="shared" ca="1" si="433"/>
        <v>1.866019321844735</v>
      </c>
      <c r="AO218" s="41">
        <f t="shared" ca="1" si="434"/>
        <v>4.4322162863905459E-2</v>
      </c>
      <c r="AP218" s="67">
        <f t="shared" si="435"/>
        <v>0.80713102086016197</v>
      </c>
      <c r="AQ218" s="11">
        <f t="shared" si="436"/>
        <v>1.0407118932183759</v>
      </c>
      <c r="AR218" s="11">
        <f t="shared" si="437"/>
        <v>0.94179494058273361</v>
      </c>
      <c r="AS218" s="11">
        <f t="shared" si="438"/>
        <v>0.90495260669142152</v>
      </c>
      <c r="AT218" s="11">
        <f t="shared" si="439"/>
        <v>539.786037655575</v>
      </c>
      <c r="AU218" s="11">
        <f t="shared" si="440"/>
        <v>1993.0452891599923</v>
      </c>
      <c r="AV218" s="11">
        <f t="shared" si="441"/>
        <v>2.1509818508448396E-3</v>
      </c>
      <c r="AW218" s="11">
        <f t="shared" si="442"/>
        <v>3.8543120918005736E-7</v>
      </c>
      <c r="AX218" s="41">
        <f t="shared" ca="1" si="443"/>
        <v>1.0438192108743811</v>
      </c>
      <c r="AY218" s="41">
        <f t="shared" ca="1" si="444"/>
        <v>1.4060452151778089</v>
      </c>
      <c r="AZ218" s="41">
        <f t="shared" si="445"/>
        <v>0.14308714895719871</v>
      </c>
    </row>
    <row r="219" spans="1:52" ht="14.5">
      <c r="A219" s="41">
        <f t="shared" ca="1" si="446"/>
        <v>20.453152749711414</v>
      </c>
      <c r="B219" s="41">
        <f t="shared" ca="1" si="447"/>
        <v>0.34088587916185692</v>
      </c>
      <c r="C219" s="41">
        <f t="shared" ca="1" si="447"/>
        <v>5.6814313193642822E-3</v>
      </c>
      <c r="D219" s="41">
        <f t="shared" ca="1" si="448"/>
        <v>10692.009063932563</v>
      </c>
      <c r="E219" s="41">
        <f t="shared" ca="1" si="449"/>
        <v>0.52844599408357085</v>
      </c>
      <c r="F219" s="41">
        <f t="shared" ca="1" si="450"/>
        <v>0.52844599408357085</v>
      </c>
      <c r="G219" s="41"/>
      <c r="H219" s="7">
        <f t="shared" si="451"/>
        <v>1800</v>
      </c>
      <c r="I219" s="6">
        <v>15</v>
      </c>
      <c r="J219" s="41">
        <f t="shared" si="410"/>
        <v>0.19832077436106657</v>
      </c>
      <c r="K219" s="41">
        <f t="shared" si="411"/>
        <v>225.76527691034926</v>
      </c>
      <c r="L219" s="6">
        <f t="shared" si="453"/>
        <v>127</v>
      </c>
      <c r="M219" s="41">
        <f t="shared" si="412"/>
        <v>133.76231432495138</v>
      </c>
      <c r="N219" s="41">
        <f t="shared" si="413"/>
        <v>54.571918490564997</v>
      </c>
      <c r="O219" s="41">
        <f t="shared" si="414"/>
        <v>1255238.8940011119</v>
      </c>
      <c r="P219" s="41">
        <f t="shared" si="415"/>
        <v>8059515.7359833363</v>
      </c>
      <c r="Q219" s="41">
        <f t="shared" si="416"/>
        <v>3.0985778533120082E-3</v>
      </c>
      <c r="R219" s="41">
        <f t="shared" si="417"/>
        <v>2.0683677593750761E-2</v>
      </c>
      <c r="S219" s="24">
        <f t="shared" ca="1" si="452"/>
        <v>28.992811146827858</v>
      </c>
      <c r="T219" s="10">
        <f t="shared" ca="1" si="418"/>
        <v>28.992811146827858</v>
      </c>
      <c r="U219" s="41">
        <f t="shared" ca="1" si="419"/>
        <v>0.74509512057221428</v>
      </c>
      <c r="V219" s="41">
        <f t="shared" ca="1" si="420"/>
        <v>5.5746189778034416E-2</v>
      </c>
      <c r="W219" s="41">
        <f t="shared" ca="1" si="421"/>
        <v>13.365848384238863</v>
      </c>
      <c r="X219" s="20">
        <f t="shared" ca="1" si="422"/>
        <v>699.70060068708619</v>
      </c>
      <c r="Y219" s="41">
        <f t="shared" si="423"/>
        <v>0.5722740912114106</v>
      </c>
      <c r="Z219" s="41">
        <f t="shared" ca="1" si="424"/>
        <v>134.47865591715663</v>
      </c>
      <c r="AA219" s="14">
        <f t="shared" ca="1" si="425"/>
        <v>799.94989891855141</v>
      </c>
      <c r="AB219" s="14">
        <f t="shared" si="426"/>
        <v>5882.116096317658</v>
      </c>
      <c r="AC219" s="25">
        <f t="shared" ca="1" si="427"/>
        <v>180600.91044375265</v>
      </c>
      <c r="AD219" s="41">
        <f t="shared" si="428"/>
        <v>1327977.5693039787</v>
      </c>
      <c r="AE219" s="6">
        <v>100</v>
      </c>
      <c r="AF219" s="41">
        <f t="shared" si="429"/>
        <v>5882.116096317658</v>
      </c>
      <c r="AG219" s="41"/>
      <c r="AH219" s="41"/>
      <c r="AI219" s="41">
        <f t="shared" si="430"/>
        <v>4755.0759235356436</v>
      </c>
      <c r="AJ219" s="13">
        <f t="shared" ca="1" si="431"/>
        <v>109.42840231798185</v>
      </c>
      <c r="AK219" s="11"/>
      <c r="AL219" s="6">
        <v>150</v>
      </c>
      <c r="AM219" s="41">
        <f t="shared" ca="1" si="432"/>
        <v>1.3707592985240105</v>
      </c>
      <c r="AN219" s="41">
        <f t="shared" ca="1" si="433"/>
        <v>1.810573482603925</v>
      </c>
      <c r="AO219" s="41">
        <f t="shared" ca="1" si="434"/>
        <v>4.4549407559165935E-2</v>
      </c>
      <c r="AP219" s="67">
        <f t="shared" si="435"/>
        <v>0.80839545593335571</v>
      </c>
      <c r="AQ219" s="11">
        <f t="shared" si="436"/>
        <v>1.0396805907183759</v>
      </c>
      <c r="AR219" s="11">
        <f t="shared" si="437"/>
        <v>0.93664269049644233</v>
      </c>
      <c r="AS219" s="11">
        <f t="shared" si="438"/>
        <v>0.9008946582808296</v>
      </c>
      <c r="AT219" s="11">
        <f t="shared" si="439"/>
        <v>539.25113198789995</v>
      </c>
      <c r="AU219" s="11">
        <f t="shared" si="440"/>
        <v>1982.1419944823811</v>
      </c>
      <c r="AV219" s="11">
        <f t="shared" si="441"/>
        <v>2.1413365132677037E-3</v>
      </c>
      <c r="AW219" s="11">
        <f t="shared" si="442"/>
        <v>3.8513738953319646E-7</v>
      </c>
      <c r="AX219" s="41">
        <f t="shared" ca="1" si="443"/>
        <v>1.0651869229575546</v>
      </c>
      <c r="AY219" s="41">
        <f t="shared" ca="1" si="444"/>
        <v>1.4348279478779247</v>
      </c>
      <c r="AZ219" s="41">
        <f t="shared" si="445"/>
        <v>0.14745717436888886</v>
      </c>
    </row>
    <row r="220" spans="1:52" ht="14.5">
      <c r="A220" s="41">
        <f t="shared" ca="1" si="446"/>
        <v>21.823912048235425</v>
      </c>
      <c r="B220" s="41">
        <f t="shared" ca="1" si="447"/>
        <v>0.36373186747059039</v>
      </c>
      <c r="C220" s="41">
        <f t="shared" ca="1" si="447"/>
        <v>6.0621977911765063E-3</v>
      </c>
      <c r="D220" s="41">
        <f t="shared" ca="1" si="448"/>
        <v>10690.198490449959</v>
      </c>
      <c r="E220" s="41">
        <f t="shared" ca="1" si="449"/>
        <v>0.57299540164273677</v>
      </c>
      <c r="F220" s="41">
        <f t="shared" ca="1" si="450"/>
        <v>0.57299540164273677</v>
      </c>
      <c r="G220" s="41"/>
      <c r="H220" s="7">
        <f t="shared" si="451"/>
        <v>1950</v>
      </c>
      <c r="I220" s="6">
        <v>15</v>
      </c>
      <c r="J220" s="41">
        <f t="shared" si="410"/>
        <v>0.20433737163034901</v>
      </c>
      <c r="K220" s="41">
        <f t="shared" si="411"/>
        <v>232.49907879792141</v>
      </c>
      <c r="L220" s="6">
        <f t="shared" si="453"/>
        <v>130.5</v>
      </c>
      <c r="M220" s="41">
        <f t="shared" si="412"/>
        <v>137.75198420250769</v>
      </c>
      <c r="N220" s="41">
        <f t="shared" si="413"/>
        <v>57.61605446007772</v>
      </c>
      <c r="O220" s="41">
        <f t="shared" si="414"/>
        <v>1287858.6496590048</v>
      </c>
      <c r="P220" s="41">
        <f t="shared" si="415"/>
        <v>8268957.4886928312</v>
      </c>
      <c r="Q220" s="41">
        <f t="shared" si="416"/>
        <v>3.0850223372001231E-3</v>
      </c>
      <c r="R220" s="41">
        <f t="shared" si="417"/>
        <v>2.0606315853014364E-2</v>
      </c>
      <c r="S220" s="24">
        <f t="shared" ca="1" si="452"/>
        <v>28.854985963517116</v>
      </c>
      <c r="T220" s="10">
        <f t="shared" ca="1" si="418"/>
        <v>28.854985963517116</v>
      </c>
      <c r="U220" s="41">
        <f t="shared" ca="1" si="419"/>
        <v>0.70654715181900163</v>
      </c>
      <c r="V220" s="41">
        <f t="shared" ca="1" si="420"/>
        <v>5.2134712888031266E-2</v>
      </c>
      <c r="W220" s="41">
        <f t="shared" ca="1" si="421"/>
        <v>13.552336105435922</v>
      </c>
      <c r="X220" s="20">
        <f t="shared" ca="1" si="422"/>
        <v>690.87318511398485</v>
      </c>
      <c r="Y220" s="41">
        <f t="shared" si="423"/>
        <v>0.57120286985182356</v>
      </c>
      <c r="Z220" s="41">
        <f t="shared" ca="1" si="424"/>
        <v>134.85969220304085</v>
      </c>
      <c r="AA220" s="14">
        <f t="shared" ca="1" si="425"/>
        <v>788.80854247424224</v>
      </c>
      <c r="AB220" s="14">
        <f t="shared" si="426"/>
        <v>5849.9034479239172</v>
      </c>
      <c r="AC220" s="25">
        <f t="shared" ca="1" si="427"/>
        <v>183397.25947319239</v>
      </c>
      <c r="AD220" s="41">
        <f t="shared" si="428"/>
        <v>1360097.162699095</v>
      </c>
      <c r="AE220" s="6">
        <v>100</v>
      </c>
      <c r="AF220" s="41">
        <f t="shared" si="429"/>
        <v>5849.9034479239172</v>
      </c>
      <c r="AG220" s="41"/>
      <c r="AH220" s="41"/>
      <c r="AI220" s="41">
        <f t="shared" si="430"/>
        <v>4736.4924426210564</v>
      </c>
      <c r="AJ220" s="13">
        <f t="shared" ca="1" si="431"/>
        <v>112.20276074999435</v>
      </c>
      <c r="AK220" s="11"/>
      <c r="AL220" s="6">
        <v>150</v>
      </c>
      <c r="AM220" s="41">
        <f t="shared" ca="1" si="432"/>
        <v>1.3368655013241957</v>
      </c>
      <c r="AN220" s="41">
        <f t="shared" ca="1" si="433"/>
        <v>1.7589037066174618</v>
      </c>
      <c r="AO220" s="41">
        <f t="shared" ca="1" si="434"/>
        <v>4.480328007988927E-2</v>
      </c>
      <c r="AP220" s="67">
        <f t="shared" si="435"/>
        <v>0.80967019110409399</v>
      </c>
      <c r="AQ220" s="11">
        <f t="shared" si="436"/>
        <v>1.0386492882183758</v>
      </c>
      <c r="AR220" s="11">
        <f t="shared" si="437"/>
        <v>0.9315132878859741</v>
      </c>
      <c r="AS220" s="11">
        <f t="shared" si="438"/>
        <v>0.89685064867644104</v>
      </c>
      <c r="AT220" s="11">
        <f t="shared" si="439"/>
        <v>538.71622632022491</v>
      </c>
      <c r="AU220" s="11">
        <f t="shared" si="440"/>
        <v>1971.2870500900558</v>
      </c>
      <c r="AV220" s="11">
        <f t="shared" si="441"/>
        <v>2.1317243068390327E-3</v>
      </c>
      <c r="AW220" s="11">
        <f t="shared" si="442"/>
        <v>3.8484342805978156E-7</v>
      </c>
      <c r="AX220" s="41">
        <f t="shared" ca="1" si="443"/>
        <v>1.0896969780845138</v>
      </c>
      <c r="AY220" s="41">
        <f t="shared" ca="1" si="444"/>
        <v>1.4678434790886763</v>
      </c>
      <c r="AZ220" s="41">
        <f t="shared" si="445"/>
        <v>0.15183216756395168</v>
      </c>
    </row>
    <row r="221" spans="1:52" ht="14.5">
      <c r="A221" s="41">
        <f t="shared" ca="1" si="446"/>
        <v>23.160777549559619</v>
      </c>
      <c r="B221" s="41">
        <f t="shared" ca="1" si="447"/>
        <v>0.38601295915932698</v>
      </c>
      <c r="C221" s="41">
        <f t="shared" ca="1" si="447"/>
        <v>6.4335493193221167E-3</v>
      </c>
      <c r="D221" s="41">
        <f t="shared" ca="1" si="448"/>
        <v>10688.439586743341</v>
      </c>
      <c r="E221" s="41">
        <f t="shared" ca="1" si="449"/>
        <v>0.61779868172262609</v>
      </c>
      <c r="F221" s="41">
        <f t="shared" ca="1" si="450"/>
        <v>0.61779868172262609</v>
      </c>
      <c r="G221" s="41"/>
      <c r="H221" s="7">
        <f t="shared" si="451"/>
        <v>2100</v>
      </c>
      <c r="I221" s="6">
        <v>15</v>
      </c>
      <c r="J221" s="41">
        <f t="shared" si="410"/>
        <v>0.2103848926779319</v>
      </c>
      <c r="K221" s="41">
        <f t="shared" si="411"/>
        <v>239.26119420990707</v>
      </c>
      <c r="L221" s="6">
        <f t="shared" si="453"/>
        <v>134</v>
      </c>
      <c r="M221" s="41">
        <f t="shared" si="412"/>
        <v>141.75842939026259</v>
      </c>
      <c r="N221" s="41">
        <f t="shared" si="413"/>
        <v>60.742074814217197</v>
      </c>
      <c r="O221" s="41">
        <f t="shared" si="414"/>
        <v>1320368.9384641079</v>
      </c>
      <c r="P221" s="41">
        <f t="shared" si="415"/>
        <v>8477696.3872867897</v>
      </c>
      <c r="Q221" s="41">
        <f t="shared" si="416"/>
        <v>3.0718825009255278E-3</v>
      </c>
      <c r="R221" s="41">
        <f t="shared" si="417"/>
        <v>2.0531326409690791E-2</v>
      </c>
      <c r="S221" s="24">
        <f t="shared" ca="1" si="452"/>
        <v>28.70516611153931</v>
      </c>
      <c r="T221" s="10">
        <f t="shared" ca="1" si="418"/>
        <v>28.70516611153931</v>
      </c>
      <c r="U221" s="41">
        <f t="shared" ca="1" si="419"/>
        <v>0.67103840396887349</v>
      </c>
      <c r="V221" s="41">
        <f t="shared" ca="1" si="420"/>
        <v>4.8970327804499128E-2</v>
      </c>
      <c r="W221" s="41">
        <f t="shared" ca="1" si="421"/>
        <v>13.702959201086298</v>
      </c>
      <c r="X221" s="20">
        <f t="shared" ca="1" si="422"/>
        <v>684.14864249085406</v>
      </c>
      <c r="Y221" s="41">
        <f t="shared" si="423"/>
        <v>0.57016257651162883</v>
      </c>
      <c r="Z221" s="41">
        <f t="shared" ca="1" si="424"/>
        <v>135.24969880475456</v>
      </c>
      <c r="AA221" s="14">
        <f t="shared" ca="1" si="425"/>
        <v>780.0095898917964</v>
      </c>
      <c r="AB221" s="14">
        <f t="shared" si="426"/>
        <v>5817.8337943989563</v>
      </c>
      <c r="AC221" s="25">
        <f t="shared" ca="1" si="427"/>
        <v>186626.02597269107</v>
      </c>
      <c r="AD221" s="41">
        <f t="shared" si="428"/>
        <v>1391981.8613626494</v>
      </c>
      <c r="AE221" s="6">
        <v>100</v>
      </c>
      <c r="AF221" s="41">
        <f t="shared" si="429"/>
        <v>5817.8337943989563</v>
      </c>
      <c r="AG221" s="41"/>
      <c r="AH221" s="41"/>
      <c r="AI221" s="41">
        <f t="shared" si="430"/>
        <v>4718.0028276210123</v>
      </c>
      <c r="AJ221" s="13">
        <f t="shared" ca="1" si="431"/>
        <v>114.91776981802155</v>
      </c>
      <c r="AK221" s="11"/>
      <c r="AL221" s="6">
        <v>150</v>
      </c>
      <c r="AM221" s="41">
        <f t="shared" ca="1" si="432"/>
        <v>1.3052811609338837</v>
      </c>
      <c r="AN221" s="41">
        <f t="shared" ca="1" si="433"/>
        <v>1.7106445022573613</v>
      </c>
      <c r="AO221" s="41">
        <f t="shared" ca="1" si="434"/>
        <v>4.5081773149372895E-2</v>
      </c>
      <c r="AP221" s="67">
        <f t="shared" si="435"/>
        <v>0.81095524457285251</v>
      </c>
      <c r="AQ221" s="11">
        <f t="shared" si="436"/>
        <v>1.0376179857183758</v>
      </c>
      <c r="AR221" s="11">
        <f t="shared" si="437"/>
        <v>0.9264066551590695</v>
      </c>
      <c r="AS221" s="11">
        <f t="shared" si="438"/>
        <v>0.89282054466094163</v>
      </c>
      <c r="AT221" s="11">
        <f t="shared" si="439"/>
        <v>538.18132065254997</v>
      </c>
      <c r="AU221" s="11">
        <f t="shared" si="440"/>
        <v>1960.4802917807258</v>
      </c>
      <c r="AV221" s="11">
        <f t="shared" si="441"/>
        <v>2.1221451526045919E-3</v>
      </c>
      <c r="AW221" s="11">
        <f t="shared" si="442"/>
        <v>3.8454932459223593E-7</v>
      </c>
      <c r="AX221" s="41">
        <f t="shared" ca="1" si="443"/>
        <v>1.1170132193500368</v>
      </c>
      <c r="AY221" s="41">
        <f t="shared" ca="1" si="444"/>
        <v>1.5046389987801159</v>
      </c>
      <c r="AZ221" s="41">
        <f t="shared" si="445"/>
        <v>0.15621191831398731</v>
      </c>
    </row>
    <row r="222" spans="1:52" ht="14.5">
      <c r="A222" s="41">
        <f t="shared" ca="1" si="446"/>
        <v>24.466058710493503</v>
      </c>
      <c r="B222" s="41">
        <f t="shared" ca="1" si="447"/>
        <v>0.40776764517489172</v>
      </c>
      <c r="C222" s="41">
        <f t="shared" ca="1" si="447"/>
        <v>6.7961274195815291E-3</v>
      </c>
      <c r="D222" s="41">
        <f t="shared" ca="1" si="448"/>
        <v>10686.728942241083</v>
      </c>
      <c r="E222" s="41">
        <f t="shared" ca="1" si="449"/>
        <v>0.66288045487199898</v>
      </c>
      <c r="F222" s="41">
        <f t="shared" ca="1" si="450"/>
        <v>0.66288045487199898</v>
      </c>
      <c r="G222" s="41"/>
      <c r="H222" s="7">
        <f t="shared" si="451"/>
        <v>2250</v>
      </c>
      <c r="I222" s="6">
        <v>15</v>
      </c>
      <c r="J222" s="41">
        <f t="shared" si="410"/>
        <v>0.21646341778330219</v>
      </c>
      <c r="K222" s="41">
        <f t="shared" si="411"/>
        <v>246.05165680240643</v>
      </c>
      <c r="L222" s="6">
        <f t="shared" si="453"/>
        <v>137.5</v>
      </c>
      <c r="M222" s="41">
        <f t="shared" si="412"/>
        <v>145.78166982891696</v>
      </c>
      <c r="N222" s="41">
        <f t="shared" si="413"/>
        <v>63.949868511290681</v>
      </c>
      <c r="O222" s="41">
        <f t="shared" si="414"/>
        <v>1352769.3077024852</v>
      </c>
      <c r="P222" s="41">
        <f t="shared" si="415"/>
        <v>8685729.5250236299</v>
      </c>
      <c r="Q222" s="41">
        <f t="shared" si="416"/>
        <v>3.0591332236514363E-3</v>
      </c>
      <c r="R222" s="41">
        <f t="shared" si="417"/>
        <v>2.0458565898404175E-2</v>
      </c>
      <c r="S222" s="24">
        <f t="shared" ca="1" si="452"/>
        <v>28.544596733306939</v>
      </c>
      <c r="T222" s="10">
        <f t="shared" ca="1" si="418"/>
        <v>28.544596733306939</v>
      </c>
      <c r="U222" s="41">
        <f t="shared" ca="1" si="419"/>
        <v>0.63825187248599879</v>
      </c>
      <c r="V222" s="41">
        <f t="shared" ca="1" si="420"/>
        <v>4.6186433139335577E-2</v>
      </c>
      <c r="W222" s="41">
        <f t="shared" ca="1" si="421"/>
        <v>13.81903362315327</v>
      </c>
      <c r="X222" s="20">
        <f t="shared" ca="1" si="422"/>
        <v>679.33175504118663</v>
      </c>
      <c r="Y222" s="41">
        <f t="shared" si="423"/>
        <v>0.56915138659255016</v>
      </c>
      <c r="Z222" s="41">
        <f t="shared" ca="1" si="424"/>
        <v>135.64778144591003</v>
      </c>
      <c r="AA222" s="14">
        <f t="shared" ca="1" si="425"/>
        <v>773.33402853408438</v>
      </c>
      <c r="AB222" s="14">
        <f t="shared" si="426"/>
        <v>5785.9066496111864</v>
      </c>
      <c r="AC222" s="25">
        <f t="shared" ca="1" si="427"/>
        <v>190280.11898249091</v>
      </c>
      <c r="AD222" s="41">
        <f t="shared" si="428"/>
        <v>1423631.9172408928</v>
      </c>
      <c r="AE222" s="6">
        <v>100</v>
      </c>
      <c r="AF222" s="41">
        <f t="shared" si="429"/>
        <v>5785.9066496111864</v>
      </c>
      <c r="AG222" s="41"/>
      <c r="AH222" s="41"/>
      <c r="AI222" s="41">
        <f t="shared" si="430"/>
        <v>4699.606051313066</v>
      </c>
      <c r="AJ222" s="13">
        <f t="shared" ca="1" si="431"/>
        <v>117.57397611425046</v>
      </c>
      <c r="AK222" s="11"/>
      <c r="AL222" s="6">
        <v>150</v>
      </c>
      <c r="AM222" s="41">
        <f t="shared" ca="1" si="432"/>
        <v>1.2757925261814751</v>
      </c>
      <c r="AN222" s="41">
        <f t="shared" ca="1" si="433"/>
        <v>1.665478410072901</v>
      </c>
      <c r="AO222" s="41">
        <f t="shared" ca="1" si="434"/>
        <v>4.5383216060362837E-2</v>
      </c>
      <c r="AP222" s="67">
        <f t="shared" si="435"/>
        <v>0.81225058334269529</v>
      </c>
      <c r="AQ222" s="11">
        <f t="shared" si="436"/>
        <v>1.0365866832183759</v>
      </c>
      <c r="AR222" s="11">
        <f t="shared" si="437"/>
        <v>0.92132271490623985</v>
      </c>
      <c r="AS222" s="11">
        <f t="shared" si="438"/>
        <v>0.88880431306114549</v>
      </c>
      <c r="AT222" s="11">
        <f t="shared" si="439"/>
        <v>537.64641498487492</v>
      </c>
      <c r="AU222" s="11">
        <f t="shared" si="440"/>
        <v>1949.7215557388827</v>
      </c>
      <c r="AV222" s="11">
        <f t="shared" si="441"/>
        <v>2.1125989717150368E-3</v>
      </c>
      <c r="AW222" s="11">
        <f t="shared" si="442"/>
        <v>3.8425507896270701E-7</v>
      </c>
      <c r="AX222" s="41">
        <f t="shared" ca="1" si="443"/>
        <v>1.1468624073083322</v>
      </c>
      <c r="AY222" s="41">
        <f t="shared" ca="1" si="444"/>
        <v>1.5448464479901642</v>
      </c>
      <c r="AZ222" s="41">
        <f t="shared" si="445"/>
        <v>0.16059621174028618</v>
      </c>
    </row>
    <row r="223" spans="1:52" ht="14.5">
      <c r="A223" s="41">
        <f t="shared" ca="1" si="446"/>
        <v>25.741851236674979</v>
      </c>
      <c r="B223" s="41">
        <f t="shared" ca="1" si="447"/>
        <v>0.42903085394458296</v>
      </c>
      <c r="C223" s="41">
        <f t="shared" ca="1" si="447"/>
        <v>7.1505142324097158E-3</v>
      </c>
      <c r="D223" s="41">
        <f t="shared" ca="1" si="448"/>
        <v>10685.063463831009</v>
      </c>
      <c r="E223" s="41">
        <f t="shared" ca="1" si="449"/>
        <v>0.70826367093236187</v>
      </c>
      <c r="F223" s="41">
        <f t="shared" ca="1" si="450"/>
        <v>0.70826367093236187</v>
      </c>
      <c r="G223" s="41"/>
      <c r="H223" s="7">
        <f t="shared" si="451"/>
        <v>2400</v>
      </c>
      <c r="I223" s="6">
        <v>15</v>
      </c>
      <c r="J223" s="41">
        <f t="shared" si="410"/>
        <v>0.22257302399986512</v>
      </c>
      <c r="K223" s="41">
        <f t="shared" si="411"/>
        <v>252.87049632218481</v>
      </c>
      <c r="L223" s="6">
        <f t="shared" si="453"/>
        <v>141</v>
      </c>
      <c r="M223" s="41">
        <f t="shared" si="412"/>
        <v>149.82172314295335</v>
      </c>
      <c r="N223" s="41">
        <f t="shared" si="413"/>
        <v>67.239317050102073</v>
      </c>
      <c r="O223" s="41">
        <f t="shared" si="414"/>
        <v>1385059.2874297139</v>
      </c>
      <c r="P223" s="41">
        <f t="shared" si="415"/>
        <v>8893053.8845299352</v>
      </c>
      <c r="Q223" s="41">
        <f t="shared" si="416"/>
        <v>3.0467514160641283E-3</v>
      </c>
      <c r="R223" s="41">
        <f t="shared" si="417"/>
        <v>2.0387902547742268E-2</v>
      </c>
      <c r="S223" s="24">
        <f t="shared" ca="1" si="452"/>
        <v>28.374360727827415</v>
      </c>
      <c r="T223" s="10">
        <f t="shared" ca="1" si="418"/>
        <v>28.374360727827415</v>
      </c>
      <c r="U223" s="41">
        <f t="shared" ca="1" si="419"/>
        <v>0.60791128157545204</v>
      </c>
      <c r="V223" s="41">
        <f t="shared" ca="1" si="420"/>
        <v>4.3727856613313416E-2</v>
      </c>
      <c r="W223" s="41">
        <f t="shared" ca="1" si="421"/>
        <v>13.902151366604301</v>
      </c>
      <c r="X223" s="20">
        <f t="shared" ca="1" si="422"/>
        <v>676.25317939111619</v>
      </c>
      <c r="Y223" s="41">
        <f t="shared" si="423"/>
        <v>0.56816761939158611</v>
      </c>
      <c r="Z223" s="41">
        <f t="shared" ca="1" si="424"/>
        <v>136.05315432529471</v>
      </c>
      <c r="AA223" s="14">
        <f t="shared" ca="1" si="425"/>
        <v>768.59064342362376</v>
      </c>
      <c r="AB223" s="14">
        <f t="shared" si="426"/>
        <v>5754.1215285753406</v>
      </c>
      <c r="AC223" s="25">
        <f t="shared" ca="1" si="427"/>
        <v>194353.8974711191</v>
      </c>
      <c r="AD223" s="41">
        <f t="shared" si="428"/>
        <v>1455047.566829015</v>
      </c>
      <c r="AE223" s="6">
        <v>100</v>
      </c>
      <c r="AF223" s="41">
        <f t="shared" si="429"/>
        <v>5754.1215285753406</v>
      </c>
      <c r="AG223" s="41"/>
      <c r="AH223" s="41"/>
      <c r="AI223" s="41">
        <f t="shared" si="430"/>
        <v>4681.3008197587797</v>
      </c>
      <c r="AJ223" s="13">
        <f t="shared" ca="1" si="431"/>
        <v>120.17177942493463</v>
      </c>
      <c r="AK223" s="11"/>
      <c r="AL223" s="6">
        <v>150</v>
      </c>
      <c r="AM223" s="41">
        <f t="shared" ca="1" si="432"/>
        <v>1.2482131888019317</v>
      </c>
      <c r="AN223" s="41">
        <f t="shared" ca="1" si="433"/>
        <v>1.623128173325612</v>
      </c>
      <c r="AO223" s="41">
        <f t="shared" ca="1" si="434"/>
        <v>4.5706217375891083E-2</v>
      </c>
      <c r="AP223" s="67">
        <f t="shared" si="435"/>
        <v>0.81355612607608929</v>
      </c>
      <c r="AQ223" s="11">
        <f t="shared" si="436"/>
        <v>1.0355553807183759</v>
      </c>
      <c r="AR223" s="11">
        <f t="shared" si="437"/>
        <v>0.91626138990053196</v>
      </c>
      <c r="AS223" s="11">
        <f t="shared" si="438"/>
        <v>0.88480192074798703</v>
      </c>
      <c r="AT223" s="11">
        <f t="shared" si="439"/>
        <v>537.11150931719999</v>
      </c>
      <c r="AU223" s="11">
        <f t="shared" si="440"/>
        <v>1939.0106785353037</v>
      </c>
      <c r="AV223" s="11">
        <f t="shared" si="441"/>
        <v>2.1030856854258903E-3</v>
      </c>
      <c r="AW223" s="11">
        <f t="shared" si="442"/>
        <v>3.8396069100306597E-7</v>
      </c>
      <c r="AX223" s="41">
        <f t="shared" ca="1" si="443"/>
        <v>1.1790200880269883</v>
      </c>
      <c r="AY223" s="41">
        <f t="shared" ca="1" si="444"/>
        <v>1.5881634828125129</v>
      </c>
      <c r="AZ223" s="41">
        <f t="shared" si="445"/>
        <v>0.16498482830386471</v>
      </c>
    </row>
    <row r="224" spans="1:52" ht="14.5">
      <c r="A224" s="41">
        <f t="shared" ca="1" si="446"/>
        <v>26.990064425476909</v>
      </c>
      <c r="B224" s="41">
        <f t="shared" ref="B224:C227" ca="1" si="454">A224/60</f>
        <v>0.44983440709128181</v>
      </c>
      <c r="C224" s="41">
        <f t="shared" ca="1" si="454"/>
        <v>7.4972401181880302E-3</v>
      </c>
      <c r="D224" s="41">
        <f t="shared" ca="1" si="448"/>
        <v>10683.440335657684</v>
      </c>
      <c r="E224" s="41">
        <f t="shared" ca="1" si="449"/>
        <v>0.75396988830825296</v>
      </c>
      <c r="F224" s="41">
        <f t="shared" ca="1" si="450"/>
        <v>0.75396988830825296</v>
      </c>
      <c r="G224" s="41"/>
      <c r="H224" s="7">
        <f t="shared" si="451"/>
        <v>2550</v>
      </c>
      <c r="I224" s="6">
        <v>15</v>
      </c>
      <c r="J224" s="41">
        <f t="shared" si="410"/>
        <v>0.22871378509363183</v>
      </c>
      <c r="K224" s="41">
        <f t="shared" si="411"/>
        <v>259.71773854578868</v>
      </c>
      <c r="L224" s="6">
        <f t="shared" si="453"/>
        <v>144.5</v>
      </c>
      <c r="M224" s="41">
        <f t="shared" si="412"/>
        <v>153.87860460456307</v>
      </c>
      <c r="N224" s="41">
        <f t="shared" si="413"/>
        <v>70.610294216994575</v>
      </c>
      <c r="O224" s="41">
        <f t="shared" si="414"/>
        <v>1417238.3905334126</v>
      </c>
      <c r="P224" s="41">
        <f t="shared" si="415"/>
        <v>9099666.3382019289</v>
      </c>
      <c r="Q224" s="41">
        <f t="shared" si="416"/>
        <v>3.0347158093873296E-3</v>
      </c>
      <c r="R224" s="41">
        <f t="shared" si="417"/>
        <v>2.0319214976155124E-2</v>
      </c>
      <c r="S224" s="24">
        <f t="shared" ca="1" si="452"/>
        <v>28.195403799951038</v>
      </c>
      <c r="T224" s="10">
        <f t="shared" ca="1" si="418"/>
        <v>28.195403799951038</v>
      </c>
      <c r="U224" s="41">
        <f t="shared" ca="1" si="419"/>
        <v>0.57977491587550734</v>
      </c>
      <c r="V224" s="41">
        <f t="shared" ca="1" si="420"/>
        <v>4.1548649876222685E-2</v>
      </c>
      <c r="W224" s="41">
        <f t="shared" ca="1" si="421"/>
        <v>13.954121676702156</v>
      </c>
      <c r="X224" s="20">
        <f t="shared" ca="1" si="422"/>
        <v>674.76535017816514</v>
      </c>
      <c r="Y224" s="41">
        <f t="shared" si="423"/>
        <v>0.56720972341704023</v>
      </c>
      <c r="Z224" s="41">
        <f t="shared" ca="1" si="424"/>
        <v>136.46512459945757</v>
      </c>
      <c r="AA224" s="14">
        <f t="shared" ca="1" si="425"/>
        <v>765.61180869554755</v>
      </c>
      <c r="AB224" s="14">
        <f t="shared" si="426"/>
        <v>5722.4779474509442</v>
      </c>
      <c r="AC224" s="25">
        <f t="shared" ca="1" si="427"/>
        <v>198842.96755835859</v>
      </c>
      <c r="AD224" s="41">
        <f t="shared" si="428"/>
        <v>1486229.0313901058</v>
      </c>
      <c r="AE224" s="6">
        <v>100</v>
      </c>
      <c r="AF224" s="41">
        <f t="shared" si="429"/>
        <v>5722.4779474509442</v>
      </c>
      <c r="AG224" s="41"/>
      <c r="AH224" s="41"/>
      <c r="AI224" s="41">
        <f t="shared" si="430"/>
        <v>4663.0855962316609</v>
      </c>
      <c r="AJ224" s="13">
        <f t="shared" ca="1" si="431"/>
        <v>122.71145430720189</v>
      </c>
      <c r="AK224" s="11"/>
      <c r="AL224" s="6">
        <v>150</v>
      </c>
      <c r="AM224" s="41">
        <f t="shared" ca="1" si="432"/>
        <v>1.2223797757663488</v>
      </c>
      <c r="AN224" s="41">
        <f t="shared" ca="1" si="433"/>
        <v>1.5833504237502634</v>
      </c>
      <c r="AO224" s="41">
        <f t="shared" ca="1" si="434"/>
        <v>4.6049619313025036E-2</v>
      </c>
      <c r="AP224" s="67">
        <f t="shared" si="435"/>
        <v>0.81487174595558109</v>
      </c>
      <c r="AQ224" s="11">
        <f t="shared" si="436"/>
        <v>1.0345240782183758</v>
      </c>
      <c r="AR224" s="11">
        <f t="shared" si="437"/>
        <v>0.91122260309728409</v>
      </c>
      <c r="AS224" s="11">
        <f t="shared" si="438"/>
        <v>0.88081333463650502</v>
      </c>
      <c r="AT224" s="11">
        <f t="shared" si="439"/>
        <v>536.57660364952494</v>
      </c>
      <c r="AU224" s="11">
        <f t="shared" si="440"/>
        <v>1928.3474971265343</v>
      </c>
      <c r="AV224" s="11">
        <f t="shared" si="441"/>
        <v>2.0936052150975089E-3</v>
      </c>
      <c r="AW224" s="11">
        <f t="shared" si="442"/>
        <v>3.8366616054490459E-7</v>
      </c>
      <c r="AX224" s="41">
        <f t="shared" ca="1" si="443"/>
        <v>1.2133000557486522</v>
      </c>
      <c r="AY224" s="41">
        <f t="shared" ca="1" si="444"/>
        <v>1.6343392803925554</v>
      </c>
      <c r="AZ224" s="41">
        <f t="shared" si="445"/>
        <v>0.16937754379772524</v>
      </c>
    </row>
    <row r="225" spans="1:52" ht="14.5">
      <c r="A225" s="41">
        <f t="shared" ca="1" si="446"/>
        <v>28.212444201243258</v>
      </c>
      <c r="B225" s="41">
        <f t="shared" ca="1" si="454"/>
        <v>0.47020740335405431</v>
      </c>
      <c r="C225" s="41">
        <f t="shared" ca="1" si="454"/>
        <v>7.8367900559009052E-3</v>
      </c>
      <c r="D225" s="41">
        <f t="shared" ca="1" si="448"/>
        <v>10681.856985233933</v>
      </c>
      <c r="E225" s="41">
        <f t="shared" ca="1" si="449"/>
        <v>0.80001950762127794</v>
      </c>
      <c r="F225" s="41">
        <f t="shared" ca="1" si="450"/>
        <v>0.80001950762127794</v>
      </c>
      <c r="G225" s="41"/>
      <c r="H225" s="7">
        <f t="shared" si="451"/>
        <v>2700</v>
      </c>
      <c r="I225" s="6">
        <v>15</v>
      </c>
      <c r="J225" s="41">
        <f t="shared" si="410"/>
        <v>0.23488577148263731</v>
      </c>
      <c r="K225" s="41">
        <f t="shared" si="411"/>
        <v>266.59340521971086</v>
      </c>
      <c r="L225" s="6">
        <f t="shared" si="453"/>
        <v>148</v>
      </c>
      <c r="M225" s="41">
        <f t="shared" si="412"/>
        <v>157.95232709819518</v>
      </c>
      <c r="N225" s="41">
        <f t="shared" si="413"/>
        <v>74.062665833045017</v>
      </c>
      <c r="O225" s="41">
        <f t="shared" si="414"/>
        <v>1449306.1128056096</v>
      </c>
      <c r="P225" s="41">
        <f t="shared" si="415"/>
        <v>9305563.6486701351</v>
      </c>
      <c r="Q225" s="41">
        <f t="shared" si="416"/>
        <v>3.0230067708578159E-3</v>
      </c>
      <c r="R225" s="41">
        <f t="shared" si="417"/>
        <v>2.0252391138868803E-2</v>
      </c>
      <c r="S225" s="24">
        <f t="shared" ca="1" si="452"/>
        <v>28.008555088735633</v>
      </c>
      <c r="T225" s="10">
        <f t="shared" ca="1" si="418"/>
        <v>28.008555088735633</v>
      </c>
      <c r="U225" s="41">
        <f t="shared" ca="1" si="419"/>
        <v>0.55363052090302578</v>
      </c>
      <c r="V225" s="41">
        <f t="shared" ca="1" si="420"/>
        <v>3.9610353416044533E-2</v>
      </c>
      <c r="W225" s="41">
        <f t="shared" ca="1" si="421"/>
        <v>13.976914446786347</v>
      </c>
      <c r="X225" s="20">
        <f t="shared" ca="1" si="422"/>
        <v>674.73912477370345</v>
      </c>
      <c r="Y225" s="41">
        <f t="shared" si="423"/>
        <v>0.56627626352008276</v>
      </c>
      <c r="Z225" s="41">
        <f t="shared" ca="1" si="424"/>
        <v>136.88307937268118</v>
      </c>
      <c r="AA225" s="14">
        <f t="shared" ca="1" si="425"/>
        <v>764.25000853389122</v>
      </c>
      <c r="AB225" s="14">
        <f t="shared" si="426"/>
        <v>5690.97542354083</v>
      </c>
      <c r="AC225" s="25">
        <f t="shared" ca="1" si="427"/>
        <v>203744.01221424315</v>
      </c>
      <c r="AD225" s="41">
        <f t="shared" si="428"/>
        <v>1517176.5171834361</v>
      </c>
      <c r="AE225" s="6">
        <v>100</v>
      </c>
      <c r="AF225" s="41">
        <f t="shared" si="429"/>
        <v>5690.97542354083</v>
      </c>
      <c r="AG225" s="41"/>
      <c r="AH225" s="41"/>
      <c r="AI225" s="41">
        <f t="shared" si="430"/>
        <v>4644.9586244945194</v>
      </c>
      <c r="AJ225" s="13">
        <f t="shared" ca="1" si="431"/>
        <v>125.19316801597867</v>
      </c>
      <c r="AK225" s="11"/>
      <c r="AL225" s="6">
        <v>150</v>
      </c>
      <c r="AM225" s="41">
        <f t="shared" ca="1" si="432"/>
        <v>1.1981484483311036</v>
      </c>
      <c r="AN225" s="41">
        <f t="shared" ca="1" si="433"/>
        <v>1.5459305468056348</v>
      </c>
      <c r="AO225" s="41">
        <f t="shared" ca="1" si="434"/>
        <v>4.6412461162178439E-2</v>
      </c>
      <c r="AP225" s="67">
        <f t="shared" si="435"/>
        <v>0.81619727354304827</v>
      </c>
      <c r="AQ225" s="11">
        <f t="shared" si="436"/>
        <v>1.0334927757183758</v>
      </c>
      <c r="AR225" s="11">
        <f t="shared" si="437"/>
        <v>0.90620627763389017</v>
      </c>
      <c r="AS225" s="11">
        <f t="shared" si="438"/>
        <v>0.87683852168583432</v>
      </c>
      <c r="AT225" s="11">
        <f t="shared" si="439"/>
        <v>536.04169798185001</v>
      </c>
      <c r="AU225" s="11">
        <f t="shared" si="440"/>
        <v>1917.7318488543908</v>
      </c>
      <c r="AV225" s="11">
        <f t="shared" si="441"/>
        <v>2.0841574821950596E-3</v>
      </c>
      <c r="AW225" s="11">
        <f t="shared" si="442"/>
        <v>3.8337148741954121E-7</v>
      </c>
      <c r="AX225" s="41">
        <f t="shared" ca="1" si="443"/>
        <v>1.2495464027204424</v>
      </c>
      <c r="AY225" s="41">
        <f t="shared" ca="1" si="444"/>
        <v>1.6831638298896556</v>
      </c>
      <c r="AZ225" s="41">
        <f t="shared" si="445"/>
        <v>0.17377412934144232</v>
      </c>
    </row>
    <row r="226" spans="1:52" ht="14.5">
      <c r="A226" s="41">
        <f t="shared" ca="1" si="446"/>
        <v>29.410592649574362</v>
      </c>
      <c r="B226" s="41">
        <f t="shared" ca="1" si="454"/>
        <v>0.49017654415957268</v>
      </c>
      <c r="C226" s="41">
        <f t="shared" ca="1" si="454"/>
        <v>8.169609069326211E-3</v>
      </c>
      <c r="D226" s="41">
        <f t="shared" ca="1" si="448"/>
        <v>10680.311054687128</v>
      </c>
      <c r="E226" s="41">
        <f t="shared" ca="1" si="449"/>
        <v>0.84643196878345639</v>
      </c>
      <c r="F226" s="41">
        <f t="shared" ca="1" si="450"/>
        <v>0.84643196878345639</v>
      </c>
      <c r="G226" s="41"/>
      <c r="H226" s="7">
        <f t="shared" si="451"/>
        <v>2850</v>
      </c>
      <c r="I226" s="6">
        <v>15</v>
      </c>
      <c r="J226" s="41">
        <f t="shared" si="410"/>
        <v>0.24108905017708762</v>
      </c>
      <c r="K226" s="41">
        <f t="shared" si="411"/>
        <v>273.49751400160147</v>
      </c>
      <c r="L226" s="6">
        <f t="shared" si="453"/>
        <v>151.5</v>
      </c>
      <c r="M226" s="41">
        <f t="shared" si="412"/>
        <v>162.04290108572485</v>
      </c>
      <c r="N226" s="41">
        <f t="shared" si="413"/>
        <v>77.596289501585574</v>
      </c>
      <c r="O226" s="41">
        <f t="shared" si="414"/>
        <v>1481261.933024789</v>
      </c>
      <c r="P226" s="41">
        <f t="shared" si="415"/>
        <v>9510742.4693261683</v>
      </c>
      <c r="Q226" s="41">
        <f t="shared" si="416"/>
        <v>3.0116061418042168E-3</v>
      </c>
      <c r="R226" s="41">
        <f t="shared" si="417"/>
        <v>2.0187327403796175E-2</v>
      </c>
      <c r="S226" s="24">
        <f t="shared" ca="1" si="452"/>
        <v>27.814544247965777</v>
      </c>
      <c r="T226" s="10">
        <f t="shared" ca="1" si="418"/>
        <v>27.814544247965777</v>
      </c>
      <c r="U226" s="41">
        <f t="shared" ca="1" si="419"/>
        <v>0.52929106496606448</v>
      </c>
      <c r="V226" s="41">
        <f t="shared" ca="1" si="420"/>
        <v>3.788062230781903E-2</v>
      </c>
      <c r="W226" s="41">
        <f t="shared" ca="1" si="421"/>
        <v>13.972607436726621</v>
      </c>
      <c r="X226" s="20">
        <f t="shared" ca="1" si="422"/>
        <v>676.0610190724816</v>
      </c>
      <c r="Y226" s="41">
        <f t="shared" si="423"/>
        <v>0.56536590958032218</v>
      </c>
      <c r="Z226" s="41">
        <f t="shared" ca="1" si="424"/>
        <v>137.30647474739928</v>
      </c>
      <c r="AA226" s="14">
        <f t="shared" ca="1" si="425"/>
        <v>764.3749459828249</v>
      </c>
      <c r="AB226" s="14">
        <f t="shared" si="426"/>
        <v>5659.6134752896087</v>
      </c>
      <c r="AC226" s="25">
        <f t="shared" ca="1" si="427"/>
        <v>209054.64749141101</v>
      </c>
      <c r="AD226" s="41">
        <f t="shared" si="428"/>
        <v>1547890.215701672</v>
      </c>
      <c r="AE226" s="6">
        <v>100</v>
      </c>
      <c r="AF226" s="41">
        <f t="shared" si="429"/>
        <v>5659.6134752896087</v>
      </c>
      <c r="AG226" s="41"/>
      <c r="AH226" s="41"/>
      <c r="AI226" s="41">
        <f t="shared" si="430"/>
        <v>4626.9179514050884</v>
      </c>
      <c r="AJ226" s="13">
        <f t="shared" ca="1" si="431"/>
        <v>127.61699548758008</v>
      </c>
      <c r="AK226" s="11"/>
      <c r="AL226" s="6">
        <v>150</v>
      </c>
      <c r="AM226" s="41">
        <f t="shared" ca="1" si="432"/>
        <v>1.1753920347905249</v>
      </c>
      <c r="AN226" s="41">
        <f t="shared" ca="1" si="433"/>
        <v>1.510678473808565</v>
      </c>
      <c r="AO226" s="41">
        <f t="shared" ca="1" si="434"/>
        <v>4.6793949758564823E-2</v>
      </c>
      <c r="AP226" s="67">
        <f t="shared" si="435"/>
        <v>0.81753249963211028</v>
      </c>
      <c r="AQ226" s="11">
        <f t="shared" si="436"/>
        <v>1.0324614732183759</v>
      </c>
      <c r="AR226" s="11">
        <f t="shared" si="437"/>
        <v>0.90121233682955559</v>
      </c>
      <c r="AS226" s="11">
        <f t="shared" si="438"/>
        <v>0.87287744889919028</v>
      </c>
      <c r="AT226" s="11">
        <f t="shared" si="439"/>
        <v>535.50679231417496</v>
      </c>
      <c r="AU226" s="11">
        <f t="shared" si="440"/>
        <v>1907.1635714454419</v>
      </c>
      <c r="AV226" s="11">
        <f t="shared" si="441"/>
        <v>2.0747424082884851E-3</v>
      </c>
      <c r="AW226" s="11">
        <f t="shared" si="442"/>
        <v>3.8307667145801163E-7</v>
      </c>
      <c r="AX226" s="41">
        <f t="shared" ca="1" si="443"/>
        <v>1.2876274543781305</v>
      </c>
      <c r="AY226" s="41">
        <f t="shared" ca="1" si="444"/>
        <v>1.7344597630497467</v>
      </c>
      <c r="AZ226" s="41">
        <f t="shared" si="445"/>
        <v>0.17817435137808177</v>
      </c>
    </row>
    <row r="227" spans="1:52" ht="14.5">
      <c r="A227" s="41">
        <f t="shared" ca="1" si="446"/>
        <v>30.585984684364888</v>
      </c>
      <c r="B227" s="41">
        <f t="shared" ca="1" si="454"/>
        <v>0.50976641140608148</v>
      </c>
      <c r="C227" s="41">
        <f t="shared" ca="1" si="454"/>
        <v>8.4961068567680244E-3</v>
      </c>
      <c r="D227" s="41">
        <f t="shared" ca="1" si="448"/>
        <v>10678.800376213319</v>
      </c>
      <c r="E227" s="41">
        <f t="shared" ca="1" si="449"/>
        <v>0.89322591854202127</v>
      </c>
      <c r="F227" s="41">
        <f t="shared" ca="1" si="450"/>
        <v>0.89322591854202127</v>
      </c>
      <c r="G227" s="41"/>
      <c r="H227" s="7">
        <f t="shared" si="451"/>
        <v>3000</v>
      </c>
      <c r="I227" s="6">
        <v>15</v>
      </c>
      <c r="J227" s="41">
        <f t="shared" si="410"/>
        <v>0.24732368472035268</v>
      </c>
      <c r="K227" s="41">
        <f t="shared" si="411"/>
        <v>280.43007840265443</v>
      </c>
      <c r="L227" s="6">
        <f t="shared" si="453"/>
        <v>155</v>
      </c>
      <c r="M227" s="41">
        <f t="shared" si="412"/>
        <v>166.15033457231831</v>
      </c>
      <c r="N227" s="41">
        <f t="shared" si="413"/>
        <v>81.211014356305881</v>
      </c>
      <c r="O227" s="41">
        <f t="shared" si="414"/>
        <v>1513105.3130480214</v>
      </c>
      <c r="P227" s="41">
        <f t="shared" si="415"/>
        <v>9715199.3449142762</v>
      </c>
      <c r="Q227" s="41">
        <f t="shared" si="416"/>
        <v>3.0004970951086601E-3</v>
      </c>
      <c r="R227" s="41">
        <f t="shared" si="417"/>
        <v>2.0123927738066247E-2</v>
      </c>
      <c r="S227" s="24">
        <f t="shared" ca="1" si="452"/>
        <v>27.614015662290782</v>
      </c>
      <c r="T227" s="10">
        <f t="shared" ca="1" si="418"/>
        <v>27.614015662290782</v>
      </c>
      <c r="U227" s="41">
        <f t="shared" ca="1" si="419"/>
        <v>0.50659119951714815</v>
      </c>
      <c r="V227" s="41">
        <f t="shared" ca="1" si="420"/>
        <v>3.6332130940537555E-2</v>
      </c>
      <c r="W227" s="41">
        <f t="shared" ca="1" si="421"/>
        <v>13.943338483125395</v>
      </c>
      <c r="X227" s="20">
        <f t="shared" ca="1" si="422"/>
        <v>678.63091770365145</v>
      </c>
      <c r="Y227" s="41">
        <f t="shared" si="423"/>
        <v>0.56447742652663724</v>
      </c>
      <c r="Z227" s="41">
        <f t="shared" ca="1" si="424"/>
        <v>137.73482657420391</v>
      </c>
      <c r="AA227" s="14">
        <f t="shared" ca="1" si="425"/>
        <v>765.87112829091052</v>
      </c>
      <c r="AB227" s="14">
        <f t="shared" si="426"/>
        <v>5628.3916222821908</v>
      </c>
      <c r="AC227" s="25">
        <f t="shared" ca="1" si="427"/>
        <v>214773.30055294945</v>
      </c>
      <c r="AD227" s="41">
        <f t="shared" si="428"/>
        <v>1578370.303917438</v>
      </c>
      <c r="AE227" s="6">
        <v>100</v>
      </c>
      <c r="AF227" s="41">
        <f t="shared" si="429"/>
        <v>5628.3916222821908</v>
      </c>
      <c r="AG227" s="41"/>
      <c r="AH227" s="41"/>
      <c r="AI227" s="41">
        <f t="shared" si="430"/>
        <v>4608.9614488298275</v>
      </c>
      <c r="AJ227" s="13">
        <f t="shared" ca="1" si="431"/>
        <v>129.98293193598789</v>
      </c>
      <c r="AK227" s="11"/>
      <c r="AL227" s="6">
        <v>0</v>
      </c>
      <c r="AM227" s="41">
        <f t="shared" ca="1" si="432"/>
        <v>0</v>
      </c>
      <c r="AN227" s="41">
        <f t="shared" ca="1" si="433"/>
        <v>0</v>
      </c>
      <c r="AO227" s="41">
        <f t="shared" ca="1" si="434"/>
        <v>0</v>
      </c>
      <c r="AP227" s="67">
        <f t="shared" si="435"/>
        <v>0.81887717808822158</v>
      </c>
      <c r="AQ227" s="11">
        <f t="shared" si="436"/>
        <v>1.0314301707183759</v>
      </c>
      <c r="AR227" s="11">
        <f t="shared" si="437"/>
        <v>0.8962407041850623</v>
      </c>
      <c r="AS227" s="11">
        <f t="shared" si="438"/>
        <v>0.86893008332386068</v>
      </c>
      <c r="AT227" s="11">
        <f t="shared" si="439"/>
        <v>534.97188664650002</v>
      </c>
      <c r="AU227" s="11">
        <f t="shared" si="440"/>
        <v>1896.6425030105124</v>
      </c>
      <c r="AV227" s="11">
        <f t="shared" si="441"/>
        <v>2.0653599150524844E-3</v>
      </c>
      <c r="AW227" s="11">
        <f t="shared" si="442"/>
        <v>3.8278171249107636E-7</v>
      </c>
      <c r="AX227" s="41">
        <f t="shared" ca="1" si="443"/>
        <v>1.3274310945634284</v>
      </c>
      <c r="AY227" s="41">
        <f t="shared" ca="1" si="444"/>
        <v>1.7880760571801415</v>
      </c>
      <c r="AZ227" s="41">
        <f t="shared" si="445"/>
        <v>0.18257797167354342</v>
      </c>
    </row>
    <row r="228" spans="1:52" ht="14.5">
      <c r="AC228" s="3"/>
      <c r="AD228" s="3"/>
      <c r="AP228" s="53"/>
    </row>
    <row r="229" spans="1:52" s="89" customFormat="1" ht="14.5">
      <c r="A229" s="123" t="s">
        <v>5</v>
      </c>
      <c r="B229" s="81" t="s">
        <v>122</v>
      </c>
      <c r="C229" s="81">
        <v>45</v>
      </c>
      <c r="D229" s="81" t="s">
        <v>21</v>
      </c>
      <c r="E229" s="82"/>
      <c r="F229" s="82"/>
      <c r="G229" s="82"/>
      <c r="H229" s="82"/>
      <c r="I229" s="83"/>
      <c r="J229" s="82"/>
      <c r="K229" s="82"/>
      <c r="L229" s="84" t="s">
        <v>60</v>
      </c>
      <c r="M229" s="82"/>
      <c r="N229" s="82"/>
      <c r="O229" s="82"/>
      <c r="P229" s="82"/>
      <c r="Q229" s="81"/>
      <c r="R229" s="82"/>
      <c r="S229" s="85"/>
      <c r="T229" s="86"/>
      <c r="U229" s="81"/>
      <c r="V229" s="81"/>
      <c r="W229" s="81"/>
      <c r="X229" s="81"/>
      <c r="Y229" s="82"/>
      <c r="Z229" s="82"/>
      <c r="AA229" s="87"/>
      <c r="AB229" s="87"/>
      <c r="AC229" s="82"/>
      <c r="AD229" s="82"/>
      <c r="AE229" s="83"/>
      <c r="AF229" s="81"/>
      <c r="AG229" s="82"/>
      <c r="AH229" s="82"/>
      <c r="AI229" s="82"/>
      <c r="AJ229" s="81" t="s">
        <v>61</v>
      </c>
      <c r="AK229" s="88"/>
      <c r="AL229" s="83"/>
      <c r="AM229" s="83"/>
      <c r="AN229" s="82"/>
      <c r="AO229" s="82"/>
      <c r="AP229" s="53"/>
      <c r="AQ229" s="88"/>
      <c r="AR229" s="88"/>
      <c r="AS229" s="88"/>
      <c r="AT229" s="88"/>
      <c r="AU229" s="88"/>
      <c r="AV229" s="88"/>
      <c r="AW229" s="88"/>
      <c r="AX229" s="82"/>
      <c r="AY229" s="82"/>
      <c r="AZ229" s="82"/>
    </row>
    <row r="230" spans="1:52" ht="14.5">
      <c r="A230" s="41" t="s">
        <v>2</v>
      </c>
      <c r="B230" s="41" t="s">
        <v>2</v>
      </c>
      <c r="C230" s="41" t="s">
        <v>2</v>
      </c>
      <c r="D230" s="41" t="s">
        <v>23</v>
      </c>
      <c r="E230" s="41" t="s">
        <v>24</v>
      </c>
      <c r="F230" s="41" t="s">
        <v>25</v>
      </c>
      <c r="G230" s="41"/>
      <c r="H230" s="41" t="s">
        <v>0</v>
      </c>
      <c r="I230" s="5" t="s">
        <v>26</v>
      </c>
      <c r="J230" s="41" t="s">
        <v>27</v>
      </c>
      <c r="K230" s="41" t="s">
        <v>28</v>
      </c>
      <c r="L230" s="12" t="s">
        <v>29</v>
      </c>
      <c r="M230" s="13" t="s">
        <v>30</v>
      </c>
      <c r="N230" s="41" t="s">
        <v>31</v>
      </c>
      <c r="O230" s="41" t="s">
        <v>32</v>
      </c>
      <c r="P230" s="41" t="s">
        <v>33</v>
      </c>
      <c r="Q230" s="41" t="s">
        <v>34</v>
      </c>
      <c r="R230" s="41" t="s">
        <v>13</v>
      </c>
      <c r="S230" s="24" t="s">
        <v>35</v>
      </c>
      <c r="T230" s="10" t="s">
        <v>35</v>
      </c>
      <c r="U230" s="41" t="s">
        <v>36</v>
      </c>
      <c r="V230" s="41" t="s">
        <v>37</v>
      </c>
      <c r="W230" s="41" t="s">
        <v>38</v>
      </c>
      <c r="X230" s="41" t="s">
        <v>39</v>
      </c>
      <c r="Y230" s="41" t="s">
        <v>40</v>
      </c>
      <c r="Z230" s="35" t="s">
        <v>108</v>
      </c>
      <c r="AA230" s="35" t="s">
        <v>109</v>
      </c>
      <c r="AB230" s="9" t="s">
        <v>110</v>
      </c>
      <c r="AC230" s="7" t="s">
        <v>111</v>
      </c>
      <c r="AD230" s="7" t="s">
        <v>112</v>
      </c>
      <c r="AE230" s="5" t="s">
        <v>41</v>
      </c>
      <c r="AF230" s="7" t="s">
        <v>113</v>
      </c>
      <c r="AG230" s="41"/>
      <c r="AH230" s="41"/>
      <c r="AI230" s="41" t="s">
        <v>42</v>
      </c>
      <c r="AJ230" s="41" t="s">
        <v>43</v>
      </c>
      <c r="AK230" s="11"/>
      <c r="AL230" s="5" t="s">
        <v>44</v>
      </c>
      <c r="AM230" s="5" t="s">
        <v>45</v>
      </c>
      <c r="AN230" s="41" t="s">
        <v>46</v>
      </c>
      <c r="AO230" s="41" t="s">
        <v>47</v>
      </c>
      <c r="AP230" s="53"/>
      <c r="AQ230" s="15" t="s">
        <v>62</v>
      </c>
      <c r="AR230" s="16" t="s">
        <v>63</v>
      </c>
      <c r="AS230" s="16" t="s">
        <v>64</v>
      </c>
      <c r="AT230" s="17" t="s">
        <v>65</v>
      </c>
      <c r="AU230" s="18" t="s">
        <v>66</v>
      </c>
      <c r="AV230" s="18" t="s">
        <v>67</v>
      </c>
      <c r="AW230" s="19" t="s">
        <v>68</v>
      </c>
      <c r="AX230" s="7" t="s">
        <v>207</v>
      </c>
      <c r="AY230" s="7" t="s">
        <v>208</v>
      </c>
      <c r="AZ230" s="7" t="s">
        <v>209</v>
      </c>
    </row>
    <row r="231" spans="1:52" ht="14.5">
      <c r="A231" s="41" t="s">
        <v>18</v>
      </c>
      <c r="B231" s="41" t="s">
        <v>21</v>
      </c>
      <c r="C231" s="41" t="s">
        <v>48</v>
      </c>
      <c r="D231" s="41" t="s">
        <v>8</v>
      </c>
      <c r="E231" s="41" t="s">
        <v>49</v>
      </c>
      <c r="F231" s="41" t="s">
        <v>49</v>
      </c>
      <c r="G231" s="41"/>
      <c r="H231" s="41" t="s">
        <v>9</v>
      </c>
      <c r="I231" s="5" t="s">
        <v>50</v>
      </c>
      <c r="J231" s="41"/>
      <c r="K231" s="41" t="s">
        <v>51</v>
      </c>
      <c r="L231" s="5" t="s">
        <v>52</v>
      </c>
      <c r="M231" s="41" t="s">
        <v>52</v>
      </c>
      <c r="N231" s="41" t="s">
        <v>53</v>
      </c>
      <c r="O231" s="41" t="s">
        <v>54</v>
      </c>
      <c r="P231" s="41"/>
      <c r="Q231" s="41"/>
      <c r="R231" s="41"/>
      <c r="S231" s="24" t="s">
        <v>55</v>
      </c>
      <c r="T231" s="10" t="s">
        <v>55</v>
      </c>
      <c r="U231" s="41"/>
      <c r="V231" s="41"/>
      <c r="W231" s="41"/>
      <c r="X231" s="41"/>
      <c r="Y231" s="41"/>
      <c r="Z231" s="41"/>
      <c r="AA231" s="9" t="s">
        <v>118</v>
      </c>
      <c r="AB231" s="9" t="s">
        <v>118</v>
      </c>
      <c r="AC231" s="7" t="s">
        <v>119</v>
      </c>
      <c r="AD231" s="7" t="s">
        <v>119</v>
      </c>
      <c r="AE231" s="5" t="s">
        <v>20</v>
      </c>
      <c r="AF231" s="7" t="s">
        <v>118</v>
      </c>
      <c r="AG231" s="41"/>
      <c r="AH231" s="41"/>
      <c r="AI231" s="41" t="s">
        <v>56</v>
      </c>
      <c r="AJ231" s="41" t="s">
        <v>57</v>
      </c>
      <c r="AK231" s="11"/>
      <c r="AL231" s="5" t="s">
        <v>9</v>
      </c>
      <c r="AM231" s="5" t="s">
        <v>18</v>
      </c>
      <c r="AN231" s="41" t="s">
        <v>8</v>
      </c>
      <c r="AO231" s="41" t="s">
        <v>49</v>
      </c>
      <c r="AP231" s="53"/>
      <c r="AQ231" s="11"/>
      <c r="AR231" s="11"/>
      <c r="AS231" s="11"/>
      <c r="AT231" s="11"/>
      <c r="AU231" s="11"/>
      <c r="AV231" s="11"/>
      <c r="AW231" s="11"/>
      <c r="AX231" s="41"/>
      <c r="AY231" s="41"/>
      <c r="AZ231" s="41"/>
    </row>
    <row r="232" spans="1:52" ht="14.5">
      <c r="A232" s="41">
        <f ca="1">A227</f>
        <v>30.585984684364888</v>
      </c>
      <c r="B232" s="41">
        <f t="shared" ref="B232:C232" ca="1" si="455">(A232/60)</f>
        <v>0.50976641140608148</v>
      </c>
      <c r="C232" s="41">
        <f t="shared" ca="1" si="455"/>
        <v>8.4961068567680244E-3</v>
      </c>
      <c r="D232" s="41">
        <f t="shared" ref="D232:E232" ca="1" si="456">D217</f>
        <v>10695.800747798503</v>
      </c>
      <c r="E232" s="41">
        <f t="shared" ca="1" si="456"/>
        <v>0.43999986882665038</v>
      </c>
      <c r="F232" s="7">
        <v>0</v>
      </c>
      <c r="G232" s="41"/>
      <c r="H232" s="7">
        <f>H227</f>
        <v>3000</v>
      </c>
      <c r="I232" s="6">
        <v>15</v>
      </c>
      <c r="J232" s="41">
        <f t="shared" ref="J232:J252" si="457">SQRT((((((((L232^2)*(0.2))/(661.477)^2) + 1)^(3.5) - 1)*(1/AR232) + 1)^(1/3.5) - 1)*(5))</f>
        <v>0.24732368472035268</v>
      </c>
      <c r="K232" s="41">
        <f t="shared" ref="K232:K252" si="458">SQRT((1.4*2116.22*AR232*(J232)^2)/AV232)</f>
        <v>280.43007840265443</v>
      </c>
      <c r="L232" s="120">
        <v>155</v>
      </c>
      <c r="M232" s="41">
        <f t="shared" ref="M232:M252" si="459">K232*0.592484</f>
        <v>166.15033457231831</v>
      </c>
      <c r="N232" s="41">
        <f t="shared" ref="N232:N252" si="460">0.5*AV232*K232^2</f>
        <v>81.211014356305881</v>
      </c>
      <c r="O232" s="41">
        <f t="shared" ref="O232:O252" si="461">P232/$B$7</f>
        <v>1513105.3130480214</v>
      </c>
      <c r="P232" s="41">
        <f t="shared" ref="P232:P252" si="462">(AV232*K232*$B$7)/(AW232)</f>
        <v>9715199.3449142762</v>
      </c>
      <c r="Q232" s="41">
        <f t="shared" ref="Q232:Q252" si="463">0.455/(LOG10(P232)^2.58 * (1+0.144*J232*J232)^0.65)</f>
        <v>3.0004970951086601E-3</v>
      </c>
      <c r="R232" s="41">
        <f t="shared" ref="R232:R252" si="464">(((Q232*$B$4)+$B$17)+(0.1*(Q232*$B$4)))</f>
        <v>2.0123927738066247E-2</v>
      </c>
      <c r="S232" s="24">
        <f ca="1">T232</f>
        <v>0</v>
      </c>
      <c r="T232" s="10">
        <f t="shared" ref="T232:T252" ca="1" si="465">DEGREES(ASIN(((AF232-X232)/(D232))))</f>
        <v>0</v>
      </c>
      <c r="U232" s="41">
        <f t="shared" ref="U232:U252" ca="1" si="466">(D232*COS(RADIANS(S232)))/(N232*$B$3)</f>
        <v>0.57262530065364836</v>
      </c>
      <c r="V232" s="41">
        <f t="shared" ref="V232:V252" ca="1" si="467">(X232)/(N232*$B$3)</f>
        <v>4.0833000617274552E-2</v>
      </c>
      <c r="W232" s="41">
        <f t="shared" ref="W232:W252" ca="1" si="468">U232/V232</f>
        <v>14.023591017001996</v>
      </c>
      <c r="X232" s="20">
        <f t="shared" ref="X232:X252" ca="1" si="469">(N232*$B$3*R232)+((N232*$B$3)*((U232^2)/(PI()*$B$6*$B$5)))</f>
        <v>762.70056184832197</v>
      </c>
      <c r="Y232" s="41">
        <f t="shared" ref="Y232:Y252" si="470">SQRT(PI()*$B$6*$B$5*R232)</f>
        <v>0.56447742652663724</v>
      </c>
      <c r="Z232" s="41">
        <f t="shared" ref="Z232:Z252" ca="1" si="471">SQRT((2*((U232*N232*$B$3)/(D232))*D232)/(AV232*$B$3*$B$18))</f>
        <v>146.43679410466197</v>
      </c>
      <c r="AA232" s="14">
        <f t="shared" ref="AA232:AA252" ca="1" si="472">D232/W232</f>
        <v>762.70056184832197</v>
      </c>
      <c r="AB232" s="14">
        <f t="shared" ref="AB232:AB252" si="473">$B$15*AR232</f>
        <v>5628.3916222821908</v>
      </c>
      <c r="AC232" s="25">
        <f t="shared" ref="AC232:AC252" ca="1" si="474">AA232*K232</f>
        <v>213884.17835687351</v>
      </c>
      <c r="AD232" s="41">
        <f t="shared" ref="AD232:AD252" si="475">AB232*K232</f>
        <v>1578370.303917438</v>
      </c>
      <c r="AE232" s="5">
        <f t="shared" ref="AE232:AE252" ca="1" si="476">(AA232/AB232)*100</f>
        <v>13.550950485194976</v>
      </c>
      <c r="AF232" s="7">
        <f t="shared" ref="AF232:AF252" ca="1" si="477">(AB232)*(AE232/100)</f>
        <v>762.70056184832197</v>
      </c>
      <c r="AG232" s="41"/>
      <c r="AH232" s="41"/>
      <c r="AI232" s="41">
        <f t="shared" ref="AI232:AI252" ca="1" si="478">(AP232*AF232)</f>
        <v>624.55808381265501</v>
      </c>
      <c r="AJ232" s="13">
        <f t="shared" ref="AJ232:AJ252" ca="1" si="479">K232*SIN(RADIANS(T232))</f>
        <v>0</v>
      </c>
      <c r="AK232" s="11"/>
      <c r="AL232" s="6">
        <v>0</v>
      </c>
      <c r="AM232" s="6">
        <v>135</v>
      </c>
      <c r="AN232" s="41">
        <f t="shared" ref="AN232:AN252" ca="1" si="480">AI232*(AM232/3600)</f>
        <v>23.420928142974564</v>
      </c>
      <c r="AO232" s="41">
        <f t="shared" ref="AO232:AO252" ca="1" si="481">M232*COS(RADIANS(T232))*(AM232/3600)</f>
        <v>6.2306375464619368</v>
      </c>
      <c r="AP232" s="67">
        <f t="shared" ref="AP232:AP252" si="482">-18.066*(AZ232^6) + 34.325*(AZ232^5) - 25.292*(AZ232^4) + 8.7618*(AZ232^3) - 1.317*(AZ232^2) + 0.358*(AZ232^1) + 0.7659</f>
        <v>0.81887717808822158</v>
      </c>
      <c r="AQ232" s="11">
        <f t="shared" ref="AQ232:AQ252" si="483">IF(H232 &lt;= 36089, ((1 - 6.87535*10^(-6)*H232) + ((I232*1.8)/518.67)), 0.75187 + ((I232*1.8)/518.67))</f>
        <v>1.0314301707183759</v>
      </c>
      <c r="AR232" s="11">
        <f t="shared" ref="AR232:AR252" si="484">IF(H232 &lt;= 36089, (1 - 6.87535*10^(-6)*H232)^5.2561, 0.22336*EXP((36089 - H232)/(20806.7)))</f>
        <v>0.8962407041850623</v>
      </c>
      <c r="AS232" s="11">
        <f t="shared" ref="AS232:AS252" si="485">(AR232/AQ232)</f>
        <v>0.86893008332386068</v>
      </c>
      <c r="AT232" s="11">
        <f t="shared" ref="AT232:AT252" si="486">(518.67*AQ232)</f>
        <v>534.97188664650002</v>
      </c>
      <c r="AU232" s="11">
        <f t="shared" ref="AU232:AU252" si="487">2116.22*AR232</f>
        <v>1896.6425030105124</v>
      </c>
      <c r="AV232" s="11">
        <f t="shared" ref="AV232:AV252" si="488">(0.0023769*AS232)</f>
        <v>2.0653599150524844E-3</v>
      </c>
      <c r="AW232" s="11">
        <f t="shared" ref="AW232:AW252" si="489">((2.2697*10^-8)*(AT232^1.5))/(AT232+198.72)</f>
        <v>3.8278171249107636E-7</v>
      </c>
      <c r="AX232" s="41">
        <f t="shared" ref="AX232:AX252" ca="1" si="490">(1/U232)*(((1 + 0.2*(U232)^2)/1.2)^3)</f>
        <v>1.2227673842604403</v>
      </c>
      <c r="AY232" s="41">
        <f t="shared" ref="AY232:AY252" ca="1" si="491">($H$4/$H$3)*AX232</f>
        <v>1.6470919599905534</v>
      </c>
      <c r="AZ232" s="41">
        <f t="shared" ref="AZ232:AZ252" si="492">-6.6*10^(-3) + 0.825*J232 - 0.243*(J232^2)</f>
        <v>0.18257797167354342</v>
      </c>
    </row>
    <row r="233" spans="1:52" ht="14.5">
      <c r="A233" s="41">
        <f t="shared" ref="A233:A252" ca="1" si="493">A232+AM232</f>
        <v>165.58598468436489</v>
      </c>
      <c r="B233" s="41">
        <f t="shared" ref="B233:C248" ca="1" si="494">A233/60</f>
        <v>2.7597664114060816</v>
      </c>
      <c r="C233" s="41">
        <f t="shared" ca="1" si="494"/>
        <v>4.5996106856768026E-2</v>
      </c>
      <c r="D233" s="41">
        <f t="shared" ref="D233:D252" ca="1" si="495">D232-AN232</f>
        <v>10672.379819655529</v>
      </c>
      <c r="E233" s="41">
        <f t="shared" ref="E233:E252" ca="1" si="496">E232+AO232</f>
        <v>6.6706374152885868</v>
      </c>
      <c r="F233" s="41">
        <f t="shared" ref="F233:F252" ca="1" si="497">F232+AO232</f>
        <v>6.2306375464619368</v>
      </c>
      <c r="G233" s="41"/>
      <c r="H233" s="7">
        <f t="shared" ref="H233:H252" si="498">H232+AL232</f>
        <v>3000</v>
      </c>
      <c r="I233" s="6">
        <v>15</v>
      </c>
      <c r="J233" s="41">
        <f t="shared" si="457"/>
        <v>0.24732368472035268</v>
      </c>
      <c r="K233" s="41">
        <f t="shared" si="458"/>
        <v>280.43007840265443</v>
      </c>
      <c r="L233" s="6">
        <f t="shared" ref="L233:L252" si="499">L232</f>
        <v>155</v>
      </c>
      <c r="M233" s="41">
        <f t="shared" si="459"/>
        <v>166.15033457231831</v>
      </c>
      <c r="N233" s="41">
        <f t="shared" si="460"/>
        <v>81.211014356305881</v>
      </c>
      <c r="O233" s="41">
        <f t="shared" si="461"/>
        <v>1513105.3130480214</v>
      </c>
      <c r="P233" s="41">
        <f t="shared" si="462"/>
        <v>9715199.3449142762</v>
      </c>
      <c r="Q233" s="41">
        <f t="shared" si="463"/>
        <v>3.0004970951086601E-3</v>
      </c>
      <c r="R233" s="41">
        <f t="shared" si="464"/>
        <v>2.0123927738066247E-2</v>
      </c>
      <c r="S233" s="24">
        <f t="shared" ref="S233:S252" ca="1" si="500">T233</f>
        <v>6.1033959601407127E-16</v>
      </c>
      <c r="T233" s="10">
        <f t="shared" ca="1" si="465"/>
        <v>6.1033959601407127E-16</v>
      </c>
      <c r="U233" s="41">
        <f t="shared" ca="1" si="466"/>
        <v>0.57137140519171026</v>
      </c>
      <c r="V233" s="41">
        <f t="shared" ca="1" si="467"/>
        <v>4.0742405311456197E-2</v>
      </c>
      <c r="W233" s="41">
        <f t="shared" ca="1" si="468"/>
        <v>14.023997867181606</v>
      </c>
      <c r="X233" s="20">
        <f t="shared" ca="1" si="469"/>
        <v>761.00837441159342</v>
      </c>
      <c r="Y233" s="41">
        <f t="shared" si="470"/>
        <v>0.56447742652663724</v>
      </c>
      <c r="Z233" s="41">
        <f t="shared" ca="1" si="471"/>
        <v>146.27637763403243</v>
      </c>
      <c r="AA233" s="14">
        <f t="shared" ca="1" si="472"/>
        <v>761.00837441159354</v>
      </c>
      <c r="AB233" s="14">
        <f t="shared" si="473"/>
        <v>5628.3916222821908</v>
      </c>
      <c r="AC233" s="25">
        <f t="shared" ca="1" si="474"/>
        <v>213409.63810131978</v>
      </c>
      <c r="AD233" s="41">
        <f t="shared" si="475"/>
        <v>1578370.303917438</v>
      </c>
      <c r="AE233" s="5">
        <f t="shared" ca="1" si="476"/>
        <v>13.52088528095387</v>
      </c>
      <c r="AF233" s="7">
        <f t="shared" ca="1" si="477"/>
        <v>761.00837441159354</v>
      </c>
      <c r="AG233" s="41"/>
      <c r="AH233" s="41"/>
      <c r="AI233" s="41">
        <f t="shared" ca="1" si="478"/>
        <v>623.17239013967048</v>
      </c>
      <c r="AJ233" s="13">
        <f t="shared" ca="1" si="479"/>
        <v>2.987263324053216E-15</v>
      </c>
      <c r="AK233" s="11"/>
      <c r="AL233" s="6">
        <v>0</v>
      </c>
      <c r="AM233" s="6">
        <v>135</v>
      </c>
      <c r="AN233" s="41">
        <f t="shared" ca="1" si="480"/>
        <v>23.368964630237642</v>
      </c>
      <c r="AO233" s="41">
        <f t="shared" ca="1" si="481"/>
        <v>6.2306375464619368</v>
      </c>
      <c r="AP233" s="67">
        <f t="shared" si="482"/>
        <v>0.81887717808822158</v>
      </c>
      <c r="AQ233" s="11">
        <f t="shared" si="483"/>
        <v>1.0314301707183759</v>
      </c>
      <c r="AR233" s="11">
        <f t="shared" si="484"/>
        <v>0.8962407041850623</v>
      </c>
      <c r="AS233" s="11">
        <f t="shared" si="485"/>
        <v>0.86893008332386068</v>
      </c>
      <c r="AT233" s="11">
        <f t="shared" si="486"/>
        <v>534.97188664650002</v>
      </c>
      <c r="AU233" s="11">
        <f t="shared" si="487"/>
        <v>1896.6425030105124</v>
      </c>
      <c r="AV233" s="11">
        <f t="shared" si="488"/>
        <v>2.0653599150524844E-3</v>
      </c>
      <c r="AW233" s="11">
        <f t="shared" si="489"/>
        <v>3.8278171249107636E-7</v>
      </c>
      <c r="AX233" s="41">
        <f t="shared" ca="1" si="490"/>
        <v>1.2244612590896522</v>
      </c>
      <c r="AY233" s="41">
        <f t="shared" ca="1" si="491"/>
        <v>1.6493736430386441</v>
      </c>
      <c r="AZ233" s="41">
        <f t="shared" si="492"/>
        <v>0.18257797167354342</v>
      </c>
    </row>
    <row r="234" spans="1:52" ht="14.5">
      <c r="A234" s="41">
        <f t="shared" ca="1" si="493"/>
        <v>300.58598468436492</v>
      </c>
      <c r="B234" s="41">
        <f t="shared" ca="1" si="494"/>
        <v>5.0097664114060816</v>
      </c>
      <c r="C234" s="41">
        <f t="shared" ca="1" si="494"/>
        <v>8.3496106856768032E-2</v>
      </c>
      <c r="D234" s="41">
        <f t="shared" ca="1" si="495"/>
        <v>10649.010855025292</v>
      </c>
      <c r="E234" s="41">
        <f t="shared" ca="1" si="496"/>
        <v>12.901274961750524</v>
      </c>
      <c r="F234" s="41">
        <f t="shared" ca="1" si="497"/>
        <v>12.461275092923874</v>
      </c>
      <c r="G234" s="41"/>
      <c r="H234" s="7">
        <f t="shared" si="498"/>
        <v>3000</v>
      </c>
      <c r="I234" s="6">
        <v>15</v>
      </c>
      <c r="J234" s="41">
        <f t="shared" si="457"/>
        <v>0.24732368472035268</v>
      </c>
      <c r="K234" s="41">
        <f t="shared" si="458"/>
        <v>280.43007840265443</v>
      </c>
      <c r="L234" s="6">
        <f t="shared" si="499"/>
        <v>155</v>
      </c>
      <c r="M234" s="41">
        <f t="shared" si="459"/>
        <v>166.15033457231831</v>
      </c>
      <c r="N234" s="41">
        <f t="shared" si="460"/>
        <v>81.211014356305881</v>
      </c>
      <c r="O234" s="41">
        <f t="shared" si="461"/>
        <v>1513105.3130480214</v>
      </c>
      <c r="P234" s="41">
        <f t="shared" si="462"/>
        <v>9715199.3449142762</v>
      </c>
      <c r="Q234" s="41">
        <f t="shared" si="463"/>
        <v>3.0004970951086601E-3</v>
      </c>
      <c r="R234" s="41">
        <f t="shared" si="464"/>
        <v>2.0123927738066247E-2</v>
      </c>
      <c r="S234" s="24">
        <f t="shared" ca="1" si="500"/>
        <v>6.1167896965410806E-16</v>
      </c>
      <c r="T234" s="10">
        <f t="shared" ca="1" si="465"/>
        <v>6.1167896965410806E-16</v>
      </c>
      <c r="U234" s="41">
        <f t="shared" ca="1" si="466"/>
        <v>0.57012029172083634</v>
      </c>
      <c r="V234" s="41">
        <f t="shared" ca="1" si="467"/>
        <v>4.0652208943862421E-2</v>
      </c>
      <c r="W234" s="41">
        <f t="shared" ca="1" si="468"/>
        <v>14.024337336948372</v>
      </c>
      <c r="X234" s="20">
        <f t="shared" ca="1" si="469"/>
        <v>759.32363855577819</v>
      </c>
      <c r="Y234" s="41">
        <f t="shared" si="470"/>
        <v>0.56447742652663724</v>
      </c>
      <c r="Z234" s="41">
        <f t="shared" ca="1" si="471"/>
        <v>146.11614154542113</v>
      </c>
      <c r="AA234" s="14">
        <f t="shared" ca="1" si="472"/>
        <v>759.3236385557783</v>
      </c>
      <c r="AB234" s="14">
        <f t="shared" si="473"/>
        <v>5628.3916222821908</v>
      </c>
      <c r="AC234" s="25">
        <f t="shared" ca="1" si="474"/>
        <v>212937.18749318575</v>
      </c>
      <c r="AD234" s="41">
        <f t="shared" si="475"/>
        <v>1578370.303917438</v>
      </c>
      <c r="AE234" s="5">
        <f t="shared" ca="1" si="476"/>
        <v>13.490952469435468</v>
      </c>
      <c r="AF234" s="7">
        <f t="shared" ca="1" si="477"/>
        <v>759.3236385557783</v>
      </c>
      <c r="AG234" s="41"/>
      <c r="AH234" s="41"/>
      <c r="AI234" s="41">
        <f t="shared" ca="1" si="478"/>
        <v>621.79279839623644</v>
      </c>
      <c r="AJ234" s="13">
        <f t="shared" ca="1" si="479"/>
        <v>2.993818792153623E-15</v>
      </c>
      <c r="AK234" s="11"/>
      <c r="AL234" s="6">
        <v>0</v>
      </c>
      <c r="AM234" s="6">
        <v>135</v>
      </c>
      <c r="AN234" s="41">
        <f t="shared" ca="1" si="480"/>
        <v>23.317229939858866</v>
      </c>
      <c r="AO234" s="41">
        <f t="shared" ca="1" si="481"/>
        <v>6.2306375464619368</v>
      </c>
      <c r="AP234" s="67">
        <f t="shared" si="482"/>
        <v>0.81887717808822158</v>
      </c>
      <c r="AQ234" s="11">
        <f t="shared" si="483"/>
        <v>1.0314301707183759</v>
      </c>
      <c r="AR234" s="11">
        <f t="shared" si="484"/>
        <v>0.8962407041850623</v>
      </c>
      <c r="AS234" s="11">
        <f t="shared" si="485"/>
        <v>0.86893008332386068</v>
      </c>
      <c r="AT234" s="11">
        <f t="shared" si="486"/>
        <v>534.97188664650002</v>
      </c>
      <c r="AU234" s="11">
        <f t="shared" si="487"/>
        <v>1896.6425030105124</v>
      </c>
      <c r="AV234" s="11">
        <f t="shared" si="488"/>
        <v>2.0653599150524844E-3</v>
      </c>
      <c r="AW234" s="11">
        <f t="shared" si="489"/>
        <v>3.8278171249107636E-7</v>
      </c>
      <c r="AX234" s="41">
        <f t="shared" ca="1" si="490"/>
        <v>1.226161499028452</v>
      </c>
      <c r="AY234" s="41">
        <f t="shared" ca="1" si="491"/>
        <v>1.6516639000158089</v>
      </c>
      <c r="AZ234" s="41">
        <f t="shared" si="492"/>
        <v>0.18257797167354342</v>
      </c>
    </row>
    <row r="235" spans="1:52" ht="14.5">
      <c r="A235" s="41">
        <f t="shared" ca="1" si="493"/>
        <v>435.58598468436492</v>
      </c>
      <c r="B235" s="41">
        <f t="shared" ca="1" si="494"/>
        <v>7.2597664114060816</v>
      </c>
      <c r="C235" s="41">
        <f t="shared" ca="1" si="494"/>
        <v>0.12099610685676802</v>
      </c>
      <c r="D235" s="41">
        <f t="shared" ca="1" si="495"/>
        <v>10625.693625085432</v>
      </c>
      <c r="E235" s="41">
        <f t="shared" ca="1" si="496"/>
        <v>19.131912508212459</v>
      </c>
      <c r="F235" s="41">
        <f t="shared" ca="1" si="497"/>
        <v>18.691912639385812</v>
      </c>
      <c r="G235" s="41"/>
      <c r="H235" s="7">
        <f t="shared" si="498"/>
        <v>3000</v>
      </c>
      <c r="I235" s="6">
        <v>15</v>
      </c>
      <c r="J235" s="41">
        <f t="shared" si="457"/>
        <v>0.24732368472035268</v>
      </c>
      <c r="K235" s="41">
        <f t="shared" si="458"/>
        <v>280.43007840265443</v>
      </c>
      <c r="L235" s="6">
        <f t="shared" si="499"/>
        <v>155</v>
      </c>
      <c r="M235" s="41">
        <f t="shared" si="459"/>
        <v>166.15033457231831</v>
      </c>
      <c r="N235" s="41">
        <f t="shared" si="460"/>
        <v>81.211014356305881</v>
      </c>
      <c r="O235" s="41">
        <f t="shared" si="461"/>
        <v>1513105.3130480214</v>
      </c>
      <c r="P235" s="41">
        <f t="shared" si="462"/>
        <v>9715199.3449142762</v>
      </c>
      <c r="Q235" s="41">
        <f t="shared" si="463"/>
        <v>3.0004970951086601E-3</v>
      </c>
      <c r="R235" s="41">
        <f t="shared" si="464"/>
        <v>2.0123927738066247E-2</v>
      </c>
      <c r="S235" s="24">
        <f t="shared" ca="1" si="500"/>
        <v>0</v>
      </c>
      <c r="T235" s="10">
        <f t="shared" ca="1" si="465"/>
        <v>0</v>
      </c>
      <c r="U235" s="41">
        <f t="shared" ca="1" si="466"/>
        <v>0.56887194799047369</v>
      </c>
      <c r="V235" s="41">
        <f t="shared" ca="1" si="467"/>
        <v>4.0562409315280677E-2</v>
      </c>
      <c r="W235" s="41">
        <f t="shared" ca="1" si="468"/>
        <v>14.024609425164696</v>
      </c>
      <c r="X235" s="20">
        <f t="shared" ca="1" si="469"/>
        <v>757.64631320281137</v>
      </c>
      <c r="Y235" s="41">
        <f t="shared" si="470"/>
        <v>0.56447742652663724</v>
      </c>
      <c r="Z235" s="41">
        <f t="shared" ca="1" si="471"/>
        <v>145.95608486134981</v>
      </c>
      <c r="AA235" s="14">
        <f t="shared" ca="1" si="472"/>
        <v>757.64631320281137</v>
      </c>
      <c r="AB235" s="14">
        <f t="shared" si="473"/>
        <v>5628.3916222821908</v>
      </c>
      <c r="AC235" s="25">
        <f t="shared" ca="1" si="474"/>
        <v>212466.81501294646</v>
      </c>
      <c r="AD235" s="41">
        <f t="shared" si="475"/>
        <v>1578370.303917438</v>
      </c>
      <c r="AE235" s="5">
        <f t="shared" ca="1" si="476"/>
        <v>13.461151320803122</v>
      </c>
      <c r="AF235" s="7">
        <f t="shared" ca="1" si="477"/>
        <v>757.64631320281137</v>
      </c>
      <c r="AG235" s="41"/>
      <c r="AH235" s="41"/>
      <c r="AI235" s="41">
        <f t="shared" ca="1" si="478"/>
        <v>620.41927494446304</v>
      </c>
      <c r="AJ235" s="13">
        <f t="shared" ca="1" si="479"/>
        <v>0</v>
      </c>
      <c r="AK235" s="11"/>
      <c r="AL235" s="6">
        <v>0</v>
      </c>
      <c r="AM235" s="6">
        <v>135</v>
      </c>
      <c r="AN235" s="41">
        <f t="shared" ca="1" si="480"/>
        <v>23.265722810417362</v>
      </c>
      <c r="AO235" s="41">
        <f t="shared" ca="1" si="481"/>
        <v>6.2306375464619368</v>
      </c>
      <c r="AP235" s="67">
        <f t="shared" si="482"/>
        <v>0.81887717808822158</v>
      </c>
      <c r="AQ235" s="11">
        <f t="shared" si="483"/>
        <v>1.0314301707183759</v>
      </c>
      <c r="AR235" s="11">
        <f t="shared" si="484"/>
        <v>0.8962407041850623</v>
      </c>
      <c r="AS235" s="11">
        <f t="shared" si="485"/>
        <v>0.86893008332386068</v>
      </c>
      <c r="AT235" s="11">
        <f t="shared" si="486"/>
        <v>534.97188664650002</v>
      </c>
      <c r="AU235" s="11">
        <f t="shared" si="487"/>
        <v>1896.6425030105124</v>
      </c>
      <c r="AV235" s="11">
        <f t="shared" si="488"/>
        <v>2.0653599150524844E-3</v>
      </c>
      <c r="AW235" s="11">
        <f t="shared" si="489"/>
        <v>3.8278171249107636E-7</v>
      </c>
      <c r="AX235" s="41">
        <f t="shared" ca="1" si="490"/>
        <v>1.2278681162961373</v>
      </c>
      <c r="AY235" s="41">
        <f t="shared" ca="1" si="491"/>
        <v>1.6539627473816845</v>
      </c>
      <c r="AZ235" s="41">
        <f t="shared" si="492"/>
        <v>0.18257797167354342</v>
      </c>
    </row>
    <row r="236" spans="1:52" ht="14.5">
      <c r="A236" s="41">
        <f t="shared" ca="1" si="493"/>
        <v>570.58598468436492</v>
      </c>
      <c r="B236" s="41">
        <f t="shared" ca="1" si="494"/>
        <v>9.5097664114060816</v>
      </c>
      <c r="C236" s="41">
        <f t="shared" ca="1" si="494"/>
        <v>0.15849610685676802</v>
      </c>
      <c r="D236" s="41">
        <f t="shared" ca="1" si="495"/>
        <v>10602.427902275014</v>
      </c>
      <c r="E236" s="41">
        <f t="shared" ca="1" si="496"/>
        <v>25.362550054674394</v>
      </c>
      <c r="F236" s="41">
        <f t="shared" ca="1" si="497"/>
        <v>24.922550185847747</v>
      </c>
      <c r="G236" s="41"/>
      <c r="H236" s="7">
        <f t="shared" si="498"/>
        <v>3000</v>
      </c>
      <c r="I236" s="6">
        <v>15</v>
      </c>
      <c r="J236" s="41">
        <f t="shared" si="457"/>
        <v>0.24732368472035268</v>
      </c>
      <c r="K236" s="41">
        <f t="shared" si="458"/>
        <v>280.43007840265443</v>
      </c>
      <c r="L236" s="6">
        <f t="shared" si="499"/>
        <v>155</v>
      </c>
      <c r="M236" s="41">
        <f t="shared" si="459"/>
        <v>166.15033457231831</v>
      </c>
      <c r="N236" s="41">
        <f t="shared" si="460"/>
        <v>81.211014356305881</v>
      </c>
      <c r="O236" s="41">
        <f t="shared" si="461"/>
        <v>1513105.3130480214</v>
      </c>
      <c r="P236" s="41">
        <f t="shared" si="462"/>
        <v>9715199.3449142762</v>
      </c>
      <c r="Q236" s="41">
        <f t="shared" si="463"/>
        <v>3.0004970951086601E-3</v>
      </c>
      <c r="R236" s="41">
        <f t="shared" si="464"/>
        <v>2.0123927738066247E-2</v>
      </c>
      <c r="S236" s="24">
        <f t="shared" ca="1" si="500"/>
        <v>-6.143664496166571E-16</v>
      </c>
      <c r="T236" s="10">
        <f t="shared" ca="1" si="465"/>
        <v>-6.143664496166571E-16</v>
      </c>
      <c r="U236" s="41">
        <f t="shared" ca="1" si="466"/>
        <v>0.56762636181760284</v>
      </c>
      <c r="V236" s="41">
        <f t="shared" ca="1" si="467"/>
        <v>4.0473004241982927E-2</v>
      </c>
      <c r="W236" s="41">
        <f t="shared" ca="1" si="468"/>
        <v>14.024814131015264</v>
      </c>
      <c r="X236" s="20">
        <f t="shared" ca="1" si="469"/>
        <v>755.97635756385603</v>
      </c>
      <c r="Y236" s="41">
        <f t="shared" si="470"/>
        <v>0.56447742652663724</v>
      </c>
      <c r="Z236" s="41">
        <f t="shared" ca="1" si="471"/>
        <v>145.79620660805637</v>
      </c>
      <c r="AA236" s="14">
        <f t="shared" ca="1" si="472"/>
        <v>755.97635756385591</v>
      </c>
      <c r="AB236" s="14">
        <f t="shared" si="473"/>
        <v>5628.3916222821908</v>
      </c>
      <c r="AC236" s="25">
        <f t="shared" ca="1" si="474"/>
        <v>211998.50922218524</v>
      </c>
      <c r="AD236" s="41">
        <f t="shared" si="475"/>
        <v>1578370.303917438</v>
      </c>
      <c r="AE236" s="5">
        <f t="shared" ca="1" si="476"/>
        <v>13.431481110358911</v>
      </c>
      <c r="AF236" s="7">
        <f t="shared" ca="1" si="477"/>
        <v>755.97635756385591</v>
      </c>
      <c r="AG236" s="41"/>
      <c r="AH236" s="41"/>
      <c r="AI236" s="41">
        <f t="shared" ca="1" si="478"/>
        <v>619.05178638330267</v>
      </c>
      <c r="AJ236" s="13">
        <f t="shared" ca="1" si="479"/>
        <v>-3.006972469841717E-15</v>
      </c>
      <c r="AK236" s="11"/>
      <c r="AL236" s="6">
        <v>0</v>
      </c>
      <c r="AM236" s="6">
        <v>135</v>
      </c>
      <c r="AN236" s="41">
        <f t="shared" ca="1" si="480"/>
        <v>23.214441989373849</v>
      </c>
      <c r="AO236" s="41">
        <f t="shared" ca="1" si="481"/>
        <v>6.2306375464619368</v>
      </c>
      <c r="AP236" s="67">
        <f t="shared" si="482"/>
        <v>0.81887717808822158</v>
      </c>
      <c r="AQ236" s="11">
        <f t="shared" si="483"/>
        <v>1.0314301707183759</v>
      </c>
      <c r="AR236" s="11">
        <f t="shared" si="484"/>
        <v>0.8962407041850623</v>
      </c>
      <c r="AS236" s="11">
        <f t="shared" si="485"/>
        <v>0.86893008332386068</v>
      </c>
      <c r="AT236" s="11">
        <f t="shared" si="486"/>
        <v>534.97188664650002</v>
      </c>
      <c r="AU236" s="11">
        <f t="shared" si="487"/>
        <v>1896.6425030105124</v>
      </c>
      <c r="AV236" s="11">
        <f t="shared" si="488"/>
        <v>2.0653599150524844E-3</v>
      </c>
      <c r="AW236" s="11">
        <f t="shared" si="489"/>
        <v>3.8278171249107636E-7</v>
      </c>
      <c r="AX236" s="41">
        <f t="shared" ca="1" si="490"/>
        <v>1.2295811232899188</v>
      </c>
      <c r="AY236" s="41">
        <f t="shared" ca="1" si="491"/>
        <v>1.6562702018355595</v>
      </c>
      <c r="AZ236" s="41">
        <f t="shared" si="492"/>
        <v>0.18257797167354342</v>
      </c>
    </row>
    <row r="237" spans="1:52" ht="14.5">
      <c r="A237" s="41">
        <f t="shared" ca="1" si="493"/>
        <v>705.58598468436492</v>
      </c>
      <c r="B237" s="41">
        <f t="shared" ca="1" si="494"/>
        <v>11.759766411406082</v>
      </c>
      <c r="C237" s="41">
        <f t="shared" ca="1" si="494"/>
        <v>0.19599610685676802</v>
      </c>
      <c r="D237" s="41">
        <f t="shared" ca="1" si="495"/>
        <v>10579.21346028564</v>
      </c>
      <c r="E237" s="41">
        <f t="shared" ca="1" si="496"/>
        <v>31.593187601136329</v>
      </c>
      <c r="F237" s="41">
        <f t="shared" ca="1" si="497"/>
        <v>31.153187732309682</v>
      </c>
      <c r="G237" s="41"/>
      <c r="H237" s="7">
        <f t="shared" si="498"/>
        <v>3000</v>
      </c>
      <c r="I237" s="6">
        <v>15</v>
      </c>
      <c r="J237" s="41">
        <f t="shared" si="457"/>
        <v>0.24732368472035268</v>
      </c>
      <c r="K237" s="41">
        <f t="shared" si="458"/>
        <v>280.43007840265443</v>
      </c>
      <c r="L237" s="6">
        <f t="shared" si="499"/>
        <v>155</v>
      </c>
      <c r="M237" s="41">
        <f t="shared" si="459"/>
        <v>166.15033457231831</v>
      </c>
      <c r="N237" s="41">
        <f t="shared" si="460"/>
        <v>81.211014356305881</v>
      </c>
      <c r="O237" s="41">
        <f t="shared" si="461"/>
        <v>1513105.3130480214</v>
      </c>
      <c r="P237" s="41">
        <f t="shared" si="462"/>
        <v>9715199.3449142762</v>
      </c>
      <c r="Q237" s="41">
        <f t="shared" si="463"/>
        <v>3.0004970951086601E-3</v>
      </c>
      <c r="R237" s="41">
        <f t="shared" si="464"/>
        <v>2.0123927738066247E-2</v>
      </c>
      <c r="S237" s="24">
        <f t="shared" ca="1" si="500"/>
        <v>0</v>
      </c>
      <c r="T237" s="10">
        <f t="shared" ca="1" si="465"/>
        <v>0</v>
      </c>
      <c r="U237" s="41">
        <f t="shared" ca="1" si="466"/>
        <v>0.56638352108626178</v>
      </c>
      <c r="V237" s="41">
        <f t="shared" ca="1" si="467"/>
        <v>4.0383991555595758E-2</v>
      </c>
      <c r="W237" s="41">
        <f t="shared" ca="1" si="468"/>
        <v>14.024951454007065</v>
      </c>
      <c r="X237" s="20">
        <f t="shared" ca="1" si="469"/>
        <v>754.31373113687721</v>
      </c>
      <c r="Y237" s="41">
        <f t="shared" si="470"/>
        <v>0.56447742652663724</v>
      </c>
      <c r="Z237" s="41">
        <f t="shared" ca="1" si="471"/>
        <v>145.63650581546574</v>
      </c>
      <c r="AA237" s="14">
        <f t="shared" ca="1" si="472"/>
        <v>754.31373113687721</v>
      </c>
      <c r="AB237" s="14">
        <f t="shared" si="473"/>
        <v>5628.3916222821908</v>
      </c>
      <c r="AC237" s="25">
        <f t="shared" ca="1" si="474"/>
        <v>211532.25876291326</v>
      </c>
      <c r="AD237" s="41">
        <f t="shared" si="475"/>
        <v>1578370.303917438</v>
      </c>
      <c r="AE237" s="5">
        <f t="shared" ca="1" si="476"/>
        <v>13.401941118500552</v>
      </c>
      <c r="AF237" s="7">
        <f t="shared" ca="1" si="477"/>
        <v>754.31373113687721</v>
      </c>
      <c r="AG237" s="41"/>
      <c r="AH237" s="41"/>
      <c r="AI237" s="41">
        <f t="shared" ca="1" si="478"/>
        <v>617.69029954656344</v>
      </c>
      <c r="AJ237" s="13">
        <f t="shared" ca="1" si="479"/>
        <v>0</v>
      </c>
      <c r="AK237" s="11"/>
      <c r="AL237" s="6">
        <v>0</v>
      </c>
      <c r="AM237" s="6">
        <v>135</v>
      </c>
      <c r="AN237" s="41">
        <f t="shared" ca="1" si="480"/>
        <v>23.163386232996128</v>
      </c>
      <c r="AO237" s="41">
        <f t="shared" ca="1" si="481"/>
        <v>6.2306375464619368</v>
      </c>
      <c r="AP237" s="67">
        <f t="shared" si="482"/>
        <v>0.81887717808822158</v>
      </c>
      <c r="AQ237" s="11">
        <f t="shared" si="483"/>
        <v>1.0314301707183759</v>
      </c>
      <c r="AR237" s="11">
        <f t="shared" si="484"/>
        <v>0.8962407041850623</v>
      </c>
      <c r="AS237" s="11">
        <f t="shared" si="485"/>
        <v>0.86893008332386068</v>
      </c>
      <c r="AT237" s="11">
        <f t="shared" si="486"/>
        <v>534.97188664650002</v>
      </c>
      <c r="AU237" s="11">
        <f t="shared" si="487"/>
        <v>1896.6425030105124</v>
      </c>
      <c r="AV237" s="11">
        <f t="shared" si="488"/>
        <v>2.0653599150524844E-3</v>
      </c>
      <c r="AW237" s="11">
        <f t="shared" si="489"/>
        <v>3.8278171249107636E-7</v>
      </c>
      <c r="AX237" s="41">
        <f t="shared" ca="1" si="490"/>
        <v>1.2313005325851436</v>
      </c>
      <c r="AY237" s="41">
        <f t="shared" ca="1" si="491"/>
        <v>1.6585862803166769</v>
      </c>
      <c r="AZ237" s="41">
        <f t="shared" si="492"/>
        <v>0.18257797167354342</v>
      </c>
    </row>
    <row r="238" spans="1:52" ht="14.5">
      <c r="A238" s="41">
        <f t="shared" ca="1" si="493"/>
        <v>840.58598468436492</v>
      </c>
      <c r="B238" s="41">
        <f t="shared" ca="1" si="494"/>
        <v>14.009766411406082</v>
      </c>
      <c r="C238" s="41">
        <f t="shared" ca="1" si="494"/>
        <v>0.23349610685676803</v>
      </c>
      <c r="D238" s="41">
        <f t="shared" ca="1" si="495"/>
        <v>10556.050074052644</v>
      </c>
      <c r="E238" s="41">
        <f t="shared" ca="1" si="496"/>
        <v>37.823825147598264</v>
      </c>
      <c r="F238" s="41">
        <f t="shared" ca="1" si="497"/>
        <v>37.383825278771617</v>
      </c>
      <c r="G238" s="41"/>
      <c r="H238" s="7">
        <f t="shared" si="498"/>
        <v>3000</v>
      </c>
      <c r="I238" s="6">
        <v>15</v>
      </c>
      <c r="J238" s="41">
        <f t="shared" si="457"/>
        <v>0.24732368472035268</v>
      </c>
      <c r="K238" s="41">
        <f t="shared" si="458"/>
        <v>280.43007840265443</v>
      </c>
      <c r="L238" s="6">
        <f t="shared" si="499"/>
        <v>155</v>
      </c>
      <c r="M238" s="41">
        <f t="shared" si="459"/>
        <v>166.15033457231831</v>
      </c>
      <c r="N238" s="41">
        <f t="shared" si="460"/>
        <v>81.211014356305881</v>
      </c>
      <c r="O238" s="41">
        <f t="shared" si="461"/>
        <v>1513105.3130480214</v>
      </c>
      <c r="P238" s="41">
        <f t="shared" si="462"/>
        <v>9715199.3449142762</v>
      </c>
      <c r="Q238" s="41">
        <f t="shared" si="463"/>
        <v>3.0004970951086601E-3</v>
      </c>
      <c r="R238" s="41">
        <f t="shared" si="464"/>
        <v>2.0123927738066247E-2</v>
      </c>
      <c r="S238" s="24">
        <f t="shared" ca="1" si="500"/>
        <v>0</v>
      </c>
      <c r="T238" s="10">
        <f t="shared" ca="1" si="465"/>
        <v>0</v>
      </c>
      <c r="U238" s="41">
        <f t="shared" ca="1" si="466"/>
        <v>0.56514341374707489</v>
      </c>
      <c r="V238" s="41">
        <f t="shared" ca="1" si="467"/>
        <v>4.0295369102971962E-2</v>
      </c>
      <c r="W238" s="41">
        <f t="shared" ca="1" si="468"/>
        <v>14.025021393969389</v>
      </c>
      <c r="X238" s="20">
        <f t="shared" ca="1" si="469"/>
        <v>752.65839370424305</v>
      </c>
      <c r="Y238" s="41">
        <f t="shared" si="470"/>
        <v>0.56447742652663724</v>
      </c>
      <c r="Z238" s="41">
        <f t="shared" ca="1" si="471"/>
        <v>145.47698151716168</v>
      </c>
      <c r="AA238" s="14">
        <f t="shared" ca="1" si="472"/>
        <v>752.65839370424305</v>
      </c>
      <c r="AB238" s="14">
        <f t="shared" si="473"/>
        <v>5628.3916222821908</v>
      </c>
      <c r="AC238" s="25">
        <f t="shared" ca="1" si="474"/>
        <v>211068.05235689683</v>
      </c>
      <c r="AD238" s="41">
        <f t="shared" si="475"/>
        <v>1578370.303917438</v>
      </c>
      <c r="AE238" s="5">
        <f t="shared" ca="1" si="476"/>
        <v>13.372530630678758</v>
      </c>
      <c r="AF238" s="7">
        <f t="shared" ca="1" si="477"/>
        <v>752.65839370424305</v>
      </c>
      <c r="AG238" s="41"/>
      <c r="AH238" s="41"/>
      <c r="AI238" s="41">
        <f t="shared" ca="1" si="478"/>
        <v>616.33478150094425</v>
      </c>
      <c r="AJ238" s="13">
        <f t="shared" ca="1" si="479"/>
        <v>0</v>
      </c>
      <c r="AK238" s="11"/>
      <c r="AL238" s="6">
        <v>0</v>
      </c>
      <c r="AM238" s="6">
        <v>135</v>
      </c>
      <c r="AN238" s="41">
        <f t="shared" ca="1" si="480"/>
        <v>23.112554306285407</v>
      </c>
      <c r="AO238" s="41">
        <f t="shared" ca="1" si="481"/>
        <v>6.2306375464619368</v>
      </c>
      <c r="AP238" s="67">
        <f t="shared" si="482"/>
        <v>0.81887717808822158</v>
      </c>
      <c r="AQ238" s="11">
        <f t="shared" si="483"/>
        <v>1.0314301707183759</v>
      </c>
      <c r="AR238" s="11">
        <f t="shared" si="484"/>
        <v>0.8962407041850623</v>
      </c>
      <c r="AS238" s="11">
        <f t="shared" si="485"/>
        <v>0.86893008332386068</v>
      </c>
      <c r="AT238" s="11">
        <f t="shared" si="486"/>
        <v>534.97188664650002</v>
      </c>
      <c r="AU238" s="11">
        <f t="shared" si="487"/>
        <v>1896.6425030105124</v>
      </c>
      <c r="AV238" s="11">
        <f t="shared" si="488"/>
        <v>2.0653599150524844E-3</v>
      </c>
      <c r="AW238" s="11">
        <f t="shared" si="489"/>
        <v>3.8278171249107636E-7</v>
      </c>
      <c r="AX238" s="41">
        <f t="shared" ca="1" si="490"/>
        <v>1.233026356935528</v>
      </c>
      <c r="AY238" s="41">
        <f t="shared" ca="1" si="491"/>
        <v>1.6609110000045457</v>
      </c>
      <c r="AZ238" s="41">
        <f t="shared" si="492"/>
        <v>0.18257797167354342</v>
      </c>
    </row>
    <row r="239" spans="1:52" ht="14.5">
      <c r="A239" s="41">
        <f t="shared" ca="1" si="493"/>
        <v>975.58598468436492</v>
      </c>
      <c r="B239" s="41">
        <f t="shared" ca="1" si="494"/>
        <v>16.259766411406083</v>
      </c>
      <c r="C239" s="41">
        <f t="shared" ca="1" si="494"/>
        <v>0.27099610685676806</v>
      </c>
      <c r="D239" s="41">
        <f t="shared" ca="1" si="495"/>
        <v>10532.937519746358</v>
      </c>
      <c r="E239" s="41">
        <f t="shared" ca="1" si="496"/>
        <v>44.054462694060199</v>
      </c>
      <c r="F239" s="41">
        <f t="shared" ca="1" si="497"/>
        <v>43.614462825233552</v>
      </c>
      <c r="G239" s="41"/>
      <c r="H239" s="7">
        <f t="shared" si="498"/>
        <v>3000</v>
      </c>
      <c r="I239" s="6">
        <v>15</v>
      </c>
      <c r="J239" s="41">
        <f t="shared" si="457"/>
        <v>0.24732368472035268</v>
      </c>
      <c r="K239" s="41">
        <f t="shared" si="458"/>
        <v>280.43007840265443</v>
      </c>
      <c r="L239" s="6">
        <f t="shared" si="499"/>
        <v>155</v>
      </c>
      <c r="M239" s="41">
        <f t="shared" si="459"/>
        <v>166.15033457231831</v>
      </c>
      <c r="N239" s="41">
        <f t="shared" si="460"/>
        <v>81.211014356305881</v>
      </c>
      <c r="O239" s="41">
        <f t="shared" si="461"/>
        <v>1513105.3130480214</v>
      </c>
      <c r="P239" s="41">
        <f t="shared" si="462"/>
        <v>9715199.3449142762</v>
      </c>
      <c r="Q239" s="41">
        <f t="shared" si="463"/>
        <v>3.0004970951086601E-3</v>
      </c>
      <c r="R239" s="41">
        <f t="shared" si="464"/>
        <v>2.0123927738066247E-2</v>
      </c>
      <c r="S239" s="24">
        <f t="shared" ca="1" si="500"/>
        <v>-6.1841969302730091E-16</v>
      </c>
      <c r="T239" s="10">
        <f t="shared" ca="1" si="465"/>
        <v>-6.1841969302730091E-16</v>
      </c>
      <c r="U239" s="41">
        <f t="shared" ca="1" si="466"/>
        <v>0.56390602781678489</v>
      </c>
      <c r="V239" s="41">
        <f t="shared" ca="1" si="467"/>
        <v>4.0207134746063154E-2</v>
      </c>
      <c r="W239" s="41">
        <f t="shared" ca="1" si="468"/>
        <v>14.025023951053843</v>
      </c>
      <c r="X239" s="20">
        <f t="shared" ca="1" si="469"/>
        <v>751.01030533034577</v>
      </c>
      <c r="Y239" s="41">
        <f t="shared" si="470"/>
        <v>0.56447742652663724</v>
      </c>
      <c r="Z239" s="41">
        <f t="shared" ca="1" si="471"/>
        <v>145.31763275035826</v>
      </c>
      <c r="AA239" s="14">
        <f t="shared" ca="1" si="472"/>
        <v>751.01030533034566</v>
      </c>
      <c r="AB239" s="14">
        <f t="shared" si="473"/>
        <v>5628.3916222821908</v>
      </c>
      <c r="AC239" s="25">
        <f t="shared" ca="1" si="474"/>
        <v>210605.87880499027</v>
      </c>
      <c r="AD239" s="41">
        <f t="shared" si="475"/>
        <v>1578370.303917438</v>
      </c>
      <c r="AE239" s="5">
        <f t="shared" ca="1" si="476"/>
        <v>13.343248937354989</v>
      </c>
      <c r="AF239" s="7">
        <f t="shared" ca="1" si="477"/>
        <v>751.01030533034566</v>
      </c>
      <c r="AG239" s="41"/>
      <c r="AH239" s="41"/>
      <c r="AI239" s="41">
        <f t="shared" ca="1" si="478"/>
        <v>614.9851995440871</v>
      </c>
      <c r="AJ239" s="13">
        <f t="shared" ca="1" si="479"/>
        <v>-3.026810778650699E-15</v>
      </c>
      <c r="AK239" s="11"/>
      <c r="AL239" s="6">
        <v>0</v>
      </c>
      <c r="AM239" s="6">
        <v>135</v>
      </c>
      <c r="AN239" s="41">
        <f t="shared" ca="1" si="480"/>
        <v>23.061944982903267</v>
      </c>
      <c r="AO239" s="41">
        <f t="shared" ca="1" si="481"/>
        <v>6.2306375464619368</v>
      </c>
      <c r="AP239" s="67">
        <f t="shared" si="482"/>
        <v>0.81887717808822158</v>
      </c>
      <c r="AQ239" s="11">
        <f t="shared" si="483"/>
        <v>1.0314301707183759</v>
      </c>
      <c r="AR239" s="11">
        <f t="shared" si="484"/>
        <v>0.8962407041850623</v>
      </c>
      <c r="AS239" s="11">
        <f t="shared" si="485"/>
        <v>0.86893008332386068</v>
      </c>
      <c r="AT239" s="11">
        <f t="shared" si="486"/>
        <v>534.97188664650002</v>
      </c>
      <c r="AU239" s="11">
        <f t="shared" si="487"/>
        <v>1896.6425030105124</v>
      </c>
      <c r="AV239" s="11">
        <f t="shared" si="488"/>
        <v>2.0653599150524844E-3</v>
      </c>
      <c r="AW239" s="11">
        <f t="shared" si="489"/>
        <v>3.8278171249107636E-7</v>
      </c>
      <c r="AX239" s="41">
        <f t="shared" ca="1" si="490"/>
        <v>1.2347586092734075</v>
      </c>
      <c r="AY239" s="41">
        <f t="shared" ca="1" si="491"/>
        <v>1.663244378319279</v>
      </c>
      <c r="AZ239" s="41">
        <f t="shared" si="492"/>
        <v>0.18257797167354342</v>
      </c>
    </row>
    <row r="240" spans="1:52" ht="14.5">
      <c r="A240" s="41">
        <f t="shared" ca="1" si="493"/>
        <v>1110.585984684365</v>
      </c>
      <c r="B240" s="41">
        <f t="shared" ca="1" si="494"/>
        <v>18.509766411406083</v>
      </c>
      <c r="C240" s="41">
        <f t="shared" ca="1" si="494"/>
        <v>0.30849610685676804</v>
      </c>
      <c r="D240" s="41">
        <f t="shared" ca="1" si="495"/>
        <v>10509.875574763455</v>
      </c>
      <c r="E240" s="41">
        <f t="shared" ca="1" si="496"/>
        <v>50.285100240522134</v>
      </c>
      <c r="F240" s="41">
        <f t="shared" ca="1" si="497"/>
        <v>49.845100371695487</v>
      </c>
      <c r="G240" s="41"/>
      <c r="H240" s="7">
        <f t="shared" si="498"/>
        <v>3000</v>
      </c>
      <c r="I240" s="6">
        <v>15</v>
      </c>
      <c r="J240" s="41">
        <f t="shared" si="457"/>
        <v>0.24732368472035268</v>
      </c>
      <c r="K240" s="41">
        <f t="shared" si="458"/>
        <v>280.43007840265443</v>
      </c>
      <c r="L240" s="6">
        <f t="shared" si="499"/>
        <v>155</v>
      </c>
      <c r="M240" s="41">
        <f t="shared" si="459"/>
        <v>166.15033457231831</v>
      </c>
      <c r="N240" s="41">
        <f t="shared" si="460"/>
        <v>81.211014356305881</v>
      </c>
      <c r="O240" s="41">
        <f t="shared" si="461"/>
        <v>1513105.3130480214</v>
      </c>
      <c r="P240" s="41">
        <f t="shared" si="462"/>
        <v>9715199.3449142762</v>
      </c>
      <c r="Q240" s="41">
        <f t="shared" si="463"/>
        <v>3.0004970951086601E-3</v>
      </c>
      <c r="R240" s="41">
        <f t="shared" si="464"/>
        <v>2.0123927738066247E-2</v>
      </c>
      <c r="S240" s="24">
        <f t="shared" ca="1" si="500"/>
        <v>6.1977669871547342E-16</v>
      </c>
      <c r="T240" s="10">
        <f t="shared" ca="1" si="465"/>
        <v>6.1977669871547342E-16</v>
      </c>
      <c r="U240" s="41">
        <f t="shared" ca="1" si="466"/>
        <v>0.56267135137778979</v>
      </c>
      <c r="V240" s="41">
        <f t="shared" ca="1" si="467"/>
        <v>4.0119286361793884E-2</v>
      </c>
      <c r="W240" s="41">
        <f t="shared" ca="1" si="468"/>
        <v>14.024959125734325</v>
      </c>
      <c r="X240" s="20">
        <f t="shared" ca="1" si="469"/>
        <v>749.3694263592497</v>
      </c>
      <c r="Y240" s="41">
        <f t="shared" si="470"/>
        <v>0.56447742652663724</v>
      </c>
      <c r="Z240" s="41">
        <f t="shared" ca="1" si="471"/>
        <v>145.15845855587162</v>
      </c>
      <c r="AA240" s="14">
        <f t="shared" ca="1" si="472"/>
        <v>749.3694263592497</v>
      </c>
      <c r="AB240" s="14">
        <f t="shared" si="473"/>
        <v>5628.3916222821908</v>
      </c>
      <c r="AC240" s="25">
        <f t="shared" ca="1" si="474"/>
        <v>210145.72698647657</v>
      </c>
      <c r="AD240" s="41">
        <f t="shared" si="475"/>
        <v>1578370.303917438</v>
      </c>
      <c r="AE240" s="5">
        <f t="shared" ca="1" si="476"/>
        <v>13.314095333959663</v>
      </c>
      <c r="AF240" s="7">
        <f t="shared" ca="1" si="477"/>
        <v>749.36942635924981</v>
      </c>
      <c r="AG240" s="41"/>
      <c r="AH240" s="41"/>
      <c r="AI240" s="41">
        <f t="shared" ca="1" si="478"/>
        <v>613.6415212026518</v>
      </c>
      <c r="AJ240" s="13">
        <f t="shared" ca="1" si="479"/>
        <v>3.0334525455445447E-15</v>
      </c>
      <c r="AK240" s="11"/>
      <c r="AL240" s="6">
        <v>0</v>
      </c>
      <c r="AM240" s="6">
        <v>135</v>
      </c>
      <c r="AN240" s="41">
        <f t="shared" ca="1" si="480"/>
        <v>23.01155704509944</v>
      </c>
      <c r="AO240" s="41">
        <f t="shared" ca="1" si="481"/>
        <v>6.2306375464619368</v>
      </c>
      <c r="AP240" s="67">
        <f t="shared" si="482"/>
        <v>0.81887717808822158</v>
      </c>
      <c r="AQ240" s="11">
        <f t="shared" si="483"/>
        <v>1.0314301707183759</v>
      </c>
      <c r="AR240" s="11">
        <f t="shared" si="484"/>
        <v>0.8962407041850623</v>
      </c>
      <c r="AS240" s="11">
        <f t="shared" si="485"/>
        <v>0.86893008332386068</v>
      </c>
      <c r="AT240" s="11">
        <f t="shared" si="486"/>
        <v>534.97188664650002</v>
      </c>
      <c r="AU240" s="11">
        <f t="shared" si="487"/>
        <v>1896.6425030105124</v>
      </c>
      <c r="AV240" s="11">
        <f t="shared" si="488"/>
        <v>2.0653599150524844E-3</v>
      </c>
      <c r="AW240" s="11">
        <f t="shared" si="489"/>
        <v>3.8278171249107636E-7</v>
      </c>
      <c r="AX240" s="41">
        <f t="shared" ca="1" si="490"/>
        <v>1.2364973027099972</v>
      </c>
      <c r="AY240" s="41">
        <f t="shared" ca="1" si="491"/>
        <v>1.6655864329219434</v>
      </c>
      <c r="AZ240" s="41">
        <f t="shared" si="492"/>
        <v>0.18257797167354342</v>
      </c>
    </row>
    <row r="241" spans="1:52" ht="14.5">
      <c r="A241" s="41">
        <f t="shared" ca="1" si="493"/>
        <v>1245.585984684365</v>
      </c>
      <c r="B241" s="41">
        <f t="shared" ca="1" si="494"/>
        <v>20.759766411406083</v>
      </c>
      <c r="C241" s="41">
        <f t="shared" ca="1" si="494"/>
        <v>0.34599610685676807</v>
      </c>
      <c r="D241" s="41">
        <f t="shared" ca="1" si="495"/>
        <v>10486.864017718355</v>
      </c>
      <c r="E241" s="41">
        <f t="shared" ca="1" si="496"/>
        <v>56.515737786984069</v>
      </c>
      <c r="F241" s="41">
        <f t="shared" ca="1" si="497"/>
        <v>56.075737918157422</v>
      </c>
      <c r="G241" s="41"/>
      <c r="H241" s="7">
        <f t="shared" si="498"/>
        <v>3000</v>
      </c>
      <c r="I241" s="6">
        <v>15</v>
      </c>
      <c r="J241" s="41">
        <f t="shared" si="457"/>
        <v>0.24732368472035268</v>
      </c>
      <c r="K241" s="41">
        <f t="shared" si="458"/>
        <v>280.43007840265443</v>
      </c>
      <c r="L241" s="6">
        <f t="shared" si="499"/>
        <v>155</v>
      </c>
      <c r="M241" s="41">
        <f t="shared" si="459"/>
        <v>166.15033457231831</v>
      </c>
      <c r="N241" s="41">
        <f t="shared" si="460"/>
        <v>81.211014356305881</v>
      </c>
      <c r="O241" s="41">
        <f t="shared" si="461"/>
        <v>1513105.3130480214</v>
      </c>
      <c r="P241" s="41">
        <f t="shared" si="462"/>
        <v>9715199.3449142762</v>
      </c>
      <c r="Q241" s="41">
        <f t="shared" si="463"/>
        <v>3.0004970951086601E-3</v>
      </c>
      <c r="R241" s="41">
        <f t="shared" si="464"/>
        <v>2.0123927738066247E-2</v>
      </c>
      <c r="S241" s="24">
        <f t="shared" ca="1" si="500"/>
        <v>-6.2113668839719505E-16</v>
      </c>
      <c r="T241" s="10">
        <f t="shared" ca="1" si="465"/>
        <v>-6.2113668839719505E-16</v>
      </c>
      <c r="U241" s="41">
        <f t="shared" ca="1" si="466"/>
        <v>0.56143937257768262</v>
      </c>
      <c r="V241" s="41">
        <f t="shared" ca="1" si="467"/>
        <v>4.0031821841936731E-2</v>
      </c>
      <c r="W241" s="41">
        <f t="shared" ca="1" si="468"/>
        <v>14.024826918807058</v>
      </c>
      <c r="X241" s="20">
        <f t="shared" ca="1" si="469"/>
        <v>747.73571741235878</v>
      </c>
      <c r="Y241" s="41">
        <f t="shared" si="470"/>
        <v>0.56447742652663724</v>
      </c>
      <c r="Z241" s="41">
        <f t="shared" ca="1" si="471"/>
        <v>144.99945797809204</v>
      </c>
      <c r="AA241" s="14">
        <f t="shared" ca="1" si="472"/>
        <v>747.73571741235867</v>
      </c>
      <c r="AB241" s="14">
        <f t="shared" si="473"/>
        <v>5628.3916222821908</v>
      </c>
      <c r="AC241" s="25">
        <f t="shared" ca="1" si="474"/>
        <v>209687.58585841279</v>
      </c>
      <c r="AD241" s="41">
        <f t="shared" si="475"/>
        <v>1578370.303917438</v>
      </c>
      <c r="AE241" s="5">
        <f t="shared" ca="1" si="476"/>
        <v>13.285069120850693</v>
      </c>
      <c r="AF241" s="7">
        <f t="shared" ca="1" si="477"/>
        <v>747.73571741235867</v>
      </c>
      <c r="AG241" s="41"/>
      <c r="AH241" s="41"/>
      <c r="AI241" s="41">
        <f t="shared" ca="1" si="478"/>
        <v>612.30371423040413</v>
      </c>
      <c r="AJ241" s="13">
        <f t="shared" ca="1" si="479"/>
        <v>-3.0401089173805351E-15</v>
      </c>
      <c r="AK241" s="11"/>
      <c r="AL241" s="6">
        <v>0</v>
      </c>
      <c r="AM241" s="6">
        <v>135</v>
      </c>
      <c r="AN241" s="41">
        <f t="shared" ca="1" si="480"/>
        <v>22.961389283640155</v>
      </c>
      <c r="AO241" s="41">
        <f t="shared" ca="1" si="481"/>
        <v>6.2306375464619368</v>
      </c>
      <c r="AP241" s="67">
        <f t="shared" si="482"/>
        <v>0.81887717808822158</v>
      </c>
      <c r="AQ241" s="11">
        <f t="shared" si="483"/>
        <v>1.0314301707183759</v>
      </c>
      <c r="AR241" s="11">
        <f t="shared" si="484"/>
        <v>0.8962407041850623</v>
      </c>
      <c r="AS241" s="11">
        <f t="shared" si="485"/>
        <v>0.86893008332386068</v>
      </c>
      <c r="AT241" s="11">
        <f t="shared" si="486"/>
        <v>534.97188664650002</v>
      </c>
      <c r="AU241" s="11">
        <f t="shared" si="487"/>
        <v>1896.6425030105124</v>
      </c>
      <c r="AV241" s="11">
        <f t="shared" si="488"/>
        <v>2.0653599150524844E-3</v>
      </c>
      <c r="AW241" s="11">
        <f t="shared" si="489"/>
        <v>3.8278171249107636E-7</v>
      </c>
      <c r="AX241" s="41">
        <f t="shared" ca="1" si="490"/>
        <v>1.2382424505356662</v>
      </c>
      <c r="AY241" s="41">
        <f t="shared" ca="1" si="491"/>
        <v>1.6679371817149307</v>
      </c>
      <c r="AZ241" s="41">
        <f t="shared" si="492"/>
        <v>0.18257797167354342</v>
      </c>
    </row>
    <row r="242" spans="1:52" ht="14.5">
      <c r="A242" s="41">
        <f t="shared" ca="1" si="493"/>
        <v>1380.585984684365</v>
      </c>
      <c r="B242" s="41">
        <f t="shared" ca="1" si="494"/>
        <v>23.009766411406083</v>
      </c>
      <c r="C242" s="41">
        <f t="shared" ca="1" si="494"/>
        <v>0.38349610685676805</v>
      </c>
      <c r="D242" s="41">
        <f t="shared" ca="1" si="495"/>
        <v>10463.902628434715</v>
      </c>
      <c r="E242" s="41">
        <f t="shared" ca="1" si="496"/>
        <v>62.746375333446004</v>
      </c>
      <c r="F242" s="41">
        <f t="shared" ca="1" si="497"/>
        <v>62.306375464619357</v>
      </c>
      <c r="G242" s="41"/>
      <c r="H242" s="7">
        <f t="shared" si="498"/>
        <v>3000</v>
      </c>
      <c r="I242" s="6">
        <v>15</v>
      </c>
      <c r="J242" s="41">
        <f t="shared" si="457"/>
        <v>0.24732368472035268</v>
      </c>
      <c r="K242" s="41">
        <f t="shared" si="458"/>
        <v>280.43007840265443</v>
      </c>
      <c r="L242" s="6">
        <f t="shared" si="499"/>
        <v>155</v>
      </c>
      <c r="M242" s="41">
        <f t="shared" si="459"/>
        <v>166.15033457231831</v>
      </c>
      <c r="N242" s="41">
        <f t="shared" si="460"/>
        <v>81.211014356305881</v>
      </c>
      <c r="O242" s="41">
        <f t="shared" si="461"/>
        <v>1513105.3130480214</v>
      </c>
      <c r="P242" s="41">
        <f t="shared" si="462"/>
        <v>9715199.3449142762</v>
      </c>
      <c r="Q242" s="41">
        <f t="shared" si="463"/>
        <v>3.0004970951086601E-3</v>
      </c>
      <c r="R242" s="41">
        <f t="shared" si="464"/>
        <v>2.0123927738066247E-2</v>
      </c>
      <c r="S242" s="24">
        <f t="shared" ca="1" si="500"/>
        <v>6.2249967521072695E-16</v>
      </c>
      <c r="T242" s="10">
        <f t="shared" ca="1" si="465"/>
        <v>6.2249967521072695E-16</v>
      </c>
      <c r="U242" s="41">
        <f t="shared" ca="1" si="466"/>
        <v>0.56021007962879543</v>
      </c>
      <c r="V242" s="41">
        <f t="shared" ca="1" si="467"/>
        <v>3.9944739092988769E-2</v>
      </c>
      <c r="W242" s="41">
        <f t="shared" ca="1" si="468"/>
        <v>14.024627331390564</v>
      </c>
      <c r="X242" s="20">
        <f t="shared" ca="1" si="469"/>
        <v>746.10913938610884</v>
      </c>
      <c r="Y242" s="41">
        <f t="shared" si="470"/>
        <v>0.56447742652663724</v>
      </c>
      <c r="Z242" s="41">
        <f t="shared" ca="1" si="471"/>
        <v>144.84063006495614</v>
      </c>
      <c r="AA242" s="14">
        <f t="shared" ca="1" si="472"/>
        <v>746.10913938610895</v>
      </c>
      <c r="AB242" s="14">
        <f t="shared" si="473"/>
        <v>5628.3916222821908</v>
      </c>
      <c r="AC242" s="25">
        <f t="shared" ca="1" si="474"/>
        <v>209231.44445498355</v>
      </c>
      <c r="AD242" s="41">
        <f t="shared" si="475"/>
        <v>1578370.303917438</v>
      </c>
      <c r="AE242" s="5">
        <f t="shared" ca="1" si="476"/>
        <v>13.256169603272522</v>
      </c>
      <c r="AF242" s="7">
        <f t="shared" ca="1" si="477"/>
        <v>746.10913938610895</v>
      </c>
      <c r="AG242" s="41"/>
      <c r="AH242" s="41"/>
      <c r="AI242" s="41">
        <f t="shared" ca="1" si="478"/>
        <v>610.97174660632845</v>
      </c>
      <c r="AJ242" s="13">
        <f t="shared" ca="1" si="479"/>
        <v>3.0467799584629461E-15</v>
      </c>
      <c r="AK242" s="11"/>
      <c r="AL242" s="6">
        <v>0</v>
      </c>
      <c r="AM242" s="6">
        <v>135</v>
      </c>
      <c r="AN242" s="41">
        <f t="shared" ca="1" si="480"/>
        <v>22.911440497737317</v>
      </c>
      <c r="AO242" s="41">
        <f t="shared" ca="1" si="481"/>
        <v>6.2306375464619368</v>
      </c>
      <c r="AP242" s="67">
        <f t="shared" si="482"/>
        <v>0.81887717808822158</v>
      </c>
      <c r="AQ242" s="11">
        <f t="shared" si="483"/>
        <v>1.0314301707183759</v>
      </c>
      <c r="AR242" s="11">
        <f t="shared" si="484"/>
        <v>0.8962407041850623</v>
      </c>
      <c r="AS242" s="11">
        <f t="shared" si="485"/>
        <v>0.86893008332386068</v>
      </c>
      <c r="AT242" s="11">
        <f t="shared" si="486"/>
        <v>534.97188664650002</v>
      </c>
      <c r="AU242" s="11">
        <f t="shared" si="487"/>
        <v>1896.6425030105124</v>
      </c>
      <c r="AV242" s="11">
        <f t="shared" si="488"/>
        <v>2.0653599150524844E-3</v>
      </c>
      <c r="AW242" s="11">
        <f t="shared" si="489"/>
        <v>3.8278171249107636E-7</v>
      </c>
      <c r="AX242" s="41">
        <f t="shared" ca="1" si="490"/>
        <v>1.2399940662202231</v>
      </c>
      <c r="AY242" s="41">
        <f t="shared" ca="1" si="491"/>
        <v>1.6702966428423405</v>
      </c>
      <c r="AZ242" s="41">
        <f t="shared" si="492"/>
        <v>0.18257797167354342</v>
      </c>
    </row>
    <row r="243" spans="1:52" ht="14.5">
      <c r="A243" s="41">
        <f t="shared" ca="1" si="493"/>
        <v>1515.585984684365</v>
      </c>
      <c r="B243" s="41">
        <f t="shared" ca="1" si="494"/>
        <v>25.259766411406083</v>
      </c>
      <c r="C243" s="41">
        <f t="shared" ca="1" si="494"/>
        <v>0.42099610685676808</v>
      </c>
      <c r="D243" s="41">
        <f t="shared" ca="1" si="495"/>
        <v>10440.991187936977</v>
      </c>
      <c r="E243" s="41">
        <f t="shared" ca="1" si="496"/>
        <v>68.977012879907946</v>
      </c>
      <c r="F243" s="41">
        <f t="shared" ca="1" si="497"/>
        <v>68.537013011081299</v>
      </c>
      <c r="G243" s="41"/>
      <c r="H243" s="7">
        <f t="shared" si="498"/>
        <v>3000</v>
      </c>
      <c r="I243" s="6">
        <v>15</v>
      </c>
      <c r="J243" s="41">
        <f t="shared" si="457"/>
        <v>0.24732368472035268</v>
      </c>
      <c r="K243" s="41">
        <f t="shared" si="458"/>
        <v>280.43007840265443</v>
      </c>
      <c r="L243" s="6">
        <f t="shared" si="499"/>
        <v>155</v>
      </c>
      <c r="M243" s="41">
        <f t="shared" si="459"/>
        <v>166.15033457231831</v>
      </c>
      <c r="N243" s="41">
        <f t="shared" si="460"/>
        <v>81.211014356305881</v>
      </c>
      <c r="O243" s="41">
        <f t="shared" si="461"/>
        <v>1513105.3130480214</v>
      </c>
      <c r="P243" s="41">
        <f t="shared" si="462"/>
        <v>9715199.3449142762</v>
      </c>
      <c r="Q243" s="41">
        <f t="shared" si="463"/>
        <v>3.0004970951086601E-3</v>
      </c>
      <c r="R243" s="41">
        <f t="shared" si="464"/>
        <v>2.0123927738066247E-2</v>
      </c>
      <c r="S243" s="24">
        <f t="shared" ca="1" si="500"/>
        <v>-6.2386567236671821E-16</v>
      </c>
      <c r="T243" s="10">
        <f t="shared" ca="1" si="465"/>
        <v>-6.2386567236671821E-16</v>
      </c>
      <c r="U243" s="41">
        <f t="shared" ca="1" si="466"/>
        <v>0.55898346080774786</v>
      </c>
      <c r="V243" s="41">
        <f t="shared" ca="1" si="467"/>
        <v>3.9858036036049219E-2</v>
      </c>
      <c r="W243" s="41">
        <f t="shared" ca="1" si="468"/>
        <v>14.024360364925673</v>
      </c>
      <c r="X243" s="20">
        <f t="shared" ca="1" si="469"/>
        <v>744.48965344968258</v>
      </c>
      <c r="Y243" s="41">
        <f t="shared" si="470"/>
        <v>0.56447742652663724</v>
      </c>
      <c r="Z243" s="41">
        <f t="shared" ca="1" si="471"/>
        <v>144.6819738679192</v>
      </c>
      <c r="AA243" s="14">
        <f t="shared" ca="1" si="472"/>
        <v>744.48965344968246</v>
      </c>
      <c r="AB243" s="14">
        <f t="shared" si="473"/>
        <v>5628.3916222821908</v>
      </c>
      <c r="AC243" s="25">
        <f t="shared" ca="1" si="474"/>
        <v>208777.29188685949</v>
      </c>
      <c r="AD243" s="41">
        <f t="shared" si="475"/>
        <v>1578370.303917438</v>
      </c>
      <c r="AE243" s="5">
        <f t="shared" ca="1" si="476"/>
        <v>13.22739609131548</v>
      </c>
      <c r="AF243" s="7">
        <f t="shared" ca="1" si="477"/>
        <v>744.48965344968246</v>
      </c>
      <c r="AG243" s="41"/>
      <c r="AH243" s="41"/>
      <c r="AI243" s="41">
        <f t="shared" ca="1" si="478"/>
        <v>609.64558653275401</v>
      </c>
      <c r="AJ243" s="13">
        <f t="shared" ca="1" si="479"/>
        <v>-3.0534657334503513E-15</v>
      </c>
      <c r="AK243" s="11"/>
      <c r="AL243" s="6">
        <v>0</v>
      </c>
      <c r="AM243" s="6">
        <v>135</v>
      </c>
      <c r="AN243" s="41">
        <f t="shared" ca="1" si="480"/>
        <v>22.861709494978275</v>
      </c>
      <c r="AO243" s="41">
        <f t="shared" ca="1" si="481"/>
        <v>6.2306375464619368</v>
      </c>
      <c r="AP243" s="67">
        <f t="shared" si="482"/>
        <v>0.81887717808822158</v>
      </c>
      <c r="AQ243" s="11">
        <f t="shared" si="483"/>
        <v>1.0314301707183759</v>
      </c>
      <c r="AR243" s="11">
        <f t="shared" si="484"/>
        <v>0.8962407041850623</v>
      </c>
      <c r="AS243" s="11">
        <f t="shared" si="485"/>
        <v>0.86893008332386068</v>
      </c>
      <c r="AT243" s="11">
        <f t="shared" si="486"/>
        <v>534.97188664650002</v>
      </c>
      <c r="AU243" s="11">
        <f t="shared" si="487"/>
        <v>1896.6425030105124</v>
      </c>
      <c r="AV243" s="11">
        <f t="shared" si="488"/>
        <v>2.0653599150524844E-3</v>
      </c>
      <c r="AW243" s="11">
        <f t="shared" si="489"/>
        <v>3.8278171249107636E-7</v>
      </c>
      <c r="AX243" s="41">
        <f t="shared" ca="1" si="490"/>
        <v>1.241752163413218</v>
      </c>
      <c r="AY243" s="41">
        <f t="shared" ca="1" si="491"/>
        <v>1.6726648346903878</v>
      </c>
      <c r="AZ243" s="41">
        <f t="shared" si="492"/>
        <v>0.18257797167354342</v>
      </c>
    </row>
    <row r="244" spans="1:52" ht="14.5">
      <c r="A244" s="41">
        <f t="shared" ca="1" si="493"/>
        <v>1650.585984684365</v>
      </c>
      <c r="B244" s="41">
        <f t="shared" ca="1" si="494"/>
        <v>27.509766411406083</v>
      </c>
      <c r="C244" s="41">
        <f t="shared" ca="1" si="494"/>
        <v>0.45849610685676806</v>
      </c>
      <c r="D244" s="41">
        <f t="shared" ca="1" si="495"/>
        <v>10418.129478441999</v>
      </c>
      <c r="E244" s="41">
        <f t="shared" ca="1" si="496"/>
        <v>75.207650426369881</v>
      </c>
      <c r="F244" s="41">
        <f t="shared" ca="1" si="497"/>
        <v>74.767650557543234</v>
      </c>
      <c r="G244" s="41"/>
      <c r="H244" s="7">
        <f t="shared" si="498"/>
        <v>3000</v>
      </c>
      <c r="I244" s="6">
        <v>15</v>
      </c>
      <c r="J244" s="41">
        <f t="shared" si="457"/>
        <v>0.24732368472035268</v>
      </c>
      <c r="K244" s="41">
        <f t="shared" si="458"/>
        <v>280.43007840265443</v>
      </c>
      <c r="L244" s="6">
        <f t="shared" si="499"/>
        <v>155</v>
      </c>
      <c r="M244" s="41">
        <f t="shared" si="459"/>
        <v>166.15033457231831</v>
      </c>
      <c r="N244" s="41">
        <f t="shared" si="460"/>
        <v>81.211014356305881</v>
      </c>
      <c r="O244" s="41">
        <f t="shared" si="461"/>
        <v>1513105.3130480214</v>
      </c>
      <c r="P244" s="41">
        <f t="shared" si="462"/>
        <v>9715199.3449142762</v>
      </c>
      <c r="Q244" s="41">
        <f t="shared" si="463"/>
        <v>3.0004970951086601E-3</v>
      </c>
      <c r="R244" s="41">
        <f t="shared" si="464"/>
        <v>2.0123927738066247E-2</v>
      </c>
      <c r="S244" s="24">
        <f t="shared" ca="1" si="500"/>
        <v>-6.2523469314871666E-16</v>
      </c>
      <c r="T244" s="10">
        <f t="shared" ca="1" si="465"/>
        <v>-6.2523469314871666E-16</v>
      </c>
      <c r="U244" s="41">
        <f t="shared" ca="1" si="466"/>
        <v>0.55775950445499767</v>
      </c>
      <c r="V244" s="41">
        <f t="shared" ca="1" si="467"/>
        <v>3.97717106066982E-2</v>
      </c>
      <c r="W244" s="41">
        <f t="shared" ca="1" si="468"/>
        <v>14.024026021175512</v>
      </c>
      <c r="X244" s="20">
        <f t="shared" ca="1" si="469"/>
        <v>742.8772210427444</v>
      </c>
      <c r="Y244" s="41">
        <f t="shared" si="470"/>
        <v>0.56447742652663724</v>
      </c>
      <c r="Z244" s="41">
        <f t="shared" ca="1" si="471"/>
        <v>144.5234884419277</v>
      </c>
      <c r="AA244" s="14">
        <f t="shared" ca="1" si="472"/>
        <v>742.87722104274428</v>
      </c>
      <c r="AB244" s="14">
        <f t="shared" si="473"/>
        <v>5628.3916222821908</v>
      </c>
      <c r="AC244" s="25">
        <f t="shared" ca="1" si="474"/>
        <v>208325.11734056284</v>
      </c>
      <c r="AD244" s="41">
        <f t="shared" si="475"/>
        <v>1578370.303917438</v>
      </c>
      <c r="AE244" s="5">
        <f t="shared" ca="1" si="476"/>
        <v>13.19874789987559</v>
      </c>
      <c r="AF244" s="7">
        <f t="shared" ca="1" si="477"/>
        <v>742.87722104274428</v>
      </c>
      <c r="AG244" s="41"/>
      <c r="AH244" s="41"/>
      <c r="AI244" s="41">
        <f t="shared" ca="1" si="478"/>
        <v>608.32520243350245</v>
      </c>
      <c r="AJ244" s="13">
        <f t="shared" ca="1" si="479"/>
        <v>-3.0601663073581211E-15</v>
      </c>
      <c r="AK244" s="11"/>
      <c r="AL244" s="6">
        <v>0</v>
      </c>
      <c r="AM244" s="6">
        <v>135</v>
      </c>
      <c r="AN244" s="41">
        <f t="shared" ca="1" si="480"/>
        <v>22.812195091256342</v>
      </c>
      <c r="AO244" s="41">
        <f t="shared" ca="1" si="481"/>
        <v>6.2306375464619368</v>
      </c>
      <c r="AP244" s="67">
        <f t="shared" si="482"/>
        <v>0.81887717808822158</v>
      </c>
      <c r="AQ244" s="11">
        <f t="shared" si="483"/>
        <v>1.0314301707183759</v>
      </c>
      <c r="AR244" s="11">
        <f t="shared" si="484"/>
        <v>0.8962407041850623</v>
      </c>
      <c r="AS244" s="11">
        <f t="shared" si="485"/>
        <v>0.86893008332386068</v>
      </c>
      <c r="AT244" s="11">
        <f t="shared" si="486"/>
        <v>534.97188664650002</v>
      </c>
      <c r="AU244" s="11">
        <f t="shared" si="487"/>
        <v>1896.6425030105124</v>
      </c>
      <c r="AV244" s="11">
        <f t="shared" si="488"/>
        <v>2.0653599150524844E-3</v>
      </c>
      <c r="AW244" s="11">
        <f t="shared" si="489"/>
        <v>3.8278171249107636E-7</v>
      </c>
      <c r="AX244" s="41">
        <f t="shared" ca="1" si="490"/>
        <v>1.2435167559442515</v>
      </c>
      <c r="AY244" s="41">
        <f t="shared" ca="1" si="491"/>
        <v>1.6750417758878196</v>
      </c>
      <c r="AZ244" s="41">
        <f t="shared" si="492"/>
        <v>0.18257797167354342</v>
      </c>
    </row>
    <row r="245" spans="1:52" ht="14.5">
      <c r="A245" s="41">
        <f t="shared" ca="1" si="493"/>
        <v>1785.585984684365</v>
      </c>
      <c r="B245" s="41">
        <f t="shared" ca="1" si="494"/>
        <v>29.759766411406083</v>
      </c>
      <c r="C245" s="41">
        <f t="shared" ca="1" si="494"/>
        <v>0.49599610685676804</v>
      </c>
      <c r="D245" s="41">
        <f t="shared" ca="1" si="495"/>
        <v>10395.317283350743</v>
      </c>
      <c r="E245" s="41">
        <f t="shared" ca="1" si="496"/>
        <v>81.438287972831816</v>
      </c>
      <c r="F245" s="41">
        <f t="shared" ca="1" si="497"/>
        <v>80.998288104005169</v>
      </c>
      <c r="G245" s="41"/>
      <c r="H245" s="7">
        <f t="shared" si="498"/>
        <v>3000</v>
      </c>
      <c r="I245" s="6">
        <v>15</v>
      </c>
      <c r="J245" s="41">
        <f t="shared" si="457"/>
        <v>0.24732368472035268</v>
      </c>
      <c r="K245" s="41">
        <f t="shared" si="458"/>
        <v>280.43007840265443</v>
      </c>
      <c r="L245" s="6">
        <f t="shared" si="499"/>
        <v>155</v>
      </c>
      <c r="M245" s="41">
        <f t="shared" si="459"/>
        <v>166.15033457231831</v>
      </c>
      <c r="N245" s="41">
        <f t="shared" si="460"/>
        <v>81.211014356305881</v>
      </c>
      <c r="O245" s="41">
        <f t="shared" si="461"/>
        <v>1513105.3130480214</v>
      </c>
      <c r="P245" s="41">
        <f t="shared" si="462"/>
        <v>9715199.3449142762</v>
      </c>
      <c r="Q245" s="41">
        <f t="shared" si="463"/>
        <v>3.0004970951086601E-3</v>
      </c>
      <c r="R245" s="41">
        <f t="shared" si="464"/>
        <v>2.0123927738066247E-2</v>
      </c>
      <c r="S245" s="24">
        <f t="shared" ca="1" si="500"/>
        <v>6.2660675091368486E-16</v>
      </c>
      <c r="T245" s="10">
        <f t="shared" ca="1" si="465"/>
        <v>6.2660675091368486E-16</v>
      </c>
      <c r="U245" s="41">
        <f t="shared" ca="1" si="466"/>
        <v>0.55653819897439682</v>
      </c>
      <c r="V245" s="41">
        <f t="shared" ca="1" si="467"/>
        <v>3.9685760754876759E-2</v>
      </c>
      <c r="W245" s="41">
        <f t="shared" ca="1" si="468"/>
        <v>14.023624302225503</v>
      </c>
      <c r="X245" s="20">
        <f t="shared" ca="1" si="469"/>
        <v>741.27180387319993</v>
      </c>
      <c r="Y245" s="41">
        <f t="shared" si="470"/>
        <v>0.56447742652663724</v>
      </c>
      <c r="Z245" s="41">
        <f t="shared" ca="1" si="471"/>
        <v>144.36517284539204</v>
      </c>
      <c r="AA245" s="14">
        <f t="shared" ca="1" si="472"/>
        <v>741.27180387319993</v>
      </c>
      <c r="AB245" s="14">
        <f t="shared" si="473"/>
        <v>5628.3916222821908</v>
      </c>
      <c r="AC245" s="25">
        <f t="shared" ca="1" si="474"/>
        <v>207874.91007783855</v>
      </c>
      <c r="AD245" s="41">
        <f t="shared" si="475"/>
        <v>1578370.303917438</v>
      </c>
      <c r="AE245" s="5">
        <f t="shared" ca="1" si="476"/>
        <v>13.170224348614717</v>
      </c>
      <c r="AF245" s="7">
        <f t="shared" ca="1" si="477"/>
        <v>741.27180387320004</v>
      </c>
      <c r="AG245" s="41"/>
      <c r="AH245" s="41"/>
      <c r="AI245" s="41">
        <f t="shared" ca="1" si="478"/>
        <v>607.01056295205171</v>
      </c>
      <c r="AJ245" s="13">
        <f t="shared" ca="1" si="479"/>
        <v>3.0668817455609495E-15</v>
      </c>
      <c r="AK245" s="11"/>
      <c r="AL245" s="6">
        <v>0</v>
      </c>
      <c r="AM245" s="6">
        <v>135</v>
      </c>
      <c r="AN245" s="41">
        <f t="shared" ca="1" si="480"/>
        <v>22.762896110701938</v>
      </c>
      <c r="AO245" s="41">
        <f t="shared" ca="1" si="481"/>
        <v>6.2306375464619368</v>
      </c>
      <c r="AP245" s="67">
        <f t="shared" si="482"/>
        <v>0.81887717808822158</v>
      </c>
      <c r="AQ245" s="11">
        <f t="shared" si="483"/>
        <v>1.0314301707183759</v>
      </c>
      <c r="AR245" s="11">
        <f t="shared" si="484"/>
        <v>0.8962407041850623</v>
      </c>
      <c r="AS245" s="11">
        <f t="shared" si="485"/>
        <v>0.86893008332386068</v>
      </c>
      <c r="AT245" s="11">
        <f t="shared" si="486"/>
        <v>534.97188664650002</v>
      </c>
      <c r="AU245" s="11">
        <f t="shared" si="487"/>
        <v>1896.6425030105124</v>
      </c>
      <c r="AV245" s="11">
        <f t="shared" si="488"/>
        <v>2.0653599150524844E-3</v>
      </c>
      <c r="AW245" s="11">
        <f t="shared" si="489"/>
        <v>3.8278171249107636E-7</v>
      </c>
      <c r="AX245" s="41">
        <f t="shared" ca="1" si="490"/>
        <v>1.2452878578233038</v>
      </c>
      <c r="AY245" s="41">
        <f t="shared" ca="1" si="491"/>
        <v>1.6774274853063575</v>
      </c>
      <c r="AZ245" s="41">
        <f t="shared" si="492"/>
        <v>0.18257797167354342</v>
      </c>
    </row>
    <row r="246" spans="1:52" ht="14.5">
      <c r="A246" s="41">
        <f t="shared" ca="1" si="493"/>
        <v>1920.585984684365</v>
      </c>
      <c r="B246" s="41">
        <f t="shared" ca="1" si="494"/>
        <v>32.009766411406083</v>
      </c>
      <c r="C246" s="41">
        <f t="shared" ca="1" si="494"/>
        <v>0.53349610685676807</v>
      </c>
      <c r="D246" s="41">
        <f t="shared" ca="1" si="495"/>
        <v>10372.554387240041</v>
      </c>
      <c r="E246" s="41">
        <f t="shared" ca="1" si="496"/>
        <v>87.668925519293751</v>
      </c>
      <c r="F246" s="41">
        <f t="shared" ca="1" si="497"/>
        <v>87.228925650467104</v>
      </c>
      <c r="G246" s="41"/>
      <c r="H246" s="7">
        <f t="shared" si="498"/>
        <v>3000</v>
      </c>
      <c r="I246" s="6">
        <v>15</v>
      </c>
      <c r="J246" s="41">
        <f t="shared" si="457"/>
        <v>0.24732368472035268</v>
      </c>
      <c r="K246" s="41">
        <f t="shared" si="458"/>
        <v>280.43007840265443</v>
      </c>
      <c r="L246" s="6">
        <f t="shared" si="499"/>
        <v>155</v>
      </c>
      <c r="M246" s="41">
        <f t="shared" si="459"/>
        <v>166.15033457231831</v>
      </c>
      <c r="N246" s="41">
        <f t="shared" si="460"/>
        <v>81.211014356305881</v>
      </c>
      <c r="O246" s="41">
        <f t="shared" si="461"/>
        <v>1513105.3130480214</v>
      </c>
      <c r="P246" s="41">
        <f t="shared" si="462"/>
        <v>9715199.3449142762</v>
      </c>
      <c r="Q246" s="41">
        <f t="shared" si="463"/>
        <v>3.0004970951086601E-3</v>
      </c>
      <c r="R246" s="41">
        <f t="shared" si="464"/>
        <v>2.0123927738066247E-2</v>
      </c>
      <c r="S246" s="24">
        <f t="shared" ca="1" si="500"/>
        <v>0</v>
      </c>
      <c r="T246" s="10">
        <f t="shared" ca="1" si="465"/>
        <v>0</v>
      </c>
      <c r="U246" s="41">
        <f t="shared" ca="1" si="466"/>
        <v>0.55531953283275048</v>
      </c>
      <c r="V246" s="41">
        <f t="shared" ca="1" si="467"/>
        <v>3.9600184444768018E-2</v>
      </c>
      <c r="W246" s="41">
        <f t="shared" ca="1" si="468"/>
        <v>14.023155210483354</v>
      </c>
      <c r="X246" s="20">
        <f t="shared" ca="1" si="469"/>
        <v>739.67336391497577</v>
      </c>
      <c r="Y246" s="41">
        <f t="shared" si="470"/>
        <v>0.56447742652663724</v>
      </c>
      <c r="Z246" s="41">
        <f t="shared" ca="1" si="471"/>
        <v>144.20702614015951</v>
      </c>
      <c r="AA246" s="14">
        <f t="shared" ca="1" si="472"/>
        <v>739.67336391497565</v>
      </c>
      <c r="AB246" s="14">
        <f t="shared" si="473"/>
        <v>5628.3916222821908</v>
      </c>
      <c r="AC246" s="25">
        <f t="shared" ca="1" si="474"/>
        <v>207426.65943503176</v>
      </c>
      <c r="AD246" s="41">
        <f t="shared" si="475"/>
        <v>1578370.303917438</v>
      </c>
      <c r="AE246" s="5">
        <f t="shared" ca="1" si="476"/>
        <v>13.141824761921136</v>
      </c>
      <c r="AF246" s="7">
        <f t="shared" ca="1" si="477"/>
        <v>739.67336391497577</v>
      </c>
      <c r="AG246" s="41"/>
      <c r="AH246" s="41"/>
      <c r="AI246" s="41">
        <f t="shared" ca="1" si="478"/>
        <v>605.70163694971757</v>
      </c>
      <c r="AJ246" s="13">
        <f t="shared" ca="1" si="479"/>
        <v>0</v>
      </c>
      <c r="AK246" s="11"/>
      <c r="AL246" s="6">
        <v>0</v>
      </c>
      <c r="AM246" s="6">
        <v>135</v>
      </c>
      <c r="AN246" s="41">
        <f t="shared" ca="1" si="480"/>
        <v>22.713811385614409</v>
      </c>
      <c r="AO246" s="41">
        <f t="shared" ca="1" si="481"/>
        <v>6.2306375464619368</v>
      </c>
      <c r="AP246" s="67">
        <f t="shared" si="482"/>
        <v>0.81887717808822158</v>
      </c>
      <c r="AQ246" s="11">
        <f t="shared" si="483"/>
        <v>1.0314301707183759</v>
      </c>
      <c r="AR246" s="11">
        <f t="shared" si="484"/>
        <v>0.8962407041850623</v>
      </c>
      <c r="AS246" s="11">
        <f t="shared" si="485"/>
        <v>0.86893008332386068</v>
      </c>
      <c r="AT246" s="11">
        <f t="shared" si="486"/>
        <v>534.97188664650002</v>
      </c>
      <c r="AU246" s="11">
        <f t="shared" si="487"/>
        <v>1896.6425030105124</v>
      </c>
      <c r="AV246" s="11">
        <f t="shared" si="488"/>
        <v>2.0653599150524844E-3</v>
      </c>
      <c r="AW246" s="11">
        <f t="shared" si="489"/>
        <v>3.8278171249107636E-7</v>
      </c>
      <c r="AX246" s="41">
        <f t="shared" ca="1" si="490"/>
        <v>1.247065483241071</v>
      </c>
      <c r="AY246" s="41">
        <f t="shared" ca="1" si="491"/>
        <v>1.6798219820611515</v>
      </c>
      <c r="AZ246" s="41">
        <f t="shared" si="492"/>
        <v>0.18257797167354342</v>
      </c>
    </row>
    <row r="247" spans="1:52" ht="14.5">
      <c r="A247" s="41">
        <f t="shared" ca="1" si="493"/>
        <v>2055.585984684365</v>
      </c>
      <c r="B247" s="41">
        <f t="shared" ca="1" si="494"/>
        <v>34.259766411406083</v>
      </c>
      <c r="C247" s="41">
        <f t="shared" ca="1" si="494"/>
        <v>0.57099610685676805</v>
      </c>
      <c r="D247" s="41">
        <f t="shared" ca="1" si="495"/>
        <v>10349.840575854427</v>
      </c>
      <c r="E247" s="41">
        <f t="shared" ca="1" si="496"/>
        <v>93.899563065755686</v>
      </c>
      <c r="F247" s="41">
        <f t="shared" ca="1" si="497"/>
        <v>93.459563196929039</v>
      </c>
      <c r="G247" s="41"/>
      <c r="H247" s="7">
        <f t="shared" si="498"/>
        <v>3000</v>
      </c>
      <c r="I247" s="6">
        <v>15</v>
      </c>
      <c r="J247" s="41">
        <f t="shared" si="457"/>
        <v>0.24732368472035268</v>
      </c>
      <c r="K247" s="41">
        <f t="shared" si="458"/>
        <v>280.43007840265443</v>
      </c>
      <c r="L247" s="6">
        <f t="shared" si="499"/>
        <v>155</v>
      </c>
      <c r="M247" s="41">
        <f t="shared" si="459"/>
        <v>166.15033457231831</v>
      </c>
      <c r="N247" s="41">
        <f t="shared" si="460"/>
        <v>81.211014356305881</v>
      </c>
      <c r="O247" s="41">
        <f t="shared" si="461"/>
        <v>1513105.3130480214</v>
      </c>
      <c r="P247" s="41">
        <f t="shared" si="462"/>
        <v>9715199.3449142762</v>
      </c>
      <c r="Q247" s="41">
        <f t="shared" si="463"/>
        <v>3.0004970951086601E-3</v>
      </c>
      <c r="R247" s="41">
        <f t="shared" si="464"/>
        <v>2.0123927738066247E-2</v>
      </c>
      <c r="S247" s="24">
        <f t="shared" ca="1" si="500"/>
        <v>0</v>
      </c>
      <c r="T247" s="10">
        <f t="shared" ca="1" si="465"/>
        <v>0</v>
      </c>
      <c r="U247" s="41">
        <f t="shared" ca="1" si="466"/>
        <v>0.55410349455937902</v>
      </c>
      <c r="V247" s="41">
        <f t="shared" ca="1" si="467"/>
        <v>3.9514979654679441E-2</v>
      </c>
      <c r="W247" s="41">
        <f t="shared" ca="1" si="468"/>
        <v>14.022618748679047</v>
      </c>
      <c r="X247" s="20">
        <f t="shared" ca="1" si="469"/>
        <v>738.08186340582051</v>
      </c>
      <c r="Y247" s="41">
        <f t="shared" si="470"/>
        <v>0.56447742652663724</v>
      </c>
      <c r="Z247" s="41">
        <f t="shared" ca="1" si="471"/>
        <v>144.04904739148728</v>
      </c>
      <c r="AA247" s="14">
        <f t="shared" ca="1" si="472"/>
        <v>738.08186340582051</v>
      </c>
      <c r="AB247" s="14">
        <f t="shared" si="473"/>
        <v>5628.3916222821908</v>
      </c>
      <c r="AC247" s="25">
        <f t="shared" ca="1" si="474"/>
        <v>206980.35482247153</v>
      </c>
      <c r="AD247" s="41">
        <f t="shared" si="475"/>
        <v>1578370.303917438</v>
      </c>
      <c r="AE247" s="5">
        <f t="shared" ca="1" si="476"/>
        <v>13.113548468870478</v>
      </c>
      <c r="AF247" s="7">
        <f t="shared" ca="1" si="477"/>
        <v>738.08186340582051</v>
      </c>
      <c r="AG247" s="41"/>
      <c r="AH247" s="41"/>
      <c r="AI247" s="41">
        <f t="shared" ca="1" si="478"/>
        <v>604.39839350385455</v>
      </c>
      <c r="AJ247" s="13">
        <f t="shared" ca="1" si="479"/>
        <v>0</v>
      </c>
      <c r="AK247" s="11"/>
      <c r="AL247" s="6">
        <v>0</v>
      </c>
      <c r="AM247" s="6">
        <v>135</v>
      </c>
      <c r="AN247" s="41">
        <f t="shared" ca="1" si="480"/>
        <v>22.664939756394546</v>
      </c>
      <c r="AO247" s="41">
        <f t="shared" ca="1" si="481"/>
        <v>6.2306375464619368</v>
      </c>
      <c r="AP247" s="67">
        <f t="shared" si="482"/>
        <v>0.81887717808822158</v>
      </c>
      <c r="AQ247" s="11">
        <f t="shared" si="483"/>
        <v>1.0314301707183759</v>
      </c>
      <c r="AR247" s="11">
        <f t="shared" si="484"/>
        <v>0.8962407041850623</v>
      </c>
      <c r="AS247" s="11">
        <f t="shared" si="485"/>
        <v>0.86893008332386068</v>
      </c>
      <c r="AT247" s="11">
        <f t="shared" si="486"/>
        <v>534.97188664650002</v>
      </c>
      <c r="AU247" s="11">
        <f t="shared" si="487"/>
        <v>1896.6425030105124</v>
      </c>
      <c r="AV247" s="11">
        <f t="shared" si="488"/>
        <v>2.0653599150524844E-3</v>
      </c>
      <c r="AW247" s="11">
        <f t="shared" si="489"/>
        <v>3.8278171249107636E-7</v>
      </c>
      <c r="AX247" s="41">
        <f t="shared" ca="1" si="490"/>
        <v>1.2488496465693149</v>
      </c>
      <c r="AY247" s="41">
        <f t="shared" ca="1" si="491"/>
        <v>1.6822252855112494</v>
      </c>
      <c r="AZ247" s="41">
        <f t="shared" si="492"/>
        <v>0.18257797167354342</v>
      </c>
    </row>
    <row r="248" spans="1:52" ht="14.5">
      <c r="A248" s="41">
        <f t="shared" ca="1" si="493"/>
        <v>2190.585984684365</v>
      </c>
      <c r="B248" s="41">
        <f t="shared" ca="1" si="494"/>
        <v>36.509766411406083</v>
      </c>
      <c r="C248" s="41">
        <f t="shared" ca="1" si="494"/>
        <v>0.60849610685676803</v>
      </c>
      <c r="D248" s="41">
        <f t="shared" ca="1" si="495"/>
        <v>10327.175636098033</v>
      </c>
      <c r="E248" s="41">
        <f t="shared" ca="1" si="496"/>
        <v>100.13020061221762</v>
      </c>
      <c r="F248" s="41">
        <f t="shared" ca="1" si="497"/>
        <v>99.690200743390974</v>
      </c>
      <c r="G248" s="41"/>
      <c r="H248" s="7">
        <f t="shared" si="498"/>
        <v>3000</v>
      </c>
      <c r="I248" s="6">
        <v>15</v>
      </c>
      <c r="J248" s="41">
        <f t="shared" si="457"/>
        <v>0.24732368472035268</v>
      </c>
      <c r="K248" s="41">
        <f t="shared" si="458"/>
        <v>280.43007840265443</v>
      </c>
      <c r="L248" s="6">
        <f t="shared" si="499"/>
        <v>155</v>
      </c>
      <c r="M248" s="41">
        <f t="shared" si="459"/>
        <v>166.15033457231831</v>
      </c>
      <c r="N248" s="41">
        <f t="shared" si="460"/>
        <v>81.211014356305881</v>
      </c>
      <c r="O248" s="41">
        <f t="shared" si="461"/>
        <v>1513105.3130480214</v>
      </c>
      <c r="P248" s="41">
        <f t="shared" si="462"/>
        <v>9715199.3449142762</v>
      </c>
      <c r="Q248" s="41">
        <f t="shared" si="463"/>
        <v>3.0004970951086601E-3</v>
      </c>
      <c r="R248" s="41">
        <f t="shared" si="464"/>
        <v>2.0123927738066247E-2</v>
      </c>
      <c r="S248" s="24">
        <f t="shared" ca="1" si="500"/>
        <v>-6.3074128078821122E-16</v>
      </c>
      <c r="T248" s="10">
        <f t="shared" ca="1" si="465"/>
        <v>-6.3074128078821122E-16</v>
      </c>
      <c r="U248" s="41">
        <f t="shared" ca="1" si="466"/>
        <v>0.55289007274568513</v>
      </c>
      <c r="V248" s="41">
        <f t="shared" ca="1" si="467"/>
        <v>3.9430144376926296E-2</v>
      </c>
      <c r="W248" s="41">
        <f t="shared" ca="1" si="468"/>
        <v>14.022014919864837</v>
      </c>
      <c r="X248" s="20">
        <f t="shared" ca="1" si="469"/>
        <v>736.49726484512826</v>
      </c>
      <c r="Y248" s="41">
        <f t="shared" si="470"/>
        <v>0.56447742652663724</v>
      </c>
      <c r="Z248" s="41">
        <f t="shared" ca="1" si="471"/>
        <v>143.89123566801561</v>
      </c>
      <c r="AA248" s="14">
        <f t="shared" ca="1" si="472"/>
        <v>736.49726484512826</v>
      </c>
      <c r="AB248" s="14">
        <f t="shared" si="473"/>
        <v>5628.3916222821908</v>
      </c>
      <c r="AC248" s="25">
        <f t="shared" ca="1" si="474"/>
        <v>206535.98572385986</v>
      </c>
      <c r="AD248" s="41">
        <f t="shared" si="475"/>
        <v>1578370.303917438</v>
      </c>
      <c r="AE248" s="5">
        <f t="shared" ca="1" si="476"/>
        <v>13.085394803187034</v>
      </c>
      <c r="AF248" s="7">
        <f t="shared" ca="1" si="477"/>
        <v>736.49726484512814</v>
      </c>
      <c r="AG248" s="41"/>
      <c r="AH248" s="41"/>
      <c r="AI248" s="41">
        <f t="shared" ca="1" si="478"/>
        <v>603.10080190607209</v>
      </c>
      <c r="AJ248" s="13">
        <f t="shared" ca="1" si="479"/>
        <v>-3.0871179051302034E-15</v>
      </c>
      <c r="AK248" s="11"/>
      <c r="AL248" s="6">
        <v>0</v>
      </c>
      <c r="AM248" s="6">
        <v>135</v>
      </c>
      <c r="AN248" s="41">
        <f t="shared" ca="1" si="480"/>
        <v>22.616280071477703</v>
      </c>
      <c r="AO248" s="41">
        <f t="shared" ca="1" si="481"/>
        <v>6.2306375464619368</v>
      </c>
      <c r="AP248" s="67">
        <f t="shared" si="482"/>
        <v>0.81887717808822158</v>
      </c>
      <c r="AQ248" s="11">
        <f t="shared" si="483"/>
        <v>1.0314301707183759</v>
      </c>
      <c r="AR248" s="11">
        <f t="shared" si="484"/>
        <v>0.8962407041850623</v>
      </c>
      <c r="AS248" s="11">
        <f t="shared" si="485"/>
        <v>0.86893008332386068</v>
      </c>
      <c r="AT248" s="11">
        <f t="shared" si="486"/>
        <v>534.97188664650002</v>
      </c>
      <c r="AU248" s="11">
        <f t="shared" si="487"/>
        <v>1896.6425030105124</v>
      </c>
      <c r="AV248" s="11">
        <f t="shared" si="488"/>
        <v>2.0653599150524844E-3</v>
      </c>
      <c r="AW248" s="11">
        <f t="shared" si="489"/>
        <v>3.8278171249107636E-7</v>
      </c>
      <c r="AX248" s="41">
        <f t="shared" ca="1" si="490"/>
        <v>1.2506403623612306</v>
      </c>
      <c r="AY248" s="41">
        <f t="shared" ca="1" si="491"/>
        <v>1.6846374152600947</v>
      </c>
      <c r="AZ248" s="41">
        <f t="shared" si="492"/>
        <v>0.18257797167354342</v>
      </c>
    </row>
    <row r="249" spans="1:52" ht="14.5">
      <c r="A249" s="41">
        <f t="shared" ca="1" si="493"/>
        <v>2325.585984684365</v>
      </c>
      <c r="B249" s="41">
        <f t="shared" ref="B249:C252" ca="1" si="501">A249/60</f>
        <v>38.759766411406083</v>
      </c>
      <c r="C249" s="41">
        <f t="shared" ca="1" si="501"/>
        <v>0.645996106856768</v>
      </c>
      <c r="D249" s="41">
        <f t="shared" ca="1" si="495"/>
        <v>10304.559356026555</v>
      </c>
      <c r="E249" s="41">
        <f t="shared" ca="1" si="496"/>
        <v>106.36083815867956</v>
      </c>
      <c r="F249" s="41">
        <f t="shared" ca="1" si="497"/>
        <v>105.92083828985291</v>
      </c>
      <c r="G249" s="41"/>
      <c r="H249" s="7">
        <f t="shared" si="498"/>
        <v>3000</v>
      </c>
      <c r="I249" s="6">
        <v>15</v>
      </c>
      <c r="J249" s="41">
        <f t="shared" si="457"/>
        <v>0.24732368472035268</v>
      </c>
      <c r="K249" s="41">
        <f t="shared" si="458"/>
        <v>280.43007840265443</v>
      </c>
      <c r="L249" s="6">
        <f t="shared" si="499"/>
        <v>155</v>
      </c>
      <c r="M249" s="41">
        <f t="shared" si="459"/>
        <v>166.15033457231831</v>
      </c>
      <c r="N249" s="41">
        <f t="shared" si="460"/>
        <v>81.211014356305881</v>
      </c>
      <c r="O249" s="41">
        <f t="shared" si="461"/>
        <v>1513105.3130480214</v>
      </c>
      <c r="P249" s="41">
        <f t="shared" si="462"/>
        <v>9715199.3449142762</v>
      </c>
      <c r="Q249" s="41">
        <f t="shared" si="463"/>
        <v>3.0004970951086601E-3</v>
      </c>
      <c r="R249" s="41">
        <f t="shared" si="464"/>
        <v>2.0123927738066247E-2</v>
      </c>
      <c r="S249" s="24">
        <f t="shared" ca="1" si="500"/>
        <v>0</v>
      </c>
      <c r="T249" s="10">
        <f t="shared" ca="1" si="465"/>
        <v>0</v>
      </c>
      <c r="U249" s="41">
        <f t="shared" ca="1" si="466"/>
        <v>0.55167925604472312</v>
      </c>
      <c r="V249" s="41">
        <f t="shared" ca="1" si="467"/>
        <v>3.9345676617716215E-2</v>
      </c>
      <c r="W249" s="41">
        <f t="shared" ca="1" si="468"/>
        <v>14.021343727415225</v>
      </c>
      <c r="X249" s="20">
        <f t="shared" ca="1" si="469"/>
        <v>734.91953099178158</v>
      </c>
      <c r="Y249" s="41">
        <f t="shared" si="470"/>
        <v>0.56447742652663724</v>
      </c>
      <c r="Z249" s="41">
        <f t="shared" ca="1" si="471"/>
        <v>143.73359004174139</v>
      </c>
      <c r="AA249" s="14">
        <f t="shared" ca="1" si="472"/>
        <v>734.91953099178158</v>
      </c>
      <c r="AB249" s="14">
        <f t="shared" si="473"/>
        <v>5628.3916222821908</v>
      </c>
      <c r="AC249" s="25">
        <f t="shared" ca="1" si="474"/>
        <v>206093.54169566734</v>
      </c>
      <c r="AD249" s="41">
        <f t="shared" si="475"/>
        <v>1578370.303917438</v>
      </c>
      <c r="AE249" s="5">
        <f t="shared" ca="1" si="476"/>
        <v>13.057363103205452</v>
      </c>
      <c r="AF249" s="7">
        <f t="shared" ca="1" si="477"/>
        <v>734.91953099178158</v>
      </c>
      <c r="AG249" s="41"/>
      <c r="AH249" s="41"/>
      <c r="AI249" s="41">
        <f t="shared" ca="1" si="478"/>
        <v>601.80883166046942</v>
      </c>
      <c r="AJ249" s="13">
        <f t="shared" ca="1" si="479"/>
        <v>0</v>
      </c>
      <c r="AK249" s="11"/>
      <c r="AL249" s="6">
        <v>0</v>
      </c>
      <c r="AM249" s="6">
        <v>135</v>
      </c>
      <c r="AN249" s="41">
        <f t="shared" ca="1" si="480"/>
        <v>22.567831187267604</v>
      </c>
      <c r="AO249" s="41">
        <f t="shared" ca="1" si="481"/>
        <v>6.2306375464619368</v>
      </c>
      <c r="AP249" s="67">
        <f t="shared" si="482"/>
        <v>0.81887717808822158</v>
      </c>
      <c r="AQ249" s="11">
        <f t="shared" si="483"/>
        <v>1.0314301707183759</v>
      </c>
      <c r="AR249" s="11">
        <f t="shared" si="484"/>
        <v>0.8962407041850623</v>
      </c>
      <c r="AS249" s="11">
        <f t="shared" si="485"/>
        <v>0.86893008332386068</v>
      </c>
      <c r="AT249" s="11">
        <f t="shared" si="486"/>
        <v>534.97188664650002</v>
      </c>
      <c r="AU249" s="11">
        <f t="shared" si="487"/>
        <v>1896.6425030105124</v>
      </c>
      <c r="AV249" s="11">
        <f t="shared" si="488"/>
        <v>2.0653599150524844E-3</v>
      </c>
      <c r="AW249" s="11">
        <f t="shared" si="489"/>
        <v>3.8278171249107636E-7</v>
      </c>
      <c r="AX249" s="41">
        <f t="shared" ca="1" si="490"/>
        <v>1.2524376453518196</v>
      </c>
      <c r="AY249" s="41">
        <f t="shared" ca="1" si="491"/>
        <v>1.6870583911560273</v>
      </c>
      <c r="AZ249" s="41">
        <f t="shared" si="492"/>
        <v>0.18257797167354342</v>
      </c>
    </row>
    <row r="250" spans="1:52" ht="14.5">
      <c r="A250" s="41">
        <f t="shared" ca="1" si="493"/>
        <v>2460.585984684365</v>
      </c>
      <c r="B250" s="41">
        <f t="shared" ca="1" si="501"/>
        <v>41.009766411406083</v>
      </c>
      <c r="C250" s="41">
        <f t="shared" ca="1" si="501"/>
        <v>0.68349610685676809</v>
      </c>
      <c r="D250" s="41">
        <f t="shared" ca="1" si="495"/>
        <v>10281.991524839288</v>
      </c>
      <c r="E250" s="41">
        <f t="shared" ca="1" si="496"/>
        <v>112.59147570514149</v>
      </c>
      <c r="F250" s="41">
        <f t="shared" ca="1" si="497"/>
        <v>112.15147583631484</v>
      </c>
      <c r="G250" s="41"/>
      <c r="H250" s="7">
        <f t="shared" si="498"/>
        <v>3000</v>
      </c>
      <c r="I250" s="6">
        <v>15</v>
      </c>
      <c r="J250" s="41">
        <f t="shared" si="457"/>
        <v>0.24732368472035268</v>
      </c>
      <c r="K250" s="41">
        <f t="shared" si="458"/>
        <v>280.43007840265443</v>
      </c>
      <c r="L250" s="6">
        <f t="shared" si="499"/>
        <v>155</v>
      </c>
      <c r="M250" s="41">
        <f t="shared" si="459"/>
        <v>166.15033457231831</v>
      </c>
      <c r="N250" s="41">
        <f t="shared" si="460"/>
        <v>81.211014356305881</v>
      </c>
      <c r="O250" s="41">
        <f t="shared" si="461"/>
        <v>1513105.3130480214</v>
      </c>
      <c r="P250" s="41">
        <f t="shared" si="462"/>
        <v>9715199.3449142762</v>
      </c>
      <c r="Q250" s="41">
        <f t="shared" si="463"/>
        <v>3.0004970951086601E-3</v>
      </c>
      <c r="R250" s="41">
        <f t="shared" si="464"/>
        <v>2.0123927738066247E-2</v>
      </c>
      <c r="S250" s="24">
        <f t="shared" ca="1" si="500"/>
        <v>0</v>
      </c>
      <c r="T250" s="10">
        <f t="shared" ca="1" si="465"/>
        <v>0</v>
      </c>
      <c r="U250" s="41">
        <f t="shared" ca="1" si="466"/>
        <v>0.55047103317077228</v>
      </c>
      <c r="V250" s="41">
        <f t="shared" ca="1" si="467"/>
        <v>3.9261574397034843E-2</v>
      </c>
      <c r="W250" s="41">
        <f t="shared" ca="1" si="468"/>
        <v>14.020605175026949</v>
      </c>
      <c r="X250" s="20">
        <f t="shared" ca="1" si="469"/>
        <v>733.34862486201666</v>
      </c>
      <c r="Y250" s="41">
        <f t="shared" si="470"/>
        <v>0.56447742652663724</v>
      </c>
      <c r="Z250" s="41">
        <f t="shared" ca="1" si="471"/>
        <v>143.57610958799154</v>
      </c>
      <c r="AA250" s="14">
        <f t="shared" ca="1" si="472"/>
        <v>733.34862486201666</v>
      </c>
      <c r="AB250" s="14">
        <f t="shared" si="473"/>
        <v>5628.3916222821908</v>
      </c>
      <c r="AC250" s="25">
        <f t="shared" ca="1" si="474"/>
        <v>205653.01236653415</v>
      </c>
      <c r="AD250" s="41">
        <f t="shared" si="475"/>
        <v>1578370.303917438</v>
      </c>
      <c r="AE250" s="5">
        <f t="shared" ca="1" si="476"/>
        <v>13.029452711832793</v>
      </c>
      <c r="AF250" s="7">
        <f t="shared" ca="1" si="477"/>
        <v>733.34862486201666</v>
      </c>
      <c r="AG250" s="41"/>
      <c r="AH250" s="41"/>
      <c r="AI250" s="41">
        <f t="shared" ca="1" si="478"/>
        <v>600.52245248188603</v>
      </c>
      <c r="AJ250" s="13">
        <f t="shared" ca="1" si="479"/>
        <v>0</v>
      </c>
      <c r="AK250" s="11"/>
      <c r="AL250" s="6">
        <v>0</v>
      </c>
      <c r="AM250" s="6">
        <v>135</v>
      </c>
      <c r="AN250" s="41">
        <f t="shared" ca="1" si="480"/>
        <v>22.519591968070724</v>
      </c>
      <c r="AO250" s="41">
        <f t="shared" ca="1" si="481"/>
        <v>6.2306375464619368</v>
      </c>
      <c r="AP250" s="67">
        <f t="shared" si="482"/>
        <v>0.81887717808822158</v>
      </c>
      <c r="AQ250" s="11">
        <f t="shared" si="483"/>
        <v>1.0314301707183759</v>
      </c>
      <c r="AR250" s="11">
        <f t="shared" si="484"/>
        <v>0.8962407041850623</v>
      </c>
      <c r="AS250" s="11">
        <f t="shared" si="485"/>
        <v>0.86893008332386068</v>
      </c>
      <c r="AT250" s="11">
        <f t="shared" si="486"/>
        <v>534.97188664650002</v>
      </c>
      <c r="AU250" s="11">
        <f t="shared" si="487"/>
        <v>1896.6425030105124</v>
      </c>
      <c r="AV250" s="11">
        <f t="shared" si="488"/>
        <v>2.0653599150524844E-3</v>
      </c>
      <c r="AW250" s="11">
        <f t="shared" si="489"/>
        <v>3.8278171249107636E-7</v>
      </c>
      <c r="AX250" s="41">
        <f t="shared" ca="1" si="490"/>
        <v>1.2542415104582829</v>
      </c>
      <c r="AY250" s="41">
        <f t="shared" ca="1" si="491"/>
        <v>1.6894882332928129</v>
      </c>
      <c r="AZ250" s="41">
        <f t="shared" si="492"/>
        <v>0.18257797167354342</v>
      </c>
    </row>
    <row r="251" spans="1:52" ht="14.5">
      <c r="A251" s="41">
        <f t="shared" ca="1" si="493"/>
        <v>2595.585984684365</v>
      </c>
      <c r="B251" s="41">
        <f t="shared" ca="1" si="501"/>
        <v>43.259766411406083</v>
      </c>
      <c r="C251" s="41">
        <f t="shared" ca="1" si="501"/>
        <v>0.72099610685676807</v>
      </c>
      <c r="D251" s="41">
        <f t="shared" ca="1" si="495"/>
        <v>10259.471932871218</v>
      </c>
      <c r="E251" s="41">
        <f t="shared" ca="1" si="496"/>
        <v>118.82211325160343</v>
      </c>
      <c r="F251" s="41">
        <f t="shared" ca="1" si="497"/>
        <v>118.38211338277678</v>
      </c>
      <c r="G251" s="41"/>
      <c r="H251" s="7">
        <f t="shared" si="498"/>
        <v>3000</v>
      </c>
      <c r="I251" s="6">
        <v>15</v>
      </c>
      <c r="J251" s="41">
        <f t="shared" si="457"/>
        <v>0.24732368472035268</v>
      </c>
      <c r="K251" s="41">
        <f t="shared" si="458"/>
        <v>280.43007840265443</v>
      </c>
      <c r="L251" s="6">
        <f t="shared" si="499"/>
        <v>155</v>
      </c>
      <c r="M251" s="41">
        <f t="shared" si="459"/>
        <v>166.15033457231831</v>
      </c>
      <c r="N251" s="41">
        <f t="shared" si="460"/>
        <v>81.211014356305881</v>
      </c>
      <c r="O251" s="41">
        <f t="shared" si="461"/>
        <v>1513105.3130480214</v>
      </c>
      <c r="P251" s="41">
        <f t="shared" si="462"/>
        <v>9715199.3449142762</v>
      </c>
      <c r="Q251" s="41">
        <f t="shared" si="463"/>
        <v>3.0004970951086601E-3</v>
      </c>
      <c r="R251" s="41">
        <f t="shared" si="464"/>
        <v>2.0123927738066247E-2</v>
      </c>
      <c r="S251" s="24">
        <f t="shared" ca="1" si="500"/>
        <v>0</v>
      </c>
      <c r="T251" s="10">
        <f t="shared" ca="1" si="465"/>
        <v>0</v>
      </c>
      <c r="U251" s="41">
        <f t="shared" ca="1" si="466"/>
        <v>0.54926539289891441</v>
      </c>
      <c r="V251" s="41">
        <f t="shared" ca="1" si="467"/>
        <v>3.9177835748532633E-2</v>
      </c>
      <c r="W251" s="41">
        <f t="shared" ca="1" si="468"/>
        <v>14.019799266718978</v>
      </c>
      <c r="X251" s="20">
        <f t="shared" ca="1" si="469"/>
        <v>731.78450972730775</v>
      </c>
      <c r="Y251" s="41">
        <f t="shared" si="470"/>
        <v>0.56447742652663724</v>
      </c>
      <c r="Z251" s="41">
        <f t="shared" ca="1" si="471"/>
        <v>143.41879338539692</v>
      </c>
      <c r="AA251" s="14">
        <f t="shared" ca="1" si="472"/>
        <v>731.78450972730786</v>
      </c>
      <c r="AB251" s="14">
        <f t="shared" si="473"/>
        <v>5628.3916222821908</v>
      </c>
      <c r="AC251" s="25">
        <f t="shared" ca="1" si="474"/>
        <v>205214.38743667697</v>
      </c>
      <c r="AD251" s="41">
        <f t="shared" si="475"/>
        <v>1578370.303917438</v>
      </c>
      <c r="AE251" s="5">
        <f t="shared" ca="1" si="476"/>
        <v>13.001662976510953</v>
      </c>
      <c r="AF251" s="7">
        <f t="shared" ca="1" si="477"/>
        <v>731.78450972730775</v>
      </c>
      <c r="AG251" s="41"/>
      <c r="AH251" s="41"/>
      <c r="AI251" s="41">
        <f t="shared" ca="1" si="478"/>
        <v>599.24163429417047</v>
      </c>
      <c r="AJ251" s="13">
        <f t="shared" ca="1" si="479"/>
        <v>0</v>
      </c>
      <c r="AK251" s="11"/>
      <c r="AL251" s="6">
        <v>0</v>
      </c>
      <c r="AM251" s="6">
        <v>135</v>
      </c>
      <c r="AN251" s="41">
        <f t="shared" ca="1" si="480"/>
        <v>22.471561286031392</v>
      </c>
      <c r="AO251" s="41">
        <f t="shared" ca="1" si="481"/>
        <v>6.2306375464619368</v>
      </c>
      <c r="AP251" s="67">
        <f t="shared" si="482"/>
        <v>0.81887717808822158</v>
      </c>
      <c r="AQ251" s="11">
        <f t="shared" si="483"/>
        <v>1.0314301707183759</v>
      </c>
      <c r="AR251" s="11">
        <f t="shared" si="484"/>
        <v>0.8962407041850623</v>
      </c>
      <c r="AS251" s="11">
        <f t="shared" si="485"/>
        <v>0.86893008332386068</v>
      </c>
      <c r="AT251" s="11">
        <f t="shared" si="486"/>
        <v>534.97188664650002</v>
      </c>
      <c r="AU251" s="11">
        <f t="shared" si="487"/>
        <v>1896.6425030105124</v>
      </c>
      <c r="AV251" s="11">
        <f t="shared" si="488"/>
        <v>2.0653599150524844E-3</v>
      </c>
      <c r="AW251" s="11">
        <f t="shared" si="489"/>
        <v>3.8278171249107636E-7</v>
      </c>
      <c r="AX251" s="41">
        <f t="shared" ca="1" si="490"/>
        <v>1.2560519727804205</v>
      </c>
      <c r="AY251" s="41">
        <f t="shared" ca="1" si="491"/>
        <v>1.6919269620101824</v>
      </c>
      <c r="AZ251" s="41">
        <f t="shared" si="492"/>
        <v>0.18257797167354342</v>
      </c>
    </row>
    <row r="252" spans="1:52" ht="14.5">
      <c r="A252" s="41">
        <f t="shared" ca="1" si="493"/>
        <v>2730.585984684365</v>
      </c>
      <c r="B252" s="41">
        <f t="shared" ca="1" si="501"/>
        <v>45.509766411406083</v>
      </c>
      <c r="C252" s="41">
        <f t="shared" ca="1" si="501"/>
        <v>0.75849610685676805</v>
      </c>
      <c r="D252" s="41">
        <f t="shared" ca="1" si="495"/>
        <v>10237.000371585187</v>
      </c>
      <c r="E252" s="41">
        <f t="shared" ca="1" si="496"/>
        <v>125.05275079806536</v>
      </c>
      <c r="F252" s="41">
        <f t="shared" ca="1" si="497"/>
        <v>124.61275092923871</v>
      </c>
      <c r="G252" s="41"/>
      <c r="H252" s="7">
        <f t="shared" si="498"/>
        <v>3000</v>
      </c>
      <c r="I252" s="6">
        <v>15</v>
      </c>
      <c r="J252" s="41">
        <f t="shared" si="457"/>
        <v>0.24732368472035268</v>
      </c>
      <c r="K252" s="41">
        <f t="shared" si="458"/>
        <v>280.43007840265443</v>
      </c>
      <c r="L252" s="6">
        <f t="shared" si="499"/>
        <v>155</v>
      </c>
      <c r="M252" s="41">
        <f t="shared" si="459"/>
        <v>166.15033457231831</v>
      </c>
      <c r="N252" s="41">
        <f t="shared" si="460"/>
        <v>81.211014356305881</v>
      </c>
      <c r="O252" s="41">
        <f t="shared" si="461"/>
        <v>1513105.3130480214</v>
      </c>
      <c r="P252" s="41">
        <f t="shared" si="462"/>
        <v>9715199.3449142762</v>
      </c>
      <c r="Q252" s="41">
        <f t="shared" si="463"/>
        <v>3.0004970951086601E-3</v>
      </c>
      <c r="R252" s="41">
        <f t="shared" si="464"/>
        <v>2.0123927738066247E-2</v>
      </c>
      <c r="S252" s="24">
        <f t="shared" ca="1" si="500"/>
        <v>0</v>
      </c>
      <c r="T252" s="10">
        <f t="shared" ca="1" si="465"/>
        <v>0</v>
      </c>
      <c r="U252" s="41">
        <f t="shared" ca="1" si="466"/>
        <v>0.54806232406461342</v>
      </c>
      <c r="V252" s="41">
        <f t="shared" ca="1" si="467"/>
        <v>3.9094458719412674E-2</v>
      </c>
      <c r="W252" s="41">
        <f t="shared" ca="1" si="468"/>
        <v>14.018926006832487</v>
      </c>
      <c r="X252" s="20">
        <f t="shared" ca="1" si="469"/>
        <v>730.22714911227297</v>
      </c>
      <c r="Y252" s="41">
        <f t="shared" si="470"/>
        <v>0.56447742652663724</v>
      </c>
      <c r="Z252" s="41">
        <f t="shared" ca="1" si="471"/>
        <v>143.26164051586625</v>
      </c>
      <c r="AA252" s="14">
        <f t="shared" ca="1" si="472"/>
        <v>730.22714911227297</v>
      </c>
      <c r="AB252" s="14">
        <f t="shared" si="473"/>
        <v>5628.3916222821908</v>
      </c>
      <c r="AC252" s="25">
        <f t="shared" ca="1" si="474"/>
        <v>204777.65667730154</v>
      </c>
      <c r="AD252" s="41">
        <f t="shared" si="475"/>
        <v>1578370.303917438</v>
      </c>
      <c r="AE252" s="5">
        <f t="shared" ca="1" si="476"/>
        <v>12.973993249179447</v>
      </c>
      <c r="AF252" s="7">
        <f t="shared" ca="1" si="477"/>
        <v>730.22714911227297</v>
      </c>
      <c r="AG252" s="41"/>
      <c r="AH252" s="41"/>
      <c r="AI252" s="41">
        <f t="shared" ca="1" si="478"/>
        <v>597.96634722846511</v>
      </c>
      <c r="AJ252" s="13">
        <f t="shared" ca="1" si="479"/>
        <v>0</v>
      </c>
      <c r="AK252" s="11"/>
      <c r="AL252" s="6">
        <v>0</v>
      </c>
      <c r="AM252" s="6">
        <v>0</v>
      </c>
      <c r="AN252" s="41">
        <f t="shared" ca="1" si="480"/>
        <v>0</v>
      </c>
      <c r="AO252" s="41">
        <f t="shared" ca="1" si="481"/>
        <v>0</v>
      </c>
      <c r="AP252" s="67">
        <f t="shared" si="482"/>
        <v>0.81887717808822158</v>
      </c>
      <c r="AQ252" s="11">
        <f t="shared" si="483"/>
        <v>1.0314301707183759</v>
      </c>
      <c r="AR252" s="11">
        <f t="shared" si="484"/>
        <v>0.8962407041850623</v>
      </c>
      <c r="AS252" s="11">
        <f t="shared" si="485"/>
        <v>0.86893008332386068</v>
      </c>
      <c r="AT252" s="11">
        <f t="shared" si="486"/>
        <v>534.97188664650002</v>
      </c>
      <c r="AU252" s="11">
        <f t="shared" si="487"/>
        <v>1896.6425030105124</v>
      </c>
      <c r="AV252" s="11">
        <f t="shared" si="488"/>
        <v>2.0653599150524844E-3</v>
      </c>
      <c r="AW252" s="11">
        <f t="shared" si="489"/>
        <v>3.8278171249107636E-7</v>
      </c>
      <c r="AX252" s="41">
        <f t="shared" ca="1" si="490"/>
        <v>1.2578690476010481</v>
      </c>
      <c r="AY252" s="41">
        <f t="shared" ca="1" si="491"/>
        <v>1.694374597894392</v>
      </c>
      <c r="AZ252" s="41">
        <f t="shared" si="492"/>
        <v>0.18257797167354342</v>
      </c>
    </row>
    <row r="253" spans="1:52" ht="14.5">
      <c r="AC253" s="3"/>
      <c r="AD253" s="3"/>
      <c r="AP253" s="53"/>
    </row>
    <row r="254" spans="1:52" ht="14.5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5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</row>
    <row r="255" spans="1:52" thickBot="1">
      <c r="A255" s="26" t="s">
        <v>186</v>
      </c>
      <c r="B255" s="29"/>
      <c r="H255" s="21"/>
      <c r="K255" s="26" t="s">
        <v>127</v>
      </c>
      <c r="L255" s="26"/>
      <c r="S255" s="32"/>
      <c r="AC255" s="38"/>
      <c r="AJ255" s="2"/>
      <c r="AL255" s="21"/>
      <c r="AN255" s="48"/>
      <c r="AP255" s="53"/>
    </row>
    <row r="256" spans="1:52" ht="26.5" thickBot="1">
      <c r="D256" s="39" t="s">
        <v>131</v>
      </c>
      <c r="E256" s="39" t="s">
        <v>132</v>
      </c>
      <c r="F256" s="39" t="s">
        <v>133</v>
      </c>
      <c r="G256" s="39" t="s">
        <v>134</v>
      </c>
      <c r="H256" s="39" t="s">
        <v>135</v>
      </c>
      <c r="I256" s="7" t="s">
        <v>170</v>
      </c>
      <c r="J256" s="21" t="s">
        <v>197</v>
      </c>
      <c r="K256" s="7" t="s">
        <v>138</v>
      </c>
      <c r="N256" s="152" t="s">
        <v>297</v>
      </c>
      <c r="O256" s="152" t="s">
        <v>27</v>
      </c>
      <c r="P256" s="152" t="s">
        <v>298</v>
      </c>
      <c r="Q256" s="152" t="s">
        <v>299</v>
      </c>
      <c r="R256" s="152" t="s">
        <v>300</v>
      </c>
      <c r="S256" s="152" t="s">
        <v>301</v>
      </c>
      <c r="T256" s="152" t="s">
        <v>302</v>
      </c>
      <c r="U256" s="152" t="s">
        <v>303</v>
      </c>
      <c r="V256" s="152" t="s">
        <v>304</v>
      </c>
      <c r="W256" s="152"/>
      <c r="X256" s="158" t="s">
        <v>305</v>
      </c>
      <c r="Y256" s="158" t="s">
        <v>300</v>
      </c>
      <c r="Z256" s="158" t="s">
        <v>305</v>
      </c>
      <c r="AA256" s="158" t="s">
        <v>301</v>
      </c>
      <c r="AB256" s="158" t="s">
        <v>302</v>
      </c>
      <c r="AC256" s="158" t="s">
        <v>303</v>
      </c>
      <c r="AD256" s="158" t="s">
        <v>304</v>
      </c>
      <c r="AE256" s="167"/>
      <c r="AF256" s="159" t="s">
        <v>27</v>
      </c>
      <c r="AG256" s="165" t="s">
        <v>307</v>
      </c>
      <c r="AH256" s="160" t="s">
        <v>306</v>
      </c>
      <c r="AP256" s="53"/>
    </row>
    <row r="257" spans="1:40" thickBot="1">
      <c r="A257" s="46" t="s">
        <v>128</v>
      </c>
      <c r="B257" s="46" t="s">
        <v>129</v>
      </c>
      <c r="C257" s="46" t="s">
        <v>130</v>
      </c>
      <c r="D257" s="21">
        <v>0</v>
      </c>
      <c r="E257" s="32">
        <f>D257*1125.33</f>
        <v>0</v>
      </c>
      <c r="F257" s="21">
        <f>AG257*0.93</f>
        <v>5840.3999990700004</v>
      </c>
      <c r="G257" s="32">
        <f t="shared" ref="G257:G283" ca="1" si="502">(F257/$B$10)-$B$258</f>
        <v>0.39314824570375373</v>
      </c>
      <c r="H257" s="32">
        <f t="shared" ref="H257:H283" ca="1" si="503">((($B$260)/(2*($B$10/$B$3)))*(($B$258*$B$18)-$B$261-($B$268*$B$18^2)))</f>
        <v>-2.005802549262322E-6</v>
      </c>
      <c r="I257" s="21">
        <v>0</v>
      </c>
      <c r="J257" s="21">
        <v>0</v>
      </c>
      <c r="K257" s="32">
        <f ca="1">SQRT(B266^2-(B266-50)^2)</f>
        <v>687.78823348647757</v>
      </c>
      <c r="L257" s="21" t="s">
        <v>9</v>
      </c>
      <c r="N257" s="153">
        <v>0</v>
      </c>
      <c r="O257" s="153">
        <v>0</v>
      </c>
      <c r="P257" s="153">
        <v>70</v>
      </c>
      <c r="Q257" s="153">
        <v>298</v>
      </c>
      <c r="R257" s="153">
        <v>20244.56522</v>
      </c>
      <c r="S257" s="153">
        <v>13994.56522</v>
      </c>
      <c r="T257" s="153">
        <v>9442.9347830000006</v>
      </c>
      <c r="U257" s="153">
        <v>6046.1956520000003</v>
      </c>
      <c r="V257" s="153">
        <v>4687.5</v>
      </c>
      <c r="W257" s="153"/>
      <c r="X257" s="153">
        <v>5116.7248319999999</v>
      </c>
      <c r="Y257" s="153">
        <v>6279.9999989999997</v>
      </c>
      <c r="Z257" s="153">
        <v>5116.7248319999999</v>
      </c>
      <c r="AA257" s="153">
        <v>4341.2080530000003</v>
      </c>
      <c r="AB257" s="153">
        <v>2929.2617449999998</v>
      </c>
      <c r="AC257" s="153">
        <v>1875.5704699999999</v>
      </c>
      <c r="AD257" s="153">
        <v>1454.0939599999999</v>
      </c>
      <c r="AE257" s="167"/>
      <c r="AF257" s="161">
        <v>0</v>
      </c>
      <c r="AG257" s="141">
        <f t="shared" ref="AG257:AG262" si="504">$Y$257+(AF257-$O$257)*(($Y$258-$Y$257)/($O$258-$O$257))</f>
        <v>6279.9999989999997</v>
      </c>
      <c r="AH257" s="141">
        <f t="shared" ref="AH257:AH262" si="505">$Z$257+(AF257-$O$257)*(($Z$258-$Z$257)/($O$258-$O$257))</f>
        <v>5116.7248319999999</v>
      </c>
      <c r="AN257" s="53"/>
    </row>
    <row r="258" spans="1:40" thickBot="1">
      <c r="A258" s="46" t="s">
        <v>141</v>
      </c>
      <c r="B258" s="46">
        <v>0.04</v>
      </c>
      <c r="C258" s="46">
        <v>0.3</v>
      </c>
      <c r="D258" s="32">
        <v>0.01</v>
      </c>
      <c r="E258" s="32">
        <f t="shared" ref="E258:E283" si="506">D258*1125.33</f>
        <v>11.253299999999999</v>
      </c>
      <c r="F258" s="21">
        <f t="shared" ref="F258:F277" si="507">AG258*0.93</f>
        <v>5828.6408045340004</v>
      </c>
      <c r="G258" s="32">
        <f t="shared" ca="1" si="502"/>
        <v>0.39227613514883136</v>
      </c>
      <c r="H258" s="32">
        <f t="shared" ca="1" si="503"/>
        <v>-2.005802549262322E-6</v>
      </c>
      <c r="I258" s="32">
        <f ca="1">(((1)/(2*$B$262*$H$257))*LN(($G$257+($H$257*$E$258^2))/($G$257+($H$257*$E$257^2))))</f>
        <v>5.0079816507515709</v>
      </c>
      <c r="J258" s="32">
        <f t="shared" ref="J258:J283" ca="1" si="508">I258/E258</f>
        <v>0.44502338431851735</v>
      </c>
      <c r="N258" s="153">
        <v>0</v>
      </c>
      <c r="O258" s="153">
        <v>0.05</v>
      </c>
      <c r="P258" s="153">
        <v>73</v>
      </c>
      <c r="Q258" s="153">
        <v>295</v>
      </c>
      <c r="R258" s="153">
        <v>20040.760869999998</v>
      </c>
      <c r="S258" s="153">
        <v>13790.76087</v>
      </c>
      <c r="T258" s="153">
        <v>9307.0652169999994</v>
      </c>
      <c r="U258" s="153">
        <v>5978.2608700000001</v>
      </c>
      <c r="V258" s="153">
        <v>4619.5652170000003</v>
      </c>
      <c r="W258" s="153"/>
      <c r="X258" s="153">
        <v>5053.5033549999998</v>
      </c>
      <c r="Y258" s="153">
        <v>6216.778523</v>
      </c>
      <c r="Z258" s="153">
        <v>5053.5033549999998</v>
      </c>
      <c r="AA258" s="153">
        <v>4277.9865769999997</v>
      </c>
      <c r="AB258" s="153">
        <v>2887.114094</v>
      </c>
      <c r="AC258" s="153">
        <v>1854.4966440000001</v>
      </c>
      <c r="AD258" s="153">
        <v>1433.0201340000001</v>
      </c>
      <c r="AE258" s="167"/>
      <c r="AF258" s="161">
        <v>0.01</v>
      </c>
      <c r="AG258" s="141">
        <f t="shared" si="504"/>
        <v>6267.3557037999999</v>
      </c>
      <c r="AH258" s="141">
        <f t="shared" si="505"/>
        <v>5104.0805365999995</v>
      </c>
      <c r="AN258" s="53"/>
    </row>
    <row r="259" spans="1:40" thickBot="1">
      <c r="A259" s="46" t="s">
        <v>145</v>
      </c>
      <c r="B259" s="46">
        <v>0.08</v>
      </c>
      <c r="C259" s="46">
        <v>0.2</v>
      </c>
      <c r="D259" s="21">
        <v>0.02</v>
      </c>
      <c r="E259" s="32">
        <f t="shared" si="506"/>
        <v>22.506599999999999</v>
      </c>
      <c r="F259" s="21">
        <f t="shared" si="507"/>
        <v>5816.8816099980004</v>
      </c>
      <c r="G259" s="32">
        <f t="shared" ca="1" si="502"/>
        <v>0.39140402459390899</v>
      </c>
      <c r="H259" s="32">
        <f t="shared" ca="1" si="503"/>
        <v>-2.005802549262322E-6</v>
      </c>
      <c r="I259" s="32">
        <f ca="1">(((1)/(2*$B$262*$H$258))*LN(($G$258+($H$258*$E$259^2))/($G$258+($H$258*$E$258^2))))</f>
        <v>15.076892950082255</v>
      </c>
      <c r="J259" s="32">
        <f t="shared" ca="1" si="508"/>
        <v>0.66988763074308233</v>
      </c>
      <c r="K259" s="7" t="s">
        <v>148</v>
      </c>
      <c r="N259" s="153">
        <v>0</v>
      </c>
      <c r="O259" s="153">
        <v>0.1</v>
      </c>
      <c r="P259" s="153">
        <v>76</v>
      </c>
      <c r="Q259" s="153">
        <v>292</v>
      </c>
      <c r="R259" s="153">
        <v>19836.95652</v>
      </c>
      <c r="S259" s="153">
        <v>13586.95652</v>
      </c>
      <c r="T259" s="153">
        <v>9103.2608700000001</v>
      </c>
      <c r="U259" s="153">
        <v>5978.2608700000001</v>
      </c>
      <c r="V259" s="153">
        <v>4619.5652170000003</v>
      </c>
      <c r="W259" s="153"/>
      <c r="X259" s="153">
        <v>4990.2818790000001</v>
      </c>
      <c r="Y259" s="153">
        <v>6153.5570459999999</v>
      </c>
      <c r="Z259" s="153">
        <v>4990.2818790000001</v>
      </c>
      <c r="AA259" s="153">
        <v>4214.7650999999996</v>
      </c>
      <c r="AB259" s="153">
        <v>2823.892617</v>
      </c>
      <c r="AC259" s="153">
        <v>1854.4966440000001</v>
      </c>
      <c r="AD259" s="153">
        <v>1433.0201340000001</v>
      </c>
      <c r="AE259" s="167"/>
      <c r="AF259" s="161">
        <v>0.02</v>
      </c>
      <c r="AG259" s="141">
        <f t="shared" si="504"/>
        <v>6254.7114086000001</v>
      </c>
      <c r="AH259" s="141">
        <f t="shared" si="505"/>
        <v>5091.4362412</v>
      </c>
      <c r="AN259" s="53"/>
    </row>
    <row r="260" spans="1:40" thickBot="1">
      <c r="A260" s="47" t="s">
        <v>147</v>
      </c>
      <c r="B260" s="46">
        <f>$AV$292</f>
        <v>2.259289905987135E-3</v>
      </c>
      <c r="D260" s="32">
        <v>0.03</v>
      </c>
      <c r="E260" s="32">
        <f t="shared" si="506"/>
        <v>33.759899999999995</v>
      </c>
      <c r="F260" s="21">
        <f t="shared" si="507"/>
        <v>5805.1224154619995</v>
      </c>
      <c r="G260" s="32">
        <f t="shared" ca="1" si="502"/>
        <v>0.39053191403898657</v>
      </c>
      <c r="H260" s="32">
        <f t="shared" ca="1" si="503"/>
        <v>-2.005802549262322E-6</v>
      </c>
      <c r="I260" s="32">
        <f ca="1">(((1)/(2*$B$262*$H$259))*LN(($G$259+($H$259*$E$260^2))/($G$259+($H$259*$E$259^2))))</f>
        <v>25.249901714260744</v>
      </c>
      <c r="J260" s="32">
        <f t="shared" ca="1" si="508"/>
        <v>0.7479258443970731</v>
      </c>
      <c r="K260" s="32">
        <f ca="1">(50-K263)/TAN(RADIANS(B267))</f>
        <v>-606.19128417585898</v>
      </c>
      <c r="N260" s="153">
        <v>0</v>
      </c>
      <c r="O260" s="153">
        <v>0.15</v>
      </c>
      <c r="P260" s="153">
        <v>79</v>
      </c>
      <c r="Q260" s="153">
        <v>289</v>
      </c>
      <c r="R260" s="153">
        <v>19633.152170000001</v>
      </c>
      <c r="S260" s="153">
        <v>13451.086960000001</v>
      </c>
      <c r="T260" s="153">
        <v>9035.3260869999995</v>
      </c>
      <c r="U260" s="153">
        <v>5978.2608700000001</v>
      </c>
      <c r="V260" s="153">
        <v>4619.5652170000003</v>
      </c>
      <c r="W260" s="153"/>
      <c r="X260" s="153">
        <v>4939.7046970000001</v>
      </c>
      <c r="Y260" s="153">
        <v>6090.3355700000002</v>
      </c>
      <c r="Z260" s="153">
        <v>4939.7046970000001</v>
      </c>
      <c r="AA260" s="153">
        <v>4172.6174490000003</v>
      </c>
      <c r="AB260" s="153">
        <v>2802.818792</v>
      </c>
      <c r="AC260" s="153">
        <v>1854.4966440000001</v>
      </c>
      <c r="AD260" s="153">
        <v>1433.0201340000001</v>
      </c>
      <c r="AE260" s="167"/>
      <c r="AF260" s="161">
        <v>0.03</v>
      </c>
      <c r="AG260" s="141">
        <f t="shared" si="504"/>
        <v>6242.0671133999995</v>
      </c>
      <c r="AH260" s="141">
        <f t="shared" si="505"/>
        <v>5078.7919457999997</v>
      </c>
      <c r="AN260" s="53"/>
    </row>
    <row r="261" spans="1:40" thickBot="1">
      <c r="A261" s="47" t="s">
        <v>150</v>
      </c>
      <c r="B261" s="46">
        <f>$R$292</f>
        <v>2.0587217266233526E-2</v>
      </c>
      <c r="D261" s="21">
        <v>0.04</v>
      </c>
      <c r="E261" s="32">
        <f t="shared" si="506"/>
        <v>45.013199999999998</v>
      </c>
      <c r="F261" s="21">
        <f t="shared" si="507"/>
        <v>5793.3632209260004</v>
      </c>
      <c r="G261" s="32">
        <f t="shared" ca="1" si="502"/>
        <v>0.38965980348406426</v>
      </c>
      <c r="H261" s="32">
        <f t="shared" ca="1" si="503"/>
        <v>-2.005802549262322E-6</v>
      </c>
      <c r="I261" s="32">
        <f ca="1">(((1)/(2*$B$262*$H$260))*LN(($G$260+($H$260*$E$261^2))/($G$260+($H$260*$E$260^2))))</f>
        <v>35.568565014782116</v>
      </c>
      <c r="J261" s="32">
        <f t="shared" ca="1" si="508"/>
        <v>0.79018076952498639</v>
      </c>
      <c r="N261" s="153">
        <v>0</v>
      </c>
      <c r="O261" s="153">
        <v>0.2</v>
      </c>
      <c r="P261" s="153">
        <v>81</v>
      </c>
      <c r="Q261" s="153">
        <v>287</v>
      </c>
      <c r="R261" s="153">
        <v>19497.282609999998</v>
      </c>
      <c r="S261" s="153">
        <v>13383.152169999999</v>
      </c>
      <c r="T261" s="153">
        <v>9035.3260869999995</v>
      </c>
      <c r="U261" s="153">
        <v>5978.2608700000001</v>
      </c>
      <c r="V261" s="153">
        <v>4619.5652170000003</v>
      </c>
      <c r="W261" s="153"/>
      <c r="X261" s="153">
        <v>4910.2013420000003</v>
      </c>
      <c r="Y261" s="153">
        <v>6048.187919</v>
      </c>
      <c r="Z261" s="153">
        <v>4910.2013420000003</v>
      </c>
      <c r="AA261" s="153">
        <v>4151.5436239999999</v>
      </c>
      <c r="AB261" s="153">
        <v>2802.818792</v>
      </c>
      <c r="AC261" s="153">
        <v>1854.4966440000001</v>
      </c>
      <c r="AD261" s="153">
        <v>1433.0201340000001</v>
      </c>
      <c r="AE261" s="167"/>
      <c r="AF261" s="161">
        <v>0.04</v>
      </c>
      <c r="AG261" s="141">
        <f t="shared" si="504"/>
        <v>6229.4228181999997</v>
      </c>
      <c r="AH261" s="141">
        <f t="shared" si="505"/>
        <v>5066.1476504000002</v>
      </c>
      <c r="AN261" s="53"/>
    </row>
    <row r="262" spans="1:40" thickBot="1">
      <c r="A262" s="47" t="s">
        <v>152</v>
      </c>
      <c r="B262" s="47">
        <v>32.17</v>
      </c>
      <c r="D262" s="32">
        <v>0.05</v>
      </c>
      <c r="E262" s="32">
        <f t="shared" si="506"/>
        <v>56.266500000000001</v>
      </c>
      <c r="F262" s="21">
        <f t="shared" si="507"/>
        <v>5781.6040263900004</v>
      </c>
      <c r="G262" s="32">
        <f t="shared" ca="1" si="502"/>
        <v>0.38878769292914189</v>
      </c>
      <c r="H262" s="32">
        <f t="shared" ca="1" si="503"/>
        <v>-2.005802549262322E-6</v>
      </c>
      <c r="I262" s="32">
        <f ca="1">(((1)/(2*$B$262*$H$261))*LN(($G$261+($H$261*$E$262^2))/($G$261+($H$261*$E$261^2))))</f>
        <v>46.076521716624768</v>
      </c>
      <c r="J262" s="32">
        <f t="shared" ca="1" si="508"/>
        <v>0.81889795378466346</v>
      </c>
      <c r="K262" s="21" t="s">
        <v>139</v>
      </c>
      <c r="N262" s="153">
        <v>0</v>
      </c>
      <c r="O262" s="153">
        <v>0.25</v>
      </c>
      <c r="P262" s="153">
        <v>82</v>
      </c>
      <c r="Q262" s="153">
        <v>286</v>
      </c>
      <c r="R262" s="153">
        <v>19429.347829999999</v>
      </c>
      <c r="S262" s="153">
        <v>13349.18478</v>
      </c>
      <c r="T262" s="153">
        <v>8967.3913040000007</v>
      </c>
      <c r="U262" s="153">
        <v>5910.3260870000004</v>
      </c>
      <c r="V262" s="153">
        <v>4619.5652170000003</v>
      </c>
      <c r="W262" s="153"/>
      <c r="X262" s="153">
        <v>4895.4496639999998</v>
      </c>
      <c r="Y262" s="153">
        <v>6027.1140930000001</v>
      </c>
      <c r="Z262" s="153">
        <v>4895.4496639999998</v>
      </c>
      <c r="AA262" s="153">
        <v>4141.006711</v>
      </c>
      <c r="AB262" s="153">
        <v>2781.7449660000002</v>
      </c>
      <c r="AC262" s="153">
        <v>1833.4228189999999</v>
      </c>
      <c r="AD262" s="153">
        <v>1433.0201340000001</v>
      </c>
      <c r="AE262" s="167"/>
      <c r="AF262" s="161">
        <v>0.05</v>
      </c>
      <c r="AG262" s="141">
        <f t="shared" si="504"/>
        <v>6216.778523</v>
      </c>
      <c r="AH262" s="141">
        <f t="shared" si="505"/>
        <v>5053.5033549999998</v>
      </c>
      <c r="AN262" s="53"/>
    </row>
    <row r="263" spans="1:40" thickBot="1">
      <c r="A263" s="7" t="s">
        <v>154</v>
      </c>
      <c r="B263" s="32">
        <f ca="1">$E$1</f>
        <v>167.3149230526212</v>
      </c>
      <c r="C263" s="21" t="s">
        <v>9</v>
      </c>
      <c r="D263" s="21">
        <v>0.06</v>
      </c>
      <c r="E263" s="32">
        <f t="shared" si="506"/>
        <v>67.519799999999989</v>
      </c>
      <c r="F263" s="21">
        <f t="shared" si="507"/>
        <v>5769.8448316679996</v>
      </c>
      <c r="G263" s="32">
        <f t="shared" ca="1" si="502"/>
        <v>0.38791558236042489</v>
      </c>
      <c r="H263" s="32">
        <f t="shared" ca="1" si="503"/>
        <v>-2.005802549262322E-6</v>
      </c>
      <c r="I263" s="32">
        <f ca="1">(((1)/(2*$B$262*$H$262))*LN(($G$262+($H$262*$E$263^2))/($G$262+($H$262*$E$262^2))))</f>
        <v>56.820140045272204</v>
      </c>
      <c r="J263" s="32">
        <f t="shared" ca="1" si="508"/>
        <v>0.84153300284171773</v>
      </c>
      <c r="K263" s="32">
        <f ca="1">B266*(1-COS(RADIANS(B267)))</f>
        <v>258.44807143605368</v>
      </c>
      <c r="L263" s="80" t="s">
        <v>9</v>
      </c>
      <c r="N263" s="153">
        <v>0</v>
      </c>
      <c r="O263" s="153">
        <v>0.3</v>
      </c>
      <c r="P263" s="153">
        <v>82</v>
      </c>
      <c r="Q263" s="153">
        <v>286</v>
      </c>
      <c r="R263" s="153">
        <v>19429.347829999999</v>
      </c>
      <c r="S263" s="153">
        <v>13349.18478</v>
      </c>
      <c r="T263" s="153">
        <v>8967.3913040000007</v>
      </c>
      <c r="U263" s="153">
        <v>5910.3260870000004</v>
      </c>
      <c r="V263" s="153">
        <v>4619.5652170000003</v>
      </c>
      <c r="W263" s="153"/>
      <c r="X263" s="153">
        <v>4895.4496639999998</v>
      </c>
      <c r="Y263" s="153">
        <v>6027.1140930000001</v>
      </c>
      <c r="Z263" s="153">
        <v>4895.4496639999998</v>
      </c>
      <c r="AA263" s="153">
        <v>4141.006711</v>
      </c>
      <c r="AB263" s="153">
        <v>2781.7449660000002</v>
      </c>
      <c r="AC263" s="153">
        <v>1833.4228189999999</v>
      </c>
      <c r="AD263" s="153">
        <v>1433.0201340000001</v>
      </c>
      <c r="AE263" s="167"/>
      <c r="AF263" s="161">
        <v>0.06</v>
      </c>
      <c r="AG263" s="141">
        <f>$Y$258+(AF263-$O$258)*(($Y$259-$Y$258)/($O$259-$O$258))</f>
        <v>6204.1342275999996</v>
      </c>
      <c r="AH263" s="141">
        <f>$Z$258+(AF263-$O$258)*(($Z$259-$Z$258)/($O$259-$O$258))</f>
        <v>5040.8590598000001</v>
      </c>
      <c r="AN263" s="53"/>
    </row>
    <row r="264" spans="1:40" thickBot="1">
      <c r="A264" s="21" t="s">
        <v>155</v>
      </c>
      <c r="B264" s="32">
        <f>0.9*B18</f>
        <v>1.8900000000000001</v>
      </c>
      <c r="D264" s="32">
        <v>7.0000000000000007E-2</v>
      </c>
      <c r="E264" s="32">
        <f t="shared" si="506"/>
        <v>78.773099999999999</v>
      </c>
      <c r="F264" s="21">
        <f t="shared" si="507"/>
        <v>5758.0856369460007</v>
      </c>
      <c r="G264" s="32">
        <f t="shared" ca="1" si="502"/>
        <v>0.38704347179170806</v>
      </c>
      <c r="H264" s="32">
        <f t="shared" ca="1" si="503"/>
        <v>-2.005802549262322E-6</v>
      </c>
      <c r="I264" s="32">
        <f ca="1">(((1)/(2*$B$262*$H$263))*LN(($G$263+($H$263*$E$264^2))/($G$263+($H$263*$E$263^2))))</f>
        <v>67.849247662862453</v>
      </c>
      <c r="J264" s="32">
        <f t="shared" ca="1" si="508"/>
        <v>0.8613250927393038</v>
      </c>
      <c r="N264" s="153">
        <v>0</v>
      </c>
      <c r="O264" s="153">
        <v>0.35</v>
      </c>
      <c r="P264" s="153">
        <v>81</v>
      </c>
      <c r="Q264" s="153">
        <v>287</v>
      </c>
      <c r="R264" s="153">
        <v>19497.282609999998</v>
      </c>
      <c r="S264" s="153">
        <v>13383.152169999999</v>
      </c>
      <c r="T264" s="153">
        <v>9035.3260869999995</v>
      </c>
      <c r="U264" s="153">
        <v>5978.2608700000001</v>
      </c>
      <c r="V264" s="153">
        <v>4619.5652170000003</v>
      </c>
      <c r="W264" s="153"/>
      <c r="X264" s="153">
        <v>4910.2013420000003</v>
      </c>
      <c r="Y264" s="153">
        <v>6048.187919</v>
      </c>
      <c r="Z264" s="153">
        <v>4910.2013420000003</v>
      </c>
      <c r="AA264" s="153">
        <v>4151.5436239999999</v>
      </c>
      <c r="AB264" s="153">
        <v>2802.818792</v>
      </c>
      <c r="AC264" s="153">
        <v>1854.4966440000001</v>
      </c>
      <c r="AD264" s="153">
        <v>1433.0201340000001</v>
      </c>
      <c r="AE264" s="167"/>
      <c r="AF264" s="161">
        <v>7.0000000000000007E-2</v>
      </c>
      <c r="AG264" s="141">
        <f>$Y$258+(AF264-$O$258)*(($Y$259-$Y$258)/($O$259-$O$258))</f>
        <v>6191.4899322000001</v>
      </c>
      <c r="AH264" s="141">
        <f>$Z$258+(AF264-$O$258)*(($Z$259-$Z$258)/($O$259-$O$258))</f>
        <v>5028.2147646000003</v>
      </c>
      <c r="AN264" s="53"/>
    </row>
    <row r="265" spans="1:40" thickBot="1">
      <c r="A265" s="21" t="s">
        <v>156</v>
      </c>
      <c r="B265" s="32">
        <v>1.2</v>
      </c>
      <c r="D265" s="21">
        <v>0.08</v>
      </c>
      <c r="E265" s="32">
        <f t="shared" si="506"/>
        <v>90.026399999999995</v>
      </c>
      <c r="F265" s="21">
        <f t="shared" si="507"/>
        <v>5746.3264422239999</v>
      </c>
      <c r="G265" s="32">
        <f t="shared" ca="1" si="502"/>
        <v>0.38617136122299112</v>
      </c>
      <c r="H265" s="32">
        <f t="shared" ca="1" si="503"/>
        <v>-2.005802549262322E-6</v>
      </c>
      <c r="I265" s="32">
        <f ca="1">(((1)/(2*$B$262*$H$264))*LN(($G$264+($H$264*$E$265^2))/($G$264+($H$264*$E$264^2))))</f>
        <v>79.217969659806471</v>
      </c>
      <c r="J265" s="32">
        <f t="shared" ca="1" si="508"/>
        <v>0.8799415466997067</v>
      </c>
      <c r="N265" s="153">
        <v>0</v>
      </c>
      <c r="O265" s="153">
        <v>0.4</v>
      </c>
      <c r="P265" s="153">
        <v>78</v>
      </c>
      <c r="Q265" s="153">
        <v>290</v>
      </c>
      <c r="R265" s="153">
        <v>19701.086960000001</v>
      </c>
      <c r="S265" s="153">
        <v>13519.02174</v>
      </c>
      <c r="T265" s="153">
        <v>9171.1956520000003</v>
      </c>
      <c r="U265" s="153">
        <v>5978.2608700000001</v>
      </c>
      <c r="V265" s="153">
        <v>4619.5652170000003</v>
      </c>
      <c r="W265" s="153"/>
      <c r="X265" s="153">
        <v>4960.778523</v>
      </c>
      <c r="Y265" s="153">
        <v>6111.4093949999997</v>
      </c>
      <c r="Z265" s="153">
        <v>4960.778523</v>
      </c>
      <c r="AA265" s="153">
        <v>4193.6912750000001</v>
      </c>
      <c r="AB265" s="153">
        <v>2844.9664429999998</v>
      </c>
      <c r="AC265" s="153">
        <v>1854.4966440000001</v>
      </c>
      <c r="AD265" s="153">
        <v>1433.0201340000001</v>
      </c>
      <c r="AE265" s="167"/>
      <c r="AF265" s="161">
        <v>0.08</v>
      </c>
      <c r="AG265" s="141">
        <f>$Y$258+(AF265-$O$258)*(($Y$259-$Y$258)/($O$259-$O$258))</f>
        <v>6178.8456367999997</v>
      </c>
      <c r="AH265" s="141">
        <f>$Z$258+(AF265-$O$258)*(($Z$259-$Z$258)/($O$259-$O$258))</f>
        <v>5015.5704693999996</v>
      </c>
      <c r="AN265" s="53"/>
    </row>
    <row r="266" spans="1:40" thickBot="1">
      <c r="A266" s="21" t="s">
        <v>157</v>
      </c>
      <c r="B266" s="32">
        <f ca="1">((H1)^2)/((B262)*((B265-1)))</f>
        <v>4755.526541224468</v>
      </c>
      <c r="C266" s="21" t="s">
        <v>9</v>
      </c>
      <c r="D266" s="32">
        <v>0.09</v>
      </c>
      <c r="E266" s="32">
        <f t="shared" si="506"/>
        <v>101.27969999999999</v>
      </c>
      <c r="F266" s="21">
        <f t="shared" si="507"/>
        <v>5734.567247502001</v>
      </c>
      <c r="G266" s="32">
        <f t="shared" ca="1" si="502"/>
        <v>0.38529925065427428</v>
      </c>
      <c r="H266" s="32">
        <f t="shared" ca="1" si="503"/>
        <v>-2.005802549262322E-6</v>
      </c>
      <c r="I266" s="32">
        <f ca="1">(((1)/(2*$B$262*$H$265))*LN(($G$265+($H$265*$E$266^2))/($G$265+($H$265*$E$265^2))))</f>
        <v>90.985705827104155</v>
      </c>
      <c r="J266" s="32">
        <f t="shared" ca="1" si="508"/>
        <v>0.89836073593330312</v>
      </c>
      <c r="N266" s="153">
        <v>0</v>
      </c>
      <c r="O266" s="153">
        <v>0.45</v>
      </c>
      <c r="P266" s="153">
        <v>74</v>
      </c>
      <c r="Q266" s="153">
        <v>294</v>
      </c>
      <c r="R266" s="153">
        <v>19972.826089999999</v>
      </c>
      <c r="S266" s="153">
        <v>13790.76087</v>
      </c>
      <c r="T266" s="153">
        <v>9307.0652169999994</v>
      </c>
      <c r="U266" s="153">
        <v>5978.2608700000001</v>
      </c>
      <c r="V266" s="153">
        <v>4687.5</v>
      </c>
      <c r="W266" s="153"/>
      <c r="X266" s="153">
        <v>5045.0738250000004</v>
      </c>
      <c r="Y266" s="153">
        <v>6195.7046970000001</v>
      </c>
      <c r="Z266" s="153">
        <v>5045.0738250000004</v>
      </c>
      <c r="AA266" s="153">
        <v>4277.9865769999997</v>
      </c>
      <c r="AB266" s="153">
        <v>2887.114094</v>
      </c>
      <c r="AC266" s="153">
        <v>1854.4966440000001</v>
      </c>
      <c r="AD266" s="153">
        <v>1454.0939599999999</v>
      </c>
      <c r="AE266" s="167"/>
      <c r="AF266" s="161">
        <v>0.09</v>
      </c>
      <c r="AG266" s="141">
        <f>$Y$258+(AF266-$O$258)*(($Y$259-$Y$258)/($O$259-$O$258))</f>
        <v>6166.2013414000003</v>
      </c>
      <c r="AH266" s="141">
        <f>$Z$258+(AF266-$O$258)*(($Z$259-$Z$258)/($O$259-$O$258))</f>
        <v>5002.9261741999999</v>
      </c>
      <c r="AN266" s="53"/>
    </row>
    <row r="267" spans="1:40" thickBot="1">
      <c r="A267" s="21" t="s">
        <v>158</v>
      </c>
      <c r="B267" s="32">
        <f ca="1">$T$23</f>
        <v>18.976309225896912</v>
      </c>
      <c r="D267" s="21">
        <v>0.1</v>
      </c>
      <c r="E267" s="32">
        <f t="shared" si="506"/>
        <v>112.533</v>
      </c>
      <c r="F267" s="21">
        <f t="shared" si="507"/>
        <v>5722.8080527800003</v>
      </c>
      <c r="G267" s="32">
        <f t="shared" ca="1" si="502"/>
        <v>0.38442714008555734</v>
      </c>
      <c r="H267" s="32">
        <f t="shared" ca="1" si="503"/>
        <v>-2.005802549262322E-6</v>
      </c>
      <c r="I267" s="32">
        <f ca="1">(((1)/(2*$B$262*$H$266))*LN(($G$266+($H$266*$E$267^2))/($G$266+($H$266*$E$266^2))))</f>
        <v>103.21828654639873</v>
      </c>
      <c r="J267" s="32">
        <f t="shared" ca="1" si="508"/>
        <v>0.91722682720978499</v>
      </c>
      <c r="N267" s="153">
        <v>0</v>
      </c>
      <c r="O267" s="153">
        <v>0.5</v>
      </c>
      <c r="P267" s="153">
        <v>70</v>
      </c>
      <c r="Q267" s="153">
        <v>298</v>
      </c>
      <c r="R267" s="153">
        <v>20244.56522</v>
      </c>
      <c r="S267" s="153">
        <v>14062.5</v>
      </c>
      <c r="T267" s="153">
        <v>9510.8695650000009</v>
      </c>
      <c r="U267" s="153">
        <v>6046.1956520000003</v>
      </c>
      <c r="V267" s="153">
        <v>4755.4347829999997</v>
      </c>
      <c r="W267" s="153"/>
      <c r="X267" s="153">
        <v>5129.3691269999999</v>
      </c>
      <c r="Y267" s="153">
        <v>6279.9999989999997</v>
      </c>
      <c r="Z267" s="153">
        <v>5129.3691269999999</v>
      </c>
      <c r="AA267" s="153">
        <v>4362.2818790000001</v>
      </c>
      <c r="AB267" s="153">
        <v>2950.3355700000002</v>
      </c>
      <c r="AC267" s="153">
        <v>1875.5704699999999</v>
      </c>
      <c r="AD267" s="153">
        <v>1475.1677850000001</v>
      </c>
      <c r="AE267" s="167"/>
      <c r="AF267" s="161">
        <v>0.1</v>
      </c>
      <c r="AG267" s="141">
        <f>$Y$258+(AF267-$O$258)*(($Y$259-$Y$258)/($O$259-$O$258))</f>
        <v>6153.5570459999999</v>
      </c>
      <c r="AH267" s="141">
        <f>$Z$258+(AF267-$O$258)*(($Z$259-$Z$258)/($O$259-$O$258))</f>
        <v>4990.2818790000001</v>
      </c>
      <c r="AN267" s="53"/>
    </row>
    <row r="268" spans="1:40" thickBot="1">
      <c r="A268" s="21" t="s">
        <v>159</v>
      </c>
      <c r="B268" s="32">
        <f>($B$8*((33*($B$269/$B$270)^1.5)))/(1+33*($B$269/$B$270)^1.5)</f>
        <v>3.7983327420844509E-2</v>
      </c>
      <c r="D268" s="32">
        <v>0.11</v>
      </c>
      <c r="E268" s="32">
        <f t="shared" si="506"/>
        <v>123.7863</v>
      </c>
      <c r="F268" s="21">
        <f t="shared" si="507"/>
        <v>5711.0488582440003</v>
      </c>
      <c r="G268" s="32">
        <f t="shared" ca="1" si="502"/>
        <v>0.38355502953063497</v>
      </c>
      <c r="H268" s="32">
        <f t="shared" ca="1" si="503"/>
        <v>-2.005802549262322E-6</v>
      </c>
      <c r="I268" s="32">
        <f ca="1">(((1)/(2*$B$262*$H$267))*LN(($G$267+($H$267*$E$268^2))/($G$267+($H$267*$E$267^2))))</f>
        <v>115.98935749258455</v>
      </c>
      <c r="J268" s="32">
        <f t="shared" ca="1" si="508"/>
        <v>0.93701288020228857</v>
      </c>
      <c r="N268" s="153">
        <v>0</v>
      </c>
      <c r="O268" s="153">
        <v>0.55000000000000004</v>
      </c>
      <c r="P268" s="153">
        <v>67</v>
      </c>
      <c r="Q268" s="153">
        <v>301</v>
      </c>
      <c r="R268" s="153">
        <v>20448.369569999999</v>
      </c>
      <c r="S268" s="153">
        <v>14402.17391</v>
      </c>
      <c r="T268" s="153">
        <v>9714.6739130000005</v>
      </c>
      <c r="U268" s="153">
        <v>6250</v>
      </c>
      <c r="V268" s="153">
        <v>4891.3043479999997</v>
      </c>
      <c r="W268" s="153"/>
      <c r="X268" s="153">
        <v>5217.8791940000001</v>
      </c>
      <c r="Y268" s="153">
        <v>6343.2214759999997</v>
      </c>
      <c r="Z268" s="153">
        <v>5217.8791940000001</v>
      </c>
      <c r="AA268" s="153">
        <v>4467.6510060000001</v>
      </c>
      <c r="AB268" s="153">
        <v>3013.5570469999998</v>
      </c>
      <c r="AC268" s="153">
        <v>1938.7919460000001</v>
      </c>
      <c r="AD268" s="153">
        <v>1517.3154360000001</v>
      </c>
      <c r="AE268" s="167"/>
      <c r="AF268" s="161">
        <v>0.11</v>
      </c>
      <c r="AG268" s="141">
        <f>$Y$259+(AF268-$O$259)*(($Y$260-$Y$259)/($O$260-$O$259))</f>
        <v>6140.9127508000001</v>
      </c>
      <c r="AH268" s="141">
        <f>$Z$259+(AF268-$O$259)*(($Z$260-$Z$259)/($O$260-$O$259))</f>
        <v>4980.1664425999998</v>
      </c>
      <c r="AN268" s="53"/>
    </row>
    <row r="269" spans="1:40" thickBot="1">
      <c r="A269" s="67" t="s">
        <v>210</v>
      </c>
      <c r="B269" s="67">
        <v>4.75</v>
      </c>
      <c r="C269" s="21" t="s">
        <v>9</v>
      </c>
      <c r="D269" s="21">
        <v>0.12</v>
      </c>
      <c r="E269" s="32">
        <f t="shared" si="506"/>
        <v>135.03959999999998</v>
      </c>
      <c r="F269" s="21">
        <f t="shared" si="507"/>
        <v>5699.2896637080003</v>
      </c>
      <c r="G269" s="32">
        <f t="shared" ca="1" si="502"/>
        <v>0.3826829189757126</v>
      </c>
      <c r="H269" s="32">
        <f t="shared" ca="1" si="503"/>
        <v>-2.005802549262322E-6</v>
      </c>
      <c r="I269" s="32">
        <f ca="1">(((1)/(2*$B$262*$H$268))*LN(($G$268+($H$268*$E$269^2))/($G$268+($H$268*$E$268^2))))</f>
        <v>129.38205801828917</v>
      </c>
      <c r="J269" s="32">
        <f t="shared" ca="1" si="508"/>
        <v>0.95810457094281376</v>
      </c>
      <c r="N269" s="153">
        <v>0</v>
      </c>
      <c r="O269" s="153">
        <v>0.6</v>
      </c>
      <c r="P269" s="153">
        <v>68</v>
      </c>
      <c r="Q269" s="153">
        <v>300</v>
      </c>
      <c r="R269" s="153">
        <v>20380.43478</v>
      </c>
      <c r="S269" s="153">
        <v>14809.78261</v>
      </c>
      <c r="T269" s="153">
        <v>9918.4782610000002</v>
      </c>
      <c r="U269" s="153">
        <v>6453.8043479999997</v>
      </c>
      <c r="V269" s="153">
        <v>5027.1739129999996</v>
      </c>
      <c r="W269" s="153"/>
      <c r="X269" s="153">
        <v>5285.3154359999999</v>
      </c>
      <c r="Y269" s="153">
        <v>6322.1476499999999</v>
      </c>
      <c r="Z269" s="153">
        <v>5285.3154359999999</v>
      </c>
      <c r="AA269" s="153">
        <v>4594.0939589999998</v>
      </c>
      <c r="AB269" s="153">
        <v>3076.778523</v>
      </c>
      <c r="AC269" s="153">
        <v>2002.0134230000001</v>
      </c>
      <c r="AD269" s="153">
        <v>1559.4630870000001</v>
      </c>
      <c r="AE269" s="167"/>
      <c r="AF269" s="161">
        <v>0.12</v>
      </c>
      <c r="AG269" s="141">
        <f>$Y$259+(AF269-$O$259)*(($Y$260-$Y$259)/($O$260-$O$259))</f>
        <v>6128.2684556000004</v>
      </c>
      <c r="AH269" s="141">
        <f>$Z$259+(AF269-$O$259)*(($Z$260-$Z$259)/($O$260-$O$259))</f>
        <v>4970.0510062000003</v>
      </c>
      <c r="AN269" s="53"/>
    </row>
    <row r="270" spans="1:40" thickBot="1">
      <c r="A270" s="67" t="s">
        <v>211</v>
      </c>
      <c r="B270" s="67">
        <v>37.148000000000003</v>
      </c>
      <c r="C270" s="21" t="s">
        <v>9</v>
      </c>
      <c r="D270" s="32">
        <v>0.13</v>
      </c>
      <c r="E270" s="32">
        <f t="shared" si="506"/>
        <v>146.2929</v>
      </c>
      <c r="F270" s="21">
        <f t="shared" si="507"/>
        <v>5687.5304691720003</v>
      </c>
      <c r="G270" s="32">
        <f t="shared" ca="1" si="502"/>
        <v>0.38181080842079024</v>
      </c>
      <c r="H270" s="32">
        <f t="shared" ca="1" si="503"/>
        <v>-2.005802549262322E-6</v>
      </c>
      <c r="I270" s="32">
        <f ca="1">(((1)/(2*$B$262*$H$269))*LN(($G$269+($H$269*$E$270^2))/($G$269+($H$269*$E$269^2))))</f>
        <v>143.49107818042171</v>
      </c>
      <c r="J270" s="32">
        <f t="shared" ca="1" si="508"/>
        <v>0.98084786192919615</v>
      </c>
      <c r="N270" s="153">
        <v>0</v>
      </c>
      <c r="O270" s="153">
        <v>0.65</v>
      </c>
      <c r="P270" s="153">
        <v>70</v>
      </c>
      <c r="Q270" s="153">
        <v>298</v>
      </c>
      <c r="R270" s="153">
        <v>20244.56522</v>
      </c>
      <c r="S270" s="153">
        <v>15285.32609</v>
      </c>
      <c r="T270" s="153">
        <v>10258.152169999999</v>
      </c>
      <c r="U270" s="153">
        <v>6657.6086960000002</v>
      </c>
      <c r="V270" s="153">
        <v>5163.0434779999996</v>
      </c>
      <c r="W270" s="153"/>
      <c r="X270" s="153">
        <v>5356.9664419999999</v>
      </c>
      <c r="Y270" s="153">
        <v>6279.9999989999997</v>
      </c>
      <c r="Z270" s="153">
        <v>5356.9664419999999</v>
      </c>
      <c r="AA270" s="153">
        <v>4741.6107380000003</v>
      </c>
      <c r="AB270" s="153">
        <v>3182.1476510000002</v>
      </c>
      <c r="AC270" s="153">
        <v>2065.234899</v>
      </c>
      <c r="AD270" s="153">
        <v>1601.6107380000001</v>
      </c>
      <c r="AE270" s="167"/>
      <c r="AF270" s="161">
        <v>0.13</v>
      </c>
      <c r="AG270" s="141">
        <f>$Y$259+(AF270-$O$259)*(($Y$260-$Y$259)/($O$260-$O$259))</f>
        <v>6115.6241603999997</v>
      </c>
      <c r="AH270" s="141">
        <f>$Z$259+(AF270-$O$259)*(($Z$260-$Z$259)/($O$260-$O$259))</f>
        <v>4959.9355697999999</v>
      </c>
      <c r="AN270" s="53"/>
    </row>
    <row r="271" spans="1:40" thickBot="1">
      <c r="D271" s="21">
        <v>0.14000000000000001</v>
      </c>
      <c r="E271" s="32">
        <f t="shared" si="506"/>
        <v>157.5462</v>
      </c>
      <c r="F271" s="21">
        <f t="shared" si="507"/>
        <v>5675.7712746360003</v>
      </c>
      <c r="G271" s="32">
        <f t="shared" ca="1" si="502"/>
        <v>0.38093869786586787</v>
      </c>
      <c r="H271" s="32">
        <f t="shared" ca="1" si="503"/>
        <v>-2.005802549262322E-6</v>
      </c>
      <c r="I271" s="32">
        <f ca="1">(((1)/(2*$B$262*$H$270))*LN(($G$270+($H$270*$E$271^2))/($G$270+($H$270*$E$270^2))))</f>
        <v>158.42520692994697</v>
      </c>
      <c r="J271" s="32">
        <f t="shared" ca="1" si="508"/>
        <v>1.0055793597684168</v>
      </c>
      <c r="N271" s="153">
        <v>0</v>
      </c>
      <c r="O271" s="153">
        <v>0.7</v>
      </c>
      <c r="P271" s="153">
        <v>71</v>
      </c>
      <c r="Q271" s="153">
        <v>297</v>
      </c>
      <c r="R271" s="153">
        <v>20176.630430000001</v>
      </c>
      <c r="S271" s="153">
        <v>15760.869570000001</v>
      </c>
      <c r="T271" s="153">
        <v>10597.82609</v>
      </c>
      <c r="U271" s="153">
        <v>6929.3478260000002</v>
      </c>
      <c r="V271" s="153">
        <v>5366.8478260000002</v>
      </c>
      <c r="W271" s="153"/>
      <c r="X271" s="153">
        <v>5437.0469789999997</v>
      </c>
      <c r="Y271" s="153">
        <v>6258.9261740000002</v>
      </c>
      <c r="Z271" s="153">
        <v>5437.0469789999997</v>
      </c>
      <c r="AA271" s="153">
        <v>4889.1275159999996</v>
      </c>
      <c r="AB271" s="153">
        <v>3287.5167780000002</v>
      </c>
      <c r="AC271" s="153">
        <v>2149.530201</v>
      </c>
      <c r="AD271" s="153">
        <v>1664.8322149999999</v>
      </c>
      <c r="AE271" s="167"/>
      <c r="AF271" s="161">
        <v>0.14000000000000001</v>
      </c>
      <c r="AG271" s="141">
        <f>$Y$259+(AF271-$O$259)*(($Y$260-$Y$259)/($O$260-$O$259))</f>
        <v>6102.9798651999999</v>
      </c>
      <c r="AH271" s="141">
        <f>$Z$259+(AF271-$O$259)*(($Z$260-$Z$259)/($O$260-$O$259))</f>
        <v>4949.8201334000005</v>
      </c>
      <c r="AN271" s="53"/>
    </row>
    <row r="272" spans="1:40" thickBot="1">
      <c r="D272" s="32">
        <v>0.15</v>
      </c>
      <c r="E272" s="32">
        <f t="shared" si="506"/>
        <v>168.79949999999999</v>
      </c>
      <c r="F272" s="21">
        <f t="shared" si="507"/>
        <v>5664.0120801000003</v>
      </c>
      <c r="G272" s="32">
        <f t="shared" ca="1" si="502"/>
        <v>0.3800665873109455</v>
      </c>
      <c r="H272" s="32">
        <f t="shared" ca="1" si="503"/>
        <v>-2.005802549262322E-6</v>
      </c>
      <c r="I272" s="32">
        <f ca="1">(((1)/(2*$B$262*$H$271))*LN(($G$271+($H$271*$E$272^2))/($G$271+($H$271*$E$271^2))))</f>
        <v>174.31052252879968</v>
      </c>
      <c r="J272" s="32">
        <f t="shared" ca="1" si="508"/>
        <v>1.0326483344370077</v>
      </c>
      <c r="N272" s="153">
        <v>0</v>
      </c>
      <c r="O272" s="153">
        <v>0.75</v>
      </c>
      <c r="P272" s="153">
        <v>71</v>
      </c>
      <c r="Q272" s="153">
        <v>297</v>
      </c>
      <c r="R272" s="153">
        <v>20176.630430000001</v>
      </c>
      <c r="S272" s="153">
        <v>16372.28261</v>
      </c>
      <c r="T272" s="153">
        <v>10937.5</v>
      </c>
      <c r="U272" s="153">
        <v>7201.0869570000004</v>
      </c>
      <c r="V272" s="153">
        <v>5502.7173910000001</v>
      </c>
      <c r="W272" s="153"/>
      <c r="X272" s="153">
        <v>5550.8456370000004</v>
      </c>
      <c r="Y272" s="153">
        <v>6258.9261740000002</v>
      </c>
      <c r="Z272" s="153">
        <v>5550.8456370000004</v>
      </c>
      <c r="AA272" s="153">
        <v>5078.7919460000003</v>
      </c>
      <c r="AB272" s="153">
        <v>3392.885906</v>
      </c>
      <c r="AC272" s="153">
        <v>2233.825503</v>
      </c>
      <c r="AD272" s="153">
        <v>1706.9798659999999</v>
      </c>
      <c r="AE272" s="167"/>
      <c r="AF272" s="161">
        <v>0.15</v>
      </c>
      <c r="AG272" s="141">
        <f>$Y$259+(AF272-$O$259)*(($Y$260-$Y$259)/($O$260-$O$259))</f>
        <v>6090.3355700000002</v>
      </c>
      <c r="AH272" s="141">
        <f>$Z$259+(AF272-$O$259)*(($Z$260-$Z$259)/($O$260-$O$259))</f>
        <v>4939.7046970000001</v>
      </c>
      <c r="AN272" s="53"/>
    </row>
    <row r="273" spans="3:42" thickBot="1">
      <c r="D273" s="21">
        <v>0.16</v>
      </c>
      <c r="E273" s="32">
        <f t="shared" si="506"/>
        <v>180.05279999999999</v>
      </c>
      <c r="F273" s="21">
        <f t="shared" si="507"/>
        <v>5656.172617014</v>
      </c>
      <c r="G273" s="32">
        <f t="shared" ca="1" si="502"/>
        <v>0.37948518026973238</v>
      </c>
      <c r="H273" s="32">
        <f t="shared" ca="1" si="503"/>
        <v>-2.005802549262322E-6</v>
      </c>
      <c r="I273" s="32">
        <f ca="1">(((1)/(2*$B$262*$H$272))*LN(($G$272+($H$272*$E$273^2))/($G$272+($H$272*$E$272^2))))</f>
        <v>191.29443033927222</v>
      </c>
      <c r="J273" s="32">
        <f t="shared" ca="1" si="508"/>
        <v>1.0624351875631606</v>
      </c>
      <c r="N273" s="153">
        <v>0</v>
      </c>
      <c r="O273" s="153">
        <v>0.8</v>
      </c>
      <c r="P273" s="153">
        <v>71</v>
      </c>
      <c r="Q273" s="153">
        <v>297</v>
      </c>
      <c r="R273" s="153">
        <v>20176.630430000001</v>
      </c>
      <c r="S273" s="153">
        <v>17119.56522</v>
      </c>
      <c r="T273" s="153">
        <v>11480.97826</v>
      </c>
      <c r="U273" s="153">
        <v>7472.8260870000004</v>
      </c>
      <c r="V273" s="153">
        <v>5706.5217389999998</v>
      </c>
      <c r="W273" s="153"/>
      <c r="X273" s="153">
        <v>5689.9328850000002</v>
      </c>
      <c r="Y273" s="153">
        <v>6258.9261740000002</v>
      </c>
      <c r="Z273" s="153">
        <v>5689.9328850000002</v>
      </c>
      <c r="AA273" s="153">
        <v>5310.604026</v>
      </c>
      <c r="AB273" s="153">
        <v>3561.47651</v>
      </c>
      <c r="AC273" s="153">
        <v>2318.120805</v>
      </c>
      <c r="AD273" s="153">
        <v>1770.2013420000001</v>
      </c>
      <c r="AE273" s="167"/>
      <c r="AF273" s="161">
        <v>0.16</v>
      </c>
      <c r="AG273" s="141">
        <f>$Y$260+(AF273-$O$260)*(($Y$261-$Y$260)/($O$261-$O$260))</f>
        <v>6081.9060398000001</v>
      </c>
      <c r="AH273" s="141">
        <f>$Z$260+(AF273-$O$260)*(($Z$261-$Z$260)/($O$261-$O$260))</f>
        <v>4933.8040259999998</v>
      </c>
      <c r="AN273" s="53"/>
    </row>
    <row r="274" spans="3:42" thickBot="1">
      <c r="D274" s="32">
        <v>0.17</v>
      </c>
      <c r="E274" s="32">
        <f t="shared" si="506"/>
        <v>191.30610000000001</v>
      </c>
      <c r="F274" s="21">
        <f t="shared" si="507"/>
        <v>5648.3331539280007</v>
      </c>
      <c r="G274" s="32">
        <f t="shared" ca="1" si="502"/>
        <v>0.37890377322851931</v>
      </c>
      <c r="H274" s="32">
        <f t="shared" ca="1" si="503"/>
        <v>-2.005802549262322E-6</v>
      </c>
      <c r="I274" s="32">
        <f ca="1">(((1)/(2*$B$262*$H$273))*LN(($G$273+($H$273*$E$274^2))/($G$273+($H$273*$E$273^2))))</f>
        <v>209.35446920305239</v>
      </c>
      <c r="J274" s="32">
        <f t="shared" ca="1" si="508"/>
        <v>1.0943428840118135</v>
      </c>
      <c r="N274" s="153">
        <v>0</v>
      </c>
      <c r="O274" s="153">
        <v>0.85</v>
      </c>
      <c r="P274" s="153">
        <v>71</v>
      </c>
      <c r="Q274" s="153">
        <v>297</v>
      </c>
      <c r="R274" s="153">
        <v>20176.630430000001</v>
      </c>
      <c r="S274" s="153">
        <v>17187.5</v>
      </c>
      <c r="T274" s="153">
        <v>11956.52174</v>
      </c>
      <c r="U274" s="153">
        <v>7812.5</v>
      </c>
      <c r="V274" s="153">
        <v>5978.2608700000001</v>
      </c>
      <c r="W274" s="153"/>
      <c r="X274" s="153">
        <v>5702.5771800000002</v>
      </c>
      <c r="Y274" s="153">
        <v>6258.9261740000002</v>
      </c>
      <c r="Z274" s="153">
        <v>5702.5771800000002</v>
      </c>
      <c r="AA274" s="153">
        <v>5331.6778519999998</v>
      </c>
      <c r="AB274" s="153">
        <v>3708.9932880000001</v>
      </c>
      <c r="AC274" s="153">
        <v>2423.4899329999998</v>
      </c>
      <c r="AD274" s="153">
        <v>1854.4966440000001</v>
      </c>
      <c r="AE274" s="167"/>
      <c r="AF274" s="161">
        <v>0.17</v>
      </c>
      <c r="AG274" s="141">
        <f>$Y$260+(AF274-$O$260)*(($Y$261-$Y$260)/($O$261-$O$260))</f>
        <v>6073.4765096000001</v>
      </c>
      <c r="AH274" s="141">
        <f>$Z$260+(AF274-$O$260)*(($Z$261-$Z$260)/($O$261-$O$260))</f>
        <v>4927.9033550000004</v>
      </c>
      <c r="AN274" s="53"/>
    </row>
    <row r="275" spans="3:42" thickBot="1">
      <c r="D275" s="21">
        <v>0.18</v>
      </c>
      <c r="E275" s="32">
        <f t="shared" si="506"/>
        <v>202.55939999999998</v>
      </c>
      <c r="F275" s="21">
        <f t="shared" si="507"/>
        <v>5640.4936908420004</v>
      </c>
      <c r="G275" s="32">
        <f t="shared" ca="1" si="502"/>
        <v>0.37832236618730619</v>
      </c>
      <c r="H275" s="32">
        <f t="shared" ca="1" si="503"/>
        <v>-2.005802549262322E-6</v>
      </c>
      <c r="I275" s="32">
        <f ca="1">(((1)/(2*$B$262*$H$274))*LN(($G$274+($H$274*$E$275^2))/($G$274+($H$274*$E$274^2))))</f>
        <v>228.84393151336644</v>
      </c>
      <c r="J275" s="32">
        <f t="shared" ca="1" si="508"/>
        <v>1.1297620920745541</v>
      </c>
      <c r="N275" s="153">
        <v>0</v>
      </c>
      <c r="O275" s="153">
        <v>0.9</v>
      </c>
      <c r="P275" s="153">
        <v>71</v>
      </c>
      <c r="Q275" s="153">
        <v>297</v>
      </c>
      <c r="R275" s="153">
        <v>20176.630430000001</v>
      </c>
      <c r="S275" s="153">
        <v>17255.43478</v>
      </c>
      <c r="T275" s="153">
        <v>12567.93478</v>
      </c>
      <c r="U275" s="153">
        <v>8152.1739129999996</v>
      </c>
      <c r="V275" s="153">
        <v>6250</v>
      </c>
      <c r="W275" s="153"/>
      <c r="X275" s="153">
        <v>5715.2214759999997</v>
      </c>
      <c r="Y275" s="153">
        <v>6258.9261740000002</v>
      </c>
      <c r="Z275" s="153">
        <v>5715.2214759999997</v>
      </c>
      <c r="AA275" s="153">
        <v>5352.7516770000002</v>
      </c>
      <c r="AB275" s="153">
        <v>3898.6577179999999</v>
      </c>
      <c r="AC275" s="153">
        <v>2528.8590600000002</v>
      </c>
      <c r="AD275" s="153">
        <v>1938.7919460000001</v>
      </c>
      <c r="AE275" s="167"/>
      <c r="AF275" s="161">
        <v>0.18</v>
      </c>
      <c r="AG275" s="141">
        <f>$Y$260+(AF275-$O$260)*(($Y$261-$Y$260)/($O$261-$O$260))</f>
        <v>6065.0469794000001</v>
      </c>
      <c r="AH275" s="141">
        <f>$Z$260+(AF275-$O$260)*(($Z$261-$Z$260)/($O$261-$O$260))</f>
        <v>4922.002684</v>
      </c>
      <c r="AN275" s="53"/>
    </row>
    <row r="276" spans="3:42" thickBot="1">
      <c r="D276" s="32">
        <v>0.19</v>
      </c>
      <c r="E276" s="32">
        <f t="shared" si="506"/>
        <v>213.81269999999998</v>
      </c>
      <c r="F276" s="21">
        <f t="shared" si="507"/>
        <v>5632.6542277560002</v>
      </c>
      <c r="G276" s="32">
        <f t="shared" ca="1" si="502"/>
        <v>0.37774095914609312</v>
      </c>
      <c r="H276" s="32">
        <f t="shared" ca="1" si="503"/>
        <v>-2.005802549262322E-6</v>
      </c>
      <c r="I276" s="32">
        <f ca="1">(((1)/(2*$B$262*$H$275))*LN(($G$275+($H$275*$E$276^2))/($G$275+($H$275*$E$275^2))))</f>
        <v>250.00063162080454</v>
      </c>
      <c r="J276" s="32">
        <f t="shared" ca="1" si="508"/>
        <v>1.1692506180446931</v>
      </c>
      <c r="N276" s="153">
        <v>0</v>
      </c>
      <c r="O276" s="153">
        <v>0.95</v>
      </c>
      <c r="P276" s="153">
        <v>70</v>
      </c>
      <c r="Q276" s="153">
        <v>298</v>
      </c>
      <c r="R276" s="153">
        <v>20244.56522</v>
      </c>
      <c r="S276" s="153">
        <v>17255.43478</v>
      </c>
      <c r="T276" s="153">
        <v>13179.347830000001</v>
      </c>
      <c r="U276" s="153">
        <v>8559.7826089999999</v>
      </c>
      <c r="V276" s="153">
        <v>6589.6739129999996</v>
      </c>
      <c r="W276" s="153"/>
      <c r="X276" s="153">
        <v>5723.6510060000001</v>
      </c>
      <c r="Y276" s="153">
        <v>6279.9999989999997</v>
      </c>
      <c r="Z276" s="153">
        <v>5723.6510060000001</v>
      </c>
      <c r="AA276" s="153">
        <v>5352.7516770000002</v>
      </c>
      <c r="AB276" s="153">
        <v>4088.3221469999999</v>
      </c>
      <c r="AC276" s="153">
        <v>2655.302013</v>
      </c>
      <c r="AD276" s="153">
        <v>2044.1610740000001</v>
      </c>
      <c r="AE276" s="167"/>
      <c r="AF276" s="161">
        <v>0.19</v>
      </c>
      <c r="AG276" s="141">
        <f>$Y$260+(AF276-$O$260)*(($Y$261-$Y$260)/($O$261-$O$260))</f>
        <v>6056.6174492</v>
      </c>
      <c r="AH276" s="141">
        <f>$Z$260+(AF276-$O$260)*(($Z$261-$Z$260)/($O$261-$O$260))</f>
        <v>4916.1020130000006</v>
      </c>
      <c r="AN276" s="53"/>
    </row>
    <row r="277" spans="3:42" thickBot="1">
      <c r="D277" s="162">
        <v>0.2</v>
      </c>
      <c r="E277" s="163">
        <f t="shared" si="506"/>
        <v>225.066</v>
      </c>
      <c r="F277" s="21">
        <f t="shared" si="507"/>
        <v>5624.8147646699999</v>
      </c>
      <c r="G277" s="163">
        <f t="shared" ca="1" si="502"/>
        <v>0.37715955210488</v>
      </c>
      <c r="H277" s="163">
        <f t="shared" ca="1" si="503"/>
        <v>-2.005802549262322E-6</v>
      </c>
      <c r="I277" s="163">
        <f ca="1">(((1)/(2*$B$262*$H$276))*LN(($G$276+($H$276*$E$277^2))/($G$276+($H$276*$E$276^2))))</f>
        <v>273.11257053630362</v>
      </c>
      <c r="J277" s="163">
        <f t="shared" ca="1" si="508"/>
        <v>1.2134776933712939</v>
      </c>
      <c r="N277" s="153">
        <v>0</v>
      </c>
      <c r="O277" s="153">
        <v>1</v>
      </c>
      <c r="P277" s="153">
        <v>68</v>
      </c>
      <c r="Q277" s="153">
        <v>300</v>
      </c>
      <c r="R277" s="153">
        <v>20380.43478</v>
      </c>
      <c r="S277" s="153">
        <v>17323.369569999999</v>
      </c>
      <c r="T277" s="153">
        <v>13926.630429999999</v>
      </c>
      <c r="U277" s="153">
        <v>9103.2608700000001</v>
      </c>
      <c r="V277" s="153">
        <v>6929.3478260000002</v>
      </c>
      <c r="W277" s="153"/>
      <c r="X277" s="153">
        <v>5753.1543620000002</v>
      </c>
      <c r="Y277" s="153">
        <v>6322.1476499999999</v>
      </c>
      <c r="Z277" s="153">
        <v>5753.1543620000002</v>
      </c>
      <c r="AA277" s="153">
        <v>5373.825503</v>
      </c>
      <c r="AB277" s="153">
        <v>4320.1342279999999</v>
      </c>
      <c r="AC277" s="153">
        <v>2823.892617</v>
      </c>
      <c r="AD277" s="153">
        <v>2149.530201</v>
      </c>
      <c r="AE277" s="167"/>
      <c r="AF277" s="161">
        <v>0.2</v>
      </c>
      <c r="AG277" s="141">
        <f>$Y$260+(AF277-$O$260)*(($Y$261-$Y$260)/($O$261-$O$260))</f>
        <v>6048.187919</v>
      </c>
      <c r="AH277" s="141">
        <f>$Z$260+(AF277-$O$260)*(($Z$261-$Z$260)/($O$261-$O$260))</f>
        <v>4910.2013420000003</v>
      </c>
      <c r="AN277" s="53"/>
    </row>
    <row r="278" spans="3:42" ht="14.5">
      <c r="D278" s="32">
        <v>0.21</v>
      </c>
      <c r="E278" s="32">
        <f t="shared" si="506"/>
        <v>236.31929999999997</v>
      </c>
      <c r="F278" s="21">
        <f t="shared" ref="F278:F283" si="509">AG278</f>
        <v>0</v>
      </c>
      <c r="G278" s="32">
        <f t="shared" ca="1" si="502"/>
        <v>-0.04</v>
      </c>
      <c r="H278" s="32">
        <f t="shared" ca="1" si="503"/>
        <v>-2.005802549262322E-6</v>
      </c>
      <c r="I278" s="32">
        <f ca="1">(((1)/(2*$B$262*$H$277))*LN(($G$277+($H$277*$E$278^2))/($G$277+($H$277*$E$277^2))))</f>
        <v>298.53239575745204</v>
      </c>
      <c r="J278" s="32">
        <f t="shared" ca="1" si="508"/>
        <v>1.2632586325257906</v>
      </c>
      <c r="AN278" s="53"/>
    </row>
    <row r="279" spans="3:42" ht="14.5">
      <c r="D279" s="21">
        <v>0.22</v>
      </c>
      <c r="E279" s="32">
        <f t="shared" si="506"/>
        <v>247.57259999999999</v>
      </c>
      <c r="F279" s="21">
        <f t="shared" si="509"/>
        <v>0</v>
      </c>
      <c r="G279" s="77">
        <f t="shared" ca="1" si="502"/>
        <v>-0.04</v>
      </c>
      <c r="H279" s="77">
        <f t="shared" ca="1" si="503"/>
        <v>-2.005802549262322E-6</v>
      </c>
      <c r="I279" s="77">
        <f ca="1">(((1)/(2*$B$262*$H$278))*LN(($G$278+($H$278*$E$279^2))/($G$278+($H$278*$E$278^2))))</f>
        <v>-537.64935435193831</v>
      </c>
      <c r="J279" s="77">
        <f t="shared" ca="1" si="508"/>
        <v>-2.1716835964559014</v>
      </c>
      <c r="AN279" s="53"/>
    </row>
    <row r="280" spans="3:42" ht="14.5">
      <c r="D280" s="32">
        <v>0.23</v>
      </c>
      <c r="E280" s="32">
        <f t="shared" si="506"/>
        <v>258.82589999999999</v>
      </c>
      <c r="F280" s="21">
        <f t="shared" si="509"/>
        <v>0</v>
      </c>
      <c r="G280" s="2">
        <f t="shared" ca="1" si="502"/>
        <v>-0.04</v>
      </c>
      <c r="H280" s="2">
        <f t="shared" ca="1" si="503"/>
        <v>-2.005802549262322E-6</v>
      </c>
      <c r="I280" s="2">
        <f ca="1">(((1)/(2*$B$262*$H$279))*LN(($G$279+($H$279*$E$280^2))/($G$279+($H$279*$E$279^2))))</f>
        <v>-525.36093222565262</v>
      </c>
      <c r="J280" s="2">
        <f t="shared" ca="1" si="508"/>
        <v>-2.0297850107954907</v>
      </c>
      <c r="AN280" s="53"/>
    </row>
    <row r="281" spans="3:42" ht="14.5">
      <c r="D281" s="21">
        <v>0.24</v>
      </c>
      <c r="E281" s="32">
        <f t="shared" si="506"/>
        <v>270.07919999999996</v>
      </c>
      <c r="F281" s="21">
        <f t="shared" si="509"/>
        <v>0</v>
      </c>
      <c r="G281" s="2">
        <f t="shared" ca="1" si="502"/>
        <v>-0.04</v>
      </c>
      <c r="H281" s="2">
        <f t="shared" ca="1" si="503"/>
        <v>-2.005802549262322E-6</v>
      </c>
      <c r="I281" s="2">
        <f ca="1">(((1)/(2*$B$262*$H$280))*LN(($G$280+($H$280*$E$281^2))/($G$280+($H$280*$E$280^2))))</f>
        <v>-513.14979019905877</v>
      </c>
      <c r="J281" s="2">
        <f t="shared" ca="1" si="508"/>
        <v>-1.899997445930893</v>
      </c>
      <c r="L281" s="21"/>
      <c r="Q281" s="32"/>
      <c r="AA281" s="38"/>
      <c r="AH281" s="2"/>
      <c r="AJ281" s="21"/>
      <c r="AN281" s="53"/>
    </row>
    <row r="282" spans="3:42" ht="14.5">
      <c r="D282" s="32">
        <v>0.25</v>
      </c>
      <c r="E282" s="32">
        <f t="shared" si="506"/>
        <v>281.33249999999998</v>
      </c>
      <c r="F282" s="21">
        <f t="shared" si="509"/>
        <v>0</v>
      </c>
      <c r="G282" s="2">
        <f t="shared" ca="1" si="502"/>
        <v>-0.04</v>
      </c>
      <c r="H282" s="2">
        <f t="shared" ca="1" si="503"/>
        <v>-2.005802549262322E-6</v>
      </c>
      <c r="I282" s="2">
        <f ca="1">(((1)/(2*$B$262*$H$281))*LN(($G$281+($H$281*$E$282^2))/($G$281+($H$281*$E$281^2))))</f>
        <v>-501.09860574452284</v>
      </c>
      <c r="J282" s="2">
        <f t="shared" ca="1" si="508"/>
        <v>-1.7811614575085455</v>
      </c>
      <c r="L282" s="21"/>
      <c r="Q282" s="32"/>
      <c r="AA282" s="38"/>
      <c r="AH282" s="2"/>
      <c r="AJ282" s="21"/>
      <c r="AN282" s="53"/>
    </row>
    <row r="283" spans="3:42" ht="14.5">
      <c r="C283" s="21" t="s">
        <v>212</v>
      </c>
      <c r="D283" s="21">
        <v>0.26</v>
      </c>
      <c r="E283" s="32">
        <f t="shared" si="506"/>
        <v>292.58580000000001</v>
      </c>
      <c r="F283" s="21">
        <f t="shared" si="509"/>
        <v>0</v>
      </c>
      <c r="G283" s="68">
        <f t="shared" ca="1" si="502"/>
        <v>-0.04</v>
      </c>
      <c r="H283" s="68">
        <f t="shared" ca="1" si="503"/>
        <v>-2.005802549262322E-6</v>
      </c>
      <c r="I283" s="68">
        <f ca="1">(((1)/(2*$B$262*$H$282))*LN(($G$282+($H$282*$E$283^2))/($G$282+($H$282*$E$282^2))))</f>
        <v>-489.26843174950375</v>
      </c>
      <c r="J283" s="68">
        <f t="shared" ca="1" si="508"/>
        <v>-1.6722220687043039</v>
      </c>
      <c r="L283" s="21"/>
      <c r="Q283" s="32"/>
      <c r="AA283" s="38"/>
      <c r="AH283" s="2"/>
      <c r="AJ283" s="21"/>
      <c r="AN283" s="53"/>
    </row>
    <row r="284" spans="3:42" ht="14.5">
      <c r="H284" s="21"/>
      <c r="L284" s="21"/>
      <c r="S284" s="32"/>
      <c r="AC284" s="38"/>
      <c r="AJ284" s="2"/>
      <c r="AL284" s="21"/>
      <c r="AP284" s="53"/>
    </row>
    <row r="285" spans="3:42" ht="14.5">
      <c r="H285" s="34" t="s">
        <v>160</v>
      </c>
      <c r="I285" s="32">
        <f ca="1">SUM(I257:I272)</f>
        <v>1246.6694359379876</v>
      </c>
      <c r="J285" s="21" t="s">
        <v>9</v>
      </c>
      <c r="K285" s="21" t="s">
        <v>161</v>
      </c>
      <c r="L285" s="32">
        <f ca="1">SUM(J257:J272)</f>
        <v>12.784495795471862</v>
      </c>
      <c r="M285" s="21" t="s">
        <v>18</v>
      </c>
      <c r="S285" s="32"/>
      <c r="AC285" s="38"/>
      <c r="AJ285" s="2"/>
      <c r="AL285" s="21"/>
      <c r="AP285" s="53"/>
    </row>
    <row r="286" spans="3:42" ht="14.5">
      <c r="H286" s="7" t="s">
        <v>154</v>
      </c>
      <c r="I286" s="32">
        <f ca="1">B263</f>
        <v>167.3149230526212</v>
      </c>
      <c r="K286" s="21" t="s">
        <v>162</v>
      </c>
      <c r="L286" s="21">
        <v>1</v>
      </c>
      <c r="M286" s="21" t="s">
        <v>18</v>
      </c>
      <c r="S286" s="32"/>
      <c r="AC286" s="38"/>
      <c r="AJ286" s="2"/>
      <c r="AL286" s="21"/>
      <c r="AP286" s="53"/>
    </row>
    <row r="287" spans="3:42" ht="14.5">
      <c r="H287" s="7" t="s">
        <v>138</v>
      </c>
      <c r="I287" s="32">
        <f ca="1">K257</f>
        <v>687.78823348647757</v>
      </c>
      <c r="K287" s="21" t="s">
        <v>163</v>
      </c>
      <c r="L287" s="21">
        <f ca="1">(K257/H1)</f>
        <v>3.9320126695514661</v>
      </c>
      <c r="M287" s="21" t="s">
        <v>18</v>
      </c>
      <c r="S287" s="32"/>
      <c r="AC287" s="38"/>
      <c r="AJ287" s="2"/>
      <c r="AL287" s="21"/>
      <c r="AP287" s="53"/>
    </row>
    <row r="288" spans="3:42" ht="14.5">
      <c r="H288" s="7" t="s">
        <v>148</v>
      </c>
      <c r="I288" s="68">
        <f ca="1">K260</f>
        <v>-606.19128417585898</v>
      </c>
      <c r="K288" s="21" t="s">
        <v>164</v>
      </c>
      <c r="L288" s="49">
        <f ca="1">I288/K1</f>
        <v>-3.3211343835308029</v>
      </c>
      <c r="M288" s="21" t="s">
        <v>18</v>
      </c>
      <c r="S288" s="32"/>
      <c r="AC288" s="38"/>
      <c r="AJ288" s="2"/>
      <c r="AL288" s="21"/>
      <c r="AP288" s="53"/>
    </row>
    <row r="289" spans="1:56" ht="14.5">
      <c r="H289" s="6" t="s">
        <v>165</v>
      </c>
      <c r="I289" s="5">
        <f ca="1">SUM(I285:I287)</f>
        <v>2101.7725924770866</v>
      </c>
      <c r="J289" s="6" t="s">
        <v>9</v>
      </c>
      <c r="K289" s="51" t="s">
        <v>166</v>
      </c>
      <c r="L289" s="51">
        <f ca="1">SUM(L285:L287)</f>
        <v>17.716508465023328</v>
      </c>
      <c r="M289" s="51" t="s">
        <v>18</v>
      </c>
      <c r="S289" s="32"/>
      <c r="AC289" s="38"/>
      <c r="AJ289" s="2"/>
      <c r="AL289" s="21"/>
      <c r="AP289" s="53"/>
    </row>
    <row r="290" spans="1:56" thickBot="1">
      <c r="H290" s="21"/>
      <c r="L290" s="21"/>
      <c r="S290" s="32"/>
      <c r="AC290" s="38"/>
      <c r="AJ290" s="2"/>
      <c r="AL290" s="21"/>
      <c r="AP290" s="53"/>
    </row>
    <row r="291" spans="1:56" s="167" customFormat="1" ht="26.5" thickBot="1">
      <c r="A291" s="41" t="s">
        <v>2</v>
      </c>
      <c r="B291" s="41" t="s">
        <v>2</v>
      </c>
      <c r="C291" s="41" t="s">
        <v>2</v>
      </c>
      <c r="D291" s="41" t="s">
        <v>23</v>
      </c>
      <c r="E291" s="41" t="s">
        <v>24</v>
      </c>
      <c r="F291" s="41" t="s">
        <v>25</v>
      </c>
      <c r="G291" s="41"/>
      <c r="H291" s="41" t="s">
        <v>0</v>
      </c>
      <c r="I291" s="5" t="s">
        <v>26</v>
      </c>
      <c r="J291" s="41" t="s">
        <v>27</v>
      </c>
      <c r="K291" s="41" t="s">
        <v>28</v>
      </c>
      <c r="L291" s="12" t="s">
        <v>29</v>
      </c>
      <c r="M291" s="13" t="s">
        <v>30</v>
      </c>
      <c r="N291" s="41" t="s">
        <v>31</v>
      </c>
      <c r="O291" s="41" t="s">
        <v>32</v>
      </c>
      <c r="P291" s="41" t="s">
        <v>33</v>
      </c>
      <c r="Q291" s="41" t="s">
        <v>34</v>
      </c>
      <c r="R291" s="41" t="s">
        <v>13</v>
      </c>
      <c r="S291" s="24" t="s">
        <v>35</v>
      </c>
      <c r="T291" s="10" t="s">
        <v>35</v>
      </c>
      <c r="U291" s="41" t="s">
        <v>36</v>
      </c>
      <c r="V291" s="41" t="s">
        <v>37</v>
      </c>
      <c r="W291" s="41" t="s">
        <v>38</v>
      </c>
      <c r="X291" s="41" t="s">
        <v>39</v>
      </c>
      <c r="Y291" s="41" t="s">
        <v>40</v>
      </c>
      <c r="Z291" s="35" t="s">
        <v>108</v>
      </c>
      <c r="AA291" s="35" t="s">
        <v>109</v>
      </c>
      <c r="AB291" s="9" t="s">
        <v>110</v>
      </c>
      <c r="AC291" s="7" t="s">
        <v>111</v>
      </c>
      <c r="AD291" s="7" t="s">
        <v>112</v>
      </c>
      <c r="AE291" s="5" t="s">
        <v>41</v>
      </c>
      <c r="AF291" s="7" t="s">
        <v>113</v>
      </c>
      <c r="AG291" s="7" t="s">
        <v>114</v>
      </c>
      <c r="AH291" s="7" t="s">
        <v>115</v>
      </c>
      <c r="AI291" s="41" t="s">
        <v>42</v>
      </c>
      <c r="AJ291" s="41" t="s">
        <v>43</v>
      </c>
      <c r="AK291" s="36" t="s">
        <v>116</v>
      </c>
      <c r="AL291" s="5" t="s">
        <v>44</v>
      </c>
      <c r="AM291" s="41" t="s">
        <v>45</v>
      </c>
      <c r="AN291" s="41" t="s">
        <v>46</v>
      </c>
      <c r="AO291" s="41" t="s">
        <v>47</v>
      </c>
      <c r="AP291" s="67" t="s">
        <v>85</v>
      </c>
      <c r="AQ291" s="15" t="s">
        <v>62</v>
      </c>
      <c r="AR291" s="16" t="s">
        <v>63</v>
      </c>
      <c r="AS291" s="16" t="s">
        <v>64</v>
      </c>
      <c r="AT291" s="17" t="s">
        <v>65</v>
      </c>
      <c r="AU291" s="18" t="s">
        <v>66</v>
      </c>
      <c r="AV291" s="18" t="s">
        <v>67</v>
      </c>
      <c r="AW291" s="19" t="s">
        <v>68</v>
      </c>
      <c r="AX291" s="7" t="s">
        <v>207</v>
      </c>
      <c r="AY291" s="7" t="s">
        <v>208</v>
      </c>
      <c r="AZ291" s="7" t="s">
        <v>209</v>
      </c>
      <c r="BA291" s="152" t="s">
        <v>293</v>
      </c>
      <c r="BB291" s="152" t="s">
        <v>294</v>
      </c>
      <c r="BC291" s="152" t="s">
        <v>295</v>
      </c>
      <c r="BD291" s="152" t="s">
        <v>296</v>
      </c>
    </row>
    <row r="292" spans="1:56" s="167" customFormat="1" ht="14.5">
      <c r="A292" s="41">
        <f ca="1">H292/(K292*SIN(RADIANS(T292)))</f>
        <v>0</v>
      </c>
      <c r="B292" s="41">
        <v>0</v>
      </c>
      <c r="C292" s="41">
        <v>0</v>
      </c>
      <c r="D292" s="41">
        <f ca="1">$B$12</f>
        <v>13348.7692872565</v>
      </c>
      <c r="E292" s="7">
        <v>0</v>
      </c>
      <c r="F292" s="7">
        <v>0</v>
      </c>
      <c r="G292" s="41"/>
      <c r="H292" s="65">
        <v>0</v>
      </c>
      <c r="I292" s="6">
        <v>15</v>
      </c>
      <c r="J292" s="41">
        <f t="shared" ref="J292" si="510">SQRT((((((((L292^2)*(0.2))/(661.477)^2) + 1)^(3.5) - 1)*(1/AR292) + 1)^(1/3.5) - 1)*(5))</f>
        <v>0.14815329935885838</v>
      </c>
      <c r="K292" s="41">
        <f t="shared" ref="K292" si="511">SQRT((1.4*2116.22*AR292*(J292)^2)/AV292)</f>
        <v>169.65621420800636</v>
      </c>
      <c r="L292" s="120">
        <v>98</v>
      </c>
      <c r="M292" s="41">
        <f t="shared" ref="M292" si="512">K292*0.592484</f>
        <v>100.51859241881644</v>
      </c>
      <c r="N292" s="41">
        <f>0.5*AV292*K292^2</f>
        <v>32.514831651905133</v>
      </c>
      <c r="O292" s="41">
        <f t="shared" ref="O292" si="513">P292/$B$7</f>
        <v>986231.09152903175</v>
      </c>
      <c r="P292" s="41">
        <f>(AV292*K292*$B$7)/(AW292)</f>
        <v>6332296.6165890759</v>
      </c>
      <c r="Q292" s="41">
        <f>0.455/(LOG10(P292)^2.58 * (1+0.144*J292*J292)^0.65)</f>
        <v>3.2284223038040179E-3</v>
      </c>
      <c r="R292" s="41">
        <f>(((Q292*$B$4)+$B$17)+(0.05*(Q292*$B$4)))</f>
        <v>2.0587217266233526E-2</v>
      </c>
      <c r="S292" s="24">
        <f ca="1">T292</f>
        <v>21.1536044212374</v>
      </c>
      <c r="T292" s="10">
        <f ca="1">DEGREES(ASIN(((AF292-X292)/(D292))))</f>
        <v>21.1536044212374</v>
      </c>
      <c r="U292" s="41">
        <f ca="1">(D292*COS(RADIANS(S292)))/(N292*$B$3)</f>
        <v>1.6646958376338905</v>
      </c>
      <c r="V292" s="41">
        <f ca="1">(X292)/(N292*$B$3)</f>
        <v>0.1956079018112174</v>
      </c>
      <c r="W292" s="41">
        <f ca="1">U292/V292</f>
        <v>8.5103711159915232</v>
      </c>
      <c r="X292" s="20">
        <f ca="1">(N292*$B$3*R292)+((N292*$B$3)*((U292^2)/(PI()*$B$6*$B$5)))</f>
        <v>1462.8363393500483</v>
      </c>
      <c r="Y292" s="41">
        <f>SQRT(PI()*$B$6*$B$5*R292)</f>
        <v>0.57093810402541811</v>
      </c>
      <c r="Z292" s="41">
        <f ca="1">SQRT((2*((U292*N292*$B$3)/(D292))*D292)/(AV292*$B$3*$B$18))</f>
        <v>151.05237954910447</v>
      </c>
      <c r="AA292" s="14">
        <f t="shared" ref="AA292" ca="1" si="514">D292/W292</f>
        <v>1568.5296334696054</v>
      </c>
      <c r="AB292" s="9">
        <v>6280</v>
      </c>
      <c r="AC292" s="25">
        <f t="shared" ref="AC292" ca="1" si="515">AA292*K292</f>
        <v>266110.79948752507</v>
      </c>
      <c r="AD292" s="41">
        <f t="shared" ref="AD292" si="516">AB292*K292</f>
        <v>1065441.0252262799</v>
      </c>
      <c r="AE292" s="6">
        <v>100</v>
      </c>
      <c r="AF292" s="41">
        <f t="shared" ref="AF292" si="517">AB292*(AE292/100)</f>
        <v>6280</v>
      </c>
      <c r="AG292" s="41">
        <f t="shared" ref="AG292" ca="1" si="518">AB292-AA292</f>
        <v>4711.470366530395</v>
      </c>
      <c r="AH292" s="41">
        <f t="shared" ref="AH292" ca="1" si="519">AD292-AC292</f>
        <v>799330.22573875473</v>
      </c>
      <c r="AI292" s="41">
        <f t="shared" ref="AI292" si="520">(AP292*AF292)</f>
        <v>5010.8408439738896</v>
      </c>
      <c r="AJ292" s="13">
        <f ca="1">K292*SIN(RADIANS(T292))</f>
        <v>61.223752714526057</v>
      </c>
      <c r="AK292" s="11">
        <f t="shared" ref="AK292" ca="1" si="521">(AH292/D292)*60</f>
        <v>3592.8266128706314</v>
      </c>
      <c r="AL292" s="6">
        <v>500</v>
      </c>
      <c r="AM292" s="41">
        <f t="shared" ref="AM292" ca="1" si="522">AL292/AJ292</f>
        <v>8.1667649863182774</v>
      </c>
      <c r="AN292" s="41">
        <f t="shared" ref="AN292" ca="1" si="523">AI292*(AM292/3600)</f>
        <v>11.36732209904986</v>
      </c>
      <c r="AO292" s="41">
        <f ca="1">M292*COS(RADIANS(T292))*(AM292/3600)</f>
        <v>0.21266546411639625</v>
      </c>
      <c r="AP292" s="67">
        <f t="shared" ref="AP292" si="524">-18.066*(AZ292^6) + 34.325*(AZ292^5) - 25.292*(AZ292^4) + 8.7618*(AZ292^3) - 1.317*(AZ292^2) + 0.358*(AZ292^1) + 0.7659</f>
        <v>0.79790459298947281</v>
      </c>
      <c r="AQ292" s="11">
        <f t="shared" ref="AQ292" si="525">IF(H292 &lt;= 36089, ((1 - 6.87535*10^(-6)*H292) + ((I292*1.8)/518.67)), 0.75187 + ((I292*1.8)/518.67))</f>
        <v>1.0520562207183759</v>
      </c>
      <c r="AR292" s="11">
        <f t="shared" ref="AR292" si="526">IF(H292 &lt;= 36089, (1 - 6.87535*10^(-6)*H292)^5.2561, 0.22336*EXP((36089 - H292)/(20806.7)))</f>
        <v>1</v>
      </c>
      <c r="AS292" s="11">
        <f t="shared" ref="AS292" si="527">(AR292/AQ292)</f>
        <v>0.95051954477981193</v>
      </c>
      <c r="AT292" s="11">
        <f t="shared" ref="AT292" si="528">(518.67*AQ292)</f>
        <v>545.66999999999996</v>
      </c>
      <c r="AU292" s="11">
        <f t="shared" ref="AU292" si="529">2116.22*AR292</f>
        <v>2116.2199999999998</v>
      </c>
      <c r="AV292" s="11">
        <f t="shared" ref="AV292" si="530">(0.0023769*AS292)</f>
        <v>2.259289905987135E-3</v>
      </c>
      <c r="AW292" s="11">
        <f t="shared" ref="AW292" si="531">((2.2697*10^-8)*(AT292^1.5))/(AT292+198.72)</f>
        <v>3.8865391239478742E-7</v>
      </c>
      <c r="AX292" s="41">
        <f ca="1">(1/U292)*(((1 + 0.2*(U292)^2)/1.2)^3)</f>
        <v>1.3052018008453354</v>
      </c>
      <c r="AY292" s="41">
        <f t="shared" ref="AY292" ca="1" si="532">($H$4/$H$3)*AX292</f>
        <v>1.7581327569002732</v>
      </c>
      <c r="AZ292" s="41">
        <f t="shared" ref="AZ292" si="533">-6.6*10^(-3) + 0.825*J292 - 0.243*(J292^2)</f>
        <v>0.11029276774410569</v>
      </c>
      <c r="BA292" s="167">
        <f>2.12-0.00251*AF292+1.94*10^-6*AF292^2-7.84*10^-10*AF292^3+1.7*10^-13*AF292^4-1.89*10^-17*AF292^5+8.37*10^-22*AF292^6</f>
        <v>-0.16099291242367997</v>
      </c>
      <c r="BB292" s="156">
        <f>2.18-0.00461*AF292+6.03*10^-6*AF292^2-4.1*10^-9*AF292^3+1.5*10^-12*AF292^4-2.81*10^-16*AF292^5+2.1*10^-20*AF292^6</f>
        <v>72.084687861777184</v>
      </c>
    </row>
    <row r="293" spans="1:56" ht="14.5">
      <c r="H293" s="21"/>
      <c r="L293" s="21"/>
      <c r="S293" s="32"/>
      <c r="AC293" s="38"/>
      <c r="AJ293" s="2"/>
      <c r="AL293" s="21"/>
      <c r="AP293" s="53"/>
    </row>
    <row r="294" spans="1:56" ht="14.5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2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5"/>
      <c r="AD294" s="43"/>
      <c r="AE294" s="42"/>
      <c r="AF294" s="43"/>
      <c r="AG294" s="43"/>
      <c r="AH294" s="43"/>
      <c r="AI294" s="43"/>
      <c r="AJ294" s="45"/>
      <c r="AK294" s="43"/>
      <c r="AL294" s="42"/>
      <c r="AM294" s="43"/>
      <c r="AN294" s="43"/>
      <c r="AO294" s="43"/>
      <c r="AP294" s="5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</row>
    <row r="295" spans="1:56" ht="14.5">
      <c r="A295" s="26" t="s">
        <v>167</v>
      </c>
      <c r="D295" s="181" t="s">
        <v>141</v>
      </c>
      <c r="E295" s="182"/>
      <c r="F295" s="182"/>
      <c r="G295" s="182"/>
      <c r="H295" s="182"/>
      <c r="I295" s="182"/>
      <c r="K295" s="26"/>
      <c r="N295" s="181"/>
      <c r="O295" s="182"/>
      <c r="P295" s="182"/>
      <c r="Q295" s="182"/>
      <c r="R295" s="182"/>
      <c r="S295" s="182"/>
      <c r="AB295" s="38"/>
      <c r="AI295" s="2"/>
      <c r="AL295" s="21"/>
    </row>
    <row r="296" spans="1:56" ht="14.5">
      <c r="A296" s="70" t="s">
        <v>168</v>
      </c>
      <c r="B296" s="32">
        <f ca="1">1.2*($Z$195)</f>
        <v>172.81493500793772</v>
      </c>
      <c r="C296" s="21" t="s">
        <v>51</v>
      </c>
      <c r="D296" s="39" t="s">
        <v>131</v>
      </c>
      <c r="E296" s="39" t="s">
        <v>132</v>
      </c>
      <c r="F296" s="39" t="s">
        <v>133</v>
      </c>
      <c r="G296" s="39" t="s">
        <v>134</v>
      </c>
      <c r="H296" s="39" t="s">
        <v>135</v>
      </c>
      <c r="I296" s="6" t="s">
        <v>170</v>
      </c>
      <c r="J296" s="21" t="s">
        <v>2</v>
      </c>
      <c r="L296" s="75" t="s">
        <v>217</v>
      </c>
      <c r="M296" s="80">
        <f ca="1">0.85*B12</f>
        <v>11346.453894168026</v>
      </c>
      <c r="N296" s="21"/>
      <c r="O296" s="21"/>
      <c r="P296" s="21"/>
      <c r="Q296" s="21"/>
      <c r="R296" s="21"/>
      <c r="S296" s="21"/>
      <c r="AB296" s="38"/>
      <c r="AI296" s="2"/>
      <c r="AL296" s="21"/>
    </row>
    <row r="297" spans="1:56" ht="14.5">
      <c r="A297" s="70" t="s">
        <v>169</v>
      </c>
      <c r="B297" s="32">
        <f ca="1">$T$195</f>
        <v>-4.2056129593266256</v>
      </c>
      <c r="C297" s="21" t="s">
        <v>55</v>
      </c>
      <c r="D297" s="21">
        <v>105</v>
      </c>
      <c r="E297" s="32">
        <f ca="1">$B$298</f>
        <v>158.41369042394291</v>
      </c>
      <c r="F297" s="21">
        <f>315*0.93</f>
        <v>292.95</v>
      </c>
      <c r="G297" s="32">
        <f ca="1">(F297/$M$296)-$C$307</f>
        <v>-0.27418136073768617</v>
      </c>
      <c r="H297" s="32">
        <f t="shared" ref="H297:H317" ca="1" si="534">((($B$309)/(2*($M$296/$B$3)))*(($C$307*$B$313)-$B$310-($B$311*$B$313^2)))</f>
        <v>8.534151082313569E-7</v>
      </c>
      <c r="I297" s="32">
        <f t="shared" ref="I297:I315" ca="1" si="535">((1)/(2*$B$312*H297))*LN((G297+(H297*(E298^2)))/(G297+(H297*(E297^2))))</f>
        <v>-208.08415283406691</v>
      </c>
      <c r="J297" s="21">
        <v>0</v>
      </c>
      <c r="AB297" s="38"/>
      <c r="AI297" s="2"/>
      <c r="AL297" s="21"/>
    </row>
    <row r="298" spans="1:56" ht="14.5">
      <c r="A298" s="70" t="s">
        <v>171</v>
      </c>
      <c r="B298" s="32">
        <f ca="1">1.1*$Z$195</f>
        <v>158.41369042394291</v>
      </c>
      <c r="C298" s="21" t="s">
        <v>51</v>
      </c>
      <c r="D298" s="21">
        <f t="shared" ref="D298:D317" si="536">D297-5</f>
        <v>100</v>
      </c>
      <c r="E298" s="32">
        <f>$D$298*1.687</f>
        <v>168.70000000000002</v>
      </c>
      <c r="F298" s="21">
        <f t="shared" ref="F298:F317" si="537">315*0.93</f>
        <v>292.95</v>
      </c>
      <c r="G298" s="32">
        <f ca="1">(F298/$M$296)-$C$307</f>
        <v>-0.27418136073768617</v>
      </c>
      <c r="H298" s="32">
        <f t="shared" ca="1" si="534"/>
        <v>8.534151082313569E-7</v>
      </c>
      <c r="I298" s="32">
        <f t="shared" ca="1" si="535"/>
        <v>171.77074672764763</v>
      </c>
      <c r="J298" s="32">
        <f t="shared" ref="J298:J317" ca="1" si="538">I298/E298</f>
        <v>1.018202410952268</v>
      </c>
      <c r="AB298" s="38"/>
      <c r="AI298" s="2"/>
      <c r="AL298" s="21"/>
    </row>
    <row r="299" spans="1:56" ht="14.5">
      <c r="A299" s="70" t="s">
        <v>172</v>
      </c>
      <c r="B299" s="32">
        <f ca="1">1.15*$Z$195</f>
        <v>165.61431271594032</v>
      </c>
      <c r="C299" s="21" t="s">
        <v>51</v>
      </c>
      <c r="D299" s="21">
        <f t="shared" si="536"/>
        <v>95</v>
      </c>
      <c r="E299" s="32">
        <f>$D$299*1.687</f>
        <v>160.26500000000001</v>
      </c>
      <c r="F299" s="21">
        <f t="shared" si="537"/>
        <v>292.95</v>
      </c>
      <c r="G299" s="32">
        <f t="shared" ref="G299:G317" ca="1" si="539">(F299/$M$296)-$C$307</f>
        <v>-0.27418136073768617</v>
      </c>
      <c r="H299" s="32">
        <f t="shared" ca="1" si="534"/>
        <v>8.534151082313569E-7</v>
      </c>
      <c r="I299" s="32">
        <f t="shared" ca="1" si="535"/>
        <v>161.47789942950038</v>
      </c>
      <c r="J299" s="32">
        <f t="shared" ca="1" si="538"/>
        <v>1.0075680867906303</v>
      </c>
      <c r="AB299" s="38"/>
      <c r="AI299" s="2"/>
      <c r="AL299" s="21"/>
    </row>
    <row r="300" spans="1:56" ht="14.5">
      <c r="A300" s="70" t="s">
        <v>156</v>
      </c>
      <c r="B300" s="32">
        <f ca="1">(((0.5*$AV$195*$B$3)*($B$264)*($H$1)^2)/(0.5*$AV$195*$B$3*$B$18*Z$195^2))</f>
        <v>1.3277677725024772</v>
      </c>
      <c r="D300" s="21">
        <f t="shared" si="536"/>
        <v>90</v>
      </c>
      <c r="E300" s="32">
        <f>$D$300*1.687</f>
        <v>151.83000000000001</v>
      </c>
      <c r="F300" s="21">
        <f t="shared" si="537"/>
        <v>292.95</v>
      </c>
      <c r="G300" s="32">
        <f t="shared" ca="1" si="539"/>
        <v>-0.27418136073768617</v>
      </c>
      <c r="H300" s="32">
        <f t="shared" ca="1" si="534"/>
        <v>8.534151082313569E-7</v>
      </c>
      <c r="I300" s="32">
        <f t="shared" ca="1" si="535"/>
        <v>151.44276927775815</v>
      </c>
      <c r="J300" s="32">
        <f t="shared" ca="1" si="538"/>
        <v>0.99744957701217241</v>
      </c>
      <c r="AB300" s="38"/>
      <c r="AI300" s="2"/>
      <c r="AL300" s="21"/>
    </row>
    <row r="301" spans="1:56" ht="14.5">
      <c r="A301" s="70" t="s">
        <v>173</v>
      </c>
      <c r="B301" s="32">
        <f ca="1">($B$299^2)/(($B$300-1)*$B$262)</f>
        <v>2601.2280153194415</v>
      </c>
      <c r="C301" s="21" t="s">
        <v>9</v>
      </c>
      <c r="D301" s="21">
        <f t="shared" si="536"/>
        <v>85</v>
      </c>
      <c r="E301" s="32">
        <f>$D$301*1.687</f>
        <v>143.39500000000001</v>
      </c>
      <c r="F301" s="21">
        <f t="shared" si="537"/>
        <v>292.95</v>
      </c>
      <c r="G301" s="32">
        <f t="shared" ca="1" si="539"/>
        <v>-0.27418136073768617</v>
      </c>
      <c r="H301" s="32">
        <f t="shared" ca="1" si="534"/>
        <v>8.534151082313569E-7</v>
      </c>
      <c r="I301" s="32">
        <f t="shared" ca="1" si="535"/>
        <v>141.64460324838663</v>
      </c>
      <c r="J301" s="32">
        <f t="shared" ca="1" si="538"/>
        <v>0.98779318141069505</v>
      </c>
      <c r="AB301" s="38"/>
      <c r="AI301" s="2"/>
      <c r="AL301" s="21"/>
    </row>
    <row r="302" spans="1:56" ht="14.5">
      <c r="A302" s="70" t="s">
        <v>174</v>
      </c>
      <c r="B302" s="32">
        <f ca="1">$B$301*(1-COS(RADIANS($B$297)))</f>
        <v>7.0043326945417093</v>
      </c>
      <c r="C302" s="21" t="s">
        <v>9</v>
      </c>
      <c r="D302" s="21">
        <f t="shared" si="536"/>
        <v>80</v>
      </c>
      <c r="E302" s="32">
        <f>$D$302*1.687</f>
        <v>134.96</v>
      </c>
      <c r="F302" s="21">
        <f t="shared" si="537"/>
        <v>292.95</v>
      </c>
      <c r="G302" s="32">
        <f t="shared" ca="1" si="539"/>
        <v>-0.27418136073768617</v>
      </c>
      <c r="H302" s="32">
        <f t="shared" ca="1" si="534"/>
        <v>8.534151082313569E-7</v>
      </c>
      <c r="I302" s="32">
        <f t="shared" ca="1" si="535"/>
        <v>132.06399336664609</v>
      </c>
      <c r="J302" s="32">
        <f t="shared" ca="1" si="538"/>
        <v>0.97854174100952929</v>
      </c>
      <c r="AB302" s="38"/>
      <c r="AI302" s="2"/>
      <c r="AL302" s="21"/>
    </row>
    <row r="303" spans="1:56" ht="14.5">
      <c r="A303" s="71" t="s">
        <v>175</v>
      </c>
      <c r="B303" s="32">
        <f ca="1">ABS($B$301*SIN(RADIANS($B$297)))</f>
        <v>190.76339321479719</v>
      </c>
      <c r="C303" s="21" t="s">
        <v>9</v>
      </c>
      <c r="D303" s="21">
        <f t="shared" si="536"/>
        <v>75</v>
      </c>
      <c r="E303" s="32">
        <f>$D$303*1.687</f>
        <v>126.52500000000001</v>
      </c>
      <c r="F303" s="21">
        <f t="shared" si="537"/>
        <v>292.95</v>
      </c>
      <c r="G303" s="32">
        <f t="shared" ca="1" si="539"/>
        <v>-0.27418136073768617</v>
      </c>
      <c r="H303" s="32">
        <f t="shared" ca="1" si="534"/>
        <v>8.534151082313569E-7</v>
      </c>
      <c r="I303" s="32">
        <f t="shared" ca="1" si="535"/>
        <v>122.68273339551727</v>
      </c>
      <c r="J303" s="32">
        <f t="shared" ca="1" si="538"/>
        <v>0.96963235246407642</v>
      </c>
      <c r="K303" s="21"/>
      <c r="AB303" s="38"/>
      <c r="AI303" s="2"/>
      <c r="AL303" s="21"/>
    </row>
    <row r="304" spans="1:56" ht="14.5">
      <c r="A304" s="70" t="s">
        <v>176</v>
      </c>
      <c r="B304" s="21">
        <v>2</v>
      </c>
      <c r="C304" s="21" t="s">
        <v>18</v>
      </c>
      <c r="D304" s="21">
        <f t="shared" si="536"/>
        <v>70</v>
      </c>
      <c r="E304" s="32">
        <f>$D$304*1.687</f>
        <v>118.09</v>
      </c>
      <c r="F304" s="21">
        <f t="shared" si="537"/>
        <v>292.95</v>
      </c>
      <c r="G304" s="32">
        <f t="shared" ca="1" si="539"/>
        <v>-0.27418136073768617</v>
      </c>
      <c r="H304" s="32">
        <f t="shared" ca="1" si="534"/>
        <v>8.534151082313569E-7</v>
      </c>
      <c r="I304" s="32">
        <f t="shared" ca="1" si="535"/>
        <v>113.48369039736137</v>
      </c>
      <c r="J304" s="32">
        <f t="shared" ca="1" si="538"/>
        <v>0.9609932288708728</v>
      </c>
      <c r="AB304" s="38"/>
      <c r="AI304" s="2"/>
      <c r="AL304" s="21"/>
    </row>
    <row r="305" spans="1:51" ht="14.5">
      <c r="A305" s="71" t="s">
        <v>177</v>
      </c>
      <c r="B305" s="32">
        <f ca="1">$B$298*$B$304</f>
        <v>316.82738084788582</v>
      </c>
      <c r="C305" s="21" t="s">
        <v>9</v>
      </c>
      <c r="D305" s="21">
        <f t="shared" si="536"/>
        <v>65</v>
      </c>
      <c r="E305" s="32">
        <f>$D$305*1.687</f>
        <v>109.655</v>
      </c>
      <c r="F305" s="21">
        <f t="shared" si="537"/>
        <v>292.95</v>
      </c>
      <c r="G305" s="32">
        <f t="shared" ca="1" si="539"/>
        <v>-0.27418136073768617</v>
      </c>
      <c r="H305" s="32">
        <f t="shared" ca="1" si="534"/>
        <v>8.534151082313569E-7</v>
      </c>
      <c r="I305" s="32">
        <f t="shared" ca="1" si="535"/>
        <v>104.45068916640844</v>
      </c>
      <c r="J305" s="32">
        <f t="shared" ca="1" si="538"/>
        <v>0.95253922909496547</v>
      </c>
      <c r="K305" s="21"/>
      <c r="AB305" s="38"/>
      <c r="AI305" s="2"/>
      <c r="AL305" s="21"/>
    </row>
    <row r="306" spans="1:51" ht="14.5">
      <c r="A306" s="73" t="s">
        <v>128</v>
      </c>
      <c r="B306" s="46" t="s">
        <v>129</v>
      </c>
      <c r="C306" s="46" t="s">
        <v>130</v>
      </c>
      <c r="D306" s="21">
        <f t="shared" si="536"/>
        <v>60</v>
      </c>
      <c r="E306" s="32">
        <f>$D$306*1.687</f>
        <v>101.22</v>
      </c>
      <c r="F306" s="21">
        <f t="shared" si="537"/>
        <v>292.95</v>
      </c>
      <c r="G306" s="32">
        <f t="shared" ca="1" si="539"/>
        <v>-0.27418136073768617</v>
      </c>
      <c r="H306" s="32">
        <f t="shared" ca="1" si="534"/>
        <v>8.534151082313569E-7</v>
      </c>
      <c r="I306" s="32">
        <f t="shared" ca="1" si="535"/>
        <v>95.568407807416918</v>
      </c>
      <c r="J306" s="32">
        <f t="shared" ca="1" si="538"/>
        <v>0.94416526187924243</v>
      </c>
      <c r="K306" s="46"/>
      <c r="L306" s="46"/>
      <c r="M306" s="46"/>
      <c r="AB306" s="38"/>
      <c r="AI306" s="2"/>
      <c r="AL306" s="21"/>
    </row>
    <row r="307" spans="1:51" ht="14.5">
      <c r="A307" s="73" t="s">
        <v>141</v>
      </c>
      <c r="B307" s="46">
        <v>0.04</v>
      </c>
      <c r="C307" s="46">
        <v>0.3</v>
      </c>
      <c r="D307" s="21">
        <f t="shared" si="536"/>
        <v>55</v>
      </c>
      <c r="E307" s="32">
        <f>$D$307*1.687</f>
        <v>92.784999999999997</v>
      </c>
      <c r="F307" s="21">
        <f t="shared" si="537"/>
        <v>292.95</v>
      </c>
      <c r="G307" s="32">
        <f t="shared" ca="1" si="539"/>
        <v>-0.27418136073768617</v>
      </c>
      <c r="H307" s="32">
        <f t="shared" ca="1" si="534"/>
        <v>8.534151082313569E-7</v>
      </c>
      <c r="I307" s="32">
        <f t="shared" ca="1" si="535"/>
        <v>86.82228296848416</v>
      </c>
      <c r="J307" s="32">
        <f t="shared" ca="1" si="538"/>
        <v>0.93573619624383431</v>
      </c>
      <c r="K307" s="46"/>
      <c r="L307" s="46"/>
      <c r="M307" s="46"/>
      <c r="AB307" s="38"/>
      <c r="AI307" s="2"/>
      <c r="AL307" s="21"/>
    </row>
    <row r="308" spans="1:51" ht="14.5">
      <c r="A308" s="73" t="s">
        <v>145</v>
      </c>
      <c r="B308" s="46">
        <v>0.08</v>
      </c>
      <c r="C308" s="46">
        <v>0.2</v>
      </c>
      <c r="D308" s="21">
        <f t="shared" si="536"/>
        <v>50</v>
      </c>
      <c r="E308" s="32">
        <f>$D$308*1.687</f>
        <v>84.350000000000009</v>
      </c>
      <c r="F308" s="21">
        <f t="shared" si="537"/>
        <v>292.95</v>
      </c>
      <c r="G308" s="32">
        <f t="shared" ca="1" si="539"/>
        <v>-0.27418136073768617</v>
      </c>
      <c r="H308" s="32">
        <f t="shared" ca="1" si="534"/>
        <v>8.534151082313569E-7</v>
      </c>
      <c r="I308" s="32">
        <f t="shared" ca="1" si="535"/>
        <v>78.198423431133506</v>
      </c>
      <c r="J308" s="32">
        <f t="shared" ca="1" si="538"/>
        <v>0.92707081720371665</v>
      </c>
      <c r="K308" s="46"/>
      <c r="L308" s="46"/>
      <c r="M308" s="46"/>
      <c r="AB308" s="38"/>
      <c r="AI308" s="2"/>
      <c r="AL308" s="21"/>
    </row>
    <row r="309" spans="1:51" ht="14.5">
      <c r="A309" s="74" t="s">
        <v>147</v>
      </c>
      <c r="B309" s="46">
        <f>$AV$195</f>
        <v>2.259289905987135E-3</v>
      </c>
      <c r="D309" s="21">
        <f t="shared" si="536"/>
        <v>45</v>
      </c>
      <c r="E309" s="32">
        <f>$D$309*1.687</f>
        <v>75.915000000000006</v>
      </c>
      <c r="F309" s="21">
        <f t="shared" si="537"/>
        <v>292.95</v>
      </c>
      <c r="G309" s="32">
        <f t="shared" ca="1" si="539"/>
        <v>-0.27418136073768617</v>
      </c>
      <c r="H309" s="32">
        <f t="shared" ca="1" si="534"/>
        <v>8.534151082313569E-7</v>
      </c>
      <c r="I309" s="32">
        <f t="shared" ca="1" si="535"/>
        <v>69.683530924373713</v>
      </c>
      <c r="J309" s="32">
        <f t="shared" ca="1" si="538"/>
        <v>0.91791518045674381</v>
      </c>
      <c r="K309" s="47"/>
      <c r="L309" s="46"/>
      <c r="AB309" s="38"/>
      <c r="AI309" s="2"/>
      <c r="AL309" s="21"/>
    </row>
    <row r="310" spans="1:51" ht="14.5">
      <c r="A310" s="74" t="s">
        <v>150</v>
      </c>
      <c r="B310" s="46">
        <f>$R$195</f>
        <v>2.1211414823514178E-2</v>
      </c>
      <c r="D310" s="21">
        <f t="shared" si="536"/>
        <v>40</v>
      </c>
      <c r="E310" s="32">
        <f>$D$310*1.687</f>
        <v>67.48</v>
      </c>
      <c r="F310" s="21">
        <f t="shared" si="537"/>
        <v>292.95</v>
      </c>
      <c r="G310" s="32">
        <f t="shared" ca="1" si="539"/>
        <v>-0.27418136073768617</v>
      </c>
      <c r="H310" s="32">
        <f t="shared" ca="1" si="534"/>
        <v>8.534151082313569E-7</v>
      </c>
      <c r="I310" s="32">
        <f t="shared" ca="1" si="535"/>
        <v>61.264827167312959</v>
      </c>
      <c r="J310" s="32">
        <f t="shared" ca="1" si="538"/>
        <v>0.90789607538993711</v>
      </c>
      <c r="K310" s="47"/>
      <c r="L310" s="46"/>
      <c r="AB310" s="38"/>
      <c r="AI310" s="2"/>
      <c r="AL310" s="21"/>
    </row>
    <row r="311" spans="1:51" ht="14.5">
      <c r="A311" s="74" t="s">
        <v>159</v>
      </c>
      <c r="B311" s="46">
        <f>($B$8*((33*($B$269/$B$270)^1.5)))/(1+33*($B$269/$B$270)^1.5)</f>
        <v>3.7983327420844509E-2</v>
      </c>
      <c r="D311" s="21">
        <f t="shared" si="536"/>
        <v>35</v>
      </c>
      <c r="E311" s="32">
        <f>$D$311*1.687</f>
        <v>59.045000000000002</v>
      </c>
      <c r="F311" s="21">
        <f t="shared" si="537"/>
        <v>292.95</v>
      </c>
      <c r="G311" s="32">
        <f t="shared" ca="1" si="539"/>
        <v>-0.27418136073768617</v>
      </c>
      <c r="H311" s="32">
        <f t="shared" ca="1" si="534"/>
        <v>8.534151082313569E-7</v>
      </c>
      <c r="I311" s="32">
        <f t="shared" ca="1" si="535"/>
        <v>52.929986259862716</v>
      </c>
      <c r="J311" s="32">
        <f t="shared" ca="1" si="538"/>
        <v>0.89643468981052954</v>
      </c>
      <c r="K311" s="47"/>
      <c r="L311" s="46"/>
      <c r="AB311" s="38"/>
      <c r="AI311" s="2"/>
      <c r="AL311" s="21"/>
    </row>
    <row r="312" spans="1:51" ht="14.5">
      <c r="A312" s="74" t="s">
        <v>152</v>
      </c>
      <c r="B312" s="47">
        <v>32.17</v>
      </c>
      <c r="C312" s="21"/>
      <c r="D312" s="21">
        <f t="shared" si="536"/>
        <v>30</v>
      </c>
      <c r="E312" s="32">
        <f>$D$312*1.687</f>
        <v>50.61</v>
      </c>
      <c r="F312" s="21">
        <f t="shared" si="537"/>
        <v>292.95</v>
      </c>
      <c r="G312" s="32">
        <f t="shared" ca="1" si="539"/>
        <v>-0.27418136073768617</v>
      </c>
      <c r="H312" s="32">
        <f t="shared" ca="1" si="534"/>
        <v>8.534151082313569E-7</v>
      </c>
      <c r="I312" s="32">
        <f t="shared" ca="1" si="535"/>
        <v>44.667071638153161</v>
      </c>
      <c r="J312" s="32">
        <f t="shared" ca="1" si="538"/>
        <v>0.88257402960191977</v>
      </c>
      <c r="K312" s="47"/>
      <c r="L312" s="47"/>
      <c r="U312" s="21"/>
      <c r="V312" s="21"/>
      <c r="W312" s="21"/>
      <c r="Z312" s="21"/>
      <c r="AA312" s="21"/>
      <c r="AB312" s="21"/>
      <c r="AC312" s="21"/>
      <c r="AE312" s="21"/>
      <c r="AI312" s="21"/>
    </row>
    <row r="313" spans="1:51" ht="14.5">
      <c r="A313" s="70" t="s">
        <v>178</v>
      </c>
      <c r="B313" s="62">
        <v>0.2</v>
      </c>
      <c r="D313" s="21">
        <f t="shared" si="536"/>
        <v>25</v>
      </c>
      <c r="E313" s="32">
        <f>$D$313*1.687</f>
        <v>42.175000000000004</v>
      </c>
      <c r="F313" s="21">
        <f t="shared" si="537"/>
        <v>292.95</v>
      </c>
      <c r="G313" s="32">
        <f t="shared" ca="1" si="539"/>
        <v>-0.27418136073768617</v>
      </c>
      <c r="H313" s="32">
        <f t="shared" ca="1" si="534"/>
        <v>8.534151082313569E-7</v>
      </c>
      <c r="I313" s="32">
        <f t="shared" ca="1" si="535"/>
        <v>36.464476891540315</v>
      </c>
      <c r="J313" s="32">
        <f t="shared" ca="1" si="538"/>
        <v>0.86459933352792673</v>
      </c>
      <c r="Y313" s="21"/>
      <c r="Z313" s="21"/>
      <c r="AA313" s="21"/>
      <c r="AB313" s="21"/>
      <c r="AC313" s="21"/>
      <c r="AE313" s="21"/>
      <c r="AF313" s="21"/>
      <c r="AG313" s="21"/>
      <c r="AQ313" s="15"/>
      <c r="AR313" s="16"/>
      <c r="AS313" s="16"/>
      <c r="AT313" s="17"/>
      <c r="AU313" s="18"/>
      <c r="AV313" s="18"/>
      <c r="AW313" s="19"/>
      <c r="AX313" s="19"/>
      <c r="AY313" s="19"/>
    </row>
    <row r="314" spans="1:51" ht="14.5">
      <c r="A314" s="72" t="s">
        <v>179</v>
      </c>
      <c r="B314" s="32">
        <f ca="1">ABS((50-$B$302)/(TAN(RADIANS($B$297))))</f>
        <v>584.70535931643838</v>
      </c>
      <c r="C314" s="21" t="s">
        <v>9</v>
      </c>
      <c r="D314" s="21">
        <f t="shared" si="536"/>
        <v>20</v>
      </c>
      <c r="E314" s="32">
        <f>$D$314*1.687</f>
        <v>33.74</v>
      </c>
      <c r="F314" s="21">
        <f t="shared" si="537"/>
        <v>292.95</v>
      </c>
      <c r="G314" s="32">
        <f t="shared" ca="1" si="539"/>
        <v>-0.27418136073768617</v>
      </c>
      <c r="H314" s="32">
        <f t="shared" ca="1" si="534"/>
        <v>8.534151082313569E-7</v>
      </c>
      <c r="I314" s="32">
        <f t="shared" ca="1" si="535"/>
        <v>28.310869805101017</v>
      </c>
      <c r="J314" s="32">
        <f t="shared" ca="1" si="538"/>
        <v>0.83908920584176094</v>
      </c>
      <c r="K314" s="49"/>
      <c r="Z314" s="21"/>
      <c r="AA314" s="21"/>
      <c r="AB314" s="21"/>
      <c r="AC314" s="21"/>
      <c r="AE314" s="21"/>
      <c r="AF314" s="21"/>
      <c r="AG314" s="21"/>
    </row>
    <row r="315" spans="1:51" ht="14.5">
      <c r="D315" s="21">
        <f t="shared" si="536"/>
        <v>15</v>
      </c>
      <c r="E315" s="32">
        <f>$D$315*1.687</f>
        <v>25.305</v>
      </c>
      <c r="F315" s="21">
        <f t="shared" si="537"/>
        <v>292.95</v>
      </c>
      <c r="G315" s="32">
        <f t="shared" ca="1" si="539"/>
        <v>-0.27418136073768617</v>
      </c>
      <c r="H315" s="32">
        <f t="shared" ca="1" si="534"/>
        <v>8.534151082313569E-7</v>
      </c>
      <c r="I315" s="32">
        <f t="shared" ca="1" si="535"/>
        <v>20.195139046080204</v>
      </c>
      <c r="J315" s="32">
        <f t="shared" ca="1" si="538"/>
        <v>0.79806911859633289</v>
      </c>
      <c r="AB315" s="38"/>
      <c r="AE315" s="21"/>
      <c r="AI315" s="2"/>
      <c r="AL315" s="21"/>
      <c r="AO315" s="21"/>
    </row>
    <row r="316" spans="1:51" ht="14.5">
      <c r="D316" s="21">
        <f t="shared" si="536"/>
        <v>10</v>
      </c>
      <c r="E316" s="32">
        <f>$D$316*1.687</f>
        <v>16.87</v>
      </c>
      <c r="F316" s="21">
        <f t="shared" si="537"/>
        <v>292.95</v>
      </c>
      <c r="G316" s="32">
        <f t="shared" ca="1" si="539"/>
        <v>-0.27418136073768617</v>
      </c>
      <c r="H316" s="32">
        <f t="shared" ca="1" si="534"/>
        <v>8.534151082313569E-7</v>
      </c>
      <c r="I316" s="32">
        <f ca="1">((1)/(2*$B$312*H316))*LN((G316+(H316*(E319^2)))/(G316+(H316*(E316^2))))</f>
        <v>16.140002910116202</v>
      </c>
      <c r="J316" s="32">
        <f t="shared" ca="1" si="538"/>
        <v>0.95672809188596331</v>
      </c>
      <c r="AB316" s="38"/>
      <c r="AE316" s="21"/>
      <c r="AI316" s="2"/>
      <c r="AL316" s="21"/>
      <c r="AO316" s="21"/>
    </row>
    <row r="317" spans="1:51" ht="14.5">
      <c r="D317" s="21">
        <f t="shared" si="536"/>
        <v>5</v>
      </c>
      <c r="E317" s="32">
        <f>$D$317*1.687</f>
        <v>8.4350000000000005</v>
      </c>
      <c r="F317" s="21">
        <f t="shared" si="537"/>
        <v>292.95</v>
      </c>
      <c r="G317" s="32">
        <f t="shared" ca="1" si="539"/>
        <v>-0.27418136073768617</v>
      </c>
      <c r="H317" s="32">
        <f t="shared" ca="1" si="534"/>
        <v>8.534151082313569E-7</v>
      </c>
      <c r="I317" s="32">
        <f ca="1">((1)/(2*$B$312*H317))*LN((G317+(H317*(E320^2)))/(G317+(H317*(E317^2))))</f>
        <v>4.0336599530903783</v>
      </c>
      <c r="J317" s="32">
        <f t="shared" ca="1" si="538"/>
        <v>0.47820509224545088</v>
      </c>
      <c r="K317" s="21"/>
      <c r="AB317" s="38"/>
      <c r="AE317" s="21"/>
      <c r="AI317" s="2"/>
      <c r="AL317" s="21"/>
      <c r="AO317" s="21"/>
    </row>
    <row r="318" spans="1:51" ht="14.5">
      <c r="K318" s="21"/>
      <c r="AB318" s="38"/>
      <c r="AE318" s="21"/>
      <c r="AI318" s="2"/>
      <c r="AL318" s="21"/>
      <c r="AO318" s="21"/>
    </row>
    <row r="319" spans="1:51" ht="14.5">
      <c r="H319" s="62" t="s">
        <v>180</v>
      </c>
      <c r="I319" s="32">
        <f ca="1">SUM(I297:I317)</f>
        <v>1485.2116509778239</v>
      </c>
      <c r="K319" s="21" t="s">
        <v>161</v>
      </c>
      <c r="L319" s="32">
        <f ca="1">SUM(J297:J316)</f>
        <v>17.742997808043118</v>
      </c>
      <c r="AB319" s="38"/>
      <c r="AE319" s="21"/>
      <c r="AI319" s="2"/>
      <c r="AL319" s="21"/>
      <c r="AO319" s="21"/>
    </row>
    <row r="320" spans="1:51" ht="14.5">
      <c r="H320" s="21" t="s">
        <v>175</v>
      </c>
      <c r="I320" s="32">
        <f ca="1">B303</f>
        <v>190.76339321479719</v>
      </c>
      <c r="K320" s="62" t="s">
        <v>213</v>
      </c>
      <c r="L320" s="21">
        <v>1</v>
      </c>
      <c r="AB320" s="38"/>
      <c r="AE320" s="21"/>
      <c r="AI320" s="2"/>
      <c r="AL320" s="21"/>
      <c r="AO320" s="21"/>
    </row>
    <row r="321" spans="1:52" ht="14.5">
      <c r="H321" s="21" t="s">
        <v>177</v>
      </c>
      <c r="I321" s="32">
        <f ca="1">B305</f>
        <v>316.82738084788582</v>
      </c>
      <c r="K321" s="62" t="s">
        <v>214</v>
      </c>
      <c r="L321" s="21">
        <f ca="1">I321/B299</f>
        <v>1.9130434782608696</v>
      </c>
      <c r="R321" s="26"/>
      <c r="S321" s="29"/>
    </row>
    <row r="322" spans="1:52" ht="14.5">
      <c r="H322" s="21" t="s">
        <v>215</v>
      </c>
      <c r="I322" s="32">
        <f ca="1">B314</f>
        <v>584.70535931643838</v>
      </c>
      <c r="J322" s="62" t="s">
        <v>198</v>
      </c>
      <c r="K322" s="62" t="s">
        <v>216</v>
      </c>
      <c r="L322" s="49">
        <f ca="1">I322/B296</f>
        <v>3.3834191430826377</v>
      </c>
      <c r="R322" s="26"/>
      <c r="S322" s="29"/>
      <c r="T322" s="26"/>
    </row>
    <row r="323" spans="1:52" ht="14.5">
      <c r="H323" s="34" t="s">
        <v>181</v>
      </c>
      <c r="I323" s="60">
        <f ca="1">SUM(I319:I322)</f>
        <v>2577.5077843569452</v>
      </c>
      <c r="J323" s="34" t="s">
        <v>198</v>
      </c>
      <c r="K323" s="51" t="s">
        <v>166</v>
      </c>
      <c r="L323" s="51">
        <f ca="1">SUM(L319:L322)</f>
        <v>24.039460429386626</v>
      </c>
      <c r="AC323" s="3"/>
      <c r="AD323" s="3"/>
      <c r="AP323" s="53"/>
    </row>
    <row r="324" spans="1:52" ht="14.5">
      <c r="AC324" s="3"/>
      <c r="AD324" s="3"/>
      <c r="AP324" s="53"/>
    </row>
    <row r="325" spans="1:52" ht="14.5">
      <c r="AC325" s="3"/>
      <c r="AD325" s="3"/>
      <c r="AP325" s="53"/>
    </row>
    <row r="326" spans="1:52" ht="14.5">
      <c r="A326" s="41" t="s">
        <v>2</v>
      </c>
      <c r="B326" s="41" t="s">
        <v>2</v>
      </c>
      <c r="C326" s="41" t="s">
        <v>2</v>
      </c>
      <c r="D326" s="41" t="s">
        <v>23</v>
      </c>
      <c r="E326" s="41" t="s">
        <v>24</v>
      </c>
      <c r="F326" s="41" t="s">
        <v>25</v>
      </c>
      <c r="G326" s="41"/>
      <c r="H326" s="41" t="s">
        <v>0</v>
      </c>
      <c r="I326" s="5" t="s">
        <v>26</v>
      </c>
      <c r="J326" s="41" t="s">
        <v>27</v>
      </c>
      <c r="K326" s="41" t="s">
        <v>28</v>
      </c>
      <c r="L326" s="12" t="s">
        <v>29</v>
      </c>
      <c r="M326" s="13" t="s">
        <v>30</v>
      </c>
      <c r="N326" s="41" t="s">
        <v>31</v>
      </c>
      <c r="O326" s="41" t="s">
        <v>32</v>
      </c>
      <c r="P326" s="41" t="s">
        <v>33</v>
      </c>
      <c r="Q326" s="41" t="s">
        <v>34</v>
      </c>
      <c r="R326" s="41" t="s">
        <v>13</v>
      </c>
      <c r="S326" s="24" t="s">
        <v>35</v>
      </c>
      <c r="T326" s="10" t="s">
        <v>35</v>
      </c>
      <c r="U326" s="41" t="s">
        <v>36</v>
      </c>
      <c r="V326" s="41" t="s">
        <v>37</v>
      </c>
      <c r="W326" s="41" t="s">
        <v>38</v>
      </c>
      <c r="X326" s="41" t="s">
        <v>39</v>
      </c>
      <c r="Y326" s="41" t="s">
        <v>40</v>
      </c>
      <c r="Z326" s="35" t="s">
        <v>108</v>
      </c>
      <c r="AA326" s="35" t="s">
        <v>109</v>
      </c>
      <c r="AB326" s="9" t="s">
        <v>110</v>
      </c>
      <c r="AC326" s="7" t="s">
        <v>111</v>
      </c>
      <c r="AD326" s="7" t="s">
        <v>112</v>
      </c>
      <c r="AE326" s="5" t="s">
        <v>41</v>
      </c>
      <c r="AF326" s="7" t="s">
        <v>113</v>
      </c>
      <c r="AG326" s="41"/>
      <c r="AH326" s="41"/>
      <c r="AI326" s="41" t="s">
        <v>42</v>
      </c>
      <c r="AJ326" s="41" t="s">
        <v>43</v>
      </c>
      <c r="AK326" s="11"/>
      <c r="AL326" s="5" t="s">
        <v>44</v>
      </c>
      <c r="AM326" s="5" t="s">
        <v>45</v>
      </c>
      <c r="AN326" s="41" t="s">
        <v>46</v>
      </c>
      <c r="AO326" s="41" t="s">
        <v>47</v>
      </c>
      <c r="AP326" s="53"/>
      <c r="AQ326" s="15" t="s">
        <v>62</v>
      </c>
      <c r="AR326" s="16" t="s">
        <v>63</v>
      </c>
      <c r="AS326" s="16" t="s">
        <v>64</v>
      </c>
      <c r="AT326" s="17" t="s">
        <v>65</v>
      </c>
      <c r="AU326" s="18" t="s">
        <v>66</v>
      </c>
      <c r="AV326" s="18" t="s">
        <v>67</v>
      </c>
      <c r="AW326" s="19" t="s">
        <v>68</v>
      </c>
      <c r="AX326" s="7" t="s">
        <v>207</v>
      </c>
      <c r="AY326" s="7" t="s">
        <v>208</v>
      </c>
      <c r="AZ326" s="7" t="s">
        <v>209</v>
      </c>
    </row>
    <row r="327" spans="1:52" ht="14.5">
      <c r="A327" s="41">
        <v>2734.8400265034697</v>
      </c>
      <c r="B327" s="41">
        <f t="shared" ref="B327:C327" si="540">A327/60</f>
        <v>45.580667108391161</v>
      </c>
      <c r="C327" s="41">
        <f t="shared" si="540"/>
        <v>0.75967778513985273</v>
      </c>
      <c r="D327" s="41">
        <v>15200</v>
      </c>
      <c r="E327" s="41">
        <v>109.07347533454404</v>
      </c>
      <c r="F327" s="41">
        <v>108.55385609252657</v>
      </c>
      <c r="G327" s="41"/>
      <c r="H327" s="7">
        <v>0</v>
      </c>
      <c r="I327" s="6">
        <v>15</v>
      </c>
      <c r="J327" s="41">
        <f t="shared" ref="J327" si="541">SQRT((((((((L327^2)*(0.2))/(661.477)^2) + 1)^(3.5) - 1)*(1/AR327) + 1)^(1/3.5) - 1)*(5))</f>
        <v>0.15117683608046922</v>
      </c>
      <c r="K327" s="41">
        <f t="shared" ref="K327" si="542">SQRT((1.4*2116.22*AR327*(J327)^2)/AV327)</f>
        <v>173.1185859265388</v>
      </c>
      <c r="L327" s="6">
        <v>100</v>
      </c>
      <c r="M327" s="41">
        <f t="shared" ref="M327" si="543">K327*0.592484</f>
        <v>102.56999226409941</v>
      </c>
      <c r="N327" s="41">
        <f t="shared" ref="N327" si="544">0.5*AV327*K327^2</f>
        <v>33.855509841634493</v>
      </c>
      <c r="O327" s="41">
        <f t="shared" ref="O327" si="545">P327/$B$7</f>
        <v>1006358.2566622874</v>
      </c>
      <c r="P327" s="41">
        <f t="shared" ref="P327" si="546">(AV327*K327*$B$7)/(AW327)</f>
        <v>6461527.1597848358</v>
      </c>
      <c r="Q327" s="41">
        <f t="shared" ref="Q327" si="547">0.455/(LOG10(P327)^2.58 * (1+0.144*J327*J327)^0.65)</f>
        <v>3.217430652235113E-3</v>
      </c>
      <c r="R327" s="41">
        <f t="shared" ref="R327" si="548">(((Q327*$B$4)+$B$17)+(0.1*(Q327*$B$4)))</f>
        <v>2.1361974114531914E-2</v>
      </c>
      <c r="S327" s="24" t="e">
        <f t="shared" ref="S327" ca="1" si="549">T327</f>
        <v>#VALUE!</v>
      </c>
      <c r="T327" s="10" t="e">
        <f t="shared" ref="T327" ca="1" si="550">DEGREES(ASIN(((AF327-X327)/(D327))))</f>
        <v>#VALUE!</v>
      </c>
      <c r="U327" s="41" t="e">
        <f t="shared" ref="U327" ca="1" si="551">(D327*COS(RADIANS(S327)))/(N327*$B$3)</f>
        <v>#VALUE!</v>
      </c>
      <c r="V327" s="41" t="e">
        <f t="shared" ref="V327" ca="1" si="552">(X327)/(N327*$B$3)</f>
        <v>#VALUE!</v>
      </c>
      <c r="W327" s="41" t="e">
        <f t="shared" ref="W327" ca="1" si="553">U327/V327</f>
        <v>#VALUE!</v>
      </c>
      <c r="X327" s="20" t="e">
        <f t="shared" ref="X327" ca="1" si="554">(N327*$B$3*R327)+((N327*$B$3)*((U327^2)/(PI()*$B$6*$B$5)))</f>
        <v>#VALUE!</v>
      </c>
      <c r="Y327" s="41">
        <f t="shared" ref="Y327" si="555">SQRT(PI()*$B$6*$B$5*R327)</f>
        <v>0.58158191990442709</v>
      </c>
      <c r="Z327" s="41" t="e">
        <f t="shared" ref="Z327" ca="1" si="556">SQRT((2*((U327*N327*$B$3)/(D327))*D327)/(AV327*$B$3*$B$18))</f>
        <v>#VALUE!</v>
      </c>
      <c r="AA327" s="14" t="e">
        <f t="shared" ref="AA327" ca="1" si="557">D327/W327</f>
        <v>#VALUE!</v>
      </c>
      <c r="AB327" s="14">
        <f t="shared" ref="AB327" si="558">$B$15*AR327</f>
        <v>6280</v>
      </c>
      <c r="AC327" s="25" t="e">
        <f t="shared" ref="AC327" ca="1" si="559">AA327*K327</f>
        <v>#VALUE!</v>
      </c>
      <c r="AD327" s="41">
        <f t="shared" ref="AD327" si="560">AB327*K327</f>
        <v>1087184.7196186637</v>
      </c>
      <c r="AE327" s="5" t="e">
        <f t="shared" ref="AE327" ca="1" si="561">(AA327/AB327)*100</f>
        <v>#VALUE!</v>
      </c>
      <c r="AF327" s="7" t="e">
        <f t="shared" ref="AF327" ca="1" si="562">(AB327)*(AE327/100)</f>
        <v>#VALUE!</v>
      </c>
      <c r="AG327" s="41"/>
      <c r="AH327" s="41"/>
      <c r="AI327" s="41" t="e">
        <f t="shared" ref="AI327" ca="1" si="563">(AP327*AF327)</f>
        <v>#VALUE!</v>
      </c>
      <c r="AJ327" s="13" t="e">
        <f t="shared" ref="AJ327" ca="1" si="564">K327*SIN(RADIANS(T327))</f>
        <v>#VALUE!</v>
      </c>
      <c r="AK327" s="11"/>
      <c r="AL327" s="6">
        <v>0</v>
      </c>
      <c r="AM327" s="6">
        <v>0</v>
      </c>
      <c r="AN327" s="41" t="e">
        <f t="shared" ref="AN327" ca="1" si="565">AI327*(AM327/3600)</f>
        <v>#VALUE!</v>
      </c>
      <c r="AO327" s="41" t="e">
        <f t="shared" ref="AO327" ca="1" si="566">M327*COS(RADIANS(T327))*(AM327/3600)</f>
        <v>#VALUE!</v>
      </c>
      <c r="AP327" s="67">
        <f t="shared" ref="AP327" si="567">-18.066*(AZ327^6) + 34.325*(AZ327^5) - 25.292*(AZ327^4) + 8.7618*(AZ327^3) - 1.317*(AZ327^2) + 0.358*(AZ327^1) + 0.7659</f>
        <v>0.79853120370476638</v>
      </c>
      <c r="AQ327" s="11">
        <f t="shared" ref="AQ327" si="568">IF(H327 &lt;= 36089, ((1 - 6.87535*10^(-6)*H327) + ((I327*1.8)/518.67)), 0.75187 + ((I327*1.8)/518.67))</f>
        <v>1.0520562207183759</v>
      </c>
      <c r="AR327" s="11">
        <f t="shared" ref="AR327" si="569">IF(H327 &lt;= 36089, (1 - 6.87535*10^(-6)*H327)^5.2561, 0.22336*EXP((36089 - H327)/(20806.7)))</f>
        <v>1</v>
      </c>
      <c r="AS327" s="11">
        <f t="shared" ref="AS327" si="570">(AR327/AQ327)</f>
        <v>0.95051954477981193</v>
      </c>
      <c r="AT327" s="11">
        <f t="shared" ref="AT327" si="571">(518.67*AQ327)</f>
        <v>545.66999999999996</v>
      </c>
      <c r="AU327" s="11">
        <f t="shared" ref="AU327" si="572">2116.22*AR327</f>
        <v>2116.2199999999998</v>
      </c>
      <c r="AV327" s="11">
        <f t="shared" ref="AV327" si="573">(0.0023769*AS327)</f>
        <v>2.259289905987135E-3</v>
      </c>
      <c r="AW327" s="11">
        <f t="shared" ref="AW327" si="574">((2.2697*10^-8)*(AT327^1.5))/(AT327+198.72)</f>
        <v>3.8865391239478742E-7</v>
      </c>
      <c r="AX327" s="41" t="e">
        <f t="shared" ref="AX327" ca="1" si="575">(1/U327)*(((1 + 0.2*(U327)^2)/1.2)^3)</f>
        <v>#VALUE!</v>
      </c>
      <c r="AY327" s="41" t="e">
        <f t="shared" ref="AY327" ca="1" si="576">($H$4/$H$3)*AX327</f>
        <v>#VALUE!</v>
      </c>
      <c r="AZ327" s="41">
        <f t="shared" ref="AZ327" si="577">-6.6*10^(-3) + 0.825*J327 - 0.243*(J327^2)</f>
        <v>0.11256726187493296</v>
      </c>
    </row>
    <row r="328" spans="1:52" ht="14.5">
      <c r="AC328" s="3"/>
      <c r="AD328" s="3"/>
      <c r="AP328" s="53"/>
    </row>
    <row r="329" spans="1:52" ht="14.5">
      <c r="AC329" s="3"/>
      <c r="AD329" s="3"/>
      <c r="AP329" s="53"/>
    </row>
    <row r="330" spans="1:52" ht="14.5">
      <c r="AC330" s="3"/>
      <c r="AD330" s="3"/>
      <c r="AP330" s="53"/>
    </row>
    <row r="331" spans="1:52" ht="14.5">
      <c r="AC331" s="3"/>
      <c r="AD331" s="3"/>
      <c r="AP331" s="53"/>
    </row>
    <row r="332" spans="1:52" ht="14.5">
      <c r="AC332" s="3"/>
      <c r="AD332" s="3"/>
      <c r="AP332" s="53"/>
    </row>
    <row r="333" spans="1:52" ht="14.5">
      <c r="AC333" s="3"/>
      <c r="AD333" s="3"/>
      <c r="AP333" s="53"/>
    </row>
    <row r="334" spans="1:52" ht="14.5">
      <c r="AC334" s="3"/>
      <c r="AD334" s="3"/>
      <c r="AP334" s="53"/>
    </row>
    <row r="335" spans="1:52" ht="14.5">
      <c r="AC335" s="3"/>
      <c r="AD335" s="3"/>
      <c r="AP335" s="53"/>
    </row>
    <row r="336" spans="1:52" ht="14.5">
      <c r="AC336" s="3"/>
      <c r="AD336" s="3"/>
      <c r="AP336" s="53"/>
    </row>
    <row r="337" spans="29:42" ht="14.5">
      <c r="AC337" s="3"/>
      <c r="AD337" s="3"/>
      <c r="AP337" s="53"/>
    </row>
    <row r="338" spans="29:42" ht="14.5">
      <c r="AC338" s="3"/>
      <c r="AD338" s="3"/>
      <c r="AP338" s="53"/>
    </row>
    <row r="339" spans="29:42" ht="14.5">
      <c r="AC339" s="3"/>
      <c r="AD339" s="3"/>
      <c r="AP339" s="53"/>
    </row>
    <row r="340" spans="29:42" ht="14.5">
      <c r="AC340" s="3"/>
      <c r="AD340" s="3"/>
      <c r="AP340" s="53"/>
    </row>
    <row r="341" spans="29:42" ht="14.5">
      <c r="AC341" s="3"/>
      <c r="AD341" s="3"/>
      <c r="AP341" s="53"/>
    </row>
    <row r="342" spans="29:42" ht="14.5">
      <c r="AC342" s="3"/>
      <c r="AD342" s="3"/>
      <c r="AP342" s="53"/>
    </row>
    <row r="343" spans="29:42" ht="14.5">
      <c r="AC343" s="3"/>
      <c r="AD343" s="3"/>
      <c r="AP343" s="53"/>
    </row>
    <row r="344" spans="29:42" ht="14.5">
      <c r="AC344" s="3"/>
      <c r="AD344" s="3"/>
      <c r="AP344" s="53"/>
    </row>
    <row r="345" spans="29:42" ht="14.5">
      <c r="AC345" s="3"/>
      <c r="AD345" s="3"/>
      <c r="AP345" s="53"/>
    </row>
    <row r="346" spans="29:42" ht="14.5">
      <c r="AC346" s="3"/>
      <c r="AD346" s="3"/>
      <c r="AP346" s="53"/>
    </row>
    <row r="347" spans="29:42" ht="14.5">
      <c r="AC347" s="3"/>
      <c r="AD347" s="3"/>
      <c r="AP347" s="53"/>
    </row>
    <row r="348" spans="29:42" ht="14.5">
      <c r="AC348" s="3"/>
      <c r="AD348" s="3"/>
      <c r="AP348" s="53"/>
    </row>
    <row r="349" spans="29:42" ht="14.5">
      <c r="AC349" s="3"/>
      <c r="AD349" s="3"/>
      <c r="AP349" s="53"/>
    </row>
    <row r="350" spans="29:42" ht="14.5">
      <c r="AC350" s="3"/>
      <c r="AD350" s="3"/>
      <c r="AP350" s="53"/>
    </row>
    <row r="351" spans="29:42" ht="14.5">
      <c r="AC351" s="3"/>
      <c r="AD351" s="3"/>
      <c r="AP351" s="53"/>
    </row>
    <row r="352" spans="29:42" ht="14.5">
      <c r="AC352" s="3"/>
      <c r="AD352" s="3"/>
      <c r="AP352" s="53"/>
    </row>
    <row r="353" spans="29:42" ht="14.5">
      <c r="AC353" s="3"/>
      <c r="AD353" s="3"/>
      <c r="AP353" s="53"/>
    </row>
    <row r="354" spans="29:42" ht="14.5">
      <c r="AC354" s="3"/>
      <c r="AD354" s="3"/>
      <c r="AP354" s="53"/>
    </row>
    <row r="355" spans="29:42" ht="14.5">
      <c r="AC355" s="3"/>
      <c r="AD355" s="3"/>
      <c r="AP355" s="53"/>
    </row>
    <row r="356" spans="29:42" ht="14.5">
      <c r="AC356" s="3"/>
      <c r="AD356" s="3"/>
      <c r="AP356" s="53"/>
    </row>
    <row r="357" spans="29:42" ht="14.5">
      <c r="AC357" s="3"/>
      <c r="AD357" s="3"/>
      <c r="AP357" s="53"/>
    </row>
    <row r="358" spans="29:42" ht="14.5">
      <c r="AC358" s="3"/>
      <c r="AD358" s="3"/>
      <c r="AP358" s="53"/>
    </row>
    <row r="359" spans="29:42" ht="14.5">
      <c r="AC359" s="3"/>
      <c r="AD359" s="3"/>
      <c r="AP359" s="53"/>
    </row>
    <row r="360" spans="29:42" ht="14.5">
      <c r="AC360" s="3"/>
      <c r="AD360" s="3"/>
      <c r="AP360" s="53"/>
    </row>
    <row r="361" spans="29:42" ht="14.5">
      <c r="AC361" s="3"/>
      <c r="AD361" s="3"/>
      <c r="AP361" s="53"/>
    </row>
    <row r="362" spans="29:42" ht="14.5">
      <c r="AC362" s="3"/>
      <c r="AD362" s="3"/>
      <c r="AP362" s="53"/>
    </row>
    <row r="363" spans="29:42" ht="14.5">
      <c r="AC363" s="3"/>
      <c r="AD363" s="3"/>
      <c r="AP363" s="53"/>
    </row>
    <row r="364" spans="29:42" ht="14.5">
      <c r="AC364" s="3"/>
      <c r="AD364" s="3"/>
      <c r="AP364" s="53"/>
    </row>
    <row r="365" spans="29:42" ht="14.5">
      <c r="AC365" s="3"/>
      <c r="AD365" s="3"/>
      <c r="AP365" s="53"/>
    </row>
    <row r="366" spans="29:42" ht="14.5">
      <c r="AC366" s="3"/>
      <c r="AD366" s="3"/>
      <c r="AP366" s="53"/>
    </row>
    <row r="367" spans="29:42" ht="14.5">
      <c r="AC367" s="3"/>
      <c r="AD367" s="3"/>
      <c r="AP367" s="53"/>
    </row>
    <row r="368" spans="29:42" ht="14.5">
      <c r="AC368" s="3"/>
      <c r="AD368" s="3"/>
      <c r="AP368" s="53"/>
    </row>
    <row r="369" spans="29:42" ht="14.5">
      <c r="AC369" s="3"/>
      <c r="AD369" s="3"/>
      <c r="AP369" s="53"/>
    </row>
    <row r="370" spans="29:42" ht="14.5">
      <c r="AC370" s="3"/>
      <c r="AD370" s="3"/>
      <c r="AP370" s="53"/>
    </row>
    <row r="371" spans="29:42" ht="14.5">
      <c r="AC371" s="3"/>
      <c r="AD371" s="3"/>
      <c r="AP371" s="53"/>
    </row>
    <row r="372" spans="29:42" ht="14.5">
      <c r="AC372" s="3"/>
      <c r="AD372" s="3"/>
      <c r="AP372" s="53"/>
    </row>
    <row r="373" spans="29:42" ht="14.5">
      <c r="AC373" s="3"/>
      <c r="AD373" s="3"/>
      <c r="AP373" s="53"/>
    </row>
    <row r="374" spans="29:42" ht="14.5">
      <c r="AC374" s="3"/>
      <c r="AD374" s="3"/>
      <c r="AP374" s="53"/>
    </row>
    <row r="375" spans="29:42" ht="14.5">
      <c r="AC375" s="3"/>
      <c r="AD375" s="3"/>
      <c r="AP375" s="53"/>
    </row>
    <row r="376" spans="29:42" ht="14.5">
      <c r="AC376" s="3"/>
      <c r="AD376" s="3"/>
      <c r="AP376" s="53"/>
    </row>
    <row r="377" spans="29:42" ht="14.5">
      <c r="AC377" s="3"/>
      <c r="AD377" s="3"/>
      <c r="AP377" s="53"/>
    </row>
    <row r="378" spans="29:42" ht="14.5">
      <c r="AC378" s="3"/>
      <c r="AD378" s="3"/>
      <c r="AP378" s="53"/>
    </row>
    <row r="379" spans="29:42" ht="14.5">
      <c r="AC379" s="3"/>
      <c r="AD379" s="3"/>
      <c r="AP379" s="53"/>
    </row>
    <row r="380" spans="29:42" ht="14.5">
      <c r="AC380" s="3"/>
      <c r="AD380" s="3"/>
      <c r="AP380" s="53"/>
    </row>
    <row r="381" spans="29:42" ht="14.5">
      <c r="AC381" s="3"/>
      <c r="AD381" s="3"/>
      <c r="AP381" s="53"/>
    </row>
    <row r="382" spans="29:42" ht="14.5">
      <c r="AC382" s="3"/>
      <c r="AD382" s="3"/>
      <c r="AP382" s="53"/>
    </row>
    <row r="383" spans="29:42" ht="14.5">
      <c r="AC383" s="3"/>
      <c r="AD383" s="3"/>
      <c r="AP383" s="53"/>
    </row>
    <row r="384" spans="29:42" ht="14.5">
      <c r="AC384" s="3"/>
      <c r="AD384" s="3"/>
      <c r="AP384" s="53"/>
    </row>
    <row r="385" spans="29:42" ht="14.5">
      <c r="AC385" s="3"/>
      <c r="AD385" s="3"/>
      <c r="AP385" s="53"/>
    </row>
    <row r="386" spans="29:42" ht="14.5">
      <c r="AC386" s="3"/>
      <c r="AD386" s="3"/>
      <c r="AP386" s="53"/>
    </row>
    <row r="387" spans="29:42" ht="14.5">
      <c r="AC387" s="3"/>
      <c r="AD387" s="3"/>
      <c r="AP387" s="53"/>
    </row>
    <row r="388" spans="29:42" ht="14.5">
      <c r="AC388" s="3"/>
      <c r="AD388" s="3"/>
      <c r="AP388" s="53"/>
    </row>
    <row r="389" spans="29:42" ht="14.5">
      <c r="AC389" s="3"/>
      <c r="AD389" s="3"/>
      <c r="AP389" s="53"/>
    </row>
    <row r="390" spans="29:42" ht="14.5">
      <c r="AC390" s="3"/>
      <c r="AD390" s="3"/>
      <c r="AP390" s="53"/>
    </row>
    <row r="391" spans="29:42" ht="14.5">
      <c r="AC391" s="3"/>
      <c r="AD391" s="3"/>
      <c r="AP391" s="53"/>
    </row>
    <row r="392" spans="29:42" ht="14.5">
      <c r="AC392" s="3"/>
      <c r="AD392" s="3"/>
      <c r="AP392" s="53"/>
    </row>
    <row r="393" spans="29:42" ht="14.5">
      <c r="AC393" s="3"/>
      <c r="AD393" s="3"/>
      <c r="AP393" s="53"/>
    </row>
    <row r="394" spans="29:42" ht="14.5">
      <c r="AC394" s="3"/>
      <c r="AD394" s="3"/>
      <c r="AP394" s="53"/>
    </row>
    <row r="395" spans="29:42" ht="14.5">
      <c r="AC395" s="3"/>
      <c r="AD395" s="3"/>
      <c r="AP395" s="53"/>
    </row>
    <row r="396" spans="29:42" ht="14.5">
      <c r="AC396" s="3"/>
      <c r="AD396" s="3"/>
      <c r="AP396" s="53"/>
    </row>
    <row r="397" spans="29:42" ht="14.5">
      <c r="AC397" s="3"/>
      <c r="AD397" s="3"/>
      <c r="AP397" s="53"/>
    </row>
    <row r="398" spans="29:42" ht="14.5">
      <c r="AC398" s="3"/>
      <c r="AD398" s="3"/>
      <c r="AP398" s="53"/>
    </row>
    <row r="399" spans="29:42" ht="14.5">
      <c r="AC399" s="3"/>
      <c r="AD399" s="3"/>
      <c r="AP399" s="53"/>
    </row>
    <row r="400" spans="29:42" ht="14.5">
      <c r="AC400" s="3"/>
      <c r="AD400" s="3"/>
      <c r="AP400" s="53"/>
    </row>
    <row r="401" spans="29:42" ht="14.5">
      <c r="AC401" s="3"/>
      <c r="AD401" s="3"/>
      <c r="AP401" s="53"/>
    </row>
    <row r="402" spans="29:42" ht="14.5">
      <c r="AC402" s="3"/>
      <c r="AD402" s="3"/>
      <c r="AP402" s="53"/>
    </row>
    <row r="403" spans="29:42" ht="14.5">
      <c r="AC403" s="3"/>
      <c r="AD403" s="3"/>
      <c r="AP403" s="53"/>
    </row>
    <row r="404" spans="29:42" ht="14.5">
      <c r="AC404" s="3"/>
      <c r="AD404" s="3"/>
      <c r="AP404" s="53"/>
    </row>
    <row r="405" spans="29:42" ht="14.5">
      <c r="AC405" s="3"/>
      <c r="AD405" s="3"/>
      <c r="AP405" s="53"/>
    </row>
    <row r="406" spans="29:42" ht="14.5">
      <c r="AC406" s="3"/>
      <c r="AD406" s="3"/>
      <c r="AP406" s="53"/>
    </row>
    <row r="407" spans="29:42" ht="14.5">
      <c r="AC407" s="3"/>
      <c r="AD407" s="3"/>
      <c r="AP407" s="53"/>
    </row>
    <row r="408" spans="29:42" ht="14.5">
      <c r="AC408" s="3"/>
      <c r="AD408" s="3"/>
      <c r="AP408" s="53"/>
    </row>
    <row r="409" spans="29:42" ht="14.5">
      <c r="AC409" s="3"/>
      <c r="AD409" s="3"/>
      <c r="AP409" s="53"/>
    </row>
    <row r="410" spans="29:42" ht="14.5">
      <c r="AC410" s="3"/>
      <c r="AD410" s="3"/>
      <c r="AP410" s="53"/>
    </row>
    <row r="411" spans="29:42" ht="14.5">
      <c r="AC411" s="3"/>
      <c r="AD411" s="3"/>
      <c r="AP411" s="53"/>
    </row>
    <row r="412" spans="29:42" ht="14.5">
      <c r="AC412" s="3"/>
      <c r="AD412" s="3"/>
      <c r="AP412" s="53"/>
    </row>
    <row r="413" spans="29:42" ht="14.5">
      <c r="AC413" s="3"/>
      <c r="AD413" s="3"/>
      <c r="AP413" s="53"/>
    </row>
    <row r="414" spans="29:42" ht="14.5">
      <c r="AC414" s="3"/>
      <c r="AD414" s="3"/>
      <c r="AP414" s="53"/>
    </row>
    <row r="415" spans="29:42" ht="14.5">
      <c r="AC415" s="3"/>
      <c r="AD415" s="3"/>
      <c r="AP415" s="53"/>
    </row>
    <row r="416" spans="29:42" ht="14.5">
      <c r="AC416" s="3"/>
      <c r="AD416" s="3"/>
      <c r="AP416" s="53"/>
    </row>
    <row r="417" spans="29:42" ht="14.5">
      <c r="AC417" s="3"/>
      <c r="AD417" s="3"/>
      <c r="AP417" s="53"/>
    </row>
    <row r="418" spans="29:42" ht="14.5">
      <c r="AC418" s="3"/>
      <c r="AD418" s="3"/>
      <c r="AP418" s="53"/>
    </row>
    <row r="419" spans="29:42" ht="14.5">
      <c r="AC419" s="3"/>
      <c r="AD419" s="3"/>
      <c r="AP419" s="53"/>
    </row>
    <row r="420" spans="29:42" ht="14.5">
      <c r="AC420" s="3"/>
      <c r="AD420" s="3"/>
      <c r="AP420" s="53"/>
    </row>
    <row r="421" spans="29:42" ht="14.5">
      <c r="AC421" s="3"/>
      <c r="AD421" s="3"/>
      <c r="AP421" s="53"/>
    </row>
    <row r="422" spans="29:42" ht="14.5">
      <c r="AC422" s="3"/>
      <c r="AD422" s="3"/>
      <c r="AP422" s="53"/>
    </row>
    <row r="423" spans="29:42" ht="14.5">
      <c r="AC423" s="3"/>
      <c r="AD423" s="3"/>
      <c r="AP423" s="53"/>
    </row>
    <row r="424" spans="29:42" ht="14.5">
      <c r="AC424" s="3"/>
      <c r="AD424" s="3"/>
      <c r="AP424" s="53"/>
    </row>
    <row r="425" spans="29:42" ht="14.5">
      <c r="AC425" s="3"/>
      <c r="AD425" s="3"/>
      <c r="AP425" s="53"/>
    </row>
    <row r="426" spans="29:42" ht="14.5">
      <c r="AC426" s="3"/>
      <c r="AD426" s="3"/>
      <c r="AP426" s="53"/>
    </row>
    <row r="427" spans="29:42" ht="14.5">
      <c r="AC427" s="3"/>
      <c r="AD427" s="3"/>
      <c r="AP427" s="53"/>
    </row>
    <row r="428" spans="29:42" ht="14.5">
      <c r="AC428" s="3"/>
      <c r="AD428" s="3"/>
      <c r="AP428" s="53"/>
    </row>
    <row r="429" spans="29:42" ht="14.5">
      <c r="AC429" s="3"/>
      <c r="AD429" s="3"/>
      <c r="AP429" s="53"/>
    </row>
    <row r="430" spans="29:42" ht="14.5">
      <c r="AC430" s="3"/>
      <c r="AD430" s="3"/>
      <c r="AP430" s="53"/>
    </row>
    <row r="431" spans="29:42" ht="14.5">
      <c r="AC431" s="3"/>
      <c r="AD431" s="3"/>
      <c r="AP431" s="53"/>
    </row>
    <row r="432" spans="29:42" ht="14.5">
      <c r="AC432" s="3"/>
      <c r="AD432" s="3"/>
      <c r="AP432" s="53"/>
    </row>
    <row r="433" spans="29:42" ht="14.5">
      <c r="AC433" s="3"/>
      <c r="AD433" s="3"/>
      <c r="AP433" s="53"/>
    </row>
    <row r="434" spans="29:42" ht="14.5">
      <c r="AC434" s="3"/>
      <c r="AD434" s="3"/>
      <c r="AP434" s="53"/>
    </row>
    <row r="435" spans="29:42" ht="14.5">
      <c r="AC435" s="3"/>
      <c r="AD435" s="3"/>
      <c r="AP435" s="53"/>
    </row>
    <row r="436" spans="29:42" ht="14.5">
      <c r="AC436" s="3"/>
      <c r="AD436" s="3"/>
      <c r="AP436" s="53"/>
    </row>
    <row r="437" spans="29:42" ht="14.5">
      <c r="AC437" s="3"/>
      <c r="AD437" s="3"/>
      <c r="AP437" s="53"/>
    </row>
    <row r="438" spans="29:42" ht="14.5">
      <c r="AC438" s="3"/>
      <c r="AD438" s="3"/>
      <c r="AP438" s="53"/>
    </row>
    <row r="439" spans="29:42" ht="14.5">
      <c r="AC439" s="3"/>
      <c r="AD439" s="3"/>
      <c r="AP439" s="53"/>
    </row>
    <row r="440" spans="29:42" ht="14.5">
      <c r="AC440" s="3"/>
      <c r="AD440" s="3"/>
      <c r="AP440" s="53"/>
    </row>
    <row r="441" spans="29:42" ht="14.5">
      <c r="AC441" s="3"/>
      <c r="AD441" s="3"/>
      <c r="AP441" s="53"/>
    </row>
    <row r="442" spans="29:42" ht="14.5">
      <c r="AC442" s="3"/>
      <c r="AD442" s="3"/>
      <c r="AP442" s="53"/>
    </row>
    <row r="443" spans="29:42" ht="14.5">
      <c r="AC443" s="3"/>
      <c r="AD443" s="3"/>
      <c r="AP443" s="53"/>
    </row>
    <row r="444" spans="29:42" ht="14.5">
      <c r="AC444" s="3"/>
      <c r="AD444" s="3"/>
      <c r="AP444" s="53"/>
    </row>
    <row r="445" spans="29:42" ht="14.5">
      <c r="AC445" s="3"/>
      <c r="AD445" s="3"/>
      <c r="AP445" s="53"/>
    </row>
    <row r="446" spans="29:42" ht="14.5">
      <c r="AC446" s="3"/>
      <c r="AD446" s="3"/>
      <c r="AP446" s="53"/>
    </row>
    <row r="447" spans="29:42" ht="14.5">
      <c r="AC447" s="3"/>
      <c r="AD447" s="3"/>
      <c r="AP447" s="53"/>
    </row>
    <row r="448" spans="29:42" ht="14.5">
      <c r="AC448" s="3"/>
      <c r="AD448" s="3"/>
      <c r="AP448" s="53"/>
    </row>
    <row r="449" spans="29:42" ht="14.5">
      <c r="AC449" s="3"/>
      <c r="AD449" s="3"/>
      <c r="AP449" s="53"/>
    </row>
    <row r="450" spans="29:42" ht="14.5">
      <c r="AC450" s="3"/>
      <c r="AD450" s="3"/>
      <c r="AP450" s="53"/>
    </row>
    <row r="451" spans="29:42" ht="14.5">
      <c r="AC451" s="3"/>
      <c r="AD451" s="3"/>
      <c r="AP451" s="53"/>
    </row>
    <row r="452" spans="29:42" ht="14.5">
      <c r="AC452" s="3"/>
      <c r="AD452" s="3"/>
      <c r="AP452" s="53"/>
    </row>
    <row r="453" spans="29:42" ht="14.5">
      <c r="AC453" s="3"/>
      <c r="AD453" s="3"/>
      <c r="AP453" s="53"/>
    </row>
    <row r="454" spans="29:42" ht="14.5">
      <c r="AC454" s="3"/>
      <c r="AD454" s="3"/>
      <c r="AP454" s="53"/>
    </row>
    <row r="455" spans="29:42" ht="14.5">
      <c r="AC455" s="3"/>
      <c r="AD455" s="3"/>
      <c r="AP455" s="53"/>
    </row>
    <row r="456" spans="29:42" ht="14.5">
      <c r="AC456" s="3"/>
      <c r="AD456" s="3"/>
      <c r="AP456" s="53"/>
    </row>
    <row r="457" spans="29:42" ht="14.5">
      <c r="AC457" s="3"/>
      <c r="AD457" s="3"/>
      <c r="AP457" s="53"/>
    </row>
    <row r="458" spans="29:42" ht="14.5">
      <c r="AC458" s="3"/>
      <c r="AD458" s="3"/>
      <c r="AP458" s="53"/>
    </row>
    <row r="459" spans="29:42" ht="14.5">
      <c r="AC459" s="3"/>
      <c r="AD459" s="3"/>
      <c r="AP459" s="53"/>
    </row>
    <row r="460" spans="29:42" ht="14.5">
      <c r="AC460" s="3"/>
      <c r="AD460" s="3"/>
      <c r="AP460" s="53"/>
    </row>
    <row r="461" spans="29:42" ht="14.5">
      <c r="AC461" s="3"/>
      <c r="AD461" s="3"/>
      <c r="AP461" s="53"/>
    </row>
    <row r="462" spans="29:42" ht="14.5">
      <c r="AC462" s="3"/>
      <c r="AD462" s="3"/>
      <c r="AP462" s="53"/>
    </row>
    <row r="463" spans="29:42" ht="14.5">
      <c r="AC463" s="3"/>
      <c r="AD463" s="3"/>
      <c r="AP463" s="53"/>
    </row>
    <row r="464" spans="29:42" ht="14.5">
      <c r="AC464" s="3"/>
      <c r="AD464" s="3"/>
      <c r="AP464" s="53"/>
    </row>
    <row r="465" spans="29:42" ht="14.5">
      <c r="AC465" s="3"/>
      <c r="AD465" s="3"/>
      <c r="AP465" s="53"/>
    </row>
    <row r="466" spans="29:42" ht="14.5">
      <c r="AC466" s="3"/>
      <c r="AD466" s="3"/>
      <c r="AP466" s="53"/>
    </row>
    <row r="467" spans="29:42" ht="14.5">
      <c r="AC467" s="3"/>
      <c r="AD467" s="3"/>
      <c r="AP467" s="53"/>
    </row>
    <row r="468" spans="29:42" ht="14.5">
      <c r="AC468" s="3"/>
      <c r="AD468" s="3"/>
      <c r="AP468" s="53"/>
    </row>
    <row r="469" spans="29:42" ht="14.5">
      <c r="AC469" s="3"/>
      <c r="AD469" s="3"/>
      <c r="AP469" s="53"/>
    </row>
    <row r="470" spans="29:42" ht="14.5">
      <c r="AC470" s="3"/>
      <c r="AD470" s="3"/>
      <c r="AP470" s="53"/>
    </row>
    <row r="471" spans="29:42" ht="14.5">
      <c r="AC471" s="3"/>
      <c r="AD471" s="3"/>
      <c r="AP471" s="53"/>
    </row>
    <row r="472" spans="29:42" ht="14.5">
      <c r="AC472" s="3"/>
      <c r="AD472" s="3"/>
      <c r="AP472" s="53"/>
    </row>
    <row r="473" spans="29:42" ht="14.5">
      <c r="AC473" s="3"/>
      <c r="AD473" s="3"/>
      <c r="AP473" s="53"/>
    </row>
    <row r="474" spans="29:42" ht="14.5">
      <c r="AC474" s="3"/>
      <c r="AD474" s="3"/>
      <c r="AP474" s="53"/>
    </row>
    <row r="475" spans="29:42" ht="14.5">
      <c r="AC475" s="3"/>
      <c r="AD475" s="3"/>
      <c r="AP475" s="53"/>
    </row>
    <row r="476" spans="29:42" ht="14.5">
      <c r="AC476" s="3"/>
      <c r="AD476" s="3"/>
      <c r="AP476" s="53"/>
    </row>
    <row r="477" spans="29:42" ht="14.5">
      <c r="AC477" s="3"/>
      <c r="AD477" s="3"/>
      <c r="AP477" s="53"/>
    </row>
    <row r="478" spans="29:42" ht="14.5">
      <c r="AC478" s="3"/>
      <c r="AD478" s="3"/>
      <c r="AP478" s="53"/>
    </row>
    <row r="479" spans="29:42" ht="14.5">
      <c r="AC479" s="3"/>
      <c r="AD479" s="3"/>
      <c r="AP479" s="53"/>
    </row>
    <row r="480" spans="29:42" ht="14.5">
      <c r="AC480" s="3"/>
      <c r="AD480" s="3"/>
      <c r="AP480" s="53"/>
    </row>
    <row r="481" spans="29:42" ht="14.5">
      <c r="AC481" s="3"/>
      <c r="AD481" s="3"/>
      <c r="AP481" s="53"/>
    </row>
    <row r="482" spans="29:42" ht="14.5">
      <c r="AC482" s="3"/>
      <c r="AD482" s="3"/>
      <c r="AP482" s="53"/>
    </row>
    <row r="483" spans="29:42" ht="14.5">
      <c r="AC483" s="3"/>
      <c r="AD483" s="3"/>
      <c r="AP483" s="53"/>
    </row>
    <row r="484" spans="29:42" ht="14.5">
      <c r="AC484" s="3"/>
      <c r="AD484" s="3"/>
      <c r="AP484" s="53"/>
    </row>
    <row r="485" spans="29:42" ht="14.5">
      <c r="AC485" s="3"/>
      <c r="AD485" s="3"/>
      <c r="AP485" s="53"/>
    </row>
    <row r="486" spans="29:42" ht="14.5">
      <c r="AC486" s="3"/>
      <c r="AD486" s="3"/>
      <c r="AP486" s="53"/>
    </row>
    <row r="487" spans="29:42" ht="14.5">
      <c r="AC487" s="3"/>
      <c r="AD487" s="3"/>
      <c r="AP487" s="53"/>
    </row>
    <row r="488" spans="29:42" ht="14.5">
      <c r="AC488" s="3"/>
      <c r="AD488" s="3"/>
      <c r="AP488" s="53"/>
    </row>
    <row r="489" spans="29:42" ht="14.5">
      <c r="AC489" s="3"/>
      <c r="AD489" s="3"/>
      <c r="AP489" s="53"/>
    </row>
    <row r="490" spans="29:42" ht="14.5">
      <c r="AC490" s="3"/>
      <c r="AD490" s="3"/>
      <c r="AP490" s="53"/>
    </row>
    <row r="491" spans="29:42" ht="14.5">
      <c r="AC491" s="3"/>
      <c r="AD491" s="3"/>
      <c r="AP491" s="53"/>
    </row>
    <row r="492" spans="29:42" ht="14.5">
      <c r="AC492" s="3"/>
      <c r="AD492" s="3"/>
      <c r="AP492" s="53"/>
    </row>
    <row r="493" spans="29:42" ht="14.5">
      <c r="AC493" s="3"/>
      <c r="AD493" s="3"/>
      <c r="AP493" s="53"/>
    </row>
    <row r="494" spans="29:42" ht="14.5">
      <c r="AC494" s="3"/>
      <c r="AD494" s="3"/>
      <c r="AP494" s="53"/>
    </row>
    <row r="495" spans="29:42" ht="14.5">
      <c r="AC495" s="3"/>
      <c r="AD495" s="3"/>
      <c r="AP495" s="53"/>
    </row>
    <row r="496" spans="29:42" ht="14.5">
      <c r="AC496" s="3"/>
      <c r="AD496" s="3"/>
      <c r="AP496" s="53"/>
    </row>
    <row r="497" spans="29:42" ht="14.5">
      <c r="AC497" s="3"/>
      <c r="AD497" s="3"/>
      <c r="AP497" s="53"/>
    </row>
    <row r="498" spans="29:42" ht="14.5">
      <c r="AC498" s="3"/>
      <c r="AD498" s="3"/>
      <c r="AP498" s="53"/>
    </row>
    <row r="499" spans="29:42" ht="14.5">
      <c r="AC499" s="3"/>
      <c r="AD499" s="3"/>
      <c r="AP499" s="53"/>
    </row>
    <row r="500" spans="29:42" ht="14.5">
      <c r="AC500" s="3"/>
      <c r="AD500" s="3"/>
      <c r="AP500" s="53"/>
    </row>
    <row r="501" spans="29:42" ht="14.5">
      <c r="AC501" s="3"/>
      <c r="AD501" s="3"/>
      <c r="AP501" s="53"/>
    </row>
    <row r="502" spans="29:42" ht="14.5">
      <c r="AC502" s="3"/>
      <c r="AD502" s="3"/>
      <c r="AP502" s="53"/>
    </row>
    <row r="503" spans="29:42" ht="14.5">
      <c r="AC503" s="3"/>
      <c r="AD503" s="3"/>
      <c r="AP503" s="53"/>
    </row>
    <row r="504" spans="29:42" ht="14.5">
      <c r="AC504" s="3"/>
      <c r="AD504" s="3"/>
      <c r="AP504" s="53"/>
    </row>
    <row r="505" spans="29:42" ht="14.5">
      <c r="AC505" s="3"/>
      <c r="AD505" s="3"/>
      <c r="AP505" s="53"/>
    </row>
    <row r="506" spans="29:42" ht="14.5">
      <c r="AC506" s="3"/>
      <c r="AD506" s="3"/>
      <c r="AP506" s="53"/>
    </row>
    <row r="507" spans="29:42" ht="14.5">
      <c r="AC507" s="3"/>
      <c r="AD507" s="3"/>
      <c r="AP507" s="53"/>
    </row>
    <row r="508" spans="29:42" ht="14.5">
      <c r="AC508" s="3"/>
      <c r="AD508" s="3"/>
      <c r="AP508" s="53"/>
    </row>
    <row r="509" spans="29:42" ht="14.5">
      <c r="AC509" s="3"/>
      <c r="AD509" s="3"/>
      <c r="AP509" s="53"/>
    </row>
    <row r="510" spans="29:42" ht="14.5">
      <c r="AC510" s="3"/>
      <c r="AD510" s="3"/>
      <c r="AP510" s="53"/>
    </row>
    <row r="511" spans="29:42" ht="14.5">
      <c r="AC511" s="3"/>
      <c r="AD511" s="3"/>
      <c r="AP511" s="53"/>
    </row>
    <row r="512" spans="29:42" ht="14.5">
      <c r="AC512" s="3"/>
      <c r="AD512" s="3"/>
      <c r="AP512" s="53"/>
    </row>
    <row r="513" spans="29:42" ht="14.5">
      <c r="AC513" s="3"/>
      <c r="AD513" s="3"/>
      <c r="AP513" s="53"/>
    </row>
    <row r="514" spans="29:42" ht="14.5">
      <c r="AC514" s="3"/>
      <c r="AD514" s="3"/>
      <c r="AP514" s="53"/>
    </row>
    <row r="515" spans="29:42" ht="14.5">
      <c r="AC515" s="3"/>
      <c r="AD515" s="3"/>
      <c r="AP515" s="53"/>
    </row>
    <row r="516" spans="29:42" ht="14.5">
      <c r="AC516" s="3"/>
      <c r="AD516" s="3"/>
      <c r="AP516" s="53"/>
    </row>
    <row r="517" spans="29:42" ht="14.5">
      <c r="AC517" s="3"/>
      <c r="AD517" s="3"/>
      <c r="AP517" s="53"/>
    </row>
    <row r="518" spans="29:42" ht="14.5">
      <c r="AC518" s="3"/>
      <c r="AD518" s="3"/>
      <c r="AP518" s="53"/>
    </row>
    <row r="519" spans="29:42" ht="14.5">
      <c r="AC519" s="3"/>
      <c r="AD519" s="3"/>
      <c r="AP519" s="53"/>
    </row>
    <row r="520" spans="29:42" ht="14.5">
      <c r="AC520" s="3"/>
      <c r="AD520" s="3"/>
      <c r="AP520" s="53"/>
    </row>
    <row r="521" spans="29:42" ht="14.5">
      <c r="AC521" s="3"/>
      <c r="AD521" s="3"/>
      <c r="AP521" s="53"/>
    </row>
    <row r="522" spans="29:42" ht="14.5">
      <c r="AC522" s="3"/>
      <c r="AD522" s="3"/>
      <c r="AP522" s="53"/>
    </row>
    <row r="523" spans="29:42" ht="14.5">
      <c r="AC523" s="3"/>
      <c r="AD523" s="3"/>
      <c r="AP523" s="53"/>
    </row>
    <row r="524" spans="29:42" ht="14.5">
      <c r="AC524" s="3"/>
      <c r="AD524" s="3"/>
      <c r="AP524" s="53"/>
    </row>
    <row r="525" spans="29:42" ht="14.5">
      <c r="AC525" s="3"/>
      <c r="AD525" s="3"/>
      <c r="AP525" s="53"/>
    </row>
    <row r="526" spans="29:42" ht="14.5">
      <c r="AC526" s="3"/>
      <c r="AD526" s="3"/>
      <c r="AP526" s="53"/>
    </row>
    <row r="527" spans="29:42" ht="14.5">
      <c r="AC527" s="3"/>
      <c r="AD527" s="3"/>
      <c r="AP527" s="53"/>
    </row>
    <row r="528" spans="29:42" ht="14.5">
      <c r="AC528" s="3"/>
      <c r="AD528" s="3"/>
      <c r="AP528" s="53"/>
    </row>
    <row r="529" spans="29:42" ht="14.5">
      <c r="AC529" s="3"/>
      <c r="AD529" s="3"/>
      <c r="AP529" s="53"/>
    </row>
    <row r="530" spans="29:42" ht="14.5">
      <c r="AC530" s="3"/>
      <c r="AD530" s="3"/>
      <c r="AP530" s="53"/>
    </row>
    <row r="531" spans="29:42" ht="14.5">
      <c r="AC531" s="3"/>
      <c r="AD531" s="3"/>
      <c r="AP531" s="53"/>
    </row>
    <row r="532" spans="29:42" ht="14.5">
      <c r="AC532" s="3"/>
      <c r="AD532" s="3"/>
      <c r="AP532" s="53"/>
    </row>
    <row r="533" spans="29:42" ht="14.5">
      <c r="AC533" s="3"/>
      <c r="AD533" s="3"/>
      <c r="AP533" s="53"/>
    </row>
    <row r="534" spans="29:42" ht="14.5">
      <c r="AC534" s="3"/>
      <c r="AD534" s="3"/>
      <c r="AP534" s="53"/>
    </row>
    <row r="535" spans="29:42" ht="14.5">
      <c r="AC535" s="3"/>
      <c r="AD535" s="3"/>
      <c r="AP535" s="53"/>
    </row>
    <row r="536" spans="29:42" ht="14.5">
      <c r="AC536" s="3"/>
      <c r="AD536" s="3"/>
      <c r="AP536" s="53"/>
    </row>
    <row r="537" spans="29:42" ht="14.5">
      <c r="AC537" s="3"/>
      <c r="AD537" s="3"/>
      <c r="AP537" s="53"/>
    </row>
    <row r="538" spans="29:42" ht="14.5">
      <c r="AC538" s="3"/>
      <c r="AD538" s="3"/>
      <c r="AP538" s="53"/>
    </row>
    <row r="539" spans="29:42" ht="14.5">
      <c r="AC539" s="3"/>
      <c r="AD539" s="3"/>
      <c r="AP539" s="53"/>
    </row>
    <row r="540" spans="29:42" ht="14.5">
      <c r="AC540" s="3"/>
      <c r="AD540" s="3"/>
      <c r="AP540" s="53"/>
    </row>
    <row r="541" spans="29:42" ht="14.5">
      <c r="AC541" s="3"/>
      <c r="AD541" s="3"/>
      <c r="AP541" s="53"/>
    </row>
    <row r="542" spans="29:42" ht="14.5">
      <c r="AC542" s="3"/>
      <c r="AD542" s="3"/>
      <c r="AP542" s="53"/>
    </row>
    <row r="543" spans="29:42" ht="14.5">
      <c r="AC543" s="3"/>
      <c r="AD543" s="3"/>
      <c r="AP543" s="53"/>
    </row>
    <row r="544" spans="29:42" ht="14.5">
      <c r="AC544" s="3"/>
      <c r="AD544" s="3"/>
      <c r="AP544" s="53"/>
    </row>
    <row r="545" spans="29:42" ht="14.5">
      <c r="AC545" s="3"/>
      <c r="AD545" s="3"/>
      <c r="AP545" s="53"/>
    </row>
    <row r="546" spans="29:42" ht="14.5">
      <c r="AC546" s="3"/>
      <c r="AD546" s="3"/>
      <c r="AP546" s="53"/>
    </row>
    <row r="547" spans="29:42" ht="14.5">
      <c r="AC547" s="3"/>
      <c r="AD547" s="3"/>
      <c r="AP547" s="53"/>
    </row>
    <row r="548" spans="29:42" ht="14.5">
      <c r="AC548" s="3"/>
      <c r="AD548" s="3"/>
      <c r="AP548" s="53"/>
    </row>
    <row r="549" spans="29:42" ht="14.5">
      <c r="AC549" s="3"/>
      <c r="AD549" s="3"/>
      <c r="AP549" s="53"/>
    </row>
    <row r="550" spans="29:42" ht="14.5">
      <c r="AC550" s="3"/>
      <c r="AD550" s="3"/>
      <c r="AP550" s="53"/>
    </row>
    <row r="551" spans="29:42" ht="14.5">
      <c r="AC551" s="3"/>
      <c r="AD551" s="3"/>
      <c r="AP551" s="53"/>
    </row>
    <row r="552" spans="29:42" ht="14.5">
      <c r="AC552" s="3"/>
      <c r="AD552" s="3"/>
      <c r="AP552" s="53"/>
    </row>
    <row r="553" spans="29:42" ht="14.5">
      <c r="AC553" s="3"/>
      <c r="AD553" s="3"/>
      <c r="AP553" s="53"/>
    </row>
    <row r="554" spans="29:42" ht="14.5">
      <c r="AC554" s="3"/>
      <c r="AD554" s="3"/>
      <c r="AP554" s="53"/>
    </row>
    <row r="555" spans="29:42" ht="14.5">
      <c r="AC555" s="3"/>
      <c r="AD555" s="3"/>
      <c r="AP555" s="53"/>
    </row>
    <row r="556" spans="29:42" ht="14.5">
      <c r="AC556" s="3"/>
      <c r="AD556" s="3"/>
      <c r="AP556" s="53"/>
    </row>
    <row r="557" spans="29:42" ht="14.5">
      <c r="AC557" s="3"/>
      <c r="AD557" s="3"/>
      <c r="AP557" s="53"/>
    </row>
    <row r="558" spans="29:42" ht="14.5">
      <c r="AC558" s="3"/>
      <c r="AD558" s="3"/>
      <c r="AP558" s="53"/>
    </row>
    <row r="559" spans="29:42" ht="14.5">
      <c r="AC559" s="3"/>
      <c r="AD559" s="3"/>
      <c r="AP559" s="53"/>
    </row>
    <row r="560" spans="29:42" ht="14.5">
      <c r="AC560" s="3"/>
      <c r="AD560" s="3"/>
      <c r="AP560" s="53"/>
    </row>
    <row r="561" spans="29:42" ht="14.5">
      <c r="AC561" s="3"/>
      <c r="AD561" s="3"/>
      <c r="AP561" s="53"/>
    </row>
    <row r="562" spans="29:42" ht="14.5">
      <c r="AC562" s="3"/>
      <c r="AD562" s="3"/>
      <c r="AP562" s="53"/>
    </row>
    <row r="563" spans="29:42" ht="14.5">
      <c r="AC563" s="3"/>
      <c r="AD563" s="3"/>
      <c r="AP563" s="53"/>
    </row>
    <row r="564" spans="29:42" ht="14.5">
      <c r="AC564" s="3"/>
      <c r="AD564" s="3"/>
      <c r="AP564" s="53"/>
    </row>
    <row r="565" spans="29:42" ht="14.5">
      <c r="AC565" s="3"/>
      <c r="AD565" s="3"/>
      <c r="AP565" s="53"/>
    </row>
    <row r="566" spans="29:42" ht="14.5">
      <c r="AC566" s="3"/>
      <c r="AD566" s="3"/>
      <c r="AP566" s="53"/>
    </row>
    <row r="567" spans="29:42" ht="14.5">
      <c r="AC567" s="3"/>
      <c r="AD567" s="3"/>
      <c r="AP567" s="53"/>
    </row>
    <row r="568" spans="29:42" ht="14.5">
      <c r="AC568" s="3"/>
      <c r="AD568" s="3"/>
      <c r="AP568" s="53"/>
    </row>
    <row r="569" spans="29:42" ht="14.5">
      <c r="AC569" s="3"/>
      <c r="AD569" s="3"/>
      <c r="AP569" s="53"/>
    </row>
    <row r="570" spans="29:42" ht="14.5">
      <c r="AC570" s="3"/>
      <c r="AD570" s="3"/>
      <c r="AP570" s="53"/>
    </row>
    <row r="571" spans="29:42" ht="14.5">
      <c r="AC571" s="3"/>
      <c r="AD571" s="3"/>
      <c r="AP571" s="53"/>
    </row>
    <row r="572" spans="29:42" ht="14.5">
      <c r="AC572" s="3"/>
      <c r="AD572" s="3"/>
      <c r="AP572" s="53"/>
    </row>
    <row r="573" spans="29:42" ht="14.5">
      <c r="AC573" s="3"/>
      <c r="AD573" s="3"/>
      <c r="AP573" s="53"/>
    </row>
    <row r="574" spans="29:42" ht="14.5">
      <c r="AC574" s="3"/>
      <c r="AD574" s="3"/>
      <c r="AP574" s="53"/>
    </row>
    <row r="575" spans="29:42" ht="14.5">
      <c r="AC575" s="3"/>
      <c r="AD575" s="3"/>
      <c r="AP575" s="53"/>
    </row>
    <row r="576" spans="29:42" ht="14.5">
      <c r="AC576" s="3"/>
      <c r="AD576" s="3"/>
      <c r="AP576" s="53"/>
    </row>
    <row r="577" spans="29:42" ht="14.5">
      <c r="AC577" s="3"/>
      <c r="AD577" s="3"/>
      <c r="AP577" s="53"/>
    </row>
    <row r="578" spans="29:42" ht="14.5">
      <c r="AC578" s="3"/>
      <c r="AD578" s="3"/>
      <c r="AP578" s="53"/>
    </row>
    <row r="579" spans="29:42" ht="14.5">
      <c r="AC579" s="3"/>
      <c r="AD579" s="3"/>
      <c r="AP579" s="53"/>
    </row>
    <row r="580" spans="29:42" ht="14.5">
      <c r="AC580" s="3"/>
      <c r="AD580" s="3"/>
      <c r="AP580" s="53"/>
    </row>
    <row r="581" spans="29:42" ht="14.5">
      <c r="AC581" s="3"/>
      <c r="AD581" s="3"/>
      <c r="AP581" s="53"/>
    </row>
    <row r="582" spans="29:42" ht="14.5">
      <c r="AC582" s="3"/>
      <c r="AD582" s="3"/>
      <c r="AP582" s="53"/>
    </row>
    <row r="583" spans="29:42" ht="14.5">
      <c r="AC583" s="3"/>
      <c r="AD583" s="3"/>
      <c r="AP583" s="53"/>
    </row>
    <row r="584" spans="29:42" ht="14.5">
      <c r="AC584" s="3"/>
      <c r="AD584" s="3"/>
      <c r="AP584" s="53"/>
    </row>
    <row r="585" spans="29:42" ht="14.5">
      <c r="AC585" s="3"/>
      <c r="AD585" s="3"/>
      <c r="AP585" s="53"/>
    </row>
    <row r="586" spans="29:42" ht="14.5">
      <c r="AC586" s="3"/>
      <c r="AD586" s="3"/>
      <c r="AP586" s="53"/>
    </row>
    <row r="587" spans="29:42" ht="14.5">
      <c r="AC587" s="3"/>
      <c r="AD587" s="3"/>
      <c r="AP587" s="53"/>
    </row>
    <row r="588" spans="29:42" ht="14.5">
      <c r="AC588" s="3"/>
      <c r="AD588" s="3"/>
      <c r="AP588" s="53"/>
    </row>
    <row r="589" spans="29:42" ht="14.5">
      <c r="AC589" s="3"/>
      <c r="AD589" s="3"/>
      <c r="AP589" s="53"/>
    </row>
    <row r="590" spans="29:42" ht="14.5">
      <c r="AC590" s="3"/>
      <c r="AD590" s="3"/>
      <c r="AP590" s="53"/>
    </row>
    <row r="591" spans="29:42" ht="14.5">
      <c r="AC591" s="3"/>
      <c r="AD591" s="3"/>
      <c r="AP591" s="53"/>
    </row>
    <row r="592" spans="29:42" ht="14.5">
      <c r="AC592" s="3"/>
      <c r="AD592" s="3"/>
      <c r="AP592" s="53"/>
    </row>
    <row r="593" spans="29:42" ht="14.5">
      <c r="AC593" s="3"/>
      <c r="AD593" s="3"/>
      <c r="AP593" s="53"/>
    </row>
    <row r="594" spans="29:42" ht="14.5">
      <c r="AC594" s="3"/>
      <c r="AD594" s="3"/>
      <c r="AP594" s="53"/>
    </row>
    <row r="595" spans="29:42" ht="14.5">
      <c r="AC595" s="3"/>
      <c r="AD595" s="3"/>
      <c r="AP595" s="53"/>
    </row>
    <row r="596" spans="29:42" ht="14.5">
      <c r="AC596" s="3"/>
      <c r="AD596" s="3"/>
      <c r="AP596" s="53"/>
    </row>
    <row r="597" spans="29:42" ht="14.5">
      <c r="AC597" s="3"/>
      <c r="AD597" s="3"/>
      <c r="AP597" s="53"/>
    </row>
    <row r="598" spans="29:42" ht="14.5">
      <c r="AC598" s="3"/>
      <c r="AD598" s="3"/>
      <c r="AP598" s="53"/>
    </row>
    <row r="599" spans="29:42" ht="14.5">
      <c r="AC599" s="3"/>
      <c r="AD599" s="3"/>
      <c r="AP599" s="53"/>
    </row>
    <row r="600" spans="29:42" ht="14.5">
      <c r="AC600" s="3"/>
      <c r="AD600" s="3"/>
      <c r="AP600" s="53"/>
    </row>
    <row r="601" spans="29:42" ht="14.5">
      <c r="AC601" s="3"/>
      <c r="AD601" s="3"/>
      <c r="AP601" s="53"/>
    </row>
    <row r="602" spans="29:42" ht="14.5">
      <c r="AC602" s="3"/>
      <c r="AD602" s="3"/>
      <c r="AP602" s="53"/>
    </row>
    <row r="603" spans="29:42" ht="14.5">
      <c r="AC603" s="3"/>
      <c r="AD603" s="3"/>
      <c r="AP603" s="53"/>
    </row>
    <row r="604" spans="29:42" ht="14.5">
      <c r="AC604" s="3"/>
      <c r="AD604" s="3"/>
      <c r="AP604" s="53"/>
    </row>
    <row r="605" spans="29:42" ht="14.5">
      <c r="AC605" s="3"/>
      <c r="AD605" s="3"/>
      <c r="AP605" s="53"/>
    </row>
    <row r="606" spans="29:42" ht="14.5">
      <c r="AC606" s="3"/>
      <c r="AD606" s="3"/>
      <c r="AP606" s="53"/>
    </row>
    <row r="607" spans="29:42" ht="14.5">
      <c r="AC607" s="3"/>
      <c r="AD607" s="3"/>
      <c r="AP607" s="53"/>
    </row>
    <row r="608" spans="29:42" ht="14.5">
      <c r="AC608" s="3"/>
      <c r="AD608" s="3"/>
      <c r="AP608" s="53"/>
    </row>
    <row r="609" spans="29:42" ht="14.5">
      <c r="AC609" s="3"/>
      <c r="AD609" s="3"/>
      <c r="AP609" s="53"/>
    </row>
    <row r="610" spans="29:42" ht="14.5">
      <c r="AC610" s="3"/>
      <c r="AD610" s="3"/>
      <c r="AP610" s="53"/>
    </row>
    <row r="611" spans="29:42" ht="14.5">
      <c r="AC611" s="3"/>
      <c r="AD611" s="3"/>
      <c r="AP611" s="53"/>
    </row>
    <row r="612" spans="29:42" ht="14.5">
      <c r="AC612" s="3"/>
      <c r="AD612" s="3"/>
      <c r="AP612" s="53"/>
    </row>
    <row r="613" spans="29:42" ht="14.5">
      <c r="AC613" s="3"/>
      <c r="AD613" s="3"/>
      <c r="AP613" s="53"/>
    </row>
    <row r="614" spans="29:42" ht="14.5">
      <c r="AC614" s="3"/>
      <c r="AD614" s="3"/>
      <c r="AP614" s="53"/>
    </row>
    <row r="615" spans="29:42" ht="14.5">
      <c r="AC615" s="3"/>
      <c r="AD615" s="3"/>
      <c r="AP615" s="53"/>
    </row>
    <row r="616" spans="29:42" ht="14.5">
      <c r="AC616" s="3"/>
      <c r="AD616" s="3"/>
      <c r="AP616" s="53"/>
    </row>
    <row r="617" spans="29:42" ht="14.5">
      <c r="AC617" s="3"/>
      <c r="AD617" s="3"/>
      <c r="AP617" s="53"/>
    </row>
    <row r="618" spans="29:42" ht="14.5">
      <c r="AC618" s="3"/>
      <c r="AD618" s="3"/>
      <c r="AP618" s="53"/>
    </row>
    <row r="619" spans="29:42" ht="14.5">
      <c r="AC619" s="3"/>
      <c r="AD619" s="3"/>
      <c r="AP619" s="53"/>
    </row>
    <row r="620" spans="29:42" ht="14.5">
      <c r="AC620" s="3"/>
      <c r="AD620" s="3"/>
      <c r="AP620" s="53"/>
    </row>
    <row r="621" spans="29:42" ht="14.5">
      <c r="AC621" s="3"/>
      <c r="AD621" s="3"/>
      <c r="AP621" s="53"/>
    </row>
    <row r="622" spans="29:42" ht="14.5">
      <c r="AC622" s="3"/>
      <c r="AD622" s="3"/>
      <c r="AP622" s="53"/>
    </row>
    <row r="623" spans="29:42" ht="14.5">
      <c r="AC623" s="3"/>
      <c r="AD623" s="3"/>
      <c r="AP623" s="53"/>
    </row>
    <row r="624" spans="29:42" ht="14.5">
      <c r="AC624" s="3"/>
      <c r="AD624" s="3"/>
      <c r="AP624" s="53"/>
    </row>
    <row r="625" spans="29:42" ht="14.5">
      <c r="AC625" s="3"/>
      <c r="AD625" s="3"/>
      <c r="AP625" s="53"/>
    </row>
    <row r="626" spans="29:42" ht="14.5">
      <c r="AC626" s="3"/>
      <c r="AD626" s="3"/>
      <c r="AP626" s="53"/>
    </row>
    <row r="627" spans="29:42" ht="14.5">
      <c r="AC627" s="3"/>
      <c r="AD627" s="3"/>
      <c r="AP627" s="53"/>
    </row>
    <row r="628" spans="29:42" ht="14.5">
      <c r="AC628" s="3"/>
      <c r="AD628" s="3"/>
      <c r="AP628" s="53"/>
    </row>
    <row r="629" spans="29:42" ht="14.5">
      <c r="AC629" s="3"/>
      <c r="AD629" s="3"/>
      <c r="AP629" s="53"/>
    </row>
    <row r="630" spans="29:42" ht="14.5">
      <c r="AC630" s="3"/>
      <c r="AD630" s="3"/>
      <c r="AP630" s="53"/>
    </row>
    <row r="631" spans="29:42" ht="14.5">
      <c r="AC631" s="3"/>
      <c r="AD631" s="3"/>
      <c r="AP631" s="53"/>
    </row>
    <row r="632" spans="29:42" ht="14.5">
      <c r="AC632" s="3"/>
      <c r="AD632" s="3"/>
      <c r="AP632" s="53"/>
    </row>
    <row r="633" spans="29:42" ht="14.5">
      <c r="AC633" s="3"/>
      <c r="AD633" s="3"/>
      <c r="AP633" s="53"/>
    </row>
    <row r="634" spans="29:42" ht="14.5">
      <c r="AC634" s="3"/>
      <c r="AD634" s="3"/>
      <c r="AP634" s="53"/>
    </row>
    <row r="635" spans="29:42" ht="14.5">
      <c r="AC635" s="3"/>
      <c r="AD635" s="3"/>
      <c r="AP635" s="53"/>
    </row>
    <row r="636" spans="29:42" ht="14.5">
      <c r="AC636" s="3"/>
      <c r="AD636" s="3"/>
      <c r="AP636" s="53"/>
    </row>
    <row r="637" spans="29:42" ht="14.5">
      <c r="AC637" s="3"/>
      <c r="AD637" s="3"/>
      <c r="AP637" s="53"/>
    </row>
    <row r="638" spans="29:42" ht="14.5">
      <c r="AC638" s="3"/>
      <c r="AD638" s="3"/>
      <c r="AP638" s="53"/>
    </row>
    <row r="639" spans="29:42" ht="14.5">
      <c r="AC639" s="3"/>
      <c r="AD639" s="3"/>
      <c r="AP639" s="53"/>
    </row>
    <row r="640" spans="29:42" ht="14.5">
      <c r="AC640" s="3"/>
      <c r="AD640" s="3"/>
      <c r="AP640" s="53"/>
    </row>
    <row r="641" spans="29:42" ht="14.5">
      <c r="AC641" s="3"/>
      <c r="AD641" s="3"/>
      <c r="AP641" s="53"/>
    </row>
    <row r="642" spans="29:42" ht="14.5">
      <c r="AC642" s="3"/>
      <c r="AD642" s="3"/>
      <c r="AP642" s="53"/>
    </row>
    <row r="643" spans="29:42" ht="14.5">
      <c r="AC643" s="3"/>
      <c r="AD643" s="3"/>
      <c r="AP643" s="53"/>
    </row>
    <row r="644" spans="29:42" ht="14.5">
      <c r="AC644" s="3"/>
      <c r="AD644" s="3"/>
      <c r="AP644" s="53"/>
    </row>
    <row r="645" spans="29:42" ht="14.5">
      <c r="AC645" s="3"/>
      <c r="AD645" s="3"/>
      <c r="AP645" s="53"/>
    </row>
    <row r="646" spans="29:42" ht="14.5">
      <c r="AC646" s="3"/>
      <c r="AD646" s="3"/>
      <c r="AP646" s="53"/>
    </row>
    <row r="647" spans="29:42" ht="14.5">
      <c r="AC647" s="3"/>
      <c r="AD647" s="3"/>
      <c r="AP647" s="53"/>
    </row>
    <row r="648" spans="29:42" ht="14.5">
      <c r="AC648" s="3"/>
      <c r="AD648" s="3"/>
      <c r="AP648" s="53"/>
    </row>
    <row r="649" spans="29:42" ht="14.5">
      <c r="AC649" s="3"/>
      <c r="AD649" s="3"/>
      <c r="AP649" s="53"/>
    </row>
    <row r="650" spans="29:42" ht="14.5">
      <c r="AC650" s="3"/>
      <c r="AD650" s="3"/>
      <c r="AP650" s="53"/>
    </row>
    <row r="651" spans="29:42" ht="14.5">
      <c r="AC651" s="3"/>
      <c r="AD651" s="3"/>
      <c r="AP651" s="53"/>
    </row>
    <row r="652" spans="29:42" ht="14.5">
      <c r="AC652" s="3"/>
      <c r="AD652" s="3"/>
      <c r="AP652" s="53"/>
    </row>
    <row r="653" spans="29:42" ht="14.5">
      <c r="AC653" s="3"/>
      <c r="AD653" s="3"/>
      <c r="AP653" s="53"/>
    </row>
    <row r="654" spans="29:42" ht="14.5">
      <c r="AC654" s="3"/>
      <c r="AD654" s="3"/>
      <c r="AP654" s="53"/>
    </row>
    <row r="655" spans="29:42" ht="14.5">
      <c r="AC655" s="3"/>
      <c r="AD655" s="3"/>
      <c r="AP655" s="53"/>
    </row>
    <row r="656" spans="29:42" ht="14.5">
      <c r="AC656" s="3"/>
      <c r="AD656" s="3"/>
      <c r="AP656" s="53"/>
    </row>
    <row r="657" spans="29:42" ht="14.5">
      <c r="AC657" s="3"/>
      <c r="AD657" s="3"/>
      <c r="AP657" s="53"/>
    </row>
    <row r="658" spans="29:42" ht="14.5">
      <c r="AC658" s="3"/>
      <c r="AD658" s="3"/>
      <c r="AP658" s="53"/>
    </row>
    <row r="659" spans="29:42" ht="14.5">
      <c r="AC659" s="3"/>
      <c r="AD659" s="3"/>
      <c r="AP659" s="53"/>
    </row>
    <row r="660" spans="29:42" ht="14.5">
      <c r="AC660" s="3"/>
      <c r="AD660" s="3"/>
      <c r="AP660" s="53"/>
    </row>
    <row r="661" spans="29:42" ht="14.5">
      <c r="AC661" s="3"/>
      <c r="AD661" s="3"/>
      <c r="AP661" s="53"/>
    </row>
    <row r="662" spans="29:42" ht="14.5">
      <c r="AC662" s="3"/>
      <c r="AD662" s="3"/>
      <c r="AP662" s="53"/>
    </row>
    <row r="663" spans="29:42" ht="14.5">
      <c r="AC663" s="3"/>
      <c r="AD663" s="3"/>
      <c r="AP663" s="53"/>
    </row>
    <row r="664" spans="29:42" ht="14.5">
      <c r="AC664" s="3"/>
      <c r="AD664" s="3"/>
      <c r="AP664" s="53"/>
    </row>
    <row r="665" spans="29:42" ht="14.5">
      <c r="AC665" s="3"/>
      <c r="AD665" s="3"/>
      <c r="AP665" s="53"/>
    </row>
    <row r="666" spans="29:42" ht="14.5">
      <c r="AC666" s="3"/>
      <c r="AD666" s="3"/>
      <c r="AP666" s="53"/>
    </row>
    <row r="667" spans="29:42" ht="14.5">
      <c r="AC667" s="3"/>
      <c r="AD667" s="3"/>
      <c r="AP667" s="53"/>
    </row>
    <row r="668" spans="29:42" ht="14.5">
      <c r="AC668" s="3"/>
      <c r="AD668" s="3"/>
      <c r="AP668" s="53"/>
    </row>
    <row r="669" spans="29:42" ht="14.5">
      <c r="AC669" s="3"/>
      <c r="AD669" s="3"/>
      <c r="AP669" s="53"/>
    </row>
    <row r="670" spans="29:42" ht="14.5">
      <c r="AC670" s="3"/>
      <c r="AD670" s="3"/>
      <c r="AP670" s="53"/>
    </row>
    <row r="671" spans="29:42" ht="14.5">
      <c r="AC671" s="3"/>
      <c r="AD671" s="3"/>
      <c r="AP671" s="53"/>
    </row>
    <row r="672" spans="29:42" ht="14.5">
      <c r="AC672" s="3"/>
      <c r="AD672" s="3"/>
      <c r="AP672" s="53"/>
    </row>
    <row r="673" spans="29:42" ht="14.5">
      <c r="AC673" s="3"/>
      <c r="AD673" s="3"/>
      <c r="AP673" s="53"/>
    </row>
    <row r="674" spans="29:42" ht="14.5">
      <c r="AC674" s="3"/>
      <c r="AD674" s="3"/>
      <c r="AP674" s="53"/>
    </row>
    <row r="675" spans="29:42" ht="14.5">
      <c r="AC675" s="3"/>
      <c r="AD675" s="3"/>
      <c r="AP675" s="53"/>
    </row>
    <row r="676" spans="29:42" ht="14.5">
      <c r="AC676" s="3"/>
      <c r="AD676" s="3"/>
      <c r="AP676" s="53"/>
    </row>
    <row r="677" spans="29:42" ht="14.5">
      <c r="AC677" s="3"/>
      <c r="AD677" s="3"/>
      <c r="AP677" s="53"/>
    </row>
    <row r="678" spans="29:42" ht="14.5">
      <c r="AC678" s="3"/>
      <c r="AD678" s="3"/>
      <c r="AP678" s="53"/>
    </row>
    <row r="679" spans="29:42" ht="14.5">
      <c r="AC679" s="3"/>
      <c r="AD679" s="3"/>
      <c r="AP679" s="53"/>
    </row>
    <row r="680" spans="29:42" ht="14.5">
      <c r="AC680" s="3"/>
      <c r="AD680" s="3"/>
      <c r="AP680" s="53"/>
    </row>
    <row r="681" spans="29:42" ht="14.5">
      <c r="AC681" s="3"/>
      <c r="AD681" s="3"/>
      <c r="AP681" s="53"/>
    </row>
    <row r="682" spans="29:42" ht="14.5">
      <c r="AC682" s="3"/>
      <c r="AD682" s="3"/>
      <c r="AP682" s="53"/>
    </row>
    <row r="683" spans="29:42" ht="14.5">
      <c r="AC683" s="3"/>
      <c r="AD683" s="3"/>
      <c r="AP683" s="53"/>
    </row>
    <row r="684" spans="29:42" ht="14.5">
      <c r="AC684" s="3"/>
      <c r="AD684" s="3"/>
      <c r="AP684" s="53"/>
    </row>
    <row r="685" spans="29:42" ht="14.5">
      <c r="AC685" s="3"/>
      <c r="AD685" s="3"/>
      <c r="AP685" s="53"/>
    </row>
    <row r="686" spans="29:42" ht="14.5">
      <c r="AC686" s="3"/>
      <c r="AD686" s="3"/>
      <c r="AP686" s="53"/>
    </row>
    <row r="687" spans="29:42" ht="14.5">
      <c r="AC687" s="3"/>
      <c r="AD687" s="3"/>
      <c r="AP687" s="53"/>
    </row>
    <row r="688" spans="29:42" ht="14.5">
      <c r="AC688" s="3"/>
      <c r="AD688" s="3"/>
      <c r="AP688" s="53"/>
    </row>
    <row r="689" spans="29:42" ht="14.5">
      <c r="AC689" s="3"/>
      <c r="AD689" s="3"/>
      <c r="AP689" s="53"/>
    </row>
    <row r="690" spans="29:42" ht="14.5">
      <c r="AC690" s="3"/>
      <c r="AD690" s="3"/>
      <c r="AP690" s="53"/>
    </row>
    <row r="691" spans="29:42" ht="14.5">
      <c r="AC691" s="3"/>
      <c r="AD691" s="3"/>
      <c r="AP691" s="53"/>
    </row>
    <row r="692" spans="29:42" ht="14.5">
      <c r="AC692" s="3"/>
      <c r="AD692" s="3"/>
      <c r="AP692" s="53"/>
    </row>
    <row r="693" spans="29:42" ht="14.5">
      <c r="AC693" s="3"/>
      <c r="AD693" s="3"/>
      <c r="AP693" s="53"/>
    </row>
    <row r="694" spans="29:42" ht="14.5">
      <c r="AC694" s="3"/>
      <c r="AD694" s="3"/>
      <c r="AP694" s="53"/>
    </row>
    <row r="695" spans="29:42" ht="14.5">
      <c r="AC695" s="3"/>
      <c r="AD695" s="3"/>
      <c r="AP695" s="53"/>
    </row>
    <row r="696" spans="29:42" ht="14.5">
      <c r="AC696" s="3"/>
      <c r="AD696" s="3"/>
      <c r="AP696" s="53"/>
    </row>
    <row r="697" spans="29:42" ht="14.5">
      <c r="AC697" s="3"/>
      <c r="AD697" s="3"/>
      <c r="AP697" s="53"/>
    </row>
    <row r="698" spans="29:42" ht="14.5">
      <c r="AC698" s="3"/>
      <c r="AD698" s="3"/>
      <c r="AP698" s="53"/>
    </row>
    <row r="699" spans="29:42" ht="14.5">
      <c r="AC699" s="3"/>
      <c r="AD699" s="3"/>
      <c r="AP699" s="53"/>
    </row>
    <row r="700" spans="29:42" ht="14.5">
      <c r="AC700" s="3"/>
      <c r="AD700" s="3"/>
      <c r="AP700" s="53"/>
    </row>
    <row r="701" spans="29:42" ht="14.5">
      <c r="AC701" s="3"/>
      <c r="AD701" s="3"/>
      <c r="AP701" s="53"/>
    </row>
    <row r="702" spans="29:42" ht="14.5">
      <c r="AC702" s="3"/>
      <c r="AD702" s="3"/>
      <c r="AP702" s="53"/>
    </row>
    <row r="703" spans="29:42" ht="14.5">
      <c r="AC703" s="3"/>
      <c r="AD703" s="3"/>
      <c r="AP703" s="53"/>
    </row>
    <row r="704" spans="29:42" ht="14.5">
      <c r="AC704" s="3"/>
      <c r="AD704" s="3"/>
      <c r="AP704" s="53"/>
    </row>
    <row r="705" spans="29:42" ht="14.5">
      <c r="AC705" s="3"/>
      <c r="AD705" s="3"/>
      <c r="AP705" s="53"/>
    </row>
    <row r="706" spans="29:42" ht="14.5">
      <c r="AC706" s="3"/>
      <c r="AD706" s="3"/>
      <c r="AP706" s="53"/>
    </row>
    <row r="707" spans="29:42" ht="14.5">
      <c r="AC707" s="3"/>
      <c r="AD707" s="3"/>
      <c r="AP707" s="53"/>
    </row>
    <row r="708" spans="29:42" ht="14.5">
      <c r="AC708" s="3"/>
      <c r="AD708" s="3"/>
      <c r="AP708" s="53"/>
    </row>
    <row r="709" spans="29:42" ht="14.5">
      <c r="AC709" s="3"/>
      <c r="AD709" s="3"/>
      <c r="AP709" s="53"/>
    </row>
    <row r="710" spans="29:42" ht="14.5">
      <c r="AC710" s="3"/>
      <c r="AD710" s="3"/>
      <c r="AP710" s="53"/>
    </row>
    <row r="711" spans="29:42" ht="14.5">
      <c r="AC711" s="3"/>
      <c r="AD711" s="3"/>
      <c r="AP711" s="53"/>
    </row>
    <row r="712" spans="29:42" ht="14.5">
      <c r="AC712" s="3"/>
      <c r="AD712" s="3"/>
      <c r="AP712" s="53"/>
    </row>
    <row r="713" spans="29:42" ht="14.5">
      <c r="AC713" s="3"/>
      <c r="AD713" s="3"/>
      <c r="AP713" s="53"/>
    </row>
    <row r="714" spans="29:42" ht="14.5">
      <c r="AC714" s="3"/>
      <c r="AD714" s="3"/>
      <c r="AP714" s="53"/>
    </row>
    <row r="715" spans="29:42" ht="14.5">
      <c r="AC715" s="3"/>
      <c r="AD715" s="3"/>
      <c r="AP715" s="53"/>
    </row>
    <row r="716" spans="29:42" ht="14.5">
      <c r="AC716" s="3"/>
      <c r="AD716" s="3"/>
      <c r="AP716" s="53"/>
    </row>
    <row r="717" spans="29:42" ht="14.5">
      <c r="AC717" s="3"/>
      <c r="AD717" s="3"/>
      <c r="AP717" s="53"/>
    </row>
    <row r="718" spans="29:42" ht="14.5">
      <c r="AC718" s="3"/>
      <c r="AD718" s="3"/>
      <c r="AP718" s="53"/>
    </row>
    <row r="719" spans="29:42" ht="14.5">
      <c r="AC719" s="3"/>
      <c r="AD719" s="3"/>
      <c r="AP719" s="53"/>
    </row>
    <row r="720" spans="29:42" ht="14.5">
      <c r="AC720" s="3"/>
      <c r="AD720" s="3"/>
      <c r="AP720" s="53"/>
    </row>
    <row r="721" spans="29:42" ht="14.5">
      <c r="AC721" s="3"/>
      <c r="AD721" s="3"/>
      <c r="AP721" s="53"/>
    </row>
    <row r="722" spans="29:42" ht="14.5">
      <c r="AC722" s="3"/>
      <c r="AD722" s="3"/>
      <c r="AP722" s="53"/>
    </row>
    <row r="723" spans="29:42" ht="14.5">
      <c r="AC723" s="3"/>
      <c r="AD723" s="3"/>
      <c r="AP723" s="53"/>
    </row>
    <row r="724" spans="29:42" ht="14.5">
      <c r="AC724" s="3"/>
      <c r="AD724" s="3"/>
      <c r="AP724" s="53"/>
    </row>
    <row r="725" spans="29:42" ht="14.5">
      <c r="AC725" s="3"/>
      <c r="AD725" s="3"/>
      <c r="AP725" s="53"/>
    </row>
    <row r="726" spans="29:42" ht="14.5">
      <c r="AC726" s="3"/>
      <c r="AD726" s="3"/>
      <c r="AP726" s="53"/>
    </row>
    <row r="727" spans="29:42" ht="14.5">
      <c r="AC727" s="3"/>
      <c r="AD727" s="3"/>
      <c r="AP727" s="53"/>
    </row>
    <row r="728" spans="29:42" ht="14.5">
      <c r="AC728" s="3"/>
      <c r="AD728" s="3"/>
      <c r="AP728" s="53"/>
    </row>
    <row r="729" spans="29:42" ht="14.5">
      <c r="AC729" s="3"/>
      <c r="AD729" s="3"/>
      <c r="AP729" s="53"/>
    </row>
    <row r="730" spans="29:42" ht="14.5">
      <c r="AC730" s="3"/>
      <c r="AD730" s="3"/>
      <c r="AP730" s="53"/>
    </row>
    <row r="731" spans="29:42" ht="14.5">
      <c r="AC731" s="3"/>
      <c r="AD731" s="3"/>
      <c r="AP731" s="53"/>
    </row>
    <row r="732" spans="29:42" ht="14.5">
      <c r="AC732" s="3"/>
      <c r="AD732" s="3"/>
      <c r="AP732" s="53"/>
    </row>
    <row r="733" spans="29:42" ht="14.5">
      <c r="AC733" s="3"/>
      <c r="AD733" s="3"/>
      <c r="AP733" s="53"/>
    </row>
    <row r="734" spans="29:42" ht="14.5">
      <c r="AC734" s="3"/>
      <c r="AD734" s="3"/>
      <c r="AP734" s="53"/>
    </row>
    <row r="735" spans="29:42" ht="14.5">
      <c r="AC735" s="3"/>
      <c r="AD735" s="3"/>
      <c r="AP735" s="53"/>
    </row>
    <row r="736" spans="29:42" ht="14.5">
      <c r="AC736" s="3"/>
      <c r="AD736" s="3"/>
      <c r="AP736" s="53"/>
    </row>
    <row r="737" spans="29:42" ht="14.5">
      <c r="AC737" s="3"/>
      <c r="AD737" s="3"/>
      <c r="AP737" s="53"/>
    </row>
    <row r="738" spans="29:42" ht="14.5">
      <c r="AC738" s="3"/>
      <c r="AD738" s="3"/>
      <c r="AP738" s="53"/>
    </row>
    <row r="739" spans="29:42" ht="14.5">
      <c r="AC739" s="3"/>
      <c r="AD739" s="3"/>
      <c r="AP739" s="53"/>
    </row>
    <row r="740" spans="29:42" ht="14.5">
      <c r="AC740" s="3"/>
      <c r="AD740" s="3"/>
      <c r="AP740" s="53"/>
    </row>
    <row r="741" spans="29:42" ht="14.5">
      <c r="AC741" s="3"/>
      <c r="AD741" s="3"/>
      <c r="AP741" s="53"/>
    </row>
    <row r="742" spans="29:42" ht="14.5">
      <c r="AC742" s="3"/>
      <c r="AD742" s="3"/>
      <c r="AP742" s="53"/>
    </row>
    <row r="743" spans="29:42" ht="14.5">
      <c r="AC743" s="3"/>
      <c r="AD743" s="3"/>
      <c r="AP743" s="53"/>
    </row>
    <row r="744" spans="29:42" ht="14.5">
      <c r="AC744" s="3"/>
      <c r="AD744" s="3"/>
      <c r="AP744" s="53"/>
    </row>
    <row r="745" spans="29:42" ht="14.5">
      <c r="AC745" s="3"/>
      <c r="AD745" s="3"/>
      <c r="AP745" s="53"/>
    </row>
    <row r="746" spans="29:42" ht="14.5">
      <c r="AC746" s="3"/>
      <c r="AD746" s="3"/>
      <c r="AP746" s="53"/>
    </row>
    <row r="747" spans="29:42" ht="14.5">
      <c r="AC747" s="3"/>
      <c r="AD747" s="3"/>
      <c r="AP747" s="53"/>
    </row>
    <row r="748" spans="29:42" ht="14.5">
      <c r="AC748" s="3"/>
      <c r="AD748" s="3"/>
      <c r="AP748" s="53"/>
    </row>
    <row r="749" spans="29:42" ht="14.5">
      <c r="AC749" s="3"/>
      <c r="AD749" s="3"/>
      <c r="AP749" s="53"/>
    </row>
    <row r="750" spans="29:42" ht="14.5">
      <c r="AC750" s="3"/>
      <c r="AD750" s="3"/>
      <c r="AP750" s="53"/>
    </row>
    <row r="751" spans="29:42" ht="14.5">
      <c r="AC751" s="3"/>
      <c r="AD751" s="3"/>
      <c r="AP751" s="53"/>
    </row>
    <row r="752" spans="29:42" ht="14.5">
      <c r="AC752" s="3"/>
      <c r="AD752" s="3"/>
      <c r="AP752" s="53"/>
    </row>
    <row r="753" spans="29:42" ht="14.5">
      <c r="AC753" s="3"/>
      <c r="AD753" s="3"/>
      <c r="AP753" s="53"/>
    </row>
    <row r="754" spans="29:42" ht="14.5">
      <c r="AC754" s="3"/>
      <c r="AD754" s="3"/>
      <c r="AP754" s="53"/>
    </row>
    <row r="755" spans="29:42" ht="14.5">
      <c r="AC755" s="3"/>
      <c r="AD755" s="3"/>
      <c r="AP755" s="53"/>
    </row>
    <row r="756" spans="29:42" ht="14.5">
      <c r="AC756" s="3"/>
      <c r="AD756" s="3"/>
      <c r="AP756" s="53"/>
    </row>
    <row r="757" spans="29:42" ht="14.5">
      <c r="AC757" s="3"/>
      <c r="AD757" s="3"/>
      <c r="AP757" s="53"/>
    </row>
    <row r="758" spans="29:42" ht="14.5">
      <c r="AC758" s="3"/>
      <c r="AD758" s="3"/>
      <c r="AP758" s="53"/>
    </row>
    <row r="759" spans="29:42" ht="14.5">
      <c r="AC759" s="3"/>
      <c r="AD759" s="3"/>
      <c r="AP759" s="53"/>
    </row>
    <row r="760" spans="29:42" ht="14.5">
      <c r="AC760" s="3"/>
      <c r="AD760" s="3"/>
      <c r="AP760" s="53"/>
    </row>
    <row r="761" spans="29:42" ht="14.5">
      <c r="AC761" s="3"/>
      <c r="AD761" s="3"/>
      <c r="AP761" s="53"/>
    </row>
    <row r="762" spans="29:42" ht="14.5">
      <c r="AC762" s="3"/>
      <c r="AD762" s="3"/>
      <c r="AP762" s="53"/>
    </row>
    <row r="763" spans="29:42" ht="14.5">
      <c r="AC763" s="3"/>
      <c r="AD763" s="3"/>
      <c r="AP763" s="53"/>
    </row>
    <row r="764" spans="29:42" ht="14.5">
      <c r="AC764" s="3"/>
      <c r="AD764" s="3"/>
      <c r="AP764" s="53"/>
    </row>
    <row r="765" spans="29:42" ht="14.5">
      <c r="AC765" s="3"/>
      <c r="AD765" s="3"/>
      <c r="AP765" s="53"/>
    </row>
    <row r="766" spans="29:42" ht="14.5">
      <c r="AC766" s="3"/>
      <c r="AD766" s="3"/>
      <c r="AP766" s="53"/>
    </row>
    <row r="767" spans="29:42" ht="14.5">
      <c r="AC767" s="3"/>
      <c r="AD767" s="3"/>
      <c r="AP767" s="53"/>
    </row>
    <row r="768" spans="29:42" ht="14.5">
      <c r="AC768" s="3"/>
      <c r="AD768" s="3"/>
      <c r="AP768" s="53"/>
    </row>
    <row r="769" spans="29:42" ht="14.5">
      <c r="AC769" s="3"/>
      <c r="AD769" s="3"/>
      <c r="AP769" s="53"/>
    </row>
    <row r="770" spans="29:42" ht="14.5">
      <c r="AC770" s="3"/>
      <c r="AD770" s="3"/>
      <c r="AP770" s="53"/>
    </row>
    <row r="771" spans="29:42" ht="14.5">
      <c r="AC771" s="3"/>
      <c r="AD771" s="3"/>
      <c r="AP771" s="53"/>
    </row>
    <row r="772" spans="29:42" ht="14.5">
      <c r="AC772" s="3"/>
      <c r="AD772" s="3"/>
      <c r="AP772" s="53"/>
    </row>
    <row r="773" spans="29:42" ht="14.5">
      <c r="AC773" s="3"/>
      <c r="AD773" s="3"/>
      <c r="AP773" s="53"/>
    </row>
    <row r="774" spans="29:42" ht="14.5">
      <c r="AC774" s="3"/>
      <c r="AD774" s="3"/>
      <c r="AP774" s="53"/>
    </row>
    <row r="775" spans="29:42" ht="14.5">
      <c r="AC775" s="3"/>
      <c r="AD775" s="3"/>
      <c r="AP775" s="53"/>
    </row>
    <row r="776" spans="29:42" ht="14.5">
      <c r="AC776" s="3"/>
      <c r="AD776" s="3"/>
      <c r="AP776" s="53"/>
    </row>
    <row r="777" spans="29:42" ht="14.5">
      <c r="AC777" s="3"/>
      <c r="AD777" s="3"/>
      <c r="AP777" s="53"/>
    </row>
    <row r="778" spans="29:42" ht="14.5">
      <c r="AC778" s="3"/>
      <c r="AD778" s="3"/>
      <c r="AP778" s="53"/>
    </row>
    <row r="779" spans="29:42" ht="14.5">
      <c r="AC779" s="3"/>
      <c r="AD779" s="3"/>
      <c r="AP779" s="53"/>
    </row>
    <row r="780" spans="29:42" ht="14.5">
      <c r="AC780" s="3"/>
      <c r="AD780" s="3"/>
      <c r="AP780" s="53"/>
    </row>
    <row r="781" spans="29:42" ht="14.5">
      <c r="AC781" s="3"/>
      <c r="AD781" s="3"/>
      <c r="AP781" s="53"/>
    </row>
    <row r="782" spans="29:42" ht="14.5">
      <c r="AC782" s="3"/>
      <c r="AD782" s="3"/>
      <c r="AP782" s="53"/>
    </row>
    <row r="783" spans="29:42" ht="14.5">
      <c r="AC783" s="3"/>
      <c r="AD783" s="3"/>
      <c r="AP783" s="53"/>
    </row>
    <row r="784" spans="29:42" ht="14.5">
      <c r="AC784" s="3"/>
      <c r="AD784" s="3"/>
      <c r="AP784" s="53"/>
    </row>
    <row r="785" spans="29:42" ht="14.5">
      <c r="AC785" s="3"/>
      <c r="AD785" s="3"/>
      <c r="AP785" s="53"/>
    </row>
    <row r="786" spans="29:42" ht="14.5">
      <c r="AC786" s="3"/>
      <c r="AD786" s="3"/>
      <c r="AP786" s="53"/>
    </row>
    <row r="787" spans="29:42" ht="14.5">
      <c r="AC787" s="3"/>
      <c r="AD787" s="3"/>
      <c r="AP787" s="53"/>
    </row>
    <row r="788" spans="29:42" ht="14.5">
      <c r="AC788" s="3"/>
      <c r="AD788" s="3"/>
      <c r="AP788" s="53"/>
    </row>
    <row r="789" spans="29:42" ht="14.5">
      <c r="AC789" s="3"/>
      <c r="AD789" s="3"/>
      <c r="AP789" s="53"/>
    </row>
    <row r="790" spans="29:42" ht="14.5">
      <c r="AC790" s="3"/>
      <c r="AD790" s="3"/>
      <c r="AP790" s="53"/>
    </row>
    <row r="791" spans="29:42" ht="14.5">
      <c r="AC791" s="3"/>
      <c r="AD791" s="3"/>
      <c r="AP791" s="53"/>
    </row>
    <row r="792" spans="29:42" ht="14.5">
      <c r="AC792" s="3"/>
      <c r="AD792" s="3"/>
      <c r="AP792" s="53"/>
    </row>
    <row r="793" spans="29:42" ht="14.5">
      <c r="AC793" s="3"/>
      <c r="AD793" s="3"/>
      <c r="AP793" s="53"/>
    </row>
    <row r="794" spans="29:42" ht="14.5">
      <c r="AC794" s="3"/>
      <c r="AD794" s="3"/>
      <c r="AP794" s="53"/>
    </row>
    <row r="795" spans="29:42" ht="14.5">
      <c r="AC795" s="3"/>
      <c r="AD795" s="3"/>
      <c r="AP795" s="53"/>
    </row>
    <row r="796" spans="29:42" ht="14.5">
      <c r="AC796" s="3"/>
      <c r="AD796" s="3"/>
      <c r="AP796" s="53"/>
    </row>
    <row r="797" spans="29:42" ht="14.5">
      <c r="AC797" s="3"/>
      <c r="AD797" s="3"/>
      <c r="AP797" s="53"/>
    </row>
    <row r="798" spans="29:42" ht="14.5">
      <c r="AC798" s="3"/>
      <c r="AD798" s="3"/>
      <c r="AP798" s="53"/>
    </row>
    <row r="799" spans="29:42" ht="14.5">
      <c r="AC799" s="3"/>
      <c r="AD799" s="3"/>
      <c r="AP799" s="53"/>
    </row>
    <row r="800" spans="29:42" ht="14.5">
      <c r="AC800" s="3"/>
      <c r="AD800" s="3"/>
      <c r="AP800" s="53"/>
    </row>
    <row r="801" spans="29:42" ht="14.5">
      <c r="AC801" s="3"/>
      <c r="AD801" s="3"/>
      <c r="AP801" s="53"/>
    </row>
    <row r="802" spans="29:42" ht="14.5">
      <c r="AC802" s="3"/>
      <c r="AD802" s="3"/>
      <c r="AP802" s="53"/>
    </row>
    <row r="803" spans="29:42" ht="14.5">
      <c r="AC803" s="3"/>
      <c r="AD803" s="3"/>
      <c r="AP803" s="53"/>
    </row>
    <row r="804" spans="29:42" ht="14.5">
      <c r="AC804" s="3"/>
      <c r="AD804" s="3"/>
      <c r="AP804" s="53"/>
    </row>
    <row r="805" spans="29:42" ht="14.5">
      <c r="AC805" s="3"/>
      <c r="AD805" s="3"/>
      <c r="AP805" s="53"/>
    </row>
    <row r="806" spans="29:42" ht="14.5">
      <c r="AC806" s="3"/>
      <c r="AD806" s="3"/>
      <c r="AP806" s="53"/>
    </row>
    <row r="807" spans="29:42" ht="14.5">
      <c r="AC807" s="3"/>
      <c r="AD807" s="3"/>
      <c r="AP807" s="53"/>
    </row>
    <row r="808" spans="29:42" ht="14.5">
      <c r="AC808" s="3"/>
      <c r="AD808" s="3"/>
      <c r="AP808" s="53"/>
    </row>
    <row r="809" spans="29:42" ht="14.5">
      <c r="AC809" s="3"/>
      <c r="AD809" s="3"/>
      <c r="AP809" s="53"/>
    </row>
    <row r="810" spans="29:42" ht="14.5">
      <c r="AC810" s="3"/>
      <c r="AD810" s="3"/>
      <c r="AP810" s="53"/>
    </row>
    <row r="811" spans="29:42" ht="14.5">
      <c r="AC811" s="3"/>
      <c r="AD811" s="3"/>
      <c r="AP811" s="53"/>
    </row>
    <row r="812" spans="29:42" ht="14.5">
      <c r="AC812" s="3"/>
      <c r="AD812" s="3"/>
      <c r="AP812" s="53"/>
    </row>
    <row r="813" spans="29:42" ht="14.5">
      <c r="AC813" s="3"/>
      <c r="AD813" s="3"/>
      <c r="AP813" s="53"/>
    </row>
    <row r="814" spans="29:42" ht="14.5">
      <c r="AC814" s="3"/>
      <c r="AD814" s="3"/>
      <c r="AP814" s="53"/>
    </row>
    <row r="815" spans="29:42" ht="14.5">
      <c r="AC815" s="3"/>
      <c r="AD815" s="3"/>
      <c r="AP815" s="53"/>
    </row>
    <row r="816" spans="29:42" ht="14.5">
      <c r="AC816" s="3"/>
      <c r="AD816" s="3"/>
      <c r="AP816" s="53"/>
    </row>
    <row r="817" spans="29:42" ht="14.5">
      <c r="AC817" s="3"/>
      <c r="AD817" s="3"/>
      <c r="AP817" s="53"/>
    </row>
    <row r="818" spans="29:42" ht="14.5">
      <c r="AC818" s="3"/>
      <c r="AD818" s="3"/>
      <c r="AP818" s="53"/>
    </row>
    <row r="819" spans="29:42" ht="14.5">
      <c r="AC819" s="3"/>
      <c r="AD819" s="3"/>
      <c r="AP819" s="53"/>
    </row>
    <row r="820" spans="29:42" ht="14.5">
      <c r="AC820" s="3"/>
      <c r="AD820" s="3"/>
      <c r="AP820" s="53"/>
    </row>
    <row r="821" spans="29:42" ht="14.5">
      <c r="AC821" s="3"/>
      <c r="AD821" s="3"/>
      <c r="AP821" s="53"/>
    </row>
    <row r="822" spans="29:42" ht="14.5">
      <c r="AC822" s="3"/>
      <c r="AD822" s="3"/>
      <c r="AP822" s="53"/>
    </row>
    <row r="823" spans="29:42" ht="14.5">
      <c r="AC823" s="3"/>
      <c r="AD823" s="3"/>
      <c r="AP823" s="53"/>
    </row>
    <row r="824" spans="29:42" ht="14.5">
      <c r="AC824" s="3"/>
      <c r="AD824" s="3"/>
      <c r="AP824" s="53"/>
    </row>
    <row r="825" spans="29:42" ht="14.5">
      <c r="AC825" s="3"/>
      <c r="AD825" s="3"/>
      <c r="AP825" s="53"/>
    </row>
    <row r="826" spans="29:42" ht="14.5">
      <c r="AC826" s="3"/>
      <c r="AD826" s="3"/>
      <c r="AP826" s="53"/>
    </row>
    <row r="827" spans="29:42" ht="14.5">
      <c r="AC827" s="3"/>
      <c r="AD827" s="3"/>
      <c r="AP827" s="53"/>
    </row>
    <row r="828" spans="29:42" ht="14.5">
      <c r="AC828" s="3"/>
      <c r="AD828" s="3"/>
      <c r="AP828" s="53"/>
    </row>
    <row r="829" spans="29:42" ht="14.5">
      <c r="AC829" s="3"/>
      <c r="AD829" s="3"/>
      <c r="AP829" s="53"/>
    </row>
    <row r="830" spans="29:42" ht="14.5">
      <c r="AC830" s="3"/>
      <c r="AD830" s="3"/>
      <c r="AP830" s="53"/>
    </row>
    <row r="831" spans="29:42" ht="14.5">
      <c r="AC831" s="3"/>
      <c r="AD831" s="3"/>
      <c r="AP831" s="53"/>
    </row>
    <row r="832" spans="29:42" ht="14.5">
      <c r="AC832" s="3"/>
      <c r="AD832" s="3"/>
      <c r="AP832" s="53"/>
    </row>
    <row r="833" spans="29:42" ht="14.5">
      <c r="AC833" s="3"/>
      <c r="AD833" s="3"/>
      <c r="AP833" s="53"/>
    </row>
    <row r="834" spans="29:42" ht="14.5">
      <c r="AC834" s="3"/>
      <c r="AD834" s="3"/>
      <c r="AP834" s="53"/>
    </row>
    <row r="835" spans="29:42" ht="14.5">
      <c r="AC835" s="3"/>
      <c r="AD835" s="3"/>
      <c r="AP835" s="53"/>
    </row>
    <row r="836" spans="29:42" ht="14.5">
      <c r="AC836" s="3"/>
      <c r="AD836" s="3"/>
      <c r="AP836" s="53"/>
    </row>
    <row r="837" spans="29:42" ht="14.5">
      <c r="AC837" s="3"/>
      <c r="AD837" s="3"/>
      <c r="AP837" s="53"/>
    </row>
    <row r="838" spans="29:42" ht="14.5">
      <c r="AC838" s="3"/>
      <c r="AD838" s="3"/>
      <c r="AP838" s="53"/>
    </row>
    <row r="839" spans="29:42" ht="14.5">
      <c r="AC839" s="3"/>
      <c r="AD839" s="3"/>
      <c r="AP839" s="53"/>
    </row>
    <row r="840" spans="29:42" ht="14.5">
      <c r="AC840" s="3"/>
      <c r="AD840" s="3"/>
      <c r="AP840" s="53"/>
    </row>
    <row r="841" spans="29:42" ht="14.5">
      <c r="AC841" s="3"/>
      <c r="AD841" s="3"/>
      <c r="AP841" s="53"/>
    </row>
    <row r="842" spans="29:42" ht="14.5">
      <c r="AC842" s="3"/>
      <c r="AD842" s="3"/>
      <c r="AP842" s="53"/>
    </row>
    <row r="843" spans="29:42" ht="14.5">
      <c r="AC843" s="3"/>
      <c r="AD843" s="3"/>
      <c r="AP843" s="53"/>
    </row>
    <row r="844" spans="29:42" ht="14.5">
      <c r="AC844" s="3"/>
      <c r="AD844" s="3"/>
      <c r="AP844" s="53"/>
    </row>
    <row r="845" spans="29:42" ht="14.5">
      <c r="AC845" s="3"/>
      <c r="AD845" s="3"/>
      <c r="AP845" s="53"/>
    </row>
    <row r="846" spans="29:42" ht="14.5">
      <c r="AC846" s="3"/>
      <c r="AD846" s="3"/>
      <c r="AP846" s="53"/>
    </row>
    <row r="847" spans="29:42" ht="14.5">
      <c r="AC847" s="3"/>
      <c r="AD847" s="3"/>
      <c r="AP847" s="53"/>
    </row>
    <row r="848" spans="29:42" ht="14.5">
      <c r="AC848" s="3"/>
      <c r="AD848" s="3"/>
      <c r="AP848" s="53"/>
    </row>
    <row r="849" spans="29:42" ht="14.5">
      <c r="AC849" s="3"/>
      <c r="AD849" s="3"/>
      <c r="AP849" s="53"/>
    </row>
    <row r="850" spans="29:42" ht="14.5">
      <c r="AC850" s="3"/>
      <c r="AD850" s="3"/>
      <c r="AP850" s="53"/>
    </row>
    <row r="851" spans="29:42" ht="14.5">
      <c r="AC851" s="3"/>
      <c r="AD851" s="3"/>
      <c r="AP851" s="53"/>
    </row>
    <row r="852" spans="29:42" ht="14.5">
      <c r="AC852" s="3"/>
      <c r="AD852" s="3"/>
      <c r="AP852" s="53"/>
    </row>
    <row r="853" spans="29:42" ht="14.5">
      <c r="AC853" s="3"/>
      <c r="AD853" s="3"/>
      <c r="AP853" s="53"/>
    </row>
    <row r="854" spans="29:42" ht="14.5">
      <c r="AC854" s="3"/>
      <c r="AD854" s="3"/>
      <c r="AP854" s="53"/>
    </row>
    <row r="855" spans="29:42" ht="14.5">
      <c r="AC855" s="3"/>
      <c r="AD855" s="3"/>
      <c r="AP855" s="53"/>
    </row>
    <row r="856" spans="29:42" ht="14.5">
      <c r="AC856" s="3"/>
      <c r="AD856" s="3"/>
      <c r="AP856" s="53"/>
    </row>
    <row r="857" spans="29:42" ht="14.5">
      <c r="AC857" s="3"/>
      <c r="AD857" s="3"/>
      <c r="AP857" s="53"/>
    </row>
    <row r="858" spans="29:42" ht="14.5">
      <c r="AC858" s="3"/>
      <c r="AD858" s="3"/>
      <c r="AP858" s="53"/>
    </row>
    <row r="859" spans="29:42" ht="14.5">
      <c r="AC859" s="3"/>
      <c r="AD859" s="3"/>
      <c r="AP859" s="53"/>
    </row>
    <row r="860" spans="29:42" ht="14.5">
      <c r="AC860" s="3"/>
      <c r="AD860" s="3"/>
      <c r="AP860" s="53"/>
    </row>
    <row r="861" spans="29:42" ht="14.5">
      <c r="AC861" s="3"/>
      <c r="AD861" s="3"/>
      <c r="AP861" s="53"/>
    </row>
    <row r="862" spans="29:42" ht="14.5">
      <c r="AC862" s="3"/>
      <c r="AD862" s="3"/>
      <c r="AP862" s="53"/>
    </row>
    <row r="863" spans="29:42" ht="14.5">
      <c r="AC863" s="3"/>
      <c r="AD863" s="3"/>
      <c r="AP863" s="53"/>
    </row>
    <row r="864" spans="29:42" ht="14.5">
      <c r="AC864" s="3"/>
      <c r="AD864" s="3"/>
      <c r="AP864" s="53"/>
    </row>
    <row r="865" spans="29:42" ht="14.5">
      <c r="AC865" s="3"/>
      <c r="AD865" s="3"/>
      <c r="AP865" s="53"/>
    </row>
    <row r="866" spans="29:42" ht="14.5">
      <c r="AC866" s="3"/>
      <c r="AD866" s="3"/>
      <c r="AP866" s="53"/>
    </row>
    <row r="867" spans="29:42" ht="14.5">
      <c r="AC867" s="3"/>
      <c r="AD867" s="3"/>
      <c r="AP867" s="53"/>
    </row>
    <row r="868" spans="29:42" ht="14.5">
      <c r="AC868" s="3"/>
      <c r="AD868" s="3"/>
      <c r="AP868" s="53"/>
    </row>
    <row r="869" spans="29:42" ht="14.5">
      <c r="AC869" s="3"/>
      <c r="AD869" s="3"/>
      <c r="AP869" s="53"/>
    </row>
    <row r="870" spans="29:42" ht="14.5">
      <c r="AC870" s="3"/>
      <c r="AD870" s="3"/>
      <c r="AP870" s="53"/>
    </row>
    <row r="871" spans="29:42" ht="14.5">
      <c r="AC871" s="3"/>
      <c r="AD871" s="3"/>
      <c r="AP871" s="53"/>
    </row>
    <row r="872" spans="29:42" ht="14.5">
      <c r="AC872" s="3"/>
      <c r="AD872" s="3"/>
      <c r="AP872" s="53"/>
    </row>
    <row r="873" spans="29:42" ht="14.5">
      <c r="AC873" s="3"/>
      <c r="AD873" s="3"/>
      <c r="AP873" s="53"/>
    </row>
    <row r="874" spans="29:42" ht="14.5">
      <c r="AC874" s="3"/>
      <c r="AD874" s="3"/>
      <c r="AP874" s="53"/>
    </row>
    <row r="875" spans="29:42" ht="14.5">
      <c r="AC875" s="3"/>
      <c r="AD875" s="3"/>
      <c r="AP875" s="53"/>
    </row>
    <row r="876" spans="29:42" ht="14.5">
      <c r="AC876" s="3"/>
      <c r="AD876" s="3"/>
      <c r="AP876" s="53"/>
    </row>
    <row r="877" spans="29:42" ht="14.5">
      <c r="AC877" s="3"/>
      <c r="AD877" s="3"/>
      <c r="AP877" s="53"/>
    </row>
    <row r="878" spans="29:42" ht="14.5">
      <c r="AC878" s="3"/>
      <c r="AD878" s="3"/>
      <c r="AP878" s="53"/>
    </row>
    <row r="879" spans="29:42" ht="14.5">
      <c r="AC879" s="3"/>
      <c r="AD879" s="3"/>
      <c r="AP879" s="53"/>
    </row>
    <row r="880" spans="29:42" ht="14.5">
      <c r="AC880" s="3"/>
      <c r="AD880" s="3"/>
      <c r="AP880" s="53"/>
    </row>
    <row r="881" spans="29:42" ht="14.5">
      <c r="AC881" s="3"/>
      <c r="AD881" s="3"/>
      <c r="AP881" s="53"/>
    </row>
    <row r="882" spans="29:42" ht="14.5">
      <c r="AC882" s="3"/>
      <c r="AD882" s="3"/>
      <c r="AP882" s="53"/>
    </row>
    <row r="883" spans="29:42" ht="14.5">
      <c r="AC883" s="3"/>
      <c r="AD883" s="3"/>
      <c r="AP883" s="53"/>
    </row>
    <row r="884" spans="29:42" ht="14.5">
      <c r="AC884" s="3"/>
      <c r="AD884" s="3"/>
      <c r="AP884" s="53"/>
    </row>
    <row r="885" spans="29:42" ht="14.5">
      <c r="AC885" s="3"/>
      <c r="AD885" s="3"/>
      <c r="AP885" s="53"/>
    </row>
    <row r="886" spans="29:42" ht="14.5">
      <c r="AC886" s="3"/>
      <c r="AD886" s="3"/>
      <c r="AP886" s="53"/>
    </row>
    <row r="887" spans="29:42" ht="14.5">
      <c r="AC887" s="3"/>
      <c r="AD887" s="3"/>
      <c r="AP887" s="53"/>
    </row>
    <row r="888" spans="29:42" ht="14.5">
      <c r="AC888" s="3"/>
      <c r="AD888" s="3"/>
      <c r="AP888" s="53"/>
    </row>
    <row r="889" spans="29:42" ht="14.5">
      <c r="AC889" s="3"/>
      <c r="AD889" s="3"/>
      <c r="AP889" s="53"/>
    </row>
    <row r="890" spans="29:42" ht="14.5">
      <c r="AC890" s="3"/>
      <c r="AD890" s="3"/>
      <c r="AP890" s="53"/>
    </row>
    <row r="891" spans="29:42" ht="14.5">
      <c r="AC891" s="3"/>
      <c r="AD891" s="3"/>
      <c r="AP891" s="53"/>
    </row>
    <row r="892" spans="29:42" ht="14.5">
      <c r="AC892" s="3"/>
      <c r="AD892" s="3"/>
      <c r="AP892" s="53"/>
    </row>
    <row r="893" spans="29:42" ht="14.5">
      <c r="AC893" s="3"/>
      <c r="AD893" s="3"/>
      <c r="AP893" s="53"/>
    </row>
    <row r="894" spans="29:42" ht="14.5">
      <c r="AC894" s="3"/>
      <c r="AD894" s="3"/>
      <c r="AP894" s="53"/>
    </row>
    <row r="895" spans="29:42" ht="14.5">
      <c r="AC895" s="3"/>
      <c r="AD895" s="3"/>
      <c r="AP895" s="53"/>
    </row>
    <row r="896" spans="29:42" ht="14.5">
      <c r="AC896" s="3"/>
      <c r="AD896" s="3"/>
      <c r="AP896" s="53"/>
    </row>
    <row r="897" spans="29:42" ht="14.5">
      <c r="AC897" s="3"/>
      <c r="AD897" s="3"/>
      <c r="AP897" s="53"/>
    </row>
    <row r="898" spans="29:42" ht="14.5">
      <c r="AC898" s="3"/>
      <c r="AD898" s="3"/>
      <c r="AP898" s="53"/>
    </row>
    <row r="899" spans="29:42" ht="14.5">
      <c r="AC899" s="3"/>
      <c r="AD899" s="3"/>
      <c r="AP899" s="53"/>
    </row>
    <row r="900" spans="29:42" ht="14.5">
      <c r="AC900" s="3"/>
      <c r="AD900" s="3"/>
      <c r="AP900" s="53"/>
    </row>
    <row r="901" spans="29:42" ht="14.5">
      <c r="AC901" s="3"/>
      <c r="AD901" s="3"/>
      <c r="AP901" s="53"/>
    </row>
    <row r="902" spans="29:42" ht="14.5">
      <c r="AC902" s="3"/>
      <c r="AD902" s="3"/>
      <c r="AP902" s="53"/>
    </row>
    <row r="903" spans="29:42" ht="14.5">
      <c r="AC903" s="3"/>
      <c r="AD903" s="3"/>
      <c r="AP903" s="53"/>
    </row>
    <row r="904" spans="29:42" ht="14.5">
      <c r="AC904" s="3"/>
      <c r="AD904" s="3"/>
      <c r="AP904" s="53"/>
    </row>
    <row r="905" spans="29:42" ht="14.5">
      <c r="AC905" s="3"/>
      <c r="AD905" s="3"/>
      <c r="AP905" s="53"/>
    </row>
    <row r="906" spans="29:42" ht="14.5">
      <c r="AC906" s="3"/>
      <c r="AD906" s="3"/>
      <c r="AP906" s="53"/>
    </row>
    <row r="907" spans="29:42" ht="14.5">
      <c r="AC907" s="3"/>
      <c r="AD907" s="3"/>
      <c r="AP907" s="53"/>
    </row>
    <row r="908" spans="29:42" ht="14.5">
      <c r="AC908" s="3"/>
      <c r="AD908" s="3"/>
      <c r="AP908" s="53"/>
    </row>
    <row r="909" spans="29:42" ht="14.5">
      <c r="AC909" s="3"/>
      <c r="AD909" s="3"/>
      <c r="AP909" s="53"/>
    </row>
    <row r="910" spans="29:42" ht="14.5">
      <c r="AC910" s="3"/>
      <c r="AD910" s="3"/>
      <c r="AP910" s="53"/>
    </row>
    <row r="911" spans="29:42" ht="14.5">
      <c r="AC911" s="3"/>
      <c r="AD911" s="3"/>
      <c r="AP911" s="53"/>
    </row>
    <row r="912" spans="29:42" ht="14.5">
      <c r="AC912" s="3"/>
      <c r="AD912" s="3"/>
      <c r="AP912" s="53"/>
    </row>
    <row r="913" spans="29:42" ht="14.5">
      <c r="AC913" s="3"/>
      <c r="AD913" s="3"/>
      <c r="AP913" s="53"/>
    </row>
    <row r="914" spans="29:42" ht="14.5">
      <c r="AC914" s="3"/>
      <c r="AD914" s="3"/>
      <c r="AP914" s="53"/>
    </row>
    <row r="915" spans="29:42" ht="14.5">
      <c r="AC915" s="3"/>
      <c r="AD915" s="3"/>
      <c r="AP915" s="53"/>
    </row>
    <row r="916" spans="29:42" ht="14.5">
      <c r="AC916" s="3"/>
      <c r="AD916" s="3"/>
      <c r="AP916" s="53"/>
    </row>
    <row r="917" spans="29:42" ht="14.5">
      <c r="AC917" s="3"/>
      <c r="AD917" s="3"/>
      <c r="AP917" s="53"/>
    </row>
    <row r="918" spans="29:42" ht="14.5">
      <c r="AC918" s="3"/>
      <c r="AD918" s="3"/>
      <c r="AP918" s="53"/>
    </row>
    <row r="919" spans="29:42" ht="14.5">
      <c r="AC919" s="3"/>
      <c r="AD919" s="3"/>
      <c r="AP919" s="53"/>
    </row>
    <row r="920" spans="29:42" ht="14.5">
      <c r="AC920" s="3"/>
      <c r="AD920" s="3"/>
      <c r="AP920" s="53"/>
    </row>
    <row r="921" spans="29:42" ht="14.5">
      <c r="AC921" s="3"/>
      <c r="AD921" s="3"/>
      <c r="AP921" s="53"/>
    </row>
    <row r="922" spans="29:42" ht="14.5">
      <c r="AC922" s="3"/>
      <c r="AD922" s="3"/>
      <c r="AP922" s="53"/>
    </row>
    <row r="923" spans="29:42" ht="14.5">
      <c r="AC923" s="3"/>
      <c r="AD923" s="3"/>
      <c r="AP923" s="53"/>
    </row>
    <row r="924" spans="29:42" ht="14.5">
      <c r="AC924" s="3"/>
      <c r="AD924" s="3"/>
      <c r="AP924" s="53"/>
    </row>
    <row r="925" spans="29:42" ht="14.5">
      <c r="AC925" s="3"/>
      <c r="AD925" s="3"/>
      <c r="AP925" s="53"/>
    </row>
    <row r="926" spans="29:42" ht="14.5">
      <c r="AC926" s="3"/>
      <c r="AD926" s="3"/>
      <c r="AP926" s="53"/>
    </row>
    <row r="927" spans="29:42" ht="14.5">
      <c r="AC927" s="3"/>
      <c r="AD927" s="3"/>
      <c r="AP927" s="53"/>
    </row>
    <row r="928" spans="29:42" ht="14.5">
      <c r="AC928" s="3"/>
      <c r="AD928" s="3"/>
      <c r="AP928" s="53"/>
    </row>
    <row r="929" spans="29:42" ht="14.5">
      <c r="AC929" s="3"/>
      <c r="AD929" s="3"/>
      <c r="AP929" s="53"/>
    </row>
    <row r="930" spans="29:42" ht="14.5">
      <c r="AC930" s="3"/>
      <c r="AD930" s="3"/>
      <c r="AP930" s="53"/>
    </row>
    <row r="931" spans="29:42" ht="14.5">
      <c r="AC931" s="3"/>
      <c r="AD931" s="3"/>
      <c r="AP931" s="53"/>
    </row>
    <row r="932" spans="29:42" ht="14.5">
      <c r="AC932" s="3"/>
      <c r="AD932" s="3"/>
      <c r="AP932" s="53"/>
    </row>
    <row r="933" spans="29:42" ht="14.5">
      <c r="AC933" s="3"/>
      <c r="AD933" s="3"/>
      <c r="AP933" s="53"/>
    </row>
    <row r="934" spans="29:42" ht="14.5">
      <c r="AC934" s="3"/>
      <c r="AD934" s="3"/>
      <c r="AP934" s="53"/>
    </row>
    <row r="935" spans="29:42" ht="14.5">
      <c r="AC935" s="3"/>
      <c r="AD935" s="3"/>
      <c r="AP935" s="53"/>
    </row>
    <row r="936" spans="29:42" ht="14.5">
      <c r="AC936" s="3"/>
      <c r="AD936" s="3"/>
      <c r="AP936" s="53"/>
    </row>
    <row r="937" spans="29:42" ht="14.5">
      <c r="AC937" s="3"/>
      <c r="AD937" s="3"/>
      <c r="AP937" s="53"/>
    </row>
    <row r="938" spans="29:42" ht="14.5">
      <c r="AC938" s="3"/>
      <c r="AD938" s="3"/>
      <c r="AP938" s="53"/>
    </row>
    <row r="939" spans="29:42" ht="14.5">
      <c r="AC939" s="3"/>
      <c r="AD939" s="3"/>
      <c r="AP939" s="53"/>
    </row>
    <row r="940" spans="29:42" ht="14.5">
      <c r="AC940" s="3"/>
      <c r="AD940" s="3"/>
      <c r="AP940" s="53"/>
    </row>
    <row r="941" spans="29:42" ht="14.5">
      <c r="AC941" s="3"/>
      <c r="AD941" s="3"/>
      <c r="AP941" s="53"/>
    </row>
    <row r="942" spans="29:42" ht="14.5">
      <c r="AC942" s="3"/>
      <c r="AD942" s="3"/>
      <c r="AP942" s="53"/>
    </row>
    <row r="943" spans="29:42" ht="14.5">
      <c r="AC943" s="3"/>
      <c r="AD943" s="3"/>
      <c r="AP943" s="53"/>
    </row>
    <row r="944" spans="29:42" ht="14.5">
      <c r="AC944" s="3"/>
      <c r="AD944" s="3"/>
      <c r="AP944" s="53"/>
    </row>
    <row r="945" spans="29:42" ht="14.5">
      <c r="AC945" s="3"/>
      <c r="AD945" s="3"/>
      <c r="AP945" s="53"/>
    </row>
    <row r="946" spans="29:42" ht="14.5">
      <c r="AC946" s="3"/>
      <c r="AD946" s="3"/>
      <c r="AP946" s="53"/>
    </row>
    <row r="947" spans="29:42" ht="14.5">
      <c r="AC947" s="3"/>
      <c r="AD947" s="3"/>
      <c r="AP947" s="53"/>
    </row>
    <row r="948" spans="29:42" ht="14.5">
      <c r="AC948" s="3"/>
      <c r="AD948" s="3"/>
      <c r="AP948" s="53"/>
    </row>
    <row r="949" spans="29:42" ht="14.5">
      <c r="AC949" s="3"/>
      <c r="AD949" s="3"/>
      <c r="AP949" s="53"/>
    </row>
    <row r="950" spans="29:42" ht="14.5">
      <c r="AC950" s="3"/>
      <c r="AD950" s="3"/>
      <c r="AP950" s="53"/>
    </row>
    <row r="951" spans="29:42" ht="14.5">
      <c r="AC951" s="3"/>
      <c r="AD951" s="3"/>
      <c r="AP951" s="53"/>
    </row>
    <row r="952" spans="29:42" ht="14.5">
      <c r="AC952" s="3"/>
      <c r="AD952" s="3"/>
      <c r="AP952" s="53"/>
    </row>
    <row r="953" spans="29:42" ht="14.5">
      <c r="AC953" s="3"/>
      <c r="AD953" s="3"/>
      <c r="AP953" s="53"/>
    </row>
    <row r="954" spans="29:42" ht="14.5">
      <c r="AC954" s="3"/>
      <c r="AD954" s="3"/>
      <c r="AP954" s="53"/>
    </row>
    <row r="955" spans="29:42" ht="14.5">
      <c r="AC955" s="3"/>
      <c r="AD955" s="3"/>
      <c r="AP955" s="53"/>
    </row>
    <row r="956" spans="29:42" ht="14.5">
      <c r="AC956" s="3"/>
      <c r="AD956" s="3"/>
      <c r="AP956" s="53"/>
    </row>
    <row r="957" spans="29:42" ht="14.5">
      <c r="AC957" s="3"/>
      <c r="AD957" s="3"/>
      <c r="AP957" s="53"/>
    </row>
    <row r="958" spans="29:42" ht="14.5">
      <c r="AC958" s="3"/>
      <c r="AD958" s="3"/>
      <c r="AP958" s="53"/>
    </row>
    <row r="959" spans="29:42" ht="14.5">
      <c r="AC959" s="3"/>
      <c r="AD959" s="3"/>
      <c r="AP959" s="53"/>
    </row>
    <row r="960" spans="29:42" ht="14.5">
      <c r="AC960" s="3"/>
      <c r="AD960" s="3"/>
      <c r="AP960" s="53"/>
    </row>
    <row r="961" spans="29:42" ht="14.5">
      <c r="AC961" s="3"/>
      <c r="AD961" s="3"/>
      <c r="AP961" s="53"/>
    </row>
    <row r="962" spans="29:42" ht="14.5">
      <c r="AC962" s="3"/>
      <c r="AD962" s="3"/>
      <c r="AP962" s="53"/>
    </row>
    <row r="963" spans="29:42" ht="14.5">
      <c r="AC963" s="3"/>
      <c r="AD963" s="3"/>
      <c r="AP963" s="53"/>
    </row>
    <row r="964" spans="29:42" ht="14.5">
      <c r="AC964" s="3"/>
      <c r="AD964" s="3"/>
      <c r="AP964" s="53"/>
    </row>
    <row r="965" spans="29:42" ht="14.5">
      <c r="AC965" s="3"/>
      <c r="AD965" s="3"/>
      <c r="AP965" s="53"/>
    </row>
    <row r="966" spans="29:42" ht="14.5">
      <c r="AC966" s="3"/>
      <c r="AD966" s="3"/>
      <c r="AP966" s="53"/>
    </row>
    <row r="967" spans="29:42" ht="14.5">
      <c r="AC967" s="3"/>
      <c r="AD967" s="3"/>
      <c r="AP967" s="53"/>
    </row>
    <row r="968" spans="29:42" ht="14.5">
      <c r="AC968" s="3"/>
      <c r="AD968" s="3"/>
      <c r="AP968" s="53"/>
    </row>
    <row r="969" spans="29:42" ht="14.5">
      <c r="AC969" s="3"/>
      <c r="AD969" s="3"/>
      <c r="AP969" s="53"/>
    </row>
    <row r="970" spans="29:42" ht="14.5">
      <c r="AC970" s="3"/>
      <c r="AD970" s="3"/>
      <c r="AP970" s="53"/>
    </row>
    <row r="971" spans="29:42" ht="14.5">
      <c r="AC971" s="3"/>
      <c r="AD971" s="3"/>
      <c r="AP971" s="53"/>
    </row>
    <row r="972" spans="29:42" ht="14.5">
      <c r="AC972" s="3"/>
      <c r="AD972" s="3"/>
      <c r="AP972" s="53"/>
    </row>
    <row r="973" spans="29:42" ht="14.5">
      <c r="AC973" s="3"/>
      <c r="AD973" s="3"/>
      <c r="AP973" s="53"/>
    </row>
    <row r="974" spans="29:42" ht="14.5">
      <c r="AC974" s="3"/>
      <c r="AD974" s="3"/>
      <c r="AP974" s="53"/>
    </row>
    <row r="975" spans="29:42" ht="14.5">
      <c r="AC975" s="3"/>
      <c r="AD975" s="3"/>
      <c r="AP975" s="53"/>
    </row>
    <row r="976" spans="29:42" ht="14.5">
      <c r="AC976" s="3"/>
      <c r="AD976" s="3"/>
      <c r="AP976" s="53"/>
    </row>
    <row r="977" spans="29:42" ht="14.5">
      <c r="AC977" s="3"/>
      <c r="AD977" s="3"/>
      <c r="AP977" s="53"/>
    </row>
    <row r="978" spans="29:42" ht="14.5">
      <c r="AC978" s="3"/>
      <c r="AD978" s="3"/>
      <c r="AP978" s="53"/>
    </row>
    <row r="979" spans="29:42" ht="14.5">
      <c r="AC979" s="3"/>
      <c r="AD979" s="3"/>
      <c r="AP979" s="53"/>
    </row>
    <row r="980" spans="29:42" ht="14.5">
      <c r="AC980" s="3"/>
      <c r="AD980" s="3"/>
      <c r="AP980" s="53"/>
    </row>
    <row r="981" spans="29:42" ht="14.5">
      <c r="AC981" s="3"/>
      <c r="AD981" s="3"/>
      <c r="AP981" s="53"/>
    </row>
    <row r="982" spans="29:42" ht="14.5">
      <c r="AC982" s="3"/>
      <c r="AD982" s="3"/>
      <c r="AP982" s="53"/>
    </row>
    <row r="983" spans="29:42" ht="14.5">
      <c r="AC983" s="3"/>
      <c r="AD983" s="3"/>
      <c r="AP983" s="53"/>
    </row>
    <row r="984" spans="29:42" ht="14.5">
      <c r="AC984" s="3"/>
      <c r="AD984" s="3"/>
      <c r="AP984" s="53"/>
    </row>
    <row r="985" spans="29:42" ht="14.5">
      <c r="AC985" s="3"/>
      <c r="AD985" s="3"/>
      <c r="AP985" s="53"/>
    </row>
    <row r="986" spans="29:42" ht="14.5">
      <c r="AC986" s="3"/>
      <c r="AD986" s="3"/>
      <c r="AP986" s="53"/>
    </row>
    <row r="987" spans="29:42" ht="14.5">
      <c r="AC987" s="3"/>
      <c r="AD987" s="3"/>
      <c r="AP987" s="53"/>
    </row>
    <row r="988" spans="29:42" ht="14.5">
      <c r="AC988" s="3"/>
      <c r="AD988" s="3"/>
      <c r="AP988" s="53"/>
    </row>
    <row r="989" spans="29:42" ht="14.5">
      <c r="AC989" s="3"/>
      <c r="AD989" s="3"/>
      <c r="AP989" s="53"/>
    </row>
    <row r="990" spans="29:42" ht="14.5">
      <c r="AC990" s="3"/>
      <c r="AD990" s="3"/>
      <c r="AP990" s="53"/>
    </row>
    <row r="991" spans="29:42" ht="14.5">
      <c r="AC991" s="3"/>
      <c r="AD991" s="3"/>
      <c r="AP991" s="53"/>
    </row>
    <row r="992" spans="29:42" ht="14.5">
      <c r="AC992" s="3"/>
      <c r="AD992" s="3"/>
      <c r="AP992" s="53"/>
    </row>
    <row r="993" spans="29:42" ht="14.5">
      <c r="AC993" s="3"/>
      <c r="AD993" s="3"/>
      <c r="AP993" s="53"/>
    </row>
    <row r="994" spans="29:42" ht="14.5">
      <c r="AC994" s="3"/>
      <c r="AD994" s="3"/>
      <c r="AP994" s="53"/>
    </row>
    <row r="995" spans="29:42" ht="14.5">
      <c r="AC995" s="3"/>
      <c r="AD995" s="3"/>
      <c r="AP995" s="53"/>
    </row>
    <row r="996" spans="29:42" ht="14.5">
      <c r="AC996" s="3"/>
      <c r="AD996" s="3"/>
      <c r="AP996" s="53"/>
    </row>
    <row r="997" spans="29:42" ht="14.5">
      <c r="AC997" s="3"/>
      <c r="AD997" s="3"/>
      <c r="AP997" s="53"/>
    </row>
    <row r="998" spans="29:42" ht="14.5">
      <c r="AC998" s="3"/>
      <c r="AD998" s="3"/>
      <c r="AP998" s="53"/>
    </row>
    <row r="999" spans="29:42" ht="14.5">
      <c r="AC999" s="3"/>
      <c r="AD999" s="3"/>
      <c r="AP999" s="53"/>
    </row>
    <row r="1000" spans="29:42" ht="14.5">
      <c r="AC1000" s="3"/>
      <c r="AD1000" s="3"/>
      <c r="AP1000" s="53"/>
    </row>
    <row r="1001" spans="29:42" ht="14.5">
      <c r="AC1001" s="3"/>
      <c r="AD1001" s="3"/>
      <c r="AP1001" s="53"/>
    </row>
    <row r="1002" spans="29:42" ht="14.5">
      <c r="AC1002" s="3"/>
      <c r="AD1002" s="3"/>
      <c r="AP1002" s="53"/>
    </row>
    <row r="1003" spans="29:42" ht="14.5">
      <c r="AC1003" s="3"/>
      <c r="AD1003" s="3"/>
      <c r="AP1003" s="53"/>
    </row>
    <row r="1004" spans="29:42" ht="14.5">
      <c r="AC1004" s="3"/>
      <c r="AD1004" s="3"/>
      <c r="AP1004" s="53"/>
    </row>
    <row r="1005" spans="29:42" ht="14.5">
      <c r="AC1005" s="3"/>
      <c r="AD1005" s="3"/>
      <c r="AP1005" s="53"/>
    </row>
    <row r="1006" spans="29:42" ht="14.5">
      <c r="AC1006" s="3"/>
      <c r="AD1006" s="3"/>
      <c r="AP1006" s="53"/>
    </row>
    <row r="1007" spans="29:42" ht="14.5">
      <c r="AC1007" s="3"/>
      <c r="AD1007" s="3"/>
      <c r="AP1007" s="53"/>
    </row>
    <row r="1008" spans="29:42" ht="14.5">
      <c r="AC1008" s="3"/>
      <c r="AD1008" s="3"/>
      <c r="AP1008" s="53"/>
    </row>
    <row r="1009" spans="29:42" ht="14.5">
      <c r="AC1009" s="3"/>
      <c r="AD1009" s="3"/>
      <c r="AP1009" s="53"/>
    </row>
    <row r="1010" spans="29:42" ht="14.5">
      <c r="AC1010" s="3"/>
      <c r="AD1010" s="3"/>
      <c r="AP1010" s="53"/>
    </row>
    <row r="1011" spans="29:42" ht="14.5">
      <c r="AC1011" s="3"/>
      <c r="AD1011" s="3"/>
      <c r="AP1011" s="53"/>
    </row>
    <row r="1012" spans="29:42" ht="14.5">
      <c r="AC1012" s="3"/>
      <c r="AD1012" s="3"/>
      <c r="AP1012" s="53"/>
    </row>
    <row r="1013" spans="29:42" ht="14.5">
      <c r="AC1013" s="3"/>
      <c r="AD1013" s="3"/>
      <c r="AP1013" s="53"/>
    </row>
    <row r="1014" spans="29:42" ht="14.5">
      <c r="AC1014" s="3"/>
      <c r="AD1014" s="3"/>
      <c r="AP1014" s="53"/>
    </row>
    <row r="1015" spans="29:42" ht="14.5">
      <c r="AC1015" s="3"/>
      <c r="AD1015" s="3"/>
      <c r="AP1015" s="53"/>
    </row>
    <row r="1016" spans="29:42" ht="14.5">
      <c r="AC1016" s="3"/>
      <c r="AD1016" s="3"/>
      <c r="AP1016" s="53"/>
    </row>
    <row r="1017" spans="29:42" ht="14.5">
      <c r="AC1017" s="3"/>
      <c r="AD1017" s="3"/>
      <c r="AP1017" s="53"/>
    </row>
    <row r="1018" spans="29:42" ht="14.5">
      <c r="AC1018" s="3"/>
      <c r="AD1018" s="3"/>
      <c r="AP1018" s="53"/>
    </row>
    <row r="1019" spans="29:42" ht="14.5">
      <c r="AC1019" s="3"/>
      <c r="AD1019" s="3"/>
      <c r="AP1019" s="53"/>
    </row>
    <row r="1020" spans="29:42" ht="14.5">
      <c r="AC1020" s="3"/>
      <c r="AD1020" s="3"/>
      <c r="AP1020" s="53"/>
    </row>
    <row r="1021" spans="29:42" ht="14.5">
      <c r="AC1021" s="3"/>
      <c r="AD1021" s="3"/>
      <c r="AP1021" s="53"/>
    </row>
    <row r="1022" spans="29:42" ht="14.5">
      <c r="AC1022" s="3"/>
      <c r="AD1022" s="3"/>
      <c r="AP1022" s="53"/>
    </row>
    <row r="1023" spans="29:42" ht="14.5">
      <c r="AC1023" s="3"/>
      <c r="AD1023" s="3"/>
      <c r="AP1023" s="53"/>
    </row>
    <row r="1024" spans="29:42" ht="14.5">
      <c r="AC1024" s="3"/>
      <c r="AD1024" s="3"/>
      <c r="AP1024" s="53"/>
    </row>
    <row r="1025" spans="29:42" ht="14.5">
      <c r="AC1025" s="3"/>
      <c r="AD1025" s="3"/>
      <c r="AP1025" s="53"/>
    </row>
    <row r="1026" spans="29:42" ht="14.5">
      <c r="AC1026" s="3"/>
      <c r="AD1026" s="3"/>
      <c r="AP1026" s="53"/>
    </row>
    <row r="1027" spans="29:42" ht="14.5">
      <c r="AC1027" s="3"/>
      <c r="AD1027" s="3"/>
      <c r="AP1027" s="53"/>
    </row>
    <row r="1028" spans="29:42" ht="14.5">
      <c r="AC1028" s="3"/>
      <c r="AD1028" s="3"/>
      <c r="AP1028" s="53"/>
    </row>
    <row r="1029" spans="29:42" ht="14.5">
      <c r="AC1029" s="3"/>
      <c r="AD1029" s="3"/>
      <c r="AP1029" s="53"/>
    </row>
    <row r="1030" spans="29:42" ht="14.5">
      <c r="AC1030" s="3"/>
      <c r="AD1030" s="3"/>
      <c r="AP1030" s="53"/>
    </row>
    <row r="1031" spans="29:42" ht="14.5">
      <c r="AC1031" s="3"/>
      <c r="AD1031" s="3"/>
      <c r="AP1031" s="53"/>
    </row>
    <row r="1032" spans="29:42" ht="14.5">
      <c r="AC1032" s="3"/>
      <c r="AD1032" s="3"/>
      <c r="AP1032" s="53"/>
    </row>
    <row r="1033" spans="29:42" ht="14.5">
      <c r="AC1033" s="3"/>
      <c r="AD1033" s="3"/>
      <c r="AP1033" s="53"/>
    </row>
    <row r="1034" spans="29:42" ht="14.5">
      <c r="AC1034" s="3"/>
      <c r="AD1034" s="3"/>
      <c r="AP1034" s="53"/>
    </row>
    <row r="1035" spans="29:42" ht="14.5">
      <c r="AC1035" s="3"/>
      <c r="AD1035" s="3"/>
      <c r="AP1035" s="53"/>
    </row>
    <row r="1036" spans="29:42" ht="14.5">
      <c r="AC1036" s="3"/>
      <c r="AD1036" s="3"/>
      <c r="AP1036" s="53"/>
    </row>
    <row r="1037" spans="29:42" ht="14.5">
      <c r="AC1037" s="3"/>
      <c r="AD1037" s="3"/>
      <c r="AP1037" s="53"/>
    </row>
    <row r="1038" spans="29:42" ht="14.5">
      <c r="AC1038" s="3"/>
      <c r="AD1038" s="3"/>
      <c r="AP1038" s="53"/>
    </row>
    <row r="1039" spans="29:42" ht="14.5">
      <c r="AC1039" s="3"/>
      <c r="AD1039" s="3"/>
      <c r="AP1039" s="53"/>
    </row>
    <row r="1040" spans="29:42" ht="14.5">
      <c r="AC1040" s="3"/>
      <c r="AD1040" s="3"/>
      <c r="AP1040" s="53"/>
    </row>
    <row r="1041" spans="29:42" ht="14.5">
      <c r="AC1041" s="3"/>
      <c r="AD1041" s="3"/>
      <c r="AP1041" s="53"/>
    </row>
    <row r="1042" spans="29:42" ht="14.5">
      <c r="AC1042" s="3"/>
      <c r="AD1042" s="3"/>
      <c r="AP1042" s="53"/>
    </row>
    <row r="1043" spans="29:42" ht="14.5">
      <c r="AC1043" s="3"/>
      <c r="AD1043" s="3"/>
      <c r="AP1043" s="53"/>
    </row>
    <row r="1044" spans="29:42" ht="14.5">
      <c r="AC1044" s="3"/>
      <c r="AD1044" s="3"/>
      <c r="AP1044" s="53"/>
    </row>
    <row r="1045" spans="29:42" ht="14.5">
      <c r="AC1045" s="3"/>
      <c r="AD1045" s="3"/>
      <c r="AP1045" s="53"/>
    </row>
    <row r="1046" spans="29:42" ht="14.5">
      <c r="AC1046" s="3"/>
      <c r="AD1046" s="3"/>
      <c r="AP1046" s="53"/>
    </row>
    <row r="1047" spans="29:42" ht="14.5">
      <c r="AC1047" s="3"/>
      <c r="AD1047" s="3"/>
      <c r="AP1047" s="53"/>
    </row>
    <row r="1048" spans="29:42" ht="14.5">
      <c r="AC1048" s="3"/>
      <c r="AD1048" s="3"/>
      <c r="AP1048" s="53"/>
    </row>
    <row r="1049" spans="29:42" ht="14.5">
      <c r="AC1049" s="3"/>
      <c r="AD1049" s="3"/>
      <c r="AP1049" s="53"/>
    </row>
    <row r="1050" spans="29:42" ht="14.5">
      <c r="AC1050" s="3"/>
      <c r="AD1050" s="3"/>
      <c r="AP1050" s="53"/>
    </row>
    <row r="1051" spans="29:42" ht="14.5">
      <c r="AC1051" s="3"/>
      <c r="AD1051" s="3"/>
      <c r="AP1051" s="53"/>
    </row>
    <row r="1052" spans="29:42" ht="14.5">
      <c r="AC1052" s="3"/>
      <c r="AD1052" s="3"/>
      <c r="AP1052" s="53"/>
    </row>
    <row r="1053" spans="29:42" ht="14.5">
      <c r="AC1053" s="3"/>
      <c r="AD1053" s="3"/>
      <c r="AP1053" s="53"/>
    </row>
    <row r="1054" spans="29:42" ht="14.5">
      <c r="AC1054" s="3"/>
      <c r="AD1054" s="3"/>
      <c r="AP1054" s="53"/>
    </row>
    <row r="1055" spans="29:42" ht="14.5">
      <c r="AC1055" s="3"/>
      <c r="AD1055" s="3"/>
      <c r="AP1055" s="53"/>
    </row>
    <row r="1056" spans="29:42" ht="14.5">
      <c r="AC1056" s="3"/>
      <c r="AD1056" s="3"/>
      <c r="AP1056" s="53"/>
    </row>
    <row r="1057" spans="29:42" ht="14.5">
      <c r="AC1057" s="3"/>
      <c r="AD1057" s="3"/>
      <c r="AP1057" s="53"/>
    </row>
    <row r="1058" spans="29:42" ht="14.5">
      <c r="AC1058" s="3"/>
      <c r="AD1058" s="3"/>
      <c r="AP1058" s="53"/>
    </row>
    <row r="1059" spans="29:42" ht="14.5">
      <c r="AC1059" s="3"/>
      <c r="AD1059" s="3"/>
      <c r="AP1059" s="53"/>
    </row>
    <row r="1060" spans="29:42" ht="14.5">
      <c r="AC1060" s="3"/>
      <c r="AD1060" s="3"/>
      <c r="AP1060" s="53"/>
    </row>
    <row r="1061" spans="29:42" ht="14.5">
      <c r="AC1061" s="3"/>
      <c r="AD1061" s="3"/>
      <c r="AP1061" s="53"/>
    </row>
    <row r="1062" spans="29:42" ht="14.5">
      <c r="AC1062" s="3"/>
      <c r="AD1062" s="3"/>
      <c r="AP1062" s="53"/>
    </row>
    <row r="1063" spans="29:42" ht="14.5">
      <c r="AC1063" s="3"/>
      <c r="AD1063" s="3"/>
      <c r="AP1063" s="53"/>
    </row>
    <row r="1064" spans="29:42" ht="14.5">
      <c r="AC1064" s="3"/>
      <c r="AD1064" s="3"/>
      <c r="AP1064" s="53"/>
    </row>
    <row r="1065" spans="29:42" ht="14.5">
      <c r="AC1065" s="3"/>
      <c r="AD1065" s="3"/>
      <c r="AP1065" s="53"/>
    </row>
    <row r="1066" spans="29:42" ht="14.5">
      <c r="AC1066" s="3"/>
      <c r="AD1066" s="3"/>
      <c r="AP1066" s="53"/>
    </row>
    <row r="1067" spans="29:42" ht="14.5">
      <c r="AC1067" s="3"/>
      <c r="AD1067" s="3"/>
      <c r="AP1067" s="53"/>
    </row>
    <row r="1068" spans="29:42" ht="14.5">
      <c r="AC1068" s="3"/>
      <c r="AD1068" s="3"/>
      <c r="AP1068" s="53"/>
    </row>
    <row r="1069" spans="29:42" ht="14.5">
      <c r="AC1069" s="3"/>
      <c r="AD1069" s="3"/>
      <c r="AP1069" s="53"/>
    </row>
    <row r="1070" spans="29:42" ht="14.5">
      <c r="AC1070" s="3"/>
      <c r="AD1070" s="3"/>
      <c r="AP1070" s="53"/>
    </row>
    <row r="1071" spans="29:42" ht="14.5">
      <c r="AC1071" s="3"/>
      <c r="AD1071" s="3"/>
      <c r="AP1071" s="53"/>
    </row>
    <row r="1072" spans="29:42" ht="14.5">
      <c r="AC1072" s="3"/>
      <c r="AD1072" s="3"/>
      <c r="AP1072" s="53"/>
    </row>
    <row r="1073" spans="29:42" ht="14.5">
      <c r="AC1073" s="3"/>
      <c r="AD1073" s="3"/>
      <c r="AP1073" s="53"/>
    </row>
    <row r="1074" spans="29:42" ht="14.5">
      <c r="AC1074" s="3"/>
      <c r="AD1074" s="3"/>
      <c r="AP1074" s="53"/>
    </row>
    <row r="1075" spans="29:42" ht="14.5">
      <c r="AC1075" s="3"/>
      <c r="AD1075" s="3"/>
      <c r="AP1075" s="53"/>
    </row>
    <row r="1076" spans="29:42" ht="14.5">
      <c r="AC1076" s="3"/>
      <c r="AD1076" s="3"/>
      <c r="AP1076" s="53"/>
    </row>
    <row r="1077" spans="29:42" ht="14.5">
      <c r="AC1077" s="3"/>
      <c r="AD1077" s="3"/>
      <c r="AP1077" s="53"/>
    </row>
    <row r="1078" spans="29:42" ht="14.5">
      <c r="AC1078" s="3"/>
      <c r="AD1078" s="3"/>
      <c r="AP1078" s="53"/>
    </row>
    <row r="1079" spans="29:42" ht="14.5">
      <c r="AC1079" s="3"/>
      <c r="AD1079" s="3"/>
      <c r="AP1079" s="53"/>
    </row>
    <row r="1080" spans="29:42" ht="14.5">
      <c r="AC1080" s="3"/>
      <c r="AD1080" s="3"/>
      <c r="AP1080" s="53"/>
    </row>
    <row r="1081" spans="29:42" ht="14.5">
      <c r="AC1081" s="3"/>
      <c r="AD1081" s="3"/>
      <c r="AP1081" s="53"/>
    </row>
    <row r="1082" spans="29:42" ht="14.5">
      <c r="AC1082" s="3"/>
      <c r="AD1082" s="3"/>
      <c r="AP1082" s="53"/>
    </row>
    <row r="1083" spans="29:42" ht="14.5">
      <c r="AC1083" s="3"/>
      <c r="AD1083" s="3"/>
      <c r="AP1083" s="53"/>
    </row>
  </sheetData>
  <mergeCells count="3">
    <mergeCell ref="A1:B1"/>
    <mergeCell ref="D295:I295"/>
    <mergeCell ref="N295:S295"/>
  </mergeCells>
  <conditionalFormatting sqref="AC1:AF19 AC69:AF69 AC144:AF144 AC196:AF203 AC228:AF228 AG295:AG320 AC328:AF1083 AC253:AF255 AG255:AH255 AC284:AH290 AA278:AF283 AG293:AH293 AC293:AF325">
    <cfRule type="notContainsBlanks" dxfId="10" priority="2">
      <formula>LEN(TRIM(AA1))&gt;0</formula>
    </cfRule>
  </conditionalFormatting>
  <conditionalFormatting sqref="AE256:AH277">
    <cfRule type="notContainsBlanks" dxfId="9" priority="1">
      <formula>LEN(TRIM(AE256))&gt;0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2431-FA3C-4345-8C8D-3B25CDDA7176}">
  <sheetPr>
    <outlinePr summaryBelow="0" summaryRight="0"/>
  </sheetPr>
  <dimension ref="A1:BD1083"/>
  <sheetViews>
    <sheetView topLeftCell="A293" zoomScale="60" zoomScaleNormal="60" workbookViewId="0">
      <selection activeCell="H327" sqref="H327"/>
    </sheetView>
  </sheetViews>
  <sheetFormatPr defaultColWidth="12.6640625" defaultRowHeight="15" customHeight="1"/>
  <cols>
    <col min="1" max="1" width="14" style="176" customWidth="1"/>
    <col min="2" max="16384" width="12.6640625" style="176"/>
  </cols>
  <sheetData>
    <row r="1" spans="1:42" ht="14.5">
      <c r="A1" s="181" t="s">
        <v>70</v>
      </c>
      <c r="B1" s="182"/>
      <c r="C1" s="26"/>
      <c r="D1" s="70" t="s">
        <v>71</v>
      </c>
      <c r="E1" s="32">
        <f ca="1">1.1*Z23</f>
        <v>170.54869113313165</v>
      </c>
      <c r="G1" s="70" t="s">
        <v>72</v>
      </c>
      <c r="H1" s="32">
        <f ca="1">1.15*Z23</f>
        <v>178.3009043664558</v>
      </c>
      <c r="J1" s="70" t="s">
        <v>73</v>
      </c>
      <c r="K1" s="32">
        <f ca="1">1.2*Z23</f>
        <v>186.05311759977997</v>
      </c>
      <c r="AC1" s="3"/>
      <c r="AD1" s="3"/>
      <c r="AP1" s="53"/>
    </row>
    <row r="2" spans="1:42" ht="14.5">
      <c r="A2" s="26" t="s">
        <v>74</v>
      </c>
      <c r="M2" s="21"/>
      <c r="N2" s="61"/>
      <c r="AC2" s="3"/>
      <c r="AD2" s="3"/>
      <c r="AP2" s="53"/>
    </row>
    <row r="3" spans="1:42" ht="14.5">
      <c r="A3" s="21" t="s">
        <v>76</v>
      </c>
      <c r="B3" s="21">
        <v>230</v>
      </c>
      <c r="D3" s="26" t="s">
        <v>1</v>
      </c>
      <c r="E3" s="32">
        <f ca="1">E193</f>
        <v>941.77587183426522</v>
      </c>
      <c r="F3" s="21" t="s">
        <v>49</v>
      </c>
      <c r="G3" s="26" t="s">
        <v>199</v>
      </c>
      <c r="H3" s="21">
        <v>755</v>
      </c>
      <c r="M3" s="21"/>
      <c r="N3" s="61"/>
      <c r="S3" s="75" t="s">
        <v>284</v>
      </c>
      <c r="T3" s="131" t="s">
        <v>286</v>
      </c>
      <c r="U3" s="131" t="s">
        <v>83</v>
      </c>
      <c r="AC3" s="3"/>
      <c r="AD3" s="3"/>
      <c r="AP3" s="53"/>
    </row>
    <row r="4" spans="1:42" ht="19">
      <c r="A4" s="21" t="s">
        <v>12</v>
      </c>
      <c r="B4" s="21">
        <f>U9/B3</f>
        <v>5.1882093337077295</v>
      </c>
      <c r="D4" s="26" t="s">
        <v>200</v>
      </c>
      <c r="E4" s="21">
        <f ca="1">B93-B48</f>
        <v>51.071773394102976</v>
      </c>
      <c r="G4" s="26" t="s">
        <v>201</v>
      </c>
      <c r="H4" s="21">
        <v>1017</v>
      </c>
      <c r="M4" s="21"/>
      <c r="N4" s="21"/>
      <c r="S4" s="131" t="s">
        <v>285</v>
      </c>
      <c r="T4" s="150">
        <v>79254.356807799995</v>
      </c>
      <c r="U4" s="176">
        <f>T4/144</f>
        <v>550.37747783194436</v>
      </c>
      <c r="AC4" s="3"/>
      <c r="AD4" s="3"/>
      <c r="AP4" s="53"/>
    </row>
    <row r="5" spans="1:42" ht="19">
      <c r="A5" s="21" t="s">
        <v>11</v>
      </c>
      <c r="B5" s="21">
        <v>0.84</v>
      </c>
      <c r="M5" s="21"/>
      <c r="S5" s="131" t="s">
        <v>287</v>
      </c>
      <c r="T5" s="150">
        <v>14021.6390302</v>
      </c>
      <c r="U5" s="176">
        <f t="shared" ref="U5:U9" si="0">T5/144</f>
        <v>97.372493265277782</v>
      </c>
      <c r="AC5" s="3"/>
      <c r="AD5" s="3"/>
      <c r="AP5" s="53"/>
    </row>
    <row r="6" spans="1:42" ht="19">
      <c r="A6" s="21" t="s">
        <v>10</v>
      </c>
      <c r="B6" s="30">
        <v>6</v>
      </c>
      <c r="D6" s="26" t="s">
        <v>86</v>
      </c>
      <c r="G6" s="26" t="s">
        <v>87</v>
      </c>
      <c r="J6" s="21" t="s">
        <v>90</v>
      </c>
      <c r="K6" s="78">
        <v>8420</v>
      </c>
      <c r="M6" s="75" t="s">
        <v>219</v>
      </c>
      <c r="N6" s="176">
        <v>50.8</v>
      </c>
      <c r="O6" s="176" t="s">
        <v>220</v>
      </c>
      <c r="S6" s="131" t="s">
        <v>288</v>
      </c>
      <c r="T6" s="150">
        <v>10100.623521699999</v>
      </c>
      <c r="U6" s="176">
        <f t="shared" si="0"/>
        <v>70.143218900694436</v>
      </c>
      <c r="AC6" s="3"/>
      <c r="AD6" s="3"/>
      <c r="AP6" s="53"/>
    </row>
    <row r="7" spans="1:42" ht="16" customHeight="1">
      <c r="A7" s="76" t="s">
        <v>84</v>
      </c>
      <c r="B7" s="76">
        <f>77.04843221/12</f>
        <v>6.4207026841666668</v>
      </c>
      <c r="D7" s="21" t="s">
        <v>19</v>
      </c>
      <c r="E7" s="31">
        <v>0.2</v>
      </c>
      <c r="G7" s="62" t="s">
        <v>19</v>
      </c>
      <c r="H7" s="31">
        <v>0.2</v>
      </c>
      <c r="J7" s="21" t="s">
        <v>93</v>
      </c>
      <c r="K7" s="21">
        <v>1800</v>
      </c>
      <c r="M7" s="75" t="s">
        <v>221</v>
      </c>
      <c r="N7" s="176">
        <f ca="1">(H18/N6)*1.08</f>
        <v>68.224397160821013</v>
      </c>
      <c r="S7" s="131" t="s">
        <v>289</v>
      </c>
      <c r="T7" s="150">
        <v>68456.873772699997</v>
      </c>
      <c r="U7" s="176">
        <f t="shared" si="0"/>
        <v>475.39495675486108</v>
      </c>
      <c r="AC7" s="3"/>
      <c r="AD7" s="3"/>
      <c r="AP7" s="53"/>
    </row>
    <row r="8" spans="1:42" ht="15" customHeight="1">
      <c r="A8" s="76" t="s">
        <v>15</v>
      </c>
      <c r="B8" s="21">
        <f>1/(PI()*B6*B5)</f>
        <v>6.3156723449164814E-2</v>
      </c>
      <c r="D8" s="21" t="s">
        <v>92</v>
      </c>
      <c r="E8" s="21">
        <v>5</v>
      </c>
      <c r="F8" s="21" t="s">
        <v>21</v>
      </c>
      <c r="G8" s="62" t="s">
        <v>92</v>
      </c>
      <c r="H8" s="62">
        <v>5</v>
      </c>
      <c r="I8" s="21" t="s">
        <v>21</v>
      </c>
      <c r="J8" s="21" t="s">
        <v>95</v>
      </c>
      <c r="K8" s="32">
        <f ca="1">H17</f>
        <v>3155.9500016014595</v>
      </c>
      <c r="M8" s="75" t="s">
        <v>248</v>
      </c>
      <c r="N8" s="176">
        <f>7650-715</f>
        <v>6935</v>
      </c>
      <c r="O8" s="131" t="s">
        <v>78</v>
      </c>
      <c r="S8" s="131" t="s">
        <v>290</v>
      </c>
      <c r="T8" s="150">
        <v>11218.802329100001</v>
      </c>
      <c r="U8" s="176">
        <f t="shared" si="0"/>
        <v>77.908349507638889</v>
      </c>
      <c r="AC8" s="3"/>
      <c r="AD8" s="3"/>
      <c r="AP8" s="53"/>
    </row>
    <row r="9" spans="1:42" ht="14.5">
      <c r="A9" s="26" t="s">
        <v>89</v>
      </c>
      <c r="D9" s="21" t="s">
        <v>14</v>
      </c>
      <c r="E9" s="32">
        <f>($B$15*$E$7*$B$14*(5/60))</f>
        <v>81.64</v>
      </c>
      <c r="F9" s="21" t="s">
        <v>78</v>
      </c>
      <c r="G9" s="62" t="s">
        <v>14</v>
      </c>
      <c r="H9" s="32">
        <f>($B$15*$E$7*$B$14*(5/60))</f>
        <v>81.64</v>
      </c>
      <c r="I9" s="62" t="s">
        <v>78</v>
      </c>
      <c r="J9" s="26" t="s">
        <v>195</v>
      </c>
      <c r="K9" s="32">
        <f ca="1">SUM(K6:K8)</f>
        <v>13375.950001601459</v>
      </c>
      <c r="M9" s="75" t="s">
        <v>250</v>
      </c>
      <c r="N9" s="176">
        <f>135*0.92</f>
        <v>124.2</v>
      </c>
      <c r="O9" s="131" t="s">
        <v>247</v>
      </c>
      <c r="S9" s="131" t="s">
        <v>291</v>
      </c>
      <c r="T9" s="176">
        <f>SUM(T4:T7)</f>
        <v>171833.49313240001</v>
      </c>
      <c r="U9" s="176">
        <f t="shared" si="0"/>
        <v>1193.2881467527777</v>
      </c>
      <c r="AC9" s="3"/>
      <c r="AD9" s="3"/>
      <c r="AP9" s="53"/>
    </row>
    <row r="10" spans="1:42" ht="14.5">
      <c r="A10" s="21" t="s">
        <v>91</v>
      </c>
      <c r="B10" s="63">
        <f ca="1">K9</f>
        <v>13375.950001601459</v>
      </c>
      <c r="AC10" s="3"/>
      <c r="AD10" s="3"/>
      <c r="AP10" s="53"/>
    </row>
    <row r="11" spans="1:42" ht="14.5">
      <c r="A11" s="21" t="s">
        <v>94</v>
      </c>
      <c r="B11" s="21">
        <v>0.99</v>
      </c>
      <c r="D11" s="26" t="s">
        <v>99</v>
      </c>
      <c r="G11" s="69" t="s">
        <v>86</v>
      </c>
      <c r="H11" s="32">
        <f>E9</f>
        <v>81.64</v>
      </c>
      <c r="J11" s="69" t="s">
        <v>202</v>
      </c>
      <c r="S11" s="131" t="s">
        <v>12</v>
      </c>
      <c r="T11" s="176">
        <f>U9/230</f>
        <v>5.1882093337077295</v>
      </c>
      <c r="AC11" s="3"/>
      <c r="AD11" s="3"/>
      <c r="AP11" s="53"/>
    </row>
    <row r="12" spans="1:42" ht="14.5">
      <c r="A12" s="21" t="s">
        <v>96</v>
      </c>
      <c r="B12" s="32">
        <f ca="1">B10*B11</f>
        <v>13242.190501585445</v>
      </c>
      <c r="D12" s="21" t="s">
        <v>101</v>
      </c>
      <c r="E12" s="31">
        <v>1</v>
      </c>
      <c r="G12" s="69" t="s">
        <v>99</v>
      </c>
      <c r="H12" s="32">
        <f ca="1">E14</f>
        <v>29.094336882050804</v>
      </c>
      <c r="J12" s="62" t="s">
        <v>203</v>
      </c>
      <c r="K12" s="64">
        <v>0.05</v>
      </c>
      <c r="AC12" s="3"/>
      <c r="AD12" s="3"/>
      <c r="AP12" s="53"/>
    </row>
    <row r="13" spans="1:42" ht="14.5">
      <c r="A13" s="26" t="s">
        <v>98</v>
      </c>
      <c r="D13" s="21" t="s">
        <v>17</v>
      </c>
      <c r="E13" s="32">
        <f ca="1">$L$289</f>
        <v>21.382413191120136</v>
      </c>
      <c r="F13" s="21" t="s">
        <v>18</v>
      </c>
      <c r="G13" s="69" t="s">
        <v>103</v>
      </c>
      <c r="H13" s="32">
        <f ca="1">SUM(AN23:AN68)+SUM(AN73:AN143)+SUM(AN148:AN193)</f>
        <v>2462.3158282155755</v>
      </c>
      <c r="J13" s="62" t="s">
        <v>204</v>
      </c>
      <c r="K13" s="32">
        <f ca="1">$L$323</f>
        <v>21.821053148022401</v>
      </c>
      <c r="L13" s="21" t="s">
        <v>18</v>
      </c>
      <c r="AC13" s="3"/>
      <c r="AD13" s="3"/>
      <c r="AP13" s="53"/>
    </row>
    <row r="14" spans="1:42" ht="14.5">
      <c r="A14" s="21" t="s">
        <v>100</v>
      </c>
      <c r="B14" s="21">
        <v>0.78</v>
      </c>
      <c r="D14" s="21" t="s">
        <v>16</v>
      </c>
      <c r="E14" s="32">
        <f ca="1">B15*E12*B14*(E13/3600)</f>
        <v>29.094336882050804</v>
      </c>
      <c r="F14" s="21" t="s">
        <v>78</v>
      </c>
      <c r="G14" s="69" t="s">
        <v>87</v>
      </c>
      <c r="H14" s="32">
        <f>H9</f>
        <v>81.64</v>
      </c>
      <c r="J14" s="62" t="s">
        <v>206</v>
      </c>
      <c r="K14" s="32">
        <f ca="1">B15*B14*K12*(K13/3600)</f>
        <v>1.484558982503791</v>
      </c>
      <c r="L14" s="21" t="s">
        <v>78</v>
      </c>
      <c r="M14" s="131"/>
      <c r="AC14" s="3"/>
      <c r="AD14" s="3"/>
      <c r="AP14" s="53"/>
    </row>
    <row r="15" spans="1:42" ht="14.5">
      <c r="A15" s="21" t="s">
        <v>102</v>
      </c>
      <c r="B15" s="21">
        <v>6280</v>
      </c>
      <c r="G15" s="69" t="s">
        <v>202</v>
      </c>
      <c r="H15" s="32">
        <f ca="1">K14</f>
        <v>1.484558982503791</v>
      </c>
      <c r="N15" s="176">
        <f>9120-700</f>
        <v>8420</v>
      </c>
      <c r="AC15" s="3"/>
      <c r="AD15" s="3"/>
      <c r="AP15" s="53"/>
    </row>
    <row r="16" spans="1:42" ht="14.5">
      <c r="A16" s="26" t="s">
        <v>104</v>
      </c>
      <c r="G16" s="26" t="s">
        <v>7</v>
      </c>
      <c r="H16" s="32">
        <f ca="1">C200</f>
        <v>499.77527752132977</v>
      </c>
      <c r="AC16" s="3"/>
      <c r="AD16" s="3"/>
      <c r="AP16" s="53"/>
    </row>
    <row r="17" spans="1:52" ht="14.5">
      <c r="A17" s="6" t="s">
        <v>105</v>
      </c>
      <c r="B17" s="6">
        <v>3.0000000000000001E-3</v>
      </c>
      <c r="G17" s="34" t="s">
        <v>107</v>
      </c>
      <c r="H17" s="41">
        <f ca="1">SUM(H11:H16)</f>
        <v>3155.9500016014595</v>
      </c>
      <c r="AC17" s="3"/>
      <c r="AD17" s="3"/>
      <c r="AP17" s="53"/>
    </row>
    <row r="18" spans="1:52" ht="14.5">
      <c r="A18" s="21" t="s">
        <v>205</v>
      </c>
      <c r="B18" s="21">
        <v>2.4</v>
      </c>
      <c r="G18" s="130" t="s">
        <v>223</v>
      </c>
      <c r="H18" s="129">
        <f ca="1">($H$17-$H$16)*1.02 +$H$16</f>
        <v>3209.0734960830623</v>
      </c>
      <c r="AC18" s="3"/>
      <c r="AD18" s="3"/>
      <c r="AP18" s="53"/>
    </row>
    <row r="19" spans="1:52" ht="14.5">
      <c r="AC19" s="3"/>
      <c r="AD19" s="3"/>
      <c r="AP19" s="53"/>
    </row>
    <row r="20" spans="1:52" s="89" customFormat="1" ht="14.5">
      <c r="A20" s="124" t="s">
        <v>3</v>
      </c>
      <c r="B20" s="82" t="s">
        <v>22</v>
      </c>
      <c r="C20" s="125">
        <v>18000</v>
      </c>
      <c r="D20" s="82" t="s">
        <v>9</v>
      </c>
      <c r="E20" s="82"/>
      <c r="F20" s="82"/>
      <c r="G20" s="82"/>
      <c r="H20" s="82"/>
      <c r="I20" s="83"/>
      <c r="J20" s="82"/>
      <c r="K20" s="82"/>
      <c r="L20" s="84" t="s">
        <v>60</v>
      </c>
      <c r="M20" s="82"/>
      <c r="N20" s="82"/>
      <c r="O20" s="82"/>
      <c r="P20" s="82"/>
      <c r="Q20" s="81"/>
      <c r="R20" s="82"/>
      <c r="S20" s="85"/>
      <c r="T20" s="86"/>
      <c r="U20" s="81"/>
      <c r="V20" s="81"/>
      <c r="W20" s="81"/>
      <c r="X20" s="81"/>
      <c r="Y20" s="82"/>
      <c r="Z20" s="82"/>
      <c r="AA20" s="87"/>
      <c r="AB20" s="87"/>
      <c r="AC20" s="82"/>
      <c r="AD20" s="82"/>
      <c r="AE20" s="83"/>
      <c r="AF20" s="81"/>
      <c r="AG20" s="82"/>
      <c r="AH20" s="82"/>
      <c r="AI20" s="82"/>
      <c r="AJ20" s="81" t="s">
        <v>61</v>
      </c>
      <c r="AK20" s="88"/>
      <c r="AL20" s="83"/>
      <c r="AM20" s="82"/>
      <c r="AN20" s="82"/>
      <c r="AO20" s="82"/>
      <c r="AP20" s="53"/>
      <c r="AQ20" s="88"/>
      <c r="AR20" s="88"/>
      <c r="AS20" s="88"/>
      <c r="AT20" s="88"/>
      <c r="AU20" s="88"/>
      <c r="AV20" s="88"/>
      <c r="AW20" s="88"/>
      <c r="AX20" s="82"/>
      <c r="AY20" s="82"/>
      <c r="AZ20" s="82"/>
    </row>
    <row r="21" spans="1:52" ht="14.5">
      <c r="A21" s="41" t="s">
        <v>2</v>
      </c>
      <c r="B21" s="41" t="s">
        <v>2</v>
      </c>
      <c r="C21" s="41" t="s">
        <v>2</v>
      </c>
      <c r="D21" s="41" t="s">
        <v>23</v>
      </c>
      <c r="E21" s="41" t="s">
        <v>24</v>
      </c>
      <c r="F21" s="41" t="s">
        <v>25</v>
      </c>
      <c r="G21" s="41"/>
      <c r="H21" s="41" t="s">
        <v>0</v>
      </c>
      <c r="I21" s="5" t="s">
        <v>26</v>
      </c>
      <c r="J21" s="41" t="s">
        <v>27</v>
      </c>
      <c r="K21" s="41" t="s">
        <v>28</v>
      </c>
      <c r="L21" s="12" t="s">
        <v>29</v>
      </c>
      <c r="M21" s="13" t="s">
        <v>30</v>
      </c>
      <c r="N21" s="41" t="s">
        <v>31</v>
      </c>
      <c r="O21" s="41" t="s">
        <v>32</v>
      </c>
      <c r="P21" s="41" t="s">
        <v>33</v>
      </c>
      <c r="Q21" s="41" t="s">
        <v>34</v>
      </c>
      <c r="R21" s="41" t="s">
        <v>13</v>
      </c>
      <c r="S21" s="24" t="s">
        <v>35</v>
      </c>
      <c r="T21" s="10" t="s">
        <v>35</v>
      </c>
      <c r="U21" s="41" t="s">
        <v>36</v>
      </c>
      <c r="V21" s="41" t="s">
        <v>37</v>
      </c>
      <c r="W21" s="41" t="s">
        <v>38</v>
      </c>
      <c r="X21" s="41" t="s">
        <v>39</v>
      </c>
      <c r="Y21" s="41" t="s">
        <v>40</v>
      </c>
      <c r="Z21" s="35" t="s">
        <v>108</v>
      </c>
      <c r="AA21" s="35" t="s">
        <v>109</v>
      </c>
      <c r="AB21" s="9" t="s">
        <v>110</v>
      </c>
      <c r="AC21" s="7" t="s">
        <v>111</v>
      </c>
      <c r="AD21" s="7" t="s">
        <v>112</v>
      </c>
      <c r="AE21" s="5" t="s">
        <v>41</v>
      </c>
      <c r="AF21" s="7" t="s">
        <v>113</v>
      </c>
      <c r="AG21" s="7" t="s">
        <v>114</v>
      </c>
      <c r="AH21" s="7" t="s">
        <v>115</v>
      </c>
      <c r="AI21" s="41" t="s">
        <v>42</v>
      </c>
      <c r="AJ21" s="41" t="s">
        <v>43</v>
      </c>
      <c r="AK21" s="36" t="s">
        <v>116</v>
      </c>
      <c r="AL21" s="5" t="s">
        <v>44</v>
      </c>
      <c r="AM21" s="41" t="s">
        <v>45</v>
      </c>
      <c r="AN21" s="41" t="s">
        <v>46</v>
      </c>
      <c r="AO21" s="41" t="s">
        <v>47</v>
      </c>
      <c r="AP21" s="67" t="s">
        <v>85</v>
      </c>
      <c r="AQ21" s="15" t="s">
        <v>62</v>
      </c>
      <c r="AR21" s="16" t="s">
        <v>63</v>
      </c>
      <c r="AS21" s="16" t="s">
        <v>64</v>
      </c>
      <c r="AT21" s="17" t="s">
        <v>65</v>
      </c>
      <c r="AU21" s="18" t="s">
        <v>66</v>
      </c>
      <c r="AV21" s="18" t="s">
        <v>67</v>
      </c>
      <c r="AW21" s="19" t="s">
        <v>68</v>
      </c>
      <c r="AX21" s="7" t="s">
        <v>207</v>
      </c>
      <c r="AY21" s="7" t="s">
        <v>208</v>
      </c>
      <c r="AZ21" s="7" t="s">
        <v>209</v>
      </c>
    </row>
    <row r="22" spans="1:52" ht="14.5">
      <c r="A22" s="41" t="s">
        <v>18</v>
      </c>
      <c r="B22" s="41" t="s">
        <v>21</v>
      </c>
      <c r="C22" s="41" t="s">
        <v>48</v>
      </c>
      <c r="D22" s="41" t="s">
        <v>8</v>
      </c>
      <c r="E22" s="41" t="s">
        <v>49</v>
      </c>
      <c r="F22" s="41" t="s">
        <v>49</v>
      </c>
      <c r="G22" s="41"/>
      <c r="H22" s="41" t="s">
        <v>9</v>
      </c>
      <c r="I22" s="5" t="s">
        <v>50</v>
      </c>
      <c r="J22" s="41"/>
      <c r="K22" s="41" t="s">
        <v>51</v>
      </c>
      <c r="L22" s="5" t="s">
        <v>52</v>
      </c>
      <c r="M22" s="41" t="s">
        <v>52</v>
      </c>
      <c r="N22" s="41" t="s">
        <v>53</v>
      </c>
      <c r="O22" s="41" t="s">
        <v>54</v>
      </c>
      <c r="P22" s="41"/>
      <c r="Q22" s="41"/>
      <c r="R22" s="41"/>
      <c r="S22" s="24" t="s">
        <v>55</v>
      </c>
      <c r="T22" s="10" t="s">
        <v>55</v>
      </c>
      <c r="U22" s="41"/>
      <c r="V22" s="41"/>
      <c r="W22" s="41"/>
      <c r="X22" s="41"/>
      <c r="Y22" s="41"/>
      <c r="Z22" s="41"/>
      <c r="AA22" s="9" t="s">
        <v>118</v>
      </c>
      <c r="AB22" s="9" t="s">
        <v>118</v>
      </c>
      <c r="AC22" s="7" t="s">
        <v>119</v>
      </c>
      <c r="AD22" s="7" t="s">
        <v>119</v>
      </c>
      <c r="AE22" s="5" t="s">
        <v>20</v>
      </c>
      <c r="AF22" s="7" t="s">
        <v>118</v>
      </c>
      <c r="AG22" s="7" t="s">
        <v>118</v>
      </c>
      <c r="AH22" s="7" t="s">
        <v>119</v>
      </c>
      <c r="AI22" s="41" t="s">
        <v>56</v>
      </c>
      <c r="AJ22" s="41" t="s">
        <v>57</v>
      </c>
      <c r="AK22" s="11"/>
      <c r="AL22" s="5" t="s">
        <v>9</v>
      </c>
      <c r="AM22" s="41" t="s">
        <v>18</v>
      </c>
      <c r="AN22" s="41" t="s">
        <v>8</v>
      </c>
      <c r="AO22" s="41" t="s">
        <v>49</v>
      </c>
      <c r="AP22" s="53"/>
      <c r="AQ22" s="11"/>
      <c r="AR22" s="11"/>
      <c r="AS22" s="11"/>
      <c r="AT22" s="11"/>
      <c r="AU22" s="11"/>
      <c r="AV22" s="11"/>
      <c r="AW22" s="11"/>
      <c r="AX22" s="41"/>
      <c r="AY22" s="41"/>
      <c r="AZ22" s="41"/>
    </row>
    <row r="23" spans="1:52" ht="14.5">
      <c r="A23" s="41">
        <f ca="1">H23/(K23*SIN(RADIANS(T23)))</f>
        <v>98.085300752063091</v>
      </c>
      <c r="B23" s="41">
        <v>0</v>
      </c>
      <c r="C23" s="41">
        <v>0</v>
      </c>
      <c r="D23" s="41">
        <f ca="1">$B$12</f>
        <v>13242.190501585445</v>
      </c>
      <c r="E23" s="7">
        <v>0</v>
      </c>
      <c r="F23" s="7">
        <v>0</v>
      </c>
      <c r="G23" s="41"/>
      <c r="H23" s="65">
        <v>6000</v>
      </c>
      <c r="I23" s="6">
        <v>15</v>
      </c>
      <c r="J23" s="41">
        <f t="shared" ref="J23:J68" si="1">SQRT((((((((L23^2)*(0.2))/(661.477)^2) + 1)^(3.5) - 1)*(1/AR23) + 1)^(1/3.5) - 1)*(5))</f>
        <v>0.165386496203281</v>
      </c>
      <c r="K23" s="41">
        <f t="shared" ref="K23:K68" si="2">SQRT((1.4*2116.22*AR23*(J23)^2)/AV23)</f>
        <v>185.64040968496013</v>
      </c>
      <c r="L23" s="120">
        <v>98</v>
      </c>
      <c r="M23" s="41">
        <f t="shared" ref="M23:M68" si="3">K23*0.592484</f>
        <v>109.98897249178393</v>
      </c>
      <c r="N23" s="41">
        <f t="shared" ref="N23:N68" si="4">0.5*AV23*K23^2</f>
        <v>32.470993708715639</v>
      </c>
      <c r="O23" s="41">
        <f t="shared" ref="O23:O68" si="5">P23/$B$7</f>
        <v>928286.33465123235</v>
      </c>
      <c r="P23" s="41">
        <f t="shared" ref="P23:P68" si="6">(AV23*K23*$B$7)/(AW23)</f>
        <v>5960250.5605704039</v>
      </c>
      <c r="Q23" s="41">
        <f t="shared" ref="Q23:Q68" si="7">0.455/(LOG10(P23)^2.58 * (1+0.144*J23*J23)^0.65)</f>
        <v>3.2592070844196124E-3</v>
      </c>
      <c r="R23" s="41">
        <f>(((Q23*$B$4)+$B$17)+(0.05*(Q23*$B$4)))</f>
        <v>2.0754921046665799E-2</v>
      </c>
      <c r="S23" s="24">
        <f ca="1">T23</f>
        <v>19.239322893122711</v>
      </c>
      <c r="T23" s="10">
        <f t="shared" ref="T23:T68" ca="1" si="8">DEGREES(ASIN(((AF23-X23)/(D23))))</f>
        <v>19.239322893122711</v>
      </c>
      <c r="U23" s="41">
        <f t="shared" ref="U23:U68" ca="1" si="9">(D23*COS(RADIANS(S23)))/(N23*$B$3)</f>
        <v>1.6740854298716519</v>
      </c>
      <c r="V23" s="41">
        <f t="shared" ref="V23:V68" ca="1" si="10">(X23)/(N23*$B$3)</f>
        <v>0.19775555590399743</v>
      </c>
      <c r="W23" s="41">
        <f t="shared" ref="W23:W68" ca="1" si="11">U23/V23</f>
        <v>8.4654280493861567</v>
      </c>
      <c r="X23" s="20">
        <f t="shared" ref="X23:X68" ca="1" si="12">(N23*$B$3*R23)+((N23*$B$3)*((U23^2)/(PI()*$B$6*$B$5)))</f>
        <v>1476.9034646731209</v>
      </c>
      <c r="Y23" s="41">
        <f t="shared" ref="Y23:Y68" si="13">SQRT(PI()*$B$6*$B$5*R23)</f>
        <v>0.57325882263568251</v>
      </c>
      <c r="Z23" s="41">
        <f t="shared" ref="Z23:Z68" ca="1" si="14">SQRT((2*((U23*N23*$B$3)/(D23))*D23)/(AV23*$B$3*$B$18))</f>
        <v>155.04426466648331</v>
      </c>
      <c r="AA23" s="14">
        <f t="shared" ref="AA23:AA68" ca="1" si="15">D23/W23</f>
        <v>1564.2670901379474</v>
      </c>
      <c r="AB23" s="9">
        <f>6280*0.93</f>
        <v>5840.4000000000005</v>
      </c>
      <c r="AC23" s="25">
        <f t="shared" ref="AC23:AC68" ca="1" si="16">AA23*K23</f>
        <v>290391.18346990901</v>
      </c>
      <c r="AD23" s="41">
        <f t="shared" ref="AD23:AD68" si="17">AB23*K23</f>
        <v>1084214.2487240413</v>
      </c>
      <c r="AE23" s="6">
        <v>100</v>
      </c>
      <c r="AF23" s="41">
        <f t="shared" ref="AF23:AF68" si="18">AB23*(AE23/100)</f>
        <v>5840.4000000000005</v>
      </c>
      <c r="AG23" s="41">
        <f t="shared" ref="AG23:AG68" ca="1" si="19">AB23-AA23</f>
        <v>4276.1329098620536</v>
      </c>
      <c r="AH23" s="41">
        <f t="shared" ref="AH23:AH68" ca="1" si="20">AD23-AC23</f>
        <v>793823.06525413226</v>
      </c>
      <c r="AI23" s="41">
        <f t="shared" ref="AI23:AI68" si="21">(AP23*AF23)</f>
        <v>4331.8786176502917</v>
      </c>
      <c r="AJ23" s="13">
        <f t="shared" ref="AJ23:AJ68" ca="1" si="22">K23*SIN(RADIANS(T23))</f>
        <v>61.17124537515167</v>
      </c>
      <c r="AK23" s="11">
        <f t="shared" ref="AK23:AK68" ca="1" si="23">(AH23/D23)*60</f>
        <v>3596.7904184391114</v>
      </c>
      <c r="AL23" s="6">
        <v>266.66665999999998</v>
      </c>
      <c r="AM23" s="41">
        <f t="shared" ref="AM23:AM68" ca="1" si="24">AL23/AJ23</f>
        <v>4.3593465911080251</v>
      </c>
      <c r="AN23" s="41">
        <f t="shared" ref="AN23:AN68" ca="1" si="25">AI23*(AM23/3600)</f>
        <v>5.2456000791520951</v>
      </c>
      <c r="AO23" s="41">
        <f t="shared" ref="AO23:AO68" ca="1" si="26">M23*COS(RADIANS(T23))*(AM23/3600)</f>
        <v>0.12575036203776935</v>
      </c>
      <c r="AP23" s="67">
        <f>0.705 + 0.302*AZ23 + -0.0327*AZ23^2</f>
        <v>0.74170923526647003</v>
      </c>
      <c r="AQ23" s="11">
        <f t="shared" ref="AQ23:AQ68" si="27">IF(H23 &lt;= 36089, ((1 - 6.87535*10^(-6)*H23) + ((I23*1.8)/518.67)), 0.75187 + ((I23*1.8)/518.67))</f>
        <v>1.0108041207183758</v>
      </c>
      <c r="AR23" s="11">
        <f t="shared" ref="AR23:AR68" si="28">IF(H23 &lt;= 36089, (1 - 6.87535*10^(-6)*H23)^5.2561, 0.22336*EXP((36089 - H23)/(20806.7)))</f>
        <v>0.80137655372650329</v>
      </c>
      <c r="AS23" s="11">
        <f t="shared" ref="AS23:AS68" si="29">(AR23/AQ23)</f>
        <v>0.79281092874548942</v>
      </c>
      <c r="AT23" s="11">
        <f t="shared" ref="AT23:AT68" si="30">(518.67*AQ23)</f>
        <v>524.27377329299998</v>
      </c>
      <c r="AU23" s="11">
        <f t="shared" ref="AU23:AU68" si="31">2116.22*AR23</f>
        <v>1695.8890905271007</v>
      </c>
      <c r="AV23" s="11">
        <f t="shared" ref="AV23:AV68" si="32">(0.0023769*AS23)</f>
        <v>1.8844322965351538E-3</v>
      </c>
      <c r="AW23" s="11">
        <f t="shared" ref="AW23:AW68" si="33">((2.2697*10^-8)*(AT23^1.5))/(AT23+198.72)</f>
        <v>3.7685223889866925E-7</v>
      </c>
      <c r="AX23" s="41">
        <f t="shared" ref="AX23:AX68" ca="1" si="34">(1/U23)*(((1 + 0.2*(U23)^2)/1.2)^3)</f>
        <v>1.3136519704039267</v>
      </c>
      <c r="AY23" s="41">
        <f t="shared" ref="AY23:AY68" ca="1" si="35">($H$4/$H$3)*AX23</f>
        <v>1.7695153031798589</v>
      </c>
      <c r="AZ23" s="41">
        <f t="shared" ref="AZ23:AZ68" si="36">-6.6*10^(-3) + 0.825*J23 - 0.243*(J23^2)</f>
        <v>0.12319715493799213</v>
      </c>
    </row>
    <row r="24" spans="1:52" ht="14.5">
      <c r="A24" s="41">
        <f t="shared" ref="A24:A68" ca="1" si="37">A23+AM23</f>
        <v>102.44464734317111</v>
      </c>
      <c r="B24" s="41">
        <f t="shared" ref="B24:C39" ca="1" si="38">A24/60</f>
        <v>1.7074107890528518</v>
      </c>
      <c r="C24" s="41">
        <f t="shared" ca="1" si="38"/>
        <v>2.8456846484214197E-2</v>
      </c>
      <c r="D24" s="41">
        <f t="shared" ref="D24:D68" ca="1" si="39">D23-AN23</f>
        <v>13236.944901506293</v>
      </c>
      <c r="E24" s="41">
        <f t="shared" ref="E24:E68" ca="1" si="40">E23+AO23</f>
        <v>0.12575036203776935</v>
      </c>
      <c r="F24" s="41">
        <f t="shared" ref="F24:F68" ca="1" si="41">F23+AO23</f>
        <v>0.12575036203776935</v>
      </c>
      <c r="G24" s="41"/>
      <c r="H24" s="7">
        <f t="shared" ref="H24:H68" si="42">H23+AL23</f>
        <v>6266.6666599999999</v>
      </c>
      <c r="I24" s="6">
        <v>15</v>
      </c>
      <c r="J24" s="41">
        <f t="shared" si="1"/>
        <v>0.17118269319375484</v>
      </c>
      <c r="K24" s="41">
        <f t="shared" si="2"/>
        <v>191.97209334807414</v>
      </c>
      <c r="L24" s="6">
        <f>L23+($L$73-$L$23)/45</f>
        <v>100.93333333333334</v>
      </c>
      <c r="M24" s="41">
        <f t="shared" si="3"/>
        <v>113.74039375524036</v>
      </c>
      <c r="N24" s="41">
        <f t="shared" si="4"/>
        <v>34.438623757952392</v>
      </c>
      <c r="O24" s="41">
        <f t="shared" si="5"/>
        <v>953405.52205975854</v>
      </c>
      <c r="P24" s="41">
        <f t="shared" si="6"/>
        <v>6121533.3945884136</v>
      </c>
      <c r="Q24" s="41">
        <f t="shared" si="7"/>
        <v>3.2442696326165032E-3</v>
      </c>
      <c r="R24" s="41">
        <f t="shared" ref="R24:R68" si="43">(((Q24*$B$4)+$B$17)+(0.1*(Q24*$B$4)))</f>
        <v>2.1515144987906035E-2</v>
      </c>
      <c r="S24" s="24">
        <f t="shared" ref="S24:S68" ca="1" si="44">T24</f>
        <v>13.743899736875736</v>
      </c>
      <c r="T24" s="10">
        <f t="shared" ca="1" si="8"/>
        <v>13.743899736875736</v>
      </c>
      <c r="U24" s="41">
        <f t="shared" ca="1" si="9"/>
        <v>1.623295737437805</v>
      </c>
      <c r="V24" s="41">
        <f t="shared" ca="1" si="10"/>
        <v>0.18793873545744011</v>
      </c>
      <c r="W24" s="41">
        <f t="shared" ca="1" si="11"/>
        <v>8.6373664986450347</v>
      </c>
      <c r="X24" s="20">
        <f t="shared" ca="1" si="12"/>
        <v>1488.6408219917491</v>
      </c>
      <c r="Y24" s="41">
        <f t="shared" si="13"/>
        <v>0.58366324197436081</v>
      </c>
      <c r="Z24" s="41">
        <f t="shared" ca="1" si="14"/>
        <v>157.88152182548998</v>
      </c>
      <c r="AA24" s="14">
        <f t="shared" ca="1" si="15"/>
        <v>1532.5209256296819</v>
      </c>
      <c r="AB24" s="14">
        <f>$B$15*AR24*0.93</f>
        <v>4633.5069200775497</v>
      </c>
      <c r="AC24" s="25">
        <f t="shared" ca="1" si="16"/>
        <v>294201.25019285828</v>
      </c>
      <c r="AD24" s="41">
        <f t="shared" si="17"/>
        <v>889504.02299007482</v>
      </c>
      <c r="AE24" s="6">
        <v>100</v>
      </c>
      <c r="AF24" s="41">
        <f t="shared" si="18"/>
        <v>4633.5069200775497</v>
      </c>
      <c r="AG24" s="41">
        <f t="shared" ca="1" si="19"/>
        <v>3100.9859944478676</v>
      </c>
      <c r="AH24" s="41">
        <f t="shared" ca="1" si="20"/>
        <v>595302.77279721654</v>
      </c>
      <c r="AI24" s="41">
        <f t="shared" si="21"/>
        <v>3442.5792455951837</v>
      </c>
      <c r="AJ24" s="13">
        <f t="shared" ca="1" si="22"/>
        <v>45.609204589211529</v>
      </c>
      <c r="AK24" s="11">
        <f t="shared" ca="1" si="23"/>
        <v>2698.3693468247693</v>
      </c>
      <c r="AL24" s="6">
        <f>AL23</f>
        <v>266.66665999999998</v>
      </c>
      <c r="AM24" s="41">
        <f t="shared" ca="1" si="24"/>
        <v>5.8467728696824874</v>
      </c>
      <c r="AN24" s="41">
        <f t="shared" ca="1" si="25"/>
        <v>5.5911052596883124</v>
      </c>
      <c r="AO24" s="41">
        <f t="shared" ca="1" si="26"/>
        <v>0.17943698386304485</v>
      </c>
      <c r="AP24" s="67">
        <f t="shared" ref="AP24:AP68" si="45">0.705 + 0.302*AZ24 + -0.0327*AZ24^2</f>
        <v>0.74297487949744256</v>
      </c>
      <c r="AQ24" s="11">
        <f t="shared" si="27"/>
        <v>1.0089706940975449</v>
      </c>
      <c r="AR24" s="11">
        <f t="shared" si="28"/>
        <v>0.79335437985027557</v>
      </c>
      <c r="AS24" s="11">
        <f t="shared" si="29"/>
        <v>0.78630071665250556</v>
      </c>
      <c r="AT24" s="11">
        <f t="shared" si="30"/>
        <v>523.32282990757358</v>
      </c>
      <c r="AU24" s="11">
        <f t="shared" si="31"/>
        <v>1678.91240572675</v>
      </c>
      <c r="AV24" s="11">
        <f t="shared" si="32"/>
        <v>1.8689581734113404E-3</v>
      </c>
      <c r="AW24" s="11">
        <f t="shared" si="33"/>
        <v>3.7632235667634352E-7</v>
      </c>
      <c r="AX24" s="41">
        <f t="shared" ca="1" si="34"/>
        <v>1.2693778649115695</v>
      </c>
      <c r="AY24" s="41">
        <f t="shared" ca="1" si="35"/>
        <v>1.7098772034636638</v>
      </c>
      <c r="AZ24" s="41">
        <f t="shared" si="36"/>
        <v>0.12750496787372442</v>
      </c>
    </row>
    <row r="25" spans="1:52" ht="14.5">
      <c r="A25" s="41">
        <f t="shared" ca="1" si="37"/>
        <v>108.29142021285359</v>
      </c>
      <c r="B25" s="41">
        <f t="shared" ca="1" si="38"/>
        <v>1.80485700354756</v>
      </c>
      <c r="C25" s="41">
        <f t="shared" ca="1" si="38"/>
        <v>3.0080950059125998E-2</v>
      </c>
      <c r="D25" s="41">
        <f t="shared" ca="1" si="39"/>
        <v>13231.353796246605</v>
      </c>
      <c r="E25" s="41">
        <f t="shared" ca="1" si="40"/>
        <v>0.3051873459008142</v>
      </c>
      <c r="F25" s="41">
        <f t="shared" ca="1" si="41"/>
        <v>0.3051873459008142</v>
      </c>
      <c r="G25" s="41"/>
      <c r="H25" s="7">
        <f t="shared" si="42"/>
        <v>6533.3333199999997</v>
      </c>
      <c r="I25" s="6">
        <v>15</v>
      </c>
      <c r="J25" s="41">
        <f t="shared" si="1"/>
        <v>0.17703304834001923</v>
      </c>
      <c r="K25" s="41">
        <f t="shared" si="2"/>
        <v>198.35248722346859</v>
      </c>
      <c r="L25" s="6">
        <f t="shared" ref="L25:L68" si="46">L24+($L$73-$L$23)/45</f>
        <v>103.86666666666667</v>
      </c>
      <c r="M25" s="41">
        <f t="shared" si="3"/>
        <v>117.52067504010957</v>
      </c>
      <c r="N25" s="41">
        <f t="shared" si="4"/>
        <v>36.463385199753098</v>
      </c>
      <c r="O25" s="41">
        <f t="shared" si="5"/>
        <v>978366.98345506564</v>
      </c>
      <c r="P25" s="41">
        <f t="shared" si="6"/>
        <v>6281803.5167699847</v>
      </c>
      <c r="Q25" s="41">
        <f t="shared" si="7"/>
        <v>3.2298545743938731E-3</v>
      </c>
      <c r="R25" s="41">
        <f t="shared" si="43"/>
        <v>2.1432877814327789E-2</v>
      </c>
      <c r="S25" s="24">
        <f t="shared" ca="1" si="44"/>
        <v>13.836480604996158</v>
      </c>
      <c r="T25" s="10">
        <f t="shared" ca="1" si="8"/>
        <v>13.836480604996158</v>
      </c>
      <c r="U25" s="41">
        <f t="shared" ca="1" si="9"/>
        <v>1.5319011163779175</v>
      </c>
      <c r="V25" s="41">
        <f t="shared" ca="1" si="10"/>
        <v>0.16964408894110775</v>
      </c>
      <c r="W25" s="41">
        <f t="shared" ca="1" si="11"/>
        <v>9.0300883805607857</v>
      </c>
      <c r="X25" s="20">
        <f t="shared" ca="1" si="12"/>
        <v>1422.7334852417807</v>
      </c>
      <c r="Y25" s="41">
        <f t="shared" si="13"/>
        <v>0.58254630055762124</v>
      </c>
      <c r="Z25" s="41">
        <f t="shared" ca="1" si="14"/>
        <v>158.47012340283226</v>
      </c>
      <c r="AA25" s="14">
        <f t="shared" ca="1" si="15"/>
        <v>1465.251860073701</v>
      </c>
      <c r="AB25" s="14">
        <f t="shared" ref="AB25:AB68" si="47">$B$15*AR25*0.93</f>
        <v>4587.034726628619</v>
      </c>
      <c r="AC25" s="25">
        <f t="shared" ca="1" si="16"/>
        <v>290636.35085443233</v>
      </c>
      <c r="AD25" s="41">
        <f t="shared" si="17"/>
        <v>909849.74700720981</v>
      </c>
      <c r="AE25" s="6">
        <v>100</v>
      </c>
      <c r="AF25" s="41">
        <f t="shared" si="18"/>
        <v>4587.034726628619</v>
      </c>
      <c r="AG25" s="41">
        <f t="shared" ca="1" si="19"/>
        <v>3121.7828665549177</v>
      </c>
      <c r="AH25" s="41">
        <f t="shared" ca="1" si="20"/>
        <v>619213.39615277748</v>
      </c>
      <c r="AI25" s="41">
        <f t="shared" si="21"/>
        <v>3413.8834460917142</v>
      </c>
      <c r="AJ25" s="13">
        <f t="shared" ca="1" si="22"/>
        <v>47.43634183007304</v>
      </c>
      <c r="AK25" s="11">
        <f t="shared" ca="1" si="23"/>
        <v>2807.9366889657158</v>
      </c>
      <c r="AL25" s="6">
        <f t="shared" ref="AL25:AL67" si="48">AL24</f>
        <v>266.66665999999998</v>
      </c>
      <c r="AM25" s="41">
        <f t="shared" ca="1" si="24"/>
        <v>5.621568816483701</v>
      </c>
      <c r="AN25" s="41">
        <f t="shared" ca="1" si="25"/>
        <v>5.3309390899053053</v>
      </c>
      <c r="AO25" s="41">
        <f t="shared" ca="1" si="26"/>
        <v>0.17818887249807275</v>
      </c>
      <c r="AP25" s="67">
        <f t="shared" si="45"/>
        <v>0.74424626137523309</v>
      </c>
      <c r="AQ25" s="11">
        <f t="shared" si="27"/>
        <v>1.0071372674767138</v>
      </c>
      <c r="AR25" s="11">
        <f t="shared" si="28"/>
        <v>0.7853973574804155</v>
      </c>
      <c r="AS25" s="11">
        <f t="shared" si="29"/>
        <v>0.77983149153854026</v>
      </c>
      <c r="AT25" s="11">
        <f t="shared" si="30"/>
        <v>522.37188652214718</v>
      </c>
      <c r="AU25" s="11">
        <f t="shared" si="31"/>
        <v>1662.0735958472048</v>
      </c>
      <c r="AV25" s="11">
        <f t="shared" si="32"/>
        <v>1.8535814722379562E-3</v>
      </c>
      <c r="AW25" s="11">
        <f t="shared" si="33"/>
        <v>3.757920100608375E-7</v>
      </c>
      <c r="AX25" s="41">
        <f t="shared" ca="1" si="34"/>
        <v>1.1983844458791157</v>
      </c>
      <c r="AY25" s="41">
        <f t="shared" ca="1" si="35"/>
        <v>1.61424765756167</v>
      </c>
      <c r="AZ25" s="41">
        <f t="shared" si="36"/>
        <v>0.1318364747308079</v>
      </c>
    </row>
    <row r="26" spans="1:52" ht="14.5">
      <c r="A26" s="41">
        <f t="shared" ca="1" si="37"/>
        <v>113.9129890293373</v>
      </c>
      <c r="B26" s="41">
        <f t="shared" ca="1" si="38"/>
        <v>1.8985498171556217</v>
      </c>
      <c r="C26" s="41">
        <f t="shared" ca="1" si="38"/>
        <v>3.1642496952593697E-2</v>
      </c>
      <c r="D26" s="41">
        <f t="shared" ca="1" si="39"/>
        <v>13226.0228571567</v>
      </c>
      <c r="E26" s="41">
        <f t="shared" ca="1" si="40"/>
        <v>0.48337621839888695</v>
      </c>
      <c r="F26" s="41">
        <f t="shared" ca="1" si="41"/>
        <v>0.48337621839888695</v>
      </c>
      <c r="G26" s="41"/>
      <c r="H26" s="7">
        <f t="shared" si="42"/>
        <v>6799.9999799999996</v>
      </c>
      <c r="I26" s="6">
        <v>15</v>
      </c>
      <c r="J26" s="41">
        <f t="shared" si="1"/>
        <v>0.18293797741798701</v>
      </c>
      <c r="K26" s="41">
        <f t="shared" si="2"/>
        <v>204.78187440169918</v>
      </c>
      <c r="L26" s="6">
        <f t="shared" si="46"/>
        <v>106.80000000000001</v>
      </c>
      <c r="M26" s="41">
        <f t="shared" si="3"/>
        <v>121.32998407301635</v>
      </c>
      <c r="N26" s="41">
        <f t="shared" si="4"/>
        <v>38.545158575473607</v>
      </c>
      <c r="O26" s="41">
        <f t="shared" si="5"/>
        <v>1003170.2812003151</v>
      </c>
      <c r="P26" s="41">
        <f t="shared" si="6"/>
        <v>6441058.117179093</v>
      </c>
      <c r="Q26" s="41">
        <f t="shared" si="7"/>
        <v>3.2159278608415109E-3</v>
      </c>
      <c r="R26" s="41">
        <f t="shared" si="43"/>
        <v>2.1353397638563525E-2</v>
      </c>
      <c r="S26" s="24">
        <f t="shared" ca="1" si="44"/>
        <v>13.900515487431152</v>
      </c>
      <c r="T26" s="10">
        <f t="shared" ca="1" si="8"/>
        <v>13.900515487431152</v>
      </c>
      <c r="U26" s="41">
        <f t="shared" ca="1" si="9"/>
        <v>1.448181624908139</v>
      </c>
      <c r="V26" s="41">
        <f t="shared" ca="1" si="10"/>
        <v>0.15380757394024899</v>
      </c>
      <c r="W26" s="41">
        <f t="shared" ca="1" si="11"/>
        <v>9.4155416915341696</v>
      </c>
      <c r="X26" s="20">
        <f t="shared" ca="1" si="12"/>
        <v>1363.5635853562294</v>
      </c>
      <c r="Y26" s="41">
        <f t="shared" si="13"/>
        <v>0.58146516046834973</v>
      </c>
      <c r="Z26" s="41">
        <f t="shared" ca="1" si="14"/>
        <v>159.07334346312325</v>
      </c>
      <c r="AA26" s="14">
        <f t="shared" ca="1" si="15"/>
        <v>1404.7012153372611</v>
      </c>
      <c r="AB26" s="14">
        <f t="shared" si="47"/>
        <v>4540.9406753067733</v>
      </c>
      <c r="AC26" s="25">
        <f t="shared" ca="1" si="16"/>
        <v>287657.34785110923</v>
      </c>
      <c r="AD26" s="41">
        <f t="shared" si="17"/>
        <v>929902.34303623869</v>
      </c>
      <c r="AE26" s="6">
        <v>100</v>
      </c>
      <c r="AF26" s="41">
        <f t="shared" si="18"/>
        <v>4540.9406753067733</v>
      </c>
      <c r="AG26" s="41">
        <f t="shared" ca="1" si="19"/>
        <v>3136.2394599695122</v>
      </c>
      <c r="AH26" s="41">
        <f t="shared" ca="1" si="20"/>
        <v>642244.99518512946</v>
      </c>
      <c r="AI26" s="41">
        <f t="shared" si="21"/>
        <v>3385.3771457803982</v>
      </c>
      <c r="AJ26" s="13">
        <f t="shared" ca="1" si="22"/>
        <v>49.196137280906534</v>
      </c>
      <c r="AK26" s="11">
        <f t="shared" ca="1" si="23"/>
        <v>2913.5515738396257</v>
      </c>
      <c r="AL26" s="6">
        <f t="shared" si="48"/>
        <v>266.66665999999998</v>
      </c>
      <c r="AM26" s="41">
        <f t="shared" ca="1" si="24"/>
        <v>5.4204796298813429</v>
      </c>
      <c r="AN26" s="41">
        <f t="shared" ca="1" si="25"/>
        <v>5.0973244050468027</v>
      </c>
      <c r="AO26" s="41">
        <f t="shared" ca="1" si="26"/>
        <v>0.1773351362702037</v>
      </c>
      <c r="AP26" s="67">
        <f t="shared" si="45"/>
        <v>0.7455233150676851</v>
      </c>
      <c r="AQ26" s="11">
        <f t="shared" si="27"/>
        <v>1.0053038408558828</v>
      </c>
      <c r="AR26" s="11">
        <f t="shared" si="28"/>
        <v>0.77750508104012972</v>
      </c>
      <c r="AS26" s="11">
        <f t="shared" si="29"/>
        <v>0.77340307421703214</v>
      </c>
      <c r="AT26" s="11">
        <f t="shared" si="30"/>
        <v>521.42094313672067</v>
      </c>
      <c r="AU26" s="11">
        <f t="shared" si="31"/>
        <v>1645.3718025987432</v>
      </c>
      <c r="AV26" s="11">
        <f t="shared" si="32"/>
        <v>1.8383017671064637E-3</v>
      </c>
      <c r="AW26" s="11">
        <f t="shared" si="33"/>
        <v>3.7526119806259197E-7</v>
      </c>
      <c r="AX26" s="41">
        <f t="shared" ca="1" si="34"/>
        <v>1.1428516470683763</v>
      </c>
      <c r="AY26" s="41">
        <f t="shared" ca="1" si="35"/>
        <v>1.5394438742629653</v>
      </c>
      <c r="AZ26" s="41">
        <f t="shared" si="36"/>
        <v>0.13619151959946579</v>
      </c>
    </row>
    <row r="27" spans="1:52" ht="14.5">
      <c r="A27" s="41">
        <f t="shared" ca="1" si="37"/>
        <v>119.33346865921864</v>
      </c>
      <c r="B27" s="41">
        <f t="shared" ca="1" si="38"/>
        <v>1.9888911443203106</v>
      </c>
      <c r="C27" s="41">
        <f t="shared" ca="1" si="38"/>
        <v>3.3148185738671843E-2</v>
      </c>
      <c r="D27" s="41">
        <f t="shared" ca="1" si="39"/>
        <v>13220.925532751653</v>
      </c>
      <c r="E27" s="41">
        <f t="shared" ca="1" si="40"/>
        <v>0.66071135466909059</v>
      </c>
      <c r="F27" s="41">
        <f t="shared" ca="1" si="41"/>
        <v>0.66071135466909059</v>
      </c>
      <c r="G27" s="41"/>
      <c r="H27" s="7">
        <f t="shared" si="42"/>
        <v>7066.6666399999995</v>
      </c>
      <c r="I27" s="6">
        <v>15</v>
      </c>
      <c r="J27" s="41">
        <f t="shared" si="1"/>
        <v>0.18889789403618951</v>
      </c>
      <c r="K27" s="41">
        <f t="shared" si="2"/>
        <v>211.26053348767448</v>
      </c>
      <c r="L27" s="6">
        <f t="shared" si="46"/>
        <v>109.73333333333335</v>
      </c>
      <c r="M27" s="41">
        <f t="shared" si="3"/>
        <v>125.16848592291133</v>
      </c>
      <c r="N27" s="41">
        <f t="shared" si="4"/>
        <v>40.683815716926432</v>
      </c>
      <c r="O27" s="41">
        <f t="shared" si="5"/>
        <v>1027814.9536859081</v>
      </c>
      <c r="P27" s="41">
        <f t="shared" si="6"/>
        <v>6599294.2319577485</v>
      </c>
      <c r="Q27" s="41">
        <f t="shared" si="7"/>
        <v>3.2024583980071694E-3</v>
      </c>
      <c r="R27" s="41">
        <f t="shared" si="43"/>
        <v>2.1276527006486648E-2</v>
      </c>
      <c r="S27" s="24">
        <f t="shared" ca="1" si="44"/>
        <v>13.939271088670093</v>
      </c>
      <c r="T27" s="10">
        <f t="shared" ca="1" si="8"/>
        <v>13.939271088670093</v>
      </c>
      <c r="U27" s="41">
        <f t="shared" ca="1" si="9"/>
        <v>1.3712952573535504</v>
      </c>
      <c r="V27" s="41">
        <f t="shared" ca="1" si="10"/>
        <v>0.14003963074242712</v>
      </c>
      <c r="W27" s="41">
        <f t="shared" ca="1" si="11"/>
        <v>9.7921941816295845</v>
      </c>
      <c r="X27" s="20">
        <f t="shared" ca="1" si="12"/>
        <v>1310.389701944006</v>
      </c>
      <c r="Y27" s="41">
        <f t="shared" si="13"/>
        <v>0.58041760132245801</v>
      </c>
      <c r="Z27" s="41">
        <f t="shared" ca="1" si="14"/>
        <v>159.69019025236491</v>
      </c>
      <c r="AA27" s="14">
        <f t="shared" ca="1" si="15"/>
        <v>1350.1494442945648</v>
      </c>
      <c r="AB27" s="14">
        <f t="shared" si="47"/>
        <v>4495.2224076179464</v>
      </c>
      <c r="AC27" s="25">
        <f t="shared" ca="1" si="16"/>
        <v>285233.29188975698</v>
      </c>
      <c r="AD27" s="41">
        <f t="shared" si="17"/>
        <v>949663.08397911582</v>
      </c>
      <c r="AE27" s="6">
        <v>100</v>
      </c>
      <c r="AF27" s="41">
        <f t="shared" si="18"/>
        <v>4495.2224076179464</v>
      </c>
      <c r="AG27" s="41">
        <f t="shared" ca="1" si="19"/>
        <v>3145.0729633233814</v>
      </c>
      <c r="AH27" s="41">
        <f t="shared" ca="1" si="20"/>
        <v>664429.7920893589</v>
      </c>
      <c r="AI27" s="41">
        <f t="shared" si="21"/>
        <v>3357.0589380533784</v>
      </c>
      <c r="AJ27" s="13">
        <f t="shared" ca="1" si="22"/>
        <v>50.891252265425578</v>
      </c>
      <c r="AK27" s="11">
        <f t="shared" ca="1" si="23"/>
        <v>3015.355273471866</v>
      </c>
      <c r="AL27" s="6">
        <f t="shared" si="48"/>
        <v>266.66665999999998</v>
      </c>
      <c r="AM27" s="41">
        <f t="shared" ca="1" si="24"/>
        <v>5.2399311891400941</v>
      </c>
      <c r="AN27" s="41">
        <f t="shared" ca="1" si="25"/>
        <v>4.8863216203576165</v>
      </c>
      <c r="AO27" s="41">
        <f t="shared" ca="1" si="26"/>
        <v>0.17682216811599102</v>
      </c>
      <c r="AP27" s="67">
        <f t="shared" si="45"/>
        <v>0.74680597168323648</v>
      </c>
      <c r="AQ27" s="11">
        <f t="shared" si="27"/>
        <v>1.0034704142350519</v>
      </c>
      <c r="AR27" s="11">
        <f t="shared" si="28"/>
        <v>0.76967714670535337</v>
      </c>
      <c r="AS27" s="11">
        <f t="shared" si="29"/>
        <v>0.76701528593852986</v>
      </c>
      <c r="AT27" s="11">
        <f t="shared" si="30"/>
        <v>520.46999975129438</v>
      </c>
      <c r="AU27" s="11">
        <f t="shared" si="31"/>
        <v>1628.8061714008027</v>
      </c>
      <c r="AV27" s="11">
        <f t="shared" si="32"/>
        <v>1.8231186331472916E-3</v>
      </c>
      <c r="AW27" s="11">
        <f t="shared" si="33"/>
        <v>3.7472991968913922E-7</v>
      </c>
      <c r="AX27" s="41">
        <f t="shared" ca="1" si="34"/>
        <v>1.0996790053297116</v>
      </c>
      <c r="AY27" s="41">
        <f t="shared" ca="1" si="35"/>
        <v>1.48128946810638</v>
      </c>
      <c r="AZ27" s="41">
        <f t="shared" si="36"/>
        <v>0.14056993588762862</v>
      </c>
    </row>
    <row r="28" spans="1:52" ht="14.5">
      <c r="A28" s="41">
        <f t="shared" ca="1" si="37"/>
        <v>124.57339984835873</v>
      </c>
      <c r="B28" s="41">
        <f t="shared" ca="1" si="38"/>
        <v>2.0762233308059788</v>
      </c>
      <c r="C28" s="41">
        <f t="shared" ca="1" si="38"/>
        <v>3.4603722180099647E-2</v>
      </c>
      <c r="D28" s="41">
        <f t="shared" ca="1" si="39"/>
        <v>13216.039211131296</v>
      </c>
      <c r="E28" s="41">
        <f t="shared" ca="1" si="40"/>
        <v>0.83753352278508164</v>
      </c>
      <c r="F28" s="41">
        <f t="shared" ca="1" si="41"/>
        <v>0.83753352278508164</v>
      </c>
      <c r="G28" s="41"/>
      <c r="H28" s="7">
        <f t="shared" si="42"/>
        <v>7333.3332999999993</v>
      </c>
      <c r="I28" s="6">
        <v>15</v>
      </c>
      <c r="J28" s="41">
        <f t="shared" si="1"/>
        <v>0.1949132094205481</v>
      </c>
      <c r="K28" s="41">
        <f t="shared" si="2"/>
        <v>217.78873836563272</v>
      </c>
      <c r="L28" s="6">
        <f t="shared" si="46"/>
        <v>112.66666666666669</v>
      </c>
      <c r="M28" s="41">
        <f t="shared" si="3"/>
        <v>129.03634286182353</v>
      </c>
      <c r="N28" s="41">
        <f t="shared" si="4"/>
        <v>42.879219369293878</v>
      </c>
      <c r="O28" s="41">
        <f t="shared" si="5"/>
        <v>1052300.5151824376</v>
      </c>
      <c r="P28" s="41">
        <f t="shared" si="6"/>
        <v>6756508.7423818437</v>
      </c>
      <c r="Q28" s="41">
        <f t="shared" si="7"/>
        <v>3.1894177157208614E-3</v>
      </c>
      <c r="R28" s="41">
        <f t="shared" si="43"/>
        <v>2.1202103437975333E-2</v>
      </c>
      <c r="S28" s="24">
        <f t="shared" ca="1" si="44"/>
        <v>13.955571856507643</v>
      </c>
      <c r="T28" s="10">
        <f t="shared" ca="1" si="8"/>
        <v>13.955571856507643</v>
      </c>
      <c r="U28" s="41">
        <f t="shared" ca="1" si="9"/>
        <v>1.3005125742903105</v>
      </c>
      <c r="V28" s="41">
        <f t="shared" ca="1" si="10"/>
        <v>0.12802115119340238</v>
      </c>
      <c r="W28" s="41">
        <f t="shared" ca="1" si="11"/>
        <v>10.158575845999211</v>
      </c>
      <c r="X28" s="20">
        <f t="shared" ca="1" si="12"/>
        <v>1262.572815964231</v>
      </c>
      <c r="Y28" s="41">
        <f t="shared" si="13"/>
        <v>0.57940158517476181</v>
      </c>
      <c r="Z28" s="41">
        <f t="shared" ca="1" si="14"/>
        <v>160.31976811562782</v>
      </c>
      <c r="AA28" s="14">
        <f t="shared" ca="1" si="15"/>
        <v>1300.9736218424964</v>
      </c>
      <c r="AB28" s="14">
        <f t="shared" si="47"/>
        <v>4449.8775752800075</v>
      </c>
      <c r="AC28" s="25">
        <f t="shared" ca="1" si="16"/>
        <v>283337.40374804504</v>
      </c>
      <c r="AD28" s="41">
        <f t="shared" si="17"/>
        <v>969133.22300175368</v>
      </c>
      <c r="AE28" s="6">
        <v>100</v>
      </c>
      <c r="AF28" s="41">
        <f t="shared" si="18"/>
        <v>4449.8775752800075</v>
      </c>
      <c r="AG28" s="41">
        <f t="shared" ca="1" si="19"/>
        <v>3148.9039534375111</v>
      </c>
      <c r="AH28" s="41">
        <f t="shared" ca="1" si="20"/>
        <v>685795.8192537087</v>
      </c>
      <c r="AI28" s="41">
        <f t="shared" si="21"/>
        <v>3328.9274233092333</v>
      </c>
      <c r="AJ28" s="13">
        <f t="shared" ca="1" si="22"/>
        <v>52.523987802147218</v>
      </c>
      <c r="AK28" s="11">
        <f t="shared" ca="1" si="23"/>
        <v>3113.4705714678544</v>
      </c>
      <c r="AL28" s="6">
        <f t="shared" si="48"/>
        <v>266.66665999999998</v>
      </c>
      <c r="AM28" s="41">
        <f t="shared" ca="1" si="24"/>
        <v>5.0770451970346864</v>
      </c>
      <c r="AN28" s="41">
        <f t="shared" ca="1" si="25"/>
        <v>4.6947541627192217</v>
      </c>
      <c r="AO28" s="41">
        <f t="shared" ca="1" si="26"/>
        <v>0.17660724593797197</v>
      </c>
      <c r="AP28" s="67">
        <f t="shared" si="45"/>
        <v>0.74809415921959632</v>
      </c>
      <c r="AQ28" s="11">
        <f t="shared" si="27"/>
        <v>1.0016369876142208</v>
      </c>
      <c r="AR28" s="11">
        <f t="shared" si="28"/>
        <v>0.76191315240052182</v>
      </c>
      <c r="AS28" s="11">
        <f t="shared" si="29"/>
        <v>0.7606679483904718</v>
      </c>
      <c r="AT28" s="11">
        <f t="shared" si="30"/>
        <v>519.51905636586787</v>
      </c>
      <c r="AU28" s="11">
        <f t="shared" si="31"/>
        <v>1612.3758513730322</v>
      </c>
      <c r="AV28" s="11">
        <f t="shared" si="32"/>
        <v>1.8080316465293124E-3</v>
      </c>
      <c r="AW28" s="11">
        <f t="shared" si="33"/>
        <v>3.741981739451004E-7</v>
      </c>
      <c r="AX28" s="41">
        <f t="shared" ca="1" si="34"/>
        <v>1.0665215004945092</v>
      </c>
      <c r="AY28" s="41">
        <f t="shared" ca="1" si="35"/>
        <v>1.4366256503349879</v>
      </c>
      <c r="AZ28" s="41">
        <f t="shared" si="36"/>
        <v>0.14497154608474391</v>
      </c>
    </row>
    <row r="29" spans="1:52" ht="14.5">
      <c r="A29" s="41">
        <f t="shared" ca="1" si="37"/>
        <v>129.65044504539341</v>
      </c>
      <c r="B29" s="41">
        <f t="shared" ca="1" si="38"/>
        <v>2.1608407507565568</v>
      </c>
      <c r="C29" s="41">
        <f t="shared" ca="1" si="38"/>
        <v>3.6014012512609279E-2</v>
      </c>
      <c r="D29" s="41">
        <f t="shared" ca="1" si="39"/>
        <v>13211.344456968576</v>
      </c>
      <c r="E29" s="41">
        <f t="shared" ca="1" si="40"/>
        <v>1.0141407687230537</v>
      </c>
      <c r="F29" s="41">
        <f t="shared" ca="1" si="41"/>
        <v>1.0141407687230537</v>
      </c>
      <c r="G29" s="41"/>
      <c r="H29" s="7">
        <f t="shared" si="42"/>
        <v>7599.9999599999992</v>
      </c>
      <c r="I29" s="6">
        <v>15</v>
      </c>
      <c r="J29" s="41">
        <f t="shared" si="1"/>
        <v>0.20098433219424369</v>
      </c>
      <c r="K29" s="41">
        <f t="shared" si="2"/>
        <v>224.36675795996535</v>
      </c>
      <c r="L29" s="6">
        <f t="shared" si="46"/>
        <v>115.60000000000002</v>
      </c>
      <c r="M29" s="41">
        <f t="shared" si="3"/>
        <v>132.93371422315212</v>
      </c>
      <c r="N29" s="41">
        <f t="shared" si="4"/>
        <v>45.131222808215696</v>
      </c>
      <c r="O29" s="41">
        <f t="shared" si="5"/>
        <v>1076626.4557069028</v>
      </c>
      <c r="P29" s="41">
        <f t="shared" si="6"/>
        <v>6912698.3740021558</v>
      </c>
      <c r="Q29" s="41">
        <f t="shared" si="7"/>
        <v>3.1767796810583376E-3</v>
      </c>
      <c r="R29" s="41">
        <f t="shared" si="43"/>
        <v>2.1129977791639925E-2</v>
      </c>
      <c r="S29" s="24">
        <f t="shared" ca="1" si="44"/>
        <v>13.951869231133474</v>
      </c>
      <c r="T29" s="10">
        <f t="shared" ca="1" si="8"/>
        <v>13.951869231133474</v>
      </c>
      <c r="U29" s="41">
        <f t="shared" ca="1" si="9"/>
        <v>1.2351991841368213</v>
      </c>
      <c r="V29" s="41">
        <f t="shared" ca="1" si="10"/>
        <v>0.11748926596918079</v>
      </c>
      <c r="W29" s="41">
        <f t="shared" ca="1" si="11"/>
        <v>10.513293907724581</v>
      </c>
      <c r="X29" s="20">
        <f t="shared" ca="1" si="12"/>
        <v>1219.5598752066267</v>
      </c>
      <c r="Y29" s="41">
        <f t="shared" si="13"/>
        <v>0.57841523693942098</v>
      </c>
      <c r="Z29" s="41">
        <f t="shared" ca="1" si="14"/>
        <v>160.96126990569877</v>
      </c>
      <c r="AA29" s="14">
        <f t="shared" ca="1" si="15"/>
        <v>1256.6322765181728</v>
      </c>
      <c r="AB29" s="14">
        <f t="shared" si="47"/>
        <v>4404.9038401981197</v>
      </c>
      <c r="AC29" s="25">
        <f t="shared" ca="1" si="16"/>
        <v>281946.50983023312</v>
      </c>
      <c r="AD29" s="41">
        <f t="shared" si="17"/>
        <v>988313.99375065346</v>
      </c>
      <c r="AE29" s="6">
        <v>100</v>
      </c>
      <c r="AF29" s="41">
        <f t="shared" si="18"/>
        <v>4404.9038401981197</v>
      </c>
      <c r="AG29" s="41">
        <f t="shared" ca="1" si="19"/>
        <v>3148.2715636799467</v>
      </c>
      <c r="AH29" s="41">
        <f t="shared" ca="1" si="20"/>
        <v>706367.48392042029</v>
      </c>
      <c r="AI29" s="41">
        <f t="shared" si="21"/>
        <v>3300.9812090877654</v>
      </c>
      <c r="AJ29" s="13">
        <f t="shared" ca="1" si="22"/>
        <v>54.096333703229433</v>
      </c>
      <c r="AK29" s="11">
        <f t="shared" ca="1" si="23"/>
        <v>3208.0042400885245</v>
      </c>
      <c r="AL29" s="6">
        <f t="shared" si="48"/>
        <v>266.66665999999998</v>
      </c>
      <c r="AM29" s="41">
        <f t="shared" ca="1" si="24"/>
        <v>4.9294775032800526</v>
      </c>
      <c r="AN29" s="41">
        <f t="shared" ca="1" si="25"/>
        <v>4.5200312802634244</v>
      </c>
      <c r="AO29" s="41">
        <f t="shared" ca="1" si="26"/>
        <v>0.1766560210634221</v>
      </c>
      <c r="AP29" s="67">
        <f t="shared" si="45"/>
        <v>0.74938780251314108</v>
      </c>
      <c r="AQ29" s="11">
        <f t="shared" si="27"/>
        <v>0.99980356099338996</v>
      </c>
      <c r="AR29" s="11">
        <f t="shared" si="28"/>
        <v>0.75421269779434952</v>
      </c>
      <c r="AS29" s="11">
        <f t="shared" si="29"/>
        <v>0.75436088369696841</v>
      </c>
      <c r="AT29" s="11">
        <f t="shared" si="30"/>
        <v>518.56811298044158</v>
      </c>
      <c r="AU29" s="11">
        <f t="shared" si="31"/>
        <v>1596.0799953263581</v>
      </c>
      <c r="AV29" s="11">
        <f t="shared" si="32"/>
        <v>1.7930403844593241E-3</v>
      </c>
      <c r="AW29" s="11">
        <f t="shared" si="33"/>
        <v>3.7366595983217116E-7</v>
      </c>
      <c r="AX29" s="41">
        <f t="shared" ca="1" si="34"/>
        <v>1.0415831970589184</v>
      </c>
      <c r="AY29" s="41">
        <f t="shared" ca="1" si="35"/>
        <v>1.403033260144265</v>
      </c>
      <c r="AZ29" s="41">
        <f t="shared" si="36"/>
        <v>0.14939616152587248</v>
      </c>
    </row>
    <row r="30" spans="1:52" ht="14.5">
      <c r="A30" s="41">
        <f t="shared" ca="1" si="37"/>
        <v>134.57992254867347</v>
      </c>
      <c r="B30" s="41">
        <f t="shared" ca="1" si="38"/>
        <v>2.2429987091445578</v>
      </c>
      <c r="C30" s="41">
        <f t="shared" ca="1" si="38"/>
        <v>3.7383311819075962E-2</v>
      </c>
      <c r="D30" s="41">
        <f t="shared" ca="1" si="39"/>
        <v>13206.824425688314</v>
      </c>
      <c r="E30" s="41">
        <f t="shared" ca="1" si="40"/>
        <v>1.1907967897864757</v>
      </c>
      <c r="F30" s="41">
        <f t="shared" ca="1" si="41"/>
        <v>1.1907967897864757</v>
      </c>
      <c r="G30" s="41"/>
      <c r="H30" s="7">
        <f t="shared" si="42"/>
        <v>7866.6666199999991</v>
      </c>
      <c r="I30" s="6">
        <v>15</v>
      </c>
      <c r="J30" s="41">
        <f t="shared" si="1"/>
        <v>0.20711166815257595</v>
      </c>
      <c r="K30" s="41">
        <f t="shared" si="2"/>
        <v>230.99485599180409</v>
      </c>
      <c r="L30" s="6">
        <f t="shared" si="46"/>
        <v>118.53333333333336</v>
      </c>
      <c r="M30" s="41">
        <f t="shared" si="3"/>
        <v>136.86075625744806</v>
      </c>
      <c r="N30" s="41">
        <f t="shared" si="4"/>
        <v>47.43966945120772</v>
      </c>
      <c r="O30" s="41">
        <f t="shared" si="5"/>
        <v>1100792.2409019736</v>
      </c>
      <c r="P30" s="41">
        <f t="shared" si="6"/>
        <v>7067859.6958691422</v>
      </c>
      <c r="Q30" s="41">
        <f t="shared" si="7"/>
        <v>3.1645202494631724E-3</v>
      </c>
      <c r="R30" s="41">
        <f t="shared" si="43"/>
        <v>2.1060012844469136E-2</v>
      </c>
      <c r="S30" s="24">
        <f t="shared" ca="1" si="44"/>
        <v>13.93029876336294</v>
      </c>
      <c r="T30" s="10">
        <f t="shared" ca="1" si="8"/>
        <v>13.93029876336294</v>
      </c>
      <c r="U30" s="41">
        <f t="shared" ca="1" si="9"/>
        <v>1.1748012980854043</v>
      </c>
      <c r="V30" s="41">
        <f t="shared" ca="1" si="10"/>
        <v>0.10822627564966254</v>
      </c>
      <c r="W30" s="41">
        <f t="shared" ca="1" si="11"/>
        <v>10.855046900886933</v>
      </c>
      <c r="X30" s="20">
        <f t="shared" ca="1" si="12"/>
        <v>1180.8703108337149</v>
      </c>
      <c r="Y30" s="41">
        <f t="shared" si="13"/>
        <v>0.57745682734635861</v>
      </c>
      <c r="Z30" s="41">
        <f t="shared" ca="1" si="14"/>
        <v>161.61396926214039</v>
      </c>
      <c r="AA30" s="14">
        <f t="shared" ca="1" si="15"/>
        <v>1216.652912352615</v>
      </c>
      <c r="AB30" s="14">
        <f t="shared" si="47"/>
        <v>4360.2988744400673</v>
      </c>
      <c r="AC30" s="25">
        <f t="shared" ca="1" si="16"/>
        <v>281040.56428090134</v>
      </c>
      <c r="AD30" s="41">
        <f t="shared" si="17"/>
        <v>1007206.6105825088</v>
      </c>
      <c r="AE30" s="6">
        <v>100</v>
      </c>
      <c r="AF30" s="41">
        <f t="shared" si="18"/>
        <v>4360.2988744400673</v>
      </c>
      <c r="AG30" s="41">
        <f t="shared" ca="1" si="19"/>
        <v>3143.6459620874521</v>
      </c>
      <c r="AH30" s="41">
        <f t="shared" ca="1" si="20"/>
        <v>726166.04630160751</v>
      </c>
      <c r="AI30" s="41">
        <f t="shared" si="21"/>
        <v>3273.2189102083439</v>
      </c>
      <c r="AJ30" s="13">
        <f t="shared" ca="1" si="22"/>
        <v>55.610010363880548</v>
      </c>
      <c r="AK30" s="11">
        <f t="shared" ca="1" si="23"/>
        <v>3299.0491410902259</v>
      </c>
      <c r="AL30" s="6">
        <f t="shared" si="48"/>
        <v>266.66665999999998</v>
      </c>
      <c r="AM30" s="41">
        <f t="shared" ca="1" si="24"/>
        <v>4.7952995918375798</v>
      </c>
      <c r="AN30" s="41">
        <f t="shared" ca="1" si="25"/>
        <v>4.3600181400325333</v>
      </c>
      <c r="AO30" s="41">
        <f t="shared" ca="1" si="26"/>
        <v>0.17694067669530522</v>
      </c>
      <c r="AP30" s="67">
        <f t="shared" si="45"/>
        <v>0.75068682318908198</v>
      </c>
      <c r="AQ30" s="11">
        <f t="shared" si="27"/>
        <v>0.99797013437255888</v>
      </c>
      <c r="AR30" s="11">
        <f t="shared" si="28"/>
        <v>0.74657538429560777</v>
      </c>
      <c r="AS30" s="11">
        <f t="shared" si="29"/>
        <v>0.74809391441858397</v>
      </c>
      <c r="AT30" s="11">
        <f t="shared" si="30"/>
        <v>517.61716959501507</v>
      </c>
      <c r="AU30" s="11">
        <f t="shared" si="31"/>
        <v>1579.9177597540508</v>
      </c>
      <c r="AV30" s="11">
        <f t="shared" si="32"/>
        <v>1.7781444251815323E-3</v>
      </c>
      <c r="AW30" s="11">
        <f t="shared" si="33"/>
        <v>3.7313327634911467E-7</v>
      </c>
      <c r="AX30" s="41">
        <f t="shared" ca="1" si="34"/>
        <v>1.0234724365388019</v>
      </c>
      <c r="AY30" s="41">
        <f t="shared" ca="1" si="35"/>
        <v>1.3786377059072339</v>
      </c>
      <c r="AZ30" s="41">
        <f t="shared" si="36"/>
        <v>0.15384358215623409</v>
      </c>
    </row>
    <row r="31" spans="1:52" ht="14.5">
      <c r="A31" s="41">
        <f t="shared" ca="1" si="37"/>
        <v>139.37522214051106</v>
      </c>
      <c r="B31" s="41">
        <f t="shared" ca="1" si="38"/>
        <v>2.3229203690085174</v>
      </c>
      <c r="C31" s="41">
        <f t="shared" ca="1" si="38"/>
        <v>3.8715339483475289E-2</v>
      </c>
      <c r="D31" s="41">
        <f t="shared" ca="1" si="39"/>
        <v>13202.464407548281</v>
      </c>
      <c r="E31" s="41">
        <f t="shared" ca="1" si="40"/>
        <v>1.367737466481781</v>
      </c>
      <c r="F31" s="41">
        <f t="shared" ca="1" si="41"/>
        <v>1.367737466481781</v>
      </c>
      <c r="G31" s="41"/>
      <c r="H31" s="7">
        <f t="shared" si="42"/>
        <v>8133.3332799999989</v>
      </c>
      <c r="I31" s="6">
        <v>15</v>
      </c>
      <c r="J31" s="41">
        <f t="shared" si="1"/>
        <v>0.21329562003301444</v>
      </c>
      <c r="K31" s="41">
        <f t="shared" si="2"/>
        <v>237.67329073163839</v>
      </c>
      <c r="L31" s="6">
        <f t="shared" si="46"/>
        <v>121.4666666666667</v>
      </c>
      <c r="M31" s="41">
        <f t="shared" si="3"/>
        <v>140.81762198584403</v>
      </c>
      <c r="N31" s="41">
        <f t="shared" si="4"/>
        <v>49.804392463719758</v>
      </c>
      <c r="O31" s="41">
        <f t="shared" si="5"/>
        <v>1124797.3119298099</v>
      </c>
      <c r="P31" s="41">
        <f t="shared" si="6"/>
        <v>7221989.1198511822</v>
      </c>
      <c r="Q31" s="41">
        <f t="shared" si="7"/>
        <v>3.1526172477819013E-3</v>
      </c>
      <c r="R31" s="41">
        <f t="shared" si="43"/>
        <v>2.0992082053605039E-2</v>
      </c>
      <c r="S31" s="24">
        <f t="shared" ca="1" si="44"/>
        <v>13.892727419001103</v>
      </c>
      <c r="T31" s="10">
        <f t="shared" ca="1" si="8"/>
        <v>13.892727419001103</v>
      </c>
      <c r="U31" s="41">
        <f t="shared" ca="1" si="9"/>
        <v>1.1188337652494709</v>
      </c>
      <c r="V31" s="41">
        <f t="shared" ca="1" si="10"/>
        <v>0.10005097338093781</v>
      </c>
      <c r="W31" s="41">
        <f t="shared" ca="1" si="11"/>
        <v>11.182637484091048</v>
      </c>
      <c r="X31" s="20">
        <f t="shared" ca="1" si="12"/>
        <v>1146.0849272675232</v>
      </c>
      <c r="Y31" s="41">
        <f t="shared" si="13"/>
        <v>0.57652475805148651</v>
      </c>
      <c r="Z31" s="41">
        <f t="shared" ca="1" si="14"/>
        <v>162.27721310327428</v>
      </c>
      <c r="AA31" s="14">
        <f t="shared" ca="1" si="15"/>
        <v>1180.6216937936811</v>
      </c>
      <c r="AB31" s="14">
        <f t="shared" si="47"/>
        <v>4316.0603602116398</v>
      </c>
      <c r="AC31" s="25">
        <f t="shared" ca="1" si="16"/>
        <v>280602.24307310494</v>
      </c>
      <c r="AD31" s="41">
        <f t="shared" si="17"/>
        <v>1025812.2688078809</v>
      </c>
      <c r="AE31" s="6">
        <v>100</v>
      </c>
      <c r="AF31" s="41">
        <f t="shared" si="18"/>
        <v>4316.0603602116398</v>
      </c>
      <c r="AG31" s="41">
        <f t="shared" ca="1" si="19"/>
        <v>3135.4386664179588</v>
      </c>
      <c r="AH31" s="41">
        <f t="shared" ca="1" si="20"/>
        <v>745210.02573477593</v>
      </c>
      <c r="AI31" s="41">
        <f t="shared" si="21"/>
        <v>3245.6391489119574</v>
      </c>
      <c r="AJ31" s="13">
        <f t="shared" ca="1" si="22"/>
        <v>57.066504360771027</v>
      </c>
      <c r="AK31" s="11">
        <f t="shared" ca="1" si="23"/>
        <v>3386.6860128418825</v>
      </c>
      <c r="AL31" s="6">
        <f t="shared" si="48"/>
        <v>266.66665999999998</v>
      </c>
      <c r="AM31" s="41">
        <f t="shared" ca="1" si="24"/>
        <v>4.6729103698756331</v>
      </c>
      <c r="AN31" s="41">
        <f t="shared" ca="1" si="25"/>
        <v>4.2129391210625027</v>
      </c>
      <c r="AO31" s="41">
        <f t="shared" ca="1" si="26"/>
        <v>0.17743855747444959</v>
      </c>
      <c r="AP31" s="67">
        <f t="shared" si="45"/>
        <v>0.75199113961251596</v>
      </c>
      <c r="AQ31" s="11">
        <f t="shared" si="27"/>
        <v>0.99613670775172791</v>
      </c>
      <c r="AR31" s="11">
        <f t="shared" si="28"/>
        <v>0.73900081504890747</v>
      </c>
      <c r="AS31" s="11">
        <f t="shared" si="29"/>
        <v>0.74186686355211828</v>
      </c>
      <c r="AT31" s="11">
        <f t="shared" si="30"/>
        <v>516.66622620958867</v>
      </c>
      <c r="AU31" s="11">
        <f t="shared" si="31"/>
        <v>1563.8883048227988</v>
      </c>
      <c r="AV31" s="11">
        <f t="shared" si="32"/>
        <v>1.7633433479770299E-3</v>
      </c>
      <c r="AW31" s="11">
        <f t="shared" si="33"/>
        <v>3.726001224917561E-7</v>
      </c>
      <c r="AX31" s="41">
        <f t="shared" ca="1" si="34"/>
        <v>1.0110988564927199</v>
      </c>
      <c r="AY31" s="41">
        <f t="shared" ca="1" si="35"/>
        <v>1.3619702477524454</v>
      </c>
      <c r="AZ31" s="41">
        <f t="shared" si="36"/>
        <v>0.15831359629659678</v>
      </c>
    </row>
    <row r="32" spans="1:52" ht="14.5">
      <c r="A32" s="41">
        <f t="shared" ca="1" si="37"/>
        <v>144.04813251038669</v>
      </c>
      <c r="B32" s="41">
        <f t="shared" ca="1" si="38"/>
        <v>2.4008022085064451</v>
      </c>
      <c r="C32" s="41">
        <f t="shared" ca="1" si="38"/>
        <v>4.0013370141774085E-2</v>
      </c>
      <c r="D32" s="41">
        <f t="shared" ca="1" si="39"/>
        <v>13198.251468427219</v>
      </c>
      <c r="E32" s="41">
        <f t="shared" ca="1" si="40"/>
        <v>1.5451760239562304</v>
      </c>
      <c r="F32" s="41">
        <f t="shared" ca="1" si="41"/>
        <v>1.5451760239562304</v>
      </c>
      <c r="G32" s="41"/>
      <c r="H32" s="7">
        <f t="shared" si="42"/>
        <v>8399.9999399999997</v>
      </c>
      <c r="I32" s="6">
        <v>15</v>
      </c>
      <c r="J32" s="41">
        <f t="shared" si="1"/>
        <v>0.21953658728047848</v>
      </c>
      <c r="K32" s="41">
        <f t="shared" si="2"/>
        <v>244.4023147480423</v>
      </c>
      <c r="L32" s="6">
        <f t="shared" si="46"/>
        <v>124.40000000000003</v>
      </c>
      <c r="M32" s="41">
        <f t="shared" si="3"/>
        <v>144.80446105117909</v>
      </c>
      <c r="N32" s="41">
        <f t="shared" si="4"/>
        <v>52.225214360088763</v>
      </c>
      <c r="O32" s="41">
        <f t="shared" si="5"/>
        <v>1148641.0853810078</v>
      </c>
      <c r="P32" s="41">
        <f t="shared" si="6"/>
        <v>7375082.90004995</v>
      </c>
      <c r="Q32" s="41">
        <f t="shared" si="7"/>
        <v>3.1410501844600217E-3</v>
      </c>
      <c r="R32" s="41">
        <f t="shared" si="43"/>
        <v>2.0926068473125857E-2</v>
      </c>
      <c r="S32" s="24">
        <f t="shared" ca="1" si="44"/>
        <v>13.840792914827951</v>
      </c>
      <c r="T32" s="10">
        <f t="shared" ca="1" si="8"/>
        <v>13.840792914827951</v>
      </c>
      <c r="U32" s="41">
        <f t="shared" ca="1" si="9"/>
        <v>1.0668701183611862</v>
      </c>
      <c r="V32" s="41">
        <f t="shared" ca="1" si="10"/>
        <v>9.2811799475528978E-2</v>
      </c>
      <c r="W32" s="41">
        <f t="shared" ca="1" si="11"/>
        <v>11.494983659297331</v>
      </c>
      <c r="X32" s="20">
        <f t="shared" ca="1" si="12"/>
        <v>1114.8367082336672</v>
      </c>
      <c r="Y32" s="41">
        <f t="shared" si="13"/>
        <v>0.57561754858394776</v>
      </c>
      <c r="Z32" s="41">
        <f t="shared" ca="1" si="14"/>
        <v>162.95041452815244</v>
      </c>
      <c r="AA32" s="14">
        <f t="shared" ca="1" si="15"/>
        <v>1148.1748786786884</v>
      </c>
      <c r="AB32" s="14">
        <f t="shared" si="47"/>
        <v>4272.1859898319744</v>
      </c>
      <c r="AC32" s="25">
        <f t="shared" ca="1" si="16"/>
        <v>280616.5980846241</v>
      </c>
      <c r="AD32" s="41">
        <f t="shared" si="17"/>
        <v>1044132.1449490909</v>
      </c>
      <c r="AE32" s="6">
        <v>100</v>
      </c>
      <c r="AF32" s="41">
        <f t="shared" si="18"/>
        <v>4272.1859898319744</v>
      </c>
      <c r="AG32" s="41">
        <f t="shared" ca="1" si="19"/>
        <v>3124.011111153286</v>
      </c>
      <c r="AH32" s="41">
        <f t="shared" ca="1" si="20"/>
        <v>763515.54686446674</v>
      </c>
      <c r="AI32" s="41">
        <f t="shared" si="21"/>
        <v>3218.2405550068365</v>
      </c>
      <c r="AJ32" s="13">
        <f t="shared" ca="1" si="22"/>
        <v>58.467098822648104</v>
      </c>
      <c r="AK32" s="11">
        <f t="shared" ca="1" si="23"/>
        <v>3470.9849953576545</v>
      </c>
      <c r="AL32" s="6">
        <f t="shared" si="48"/>
        <v>266.66665999999998</v>
      </c>
      <c r="AM32" s="41">
        <f t="shared" ca="1" si="24"/>
        <v>4.5609695943507749</v>
      </c>
      <c r="AN32" s="41">
        <f t="shared" ca="1" si="25"/>
        <v>4.0773048107479841</v>
      </c>
      <c r="AO32" s="41">
        <f t="shared" ca="1" si="26"/>
        <v>0.17813113600485858</v>
      </c>
      <c r="AP32" s="67">
        <f t="shared" si="45"/>
        <v>0.75330066684044583</v>
      </c>
      <c r="AQ32" s="11">
        <f t="shared" si="27"/>
        <v>0.99430328113089694</v>
      </c>
      <c r="AR32" s="11">
        <f t="shared" si="28"/>
        <v>0.7314885949304798</v>
      </c>
      <c r="AS32" s="11">
        <f t="shared" si="29"/>
        <v>0.73567955453038636</v>
      </c>
      <c r="AT32" s="11">
        <f t="shared" si="30"/>
        <v>515.71528282416227</v>
      </c>
      <c r="AU32" s="11">
        <f t="shared" si="31"/>
        <v>1547.9907943637797</v>
      </c>
      <c r="AV32" s="11">
        <f t="shared" si="32"/>
        <v>1.7486367331632753E-3</v>
      </c>
      <c r="AW32" s="11">
        <f t="shared" si="33"/>
        <v>3.7206649725296832E-7</v>
      </c>
      <c r="AX32" s="41">
        <f t="shared" ca="1" si="34"/>
        <v>1.0035992251506436</v>
      </c>
      <c r="AY32" s="41">
        <f t="shared" ca="1" si="35"/>
        <v>1.3518680953353703</v>
      </c>
      <c r="AZ32" s="41">
        <f t="shared" si="36"/>
        <v>0.16280598040978828</v>
      </c>
    </row>
    <row r="33" spans="1:52" ht="14.5">
      <c r="A33" s="41">
        <f t="shared" ca="1" si="37"/>
        <v>148.60910210473747</v>
      </c>
      <c r="B33" s="41">
        <f t="shared" ca="1" si="38"/>
        <v>2.4768183684122911</v>
      </c>
      <c r="C33" s="41">
        <f t="shared" ca="1" si="38"/>
        <v>4.128030614020485E-2</v>
      </c>
      <c r="D33" s="41">
        <f t="shared" ca="1" si="39"/>
        <v>13194.174163616472</v>
      </c>
      <c r="E33" s="41">
        <f t="shared" ca="1" si="40"/>
        <v>1.723307159961089</v>
      </c>
      <c r="F33" s="41">
        <f t="shared" ca="1" si="41"/>
        <v>1.723307159961089</v>
      </c>
      <c r="G33" s="41"/>
      <c r="H33" s="7">
        <f t="shared" si="42"/>
        <v>8666.6666000000005</v>
      </c>
      <c r="I33" s="6">
        <v>15</v>
      </c>
      <c r="J33" s="41">
        <f t="shared" si="1"/>
        <v>0.2258349658080184</v>
      </c>
      <c r="K33" s="41">
        <f t="shared" si="2"/>
        <v>251.18217465274236</v>
      </c>
      <c r="L33" s="6">
        <f t="shared" si="46"/>
        <v>127.33333333333337</v>
      </c>
      <c r="M33" s="41">
        <f t="shared" si="3"/>
        <v>148.8214195669554</v>
      </c>
      <c r="N33" s="41">
        <f t="shared" si="4"/>
        <v>54.701946599725851</v>
      </c>
      <c r="O33" s="41">
        <f t="shared" si="5"/>
        <v>1172322.9531998194</v>
      </c>
      <c r="P33" s="41">
        <f t="shared" si="6"/>
        <v>7527137.1323202746</v>
      </c>
      <c r="Q33" s="41">
        <f t="shared" si="7"/>
        <v>3.1298000829486495E-3</v>
      </c>
      <c r="R33" s="41">
        <f t="shared" si="43"/>
        <v>2.086186380329275E-2</v>
      </c>
      <c r="S33" s="24">
        <f t="shared" ca="1" si="44"/>
        <v>13.775936560182714</v>
      </c>
      <c r="T33" s="10">
        <f t="shared" ca="1" si="8"/>
        <v>13.775936560182714</v>
      </c>
      <c r="U33" s="41">
        <f t="shared" ca="1" si="9"/>
        <v>1.0185342565616431</v>
      </c>
      <c r="V33" s="41">
        <f t="shared" ca="1" si="10"/>
        <v>8.6381408597863363E-2</v>
      </c>
      <c r="W33" s="41">
        <f t="shared" ca="1" si="11"/>
        <v>11.791128126924715</v>
      </c>
      <c r="X33" s="20">
        <f t="shared" ca="1" si="12"/>
        <v>1086.8031760757669</v>
      </c>
      <c r="Y33" s="41">
        <f t="shared" si="13"/>
        <v>0.5747338248664865</v>
      </c>
      <c r="Z33" s="41">
        <f t="shared" ca="1" si="14"/>
        <v>163.63304623054242</v>
      </c>
      <c r="AA33" s="14">
        <f t="shared" ca="1" si="15"/>
        <v>1118.9916708213814</v>
      </c>
      <c r="AB33" s="14">
        <f t="shared" si="47"/>
        <v>4228.6734657089582</v>
      </c>
      <c r="AC33" s="25">
        <f t="shared" ca="1" si="16"/>
        <v>281070.76129522023</v>
      </c>
      <c r="AD33" s="41">
        <f t="shared" si="17"/>
        <v>1062167.3970131248</v>
      </c>
      <c r="AE33" s="6">
        <v>100</v>
      </c>
      <c r="AF33" s="41">
        <f t="shared" si="18"/>
        <v>4228.6734657089582</v>
      </c>
      <c r="AG33" s="41">
        <f t="shared" ca="1" si="19"/>
        <v>3109.6817948875769</v>
      </c>
      <c r="AH33" s="41">
        <f t="shared" ca="1" si="20"/>
        <v>781096.63571790454</v>
      </c>
      <c r="AI33" s="41">
        <f t="shared" si="21"/>
        <v>3191.0217660177486</v>
      </c>
      <c r="AJ33" s="13">
        <f t="shared" ca="1" si="22"/>
        <v>59.812899393363388</v>
      </c>
      <c r="AK33" s="11">
        <f t="shared" ca="1" si="23"/>
        <v>3552.0069359330437</v>
      </c>
      <c r="AL33" s="6">
        <f t="shared" si="48"/>
        <v>266.66665999999998</v>
      </c>
      <c r="AM33" s="41">
        <f t="shared" ca="1" si="24"/>
        <v>4.4583469904418029</v>
      </c>
      <c r="AN33" s="41">
        <f t="shared" ca="1" si="25"/>
        <v>3.9518561908220877</v>
      </c>
      <c r="AO33" s="41">
        <f t="shared" ca="1" si="26"/>
        <v>0.17900322416126738</v>
      </c>
      <c r="AP33" s="67">
        <f t="shared" si="45"/>
        <v>0.75461531657487724</v>
      </c>
      <c r="AQ33" s="11">
        <f t="shared" si="27"/>
        <v>0.99246985451006586</v>
      </c>
      <c r="AR33" s="11">
        <f t="shared" si="28"/>
        <v>0.72403833054396249</v>
      </c>
      <c r="AS33" s="11">
        <f t="shared" si="29"/>
        <v>0.72953181122199928</v>
      </c>
      <c r="AT33" s="11">
        <f t="shared" si="30"/>
        <v>514.76433943873587</v>
      </c>
      <c r="AU33" s="11">
        <f t="shared" si="31"/>
        <v>1532.2243958637441</v>
      </c>
      <c r="AV33" s="11">
        <f t="shared" si="32"/>
        <v>1.7340241620935701E-3</v>
      </c>
      <c r="AW33" s="11">
        <f t="shared" si="33"/>
        <v>3.715323996226686E-7</v>
      </c>
      <c r="AX33" s="41">
        <f t="shared" ca="1" si="34"/>
        <v>1.0002833877224679</v>
      </c>
      <c r="AY33" s="41">
        <f t="shared" ca="1" si="35"/>
        <v>1.3474015964420529</v>
      </c>
      <c r="AZ33" s="41">
        <f t="shared" si="36"/>
        <v>0.16732049886870853</v>
      </c>
    </row>
    <row r="34" spans="1:52" ht="14.5">
      <c r="A34" s="41">
        <f t="shared" ca="1" si="37"/>
        <v>153.06744909517928</v>
      </c>
      <c r="B34" s="41">
        <f t="shared" ca="1" si="38"/>
        <v>2.5511241515863214</v>
      </c>
      <c r="C34" s="41">
        <f t="shared" ca="1" si="38"/>
        <v>4.2518735859772026E-2</v>
      </c>
      <c r="D34" s="41">
        <f t="shared" ca="1" si="39"/>
        <v>13190.222307425649</v>
      </c>
      <c r="E34" s="41">
        <f t="shared" ca="1" si="40"/>
        <v>1.9023103841223563</v>
      </c>
      <c r="F34" s="41">
        <f t="shared" ca="1" si="41"/>
        <v>1.9023103841223563</v>
      </c>
      <c r="G34" s="41"/>
      <c r="H34" s="7">
        <f t="shared" si="42"/>
        <v>8933.3332600000012</v>
      </c>
      <c r="I34" s="6">
        <v>15</v>
      </c>
      <c r="J34" s="41">
        <f t="shared" si="1"/>
        <v>0.23219114775296049</v>
      </c>
      <c r="K34" s="41">
        <f t="shared" si="2"/>
        <v>258.01311084213302</v>
      </c>
      <c r="L34" s="6">
        <f t="shared" si="46"/>
        <v>130.26666666666671</v>
      </c>
      <c r="M34" s="41">
        <f t="shared" si="3"/>
        <v>152.86863996419035</v>
      </c>
      <c r="N34" s="41">
        <f t="shared" si="4"/>
        <v>57.234389178844303</v>
      </c>
      <c r="O34" s="41">
        <f t="shared" si="5"/>
        <v>1195842.2826262785</v>
      </c>
      <c r="P34" s="41">
        <f t="shared" si="6"/>
        <v>7678147.7538985405</v>
      </c>
      <c r="Q34" s="41">
        <f t="shared" si="7"/>
        <v>3.1188493350233657E-3</v>
      </c>
      <c r="R34" s="41">
        <f t="shared" si="43"/>
        <v>2.0799367553436005E-2</v>
      </c>
      <c r="S34" s="24">
        <f t="shared" ca="1" si="44"/>
        <v>13.699430785038182</v>
      </c>
      <c r="T34" s="10">
        <f t="shared" ca="1" si="8"/>
        <v>13.699430785038182</v>
      </c>
      <c r="U34" s="41">
        <f t="shared" ca="1" si="9"/>
        <v>0.9734934670652412</v>
      </c>
      <c r="V34" s="41">
        <f t="shared" ca="1" si="10"/>
        <v>8.0652333141758958E-2</v>
      </c>
      <c r="W34" s="41">
        <f t="shared" ca="1" si="11"/>
        <v>12.07024557310916</v>
      </c>
      <c r="X34" s="20">
        <f t="shared" ca="1" si="12"/>
        <v>1061.700015339964</v>
      </c>
      <c r="Y34" s="41">
        <f t="shared" si="13"/>
        <v>0.57387230908813669</v>
      </c>
      <c r="Z34" s="41">
        <f t="shared" ca="1" si="14"/>
        <v>164.32463446604373</v>
      </c>
      <c r="AA34" s="14">
        <f t="shared" ca="1" si="15"/>
        <v>1092.7882309877475</v>
      </c>
      <c r="AB34" s="14">
        <f t="shared" si="47"/>
        <v>4185.5205003146266</v>
      </c>
      <c r="AC34" s="25">
        <f t="shared" ca="1" si="16"/>
        <v>281953.69096882018</v>
      </c>
      <c r="AD34" s="41">
        <f t="shared" si="17"/>
        <v>1079919.1647796978</v>
      </c>
      <c r="AE34" s="6">
        <v>100</v>
      </c>
      <c r="AF34" s="41">
        <f t="shared" si="18"/>
        <v>4185.5205003146266</v>
      </c>
      <c r="AG34" s="41">
        <f t="shared" ca="1" si="19"/>
        <v>3092.7322693268788</v>
      </c>
      <c r="AH34" s="41">
        <f t="shared" ca="1" si="20"/>
        <v>797965.47381087765</v>
      </c>
      <c r="AI34" s="41">
        <f t="shared" si="21"/>
        <v>3163.981427338811</v>
      </c>
      <c r="AJ34" s="13">
        <f t="shared" ca="1" si="22"/>
        <v>61.104856480466594</v>
      </c>
      <c r="AK34" s="11">
        <f t="shared" ca="1" si="23"/>
        <v>3629.8045107017647</v>
      </c>
      <c r="AL34" s="6">
        <f t="shared" si="48"/>
        <v>266.66665999999998</v>
      </c>
      <c r="AM34" s="41">
        <f t="shared" ca="1" si="24"/>
        <v>4.3640829118917148</v>
      </c>
      <c r="AN34" s="41">
        <f t="shared" ca="1" si="25"/>
        <v>3.8355214668311284</v>
      </c>
      <c r="AO34" s="41">
        <f t="shared" ca="1" si="26"/>
        <v>0.1800423647611222</v>
      </c>
      <c r="AP34" s="67">
        <f t="shared" si="45"/>
        <v>0.75593499711707868</v>
      </c>
      <c r="AQ34" s="11">
        <f t="shared" si="27"/>
        <v>0.99063642788923489</v>
      </c>
      <c r="AR34" s="11">
        <f t="shared" si="28"/>
        <v>0.71664963021618844</v>
      </c>
      <c r="AS34" s="11">
        <f t="shared" si="29"/>
        <v>0.72342345793114582</v>
      </c>
      <c r="AT34" s="11">
        <f t="shared" si="30"/>
        <v>513.81339605330948</v>
      </c>
      <c r="AU34" s="11">
        <f t="shared" si="31"/>
        <v>1516.5882804561022</v>
      </c>
      <c r="AV34" s="11">
        <f t="shared" si="32"/>
        <v>1.7195052171565404E-3</v>
      </c>
      <c r="AW34" s="11">
        <f t="shared" si="33"/>
        <v>3.709978285878075E-7</v>
      </c>
      <c r="AX34" s="41">
        <f t="shared" ca="1" si="34"/>
        <v>1.0005944236642883</v>
      </c>
      <c r="AY34" s="41">
        <f t="shared" ca="1" si="35"/>
        <v>1.3478205680352069</v>
      </c>
      <c r="AZ34" s="41">
        <f t="shared" si="36"/>
        <v>0.17185690372614698</v>
      </c>
    </row>
    <row r="35" spans="1:52" ht="14.5">
      <c r="A35" s="41">
        <f t="shared" ca="1" si="37"/>
        <v>157.43153200707101</v>
      </c>
      <c r="B35" s="41">
        <f t="shared" ca="1" si="38"/>
        <v>2.6238588667845169</v>
      </c>
      <c r="C35" s="41">
        <f t="shared" ca="1" si="38"/>
        <v>4.373098111307528E-2</v>
      </c>
      <c r="D35" s="41">
        <f t="shared" ca="1" si="39"/>
        <v>13186.386785958817</v>
      </c>
      <c r="E35" s="41">
        <f t="shared" ca="1" si="40"/>
        <v>2.0823527488834785</v>
      </c>
      <c r="F35" s="41">
        <f t="shared" ca="1" si="41"/>
        <v>2.0823527488834785</v>
      </c>
      <c r="G35" s="41"/>
      <c r="H35" s="7">
        <f t="shared" si="42"/>
        <v>9199.999920000002</v>
      </c>
      <c r="I35" s="6">
        <v>15</v>
      </c>
      <c r="J35" s="41">
        <f t="shared" si="1"/>
        <v>0.23860552122868481</v>
      </c>
      <c r="K35" s="41">
        <f t="shared" si="2"/>
        <v>264.89535723546499</v>
      </c>
      <c r="L35" s="6">
        <f t="shared" si="46"/>
        <v>133.20000000000005</v>
      </c>
      <c r="M35" s="41">
        <f t="shared" si="3"/>
        <v>156.94626083629723</v>
      </c>
      <c r="N35" s="41">
        <f t="shared" si="4"/>
        <v>59.822330218106323</v>
      </c>
      <c r="O35" s="41">
        <f t="shared" si="5"/>
        <v>1219198.4161562477</v>
      </c>
      <c r="P35" s="41">
        <f t="shared" si="6"/>
        <v>7828110.5431461688</v>
      </c>
      <c r="Q35" s="41">
        <f t="shared" si="7"/>
        <v>3.1081815712487157E-3</v>
      </c>
      <c r="R35" s="41">
        <f t="shared" si="43"/>
        <v>2.0738486302692035E-2</v>
      </c>
      <c r="S35" s="24">
        <f t="shared" ca="1" si="44"/>
        <v>13.612402303823702</v>
      </c>
      <c r="T35" s="10">
        <f t="shared" ca="1" si="8"/>
        <v>13.612402303823702</v>
      </c>
      <c r="U35" s="41">
        <f t="shared" ca="1" si="9"/>
        <v>0.93145254653807008</v>
      </c>
      <c r="V35" s="41">
        <f t="shared" ca="1" si="10"/>
        <v>7.5533502496508809E-2</v>
      </c>
      <c r="W35" s="41">
        <f t="shared" ca="1" si="11"/>
        <v>12.331647755658123</v>
      </c>
      <c r="X35" s="20">
        <f t="shared" ca="1" si="12"/>
        <v>1039.2757296415509</v>
      </c>
      <c r="Y35" s="41">
        <f t="shared" si="13"/>
        <v>0.57303181074365639</v>
      </c>
      <c r="Z35" s="41">
        <f t="shared" ca="1" si="14"/>
        <v>165.02475357541766</v>
      </c>
      <c r="AA35" s="14">
        <f t="shared" ca="1" si="15"/>
        <v>1069.3126374704075</v>
      </c>
      <c r="AB35" s="14">
        <f t="shared" si="47"/>
        <v>4142.7248161605567</v>
      </c>
      <c r="AC35" s="25">
        <f t="shared" ca="1" si="16"/>
        <v>283255.95309912087</v>
      </c>
      <c r="AD35" s="41">
        <f t="shared" si="17"/>
        <v>1097388.5701050768</v>
      </c>
      <c r="AE35" s="6">
        <v>100</v>
      </c>
      <c r="AF35" s="41">
        <f t="shared" si="18"/>
        <v>4142.7248161605567</v>
      </c>
      <c r="AG35" s="41">
        <f t="shared" ca="1" si="19"/>
        <v>3073.4121786901492</v>
      </c>
      <c r="AH35" s="41">
        <f t="shared" ca="1" si="20"/>
        <v>814132.61700595589</v>
      </c>
      <c r="AI35" s="41">
        <f t="shared" si="21"/>
        <v>3137.1181923898098</v>
      </c>
      <c r="AJ35" s="13">
        <f t="shared" ca="1" si="22"/>
        <v>62.343784372449164</v>
      </c>
      <c r="AK35" s="11">
        <f t="shared" ca="1" si="23"/>
        <v>3704.4231913758085</v>
      </c>
      <c r="AL35" s="6">
        <f t="shared" si="48"/>
        <v>266.66665999999998</v>
      </c>
      <c r="AM35" s="41">
        <f t="shared" ca="1" si="24"/>
        <v>4.2773576016319721</v>
      </c>
      <c r="AN35" s="41">
        <f t="shared" ca="1" si="25"/>
        <v>3.7273823187323627</v>
      </c>
      <c r="AO35" s="41">
        <f t="shared" ca="1" si="26"/>
        <v>0.1812383578898169</v>
      </c>
      <c r="AP35" s="67">
        <f t="shared" si="45"/>
        <v>0.75725961332311353</v>
      </c>
      <c r="AQ35" s="11">
        <f t="shared" si="27"/>
        <v>0.98880300126840392</v>
      </c>
      <c r="AR35" s="11">
        <f t="shared" si="28"/>
        <v>0.70932210399297246</v>
      </c>
      <c r="AS35" s="11">
        <f t="shared" si="29"/>
        <v>0.71735431939736982</v>
      </c>
      <c r="AT35" s="11">
        <f t="shared" si="30"/>
        <v>512.86245266788308</v>
      </c>
      <c r="AU35" s="11">
        <f t="shared" si="31"/>
        <v>1501.081622912008</v>
      </c>
      <c r="AV35" s="11">
        <f t="shared" si="32"/>
        <v>1.7050794817756083E-3</v>
      </c>
      <c r="AW35" s="11">
        <f t="shared" si="33"/>
        <v>3.7046278313236201E-7</v>
      </c>
      <c r="AX35" s="41">
        <f t="shared" ca="1" si="34"/>
        <v>1.0040789635512839</v>
      </c>
      <c r="AY35" s="41">
        <f t="shared" ca="1" si="35"/>
        <v>1.3525143124922594</v>
      </c>
      <c r="AZ35" s="41">
        <f t="shared" si="36"/>
        <v>0.17641493448678758</v>
      </c>
    </row>
    <row r="36" spans="1:52" ht="14.5">
      <c r="A36" s="41">
        <f t="shared" ca="1" si="37"/>
        <v>161.70888960870298</v>
      </c>
      <c r="B36" s="41">
        <f t="shared" ca="1" si="38"/>
        <v>2.6951481601450498</v>
      </c>
      <c r="C36" s="41">
        <f t="shared" ca="1" si="38"/>
        <v>4.4919136002417495E-2</v>
      </c>
      <c r="D36" s="41">
        <f t="shared" ca="1" si="39"/>
        <v>13182.659403640086</v>
      </c>
      <c r="E36" s="41">
        <f t="shared" ca="1" si="40"/>
        <v>2.2635911067732954</v>
      </c>
      <c r="F36" s="41">
        <f t="shared" ca="1" si="41"/>
        <v>2.2635911067732954</v>
      </c>
      <c r="G36" s="41"/>
      <c r="H36" s="7">
        <f t="shared" si="42"/>
        <v>9466.6665800000028</v>
      </c>
      <c r="I36" s="6">
        <v>15</v>
      </c>
      <c r="J36" s="41">
        <f t="shared" si="1"/>
        <v>0.24507847007222736</v>
      </c>
      <c r="K36" s="41">
        <f t="shared" si="2"/>
        <v>271.82914100995549</v>
      </c>
      <c r="L36" s="6">
        <f t="shared" si="46"/>
        <v>136.13333333333338</v>
      </c>
      <c r="M36" s="41">
        <f t="shared" si="3"/>
        <v>161.05441678214248</v>
      </c>
      <c r="N36" s="41">
        <f t="shared" si="4"/>
        <v>62.465545546600445</v>
      </c>
      <c r="O36" s="41">
        <f t="shared" si="5"/>
        <v>1242390.6715205568</v>
      </c>
      <c r="P36" s="41">
        <f t="shared" si="6"/>
        <v>7977021.1194156669</v>
      </c>
      <c r="Q36" s="41">
        <f t="shared" si="7"/>
        <v>3.0977815462581559E-3</v>
      </c>
      <c r="R36" s="41">
        <f t="shared" si="43"/>
        <v>2.0679133045292536E-2</v>
      </c>
      <c r="S36" s="24">
        <f t="shared" ca="1" si="44"/>
        <v>13.515851680747554</v>
      </c>
      <c r="T36" s="10">
        <f t="shared" ca="1" si="8"/>
        <v>13.515851680747554</v>
      </c>
      <c r="U36" s="41">
        <f t="shared" ca="1" si="9"/>
        <v>0.89214882957100972</v>
      </c>
      <c r="V36" s="41">
        <f t="shared" ca="1" si="10"/>
        <v>7.0947434515779728E-2</v>
      </c>
      <c r="W36" s="41">
        <f t="shared" ca="1" si="11"/>
        <v>12.574786328215758</v>
      </c>
      <c r="X36" s="20">
        <f t="shared" ca="1" si="12"/>
        <v>1019.3071464967749</v>
      </c>
      <c r="Y36" s="41">
        <f t="shared" si="13"/>
        <v>0.57221121868309488</v>
      </c>
      <c r="Z36" s="41">
        <f t="shared" ca="1" si="14"/>
        <v>165.73302104437991</v>
      </c>
      <c r="AA36" s="14">
        <f t="shared" ca="1" si="15"/>
        <v>1048.3406285847068</v>
      </c>
      <c r="AB36" s="14">
        <f t="shared" si="47"/>
        <v>4100.284145773292</v>
      </c>
      <c r="AC36" s="25">
        <f t="shared" ca="1" si="16"/>
        <v>284969.53255401761</v>
      </c>
      <c r="AD36" s="41">
        <f t="shared" si="17"/>
        <v>1114576.7172422931</v>
      </c>
      <c r="AE36" s="6">
        <v>100</v>
      </c>
      <c r="AF36" s="41">
        <f t="shared" si="18"/>
        <v>4100.284145773292</v>
      </c>
      <c r="AG36" s="41">
        <f t="shared" ca="1" si="19"/>
        <v>3051.9435171885852</v>
      </c>
      <c r="AH36" s="41">
        <f t="shared" ca="1" si="20"/>
        <v>829607.18468827545</v>
      </c>
      <c r="AI36" s="41">
        <f t="shared" si="21"/>
        <v>3110.4307227760219</v>
      </c>
      <c r="AJ36" s="13">
        <f t="shared" ca="1" si="22"/>
        <v>63.530377713734296</v>
      </c>
      <c r="AK36" s="11">
        <f t="shared" ca="1" si="23"/>
        <v>3775.9020814534524</v>
      </c>
      <c r="AL36" s="6">
        <f t="shared" si="48"/>
        <v>266.66665999999998</v>
      </c>
      <c r="AM36" s="41">
        <f t="shared" ca="1" si="24"/>
        <v>4.1974669378102991</v>
      </c>
      <c r="AN36" s="41">
        <f t="shared" ca="1" si="25"/>
        <v>3.626647255889373</v>
      </c>
      <c r="AO36" s="41">
        <f t="shared" ca="1" si="26"/>
        <v>0.18258288898599739</v>
      </c>
      <c r="AP36" s="67">
        <f t="shared" si="45"/>
        <v>0.75858906656075442</v>
      </c>
      <c r="AQ36" s="11">
        <f t="shared" si="27"/>
        <v>0.98696957464757284</v>
      </c>
      <c r="AR36" s="11">
        <f t="shared" si="28"/>
        <v>0.70205536363490373</v>
      </c>
      <c r="AS36" s="11">
        <f t="shared" si="29"/>
        <v>0.71132422079535096</v>
      </c>
      <c r="AT36" s="11">
        <f t="shared" si="30"/>
        <v>511.91150928245656</v>
      </c>
      <c r="AU36" s="11">
        <f t="shared" si="31"/>
        <v>1485.7036016314557</v>
      </c>
      <c r="AV36" s="11">
        <f t="shared" si="32"/>
        <v>1.6907465404084696E-3</v>
      </c>
      <c r="AW36" s="11">
        <f t="shared" si="33"/>
        <v>3.6992726223732254E-7</v>
      </c>
      <c r="AX36" s="41">
        <f t="shared" ca="1" si="34"/>
        <v>1.0103648502198446</v>
      </c>
      <c r="AY36" s="41">
        <f t="shared" ca="1" si="35"/>
        <v>1.3609815267199761</v>
      </c>
      <c r="AZ36" s="41">
        <f t="shared" si="36"/>
        <v>0.18099431788180226</v>
      </c>
    </row>
    <row r="37" spans="1:52" ht="14.5">
      <c r="A37" s="41">
        <f t="shared" ca="1" si="37"/>
        <v>165.90635654651328</v>
      </c>
      <c r="B37" s="41">
        <f t="shared" ca="1" si="38"/>
        <v>2.7651059424418878</v>
      </c>
      <c r="C37" s="41">
        <f t="shared" ca="1" si="38"/>
        <v>4.608509904069813E-2</v>
      </c>
      <c r="D37" s="41">
        <f t="shared" ca="1" si="39"/>
        <v>13179.032756384197</v>
      </c>
      <c r="E37" s="41">
        <f t="shared" ca="1" si="40"/>
        <v>2.4461739957592927</v>
      </c>
      <c r="F37" s="41">
        <f t="shared" ca="1" si="41"/>
        <v>2.4461739957592927</v>
      </c>
      <c r="G37" s="41"/>
      <c r="H37" s="7">
        <f t="shared" si="42"/>
        <v>9733.3332400000036</v>
      </c>
      <c r="I37" s="6">
        <v>15</v>
      </c>
      <c r="J37" s="41">
        <f t="shared" si="1"/>
        <v>0.25161037358782085</v>
      </c>
      <c r="K37" s="41">
        <f t="shared" si="2"/>
        <v>278.81468233298153</v>
      </c>
      <c r="L37" s="6">
        <f t="shared" si="46"/>
        <v>139.06666666666672</v>
      </c>
      <c r="M37" s="41">
        <f t="shared" si="3"/>
        <v>165.19323824737424</v>
      </c>
      <c r="N37" s="41">
        <f t="shared" si="4"/>
        <v>65.163798282545088</v>
      </c>
      <c r="O37" s="41">
        <f t="shared" si="5"/>
        <v>1265418.3416838059</v>
      </c>
      <c r="P37" s="41">
        <f t="shared" si="6"/>
        <v>8124874.9430429451</v>
      </c>
      <c r="Q37" s="41">
        <f t="shared" si="7"/>
        <v>3.0876350368793954E-3</v>
      </c>
      <c r="R37" s="41">
        <f t="shared" si="43"/>
        <v>2.0621226609162758E-2</v>
      </c>
      <c r="S37" s="24">
        <f t="shared" ca="1" si="44"/>
        <v>13.410669916583725</v>
      </c>
      <c r="T37" s="10">
        <f t="shared" ca="1" si="8"/>
        <v>13.410669916583725</v>
      </c>
      <c r="U37" s="41">
        <f t="shared" ca="1" si="9"/>
        <v>0.85534796845245842</v>
      </c>
      <c r="V37" s="41">
        <f t="shared" ca="1" si="10"/>
        <v>6.6827957911652455E-2</v>
      </c>
      <c r="W37" s="41">
        <f t="shared" ca="1" si="11"/>
        <v>12.799253414016347</v>
      </c>
      <c r="X37" s="20">
        <f t="shared" ca="1" si="12"/>
        <v>1001.5956208675468</v>
      </c>
      <c r="Y37" s="41">
        <f t="shared" si="13"/>
        <v>0.57140949403883257</v>
      </c>
      <c r="Z37" s="41">
        <f t="shared" ca="1" si="14"/>
        <v>166.44909306725958</v>
      </c>
      <c r="AA37" s="14">
        <f t="shared" ca="1" si="15"/>
        <v>1029.6719918016433</v>
      </c>
      <c r="AB37" s="14">
        <f t="shared" si="47"/>
        <v>4058.1962316697932</v>
      </c>
      <c r="AC37" s="25">
        <f t="shared" ca="1" si="16"/>
        <v>287087.66930134356</v>
      </c>
      <c r="AD37" s="41">
        <f t="shared" si="17"/>
        <v>1131484.6931779161</v>
      </c>
      <c r="AE37" s="6">
        <v>100</v>
      </c>
      <c r="AF37" s="41">
        <f t="shared" si="18"/>
        <v>4058.1962316697932</v>
      </c>
      <c r="AG37" s="41">
        <f t="shared" ca="1" si="19"/>
        <v>3028.5242398681498</v>
      </c>
      <c r="AH37" s="41">
        <f t="shared" ca="1" si="20"/>
        <v>844397.02387657249</v>
      </c>
      <c r="AI37" s="41">
        <f t="shared" si="21"/>
        <v>3083.9176884514177</v>
      </c>
      <c r="AJ37" s="13">
        <f t="shared" ca="1" si="22"/>
        <v>64.665225747070863</v>
      </c>
      <c r="AK37" s="11">
        <f t="shared" ca="1" si="23"/>
        <v>3844.2746420864414</v>
      </c>
      <c r="AL37" s="6">
        <f t="shared" si="48"/>
        <v>266.66665999999998</v>
      </c>
      <c r="AM37" s="41">
        <f t="shared" ca="1" si="24"/>
        <v>4.1238031247742013</v>
      </c>
      <c r="AN37" s="41">
        <f t="shared" ca="1" si="25"/>
        <v>3.5326303889395523</v>
      </c>
      <c r="AO37" s="41">
        <f t="shared" ca="1" si="26"/>
        <v>0.18406923471320213</v>
      </c>
      <c r="AP37" s="67">
        <f t="shared" si="45"/>
        <v>0.75992325466787569</v>
      </c>
      <c r="AQ37" s="11">
        <f t="shared" si="27"/>
        <v>0.98513614802674188</v>
      </c>
      <c r="AR37" s="11">
        <f t="shared" si="28"/>
        <v>0.69484902261314163</v>
      </c>
      <c r="AS37" s="11">
        <f t="shared" si="29"/>
        <v>0.70533298773468589</v>
      </c>
      <c r="AT37" s="11">
        <f t="shared" si="30"/>
        <v>510.96056589703016</v>
      </c>
      <c r="AU37" s="11">
        <f t="shared" si="31"/>
        <v>1470.4533986343824</v>
      </c>
      <c r="AV37" s="11">
        <f t="shared" si="32"/>
        <v>1.6765059785465749E-3</v>
      </c>
      <c r="AW37" s="11">
        <f t="shared" si="33"/>
        <v>3.6939126488069111E-7</v>
      </c>
      <c r="AX37" s="41">
        <f t="shared" ca="1" si="34"/>
        <v>1.0191441651975128</v>
      </c>
      <c r="AY37" s="41">
        <f t="shared" ca="1" si="35"/>
        <v>1.3728074384183717</v>
      </c>
      <c r="AZ37" s="41">
        <f t="shared" si="36"/>
        <v>0.18559476764638053</v>
      </c>
    </row>
    <row r="38" spans="1:52" ht="14.5">
      <c r="A38" s="41">
        <f t="shared" ca="1" si="37"/>
        <v>170.03015967128749</v>
      </c>
      <c r="B38" s="41">
        <f t="shared" ca="1" si="38"/>
        <v>2.8338359945214582</v>
      </c>
      <c r="C38" s="41">
        <f t="shared" ca="1" si="38"/>
        <v>4.7230599908690968E-2</v>
      </c>
      <c r="D38" s="41">
        <f t="shared" ca="1" si="39"/>
        <v>13175.500125995257</v>
      </c>
      <c r="E38" s="41">
        <f t="shared" ca="1" si="40"/>
        <v>2.630243230472495</v>
      </c>
      <c r="F38" s="41">
        <f t="shared" ca="1" si="41"/>
        <v>2.630243230472495</v>
      </c>
      <c r="G38" s="41"/>
      <c r="H38" s="7">
        <f t="shared" si="42"/>
        <v>9999.9999000000043</v>
      </c>
      <c r="I38" s="6">
        <v>15</v>
      </c>
      <c r="J38" s="41">
        <f t="shared" si="1"/>
        <v>0.25820160628659466</v>
      </c>
      <c r="K38" s="41">
        <f t="shared" si="2"/>
        <v>285.85219409163636</v>
      </c>
      <c r="L38" s="6">
        <f t="shared" si="46"/>
        <v>142.00000000000006</v>
      </c>
      <c r="M38" s="41">
        <f t="shared" si="3"/>
        <v>169.36285136418908</v>
      </c>
      <c r="N38" s="41">
        <f t="shared" si="4"/>
        <v>67.916838411187214</v>
      </c>
      <c r="O38" s="41">
        <f t="shared" si="5"/>
        <v>1288280.6948640395</v>
      </c>
      <c r="P38" s="41">
        <f t="shared" si="6"/>
        <v>8271667.3154736366</v>
      </c>
      <c r="Q38" s="41">
        <f t="shared" si="7"/>
        <v>3.0777287514325499E-3</v>
      </c>
      <c r="R38" s="41">
        <f t="shared" si="43"/>
        <v>2.0564691138283291E-2</v>
      </c>
      <c r="S38" s="24">
        <f t="shared" ca="1" si="44"/>
        <v>13.297652560719463</v>
      </c>
      <c r="T38" s="10">
        <f t="shared" ca="1" si="8"/>
        <v>13.297652560719463</v>
      </c>
      <c r="U38" s="41">
        <f t="shared" ca="1" si="9"/>
        <v>0.82084033769889742</v>
      </c>
      <c r="V38" s="41">
        <f t="shared" ca="1" si="10"/>
        <v>6.3118356264795158E-2</v>
      </c>
      <c r="W38" s="41">
        <f t="shared" ca="1" si="11"/>
        <v>13.004780008137326</v>
      </c>
      <c r="X38" s="20">
        <f t="shared" ca="1" si="12"/>
        <v>985.96381673964288</v>
      </c>
      <c r="Y38" s="41">
        <f t="shared" si="13"/>
        <v>0.57062566391725189</v>
      </c>
      <c r="Z38" s="41">
        <f t="shared" ca="1" si="14"/>
        <v>167.17266057555835</v>
      </c>
      <c r="AA38" s="14">
        <f t="shared" ca="1" si="15"/>
        <v>1013.1274898730396</v>
      </c>
      <c r="AB38" s="14">
        <f t="shared" si="47"/>
        <v>4016.4588263328533</v>
      </c>
      <c r="AC38" s="25">
        <f t="shared" ca="1" si="16"/>
        <v>289604.71587476047</v>
      </c>
      <c r="AD38" s="41">
        <f t="shared" si="17"/>
        <v>1148113.5679859647</v>
      </c>
      <c r="AE38" s="6">
        <v>100</v>
      </c>
      <c r="AF38" s="41">
        <f t="shared" si="18"/>
        <v>4016.4588263328533</v>
      </c>
      <c r="AG38" s="41">
        <f t="shared" ca="1" si="19"/>
        <v>3003.3313364598134</v>
      </c>
      <c r="AH38" s="41">
        <f t="shared" ca="1" si="20"/>
        <v>858508.85211120429</v>
      </c>
      <c r="AI38" s="41">
        <f t="shared" si="21"/>
        <v>3057.5777678851468</v>
      </c>
      <c r="AJ38" s="13">
        <f t="shared" ca="1" si="22"/>
        <v>65.748824666383342</v>
      </c>
      <c r="AK38" s="11">
        <f t="shared" ca="1" si="23"/>
        <v>3909.569324434372</v>
      </c>
      <c r="AL38" s="6">
        <f t="shared" si="48"/>
        <v>266.66665999999998</v>
      </c>
      <c r="AM38" s="41">
        <f t="shared" ca="1" si="24"/>
        <v>4.0558391933710674</v>
      </c>
      <c r="AN38" s="41">
        <f t="shared" ca="1" si="25"/>
        <v>3.4447343743801677</v>
      </c>
      <c r="AO38" s="41">
        <f t="shared" ca="1" si="26"/>
        <v>0.18569202893967612</v>
      </c>
      <c r="AP38" s="67">
        <f t="shared" si="45"/>
        <v>0.761262071912438</v>
      </c>
      <c r="AQ38" s="11">
        <f t="shared" si="27"/>
        <v>0.98330272140591091</v>
      </c>
      <c r="AR38" s="11">
        <f t="shared" si="28"/>
        <v>0.6877026961052074</v>
      </c>
      <c r="AS38" s="11">
        <f t="shared" si="29"/>
        <v>0.69938044625966334</v>
      </c>
      <c r="AT38" s="11">
        <f t="shared" si="30"/>
        <v>510.00962251160377</v>
      </c>
      <c r="AU38" s="11">
        <f t="shared" si="31"/>
        <v>1455.3301995517618</v>
      </c>
      <c r="AV38" s="11">
        <f t="shared" si="32"/>
        <v>1.6623573827145937E-3</v>
      </c>
      <c r="AW38" s="11">
        <f t="shared" si="33"/>
        <v>3.6885479003746647E-7</v>
      </c>
      <c r="AX38" s="41">
        <f t="shared" ca="1" si="34"/>
        <v>1.0301602140754134</v>
      </c>
      <c r="AY38" s="41">
        <f t="shared" ca="1" si="35"/>
        <v>1.3876462751188019</v>
      </c>
      <c r="AZ38" s="41">
        <f t="shared" si="36"/>
        <v>0.19021598430061903</v>
      </c>
    </row>
    <row r="39" spans="1:52" ht="14.5">
      <c r="A39" s="41">
        <f t="shared" ca="1" si="37"/>
        <v>174.08599886465856</v>
      </c>
      <c r="B39" s="41">
        <f t="shared" ca="1" si="38"/>
        <v>2.9014333144109758</v>
      </c>
      <c r="C39" s="41">
        <f t="shared" ca="1" si="38"/>
        <v>4.8357221906849594E-2</v>
      </c>
      <c r="D39" s="41">
        <f t="shared" ca="1" si="39"/>
        <v>13172.055391620877</v>
      </c>
      <c r="E39" s="41">
        <f t="shared" ca="1" si="40"/>
        <v>2.8159352594121709</v>
      </c>
      <c r="F39" s="41">
        <f t="shared" ca="1" si="41"/>
        <v>2.8159352594121709</v>
      </c>
      <c r="G39" s="41"/>
      <c r="H39" s="7">
        <f t="shared" si="42"/>
        <v>10266.666560000005</v>
      </c>
      <c r="I39" s="6">
        <v>15</v>
      </c>
      <c r="J39" s="41">
        <f t="shared" si="1"/>
        <v>0.26485253762266592</v>
      </c>
      <c r="K39" s="41">
        <f t="shared" si="2"/>
        <v>292.94188161993617</v>
      </c>
      <c r="L39" s="6">
        <f t="shared" si="46"/>
        <v>144.93333333333339</v>
      </c>
      <c r="M39" s="41">
        <f t="shared" si="3"/>
        <v>173.56337778970627</v>
      </c>
      <c r="N39" s="41">
        <f t="shared" si="4"/>
        <v>70.724402360395558</v>
      </c>
      <c r="O39" s="41">
        <f t="shared" si="5"/>
        <v>1310976.9745743209</v>
      </c>
      <c r="P39" s="41">
        <f t="shared" si="6"/>
        <v>8417393.3795300387</v>
      </c>
      <c r="Q39" s="41">
        <f t="shared" si="7"/>
        <v>3.0680502487764631E-3</v>
      </c>
      <c r="R39" s="41">
        <f t="shared" si="43"/>
        <v>2.0509455630685004E-2</v>
      </c>
      <c r="S39" s="24">
        <f t="shared" ca="1" si="44"/>
        <v>13.177511759382918</v>
      </c>
      <c r="T39" s="10">
        <f t="shared" ca="1" si="8"/>
        <v>13.177511759382918</v>
      </c>
      <c r="U39" s="41">
        <f t="shared" ca="1" si="9"/>
        <v>0.78843796013796297</v>
      </c>
      <c r="V39" s="41">
        <f t="shared" ca="1" si="10"/>
        <v>5.9769848590784949E-2</v>
      </c>
      <c r="W39" s="41">
        <f t="shared" ca="1" si="11"/>
        <v>13.19123234753385</v>
      </c>
      <c r="X39" s="20">
        <f t="shared" ca="1" si="12"/>
        <v>972.25296877355709</v>
      </c>
      <c r="Y39" s="41">
        <f t="shared" si="13"/>
        <v>0.56985881575875308</v>
      </c>
      <c r="Z39" s="41">
        <f t="shared" ca="1" si="14"/>
        <v>167.90344569018819</v>
      </c>
      <c r="AA39" s="14">
        <f t="shared" ca="1" si="15"/>
        <v>998.54623469530827</v>
      </c>
      <c r="AB39" s="14">
        <f t="shared" si="47"/>
        <v>3975.0696921865779</v>
      </c>
      <c r="AC39" s="25">
        <f t="shared" ca="1" si="16"/>
        <v>292516.01287614601</v>
      </c>
      <c r="AD39" s="41">
        <f t="shared" si="17"/>
        <v>1164464.3951995166</v>
      </c>
      <c r="AE39" s="6">
        <v>100</v>
      </c>
      <c r="AF39" s="41">
        <f t="shared" si="18"/>
        <v>3975.0696921865779</v>
      </c>
      <c r="AG39" s="41">
        <f t="shared" ca="1" si="19"/>
        <v>2976.5234574912697</v>
      </c>
      <c r="AH39" s="41">
        <f t="shared" ca="1" si="20"/>
        <v>871948.38232337055</v>
      </c>
      <c r="AI39" s="41">
        <f t="shared" si="21"/>
        <v>3031.4096482313212</v>
      </c>
      <c r="AJ39" s="13">
        <f t="shared" ca="1" si="22"/>
        <v>66.781588367445892</v>
      </c>
      <c r="AK39" s="11">
        <f t="shared" ca="1" si="23"/>
        <v>3971.8101225631435</v>
      </c>
      <c r="AL39" s="6">
        <f t="shared" si="48"/>
        <v>266.66665999999998</v>
      </c>
      <c r="AM39" s="41">
        <f t="shared" ca="1" si="24"/>
        <v>3.9931164639682684</v>
      </c>
      <c r="AN39" s="41">
        <f t="shared" ca="1" si="25"/>
        <v>3.3624366042735403</v>
      </c>
      <c r="AO39" s="41">
        <f t="shared" ca="1" si="26"/>
        <v>0.18744707565085833</v>
      </c>
      <c r="AP39" s="67">
        <f t="shared" si="45"/>
        <v>0.76260540895418238</v>
      </c>
      <c r="AQ39" s="11">
        <f t="shared" si="27"/>
        <v>0.98146929478507983</v>
      </c>
      <c r="AR39" s="11">
        <f t="shared" si="28"/>
        <v>0.68061600099078445</v>
      </c>
      <c r="AS39" s="11">
        <f t="shared" si="29"/>
        <v>0.69346642284904525</v>
      </c>
      <c r="AT39" s="11">
        <f t="shared" si="30"/>
        <v>509.05867912617731</v>
      </c>
      <c r="AU39" s="11">
        <f t="shared" si="31"/>
        <v>1440.3331936167178</v>
      </c>
      <c r="AV39" s="11">
        <f t="shared" si="32"/>
        <v>1.6483003404698957E-3</v>
      </c>
      <c r="AW39" s="11">
        <f t="shared" si="33"/>
        <v>3.6831783667963953E-7</v>
      </c>
      <c r="AX39" s="41">
        <f t="shared" ca="1" si="34"/>
        <v>1.0431974609839656</v>
      </c>
      <c r="AY39" s="41">
        <f t="shared" ca="1" si="35"/>
        <v>1.4052077057227723</v>
      </c>
      <c r="AZ39" s="41">
        <f t="shared" si="36"/>
        <v>0.19485765493420412</v>
      </c>
    </row>
    <row r="40" spans="1:52" ht="14.5">
      <c r="A40" s="41">
        <f t="shared" ca="1" si="37"/>
        <v>178.07911532862684</v>
      </c>
      <c r="B40" s="41">
        <f t="shared" ref="B40:C55" ca="1" si="49">A40/60</f>
        <v>2.9679852554771142</v>
      </c>
      <c r="C40" s="41">
        <f t="shared" ca="1" si="49"/>
        <v>4.9466420924618573E-2</v>
      </c>
      <c r="D40" s="41">
        <f t="shared" ca="1" si="39"/>
        <v>13168.692955016604</v>
      </c>
      <c r="E40" s="41">
        <f t="shared" ca="1" si="40"/>
        <v>3.0033823350630291</v>
      </c>
      <c r="F40" s="41">
        <f t="shared" ca="1" si="41"/>
        <v>3.0033823350630291</v>
      </c>
      <c r="G40" s="41"/>
      <c r="H40" s="7">
        <f t="shared" si="42"/>
        <v>10533.333220000006</v>
      </c>
      <c r="I40" s="6">
        <v>15</v>
      </c>
      <c r="J40" s="41">
        <f t="shared" si="1"/>
        <v>0.27156353172578129</v>
      </c>
      <c r="K40" s="41">
        <f t="shared" si="2"/>
        <v>300.08394242388846</v>
      </c>
      <c r="L40" s="6">
        <f t="shared" si="46"/>
        <v>147.86666666666673</v>
      </c>
      <c r="M40" s="41">
        <f t="shared" si="3"/>
        <v>177.79493454307513</v>
      </c>
      <c r="N40" s="41">
        <f t="shared" si="4"/>
        <v>73.586212574432878</v>
      </c>
      <c r="O40" s="41">
        <f t="shared" si="5"/>
        <v>1333506.3996869167</v>
      </c>
      <c r="P40" s="41">
        <f t="shared" si="6"/>
        <v>8562048.1198232137</v>
      </c>
      <c r="Q40" s="41">
        <f t="shared" si="7"/>
        <v>3.0585878658853124E-3</v>
      </c>
      <c r="R40" s="41">
        <f t="shared" si="43"/>
        <v>2.0455453525126521E-2</v>
      </c>
      <c r="S40" s="24">
        <f t="shared" ca="1" si="44"/>
        <v>13.050886576459748</v>
      </c>
      <c r="T40" s="10">
        <f t="shared" ca="1" si="8"/>
        <v>13.050886576459748</v>
      </c>
      <c r="U40" s="41">
        <f t="shared" ca="1" si="9"/>
        <v>0.75797187003128863</v>
      </c>
      <c r="V40" s="41">
        <f t="shared" ca="1" si="10"/>
        <v>5.6740339906419794E-2</v>
      </c>
      <c r="W40" s="41">
        <f t="shared" ca="1" si="11"/>
        <v>13.358606439111746</v>
      </c>
      <c r="X40" s="20">
        <f t="shared" ca="1" si="12"/>
        <v>960.32054419685835</v>
      </c>
      <c r="Y40" s="41">
        <f t="shared" si="13"/>
        <v>0.56910809228365389</v>
      </c>
      <c r="Z40" s="41">
        <f t="shared" ca="1" si="14"/>
        <v>168.64119855645959</v>
      </c>
      <c r="AA40" s="14">
        <f t="shared" ca="1" si="15"/>
        <v>985.78343594739738</v>
      </c>
      <c r="AB40" s="14">
        <f t="shared" si="47"/>
        <v>3934.0266015718489</v>
      </c>
      <c r="AC40" s="25">
        <f t="shared" ca="1" si="16"/>
        <v>295817.77983526175</v>
      </c>
      <c r="AD40" s="41">
        <f t="shared" si="17"/>
        <v>1180538.2122001322</v>
      </c>
      <c r="AE40" s="6">
        <v>100</v>
      </c>
      <c r="AF40" s="41">
        <f t="shared" si="18"/>
        <v>3934.0266015718489</v>
      </c>
      <c r="AG40" s="41">
        <f t="shared" ca="1" si="19"/>
        <v>2948.2431656244516</v>
      </c>
      <c r="AH40" s="41">
        <f t="shared" ca="1" si="20"/>
        <v>884720.43236487044</v>
      </c>
      <c r="AI40" s="41">
        <f t="shared" si="21"/>
        <v>3005.4120255018729</v>
      </c>
      <c r="AJ40" s="13">
        <f t="shared" ca="1" si="22"/>
        <v>67.763857837306517</v>
      </c>
      <c r="AK40" s="11">
        <f t="shared" ca="1" si="23"/>
        <v>4031.0170586573067</v>
      </c>
      <c r="AL40" s="6">
        <f t="shared" si="48"/>
        <v>266.66665999999998</v>
      </c>
      <c r="AM40" s="41">
        <f t="shared" ca="1" si="24"/>
        <v>3.9352343345067067</v>
      </c>
      <c r="AN40" s="41">
        <f t="shared" ca="1" si="25"/>
        <v>3.2852779422484208</v>
      </c>
      <c r="AO40" s="41">
        <f t="shared" ca="1" si="26"/>
        <v>0.18933119887933292</v>
      </c>
      <c r="AP40" s="67">
        <f t="shared" si="45"/>
        <v>0.76395315280813147</v>
      </c>
      <c r="AQ40" s="11">
        <f t="shared" si="27"/>
        <v>0.97963586816424886</v>
      </c>
      <c r="AR40" s="11">
        <f t="shared" si="28"/>
        <v>0.67358855584751876</v>
      </c>
      <c r="AS40" s="11">
        <f t="shared" si="29"/>
        <v>0.68759074441584533</v>
      </c>
      <c r="AT40" s="11">
        <f t="shared" si="30"/>
        <v>508.10773574075091</v>
      </c>
      <c r="AU40" s="11">
        <f t="shared" si="31"/>
        <v>1425.4615736556359</v>
      </c>
      <c r="AV40" s="11">
        <f t="shared" si="32"/>
        <v>1.6343344404020227E-3</v>
      </c>
      <c r="AW40" s="11">
        <f t="shared" si="33"/>
        <v>3.6778040377618325E-7</v>
      </c>
      <c r="AX40" s="41">
        <f t="shared" ca="1" si="34"/>
        <v>1.0580736798424999</v>
      </c>
      <c r="AY40" s="41">
        <f t="shared" ca="1" si="35"/>
        <v>1.425246268079235</v>
      </c>
      <c r="AZ40" s="41">
        <f t="shared" si="36"/>
        <v>0.19951945299526835</v>
      </c>
    </row>
    <row r="41" spans="1:52" ht="14.5">
      <c r="A41" s="66">
        <f t="shared" ca="1" si="37"/>
        <v>182.01434966313354</v>
      </c>
      <c r="B41" s="41">
        <f t="shared" ca="1" si="49"/>
        <v>3.0335724943855591</v>
      </c>
      <c r="C41" s="41">
        <f t="shared" ca="1" si="49"/>
        <v>5.0559541573092649E-2</v>
      </c>
      <c r="D41" s="41">
        <f t="shared" ca="1" si="39"/>
        <v>13165.407677074356</v>
      </c>
      <c r="E41" s="41">
        <f t="shared" ca="1" si="40"/>
        <v>3.1927135339423618</v>
      </c>
      <c r="F41" s="41">
        <f t="shared" ca="1" si="41"/>
        <v>3.1927135339423618</v>
      </c>
      <c r="G41" s="41"/>
      <c r="H41" s="7">
        <f t="shared" si="42"/>
        <v>10799.999880000007</v>
      </c>
      <c r="I41" s="6">
        <v>15</v>
      </c>
      <c r="J41" s="41">
        <f t="shared" si="1"/>
        <v>0.27833494713081691</v>
      </c>
      <c r="K41" s="41">
        <f t="shared" si="2"/>
        <v>307.27856590478791</v>
      </c>
      <c r="L41" s="6">
        <f t="shared" si="46"/>
        <v>150.80000000000007</v>
      </c>
      <c r="M41" s="41">
        <f t="shared" si="3"/>
        <v>182.05763384153235</v>
      </c>
      <c r="N41" s="41">
        <f t="shared" si="4"/>
        <v>76.501977086488907</v>
      </c>
      <c r="O41" s="41">
        <f t="shared" si="5"/>
        <v>1355868.1645213675</v>
      </c>
      <c r="P41" s="41">
        <f t="shared" si="6"/>
        <v>8705626.3633184768</v>
      </c>
      <c r="Q41" s="41">
        <f t="shared" si="7"/>
        <v>3.0493306529107214E-3</v>
      </c>
      <c r="R41" s="41">
        <f t="shared" si="43"/>
        <v>2.040262233049174E-2</v>
      </c>
      <c r="S41" s="24">
        <f t="shared" ca="1" si="44"/>
        <v>12.918351863326599</v>
      </c>
      <c r="T41" s="10">
        <f t="shared" ca="1" si="8"/>
        <v>12.918351863326599</v>
      </c>
      <c r="U41" s="41">
        <f t="shared" ca="1" si="9"/>
        <v>0.7292898437565053</v>
      </c>
      <c r="V41" s="41">
        <f t="shared" ca="1" si="10"/>
        <v>5.3993389441314724E-2</v>
      </c>
      <c r="W41" s="41">
        <f t="shared" ca="1" si="11"/>
        <v>13.507020976135765</v>
      </c>
      <c r="X41" s="20">
        <f t="shared" ca="1" si="12"/>
        <v>950.03823962810611</v>
      </c>
      <c r="Y41" s="41">
        <f t="shared" si="13"/>
        <v>0.56837268695310927</v>
      </c>
      <c r="Z41" s="41">
        <f t="shared" ca="1" si="14"/>
        <v>169.38569452269084</v>
      </c>
      <c r="AA41" s="14">
        <f t="shared" ca="1" si="15"/>
        <v>974.70846460777898</v>
      </c>
      <c r="AB41" s="14">
        <f t="shared" si="47"/>
        <v>3893.3273367218007</v>
      </c>
      <c r="AC41" s="25">
        <f t="shared" ca="1" si="16"/>
        <v>299507.01917993603</v>
      </c>
      <c r="AD41" s="41">
        <f t="shared" si="17"/>
        <v>1196336.0406257822</v>
      </c>
      <c r="AE41" s="6">
        <v>100</v>
      </c>
      <c r="AF41" s="41">
        <f t="shared" si="18"/>
        <v>3893.3273367218007</v>
      </c>
      <c r="AG41" s="41">
        <f t="shared" ca="1" si="19"/>
        <v>2918.6188721140215</v>
      </c>
      <c r="AH41" s="41">
        <f t="shared" ca="1" si="20"/>
        <v>896829.02144584619</v>
      </c>
      <c r="AI41" s="41">
        <f t="shared" si="21"/>
        <v>2979.5836047424582</v>
      </c>
      <c r="AJ41" s="13">
        <f t="shared" ca="1" si="22"/>
        <v>68.695909384792273</v>
      </c>
      <c r="AK41" s="11">
        <f t="shared" ca="1" si="23"/>
        <v>4087.2066104305009</v>
      </c>
      <c r="AL41" s="6">
        <f t="shared" si="48"/>
        <v>266.66665999999998</v>
      </c>
      <c r="AM41" s="41">
        <f t="shared" ca="1" si="24"/>
        <v>3.881841908610558</v>
      </c>
      <c r="AN41" s="41">
        <f t="shared" ca="1" si="25"/>
        <v>3.2128534741939414</v>
      </c>
      <c r="AO41" s="41">
        <f t="shared" ca="1" si="26"/>
        <v>0.1913421221251512</v>
      </c>
      <c r="AP41" s="67">
        <f t="shared" si="45"/>
        <v>0.76530518681002591</v>
      </c>
      <c r="AQ41" s="11">
        <f t="shared" si="27"/>
        <v>0.97780244154341789</v>
      </c>
      <c r="AR41" s="11">
        <f t="shared" si="28"/>
        <v>0.66661998094681885</v>
      </c>
      <c r="AS41" s="11">
        <f t="shared" si="29"/>
        <v>0.68175323830710499</v>
      </c>
      <c r="AT41" s="11">
        <f t="shared" si="30"/>
        <v>507.15679235532451</v>
      </c>
      <c r="AU41" s="11">
        <f t="shared" si="31"/>
        <v>1410.7145360792767</v>
      </c>
      <c r="AV41" s="11">
        <f t="shared" si="32"/>
        <v>1.6204592721321578E-3</v>
      </c>
      <c r="AW41" s="11">
        <f t="shared" si="33"/>
        <v>3.672424902930441E-7</v>
      </c>
      <c r="AX41" s="41">
        <f t="shared" ca="1" si="34"/>
        <v>1.0746337862777857</v>
      </c>
      <c r="AY41" s="41">
        <f t="shared" ca="1" si="35"/>
        <v>1.4475530604563023</v>
      </c>
      <c r="AZ41" s="41">
        <f t="shared" si="36"/>
        <v>0.2042010380839055</v>
      </c>
    </row>
    <row r="42" spans="1:52" ht="14.5">
      <c r="A42" s="66">
        <f t="shared" ca="1" si="37"/>
        <v>185.89619157174411</v>
      </c>
      <c r="B42" s="41">
        <f t="shared" ca="1" si="49"/>
        <v>3.0982698595290685</v>
      </c>
      <c r="C42" s="41">
        <f t="shared" ca="1" si="49"/>
        <v>5.1637830992151142E-2</v>
      </c>
      <c r="D42" s="41">
        <f t="shared" ca="1" si="39"/>
        <v>13162.194823600163</v>
      </c>
      <c r="E42" s="41">
        <f t="shared" ca="1" si="40"/>
        <v>3.3840556560675128</v>
      </c>
      <c r="F42" s="41">
        <f t="shared" ca="1" si="41"/>
        <v>3.3840556560675128</v>
      </c>
      <c r="G42" s="41"/>
      <c r="H42" s="7">
        <f t="shared" si="42"/>
        <v>11066.666540000007</v>
      </c>
      <c r="I42" s="6">
        <v>15</v>
      </c>
      <c r="J42" s="41">
        <f t="shared" si="1"/>
        <v>0.28516713650435283</v>
      </c>
      <c r="K42" s="41">
        <f t="shared" si="2"/>
        <v>314.52593308101024</v>
      </c>
      <c r="L42" s="6">
        <f t="shared" si="46"/>
        <v>153.73333333333341</v>
      </c>
      <c r="M42" s="41">
        <f t="shared" si="3"/>
        <v>186.35158293556927</v>
      </c>
      <c r="N42" s="41">
        <f t="shared" si="4"/>
        <v>79.471389090535112</v>
      </c>
      <c r="O42" s="41">
        <f t="shared" si="5"/>
        <v>1378061.438957249</v>
      </c>
      <c r="P42" s="41">
        <f t="shared" si="6"/>
        <v>8848122.7800593879</v>
      </c>
      <c r="Q42" s="41">
        <f t="shared" si="7"/>
        <v>3.0402683148305961E-3</v>
      </c>
      <c r="R42" s="41">
        <f t="shared" si="43"/>
        <v>2.0350903292777965E-2</v>
      </c>
      <c r="S42" s="24">
        <f t="shared" ca="1" si="44"/>
        <v>12.780425905666355</v>
      </c>
      <c r="T42" s="10">
        <f t="shared" ca="1" si="8"/>
        <v>12.780425905666355</v>
      </c>
      <c r="U42" s="41">
        <f t="shared" ca="1" si="9"/>
        <v>0.70225444070730114</v>
      </c>
      <c r="V42" s="41">
        <f t="shared" ca="1" si="10"/>
        <v>5.1497355100695967E-2</v>
      </c>
      <c r="W42" s="41">
        <f t="shared" ca="1" si="11"/>
        <v>13.636708901537556</v>
      </c>
      <c r="X42" s="20">
        <f t="shared" ca="1" si="12"/>
        <v>941.29025919839819</v>
      </c>
      <c r="Y42" s="41">
        <f t="shared" si="13"/>
        <v>0.56765183988398926</v>
      </c>
      <c r="Z42" s="41">
        <f t="shared" ca="1" si="14"/>
        <v>170.13673162593238</v>
      </c>
      <c r="AA42" s="14">
        <f t="shared" ca="1" si="15"/>
        <v>965.20318198741552</v>
      </c>
      <c r="AB42" s="14">
        <f t="shared" si="47"/>
        <v>3852.9696897373192</v>
      </c>
      <c r="AC42" s="25">
        <f t="shared" ca="1" si="16"/>
        <v>303581.43142735201</v>
      </c>
      <c r="AD42" s="41">
        <f t="shared" si="17"/>
        <v>1211858.8867974808</v>
      </c>
      <c r="AE42" s="6">
        <v>100</v>
      </c>
      <c r="AF42" s="41">
        <f t="shared" si="18"/>
        <v>3852.9696897373192</v>
      </c>
      <c r="AG42" s="41">
        <f t="shared" ca="1" si="19"/>
        <v>2887.7665077499037</v>
      </c>
      <c r="AH42" s="41">
        <f t="shared" ca="1" si="20"/>
        <v>908277.45537012874</v>
      </c>
      <c r="AI42" s="41">
        <f t="shared" si="21"/>
        <v>2953.9231002112524</v>
      </c>
      <c r="AJ42" s="13">
        <f t="shared" ca="1" si="22"/>
        <v>69.577961882237716</v>
      </c>
      <c r="AK42" s="11">
        <f t="shared" ca="1" si="23"/>
        <v>4140.3920890529444</v>
      </c>
      <c r="AL42" s="6">
        <f t="shared" si="48"/>
        <v>266.66665999999998</v>
      </c>
      <c r="AM42" s="41">
        <f t="shared" ca="1" si="24"/>
        <v>3.832631091599656</v>
      </c>
      <c r="AN42" s="41">
        <f t="shared" ca="1" si="25"/>
        <v>3.1448048655733594</v>
      </c>
      <c r="AO42" s="41">
        <f t="shared" ca="1" si="26"/>
        <v>0.19347837150804839</v>
      </c>
      <c r="AP42" s="67">
        <f t="shared" si="45"/>
        <v>0.76666139058380178</v>
      </c>
      <c r="AQ42" s="11">
        <f t="shared" si="27"/>
        <v>0.97596901492258681</v>
      </c>
      <c r="AR42" s="11">
        <f t="shared" si="28"/>
        <v>0.65970989824966075</v>
      </c>
      <c r="AS42" s="11">
        <f t="shared" si="29"/>
        <v>0.67595373230367206</v>
      </c>
      <c r="AT42" s="11">
        <f t="shared" si="30"/>
        <v>506.20584896989806</v>
      </c>
      <c r="AU42" s="11">
        <f t="shared" si="31"/>
        <v>1396.0912808738969</v>
      </c>
      <c r="AV42" s="11">
        <f t="shared" si="32"/>
        <v>1.6066744263125981E-3</v>
      </c>
      <c r="AW42" s="11">
        <f t="shared" si="33"/>
        <v>3.6670409519313436E-7</v>
      </c>
      <c r="AX42" s="41">
        <f t="shared" ca="1" si="34"/>
        <v>1.0927449542160053</v>
      </c>
      <c r="AY42" s="41">
        <f t="shared" ca="1" si="35"/>
        <v>1.4719491634936124</v>
      </c>
      <c r="AZ42" s="41">
        <f t="shared" si="36"/>
        <v>0.20890205575076268</v>
      </c>
    </row>
    <row r="43" spans="1:52" ht="14.5">
      <c r="A43" s="66">
        <f t="shared" ca="1" si="37"/>
        <v>189.72882266334378</v>
      </c>
      <c r="B43" s="41">
        <f t="shared" ca="1" si="49"/>
        <v>3.1621470443890631</v>
      </c>
      <c r="C43" s="41">
        <f t="shared" ca="1" si="49"/>
        <v>5.2702450739817719E-2</v>
      </c>
      <c r="D43" s="41">
        <f t="shared" ca="1" si="39"/>
        <v>13159.05001873459</v>
      </c>
      <c r="E43" s="41">
        <f t="shared" ca="1" si="40"/>
        <v>3.5775340275755614</v>
      </c>
      <c r="F43" s="41">
        <f t="shared" ca="1" si="41"/>
        <v>3.5775340275755614</v>
      </c>
      <c r="G43" s="41"/>
      <c r="H43" s="7">
        <f t="shared" si="42"/>
        <v>11333.333200000008</v>
      </c>
      <c r="I43" s="6">
        <v>15</v>
      </c>
      <c r="J43" s="41">
        <f t="shared" si="1"/>
        <v>0.29206044636862932</v>
      </c>
      <c r="K43" s="41">
        <f t="shared" si="2"/>
        <v>321.82621630866782</v>
      </c>
      <c r="L43" s="6">
        <f t="shared" si="46"/>
        <v>156.66666666666674</v>
      </c>
      <c r="M43" s="41">
        <f t="shared" si="3"/>
        <v>190.67688394342474</v>
      </c>
      <c r="N43" s="41">
        <f t="shared" si="4"/>
        <v>82.494126513130482</v>
      </c>
      <c r="O43" s="41">
        <f t="shared" si="5"/>
        <v>1400085.3685727462</v>
      </c>
      <c r="P43" s="41">
        <f t="shared" si="6"/>
        <v>8989531.8840575088</v>
      </c>
      <c r="Q43" s="41">
        <f t="shared" si="7"/>
        <v>3.0313911589087738E-3</v>
      </c>
      <c r="R43" s="41">
        <f t="shared" si="43"/>
        <v>2.030024109524655E-2</v>
      </c>
      <c r="S43" s="24">
        <f t="shared" ca="1" si="44"/>
        <v>12.637577035937571</v>
      </c>
      <c r="T43" s="10">
        <f t="shared" ca="1" si="8"/>
        <v>12.637577035937571</v>
      </c>
      <c r="U43" s="41">
        <f t="shared" ca="1" si="9"/>
        <v>0.67674130691063084</v>
      </c>
      <c r="V43" s="41">
        <f t="shared" ca="1" si="10"/>
        <v>4.9224681290058955E-2</v>
      </c>
      <c r="W43" s="41">
        <f t="shared" ca="1" si="11"/>
        <v>13.748007893091232</v>
      </c>
      <c r="X43" s="20">
        <f t="shared" ca="1" si="12"/>
        <v>933.97182975944963</v>
      </c>
      <c r="Y43" s="41">
        <f t="shared" si="13"/>
        <v>0.56694483416491059</v>
      </c>
      <c r="Z43" s="41">
        <f t="shared" ca="1" si="14"/>
        <v>170.89412835131162</v>
      </c>
      <c r="AA43" s="14">
        <f t="shared" ca="1" si="15"/>
        <v>957.1604934375539</v>
      </c>
      <c r="AB43" s="14">
        <f t="shared" si="47"/>
        <v>3812.9514625625529</v>
      </c>
      <c r="AC43" s="25">
        <f t="shared" ca="1" si="16"/>
        <v>308039.34000314545</v>
      </c>
      <c r="AD43" s="41">
        <f t="shared" si="17"/>
        <v>1227107.7421651075</v>
      </c>
      <c r="AE43" s="6">
        <v>100</v>
      </c>
      <c r="AF43" s="41">
        <f t="shared" si="18"/>
        <v>3812.9514625625529</v>
      </c>
      <c r="AG43" s="41">
        <f t="shared" ca="1" si="19"/>
        <v>2855.7909691249988</v>
      </c>
      <c r="AH43" s="41">
        <f t="shared" ca="1" si="20"/>
        <v>919068.40216196212</v>
      </c>
      <c r="AI43" s="41">
        <f t="shared" si="21"/>
        <v>2928.4292355605235</v>
      </c>
      <c r="AJ43" s="13">
        <f t="shared" ca="1" si="22"/>
        <v>70.410183161826623</v>
      </c>
      <c r="AK43" s="11">
        <f t="shared" ca="1" si="23"/>
        <v>4190.5839746189013</v>
      </c>
      <c r="AL43" s="6">
        <f t="shared" si="48"/>
        <v>266.66665999999998</v>
      </c>
      <c r="AM43" s="41">
        <f t="shared" ca="1" si="24"/>
        <v>3.7873308664331837</v>
      </c>
      <c r="AN43" s="41">
        <f t="shared" ca="1" si="25"/>
        <v>3.080814009445473</v>
      </c>
      <c r="AO43" s="41">
        <f t="shared" ca="1" si="26"/>
        <v>0.1957391982166623</v>
      </c>
      <c r="AP43" s="67">
        <f t="shared" si="45"/>
        <v>0.76802164001123352</v>
      </c>
      <c r="AQ43" s="11">
        <f t="shared" si="27"/>
        <v>0.97413558830175584</v>
      </c>
      <c r="AR43" s="11">
        <f t="shared" si="28"/>
        <v>0.6528579314023959</v>
      </c>
      <c r="AS43" s="11">
        <f t="shared" si="29"/>
        <v>0.67019205461997922</v>
      </c>
      <c r="AT43" s="11">
        <f t="shared" si="30"/>
        <v>505.25490558447166</v>
      </c>
      <c r="AU43" s="11">
        <f t="shared" si="31"/>
        <v>1381.5910115923782</v>
      </c>
      <c r="AV43" s="11">
        <f t="shared" si="32"/>
        <v>1.5929794946262287E-3</v>
      </c>
      <c r="AW43" s="11">
        <f t="shared" si="33"/>
        <v>3.6616521743632225E-7</v>
      </c>
      <c r="AX43" s="41">
        <f t="shared" ca="1" si="34"/>
        <v>1.1122927221324677</v>
      </c>
      <c r="AY43" s="41">
        <f t="shared" ca="1" si="35"/>
        <v>1.4982803952433372</v>
      </c>
      <c r="AZ43" s="41">
        <f t="shared" si="36"/>
        <v>0.21362213730118973</v>
      </c>
    </row>
    <row r="44" spans="1:52" ht="14.5">
      <c r="A44" s="66">
        <f t="shared" ca="1" si="37"/>
        <v>193.51615352977697</v>
      </c>
      <c r="B44" s="41">
        <f t="shared" ca="1" si="49"/>
        <v>3.2252692254962829</v>
      </c>
      <c r="C44" s="41">
        <f t="shared" ca="1" si="49"/>
        <v>5.3754487091604714E-2</v>
      </c>
      <c r="D44" s="41">
        <f t="shared" ca="1" si="39"/>
        <v>13155.969204725145</v>
      </c>
      <c r="E44" s="41">
        <f t="shared" ca="1" si="40"/>
        <v>3.7732732257922237</v>
      </c>
      <c r="F44" s="41">
        <f t="shared" ca="1" si="41"/>
        <v>3.7732732257922237</v>
      </c>
      <c r="G44" s="41"/>
      <c r="H44" s="7">
        <f t="shared" si="42"/>
        <v>11599.999860000009</v>
      </c>
      <c r="I44" s="6">
        <v>15</v>
      </c>
      <c r="J44" s="41">
        <f t="shared" si="1"/>
        <v>0.29901521682314863</v>
      </c>
      <c r="K44" s="41">
        <f t="shared" si="2"/>
        <v>329.17957900144256</v>
      </c>
      <c r="L44" s="6">
        <f t="shared" si="46"/>
        <v>159.60000000000008</v>
      </c>
      <c r="M44" s="41">
        <f t="shared" si="3"/>
        <v>195.03363368509071</v>
      </c>
      <c r="N44" s="41">
        <f t="shared" si="4"/>
        <v>85.569851585807015</v>
      </c>
      <c r="O44" s="41">
        <f t="shared" si="5"/>
        <v>1421939.0748098604</v>
      </c>
      <c r="P44" s="41">
        <f t="shared" si="6"/>
        <v>9129848.034353137</v>
      </c>
      <c r="Q44" s="41">
        <f t="shared" si="7"/>
        <v>3.022690047293981E-3</v>
      </c>
      <c r="R44" s="41">
        <f t="shared" si="43"/>
        <v>2.0250583587903697E-2</v>
      </c>
      <c r="S44" s="24">
        <f t="shared" ca="1" si="44"/>
        <v>12.490229368196957</v>
      </c>
      <c r="T44" s="10">
        <f t="shared" ca="1" si="8"/>
        <v>12.490229368196957</v>
      </c>
      <c r="U44" s="41">
        <f t="shared" ca="1" si="9"/>
        <v>0.65263770186892478</v>
      </c>
      <c r="V44" s="41">
        <f t="shared" ca="1" si="10"/>
        <v>4.7151303845977252E-2</v>
      </c>
      <c r="W44" s="41">
        <f t="shared" ca="1" si="11"/>
        <v>13.841350050484447</v>
      </c>
      <c r="X44" s="20">
        <f t="shared" ca="1" si="12"/>
        <v>927.98791660083998</v>
      </c>
      <c r="Y44" s="41">
        <f t="shared" si="13"/>
        <v>0.56625099252764932</v>
      </c>
      <c r="Z44" s="41">
        <f t="shared" ca="1" si="14"/>
        <v>171.65772163462384</v>
      </c>
      <c r="AA44" s="14">
        <f t="shared" ca="1" si="15"/>
        <v>950.48309281540685</v>
      </c>
      <c r="AB44" s="14">
        <f t="shared" si="47"/>
        <v>3773.2704669604227</v>
      </c>
      <c r="AC44" s="25">
        <f t="shared" ca="1" si="16"/>
        <v>312879.62434096466</v>
      </c>
      <c r="AD44" s="41">
        <f t="shared" si="17"/>
        <v>1242083.5837726085</v>
      </c>
      <c r="AE44" s="6">
        <v>100</v>
      </c>
      <c r="AF44" s="41">
        <f t="shared" si="18"/>
        <v>3773.2704669604227</v>
      </c>
      <c r="AG44" s="41">
        <f t="shared" ca="1" si="19"/>
        <v>2822.7873741450157</v>
      </c>
      <c r="AH44" s="41">
        <f t="shared" ca="1" si="20"/>
        <v>929203.95943164383</v>
      </c>
      <c r="AI44" s="41">
        <f t="shared" si="21"/>
        <v>2903.1007440207832</v>
      </c>
      <c r="AJ44" s="13">
        <f t="shared" ca="1" si="22"/>
        <v>71.192695687606403</v>
      </c>
      <c r="AK44" s="11">
        <f t="shared" ca="1" si="23"/>
        <v>4237.7902150967675</v>
      </c>
      <c r="AL44" s="6">
        <f t="shared" si="48"/>
        <v>266.66665999999998</v>
      </c>
      <c r="AM44" s="41">
        <f t="shared" ca="1" si="24"/>
        <v>3.7457025250193285</v>
      </c>
      <c r="AN44" s="41">
        <f t="shared" ca="1" si="25"/>
        <v>3.020597718684483</v>
      </c>
      <c r="AO44" s="41">
        <f t="shared" ca="1" si="26"/>
        <v>0.19812451682056992</v>
      </c>
      <c r="AP44" s="67">
        <f t="shared" si="45"/>
        <v>0.76938580720384742</v>
      </c>
      <c r="AQ44" s="11">
        <f t="shared" si="27"/>
        <v>0.97230216168092487</v>
      </c>
      <c r="AR44" s="11">
        <f t="shared" si="28"/>
        <v>0.64606370573255645</v>
      </c>
      <c r="AS44" s="11">
        <f t="shared" si="29"/>
        <v>0.66446803390381814</v>
      </c>
      <c r="AT44" s="11">
        <f t="shared" si="30"/>
        <v>504.30396219904526</v>
      </c>
      <c r="AU44" s="11">
        <f t="shared" si="31"/>
        <v>1367.2129353453504</v>
      </c>
      <c r="AV44" s="11">
        <f t="shared" si="32"/>
        <v>1.5793740697859853E-3</v>
      </c>
      <c r="AW44" s="11">
        <f t="shared" si="33"/>
        <v>3.6562585597942412E-7</v>
      </c>
      <c r="AX44" s="41">
        <f t="shared" ca="1" si="34"/>
        <v>1.1331778673722961</v>
      </c>
      <c r="AY44" s="41">
        <f t="shared" ca="1" si="35"/>
        <v>1.5264131008180466</v>
      </c>
      <c r="AZ44" s="41">
        <f t="shared" si="36"/>
        <v>0.21836089960539151</v>
      </c>
    </row>
    <row r="45" spans="1:52" ht="14.5">
      <c r="A45" s="66">
        <f t="shared" ca="1" si="37"/>
        <v>197.26185605479631</v>
      </c>
      <c r="B45" s="41">
        <f t="shared" ca="1" si="49"/>
        <v>3.2876976009132717</v>
      </c>
      <c r="C45" s="41">
        <f t="shared" ca="1" si="49"/>
        <v>5.4794960015221196E-2</v>
      </c>
      <c r="D45" s="41">
        <f t="shared" ca="1" si="39"/>
        <v>13152.948607006459</v>
      </c>
      <c r="E45" s="41">
        <f t="shared" ca="1" si="40"/>
        <v>3.9713977426127935</v>
      </c>
      <c r="F45" s="41">
        <f t="shared" ca="1" si="41"/>
        <v>3.9713977426127935</v>
      </c>
      <c r="G45" s="41"/>
      <c r="H45" s="7">
        <f t="shared" si="42"/>
        <v>11866.66652000001</v>
      </c>
      <c r="I45" s="6">
        <v>15</v>
      </c>
      <c r="J45" s="41">
        <f t="shared" si="1"/>
        <v>0.30603178126426189</v>
      </c>
      <c r="K45" s="41">
        <f t="shared" si="2"/>
        <v>336.5861753499924</v>
      </c>
      <c r="L45" s="6">
        <f t="shared" si="46"/>
        <v>162.53333333333342</v>
      </c>
      <c r="M45" s="41">
        <f t="shared" si="3"/>
        <v>199.42192351606491</v>
      </c>
      <c r="N45" s="41">
        <f t="shared" si="4"/>
        <v>88.69821041873</v>
      </c>
      <c r="O45" s="41">
        <f t="shared" si="5"/>
        <v>1443621.6551673631</v>
      </c>
      <c r="P45" s="41">
        <f t="shared" si="6"/>
        <v>9269065.4362542145</v>
      </c>
      <c r="Q45" s="41">
        <f t="shared" si="7"/>
        <v>3.0141563541750257E-3</v>
      </c>
      <c r="R45" s="41">
        <f t="shared" si="43"/>
        <v>2.0201881542983861E-2</v>
      </c>
      <c r="S45" s="24">
        <f t="shared" ca="1" si="44"/>
        <v>12.338767785865654</v>
      </c>
      <c r="T45" s="10">
        <f t="shared" ca="1" si="8"/>
        <v>12.338767785865654</v>
      </c>
      <c r="U45" s="41">
        <f t="shared" ca="1" si="9"/>
        <v>0.62984121567691942</v>
      </c>
      <c r="V45" s="41">
        <f t="shared" ca="1" si="10"/>
        <v>4.5256151017341935E-2</v>
      </c>
      <c r="W45" s="41">
        <f t="shared" ca="1" si="11"/>
        <v>13.917251059100614</v>
      </c>
      <c r="X45" s="20">
        <f t="shared" ca="1" si="12"/>
        <v>923.2521093059438</v>
      </c>
      <c r="Y45" s="41">
        <f t="shared" si="13"/>
        <v>0.56556967433412819</v>
      </c>
      <c r="Z45" s="41">
        <f t="shared" ca="1" si="14"/>
        <v>172.42736508085079</v>
      </c>
      <c r="AA45" s="14">
        <f t="shared" ca="1" si="15"/>
        <v>945.08236943858458</v>
      </c>
      <c r="AB45" s="14">
        <f t="shared" si="47"/>
        <v>3733.9245244881586</v>
      </c>
      <c r="AC45" s="25">
        <f t="shared" ca="1" si="16"/>
        <v>318101.66012004175</v>
      </c>
      <c r="AD45" s="41">
        <f t="shared" si="17"/>
        <v>1256787.3747430083</v>
      </c>
      <c r="AE45" s="6">
        <v>100</v>
      </c>
      <c r="AF45" s="41">
        <f t="shared" si="18"/>
        <v>3733.9245244881586</v>
      </c>
      <c r="AG45" s="41">
        <f t="shared" ca="1" si="19"/>
        <v>2788.8421550495741</v>
      </c>
      <c r="AH45" s="41">
        <f t="shared" ca="1" si="20"/>
        <v>938685.71462296648</v>
      </c>
      <c r="AI45" s="41">
        <f t="shared" si="21"/>
        <v>2877.9363685874137</v>
      </c>
      <c r="AJ45" s="13">
        <f t="shared" ca="1" si="22"/>
        <v>71.925581605630526</v>
      </c>
      <c r="AK45" s="11">
        <f t="shared" ca="1" si="23"/>
        <v>4282.0164938055195</v>
      </c>
      <c r="AL45" s="6">
        <f t="shared" si="48"/>
        <v>266.66665999999998</v>
      </c>
      <c r="AM45" s="41">
        <f t="shared" ca="1" si="24"/>
        <v>3.7075356785036355</v>
      </c>
      <c r="AN45" s="41">
        <f t="shared" ca="1" si="25"/>
        <v>2.963903268611396</v>
      </c>
      <c r="AO45" s="41">
        <f t="shared" ca="1" si="26"/>
        <v>0.20063485677518533</v>
      </c>
      <c r="AP45" s="67">
        <f t="shared" si="45"/>
        <v>0.77075376047723332</v>
      </c>
      <c r="AQ45" s="11">
        <f t="shared" si="27"/>
        <v>0.97046873506009379</v>
      </c>
      <c r="AR45" s="11">
        <f t="shared" si="28"/>
        <v>0.6393268482446679</v>
      </c>
      <c r="AS45" s="11">
        <f t="shared" si="29"/>
        <v>0.65878149923611828</v>
      </c>
      <c r="AT45" s="11">
        <f t="shared" si="30"/>
        <v>503.3530188136188</v>
      </c>
      <c r="AU45" s="11">
        <f t="shared" si="31"/>
        <v>1352.956262792331</v>
      </c>
      <c r="AV45" s="11">
        <f t="shared" si="32"/>
        <v>1.5658577455343295E-3</v>
      </c>
      <c r="AW45" s="11">
        <f t="shared" si="33"/>
        <v>3.6508600977619703E-7</v>
      </c>
      <c r="AX45" s="41">
        <f t="shared" ca="1" si="34"/>
        <v>1.1553138808069987</v>
      </c>
      <c r="AY45" s="41">
        <f t="shared" ca="1" si="35"/>
        <v>1.5562307507029374</v>
      </c>
      <c r="AZ45" s="41">
        <f t="shared" si="36"/>
        <v>0.22311794491507822</v>
      </c>
    </row>
    <row r="46" spans="1:52" ht="14.5">
      <c r="A46" s="66">
        <f t="shared" ca="1" si="37"/>
        <v>200.96939173329994</v>
      </c>
      <c r="B46" s="41">
        <f t="shared" ca="1" si="49"/>
        <v>3.3494898622216658</v>
      </c>
      <c r="C46" s="41">
        <f t="shared" ca="1" si="49"/>
        <v>5.5824831037027761E-2</v>
      </c>
      <c r="D46" s="41">
        <f t="shared" ca="1" si="39"/>
        <v>13149.984703737848</v>
      </c>
      <c r="E46" s="41">
        <f t="shared" ca="1" si="40"/>
        <v>4.172032599387979</v>
      </c>
      <c r="F46" s="41">
        <f t="shared" ca="1" si="41"/>
        <v>4.172032599387979</v>
      </c>
      <c r="G46" s="41"/>
      <c r="H46" s="7">
        <f t="shared" si="42"/>
        <v>12133.333180000011</v>
      </c>
      <c r="I46" s="6">
        <v>15</v>
      </c>
      <c r="J46" s="41">
        <f t="shared" si="1"/>
        <v>0.3131104661030788</v>
      </c>
      <c r="K46" s="41">
        <f t="shared" si="2"/>
        <v>344.04615004132421</v>
      </c>
      <c r="L46" s="6">
        <f t="shared" si="46"/>
        <v>165.46666666666675</v>
      </c>
      <c r="M46" s="41">
        <f t="shared" si="3"/>
        <v>203.84183916108393</v>
      </c>
      <c r="N46" s="41">
        <f t="shared" si="4"/>
        <v>91.878832576347889</v>
      </c>
      <c r="O46" s="41">
        <f t="shared" si="5"/>
        <v>1465132.1834224968</v>
      </c>
      <c r="P46" s="41">
        <f t="shared" si="6"/>
        <v>9407178.1427597944</v>
      </c>
      <c r="Q46" s="41">
        <f t="shared" si="7"/>
        <v>3.0057819269847094E-3</v>
      </c>
      <c r="R46" s="41">
        <f t="shared" si="43"/>
        <v>2.0154088433539281E-2</v>
      </c>
      <c r="S46" s="24">
        <f t="shared" ca="1" si="44"/>
        <v>12.183542291635161</v>
      </c>
      <c r="T46" s="10">
        <f t="shared" ca="1" si="8"/>
        <v>12.183542291635161</v>
      </c>
      <c r="U46" s="41">
        <f t="shared" ca="1" si="9"/>
        <v>0.60825864882692104</v>
      </c>
      <c r="V46" s="41">
        <f t="shared" ca="1" si="10"/>
        <v>4.3520723537304289E-2</v>
      </c>
      <c r="W46" s="41">
        <f t="shared" ca="1" si="11"/>
        <v>13.976299091294866</v>
      </c>
      <c r="X46" s="20">
        <f t="shared" ca="1" si="12"/>
        <v>919.68565244166598</v>
      </c>
      <c r="Y46" s="41">
        <f t="shared" si="13"/>
        <v>0.56490027284427324</v>
      </c>
      <c r="Z46" s="41">
        <f t="shared" ca="1" si="14"/>
        <v>173.20292737418811</v>
      </c>
      <c r="AA46" s="14">
        <f t="shared" ca="1" si="15"/>
        <v>940.87745388393353</v>
      </c>
      <c r="AB46" s="14">
        <f t="shared" si="47"/>
        <v>3694.9114664728504</v>
      </c>
      <c r="AC46" s="25">
        <f t="shared" ca="1" si="16"/>
        <v>323705.26566945092</v>
      </c>
      <c r="AD46" s="41">
        <f t="shared" si="17"/>
        <v>1271220.0647835275</v>
      </c>
      <c r="AE46" s="6">
        <v>100</v>
      </c>
      <c r="AF46" s="41">
        <f t="shared" si="18"/>
        <v>3694.9114664728504</v>
      </c>
      <c r="AG46" s="41">
        <f t="shared" ca="1" si="19"/>
        <v>2754.034012588917</v>
      </c>
      <c r="AH46" s="41">
        <f t="shared" ca="1" si="20"/>
        <v>947514.79911407665</v>
      </c>
      <c r="AI46" s="41">
        <f t="shared" si="21"/>
        <v>2852.9348622095708</v>
      </c>
      <c r="AJ46" s="13">
        <f t="shared" ca="1" si="22"/>
        <v>72.608887259110503</v>
      </c>
      <c r="AK46" s="11">
        <f t="shared" ca="1" si="23"/>
        <v>4323.2664697081273</v>
      </c>
      <c r="AL46" s="6">
        <f t="shared" si="48"/>
        <v>266.66665999999998</v>
      </c>
      <c r="AM46" s="41">
        <f t="shared" ca="1" si="24"/>
        <v>3.6726449070673555</v>
      </c>
      <c r="AN46" s="41">
        <f t="shared" ca="1" si="25"/>
        <v>2.9105046366358018</v>
      </c>
      <c r="AO46" s="41">
        <f t="shared" ca="1" si="26"/>
        <v>0.2032713250391979</v>
      </c>
      <c r="AP46" s="67">
        <f t="shared" si="45"/>
        <v>0.77212536432786916</v>
      </c>
      <c r="AQ46" s="11">
        <f t="shared" si="27"/>
        <v>0.96863530843926282</v>
      </c>
      <c r="AR46" s="11">
        <f t="shared" si="28"/>
        <v>0.63264698761606231</v>
      </c>
      <c r="AS46" s="11">
        <f t="shared" si="29"/>
        <v>0.65313228013072344</v>
      </c>
      <c r="AT46" s="11">
        <f t="shared" si="30"/>
        <v>502.4020754281924</v>
      </c>
      <c r="AU46" s="11">
        <f t="shared" si="31"/>
        <v>1338.8202081328632</v>
      </c>
      <c r="AV46" s="11">
        <f t="shared" si="32"/>
        <v>1.5524301166427166E-3</v>
      </c>
      <c r="AW46" s="11">
        <f t="shared" si="33"/>
        <v>3.6454567777732802E-7</v>
      </c>
      <c r="AX46" s="41">
        <f t="shared" ca="1" si="34"/>
        <v>1.1786249139081928</v>
      </c>
      <c r="AY46" s="41">
        <f t="shared" ca="1" si="35"/>
        <v>1.5876311754233539</v>
      </c>
      <c r="AZ46" s="41">
        <f t="shared" si="36"/>
        <v>0.22789286068710118</v>
      </c>
    </row>
    <row r="47" spans="1:52" ht="14.5">
      <c r="A47" s="66">
        <f t="shared" ca="1" si="37"/>
        <v>204.64203664036731</v>
      </c>
      <c r="B47" s="41">
        <f t="shared" ca="1" si="49"/>
        <v>3.4107006106727886</v>
      </c>
      <c r="C47" s="41">
        <f t="shared" ca="1" si="49"/>
        <v>5.6845010177879809E-2</v>
      </c>
      <c r="D47" s="41">
        <f t="shared" ca="1" si="39"/>
        <v>13147.074199101211</v>
      </c>
      <c r="E47" s="41">
        <f t="shared" ca="1" si="40"/>
        <v>4.3753039244271772</v>
      </c>
      <c r="F47" s="41">
        <f t="shared" ca="1" si="41"/>
        <v>4.3753039244271772</v>
      </c>
      <c r="G47" s="41"/>
      <c r="H47" s="7">
        <f t="shared" si="42"/>
        <v>12399.999840000011</v>
      </c>
      <c r="I47" s="6">
        <v>15</v>
      </c>
      <c r="J47" s="41">
        <f t="shared" si="1"/>
        <v>0.32025159048201712</v>
      </c>
      <c r="K47" s="41">
        <f t="shared" si="2"/>
        <v>351.55963797849768</v>
      </c>
      <c r="L47" s="6">
        <f t="shared" si="46"/>
        <v>168.40000000000009</v>
      </c>
      <c r="M47" s="41">
        <f t="shared" si="3"/>
        <v>208.29346054805222</v>
      </c>
      <c r="N47" s="41">
        <f t="shared" si="4"/>
        <v>95.111330655756774</v>
      </c>
      <c r="O47" s="41">
        <f t="shared" si="5"/>
        <v>1486469.709882179</v>
      </c>
      <c r="P47" s="41">
        <f t="shared" si="6"/>
        <v>9544180.0561729539</v>
      </c>
      <c r="Q47" s="41">
        <f t="shared" si="7"/>
        <v>2.9975590512096636E-3</v>
      </c>
      <c r="R47" s="41">
        <f t="shared" si="43"/>
        <v>2.0107160232608671E-2</v>
      </c>
      <c r="S47" s="24">
        <f t="shared" ca="1" si="44"/>
        <v>12.02487181111646</v>
      </c>
      <c r="T47" s="10">
        <f t="shared" ca="1" si="8"/>
        <v>12.02487181111646</v>
      </c>
      <c r="U47" s="41">
        <f t="shared" ca="1" si="9"/>
        <v>0.58780503153043651</v>
      </c>
      <c r="V47" s="41">
        <f t="shared" ca="1" si="10"/>
        <v>4.1928740067591445E-2</v>
      </c>
      <c r="W47" s="41">
        <f t="shared" ca="1" si="11"/>
        <v>14.019143684805751</v>
      </c>
      <c r="X47" s="20">
        <f t="shared" ca="1" si="12"/>
        <v>917.21659992603259</v>
      </c>
      <c r="Y47" s="41">
        <f t="shared" si="13"/>
        <v>0.56424221273441943</v>
      </c>
      <c r="Z47" s="41">
        <f t="shared" ca="1" si="14"/>
        <v>173.98429085784718</v>
      </c>
      <c r="AA47" s="14">
        <f t="shared" ca="1" si="15"/>
        <v>937.79438278746602</v>
      </c>
      <c r="AB47" s="14">
        <f t="shared" si="47"/>
        <v>3656.2291339869903</v>
      </c>
      <c r="AC47" s="25">
        <f t="shared" ca="1" si="16"/>
        <v>329690.6537110302</v>
      </c>
      <c r="AD47" s="41">
        <f t="shared" si="17"/>
        <v>1285382.5907109024</v>
      </c>
      <c r="AE47" s="6">
        <v>100</v>
      </c>
      <c r="AF47" s="41">
        <f t="shared" si="18"/>
        <v>3656.2291339869903</v>
      </c>
      <c r="AG47" s="41">
        <f t="shared" ca="1" si="19"/>
        <v>2718.4347511995243</v>
      </c>
      <c r="AH47" s="41">
        <f t="shared" ca="1" si="20"/>
        <v>955691.93699987209</v>
      </c>
      <c r="AI47" s="41">
        <f t="shared" si="21"/>
        <v>2828.0949879811433</v>
      </c>
      <c r="AJ47" s="13">
        <f t="shared" ca="1" si="22"/>
        <v>73.242627242407096</v>
      </c>
      <c r="AK47" s="11">
        <f t="shared" ca="1" si="23"/>
        <v>4361.5419941809132</v>
      </c>
      <c r="AL47" s="6">
        <f t="shared" si="48"/>
        <v>266.66665999999998</v>
      </c>
      <c r="AM47" s="41">
        <f t="shared" ca="1" si="24"/>
        <v>3.6408669382848324</v>
      </c>
      <c r="AN47" s="41">
        <f t="shared" ca="1" si="25"/>
        <v>2.8601993166859963</v>
      </c>
      <c r="AO47" s="41">
        <f t="shared" ca="1" si="26"/>
        <v>0.20603557818399587</v>
      </c>
      <c r="AP47" s="67">
        <f t="shared" si="45"/>
        <v>0.77350047941257016</v>
      </c>
      <c r="AQ47" s="11">
        <f t="shared" si="27"/>
        <v>0.96680188181843185</v>
      </c>
      <c r="AR47" s="11">
        <f t="shared" si="28"/>
        <v>0.62602375419269063</v>
      </c>
      <c r="AS47" s="11">
        <f t="shared" si="29"/>
        <v>0.64752020653416531</v>
      </c>
      <c r="AT47" s="11">
        <f t="shared" si="30"/>
        <v>501.45113204276601</v>
      </c>
      <c r="AU47" s="11">
        <f t="shared" si="31"/>
        <v>1324.8039890976556</v>
      </c>
      <c r="AV47" s="11">
        <f t="shared" si="32"/>
        <v>1.5390907789110575E-3</v>
      </c>
      <c r="AW47" s="11">
        <f t="shared" si="33"/>
        <v>3.6400485893042702E-7</v>
      </c>
      <c r="AX47" s="41">
        <f t="shared" ca="1" si="34"/>
        <v>1.2030440999887015</v>
      </c>
      <c r="AY47" s="41">
        <f t="shared" ca="1" si="35"/>
        <v>1.6205243042231914</v>
      </c>
      <c r="AZ47" s="41">
        <f t="shared" si="36"/>
        <v>0.23268521941454254</v>
      </c>
    </row>
    <row r="48" spans="1:52" ht="14.5">
      <c r="A48" s="66">
        <f t="shared" ca="1" si="37"/>
        <v>208.28290357865214</v>
      </c>
      <c r="B48" s="41">
        <f t="shared" ca="1" si="49"/>
        <v>3.4713817263108688</v>
      </c>
      <c r="C48" s="41">
        <f t="shared" ca="1" si="49"/>
        <v>5.785636210518115E-2</v>
      </c>
      <c r="D48" s="41">
        <f t="shared" ca="1" si="39"/>
        <v>13144.213999784524</v>
      </c>
      <c r="E48" s="41">
        <f t="shared" ca="1" si="40"/>
        <v>4.581339502611173</v>
      </c>
      <c r="F48" s="41">
        <f t="shared" ca="1" si="41"/>
        <v>4.581339502611173</v>
      </c>
      <c r="G48" s="41"/>
      <c r="H48" s="7">
        <f t="shared" si="42"/>
        <v>12666.666500000012</v>
      </c>
      <c r="I48" s="6">
        <v>15</v>
      </c>
      <c r="J48" s="41">
        <f t="shared" si="1"/>
        <v>0.32745546599040481</v>
      </c>
      <c r="K48" s="41">
        <f t="shared" si="2"/>
        <v>359.12676400113077</v>
      </c>
      <c r="L48" s="6">
        <f t="shared" si="46"/>
        <v>171.33333333333343</v>
      </c>
      <c r="M48" s="41">
        <f t="shared" si="3"/>
        <v>212.77686164244597</v>
      </c>
      <c r="N48" s="41">
        <f t="shared" si="4"/>
        <v>98.395299868582626</v>
      </c>
      <c r="O48" s="41">
        <f t="shared" si="5"/>
        <v>1507633.2616648951</v>
      </c>
      <c r="P48" s="41">
        <f t="shared" si="6"/>
        <v>9680064.929910738</v>
      </c>
      <c r="Q48" s="41">
        <f t="shared" si="7"/>
        <v>2.9894804184184692E-3</v>
      </c>
      <c r="R48" s="41">
        <f t="shared" si="43"/>
        <v>2.006105523075271E-2</v>
      </c>
      <c r="S48" s="24">
        <f t="shared" ca="1" si="44"/>
        <v>11.863047527322683</v>
      </c>
      <c r="T48" s="10">
        <f t="shared" ca="1" si="8"/>
        <v>11.863047527322683</v>
      </c>
      <c r="U48" s="41">
        <f t="shared" ca="1" si="9"/>
        <v>0.56840276302872994</v>
      </c>
      <c r="V48" s="41">
        <f t="shared" ca="1" si="10"/>
        <v>4.0465836873476151E-2</v>
      </c>
      <c r="W48" s="41">
        <f t="shared" ca="1" si="11"/>
        <v>14.046484811520031</v>
      </c>
      <c r="X48" s="20">
        <f t="shared" ca="1" si="12"/>
        <v>915.77907532773179</v>
      </c>
      <c r="Y48" s="41">
        <f t="shared" si="13"/>
        <v>0.56359494783967568</v>
      </c>
      <c r="Z48" s="41">
        <f t="shared" ca="1" si="14"/>
        <v>174.77135026434422</v>
      </c>
      <c r="AA48" s="14">
        <f t="shared" ca="1" si="15"/>
        <v>935.76536593728258</v>
      </c>
      <c r="AB48" s="14">
        <f t="shared" si="47"/>
        <v>3617.8753778240507</v>
      </c>
      <c r="AC48" s="25">
        <f t="shared" ca="1" si="16"/>
        <v>336058.38773339026</v>
      </c>
      <c r="AD48" s="41">
        <f t="shared" si="17"/>
        <v>1299275.8769973197</v>
      </c>
      <c r="AE48" s="6">
        <v>100</v>
      </c>
      <c r="AF48" s="41">
        <f t="shared" si="18"/>
        <v>3617.8753778240507</v>
      </c>
      <c r="AG48" s="41">
        <f t="shared" ca="1" si="19"/>
        <v>2682.110011886768</v>
      </c>
      <c r="AH48" s="41">
        <f t="shared" ca="1" si="20"/>
        <v>963217.48926392943</v>
      </c>
      <c r="AI48" s="41">
        <f t="shared" si="21"/>
        <v>2803.4155193336142</v>
      </c>
      <c r="AJ48" s="13">
        <f t="shared" ca="1" si="22"/>
        <v>73.82678805677017</v>
      </c>
      <c r="AK48" s="11">
        <f t="shared" ca="1" si="23"/>
        <v>4396.8433073885726</v>
      </c>
      <c r="AL48" s="6">
        <f t="shared" si="48"/>
        <v>266.66665999999998</v>
      </c>
      <c r="AM48" s="41">
        <f t="shared" ca="1" si="24"/>
        <v>3.612058265286346</v>
      </c>
      <c r="AN48" s="41">
        <f t="shared" ca="1" si="25"/>
        <v>2.8128056104558321</v>
      </c>
      <c r="AO48" s="41">
        <f t="shared" ca="1" si="26"/>
        <v>0.20892980273709341</v>
      </c>
      <c r="AP48" s="67">
        <f t="shared" si="45"/>
        <v>0.774878962530686</v>
      </c>
      <c r="AQ48" s="11">
        <f t="shared" si="27"/>
        <v>0.96496845519760077</v>
      </c>
      <c r="AR48" s="11">
        <f t="shared" si="28"/>
        <v>0.6194567799849412</v>
      </c>
      <c r="AS48" s="11">
        <f t="shared" si="29"/>
        <v>0.64194510882544065</v>
      </c>
      <c r="AT48" s="11">
        <f t="shared" si="30"/>
        <v>500.50018865733955</v>
      </c>
      <c r="AU48" s="11">
        <f t="shared" si="31"/>
        <v>1310.9068269397321</v>
      </c>
      <c r="AV48" s="11">
        <f t="shared" si="32"/>
        <v>1.5258393291671898E-3</v>
      </c>
      <c r="AW48" s="11">
        <f t="shared" si="33"/>
        <v>3.6346355218001782E-7</v>
      </c>
      <c r="AX48" s="41">
        <f t="shared" ca="1" si="34"/>
        <v>1.2285121736347926</v>
      </c>
      <c r="AY48" s="41">
        <f t="shared" ca="1" si="35"/>
        <v>1.6548303054126943</v>
      </c>
      <c r="AZ48" s="41">
        <f t="shared" si="36"/>
        <v>0.23749457846578462</v>
      </c>
    </row>
    <row r="49" spans="1:52" ht="14.5">
      <c r="A49" s="66">
        <f t="shared" ca="1" si="37"/>
        <v>211.89496184393849</v>
      </c>
      <c r="B49" s="41">
        <f t="shared" ca="1" si="49"/>
        <v>3.5315826973989748</v>
      </c>
      <c r="C49" s="41">
        <f t="shared" ca="1" si="49"/>
        <v>5.8859711623316248E-2</v>
      </c>
      <c r="D49" s="41">
        <f t="shared" ca="1" si="39"/>
        <v>13141.401194174068</v>
      </c>
      <c r="E49" s="41">
        <f t="shared" ca="1" si="40"/>
        <v>4.7902693053482661</v>
      </c>
      <c r="F49" s="41">
        <f t="shared" ca="1" si="41"/>
        <v>4.7902693053482661</v>
      </c>
      <c r="G49" s="41"/>
      <c r="H49" s="7">
        <f t="shared" si="42"/>
        <v>12933.333160000013</v>
      </c>
      <c r="I49" s="6">
        <v>15</v>
      </c>
      <c r="J49" s="41">
        <f t="shared" si="1"/>
        <v>0.33472239637950096</v>
      </c>
      <c r="K49" s="41">
        <f t="shared" si="2"/>
        <v>366.74764260712016</v>
      </c>
      <c r="L49" s="6">
        <f t="shared" si="46"/>
        <v>174.26666666666677</v>
      </c>
      <c r="M49" s="41">
        <f t="shared" si="3"/>
        <v>217.29211028243699</v>
      </c>
      <c r="N49" s="41">
        <f t="shared" si="4"/>
        <v>101.73031762717733</v>
      </c>
      <c r="O49" s="41">
        <f t="shared" si="5"/>
        <v>1528621.8430140542</v>
      </c>
      <c r="P49" s="41">
        <f t="shared" si="6"/>
        <v>9814826.3705161344</v>
      </c>
      <c r="Q49" s="41">
        <f t="shared" si="7"/>
        <v>2.9815390971682115E-3</v>
      </c>
      <c r="R49" s="41">
        <f t="shared" si="43"/>
        <v>2.0015733870016896E-2</v>
      </c>
      <c r="S49" s="24">
        <f t="shared" ca="1" si="44"/>
        <v>11.698335811060696</v>
      </c>
      <c r="T49" s="10">
        <f t="shared" ca="1" si="8"/>
        <v>11.698335811060696</v>
      </c>
      <c r="U49" s="41">
        <f t="shared" ca="1" si="9"/>
        <v>0.54998085438538291</v>
      </c>
      <c r="V49" s="41">
        <f t="shared" ca="1" si="10"/>
        <v>3.911931264482324E-2</v>
      </c>
      <c r="W49" s="41">
        <f t="shared" ca="1" si="11"/>
        <v>14.059062319904113</v>
      </c>
      <c r="X49" s="20">
        <f t="shared" ca="1" si="12"/>
        <v>915.3126231643862</v>
      </c>
      <c r="Y49" s="41">
        <f t="shared" si="13"/>
        <v>0.56295795909690938</v>
      </c>
      <c r="Z49" s="41">
        <f t="shared" ca="1" si="14"/>
        <v>175.5640115792005</v>
      </c>
      <c r="AA49" s="14">
        <f t="shared" ca="1" si="15"/>
        <v>934.72814154676121</v>
      </c>
      <c r="AB49" s="14">
        <f t="shared" si="47"/>
        <v>3579.8480584740705</v>
      </c>
      <c r="AC49" s="25">
        <f t="shared" ca="1" si="16"/>
        <v>342809.34239080921</v>
      </c>
      <c r="AD49" s="41">
        <f t="shared" si="17"/>
        <v>1312900.8363370413</v>
      </c>
      <c r="AE49" s="6">
        <v>100</v>
      </c>
      <c r="AF49" s="41">
        <f t="shared" si="18"/>
        <v>3579.8480584740705</v>
      </c>
      <c r="AG49" s="41">
        <f t="shared" ca="1" si="19"/>
        <v>2645.1199169273095</v>
      </c>
      <c r="AH49" s="41">
        <f t="shared" ca="1" si="20"/>
        <v>970091.49394623213</v>
      </c>
      <c r="AI49" s="41">
        <f t="shared" si="21"/>
        <v>2778.8952402305808</v>
      </c>
      <c r="AJ49" s="13">
        <f t="shared" ca="1" si="22"/>
        <v>74.361331421506833</v>
      </c>
      <c r="AK49" s="11">
        <f t="shared" ca="1" si="23"/>
        <v>4429.1692169460557</v>
      </c>
      <c r="AL49" s="6">
        <f t="shared" si="48"/>
        <v>266.66665999999998</v>
      </c>
      <c r="AM49" s="41">
        <f t="shared" ca="1" si="24"/>
        <v>3.5860931333845709</v>
      </c>
      <c r="AN49" s="41">
        <f t="shared" ca="1" si="25"/>
        <v>2.7681603164960986</v>
      </c>
      <c r="AO49" s="41">
        <f t="shared" ca="1" si="26"/>
        <v>0.21195670279116882</v>
      </c>
      <c r="AP49" s="67">
        <f t="shared" si="45"/>
        <v>0.77626066660915771</v>
      </c>
      <c r="AQ49" s="11">
        <f t="shared" si="27"/>
        <v>0.9631350285767698</v>
      </c>
      <c r="AR49" s="11">
        <f t="shared" si="28"/>
        <v>0.61294569866345971</v>
      </c>
      <c r="AS49" s="11">
        <f t="shared" si="29"/>
        <v>0.63640681781578756</v>
      </c>
      <c r="AT49" s="11">
        <f t="shared" si="30"/>
        <v>499.54924527191315</v>
      </c>
      <c r="AU49" s="11">
        <f t="shared" si="31"/>
        <v>1297.1279464255865</v>
      </c>
      <c r="AV49" s="11">
        <f t="shared" si="32"/>
        <v>1.5126753652663454E-3</v>
      </c>
      <c r="AW49" s="11">
        <f t="shared" si="33"/>
        <v>3.6292175646753205E-7</v>
      </c>
      <c r="AX49" s="41">
        <f t="shared" ca="1" si="34"/>
        <v>1.2549763291936262</v>
      </c>
      <c r="AY49" s="41">
        <f t="shared" ca="1" si="35"/>
        <v>1.6904780487283682</v>
      </c>
      <c r="AZ49" s="41">
        <f t="shared" si="36"/>
        <v>0.24232047993204561</v>
      </c>
    </row>
    <row r="50" spans="1:52" ht="14.5">
      <c r="A50" s="66">
        <f t="shared" ca="1" si="37"/>
        <v>215.48105497732305</v>
      </c>
      <c r="B50" s="41">
        <f t="shared" ca="1" si="49"/>
        <v>3.5913509162887176</v>
      </c>
      <c r="C50" s="41">
        <f t="shared" ca="1" si="49"/>
        <v>5.9855848604811961E-2</v>
      </c>
      <c r="D50" s="41">
        <f t="shared" ca="1" si="39"/>
        <v>13138.633033857572</v>
      </c>
      <c r="E50" s="41">
        <f t="shared" ca="1" si="40"/>
        <v>5.0022260081394352</v>
      </c>
      <c r="F50" s="41">
        <f t="shared" ca="1" si="41"/>
        <v>5.0022260081394352</v>
      </c>
      <c r="G50" s="41"/>
      <c r="H50" s="7">
        <f t="shared" si="42"/>
        <v>13199.999820000014</v>
      </c>
      <c r="I50" s="6">
        <v>15</v>
      </c>
      <c r="J50" s="41">
        <f t="shared" si="1"/>
        <v>0.34205267727733668</v>
      </c>
      <c r="K50" s="41">
        <f t="shared" si="2"/>
        <v>374.42237767602597</v>
      </c>
      <c r="L50" s="6">
        <f t="shared" si="46"/>
        <v>177.2000000000001</v>
      </c>
      <c r="M50" s="41">
        <f t="shared" si="3"/>
        <v>221.83926801500257</v>
      </c>
      <c r="N50" s="41">
        <f t="shared" si="4"/>
        <v>105.1159431359645</v>
      </c>
      <c r="O50" s="41">
        <f t="shared" si="5"/>
        <v>1549434.4356437216</v>
      </c>
      <c r="P50" s="41">
        <f t="shared" si="6"/>
        <v>9948457.8398779072</v>
      </c>
      <c r="Q50" s="41">
        <f t="shared" si="7"/>
        <v>2.9737285064906369E-3</v>
      </c>
      <c r="R50" s="41">
        <f t="shared" si="43"/>
        <v>1.9971158592616216E-2</v>
      </c>
      <c r="S50" s="24">
        <f t="shared" ca="1" si="44"/>
        <v>11.530980802329765</v>
      </c>
      <c r="T50" s="10">
        <f t="shared" ca="1" si="8"/>
        <v>11.530980802329765</v>
      </c>
      <c r="U50" s="41">
        <f t="shared" ca="1" si="9"/>
        <v>0.53247426076471915</v>
      </c>
      <c r="V50" s="41">
        <f t="shared" ca="1" si="10"/>
        <v>3.7877911027851194E-2</v>
      </c>
      <c r="W50" s="41">
        <f t="shared" ca="1" si="11"/>
        <v>14.05764590273199</v>
      </c>
      <c r="X50" s="20">
        <f t="shared" ca="1" si="12"/>
        <v>915.76163859392761</v>
      </c>
      <c r="Y50" s="41">
        <f t="shared" si="13"/>
        <v>0.56233075266779464</v>
      </c>
      <c r="Z50" s="41">
        <f t="shared" ca="1" si="14"/>
        <v>176.36219102295479</v>
      </c>
      <c r="AA50" s="14">
        <f t="shared" ca="1" si="15"/>
        <v>934.625407750823</v>
      </c>
      <c r="AB50" s="14">
        <f t="shared" si="47"/>
        <v>3542.1450460992378</v>
      </c>
      <c r="AC50" s="25">
        <f t="shared" ca="1" si="16"/>
        <v>349944.66740648844</v>
      </c>
      <c r="AD50" s="41">
        <f t="shared" si="17"/>
        <v>1326258.3702338333</v>
      </c>
      <c r="AE50" s="6">
        <v>100</v>
      </c>
      <c r="AF50" s="41">
        <f t="shared" si="18"/>
        <v>3542.1450460992378</v>
      </c>
      <c r="AG50" s="41">
        <f t="shared" ca="1" si="19"/>
        <v>2607.5196383484149</v>
      </c>
      <c r="AH50" s="41">
        <f t="shared" ca="1" si="20"/>
        <v>976313.70282734488</v>
      </c>
      <c r="AI50" s="41">
        <f t="shared" si="21"/>
        <v>2754.5329453636823</v>
      </c>
      <c r="AJ50" s="13">
        <f t="shared" ca="1" si="22"/>
        <v>74.846197286497826</v>
      </c>
      <c r="AK50" s="11">
        <f t="shared" ca="1" si="23"/>
        <v>4458.5172611706348</v>
      </c>
      <c r="AL50" s="6">
        <f t="shared" si="48"/>
        <v>266.66665999999998</v>
      </c>
      <c r="AM50" s="41">
        <f t="shared" ca="1" si="24"/>
        <v>3.5628618375793737</v>
      </c>
      <c r="AN50" s="41">
        <f t="shared" ca="1" si="25"/>
        <v>2.7261167531642703</v>
      </c>
      <c r="AO50" s="41">
        <f t="shared" ca="1" si="26"/>
        <v>0.21511949414490589</v>
      </c>
      <c r="AP50" s="67">
        <f t="shared" si="45"/>
        <v>0.77764544069054775</v>
      </c>
      <c r="AQ50" s="11">
        <f t="shared" si="27"/>
        <v>0.96130160195593883</v>
      </c>
      <c r="AR50" s="11">
        <f t="shared" si="28"/>
        <v>0.60649014555496839</v>
      </c>
      <c r="AS50" s="11">
        <f t="shared" si="29"/>
        <v>0.63090516474845826</v>
      </c>
      <c r="AT50" s="11">
        <f t="shared" si="30"/>
        <v>498.59830188648675</v>
      </c>
      <c r="AU50" s="11">
        <f t="shared" si="31"/>
        <v>1283.466575826335</v>
      </c>
      <c r="AV50" s="11">
        <f t="shared" si="32"/>
        <v>1.4995984860906105E-3</v>
      </c>
      <c r="AW50" s="11">
        <f t="shared" si="33"/>
        <v>3.6237947073129551E-7</v>
      </c>
      <c r="AX50" s="41">
        <f t="shared" ca="1" si="34"/>
        <v>1.2823892720003875</v>
      </c>
      <c r="AY50" s="41">
        <f t="shared" ca="1" si="35"/>
        <v>1.7274038273170784</v>
      </c>
      <c r="AZ50" s="41">
        <f t="shared" si="36"/>
        <v>0.24716245048388247</v>
      </c>
    </row>
    <row r="51" spans="1:52" ht="14.5">
      <c r="A51" s="66">
        <f t="shared" ca="1" si="37"/>
        <v>219.04391681490242</v>
      </c>
      <c r="B51" s="41">
        <f t="shared" ca="1" si="49"/>
        <v>3.6507319469150401</v>
      </c>
      <c r="C51" s="41">
        <f t="shared" ca="1" si="49"/>
        <v>6.0845532448584004E-2</v>
      </c>
      <c r="D51" s="41">
        <f t="shared" ca="1" si="39"/>
        <v>13135.906917104407</v>
      </c>
      <c r="E51" s="41">
        <f t="shared" ca="1" si="40"/>
        <v>5.2173455022843411</v>
      </c>
      <c r="F51" s="41">
        <f t="shared" ca="1" si="41"/>
        <v>5.2173455022843411</v>
      </c>
      <c r="G51" s="41"/>
      <c r="H51" s="7">
        <f t="shared" si="42"/>
        <v>13466.666480000014</v>
      </c>
      <c r="I51" s="6">
        <v>15</v>
      </c>
      <c r="J51" s="41">
        <f t="shared" si="1"/>
        <v>0.34944659590383398</v>
      </c>
      <c r="K51" s="41">
        <f t="shared" si="2"/>
        <v>382.15106219463138</v>
      </c>
      <c r="L51" s="6">
        <f t="shared" si="46"/>
        <v>180.13333333333344</v>
      </c>
      <c r="M51" s="41">
        <f t="shared" si="3"/>
        <v>226.41838993332399</v>
      </c>
      <c r="N51" s="41">
        <f t="shared" si="4"/>
        <v>108.55171698882766</v>
      </c>
      <c r="O51" s="41">
        <f t="shared" si="5"/>
        <v>1570069.9991176876</v>
      </c>
      <c r="P51" s="41">
        <f t="shared" si="6"/>
        <v>10080952.657664493</v>
      </c>
      <c r="Q51" s="41">
        <f t="shared" si="7"/>
        <v>2.9660423916945868E-3</v>
      </c>
      <c r="R51" s="41">
        <f t="shared" si="43"/>
        <v>1.9927293702838918E-2</v>
      </c>
      <c r="S51" s="24">
        <f t="shared" ca="1" si="44"/>
        <v>11.361206689514018</v>
      </c>
      <c r="T51" s="10">
        <f t="shared" ca="1" si="8"/>
        <v>11.361206689514018</v>
      </c>
      <c r="U51" s="41">
        <f t="shared" ca="1" si="9"/>
        <v>0.51582329129398019</v>
      </c>
      <c r="V51" s="41">
        <f t="shared" ca="1" si="10"/>
        <v>3.6731634759800277E-2</v>
      </c>
      <c r="W51" s="41">
        <f t="shared" ca="1" si="11"/>
        <v>14.043025709776085</v>
      </c>
      <c r="X51" s="20">
        <f t="shared" ca="1" si="12"/>
        <v>917.07486482604963</v>
      </c>
      <c r="Y51" s="41">
        <f t="shared" si="13"/>
        <v>0.56171285822378592</v>
      </c>
      <c r="Z51" s="41">
        <f t="shared" ca="1" si="14"/>
        <v>177.16581413814575</v>
      </c>
      <c r="AA51" s="14">
        <f t="shared" ca="1" si="15"/>
        <v>935.40432016440832</v>
      </c>
      <c r="AB51" s="14">
        <f t="shared" si="47"/>
        <v>3504.7642205095003</v>
      </c>
      <c r="AC51" s="25">
        <f t="shared" ca="1" si="16"/>
        <v>357465.75453227566</v>
      </c>
      <c r="AD51" s="41">
        <f t="shared" si="17"/>
        <v>1339349.3696094449</v>
      </c>
      <c r="AE51" s="6">
        <v>100</v>
      </c>
      <c r="AF51" s="41">
        <f t="shared" si="18"/>
        <v>3504.7642205095003</v>
      </c>
      <c r="AG51" s="41">
        <f t="shared" ca="1" si="19"/>
        <v>2569.3599003450918</v>
      </c>
      <c r="AH51" s="41">
        <f t="shared" ca="1" si="20"/>
        <v>981883.61507716915</v>
      </c>
      <c r="AI51" s="41">
        <f t="shared" si="21"/>
        <v>2730.3274403497248</v>
      </c>
      <c r="AJ51" s="13">
        <f t="shared" ca="1" si="22"/>
        <v>75.281306585427316</v>
      </c>
      <c r="AK51" s="11">
        <f t="shared" ca="1" si="23"/>
        <v>4484.8838589072884</v>
      </c>
      <c r="AL51" s="6">
        <f t="shared" si="48"/>
        <v>266.66665999999998</v>
      </c>
      <c r="AM51" s="41">
        <f t="shared" ca="1" si="24"/>
        <v>3.5422692843062364</v>
      </c>
      <c r="AN51" s="41">
        <f t="shared" ca="1" si="25"/>
        <v>2.6865430633470275</v>
      </c>
      <c r="AO51" s="41">
        <f t="shared" ca="1" si="26"/>
        <v>0.21842190443506318</v>
      </c>
      <c r="AP51" s="67">
        <f t="shared" si="45"/>
        <v>0.77903312992415996</v>
      </c>
      <c r="AQ51" s="11">
        <f t="shared" si="27"/>
        <v>0.95946817533510775</v>
      </c>
      <c r="AR51" s="11">
        <f t="shared" si="28"/>
        <v>0.60008975763808992</v>
      </c>
      <c r="AS51" s="11">
        <f t="shared" si="29"/>
        <v>0.62543998129849399</v>
      </c>
      <c r="AT51" s="11">
        <f t="shared" si="30"/>
        <v>497.6473585010603</v>
      </c>
      <c r="AU51" s="11">
        <f t="shared" si="31"/>
        <v>1269.9219469088785</v>
      </c>
      <c r="AV51" s="11">
        <f t="shared" si="32"/>
        <v>1.4866082915483904E-3</v>
      </c>
      <c r="AW51" s="11">
        <f t="shared" si="33"/>
        <v>3.6183669390652434E-7</v>
      </c>
      <c r="AX51" s="41">
        <f t="shared" ca="1" si="34"/>
        <v>1.3107084258537463</v>
      </c>
      <c r="AY51" s="41">
        <f t="shared" ca="1" si="35"/>
        <v>1.7655502901897484</v>
      </c>
      <c r="AZ51" s="41">
        <f t="shared" si="36"/>
        <v>0.25202000123719009</v>
      </c>
    </row>
    <row r="52" spans="1:52" ht="14.5">
      <c r="A52" s="66">
        <f t="shared" ca="1" si="37"/>
        <v>222.58618609920865</v>
      </c>
      <c r="B52" s="41">
        <f t="shared" ca="1" si="49"/>
        <v>3.709769768320144</v>
      </c>
      <c r="C52" s="41">
        <f t="shared" ca="1" si="49"/>
        <v>6.1829496138669067E-2</v>
      </c>
      <c r="D52" s="41">
        <f t="shared" ca="1" si="39"/>
        <v>13133.220374041059</v>
      </c>
      <c r="E52" s="41">
        <f t="shared" ca="1" si="40"/>
        <v>5.4357674067194042</v>
      </c>
      <c r="F52" s="41">
        <f t="shared" ca="1" si="41"/>
        <v>5.4357674067194042</v>
      </c>
      <c r="G52" s="41"/>
      <c r="H52" s="7">
        <f t="shared" si="42"/>
        <v>13733.333140000015</v>
      </c>
      <c r="I52" s="6">
        <v>15</v>
      </c>
      <c r="J52" s="41">
        <f t="shared" si="1"/>
        <v>0.35690443078659956</v>
      </c>
      <c r="K52" s="41">
        <f t="shared" si="2"/>
        <v>389.93377798511233</v>
      </c>
      <c r="L52" s="6">
        <f t="shared" si="46"/>
        <v>183.06666666666678</v>
      </c>
      <c r="M52" s="41">
        <f t="shared" si="3"/>
        <v>231.02952451573131</v>
      </c>
      <c r="N52" s="41">
        <f t="shared" si="4"/>
        <v>112.03716077341257</v>
      </c>
      <c r="O52" s="41">
        <f t="shared" si="5"/>
        <v>1590527.4712625579</v>
      </c>
      <c r="P52" s="41">
        <f t="shared" si="6"/>
        <v>10212304.003976326</v>
      </c>
      <c r="Q52" s="41">
        <f t="shared" si="7"/>
        <v>2.9584748022521683E-3</v>
      </c>
      <c r="R52" s="41">
        <f t="shared" si="43"/>
        <v>1.988410524084221E-2</v>
      </c>
      <c r="S52" s="24">
        <f t="shared" ca="1" si="44"/>
        <v>11.189219726209277</v>
      </c>
      <c r="T52" s="10">
        <f t="shared" ca="1" si="8"/>
        <v>11.189219726209277</v>
      </c>
      <c r="U52" s="41">
        <f t="shared" ca="1" si="9"/>
        <v>0.49997308635951776</v>
      </c>
      <c r="V52" s="41">
        <f t="shared" ca="1" si="10"/>
        <v>3.5671586371531665E-2</v>
      </c>
      <c r="W52" s="41">
        <f t="shared" ca="1" si="11"/>
        <v>14.016003694148294</v>
      </c>
      <c r="X52" s="20">
        <f t="shared" ca="1" si="12"/>
        <v>919.20494919049202</v>
      </c>
      <c r="Y52" s="41">
        <f t="shared" si="13"/>
        <v>0.56110382737697884</v>
      </c>
      <c r="Z52" s="41">
        <f t="shared" ca="1" si="14"/>
        <v>177.97481496948166</v>
      </c>
      <c r="AA52" s="14">
        <f t="shared" ca="1" si="15"/>
        <v>937.01604684395181</v>
      </c>
      <c r="AB52" s="14">
        <f t="shared" si="47"/>
        <v>3467.7034711381966</v>
      </c>
      <c r="AC52" s="25">
        <f t="shared" ca="1" si="16"/>
        <v>365374.20717853709</v>
      </c>
      <c r="AD52" s="41">
        <f t="shared" si="17"/>
        <v>1352174.715433005</v>
      </c>
      <c r="AE52" s="6">
        <v>100</v>
      </c>
      <c r="AF52" s="41">
        <f t="shared" si="18"/>
        <v>3467.7034711381966</v>
      </c>
      <c r="AG52" s="41">
        <f t="shared" ca="1" si="19"/>
        <v>2530.6874242942449</v>
      </c>
      <c r="AH52" s="41">
        <f t="shared" ca="1" si="20"/>
        <v>986800.50825446798</v>
      </c>
      <c r="AI52" s="41">
        <f t="shared" si="21"/>
        <v>2706.2775419287163</v>
      </c>
      <c r="AJ52" s="13">
        <f t="shared" ca="1" si="22"/>
        <v>75.666563763505209</v>
      </c>
      <c r="AK52" s="11">
        <f t="shared" ca="1" si="23"/>
        <v>4508.2644476367614</v>
      </c>
      <c r="AL52" s="6">
        <f t="shared" si="48"/>
        <v>266.66665999999998</v>
      </c>
      <c r="AM52" s="41">
        <f t="shared" ca="1" si="24"/>
        <v>3.524233779578823</v>
      </c>
      <c r="AN52" s="41">
        <f t="shared" ca="1" si="25"/>
        <v>2.649320758383535</v>
      </c>
      <c r="AO52" s="41">
        <f t="shared" ca="1" si="26"/>
        <v>0.2218681788815095</v>
      </c>
      <c r="AP52" s="67">
        <f t="shared" si="45"/>
        <v>0.78042357556035225</v>
      </c>
      <c r="AQ52" s="11">
        <f t="shared" si="27"/>
        <v>0.95763474871427678</v>
      </c>
      <c r="AR52" s="11">
        <f t="shared" si="28"/>
        <v>0.59374417353917475</v>
      </c>
      <c r="AS52" s="11">
        <f t="shared" si="29"/>
        <v>0.62001109957250133</v>
      </c>
      <c r="AT52" s="11">
        <f t="shared" si="30"/>
        <v>496.6964151156339</v>
      </c>
      <c r="AU52" s="11">
        <f t="shared" si="31"/>
        <v>1256.4932949270722</v>
      </c>
      <c r="AV52" s="11">
        <f t="shared" si="32"/>
        <v>1.4737043825738783E-3</v>
      </c>
      <c r="AW52" s="11">
        <f t="shared" si="33"/>
        <v>3.6129342492531473E-7</v>
      </c>
      <c r="AX52" s="41">
        <f t="shared" ca="1" si="34"/>
        <v>1.3398952678232539</v>
      </c>
      <c r="AY52" s="41">
        <f t="shared" ca="1" si="35"/>
        <v>1.8048655461937075</v>
      </c>
      <c r="AZ52" s="41">
        <f t="shared" si="36"/>
        <v>0.25689262762917375</v>
      </c>
    </row>
    <row r="53" spans="1:52" ht="14.5">
      <c r="A53" s="66">
        <f t="shared" ca="1" si="37"/>
        <v>226.11041987878747</v>
      </c>
      <c r="B53" s="41">
        <f t="shared" ca="1" si="49"/>
        <v>3.7685069979797912</v>
      </c>
      <c r="C53" s="41">
        <f t="shared" ca="1" si="49"/>
        <v>6.2808449966329852E-2</v>
      </c>
      <c r="D53" s="41">
        <f t="shared" ca="1" si="39"/>
        <v>13130.571053282674</v>
      </c>
      <c r="E53" s="41">
        <f t="shared" ca="1" si="40"/>
        <v>5.6576355856009135</v>
      </c>
      <c r="F53" s="41">
        <f t="shared" ca="1" si="41"/>
        <v>5.6576355856009135</v>
      </c>
      <c r="G53" s="41"/>
      <c r="H53" s="7">
        <f t="shared" si="42"/>
        <v>13999.999800000016</v>
      </c>
      <c r="I53" s="6">
        <v>15</v>
      </c>
      <c r="J53" s="41">
        <f t="shared" si="1"/>
        <v>0.36442645147790015</v>
      </c>
      <c r="K53" s="41">
        <f t="shared" si="2"/>
        <v>397.77059543637438</v>
      </c>
      <c r="L53" s="6">
        <f t="shared" si="46"/>
        <v>186.00000000000011</v>
      </c>
      <c r="M53" s="41">
        <f t="shared" si="3"/>
        <v>235.67271346652484</v>
      </c>
      <c r="N53" s="41">
        <f t="shared" si="4"/>
        <v>115.57177668330027</v>
      </c>
      <c r="O53" s="41">
        <f t="shared" si="5"/>
        <v>1610805.7686158232</v>
      </c>
      <c r="P53" s="41">
        <f t="shared" si="6"/>
        <v>10342504.922222767</v>
      </c>
      <c r="Q53" s="41">
        <f t="shared" si="7"/>
        <v>2.9510200715628307E-3</v>
      </c>
      <c r="R53" s="41">
        <f t="shared" si="43"/>
        <v>1.9841560867165244E-2</v>
      </c>
      <c r="S53" s="24">
        <f t="shared" ca="1" si="44"/>
        <v>11.015210019703208</v>
      </c>
      <c r="T53" s="10">
        <f t="shared" ca="1" si="8"/>
        <v>11.015210019703208</v>
      </c>
      <c r="U53" s="41">
        <f t="shared" ca="1" si="9"/>
        <v>0.48487315365731676</v>
      </c>
      <c r="V53" s="41">
        <f t="shared" ca="1" si="10"/>
        <v>3.4689831293282555E-2</v>
      </c>
      <c r="W53" s="41">
        <f t="shared" ca="1" si="11"/>
        <v>13.977385751979979</v>
      </c>
      <c r="X53" s="20">
        <f t="shared" ca="1" si="12"/>
        <v>922.10805014398102</v>
      </c>
      <c r="Y53" s="41">
        <f t="shared" si="13"/>
        <v>0.56050323224264009</v>
      </c>
      <c r="Z53" s="41">
        <f t="shared" ca="1" si="14"/>
        <v>178.78913532678928</v>
      </c>
      <c r="AA53" s="14">
        <f t="shared" ca="1" si="15"/>
        <v>939.41537325194395</v>
      </c>
      <c r="AB53" s="14">
        <f t="shared" si="47"/>
        <v>3430.9606970176669</v>
      </c>
      <c r="AC53" s="25">
        <f t="shared" ca="1" si="16"/>
        <v>373671.81238050963</v>
      </c>
      <c r="AD53" s="41">
        <f t="shared" si="17"/>
        <v>1364735.2793715154</v>
      </c>
      <c r="AE53" s="6">
        <v>100</v>
      </c>
      <c r="AF53" s="41">
        <f t="shared" si="18"/>
        <v>3430.9606970176669</v>
      </c>
      <c r="AG53" s="41">
        <f t="shared" ca="1" si="19"/>
        <v>2491.545323765723</v>
      </c>
      <c r="AH53" s="41">
        <f t="shared" ca="1" si="20"/>
        <v>991063.4669910057</v>
      </c>
      <c r="AI53" s="41">
        <f t="shared" si="21"/>
        <v>2682.3820781625241</v>
      </c>
      <c r="AJ53" s="13">
        <f t="shared" ca="1" si="22"/>
        <v>76.001859108753735</v>
      </c>
      <c r="AK53" s="11">
        <f t="shared" ca="1" si="23"/>
        <v>4528.6536113442107</v>
      </c>
      <c r="AL53" s="6">
        <f t="shared" si="48"/>
        <v>266.66665999999998</v>
      </c>
      <c r="AM53" s="41">
        <f t="shared" ca="1" si="24"/>
        <v>3.5086860127778885</v>
      </c>
      <c r="AN53" s="41">
        <f t="shared" ca="1" si="25"/>
        <v>2.6143434662708147</v>
      </c>
      <c r="AO53" s="41">
        <f t="shared" ca="1" si="26"/>
        <v>0.22546309140646131</v>
      </c>
      <c r="AP53" s="67">
        <f t="shared" si="45"/>
        <v>0.78181661494815768</v>
      </c>
      <c r="AQ53" s="11">
        <f t="shared" si="27"/>
        <v>0.95580132209344582</v>
      </c>
      <c r="AR53" s="11">
        <f t="shared" si="28"/>
        <v>0.58745303352812595</v>
      </c>
      <c r="AS53" s="11">
        <f t="shared" si="29"/>
        <v>0.6146183521084233</v>
      </c>
      <c r="AT53" s="11">
        <f t="shared" si="30"/>
        <v>495.7454717302075</v>
      </c>
      <c r="AU53" s="11">
        <f t="shared" si="31"/>
        <v>1243.1798586128905</v>
      </c>
      <c r="AV53" s="11">
        <f t="shared" si="32"/>
        <v>1.4608863611265113E-3</v>
      </c>
      <c r="AW53" s="11">
        <f t="shared" si="33"/>
        <v>3.607496627166365E-7</v>
      </c>
      <c r="AX53" s="41">
        <f t="shared" ca="1" si="34"/>
        <v>1.3699147673495626</v>
      </c>
      <c r="AY53" s="41">
        <f t="shared" ca="1" si="35"/>
        <v>1.8453024084695435</v>
      </c>
      <c r="AZ53" s="41">
        <f t="shared" si="36"/>
        <v>0.26177980930483141</v>
      </c>
    </row>
    <row r="54" spans="1:52" ht="14.5">
      <c r="A54" s="66">
        <f t="shared" ca="1" si="37"/>
        <v>229.61910589156537</v>
      </c>
      <c r="B54" s="41">
        <f t="shared" ca="1" si="49"/>
        <v>3.8269850981927562</v>
      </c>
      <c r="C54" s="41">
        <f t="shared" ca="1" si="49"/>
        <v>6.3783084969879264E-2</v>
      </c>
      <c r="D54" s="41">
        <f t="shared" ca="1" si="39"/>
        <v>13127.956709816404</v>
      </c>
      <c r="E54" s="41">
        <f t="shared" ca="1" si="40"/>
        <v>5.883098677007375</v>
      </c>
      <c r="F54" s="41">
        <f t="shared" ca="1" si="41"/>
        <v>5.883098677007375</v>
      </c>
      <c r="G54" s="41"/>
      <c r="H54" s="7">
        <f t="shared" si="42"/>
        <v>14266.666460000017</v>
      </c>
      <c r="I54" s="6">
        <v>15</v>
      </c>
      <c r="J54" s="41">
        <f t="shared" si="1"/>
        <v>0.37201291827328281</v>
      </c>
      <c r="K54" s="41">
        <f t="shared" si="2"/>
        <v>405.66157323905833</v>
      </c>
      <c r="L54" s="6">
        <f t="shared" si="46"/>
        <v>188.93333333333345</v>
      </c>
      <c r="M54" s="41">
        <f t="shared" si="3"/>
        <v>240.34799155897025</v>
      </c>
      <c r="N54" s="41">
        <f t="shared" si="4"/>
        <v>119.15504713900019</v>
      </c>
      <c r="O54" s="41">
        <f t="shared" si="5"/>
        <v>1630903.7869096664</v>
      </c>
      <c r="P54" s="41">
        <f t="shared" si="6"/>
        <v>10471548.322228476</v>
      </c>
      <c r="Q54" s="41">
        <f t="shared" si="7"/>
        <v>2.9436727984128342E-3</v>
      </c>
      <c r="R54" s="41">
        <f t="shared" si="43"/>
        <v>1.9799629756917722E-2</v>
      </c>
      <c r="S54" s="24">
        <f t="shared" ca="1" si="44"/>
        <v>10.839353120234357</v>
      </c>
      <c r="T54" s="10">
        <f t="shared" ca="1" si="8"/>
        <v>10.839353120234357</v>
      </c>
      <c r="U54" s="41">
        <f t="shared" ca="1" si="9"/>
        <v>0.47047695555594915</v>
      </c>
      <c r="V54" s="41">
        <f t="shared" ca="1" si="10"/>
        <v>3.3779279907282612E-2</v>
      </c>
      <c r="W54" s="41">
        <f t="shared" ca="1" si="11"/>
        <v>13.92797468884223</v>
      </c>
      <c r="X54" s="20">
        <f t="shared" ca="1" si="12"/>
        <v>925.74348862496049</v>
      </c>
      <c r="Y54" s="41">
        <f t="shared" si="13"/>
        <v>0.55991066412078461</v>
      </c>
      <c r="Z54" s="41">
        <f t="shared" ca="1" si="14"/>
        <v>179.60872412154279</v>
      </c>
      <c r="AA54" s="14">
        <f t="shared" ca="1" si="15"/>
        <v>942.56035088384215</v>
      </c>
      <c r="AB54" s="14">
        <f t="shared" si="47"/>
        <v>3394.5338067549137</v>
      </c>
      <c r="AC54" s="25">
        <f t="shared" ca="1" si="16"/>
        <v>382360.51481229824</v>
      </c>
      <c r="AD54" s="41">
        <f t="shared" si="17"/>
        <v>1377031.924461368</v>
      </c>
      <c r="AE54" s="6">
        <v>100</v>
      </c>
      <c r="AF54" s="41">
        <f t="shared" si="18"/>
        <v>3394.5338067549137</v>
      </c>
      <c r="AG54" s="41">
        <f t="shared" ca="1" si="19"/>
        <v>2451.9734558710716</v>
      </c>
      <c r="AH54" s="41">
        <f t="shared" ca="1" si="20"/>
        <v>994671.40964906977</v>
      </c>
      <c r="AI54" s="41">
        <f t="shared" si="21"/>
        <v>2658.6398886339093</v>
      </c>
      <c r="AJ54" s="13">
        <f t="shared" ca="1" si="22"/>
        <v>76.287070911887412</v>
      </c>
      <c r="AK54" s="11">
        <f t="shared" ca="1" si="23"/>
        <v>4546.045199426836</v>
      </c>
      <c r="AL54" s="6">
        <f t="shared" si="48"/>
        <v>266.66665999999998</v>
      </c>
      <c r="AM54" s="41">
        <f t="shared" ca="1" si="24"/>
        <v>3.4955682111324413</v>
      </c>
      <c r="AN54" s="41">
        <f t="shared" ca="1" si="25"/>
        <v>2.5815158554326074</v>
      </c>
      <c r="AO54" s="41">
        <f t="shared" ca="1" si="26"/>
        <v>0.22921196101225605</v>
      </c>
      <c r="AP54" s="67">
        <f t="shared" si="45"/>
        <v>0.78321208153631561</v>
      </c>
      <c r="AQ54" s="11">
        <f t="shared" si="27"/>
        <v>0.95396789547261474</v>
      </c>
      <c r="AR54" s="11">
        <f t="shared" si="28"/>
        <v>0.58121597951423076</v>
      </c>
      <c r="AS54" s="11">
        <f t="shared" si="29"/>
        <v>0.60926157187531427</v>
      </c>
      <c r="AT54" s="11">
        <f t="shared" si="30"/>
        <v>494.79452834478104</v>
      </c>
      <c r="AU54" s="11">
        <f t="shared" si="31"/>
        <v>1229.9808801676054</v>
      </c>
      <c r="AV54" s="11">
        <f t="shared" si="32"/>
        <v>1.4481538301904344E-3</v>
      </c>
      <c r="AW54" s="11">
        <f t="shared" si="33"/>
        <v>3.6020540620631868E-7</v>
      </c>
      <c r="AX54" s="41">
        <f t="shared" ca="1" si="34"/>
        <v>1.4007349111836902</v>
      </c>
      <c r="AY54" s="41">
        <f t="shared" ca="1" si="35"/>
        <v>1.8868177545348517</v>
      </c>
      <c r="AZ54" s="41">
        <f t="shared" si="36"/>
        <v>0.26668101001444272</v>
      </c>
    </row>
    <row r="55" spans="1:52" ht="14.5">
      <c r="A55" s="66">
        <f t="shared" ca="1" si="37"/>
        <v>233.11467410269782</v>
      </c>
      <c r="B55" s="41">
        <f t="shared" ca="1" si="49"/>
        <v>3.885244568378297</v>
      </c>
      <c r="C55" s="41">
        <f t="shared" ca="1" si="49"/>
        <v>6.4754076139638281E-2</v>
      </c>
      <c r="D55" s="41">
        <f t="shared" ca="1" si="39"/>
        <v>13125.375193960972</v>
      </c>
      <c r="E55" s="41">
        <f t="shared" ca="1" si="40"/>
        <v>6.1123106380196308</v>
      </c>
      <c r="F55" s="41">
        <f t="shared" ca="1" si="41"/>
        <v>6.1123106380196308</v>
      </c>
      <c r="G55" s="41"/>
      <c r="H55" s="7">
        <f t="shared" si="42"/>
        <v>14533.333120000018</v>
      </c>
      <c r="I55" s="6">
        <v>15</v>
      </c>
      <c r="J55" s="41">
        <f t="shared" si="1"/>
        <v>0.37966408193230405</v>
      </c>
      <c r="K55" s="41">
        <f t="shared" si="2"/>
        <v>413.60675812471572</v>
      </c>
      <c r="L55" s="6">
        <f t="shared" si="46"/>
        <v>191.86666666666679</v>
      </c>
      <c r="M55" s="41">
        <f t="shared" si="3"/>
        <v>245.05538648076407</v>
      </c>
      <c r="N55" s="41">
        <f t="shared" si="4"/>
        <v>122.78643441872569</v>
      </c>
      <c r="O55" s="41">
        <f t="shared" si="5"/>
        <v>1650820.4015909841</v>
      </c>
      <c r="P55" s="41">
        <f t="shared" si="6"/>
        <v>10599426.983572327</v>
      </c>
      <c r="Q55" s="41">
        <f t="shared" si="7"/>
        <v>2.9364278299679495E-3</v>
      </c>
      <c r="R55" s="41">
        <f t="shared" si="43"/>
        <v>1.9758282502718737E-2</v>
      </c>
      <c r="S55" s="24">
        <f t="shared" ca="1" si="44"/>
        <v>10.661811436029652</v>
      </c>
      <c r="T55" s="10">
        <f t="shared" ca="1" si="8"/>
        <v>10.661811436029652</v>
      </c>
      <c r="U55" s="41">
        <f t="shared" ca="1" si="9"/>
        <v>0.45674154137472228</v>
      </c>
      <c r="V55" s="41">
        <f t="shared" ca="1" si="10"/>
        <v>3.2933585669750243E-2</v>
      </c>
      <c r="W55" s="41">
        <f t="shared" ca="1" si="11"/>
        <v>13.86856402320756</v>
      </c>
      <c r="X55" s="20">
        <f t="shared" ca="1" si="12"/>
        <v>930.0734381128226</v>
      </c>
      <c r="Y55" s="41">
        <f t="shared" si="13"/>
        <v>0.55932573228556937</v>
      </c>
      <c r="Z55" s="41">
        <f t="shared" ca="1" si="14"/>
        <v>180.43353676883876</v>
      </c>
      <c r="AA55" s="14">
        <f t="shared" ca="1" si="15"/>
        <v>946.41198411003904</v>
      </c>
      <c r="AB55" s="14">
        <f t="shared" si="47"/>
        <v>3358.4207185072555</v>
      </c>
      <c r="AC55" s="25">
        <f t="shared" ca="1" si="16"/>
        <v>391442.39259813324</v>
      </c>
      <c r="AD55" s="41">
        <f t="shared" si="17"/>
        <v>1389065.5058006644</v>
      </c>
      <c r="AE55" s="6">
        <v>100</v>
      </c>
      <c r="AF55" s="41">
        <f t="shared" si="18"/>
        <v>3358.4207185072555</v>
      </c>
      <c r="AG55" s="41">
        <f t="shared" ca="1" si="19"/>
        <v>2412.0087343972164</v>
      </c>
      <c r="AH55" s="41">
        <f t="shared" ca="1" si="20"/>
        <v>997623.11320253112</v>
      </c>
      <c r="AI55" s="41">
        <f t="shared" si="21"/>
        <v>2635.049824645565</v>
      </c>
      <c r="AJ55" s="13">
        <f t="shared" ca="1" si="22"/>
        <v>76.522067476366715</v>
      </c>
      <c r="AK55" s="11">
        <f t="shared" ca="1" si="23"/>
        <v>4560.432437747947</v>
      </c>
      <c r="AL55" s="6">
        <f t="shared" si="48"/>
        <v>266.66665999999998</v>
      </c>
      <c r="AM55" s="41">
        <f t="shared" ca="1" si="24"/>
        <v>3.4848334447100249</v>
      </c>
      <c r="AN55" s="41">
        <f t="shared" ca="1" si="25"/>
        <v>2.5507527103894865</v>
      </c>
      <c r="AO55" s="41">
        <f t="shared" ca="1" si="26"/>
        <v>0.23312067341394588</v>
      </c>
      <c r="AP55" s="67">
        <f t="shared" si="45"/>
        <v>0.78460980487780785</v>
      </c>
      <c r="AQ55" s="11">
        <f t="shared" si="27"/>
        <v>0.95213446885178377</v>
      </c>
      <c r="AR55" s="11">
        <f t="shared" si="28"/>
        <v>0.57503265504199286</v>
      </c>
      <c r="AS55" s="11">
        <f t="shared" si="29"/>
        <v>0.6039405922731137</v>
      </c>
      <c r="AT55" s="11">
        <f t="shared" si="30"/>
        <v>493.84358495935464</v>
      </c>
      <c r="AU55" s="11">
        <f t="shared" si="31"/>
        <v>1216.8956052529661</v>
      </c>
      <c r="AV55" s="11">
        <f t="shared" si="32"/>
        <v>1.435506393773964E-3</v>
      </c>
      <c r="AW55" s="11">
        <f t="shared" si="33"/>
        <v>3.5966065431705134E-7</v>
      </c>
      <c r="AX55" s="41">
        <f t="shared" ca="1" si="34"/>
        <v>1.4323262993095596</v>
      </c>
      <c r="AY55" s="41">
        <f t="shared" ca="1" si="35"/>
        <v>1.9293719819838704</v>
      </c>
      <c r="AZ55" s="41">
        <f t="shared" si="36"/>
        <v>0.27159567752254249</v>
      </c>
    </row>
    <row r="56" spans="1:52" ht="14.5">
      <c r="A56" s="66">
        <f t="shared" ca="1" si="37"/>
        <v>236.59950754740785</v>
      </c>
      <c r="B56" s="41">
        <f t="shared" ref="B56:C68" ca="1" si="50">A56/60</f>
        <v>3.9433251257901309</v>
      </c>
      <c r="C56" s="41">
        <f t="shared" ca="1" si="50"/>
        <v>6.5722085429835514E-2</v>
      </c>
      <c r="D56" s="41">
        <f t="shared" ca="1" si="39"/>
        <v>13122.824441250583</v>
      </c>
      <c r="E56" s="41">
        <f t="shared" ca="1" si="40"/>
        <v>6.3454313114335763</v>
      </c>
      <c r="F56" s="41">
        <f t="shared" ca="1" si="41"/>
        <v>6.3454313114335763</v>
      </c>
      <c r="G56" s="41"/>
      <c r="H56" s="7">
        <f t="shared" si="42"/>
        <v>14799.999780000018</v>
      </c>
      <c r="I56" s="6">
        <v>15</v>
      </c>
      <c r="J56" s="41">
        <f t="shared" si="1"/>
        <v>0.38738018340194047</v>
      </c>
      <c r="K56" s="41">
        <f t="shared" si="2"/>
        <v>421.60618460976701</v>
      </c>
      <c r="L56" s="6">
        <f t="shared" si="46"/>
        <v>194.80000000000013</v>
      </c>
      <c r="M56" s="41">
        <f t="shared" si="3"/>
        <v>249.79491868233319</v>
      </c>
      <c r="N56" s="41">
        <f t="shared" si="4"/>
        <v>126.46538029999691</v>
      </c>
      <c r="O56" s="41">
        <f t="shared" si="5"/>
        <v>1670554.4683787143</v>
      </c>
      <c r="P56" s="41">
        <f t="shared" si="6"/>
        <v>10726133.55916583</v>
      </c>
      <c r="Q56" s="41">
        <f t="shared" si="7"/>
        <v>2.9292802461548732E-3</v>
      </c>
      <c r="R56" s="41">
        <f t="shared" si="43"/>
        <v>1.9717491025561026E-2</v>
      </c>
      <c r="S56" s="24">
        <f t="shared" ca="1" si="44"/>
        <v>10.482735495632785</v>
      </c>
      <c r="T56" s="10">
        <f t="shared" ca="1" si="8"/>
        <v>10.482735495632785</v>
      </c>
      <c r="U56" s="41">
        <f t="shared" ca="1" si="9"/>
        <v>0.4436272190637886</v>
      </c>
      <c r="V56" s="41">
        <f t="shared" ca="1" si="10"/>
        <v>3.2147056899273288E-2</v>
      </c>
      <c r="W56" s="41">
        <f t="shared" ca="1" si="11"/>
        <v>13.799932617589549</v>
      </c>
      <c r="X56" s="20">
        <f t="shared" ca="1" si="12"/>
        <v>935.06264854721417</v>
      </c>
      <c r="Y56" s="41">
        <f t="shared" si="13"/>
        <v>0.55874806287248191</v>
      </c>
      <c r="Z56" s="41">
        <f t="shared" ca="1" si="14"/>
        <v>181.26353464761613</v>
      </c>
      <c r="AA56" s="14">
        <f t="shared" ca="1" si="15"/>
        <v>950.93395054147459</v>
      </c>
      <c r="AB56" s="14">
        <f t="shared" si="47"/>
        <v>3322.6193599579929</v>
      </c>
      <c r="AC56" s="25">
        <f t="shared" ca="1" si="16"/>
        <v>400919.63470368402</v>
      </c>
      <c r="AD56" s="41">
        <f t="shared" si="17"/>
        <v>1400836.8712624353</v>
      </c>
      <c r="AE56" s="6">
        <v>100</v>
      </c>
      <c r="AF56" s="41">
        <f t="shared" si="18"/>
        <v>3322.6193599579929</v>
      </c>
      <c r="AG56" s="41">
        <f t="shared" ca="1" si="19"/>
        <v>2371.6854094165183</v>
      </c>
      <c r="AH56" s="41">
        <f t="shared" ca="1" si="20"/>
        <v>999917.23655875132</v>
      </c>
      <c r="AI56" s="41">
        <f t="shared" si="21"/>
        <v>2611.6107494188927</v>
      </c>
      <c r="AJ56" s="13">
        <f t="shared" ca="1" si="22"/>
        <v>76.706708997275356</v>
      </c>
      <c r="AK56" s="11">
        <f t="shared" ca="1" si="23"/>
        <v>4571.8080327993521</v>
      </c>
      <c r="AL56" s="6">
        <f t="shared" si="48"/>
        <v>266.66665999999998</v>
      </c>
      <c r="AM56" s="41">
        <f t="shared" ca="1" si="24"/>
        <v>3.4764450657043837</v>
      </c>
      <c r="AN56" s="41">
        <f t="shared" ca="1" si="25"/>
        <v>2.5219781398216217</v>
      </c>
      <c r="AO56" s="41">
        <f t="shared" ca="1" si="26"/>
        <v>0.23719570802811765</v>
      </c>
      <c r="AP56" s="67">
        <f t="shared" si="45"/>
        <v>0.786009610638009</v>
      </c>
      <c r="AQ56" s="11">
        <f t="shared" si="27"/>
        <v>0.9503010422309528</v>
      </c>
      <c r="AR56" s="11">
        <f t="shared" si="28"/>
        <v>0.5689027052869654</v>
      </c>
      <c r="AS56" s="11">
        <f t="shared" si="29"/>
        <v>0.59865524713241791</v>
      </c>
      <c r="AT56" s="11">
        <f t="shared" si="30"/>
        <v>492.89264157392824</v>
      </c>
      <c r="AU56" s="11">
        <f t="shared" si="31"/>
        <v>1203.9232829823818</v>
      </c>
      <c r="AV56" s="11">
        <f t="shared" si="32"/>
        <v>1.4229436569090442E-3</v>
      </c>
      <c r="AW56" s="11">
        <f t="shared" si="33"/>
        <v>3.5911540596836699E-7</v>
      </c>
      <c r="AX56" s="41">
        <f t="shared" ca="1" si="34"/>
        <v>1.4646617998330187</v>
      </c>
      <c r="AY56" s="41">
        <f t="shared" ca="1" si="35"/>
        <v>1.9729285436161326</v>
      </c>
      <c r="AZ56" s="41">
        <f t="shared" si="36"/>
        <v>0.27652324352891827</v>
      </c>
    </row>
    <row r="57" spans="1:52" ht="14.5">
      <c r="A57" s="66">
        <f t="shared" ca="1" si="37"/>
        <v>240.07595261311224</v>
      </c>
      <c r="B57" s="41">
        <f t="shared" ca="1" si="50"/>
        <v>4.0012658768852036</v>
      </c>
      <c r="C57" s="41">
        <f t="shared" ca="1" si="50"/>
        <v>6.6687764614753398E-2</v>
      </c>
      <c r="D57" s="41">
        <f t="shared" ca="1" si="39"/>
        <v>13120.302463110762</v>
      </c>
      <c r="E57" s="41">
        <f t="shared" ca="1" si="40"/>
        <v>6.582627019461694</v>
      </c>
      <c r="F57" s="41">
        <f t="shared" ca="1" si="41"/>
        <v>6.582627019461694</v>
      </c>
      <c r="G57" s="41"/>
      <c r="H57" s="7">
        <f t="shared" si="42"/>
        <v>15066.666440000019</v>
      </c>
      <c r="I57" s="6">
        <v>15</v>
      </c>
      <c r="J57" s="41">
        <f t="shared" si="1"/>
        <v>0.39516145354315552</v>
      </c>
      <c r="K57" s="41">
        <f t="shared" si="2"/>
        <v>429.65987474474662</v>
      </c>
      <c r="L57" s="6">
        <f t="shared" si="46"/>
        <v>197.73333333333346</v>
      </c>
      <c r="M57" s="41">
        <f t="shared" si="3"/>
        <v>254.56660122826645</v>
      </c>
      <c r="N57" s="41">
        <f t="shared" si="4"/>
        <v>130.19130571306886</v>
      </c>
      <c r="O57" s="41">
        <f t="shared" si="5"/>
        <v>1690104.823858703</v>
      </c>
      <c r="P57" s="41">
        <f t="shared" si="6"/>
        <v>10851660.579072606</v>
      </c>
      <c r="Q57" s="41">
        <f t="shared" si="7"/>
        <v>2.9222253453025831E-3</v>
      </c>
      <c r="R57" s="41">
        <f t="shared" si="43"/>
        <v>1.9677228492865767E-2</v>
      </c>
      <c r="S57" s="24">
        <f t="shared" ca="1" si="44"/>
        <v>10.302265076079712</v>
      </c>
      <c r="T57" s="10">
        <f t="shared" ca="1" si="8"/>
        <v>10.302265076079712</v>
      </c>
      <c r="U57" s="41">
        <f t="shared" ca="1" si="9"/>
        <v>0.43109726152376621</v>
      </c>
      <c r="V57" s="41">
        <f t="shared" ca="1" si="10"/>
        <v>3.1414580218871141E-2</v>
      </c>
      <c r="W57" s="41">
        <f t="shared" ca="1" si="11"/>
        <v>13.722840111828091</v>
      </c>
      <c r="X57" s="20">
        <f t="shared" ca="1" si="12"/>
        <v>940.67819993823889</v>
      </c>
      <c r="Y57" s="41">
        <f t="shared" si="13"/>
        <v>0.5581772978543843</v>
      </c>
      <c r="Z57" s="41">
        <f t="shared" ca="1" si="14"/>
        <v>182.0986846127372</v>
      </c>
      <c r="AA57" s="14">
        <f t="shared" ca="1" si="15"/>
        <v>956.09235086853585</v>
      </c>
      <c r="AB57" s="14">
        <f t="shared" si="47"/>
        <v>3287.1276682920902</v>
      </c>
      <c r="AC57" s="25">
        <f t="shared" ca="1" si="16"/>
        <v>410794.51971858542</v>
      </c>
      <c r="AD57" s="41">
        <f t="shared" si="17"/>
        <v>1412346.8622283705</v>
      </c>
      <c r="AE57" s="6">
        <v>100</v>
      </c>
      <c r="AF57" s="41">
        <f t="shared" si="18"/>
        <v>3287.1276682920902</v>
      </c>
      <c r="AG57" s="41">
        <f t="shared" ca="1" si="19"/>
        <v>2331.0353174235543</v>
      </c>
      <c r="AH57" s="41">
        <f t="shared" ca="1" si="20"/>
        <v>1001552.3425097851</v>
      </c>
      <c r="AI57" s="41">
        <f t="shared" si="21"/>
        <v>2588.3215382921535</v>
      </c>
      <c r="AJ57" s="13">
        <f t="shared" ca="1" si="22"/>
        <v>76.840849325112245</v>
      </c>
      <c r="AK57" s="11">
        <f t="shared" ca="1" si="23"/>
        <v>4580.164269805965</v>
      </c>
      <c r="AL57" s="6">
        <f t="shared" si="48"/>
        <v>266.66665999999998</v>
      </c>
      <c r="AM57" s="41">
        <f t="shared" ca="1" si="24"/>
        <v>3.4703762691604068</v>
      </c>
      <c r="AN57" s="41">
        <f t="shared" ca="1" si="25"/>
        <v>2.4951249009571801</v>
      </c>
      <c r="AO57" s="41">
        <f t="shared" ca="1" si="26"/>
        <v>0.24144417052144435</v>
      </c>
      <c r="AP57" s="67">
        <f t="shared" si="45"/>
        <v>0.78741132060653451</v>
      </c>
      <c r="AQ57" s="11">
        <f t="shared" si="27"/>
        <v>0.94846761561012172</v>
      </c>
      <c r="AR57" s="11">
        <f t="shared" si="28"/>
        <v>0.56282577705158721</v>
      </c>
      <c r="AS57" s="11">
        <f t="shared" si="29"/>
        <v>0.59340537071425226</v>
      </c>
      <c r="AT57" s="11">
        <f t="shared" si="30"/>
        <v>491.94169818850179</v>
      </c>
      <c r="AU57" s="11">
        <f t="shared" si="31"/>
        <v>1191.0631659121098</v>
      </c>
      <c r="AV57" s="11">
        <f t="shared" si="32"/>
        <v>1.4104652256507061E-3</v>
      </c>
      <c r="AW57" s="11">
        <f t="shared" si="33"/>
        <v>3.5856966007663912E-7</v>
      </c>
      <c r="AX57" s="41">
        <f t="shared" ca="1" si="34"/>
        <v>1.4977162530707762</v>
      </c>
      <c r="AY57" s="41">
        <f t="shared" ca="1" si="35"/>
        <v>2.0174535488383833</v>
      </c>
      <c r="AZ57" s="41">
        <f t="shared" si="36"/>
        <v>0.28146312360208281</v>
      </c>
    </row>
    <row r="58" spans="1:52" ht="14.5">
      <c r="A58" s="66">
        <f t="shared" ca="1" si="37"/>
        <v>243.54632888227263</v>
      </c>
      <c r="B58" s="41">
        <f t="shared" ca="1" si="50"/>
        <v>4.0591054813712102</v>
      </c>
      <c r="C58" s="41">
        <f t="shared" ca="1" si="50"/>
        <v>6.7651758022853503E-2</v>
      </c>
      <c r="D58" s="41">
        <f t="shared" ca="1" si="39"/>
        <v>13117.807338209805</v>
      </c>
      <c r="E58" s="41">
        <f t="shared" ca="1" si="40"/>
        <v>6.8240711899831386</v>
      </c>
      <c r="F58" s="41">
        <f t="shared" ca="1" si="41"/>
        <v>6.8240711899831386</v>
      </c>
      <c r="G58" s="41"/>
      <c r="H58" s="7">
        <f t="shared" si="42"/>
        <v>15333.33310000002</v>
      </c>
      <c r="I58" s="6">
        <v>15</v>
      </c>
      <c r="J58" s="41">
        <f t="shared" si="1"/>
        <v>0.40300811286117272</v>
      </c>
      <c r="K58" s="41">
        <f t="shared" si="2"/>
        <v>437.76783786941593</v>
      </c>
      <c r="L58" s="6">
        <f t="shared" si="46"/>
        <v>200.6666666666668</v>
      </c>
      <c r="M58" s="41">
        <f t="shared" si="3"/>
        <v>259.37043965222301</v>
      </c>
      <c r="N58" s="41">
        <f t="shared" si="4"/>
        <v>133.96361040724051</v>
      </c>
      <c r="O58" s="41">
        <f t="shared" si="5"/>
        <v>1709470.2861168531</v>
      </c>
      <c r="P58" s="41">
        <f t="shared" si="6"/>
        <v>10976000.454573639</v>
      </c>
      <c r="Q58" s="41">
        <f t="shared" si="7"/>
        <v>2.9152586309284809E-3</v>
      </c>
      <c r="R58" s="41">
        <f t="shared" si="43"/>
        <v>1.9637469243070679E-2</v>
      </c>
      <c r="S58" s="24">
        <f t="shared" ca="1" si="44"/>
        <v>10.120530212965383</v>
      </c>
      <c r="T58" s="10">
        <f t="shared" ca="1" si="8"/>
        <v>10.120530212965383</v>
      </c>
      <c r="U58" s="41">
        <f t="shared" ca="1" si="9"/>
        <v>0.41911764344089253</v>
      </c>
      <c r="V58" s="41">
        <f t="shared" ca="1" si="10"/>
        <v>3.073155396104885E-2</v>
      </c>
      <c r="W58" s="41">
        <f t="shared" ca="1" si="11"/>
        <v>13.638023120214136</v>
      </c>
      <c r="X58" s="20">
        <f t="shared" ca="1" si="12"/>
        <v>946.88928207081847</v>
      </c>
      <c r="Y58" s="41">
        <f t="shared" si="13"/>
        <v>0.5576130940984052</v>
      </c>
      <c r="Z58" s="41">
        <f t="shared" ca="1" si="14"/>
        <v>182.93895855326184</v>
      </c>
      <c r="AA58" s="14">
        <f t="shared" ca="1" si="15"/>
        <v>961.85548466820876</v>
      </c>
      <c r="AB58" s="14">
        <f t="shared" si="47"/>
        <v>3251.9435901718803</v>
      </c>
      <c r="AC58" s="25">
        <f t="shared" ca="1" si="16"/>
        <v>421069.3958660409</v>
      </c>
      <c r="AD58" s="41">
        <f t="shared" si="17"/>
        <v>1423596.3143428501</v>
      </c>
      <c r="AE58" s="6">
        <v>100</v>
      </c>
      <c r="AF58" s="41">
        <f t="shared" si="18"/>
        <v>3251.9435901718803</v>
      </c>
      <c r="AG58" s="41">
        <f t="shared" ca="1" si="19"/>
        <v>2290.0881055036716</v>
      </c>
      <c r="AH58" s="41">
        <f t="shared" ca="1" si="20"/>
        <v>1002526.9184768093</v>
      </c>
      <c r="AI58" s="41">
        <f t="shared" si="21"/>
        <v>2565.1810789176525</v>
      </c>
      <c r="AJ58" s="13">
        <f t="shared" ca="1" si="22"/>
        <v>76.924337628417575</v>
      </c>
      <c r="AK58" s="11">
        <f t="shared" ca="1" si="23"/>
        <v>4585.4931054977278</v>
      </c>
      <c r="AL58" s="6">
        <f t="shared" si="48"/>
        <v>266.66665999999998</v>
      </c>
      <c r="AM58" s="41">
        <f t="shared" ca="1" si="24"/>
        <v>3.4666097651452161</v>
      </c>
      <c r="AN58" s="41">
        <f t="shared" ca="1" si="25"/>
        <v>2.47013382709491</v>
      </c>
      <c r="AO58" s="41">
        <f t="shared" ca="1" si="26"/>
        <v>0.24587383122495704</v>
      </c>
      <c r="AP58" s="67">
        <f t="shared" si="45"/>
        <v>0.7888147527128756</v>
      </c>
      <c r="AQ58" s="11">
        <f t="shared" si="27"/>
        <v>0.94663418898929075</v>
      </c>
      <c r="AR58" s="11">
        <f t="shared" si="28"/>
        <v>0.55680151876102324</v>
      </c>
      <c r="AS58" s="11">
        <f t="shared" si="29"/>
        <v>0.58819079770984517</v>
      </c>
      <c r="AT58" s="11">
        <f t="shared" si="30"/>
        <v>490.99075480307539</v>
      </c>
      <c r="AU58" s="11">
        <f t="shared" si="31"/>
        <v>1178.3145100324525</v>
      </c>
      <c r="AV58" s="11">
        <f t="shared" si="32"/>
        <v>1.398070707076531E-3</v>
      </c>
      <c r="AW58" s="11">
        <f t="shared" si="33"/>
        <v>3.5802341555506998E-7</v>
      </c>
      <c r="AX58" s="41">
        <f t="shared" ca="1" si="34"/>
        <v>1.5314662168666917</v>
      </c>
      <c r="AY58" s="41">
        <f t="shared" ca="1" si="35"/>
        <v>2.0629154206005635</v>
      </c>
      <c r="AZ58" s="41">
        <f t="shared" si="36"/>
        <v>0.28641471712571004</v>
      </c>
    </row>
    <row r="59" spans="1:52" ht="14.5">
      <c r="A59" s="66">
        <f t="shared" ca="1" si="37"/>
        <v>247.01293864741785</v>
      </c>
      <c r="B59" s="41">
        <f t="shared" ca="1" si="50"/>
        <v>4.1168823107902979</v>
      </c>
      <c r="C59" s="41">
        <f t="shared" ca="1" si="50"/>
        <v>6.8614705179838295E-2</v>
      </c>
      <c r="D59" s="41">
        <f t="shared" ca="1" si="39"/>
        <v>13115.337204382709</v>
      </c>
      <c r="E59" s="41">
        <f t="shared" ca="1" si="40"/>
        <v>7.0699450212080954</v>
      </c>
      <c r="F59" s="41">
        <f t="shared" ca="1" si="41"/>
        <v>7.0699450212080954</v>
      </c>
      <c r="G59" s="41"/>
      <c r="H59" s="7">
        <f t="shared" si="42"/>
        <v>15599.999760000021</v>
      </c>
      <c r="I59" s="6">
        <v>15</v>
      </c>
      <c r="J59" s="41">
        <f t="shared" si="1"/>
        <v>0.41092037124003861</v>
      </c>
      <c r="K59" s="41">
        <f t="shared" si="2"/>
        <v>445.93007037435524</v>
      </c>
      <c r="L59" s="6">
        <f t="shared" si="46"/>
        <v>203.60000000000014</v>
      </c>
      <c r="M59" s="41">
        <f t="shared" si="3"/>
        <v>264.20643181567948</v>
      </c>
      <c r="N59" s="41">
        <f t="shared" si="4"/>
        <v>137.78167263112928</v>
      </c>
      <c r="O59" s="41">
        <f t="shared" si="5"/>
        <v>1728649.6554110702</v>
      </c>
      <c r="P59" s="41">
        <f t="shared" si="6"/>
        <v>11099145.482481642</v>
      </c>
      <c r="Q59" s="41">
        <f t="shared" si="7"/>
        <v>2.9083757995661129E-3</v>
      </c>
      <c r="R59" s="41">
        <f t="shared" si="43"/>
        <v>1.9598188716162444E-2</v>
      </c>
      <c r="S59" s="24">
        <f t="shared" ca="1" si="44"/>
        <v>9.9376521063048706</v>
      </c>
      <c r="T59" s="10">
        <f t="shared" ca="1" si="8"/>
        <v>9.9376521063048706</v>
      </c>
      <c r="U59" s="41">
        <f t="shared" ca="1" si="9"/>
        <v>0.40765680505856561</v>
      </c>
      <c r="V59" s="41">
        <f t="shared" ca="1" si="10"/>
        <v>3.0093830111685566E-2</v>
      </c>
      <c r="W59" s="41">
        <f t="shared" ca="1" si="11"/>
        <v>13.546192144557589</v>
      </c>
      <c r="X59" s="20">
        <f t="shared" ca="1" si="12"/>
        <v>953.66699719296867</v>
      </c>
      <c r="Y59" s="41">
        <f t="shared" si="13"/>
        <v>0.55705512249649591</v>
      </c>
      <c r="Z59" s="41">
        <f t="shared" ca="1" si="14"/>
        <v>183.78433299187415</v>
      </c>
      <c r="AA59" s="14">
        <f t="shared" ca="1" si="15"/>
        <v>968.19364913940171</v>
      </c>
      <c r="AB59" s="14">
        <f t="shared" si="47"/>
        <v>3217.0650817127598</v>
      </c>
      <c r="AC59" s="25">
        <f t="shared" ca="1" si="16"/>
        <v>431746.66209673719</v>
      </c>
      <c r="AD59" s="41">
        <f t="shared" si="17"/>
        <v>1434586.058287052</v>
      </c>
      <c r="AE59" s="6">
        <v>100</v>
      </c>
      <c r="AF59" s="41">
        <f t="shared" si="18"/>
        <v>3217.0650817127598</v>
      </c>
      <c r="AG59" s="41">
        <f t="shared" ca="1" si="19"/>
        <v>2248.8714325733581</v>
      </c>
      <c r="AH59" s="41">
        <f t="shared" ca="1" si="20"/>
        <v>1002839.3961903148</v>
      </c>
      <c r="AI59" s="41">
        <f t="shared" si="21"/>
        <v>2542.1882714575881</v>
      </c>
      <c r="AJ59" s="13">
        <f t="shared" ca="1" si="22"/>
        <v>76.957019967264827</v>
      </c>
      <c r="AK59" s="11">
        <f t="shared" ca="1" si="23"/>
        <v>4587.786256178907</v>
      </c>
      <c r="AL59" s="6">
        <f t="shared" si="48"/>
        <v>266.66665999999998</v>
      </c>
      <c r="AM59" s="41">
        <f t="shared" ca="1" si="24"/>
        <v>3.465137554877149</v>
      </c>
      <c r="AN59" s="41">
        <f t="shared" ca="1" si="25"/>
        <v>2.4469533474988645</v>
      </c>
      <c r="AO59" s="41">
        <f t="shared" ca="1" si="26"/>
        <v>0.250493169826146</v>
      </c>
      <c r="AP59" s="67">
        <f t="shared" si="45"/>
        <v>0.79021972104590799</v>
      </c>
      <c r="AQ59" s="11">
        <f t="shared" si="27"/>
        <v>0.94480076236845978</v>
      </c>
      <c r="AR59" s="11">
        <f t="shared" si="28"/>
        <v>0.55082958045900277</v>
      </c>
      <c r="AS59" s="11">
        <f t="shared" si="29"/>
        <v>0.58301136324039771</v>
      </c>
      <c r="AT59" s="11">
        <f t="shared" si="30"/>
        <v>490.03981141764899</v>
      </c>
      <c r="AU59" s="11">
        <f t="shared" si="31"/>
        <v>1165.6765747589507</v>
      </c>
      <c r="AV59" s="11">
        <f t="shared" si="32"/>
        <v>1.3857597092861013E-3</v>
      </c>
      <c r="AW59" s="11">
        <f t="shared" si="33"/>
        <v>3.5747667131368461E-7</v>
      </c>
      <c r="AX59" s="41">
        <f t="shared" ca="1" si="34"/>
        <v>1.565889746599392</v>
      </c>
      <c r="AY59" s="41">
        <f t="shared" ca="1" si="35"/>
        <v>2.1092845990616977</v>
      </c>
      <c r="AZ59" s="41">
        <f t="shared" si="36"/>
        <v>0.29137740725851941</v>
      </c>
    </row>
    <row r="60" spans="1:52" ht="14.5">
      <c r="A60" s="66">
        <f t="shared" ca="1" si="37"/>
        <v>250.478076202295</v>
      </c>
      <c r="B60" s="41">
        <f t="shared" ca="1" si="50"/>
        <v>4.1746346033715831</v>
      </c>
      <c r="C60" s="41">
        <f t="shared" ca="1" si="50"/>
        <v>6.957724338952638E-2</v>
      </c>
      <c r="D60" s="41">
        <f t="shared" ca="1" si="39"/>
        <v>13112.890251035211</v>
      </c>
      <c r="E60" s="41">
        <f t="shared" ca="1" si="40"/>
        <v>7.3204381910342411</v>
      </c>
      <c r="F60" s="41">
        <f t="shared" ca="1" si="41"/>
        <v>7.3204381910342411</v>
      </c>
      <c r="G60" s="41"/>
      <c r="H60" s="7">
        <f t="shared" si="42"/>
        <v>15866.666420000021</v>
      </c>
      <c r="I60" s="6">
        <v>15</v>
      </c>
      <c r="J60" s="41">
        <f t="shared" si="1"/>
        <v>0.41889842768199598</v>
      </c>
      <c r="K60" s="41">
        <f t="shared" si="2"/>
        <v>454.14655546957556</v>
      </c>
      <c r="L60" s="6">
        <f t="shared" si="46"/>
        <v>206.53333333333347</v>
      </c>
      <c r="M60" s="41">
        <f t="shared" si="3"/>
        <v>269.07456777083598</v>
      </c>
      <c r="N60" s="41">
        <f t="shared" si="4"/>
        <v>141.64484882796742</v>
      </c>
      <c r="O60" s="41">
        <f t="shared" si="5"/>
        <v>1747641.7148823198</v>
      </c>
      <c r="P60" s="41">
        <f t="shared" si="6"/>
        <v>11221087.849706547</v>
      </c>
      <c r="Q60" s="41">
        <f t="shared" si="7"/>
        <v>2.9015727295420724E-3</v>
      </c>
      <c r="R60" s="41">
        <f t="shared" si="43"/>
        <v>1.9559363389626196E-2</v>
      </c>
      <c r="S60" s="24">
        <f t="shared" ca="1" si="44"/>
        <v>9.7537439342644703</v>
      </c>
      <c r="T60" s="10">
        <f t="shared" ca="1" si="8"/>
        <v>9.7537439342644703</v>
      </c>
      <c r="U60" s="41">
        <f t="shared" ca="1" si="9"/>
        <v>0.39668543977225285</v>
      </c>
      <c r="V60" s="41">
        <f t="shared" ca="1" si="10"/>
        <v>2.9497663589876058E-2</v>
      </c>
      <c r="W60" s="41">
        <f t="shared" ca="1" si="11"/>
        <v>13.448029148600092</v>
      </c>
      <c r="X60" s="20">
        <f t="shared" ca="1" si="12"/>
        <v>960.98418299223363</v>
      </c>
      <c r="Y60" s="41">
        <f t="shared" si="13"/>
        <v>0.55650306716321318</v>
      </c>
      <c r="Z60" s="41">
        <f t="shared" ca="1" si="14"/>
        <v>184.63478872096505</v>
      </c>
      <c r="AA60" s="14">
        <f t="shared" ca="1" si="15"/>
        <v>975.07895812378069</v>
      </c>
      <c r="AB60" s="14">
        <f t="shared" si="47"/>
        <v>3182.4901084589146</v>
      </c>
      <c r="AC60" s="25">
        <f t="shared" ca="1" si="16"/>
        <v>442828.75014277751</v>
      </c>
      <c r="AD60" s="41">
        <f t="shared" si="17"/>
        <v>1445316.920572612</v>
      </c>
      <c r="AE60" s="6">
        <v>100</v>
      </c>
      <c r="AF60" s="41">
        <f t="shared" si="18"/>
        <v>3182.4901084589146</v>
      </c>
      <c r="AG60" s="41">
        <f t="shared" ca="1" si="19"/>
        <v>2207.4111503351342</v>
      </c>
      <c r="AH60" s="41">
        <f t="shared" ca="1" si="20"/>
        <v>1002488.1704298344</v>
      </c>
      <c r="AI60" s="41">
        <f t="shared" si="21"/>
        <v>2519.3420287781928</v>
      </c>
      <c r="AJ60" s="13">
        <f t="shared" ca="1" si="22"/>
        <v>76.938740788004154</v>
      </c>
      <c r="AK60" s="11">
        <f t="shared" ca="1" si="23"/>
        <v>4587.0352816413997</v>
      </c>
      <c r="AL60" s="6">
        <f t="shared" si="48"/>
        <v>266.66665999999998</v>
      </c>
      <c r="AM60" s="41">
        <f t="shared" ca="1" si="24"/>
        <v>3.4659608055552829</v>
      </c>
      <c r="AN60" s="41">
        <f t="shared" ca="1" si="25"/>
        <v>2.4255390909814851</v>
      </c>
      <c r="AO60" s="41">
        <f t="shared" ca="1" si="26"/>
        <v>0.25531142686393937</v>
      </c>
      <c r="AP60" s="67">
        <f t="shared" si="45"/>
        <v>0.79162603587734515</v>
      </c>
      <c r="AQ60" s="11">
        <f t="shared" si="27"/>
        <v>0.9429673357476287</v>
      </c>
      <c r="AR60" s="11">
        <f t="shared" si="28"/>
        <v>0.54490961380366321</v>
      </c>
      <c r="AS60" s="11">
        <f t="shared" si="29"/>
        <v>0.57786690285685594</v>
      </c>
      <c r="AT60" s="11">
        <f t="shared" si="30"/>
        <v>489.08886803222254</v>
      </c>
      <c r="AU60" s="11">
        <f t="shared" si="31"/>
        <v>1153.1486229235879</v>
      </c>
      <c r="AV60" s="11">
        <f t="shared" si="32"/>
        <v>1.3735318414004609E-3</v>
      </c>
      <c r="AW60" s="11">
        <f t="shared" si="33"/>
        <v>3.5692942625932119E-7</v>
      </c>
      <c r="AX60" s="41">
        <f t="shared" ca="1" si="34"/>
        <v>1.6009662045002939</v>
      </c>
      <c r="AY60" s="41">
        <f t="shared" ca="1" si="35"/>
        <v>2.1565332847374821</v>
      </c>
      <c r="AZ60" s="41">
        <f t="shared" si="36"/>
        <v>0.29635056090803569</v>
      </c>
    </row>
    <row r="61" spans="1:52" ht="14.5">
      <c r="A61" s="66">
        <f t="shared" ca="1" si="37"/>
        <v>253.94403700785028</v>
      </c>
      <c r="B61" s="41">
        <f t="shared" ca="1" si="50"/>
        <v>4.2324006167975048</v>
      </c>
      <c r="C61" s="41">
        <f t="shared" ca="1" si="50"/>
        <v>7.0540010279958418E-2</v>
      </c>
      <c r="D61" s="41">
        <f t="shared" ca="1" si="39"/>
        <v>13110.464711944229</v>
      </c>
      <c r="E61" s="41">
        <f t="shared" ca="1" si="40"/>
        <v>7.5757496178981807</v>
      </c>
      <c r="F61" s="41">
        <f t="shared" ca="1" si="41"/>
        <v>7.5757496178981807</v>
      </c>
      <c r="G61" s="41"/>
      <c r="H61" s="7">
        <f t="shared" si="42"/>
        <v>16133.333080000022</v>
      </c>
      <c r="I61" s="6">
        <v>15</v>
      </c>
      <c r="J61" s="41">
        <f t="shared" si="1"/>
        <v>0.42694247005228936</v>
      </c>
      <c r="K61" s="41">
        <f t="shared" si="2"/>
        <v>462.41726296079406</v>
      </c>
      <c r="L61" s="6">
        <f t="shared" si="46"/>
        <v>209.46666666666681</v>
      </c>
      <c r="M61" s="41">
        <f t="shared" si="3"/>
        <v>273.97482962806311</v>
      </c>
      <c r="N61" s="41">
        <f t="shared" si="4"/>
        <v>145.55247334704424</v>
      </c>
      <c r="O61" s="41">
        <f t="shared" si="5"/>
        <v>1766445.2313053063</v>
      </c>
      <c r="P61" s="41">
        <f t="shared" si="6"/>
        <v>11341819.638075389</v>
      </c>
      <c r="Q61" s="41">
        <f t="shared" si="7"/>
        <v>2.8948454706188781E-3</v>
      </c>
      <c r="R61" s="41">
        <f t="shared" si="43"/>
        <v>1.952097071933705E-2</v>
      </c>
      <c r="S61" s="24">
        <f t="shared" ca="1" si="44"/>
        <v>9.5689115852723443</v>
      </c>
      <c r="T61" s="10">
        <f t="shared" ca="1" si="8"/>
        <v>9.5689115852723443</v>
      </c>
      <c r="U61" s="41">
        <f t="shared" ca="1" si="9"/>
        <v>0.38617630283405713</v>
      </c>
      <c r="V61" s="41">
        <f t="shared" ca="1" si="10"/>
        <v>2.8939667845055358E-2</v>
      </c>
      <c r="W61" s="41">
        <f t="shared" ca="1" si="11"/>
        <v>13.344185735014902</v>
      </c>
      <c r="X61" s="20">
        <f t="shared" ca="1" si="12"/>
        <v>968.81525351863866</v>
      </c>
      <c r="Y61" s="41">
        <f t="shared" si="13"/>
        <v>0.55595662469491813</v>
      </c>
      <c r="Z61" s="41">
        <f t="shared" ca="1" si="14"/>
        <v>185.49031047135222</v>
      </c>
      <c r="AA61" s="14">
        <f t="shared" ca="1" si="15"/>
        <v>982.48517911007536</v>
      </c>
      <c r="AB61" s="14">
        <f t="shared" si="47"/>
        <v>3148.2166453590607</v>
      </c>
      <c r="AC61" s="25">
        <f t="shared" ca="1" si="16"/>
        <v>454318.10742362658</v>
      </c>
      <c r="AD61" s="41">
        <f t="shared" si="17"/>
        <v>1455789.7243545498</v>
      </c>
      <c r="AE61" s="6">
        <v>100</v>
      </c>
      <c r="AF61" s="41">
        <f t="shared" si="18"/>
        <v>3148.2166453590607</v>
      </c>
      <c r="AG61" s="41">
        <f t="shared" ca="1" si="19"/>
        <v>2165.7314662489853</v>
      </c>
      <c r="AH61" s="41">
        <f t="shared" ca="1" si="20"/>
        <v>1001471.6169309232</v>
      </c>
      <c r="AI61" s="41">
        <f t="shared" si="21"/>
        <v>2496.6412766417934</v>
      </c>
      <c r="AJ61" s="13">
        <f t="shared" ca="1" si="22"/>
        <v>76.869344348232616</v>
      </c>
      <c r="AK61" s="11">
        <f t="shared" ca="1" si="23"/>
        <v>4583.2316653972021</v>
      </c>
      <c r="AL61" s="6">
        <f t="shared" si="48"/>
        <v>266.66665999999998</v>
      </c>
      <c r="AM61" s="41">
        <f t="shared" ca="1" si="24"/>
        <v>3.4690898206695997</v>
      </c>
      <c r="AN61" s="41">
        <f t="shared" ca="1" si="25"/>
        <v>2.4058535662948888</v>
      </c>
      <c r="AO61" s="41">
        <f t="shared" ca="1" si="26"/>
        <v>0.26033866267477934</v>
      </c>
      <c r="AP61" s="67">
        <f t="shared" si="45"/>
        <v>0.79303350368921199</v>
      </c>
      <c r="AQ61" s="11">
        <f t="shared" si="27"/>
        <v>0.94113390912679773</v>
      </c>
      <c r="AR61" s="11">
        <f t="shared" si="28"/>
        <v>0.53904127206339647</v>
      </c>
      <c r="AS61" s="11">
        <f t="shared" si="29"/>
        <v>0.57275725253968313</v>
      </c>
      <c r="AT61" s="11">
        <f t="shared" si="30"/>
        <v>488.13792464679614</v>
      </c>
      <c r="AU61" s="11">
        <f t="shared" si="31"/>
        <v>1140.7299207660008</v>
      </c>
      <c r="AV61" s="11">
        <f t="shared" si="32"/>
        <v>1.3613867135615727E-3</v>
      </c>
      <c r="AW61" s="11">
        <f t="shared" si="33"/>
        <v>3.5638167929562458E-7</v>
      </c>
      <c r="AX61" s="41">
        <f t="shared" ca="1" si="34"/>
        <v>1.6366760938355231</v>
      </c>
      <c r="AY61" s="41">
        <f t="shared" ca="1" si="35"/>
        <v>2.2046352151400361</v>
      </c>
      <c r="AZ61" s="41">
        <f t="shared" si="36"/>
        <v>0.30133352871869168</v>
      </c>
    </row>
    <row r="62" spans="1:52" ht="14.5">
      <c r="A62" s="66">
        <f t="shared" ca="1" si="37"/>
        <v>257.41312682851986</v>
      </c>
      <c r="B62" s="41">
        <f t="shared" ca="1" si="50"/>
        <v>4.2902187804753309</v>
      </c>
      <c r="C62" s="41">
        <f t="shared" ca="1" si="50"/>
        <v>7.1503646341255514E-2</v>
      </c>
      <c r="D62" s="41">
        <f t="shared" ca="1" si="39"/>
        <v>13108.058858377934</v>
      </c>
      <c r="E62" s="41">
        <f t="shared" ca="1" si="40"/>
        <v>7.8360882805729597</v>
      </c>
      <c r="F62" s="41">
        <f t="shared" ca="1" si="41"/>
        <v>7.8360882805729597</v>
      </c>
      <c r="G62" s="41"/>
      <c r="H62" s="7">
        <f t="shared" si="42"/>
        <v>16399.999740000021</v>
      </c>
      <c r="I62" s="6">
        <v>15</v>
      </c>
      <c r="J62" s="41">
        <f t="shared" si="1"/>
        <v>0.43505267482994753</v>
      </c>
      <c r="K62" s="41">
        <f t="shared" si="2"/>
        <v>470.74214903392834</v>
      </c>
      <c r="L62" s="6">
        <f t="shared" si="46"/>
        <v>212.40000000000015</v>
      </c>
      <c r="M62" s="41">
        <f t="shared" si="3"/>
        <v>278.90719142821803</v>
      </c>
      <c r="N62" s="41">
        <f t="shared" si="4"/>
        <v>149.50385817237114</v>
      </c>
      <c r="O62" s="41">
        <f t="shared" si="5"/>
        <v>1785058.9558788876</v>
      </c>
      <c r="P62" s="41">
        <f t="shared" si="6"/>
        <v>11461332.829407321</v>
      </c>
      <c r="Q62" s="41">
        <f t="shared" si="7"/>
        <v>2.8881902344290679E-3</v>
      </c>
      <c r="R62" s="41">
        <f t="shared" si="43"/>
        <v>1.9482989084967244E-2</v>
      </c>
      <c r="S62" s="24">
        <f t="shared" ca="1" si="44"/>
        <v>9.3832543176752274</v>
      </c>
      <c r="T62" s="10">
        <f t="shared" ca="1" si="8"/>
        <v>9.3832543176752274</v>
      </c>
      <c r="U62" s="41">
        <f t="shared" ca="1" si="9"/>
        <v>0.37610403879669058</v>
      </c>
      <c r="V62" s="41">
        <f t="shared" ca="1" si="10"/>
        <v>2.8416775906561189E-2</v>
      </c>
      <c r="W62" s="41">
        <f t="shared" ca="1" si="11"/>
        <v>13.235281864254397</v>
      </c>
      <c r="X62" s="20">
        <f t="shared" ca="1" si="12"/>
        <v>977.13605601563279</v>
      </c>
      <c r="Y62" s="41">
        <f t="shared" si="13"/>
        <v>0.55541550348517299</v>
      </c>
      <c r="Z62" s="41">
        <f t="shared" ca="1" si="14"/>
        <v>186.35088661003357</v>
      </c>
      <c r="AA62" s="14">
        <f t="shared" ca="1" si="15"/>
        <v>990.38758621226918</v>
      </c>
      <c r="AB62" s="14">
        <f t="shared" si="47"/>
        <v>3114.2426767421775</v>
      </c>
      <c r="AC62" s="25">
        <f t="shared" ca="1" si="16"/>
        <v>466217.18071008858</v>
      </c>
      <c r="AD62" s="41">
        <f t="shared" si="17"/>
        <v>1466005.290262786</v>
      </c>
      <c r="AE62" s="6">
        <v>100</v>
      </c>
      <c r="AF62" s="41">
        <f t="shared" si="18"/>
        <v>3114.2426767421775</v>
      </c>
      <c r="AG62" s="41">
        <f t="shared" ca="1" si="19"/>
        <v>2123.8550905299085</v>
      </c>
      <c r="AH62" s="41">
        <f t="shared" ca="1" si="20"/>
        <v>999788.10955269739</v>
      </c>
      <c r="AI62" s="41">
        <f t="shared" si="21"/>
        <v>2474.0849538963466</v>
      </c>
      <c r="AJ62" s="13">
        <f t="shared" ca="1" si="22"/>
        <v>76.748676079712212</v>
      </c>
      <c r="AK62" s="11">
        <f t="shared" ca="1" si="23"/>
        <v>4576.3668916409652</v>
      </c>
      <c r="AL62" s="6">
        <f t="shared" si="48"/>
        <v>266.66665999999998</v>
      </c>
      <c r="AM62" s="41">
        <f t="shared" ca="1" si="24"/>
        <v>3.4745441044876966</v>
      </c>
      <c r="AN62" s="41">
        <f t="shared" ca="1" si="25"/>
        <v>2.387865914045074</v>
      </c>
      <c r="AO62" s="41">
        <f t="shared" ca="1" si="26"/>
        <v>0.26558582457499202</v>
      </c>
      <c r="AP62" s="67">
        <f t="shared" si="45"/>
        <v>0.79444192720539597</v>
      </c>
      <c r="AQ62" s="11">
        <f t="shared" si="27"/>
        <v>0.93930048250596676</v>
      </c>
      <c r="AR62" s="11">
        <f t="shared" si="28"/>
        <v>0.53322421011269394</v>
      </c>
      <c r="AS62" s="11">
        <f t="shared" si="29"/>
        <v>0.56768224869862849</v>
      </c>
      <c r="AT62" s="11">
        <f t="shared" si="30"/>
        <v>487.18698126136974</v>
      </c>
      <c r="AU62" s="11">
        <f t="shared" si="31"/>
        <v>1128.419737924685</v>
      </c>
      <c r="AV62" s="11">
        <f t="shared" si="32"/>
        <v>1.3493239369317699E-3</v>
      </c>
      <c r="AW62" s="11">
        <f t="shared" si="33"/>
        <v>3.5583342932303574E-7</v>
      </c>
      <c r="AX62" s="41">
        <f t="shared" ca="1" si="34"/>
        <v>1.6730009142626481</v>
      </c>
      <c r="AY62" s="41">
        <f t="shared" ca="1" si="35"/>
        <v>2.2535654699405474</v>
      </c>
      <c r="AZ62" s="41">
        <f t="shared" si="36"/>
        <v>0.30632564507467053</v>
      </c>
    </row>
    <row r="63" spans="1:52" ht="14.5">
      <c r="A63" s="66">
        <f t="shared" ca="1" si="37"/>
        <v>260.88767093300754</v>
      </c>
      <c r="B63" s="41">
        <f t="shared" ca="1" si="50"/>
        <v>4.3481278488834594</v>
      </c>
      <c r="C63" s="41">
        <f t="shared" ca="1" si="50"/>
        <v>7.2468797481390984E-2</v>
      </c>
      <c r="D63" s="41">
        <f t="shared" ca="1" si="39"/>
        <v>13105.670992463889</v>
      </c>
      <c r="E63" s="41">
        <f t="shared" ca="1" si="40"/>
        <v>8.1016741051479517</v>
      </c>
      <c r="F63" s="41">
        <f t="shared" ca="1" si="41"/>
        <v>8.1016741051479517</v>
      </c>
      <c r="G63" s="41"/>
      <c r="H63" s="7">
        <f t="shared" si="42"/>
        <v>16666.66640000002</v>
      </c>
      <c r="I63" s="6">
        <v>15</v>
      </c>
      <c r="J63" s="41">
        <f t="shared" si="1"/>
        <v>0.44322920686516482</v>
      </c>
      <c r="K63" s="41">
        <f t="shared" si="2"/>
        <v>479.12115604844536</v>
      </c>
      <c r="L63" s="6">
        <f t="shared" si="46"/>
        <v>215.33333333333348</v>
      </c>
      <c r="M63" s="41">
        <f t="shared" si="3"/>
        <v>283.87161902020711</v>
      </c>
      <c r="N63" s="41">
        <f t="shared" si="4"/>
        <v>153.49829266970244</v>
      </c>
      <c r="O63" s="41">
        <f t="shared" si="5"/>
        <v>1803481.6250565429</v>
      </c>
      <c r="P63" s="41">
        <f t="shared" si="6"/>
        <v>11579619.310845807</v>
      </c>
      <c r="Q63" s="41">
        <f t="shared" si="7"/>
        <v>2.8816033856329947E-3</v>
      </c>
      <c r="R63" s="41">
        <f t="shared" si="43"/>
        <v>1.9445397739523387E-2</v>
      </c>
      <c r="S63" s="24">
        <f t="shared" ca="1" si="44"/>
        <v>9.1968653549522301</v>
      </c>
      <c r="T63" s="10">
        <f t="shared" ca="1" si="8"/>
        <v>9.1968653549522301</v>
      </c>
      <c r="U63" s="41">
        <f t="shared" ca="1" si="9"/>
        <v>0.36644502562210729</v>
      </c>
      <c r="V63" s="41">
        <f t="shared" ca="1" si="10"/>
        <v>2.7926206149554954E-2</v>
      </c>
      <c r="W63" s="41">
        <f t="shared" ca="1" si="11"/>
        <v>13.121905054330021</v>
      </c>
      <c r="X63" s="20">
        <f t="shared" ca="1" si="12"/>
        <v>985.92374188073109</v>
      </c>
      <c r="Y63" s="41">
        <f t="shared" si="13"/>
        <v>0.5548794230916082</v>
      </c>
      <c r="Z63" s="41">
        <f t="shared" ca="1" si="14"/>
        <v>187.21650886372842</v>
      </c>
      <c r="AA63" s="14">
        <f t="shared" ca="1" si="15"/>
        <v>998.76282736394478</v>
      </c>
      <c r="AB63" s="14">
        <f t="shared" si="47"/>
        <v>3080.5661962932741</v>
      </c>
      <c r="AC63" s="25">
        <f t="shared" ca="1" si="16"/>
        <v>478528.40046482708</v>
      </c>
      <c r="AD63" s="41">
        <f t="shared" si="17"/>
        <v>1475964.4372517955</v>
      </c>
      <c r="AE63" s="6">
        <v>100</v>
      </c>
      <c r="AF63" s="41">
        <f t="shared" si="18"/>
        <v>3080.5661962932741</v>
      </c>
      <c r="AG63" s="41">
        <f t="shared" ca="1" si="19"/>
        <v>2081.8033689293293</v>
      </c>
      <c r="AH63" s="41">
        <f t="shared" ca="1" si="20"/>
        <v>997436.03678696847</v>
      </c>
      <c r="AI63" s="41">
        <f t="shared" si="21"/>
        <v>2451.6720126620876</v>
      </c>
      <c r="AJ63" s="13">
        <f t="shared" ca="1" si="22"/>
        <v>76.576583895886003</v>
      </c>
      <c r="AK63" s="11">
        <f t="shared" ca="1" si="23"/>
        <v>4566.4325192988017</v>
      </c>
      <c r="AL63" s="6">
        <f t="shared" si="48"/>
        <v>266.66665999999998</v>
      </c>
      <c r="AM63" s="41">
        <f t="shared" ca="1" si="24"/>
        <v>3.482352521268925</v>
      </c>
      <c r="AN63" s="41">
        <f t="shared" ca="1" si="25"/>
        <v>2.3715517262828558</v>
      </c>
      <c r="AO63" s="41">
        <f t="shared" ca="1" si="26"/>
        <v>0.27106482321954806</v>
      </c>
      <c r="AP63" s="67">
        <f t="shared" si="45"/>
        <v>0.7958511054273365</v>
      </c>
      <c r="AQ63" s="11">
        <f t="shared" si="27"/>
        <v>0.93746705588513579</v>
      </c>
      <c r="AR63" s="11">
        <f t="shared" si="28"/>
        <v>0.52745808442799702</v>
      </c>
      <c r="AS63" s="11">
        <f t="shared" si="29"/>
        <v>0.56264172817249847</v>
      </c>
      <c r="AT63" s="11">
        <f t="shared" si="30"/>
        <v>486.23603787594334</v>
      </c>
      <c r="AU63" s="11">
        <f t="shared" si="31"/>
        <v>1116.2173474282158</v>
      </c>
      <c r="AV63" s="11">
        <f t="shared" si="32"/>
        <v>1.3373431236932117E-3</v>
      </c>
      <c r="AW63" s="11">
        <f t="shared" si="33"/>
        <v>3.5528467523878537E-7</v>
      </c>
      <c r="AX63" s="41">
        <f t="shared" ca="1" si="34"/>
        <v>1.7099230352915018</v>
      </c>
      <c r="AY63" s="41">
        <f t="shared" ca="1" si="35"/>
        <v>2.3033003005184867</v>
      </c>
      <c r="AZ63" s="41">
        <f t="shared" si="36"/>
        <v>0.31132622811790844</v>
      </c>
    </row>
    <row r="64" spans="1:52" ht="14.5">
      <c r="A64" s="66">
        <f t="shared" ca="1" si="37"/>
        <v>264.37002345427646</v>
      </c>
      <c r="B64" s="41">
        <f t="shared" ca="1" si="50"/>
        <v>4.4061670575712748</v>
      </c>
      <c r="C64" s="41">
        <f t="shared" ca="1" si="50"/>
        <v>7.3436117626187916E-2</v>
      </c>
      <c r="D64" s="41">
        <f t="shared" ca="1" si="39"/>
        <v>13103.299440737606</v>
      </c>
      <c r="E64" s="41">
        <f t="shared" ca="1" si="40"/>
        <v>8.3727389283675002</v>
      </c>
      <c r="F64" s="41">
        <f t="shared" ca="1" si="41"/>
        <v>8.3727389283675002</v>
      </c>
      <c r="G64" s="41"/>
      <c r="H64" s="7">
        <f t="shared" si="42"/>
        <v>16933.333060000019</v>
      </c>
      <c r="I64" s="6">
        <v>15</v>
      </c>
      <c r="J64" s="41">
        <f t="shared" si="1"/>
        <v>0.45147221914388386</v>
      </c>
      <c r="K64" s="41">
        <f t="shared" si="2"/>
        <v>487.55421234017183</v>
      </c>
      <c r="L64" s="6">
        <f t="shared" si="46"/>
        <v>218.26666666666682</v>
      </c>
      <c r="M64" s="41">
        <f t="shared" si="3"/>
        <v>288.8680699441544</v>
      </c>
      <c r="N64" s="41">
        <f t="shared" si="4"/>
        <v>157.5350433530275</v>
      </c>
      <c r="O64" s="41">
        <f t="shared" si="5"/>
        <v>1821711.961417007</v>
      </c>
      <c r="P64" s="41">
        <f t="shared" si="6"/>
        <v>11696670.880448701</v>
      </c>
      <c r="Q64" s="41">
        <f t="shared" si="7"/>
        <v>2.8750814337393659E-3</v>
      </c>
      <c r="R64" s="41">
        <f t="shared" si="43"/>
        <v>1.9408176762666016E-2</v>
      </c>
      <c r="S64" s="24">
        <f t="shared" ca="1" si="44"/>
        <v>9.0098324235003666</v>
      </c>
      <c r="T64" s="10">
        <f t="shared" ca="1" si="8"/>
        <v>9.0098324235003666</v>
      </c>
      <c r="U64" s="41">
        <f t="shared" ca="1" si="9"/>
        <v>0.35717723363530984</v>
      </c>
      <c r="V64" s="41">
        <f t="shared" ca="1" si="10"/>
        <v>2.7465432149326039E-2</v>
      </c>
      <c r="W64" s="41">
        <f t="shared" ca="1" si="11"/>
        <v>13.004610001888299</v>
      </c>
      <c r="X64" s="20">
        <f t="shared" ca="1" si="12"/>
        <v>995.15665020135407</v>
      </c>
      <c r="Y64" s="41">
        <f t="shared" si="13"/>
        <v>0.55434811364999248</v>
      </c>
      <c r="Z64" s="41">
        <f t="shared" ca="1" si="14"/>
        <v>188.08717206527177</v>
      </c>
      <c r="AA64" s="14">
        <f t="shared" ca="1" si="15"/>
        <v>1007.5888041882823</v>
      </c>
      <c r="AB64" s="14">
        <f t="shared" si="47"/>
        <v>3047.1852070291575</v>
      </c>
      <c r="AC64" s="25">
        <f t="shared" ca="1" si="16"/>
        <v>491254.16578879359</v>
      </c>
      <c r="AD64" s="41">
        <f t="shared" si="17"/>
        <v>1485667.9834677244</v>
      </c>
      <c r="AE64" s="6">
        <v>100</v>
      </c>
      <c r="AF64" s="41">
        <f t="shared" si="18"/>
        <v>3047.1852070291575</v>
      </c>
      <c r="AG64" s="41">
        <f t="shared" ca="1" si="19"/>
        <v>2039.5964028408753</v>
      </c>
      <c r="AH64" s="41">
        <f t="shared" ca="1" si="20"/>
        <v>994413.81767893082</v>
      </c>
      <c r="AI64" s="41">
        <f t="shared" si="21"/>
        <v>2429.401418514839</v>
      </c>
      <c r="AJ64" s="13">
        <f t="shared" ca="1" si="22"/>
        <v>76.352919449683355</v>
      </c>
      <c r="AK64" s="11">
        <f t="shared" ca="1" si="23"/>
        <v>4553.4202534699316</v>
      </c>
      <c r="AL64" s="6">
        <f t="shared" si="48"/>
        <v>266.66665999999998</v>
      </c>
      <c r="AM64" s="41">
        <f t="shared" ca="1" si="24"/>
        <v>3.4925535516128305</v>
      </c>
      <c r="AN64" s="41">
        <f t="shared" ca="1" si="25"/>
        <v>2.356892931257569</v>
      </c>
      <c r="AO64" s="41">
        <f t="shared" ca="1" si="26"/>
        <v>0.27678861925482934</v>
      </c>
      <c r="AP64" s="67">
        <f t="shared" si="45"/>
        <v>0.79726083367389911</v>
      </c>
      <c r="AQ64" s="11">
        <f t="shared" si="27"/>
        <v>0.93563362926430482</v>
      </c>
      <c r="AR64" s="11">
        <f t="shared" si="28"/>
        <v>0.52174255308354867</v>
      </c>
      <c r="AS64" s="11">
        <f t="shared" si="29"/>
        <v>0.55763552822892704</v>
      </c>
      <c r="AT64" s="11">
        <f t="shared" si="30"/>
        <v>485.28509449051694</v>
      </c>
      <c r="AU64" s="11">
        <f t="shared" si="31"/>
        <v>1104.1220256864672</v>
      </c>
      <c r="AV64" s="11">
        <f t="shared" si="32"/>
        <v>1.3254438870473366E-3</v>
      </c>
      <c r="AW64" s="11">
        <f t="shared" si="33"/>
        <v>3.5473541593688456E-7</v>
      </c>
      <c r="AX64" s="41">
        <f t="shared" ca="1" si="34"/>
        <v>1.7474255852839011</v>
      </c>
      <c r="AY64" s="41">
        <f t="shared" ca="1" si="35"/>
        <v>2.3538169804420233</v>
      </c>
      <c r="AZ64" s="41">
        <f t="shared" si="36"/>
        <v>0.31633457978163931</v>
      </c>
    </row>
    <row r="65" spans="1:52" ht="14.5">
      <c r="A65" s="66">
        <f t="shared" ca="1" si="37"/>
        <v>267.86257700588931</v>
      </c>
      <c r="B65" s="41">
        <f t="shared" ca="1" si="50"/>
        <v>4.4643762834314886</v>
      </c>
      <c r="C65" s="41">
        <f t="shared" ca="1" si="50"/>
        <v>7.4406271390524817E-2</v>
      </c>
      <c r="D65" s="41">
        <f t="shared" ca="1" si="39"/>
        <v>13100.942547806349</v>
      </c>
      <c r="E65" s="41">
        <f t="shared" ca="1" si="40"/>
        <v>8.6495275476223288</v>
      </c>
      <c r="F65" s="41">
        <f t="shared" ca="1" si="41"/>
        <v>8.6495275476223288</v>
      </c>
      <c r="G65" s="41"/>
      <c r="H65" s="7">
        <f t="shared" si="42"/>
        <v>17199.999720000018</v>
      </c>
      <c r="I65" s="6">
        <v>15</v>
      </c>
      <c r="J65" s="41">
        <f t="shared" si="1"/>
        <v>0.45978185256015913</v>
      </c>
      <c r="K65" s="41">
        <f t="shared" si="2"/>
        <v>496.04123203414429</v>
      </c>
      <c r="L65" s="6">
        <f t="shared" si="46"/>
        <v>221.20000000000016</v>
      </c>
      <c r="M65" s="41">
        <f t="shared" si="3"/>
        <v>293.89649332051795</v>
      </c>
      <c r="N65" s="41">
        <f t="shared" si="4"/>
        <v>161.6133536716321</v>
      </c>
      <c r="O65" s="41">
        <f t="shared" si="5"/>
        <v>1839748.6745749821</v>
      </c>
      <c r="P65" s="41">
        <f t="shared" si="6"/>
        <v>11812479.253035655</v>
      </c>
      <c r="Q65" s="41">
        <f t="shared" si="7"/>
        <v>2.8686210255334911E-3</v>
      </c>
      <c r="R65" s="41">
        <f t="shared" si="43"/>
        <v>1.9371307017497407E-2</v>
      </c>
      <c r="S65" s="24">
        <f t="shared" ca="1" si="44"/>
        <v>8.822238239146321</v>
      </c>
      <c r="T65" s="10">
        <f t="shared" ca="1" si="8"/>
        <v>8.822238239146321</v>
      </c>
      <c r="U65" s="41">
        <f t="shared" ca="1" si="9"/>
        <v>0.34828009772461715</v>
      </c>
      <c r="V65" s="41">
        <f t="shared" ca="1" si="10"/>
        <v>2.7032156086983627E-2</v>
      </c>
      <c r="W65" s="41">
        <f t="shared" ca="1" si="11"/>
        <v>12.883918567350943</v>
      </c>
      <c r="X65" s="20">
        <f t="shared" ca="1" si="12"/>
        <v>1004.814202504263</v>
      </c>
      <c r="Y65" s="41">
        <f t="shared" si="13"/>
        <v>0.5538213153316468</v>
      </c>
      <c r="Z65" s="41">
        <f t="shared" ca="1" si="14"/>
        <v>188.9628739201938</v>
      </c>
      <c r="AA65" s="14">
        <f t="shared" ca="1" si="15"/>
        <v>1016.8445631909973</v>
      </c>
      <c r="AB65" s="14">
        <f t="shared" si="47"/>
        <v>3014.0977212742205</v>
      </c>
      <c r="AC65" s="25">
        <f t="shared" ca="1" si="16"/>
        <v>504396.82991248358</v>
      </c>
      <c r="AD65" s="41">
        <f t="shared" si="17"/>
        <v>1495116.7471321712</v>
      </c>
      <c r="AE65" s="6">
        <v>100</v>
      </c>
      <c r="AF65" s="41">
        <f t="shared" si="18"/>
        <v>3014.0977212742205</v>
      </c>
      <c r="AG65" s="41">
        <f t="shared" ca="1" si="19"/>
        <v>1997.2531580832233</v>
      </c>
      <c r="AH65" s="41">
        <f t="shared" ca="1" si="20"/>
        <v>990719.9172196876</v>
      </c>
      <c r="AI65" s="41">
        <f t="shared" si="21"/>
        <v>2407.2721506655548</v>
      </c>
      <c r="AJ65" s="13">
        <f t="shared" ca="1" si="22"/>
        <v>76.077539346467702</v>
      </c>
      <c r="AK65" s="11">
        <f t="shared" ca="1" si="23"/>
        <v>4537.3220145244095</v>
      </c>
      <c r="AL65" s="6">
        <f t="shared" si="48"/>
        <v>266.66665999999998</v>
      </c>
      <c r="AM65" s="41">
        <f t="shared" ca="1" si="24"/>
        <v>3.5051956502636461</v>
      </c>
      <c r="AN65" s="41">
        <f t="shared" ca="1" si="25"/>
        <v>2.3438777420871428</v>
      </c>
      <c r="AO65" s="41">
        <f t="shared" ca="1" si="26"/>
        <v>0.28277132158866869</v>
      </c>
      <c r="AP65" s="67">
        <f t="shared" si="45"/>
        <v>0.79867090362547111</v>
      </c>
      <c r="AQ65" s="11">
        <f t="shared" si="27"/>
        <v>0.93380020264347374</v>
      </c>
      <c r="AR65" s="11">
        <f t="shared" si="28"/>
        <v>0.51607727574724682</v>
      </c>
      <c r="AS65" s="11">
        <f t="shared" si="29"/>
        <v>0.55266348656414443</v>
      </c>
      <c r="AT65" s="11">
        <f t="shared" si="30"/>
        <v>484.33415110509048</v>
      </c>
      <c r="AU65" s="11">
        <f t="shared" si="31"/>
        <v>1092.1330524818386</v>
      </c>
      <c r="AV65" s="11">
        <f t="shared" si="32"/>
        <v>1.3136258412143149E-3</v>
      </c>
      <c r="AW65" s="11">
        <f t="shared" si="33"/>
        <v>3.5418565030811794E-7</v>
      </c>
      <c r="AX65" s="41">
        <f t="shared" ca="1" si="34"/>
        <v>1.785492353842602</v>
      </c>
      <c r="AY65" s="41">
        <f t="shared" ca="1" si="35"/>
        <v>2.4050936739840085</v>
      </c>
      <c r="AZ65" s="41">
        <f t="shared" si="36"/>
        <v>0.32134998583982383</v>
      </c>
    </row>
    <row r="66" spans="1:52" ht="14.5">
      <c r="A66" s="66">
        <f t="shared" ca="1" si="37"/>
        <v>271.36777265615297</v>
      </c>
      <c r="B66" s="41">
        <f t="shared" ca="1" si="50"/>
        <v>4.5227962109358826</v>
      </c>
      <c r="C66" s="41">
        <f t="shared" ca="1" si="50"/>
        <v>7.5379936848931378E-2</v>
      </c>
      <c r="D66" s="41">
        <f t="shared" ca="1" si="39"/>
        <v>13098.598670064262</v>
      </c>
      <c r="E66" s="41">
        <f t="shared" ca="1" si="40"/>
        <v>8.9322988692109977</v>
      </c>
      <c r="F66" s="41">
        <f t="shared" ca="1" si="41"/>
        <v>8.9322988692109977</v>
      </c>
      <c r="G66" s="41"/>
      <c r="H66" s="7">
        <f t="shared" si="42"/>
        <v>17466.666380000017</v>
      </c>
      <c r="I66" s="6">
        <v>15</v>
      </c>
      <c r="J66" s="41">
        <f t="shared" si="1"/>
        <v>0.46815823569694665</v>
      </c>
      <c r="K66" s="41">
        <f t="shared" si="2"/>
        <v>504.58211486814434</v>
      </c>
      <c r="L66" s="6">
        <f t="shared" si="46"/>
        <v>224.1333333333335</v>
      </c>
      <c r="M66" s="41">
        <f t="shared" si="3"/>
        <v>298.95682974553762</v>
      </c>
      <c r="N66" s="41">
        <f t="shared" si="4"/>
        <v>165.73244381886767</v>
      </c>
      <c r="O66" s="41">
        <f t="shared" si="5"/>
        <v>1857590.4621320108</v>
      </c>
      <c r="P66" s="41">
        <f t="shared" si="6"/>
        <v>11927036.066293402</v>
      </c>
      <c r="Q66" s="41">
        <f t="shared" si="7"/>
        <v>2.862218938063136E-3</v>
      </c>
      <c r="R66" s="41">
        <f t="shared" si="43"/>
        <v>1.9334770110531609E-2</v>
      </c>
      <c r="S66" s="24">
        <f t="shared" ca="1" si="44"/>
        <v>8.6341609477936618</v>
      </c>
      <c r="T66" s="10">
        <f t="shared" ca="1" si="8"/>
        <v>8.6341609477936618</v>
      </c>
      <c r="U66" s="41">
        <f t="shared" ca="1" si="9"/>
        <v>0.33973440138090716</v>
      </c>
      <c r="V66" s="41">
        <f t="shared" ca="1" si="10"/>
        <v>2.6624285246292737E-2</v>
      </c>
      <c r="W66" s="41">
        <f t="shared" ca="1" si="11"/>
        <v>12.760320070121432</v>
      </c>
      <c r="X66" s="20">
        <f t="shared" ca="1" si="12"/>
        <v>1014.8768075237052</v>
      </c>
      <c r="Y66" s="41">
        <f t="shared" si="13"/>
        <v>0.55329877784068149</v>
      </c>
      <c r="Z66" s="41">
        <f t="shared" ca="1" si="14"/>
        <v>189.84361479104226</v>
      </c>
      <c r="AA66" s="14">
        <f t="shared" ca="1" si="15"/>
        <v>1026.510197086272</v>
      </c>
      <c r="AB66" s="14">
        <f t="shared" si="47"/>
        <v>2981.3017606362405</v>
      </c>
      <c r="AC66" s="25">
        <f t="shared" ca="1" si="16"/>
        <v>517958.68617950677</v>
      </c>
      <c r="AD66" s="41">
        <f t="shared" si="17"/>
        <v>1504311.5474419566</v>
      </c>
      <c r="AE66" s="6">
        <v>100</v>
      </c>
      <c r="AF66" s="41">
        <f t="shared" si="18"/>
        <v>2981.3017606362405</v>
      </c>
      <c r="AG66" s="41">
        <f t="shared" ca="1" si="19"/>
        <v>1954.7915635499685</v>
      </c>
      <c r="AH66" s="41">
        <f t="shared" ca="1" si="20"/>
        <v>986352.86126244976</v>
      </c>
      <c r="AI66" s="41">
        <f t="shared" si="21"/>
        <v>2385.2832021356676</v>
      </c>
      <c r="AJ66" s="13">
        <f t="shared" ca="1" si="22"/>
        <v>75.750306316251667</v>
      </c>
      <c r="AK66" s="11">
        <f t="shared" ca="1" si="23"/>
        <v>4518.1300050821874</v>
      </c>
      <c r="AL66" s="6">
        <f t="shared" si="48"/>
        <v>266.66665999999998</v>
      </c>
      <c r="AM66" s="41">
        <f t="shared" ca="1" si="24"/>
        <v>3.5203377117273602</v>
      </c>
      <c r="AN66" s="41">
        <f t="shared" ca="1" si="25"/>
        <v>2.332500669341107</v>
      </c>
      <c r="AO66" s="41">
        <f t="shared" ca="1" si="26"/>
        <v>0.28902829884136516</v>
      </c>
      <c r="AP66" s="67">
        <f t="shared" si="45"/>
        <v>0.80008110337231464</v>
      </c>
      <c r="AQ66" s="11">
        <f t="shared" si="27"/>
        <v>0.93196677602264277</v>
      </c>
      <c r="AR66" s="11">
        <f t="shared" si="28"/>
        <v>0.51046191367650162</v>
      </c>
      <c r="AS66" s="11">
        <f t="shared" si="29"/>
        <v>0.54772544130274836</v>
      </c>
      <c r="AT66" s="11">
        <f t="shared" si="30"/>
        <v>483.38320771966409</v>
      </c>
      <c r="AU66" s="11">
        <f t="shared" si="31"/>
        <v>1080.2497109604863</v>
      </c>
      <c r="AV66" s="11">
        <f t="shared" si="32"/>
        <v>1.3018886014325025E-3</v>
      </c>
      <c r="AW66" s="11">
        <f t="shared" si="33"/>
        <v>3.5363537724003404E-7</v>
      </c>
      <c r="AX66" s="41">
        <f t="shared" ca="1" si="34"/>
        <v>1.8241077057832162</v>
      </c>
      <c r="AY66" s="41">
        <f t="shared" ca="1" si="35"/>
        <v>2.4571093202404386</v>
      </c>
      <c r="AZ66" s="41">
        <f t="shared" si="36"/>
        <v>0.32637171597281767</v>
      </c>
    </row>
    <row r="67" spans="1:52" ht="14.5">
      <c r="A67" s="66">
        <f t="shared" ca="1" si="37"/>
        <v>274.8881103678803</v>
      </c>
      <c r="B67" s="41">
        <f t="shared" ca="1" si="50"/>
        <v>4.5814685061313387</v>
      </c>
      <c r="C67" s="41">
        <f t="shared" ca="1" si="50"/>
        <v>7.6357808435522312E-2</v>
      </c>
      <c r="D67" s="41">
        <f t="shared" ca="1" si="39"/>
        <v>13096.266169394921</v>
      </c>
      <c r="E67" s="41">
        <f t="shared" ca="1" si="40"/>
        <v>9.2213271680523636</v>
      </c>
      <c r="F67" s="41">
        <f t="shared" ca="1" si="41"/>
        <v>9.2213271680523636</v>
      </c>
      <c r="G67" s="41"/>
      <c r="H67" s="7">
        <f t="shared" si="42"/>
        <v>17733.333040000016</v>
      </c>
      <c r="I67" s="6">
        <v>15</v>
      </c>
      <c r="J67" s="41">
        <f t="shared" si="1"/>
        <v>0.47660148461591584</v>
      </c>
      <c r="K67" s="41">
        <f t="shared" si="2"/>
        <v>513.17674602750105</v>
      </c>
      <c r="L67" s="6">
        <f t="shared" si="46"/>
        <v>227.06666666666683</v>
      </c>
      <c r="M67" s="41">
        <f t="shared" si="3"/>
        <v>304.04901119335796</v>
      </c>
      <c r="N67" s="41">
        <f t="shared" si="4"/>
        <v>169.89151056371992</v>
      </c>
      <c r="O67" s="41">
        <f t="shared" si="5"/>
        <v>1875236.0106672486</v>
      </c>
      <c r="P67" s="41">
        <f t="shared" si="6"/>
        <v>12040332.887137195</v>
      </c>
      <c r="Q67" s="41">
        <f t="shared" si="7"/>
        <v>2.8558720721367841E-3</v>
      </c>
      <c r="R67" s="41">
        <f t="shared" si="43"/>
        <v>1.9298548354588829E-2</v>
      </c>
      <c r="S67" s="24">
        <f t="shared" ca="1" si="44"/>
        <v>8.4456745249686094</v>
      </c>
      <c r="T67" s="10">
        <f t="shared" ca="1" si="8"/>
        <v>8.4456745249686094</v>
      </c>
      <c r="U67" s="41">
        <f t="shared" ca="1" si="9"/>
        <v>0.33152217133462769</v>
      </c>
      <c r="V67" s="41">
        <f t="shared" ca="1" si="10"/>
        <v>2.6239911206338413E-2</v>
      </c>
      <c r="W67" s="41">
        <f t="shared" ca="1" si="11"/>
        <v>12.634271843669442</v>
      </c>
      <c r="X67" s="20">
        <f t="shared" ca="1" si="12"/>
        <v>1025.3257749376246</v>
      </c>
      <c r="Y67" s="41">
        <f t="shared" si="13"/>
        <v>0.55278025994788127</v>
      </c>
      <c r="Z67" s="41">
        <f t="shared" ca="1" si="14"/>
        <v>190.72939749719717</v>
      </c>
      <c r="AA67" s="14">
        <f t="shared" ca="1" si="15"/>
        <v>1036.5667552069467</v>
      </c>
      <c r="AB67" s="14">
        <f t="shared" si="47"/>
        <v>2948.7953559821813</v>
      </c>
      <c r="AC67" s="25">
        <f t="shared" ca="1" si="16"/>
        <v>531941.9544773862</v>
      </c>
      <c r="AD67" s="41">
        <f t="shared" si="17"/>
        <v>1513253.2054839423</v>
      </c>
      <c r="AE67" s="6">
        <v>100</v>
      </c>
      <c r="AF67" s="41">
        <f t="shared" si="18"/>
        <v>2948.7953559821813</v>
      </c>
      <c r="AG67" s="41">
        <f t="shared" ca="1" si="19"/>
        <v>1912.2286007752346</v>
      </c>
      <c r="AH67" s="41">
        <f t="shared" ca="1" si="20"/>
        <v>981311.25100655609</v>
      </c>
      <c r="AI67" s="41">
        <f t="shared" si="21"/>
        <v>2363.4335799277687</v>
      </c>
      <c r="AJ67" s="13">
        <f t="shared" ca="1" si="22"/>
        <v>75.371090348641857</v>
      </c>
      <c r="AK67" s="11">
        <f t="shared" ca="1" si="23"/>
        <v>4495.8367750640864</v>
      </c>
      <c r="AL67" s="6">
        <f t="shared" si="48"/>
        <v>266.66665999999998</v>
      </c>
      <c r="AM67" s="41">
        <f t="shared" ca="1" si="24"/>
        <v>3.5380496522803075</v>
      </c>
      <c r="AN67" s="41">
        <f t="shared" ca="1" si="25"/>
        <v>2.3227625987919569</v>
      </c>
      <c r="AO67" s="41">
        <f t="shared" ca="1" si="26"/>
        <v>0.29557630582460354</v>
      </c>
      <c r="AP67" s="67">
        <f t="shared" si="45"/>
        <v>0.80149121746719487</v>
      </c>
      <c r="AQ67" s="11">
        <f t="shared" si="27"/>
        <v>0.9301333494018118</v>
      </c>
      <c r="AR67" s="11">
        <f t="shared" si="28"/>
        <v>0.5048961297140917</v>
      </c>
      <c r="AS67" s="11">
        <f t="shared" si="29"/>
        <v>0.54282123099747037</v>
      </c>
      <c r="AT67" s="11">
        <f t="shared" si="30"/>
        <v>482.43226433423769</v>
      </c>
      <c r="AU67" s="11">
        <f t="shared" si="31"/>
        <v>1068.4712876235551</v>
      </c>
      <c r="AV67" s="11">
        <f t="shared" si="32"/>
        <v>1.2902317839578873E-3</v>
      </c>
      <c r="AW67" s="11">
        <f t="shared" si="33"/>
        <v>3.5308459561693843E-7</v>
      </c>
      <c r="AX67" s="41">
        <f t="shared" ca="1" si="34"/>
        <v>1.8632565051666916</v>
      </c>
      <c r="AY67" s="41">
        <f t="shared" ca="1" si="35"/>
        <v>2.5098435308006959</v>
      </c>
      <c r="AZ67" s="41">
        <f t="shared" si="36"/>
        <v>0.33139902384957343</v>
      </c>
    </row>
    <row r="68" spans="1:52" ht="14.5">
      <c r="A68" s="66">
        <f t="shared" ca="1" si="37"/>
        <v>278.42616002016064</v>
      </c>
      <c r="B68" s="41">
        <f t="shared" ca="1" si="50"/>
        <v>4.6404360003360106</v>
      </c>
      <c r="C68" s="41">
        <f t="shared" ca="1" si="50"/>
        <v>7.7340600005600182E-2</v>
      </c>
      <c r="D68" s="41">
        <f t="shared" ca="1" si="39"/>
        <v>13093.94340679613</v>
      </c>
      <c r="E68" s="41">
        <f t="shared" ca="1" si="40"/>
        <v>9.5169034738769671</v>
      </c>
      <c r="F68" s="41">
        <f t="shared" ca="1" si="41"/>
        <v>9.5169034738769671</v>
      </c>
      <c r="G68" s="41"/>
      <c r="H68" s="7">
        <f t="shared" si="42"/>
        <v>17999.999700000015</v>
      </c>
      <c r="I68" s="6">
        <v>15</v>
      </c>
      <c r="J68" s="41">
        <f t="shared" si="1"/>
        <v>0.48511170265687215</v>
      </c>
      <c r="K68" s="41">
        <f t="shared" si="2"/>
        <v>521.82499599173559</v>
      </c>
      <c r="L68" s="6">
        <f t="shared" si="46"/>
        <v>230.00000000000017</v>
      </c>
      <c r="M68" s="41">
        <f t="shared" si="3"/>
        <v>309.1729609251675</v>
      </c>
      <c r="N68" s="41">
        <f t="shared" si="4"/>
        <v>174.08972710625903</v>
      </c>
      <c r="O68" s="41">
        <f t="shared" si="5"/>
        <v>1892683.9967677938</v>
      </c>
      <c r="P68" s="41">
        <f t="shared" si="6"/>
        <v>12152361.218326269</v>
      </c>
      <c r="Q68" s="41">
        <f t="shared" si="7"/>
        <v>2.8495774462929686E-3</v>
      </c>
      <c r="R68" s="41">
        <f t="shared" si="43"/>
        <v>1.9262624734378238E-2</v>
      </c>
      <c r="S68" s="24">
        <f t="shared" ca="1" si="44"/>
        <v>8.2568491384663734</v>
      </c>
      <c r="T68" s="10">
        <f t="shared" ca="1" si="8"/>
        <v>8.2568491384663734</v>
      </c>
      <c r="U68" s="41">
        <f t="shared" ca="1" si="9"/>
        <v>0.3236265816939623</v>
      </c>
      <c r="V68" s="41">
        <f t="shared" ca="1" si="10"/>
        <v>2.5877291389736986E-2</v>
      </c>
      <c r="W68" s="41">
        <f t="shared" ca="1" si="11"/>
        <v>12.506200004468536</v>
      </c>
      <c r="X68" s="20">
        <f t="shared" ca="1" si="12"/>
        <v>1036.1432371463454</v>
      </c>
      <c r="Y68" s="41">
        <f t="shared" si="13"/>
        <v>0.55226552905832693</v>
      </c>
      <c r="Z68" s="41">
        <f t="shared" ca="1" si="14"/>
        <v>191.62022712808286</v>
      </c>
      <c r="AA68" s="14">
        <f t="shared" ca="1" si="15"/>
        <v>1046.9961620730189</v>
      </c>
      <c r="AB68" s="14">
        <f t="shared" si="47"/>
        <v>2916.576547414023</v>
      </c>
      <c r="AC68" s="25">
        <f t="shared" ca="1" si="16"/>
        <v>546348.76807711564</v>
      </c>
      <c r="AD68" s="41">
        <f t="shared" si="17"/>
        <v>1521942.5451639127</v>
      </c>
      <c r="AE68" s="6">
        <v>100</v>
      </c>
      <c r="AF68" s="41">
        <f t="shared" si="18"/>
        <v>2916.576547414023</v>
      </c>
      <c r="AG68" s="41">
        <f t="shared" ca="1" si="19"/>
        <v>1869.5803853410041</v>
      </c>
      <c r="AH68" s="41">
        <f t="shared" ca="1" si="20"/>
        <v>975593.77708679705</v>
      </c>
      <c r="AI68" s="41">
        <f t="shared" si="21"/>
        <v>2341.7223051911888</v>
      </c>
      <c r="AJ68" s="13">
        <f t="shared" ca="1" si="22"/>
        <v>74.939769793403585</v>
      </c>
      <c r="AK68" s="11">
        <f t="shared" ca="1" si="23"/>
        <v>4470.4352849750485</v>
      </c>
      <c r="AL68" s="6">
        <v>0</v>
      </c>
      <c r="AM68" s="41">
        <f t="shared" ca="1" si="24"/>
        <v>0</v>
      </c>
      <c r="AN68" s="41">
        <f t="shared" ca="1" si="25"/>
        <v>0</v>
      </c>
      <c r="AO68" s="41">
        <f t="shared" ca="1" si="26"/>
        <v>0</v>
      </c>
      <c r="AP68" s="67">
        <f t="shared" si="45"/>
        <v>0.80290102698229282</v>
      </c>
      <c r="AQ68" s="11">
        <f t="shared" si="27"/>
        <v>0.92829992278098084</v>
      </c>
      <c r="AR68" s="11">
        <f t="shared" si="28"/>
        <v>0.49937958828402557</v>
      </c>
      <c r="AS68" s="11">
        <f t="shared" si="29"/>
        <v>0.53795069462894596</v>
      </c>
      <c r="AT68" s="11">
        <f t="shared" si="30"/>
        <v>481.48132094881129</v>
      </c>
      <c r="AU68" s="11">
        <f t="shared" si="31"/>
        <v>1056.7970723184205</v>
      </c>
      <c r="AV68" s="11">
        <f t="shared" si="32"/>
        <v>1.2786550060635417E-3</v>
      </c>
      <c r="AW68" s="11">
        <f t="shared" si="33"/>
        <v>3.5253330431988683E-7</v>
      </c>
      <c r="AX68" s="41">
        <f t="shared" ca="1" si="34"/>
        <v>1.902924048106357</v>
      </c>
      <c r="AY68" s="41">
        <f t="shared" ca="1" si="35"/>
        <v>2.5632764992373049</v>
      </c>
      <c r="AZ68" s="41">
        <f t="shared" si="36"/>
        <v>0.33643114722663964</v>
      </c>
    </row>
    <row r="69" spans="1:52" s="148" customFormat="1" ht="14.5">
      <c r="B69" s="135">
        <f ca="1">B68-B23</f>
        <v>4.6404360003360106</v>
      </c>
      <c r="C69" s="135"/>
      <c r="X69" s="145">
        <f ca="1">AVERAGE(X23:X68)</f>
        <v>1037.6814887860623</v>
      </c>
      <c r="AC69" s="145"/>
      <c r="AD69" s="145"/>
      <c r="AN69" s="145">
        <f ca="1">SUM(AN23:AN68)</f>
        <v>148.24709478931723</v>
      </c>
      <c r="AP69" s="145"/>
    </row>
    <row r="70" spans="1:52" s="89" customFormat="1" ht="14.5">
      <c r="A70" s="102" t="s">
        <v>4</v>
      </c>
      <c r="B70" s="82" t="s">
        <v>233</v>
      </c>
      <c r="C70" s="81">
        <v>900</v>
      </c>
      <c r="D70" s="82" t="s">
        <v>234</v>
      </c>
      <c r="E70" s="82"/>
      <c r="F70" s="82"/>
      <c r="G70" s="82"/>
      <c r="H70" s="82"/>
      <c r="I70" s="83"/>
      <c r="J70" s="82"/>
      <c r="K70" s="82"/>
      <c r="L70" s="84" t="s">
        <v>60</v>
      </c>
      <c r="M70" s="82"/>
      <c r="N70" s="82"/>
      <c r="O70" s="82"/>
      <c r="P70" s="82"/>
      <c r="Q70" s="81"/>
      <c r="R70" s="82"/>
      <c r="S70" s="85"/>
      <c r="T70" s="86"/>
      <c r="U70" s="81"/>
      <c r="V70" s="81"/>
      <c r="W70" s="81"/>
      <c r="X70" s="81"/>
      <c r="Y70" s="82"/>
      <c r="Z70" s="82"/>
      <c r="AA70" s="87"/>
      <c r="AB70" s="87"/>
      <c r="AC70" s="82"/>
      <c r="AD70" s="82"/>
      <c r="AE70" s="83"/>
      <c r="AF70" s="81"/>
      <c r="AG70" s="82"/>
      <c r="AH70" s="82"/>
      <c r="AI70" s="82"/>
      <c r="AJ70" s="81" t="s">
        <v>61</v>
      </c>
      <c r="AK70" s="88"/>
      <c r="AL70" s="83"/>
      <c r="AM70" s="82"/>
      <c r="AN70" s="82"/>
      <c r="AO70" s="82"/>
      <c r="AP70" s="53"/>
      <c r="AQ70" s="88"/>
      <c r="AR70" s="88"/>
      <c r="AS70" s="88"/>
      <c r="AT70" s="88"/>
      <c r="AU70" s="88"/>
      <c r="AV70" s="88"/>
      <c r="AW70" s="88"/>
      <c r="AX70" s="82"/>
      <c r="AY70" s="82"/>
      <c r="AZ70" s="82"/>
    </row>
    <row r="71" spans="1:52" ht="14.5">
      <c r="A71" s="41" t="s">
        <v>2</v>
      </c>
      <c r="B71" s="41" t="s">
        <v>2</v>
      </c>
      <c r="C71" s="41" t="s">
        <v>2</v>
      </c>
      <c r="D71" s="41" t="s">
        <v>23</v>
      </c>
      <c r="E71" s="41" t="s">
        <v>24</v>
      </c>
      <c r="F71" s="41" t="s">
        <v>25</v>
      </c>
      <c r="G71" s="41"/>
      <c r="H71" s="41" t="s">
        <v>0</v>
      </c>
      <c r="I71" s="5" t="s">
        <v>26</v>
      </c>
      <c r="J71" s="41" t="s">
        <v>27</v>
      </c>
      <c r="K71" s="41" t="s">
        <v>28</v>
      </c>
      <c r="L71" s="12" t="s">
        <v>29</v>
      </c>
      <c r="M71" s="13" t="s">
        <v>30</v>
      </c>
      <c r="N71" s="41" t="s">
        <v>31</v>
      </c>
      <c r="O71" s="41" t="s">
        <v>32</v>
      </c>
      <c r="P71" s="41" t="s">
        <v>33</v>
      </c>
      <c r="Q71" s="41" t="s">
        <v>34</v>
      </c>
      <c r="R71" s="41" t="s">
        <v>13</v>
      </c>
      <c r="S71" s="24" t="s">
        <v>35</v>
      </c>
      <c r="T71" s="10" t="s">
        <v>35</v>
      </c>
      <c r="U71" s="41" t="s">
        <v>36</v>
      </c>
      <c r="V71" s="41" t="s">
        <v>37</v>
      </c>
      <c r="W71" s="41" t="s">
        <v>38</v>
      </c>
      <c r="X71" s="41" t="s">
        <v>39</v>
      </c>
      <c r="Y71" s="41" t="s">
        <v>40</v>
      </c>
      <c r="Z71" s="35" t="s">
        <v>108</v>
      </c>
      <c r="AA71" s="35" t="s">
        <v>109</v>
      </c>
      <c r="AB71" s="9" t="s">
        <v>110</v>
      </c>
      <c r="AC71" s="7" t="s">
        <v>111</v>
      </c>
      <c r="AD71" s="7" t="s">
        <v>112</v>
      </c>
      <c r="AE71" s="5" t="s">
        <v>41</v>
      </c>
      <c r="AF71" s="7" t="s">
        <v>113</v>
      </c>
      <c r="AG71" s="7" t="s">
        <v>114</v>
      </c>
      <c r="AH71" s="7" t="s">
        <v>115</v>
      </c>
      <c r="AI71" s="41" t="s">
        <v>42</v>
      </c>
      <c r="AJ71" s="41" t="s">
        <v>43</v>
      </c>
      <c r="AK71" s="36"/>
      <c r="AL71" s="5" t="s">
        <v>44</v>
      </c>
      <c r="AM71" s="41" t="s">
        <v>45</v>
      </c>
      <c r="AN71" s="41" t="s">
        <v>46</v>
      </c>
      <c r="AO71" s="41" t="s">
        <v>47</v>
      </c>
      <c r="AP71" s="53"/>
      <c r="AQ71" s="15" t="s">
        <v>62</v>
      </c>
      <c r="AR71" s="16" t="s">
        <v>63</v>
      </c>
      <c r="AS71" s="16" t="s">
        <v>64</v>
      </c>
      <c r="AT71" s="17" t="s">
        <v>65</v>
      </c>
      <c r="AU71" s="18" t="s">
        <v>66</v>
      </c>
      <c r="AV71" s="18" t="s">
        <v>67</v>
      </c>
      <c r="AW71" s="19" t="s">
        <v>68</v>
      </c>
      <c r="AX71" s="7" t="s">
        <v>207</v>
      </c>
      <c r="AY71" s="7" t="s">
        <v>208</v>
      </c>
      <c r="AZ71" s="7" t="s">
        <v>209</v>
      </c>
    </row>
    <row r="72" spans="1:52" ht="14.5">
      <c r="A72" s="41" t="s">
        <v>18</v>
      </c>
      <c r="B72" s="41" t="s">
        <v>21</v>
      </c>
      <c r="C72" s="41" t="s">
        <v>48</v>
      </c>
      <c r="D72" s="41" t="s">
        <v>8</v>
      </c>
      <c r="E72" s="41" t="s">
        <v>49</v>
      </c>
      <c r="F72" s="41" t="s">
        <v>49</v>
      </c>
      <c r="G72" s="41"/>
      <c r="H72" s="41" t="s">
        <v>9</v>
      </c>
      <c r="I72" s="5" t="s">
        <v>50</v>
      </c>
      <c r="J72" s="41"/>
      <c r="K72" s="41" t="s">
        <v>51</v>
      </c>
      <c r="L72" s="5" t="s">
        <v>52</v>
      </c>
      <c r="M72" s="41" t="s">
        <v>52</v>
      </c>
      <c r="N72" s="41" t="s">
        <v>53</v>
      </c>
      <c r="O72" s="41" t="s">
        <v>54</v>
      </c>
      <c r="P72" s="41"/>
      <c r="Q72" s="41"/>
      <c r="R72" s="41"/>
      <c r="S72" s="24" t="s">
        <v>55</v>
      </c>
      <c r="T72" s="10" t="s">
        <v>55</v>
      </c>
      <c r="U72" s="41"/>
      <c r="V72" s="41"/>
      <c r="W72" s="41"/>
      <c r="X72" s="41"/>
      <c r="Y72" s="41"/>
      <c r="Z72" s="41"/>
      <c r="AA72" s="9" t="s">
        <v>118</v>
      </c>
      <c r="AB72" s="9" t="s">
        <v>118</v>
      </c>
      <c r="AC72" s="7" t="s">
        <v>119</v>
      </c>
      <c r="AD72" s="7" t="s">
        <v>119</v>
      </c>
      <c r="AE72" s="5" t="s">
        <v>20</v>
      </c>
      <c r="AF72" s="7" t="s">
        <v>118</v>
      </c>
      <c r="AG72" s="7" t="s">
        <v>118</v>
      </c>
      <c r="AH72" s="7" t="s">
        <v>119</v>
      </c>
      <c r="AI72" s="41" t="s">
        <v>56</v>
      </c>
      <c r="AJ72" s="41" t="s">
        <v>57</v>
      </c>
      <c r="AK72" s="11"/>
      <c r="AL72" s="5" t="s">
        <v>9</v>
      </c>
      <c r="AM72" s="41" t="s">
        <v>18</v>
      </c>
      <c r="AN72" s="41" t="s">
        <v>8</v>
      </c>
      <c r="AO72" s="41" t="s">
        <v>49</v>
      </c>
      <c r="AP72" s="53"/>
      <c r="AQ72" s="11"/>
      <c r="AR72" s="11"/>
      <c r="AS72" s="11"/>
      <c r="AT72" s="11"/>
      <c r="AU72" s="11"/>
      <c r="AV72" s="11"/>
      <c r="AW72" s="11"/>
      <c r="AX72" s="41"/>
      <c r="AY72" s="41"/>
      <c r="AZ72" s="41"/>
    </row>
    <row r="73" spans="1:52" ht="14.5">
      <c r="A73" s="41">
        <f ca="1">A68</f>
        <v>278.42616002016064</v>
      </c>
      <c r="B73" s="41">
        <f t="shared" ref="B73:C88" ca="1" si="51">A73/60</f>
        <v>4.6404360003360106</v>
      </c>
      <c r="C73" s="41">
        <f t="shared" ca="1" si="51"/>
        <v>7.7340600005600182E-2</v>
      </c>
      <c r="D73" s="41">
        <f t="shared" ref="D73:E73" ca="1" si="52">D68</f>
        <v>13093.94340679613</v>
      </c>
      <c r="E73" s="41">
        <f t="shared" ca="1" si="52"/>
        <v>9.5169034738769671</v>
      </c>
      <c r="F73" s="41">
        <v>0</v>
      </c>
      <c r="G73" s="41"/>
      <c r="H73" s="7">
        <f>H68</f>
        <v>17999.999700000015</v>
      </c>
      <c r="I73" s="6">
        <v>15</v>
      </c>
      <c r="J73" s="41">
        <f t="shared" ref="J73:J136" si="53">SQRT((((((((L73^2)*(0.2))/(661.477)^2) + 1)^(3.5) - 1)*(1/AR73) + 1)^(1/3.5) - 1)*(5))</f>
        <v>0.48511170265687215</v>
      </c>
      <c r="K73" s="41">
        <f t="shared" ref="K73:K136" si="54">SQRT((1.4*2116.22*AR73*(J73)^2)/AV73)</f>
        <v>521.82499599173559</v>
      </c>
      <c r="L73" s="120">
        <v>230</v>
      </c>
      <c r="M73" s="41">
        <f t="shared" ref="M73:M136" si="55">K73*0.592484</f>
        <v>309.1729609251675</v>
      </c>
      <c r="N73" s="41">
        <f t="shared" ref="N73:N136" si="56">0.5*AV73*K73^2</f>
        <v>174.08972710625903</v>
      </c>
      <c r="O73" s="41">
        <f t="shared" ref="O73:O136" si="57">P73/$B$7</f>
        <v>1892683.9967677938</v>
      </c>
      <c r="P73" s="41">
        <f t="shared" ref="P73:P136" si="58">(AV73*K73*$B$7)/(AW73)</f>
        <v>12152361.218326269</v>
      </c>
      <c r="Q73" s="41">
        <f t="shared" ref="Q73:Q136" si="59">0.455/(LOG10(P73)^2.58 * (1+0.144*J73*J73)^0.65)</f>
        <v>2.8495774462929686E-3</v>
      </c>
      <c r="R73" s="41">
        <f t="shared" ref="R73:R136" si="60">(((Q73*$B$4)+$B$17)+(0.1*(Q73*$B$4)))</f>
        <v>1.9262624734378238E-2</v>
      </c>
      <c r="S73" s="24">
        <f ca="1">T73</f>
        <v>9.9492960757054236E-16</v>
      </c>
      <c r="T73" s="10">
        <f t="shared" ref="T73:T136" ca="1" si="61">DEGREES(ASIN(((AF73-X73)/(D73))))</f>
        <v>9.9492960757054236E-16</v>
      </c>
      <c r="U73" s="41">
        <f t="shared" ref="U73:U136" ca="1" si="62">(D73*COS(RADIANS(S73)))/(N73*$B$3)</f>
        <v>0.32701635915858562</v>
      </c>
      <c r="V73" s="41">
        <f t="shared" ref="V73:V136" ca="1" si="63">(X73)/(N73*$B$3)</f>
        <v>2.6016585739795057E-2</v>
      </c>
      <c r="W73" s="41">
        <f t="shared" ref="W73:W136" ca="1" si="64">U73/V73</f>
        <v>12.569534005316473</v>
      </c>
      <c r="X73" s="20">
        <f t="shared" ref="X73:X136" ca="1" si="65">(N73*$B$3*R73)+((N73*$B$3)*((U73^2)/(PI()*$B$6*$B$5)))</f>
        <v>1041.7206716858277</v>
      </c>
      <c r="Y73" s="41">
        <f t="shared" ref="Y73:Y136" si="66">SQRT(PI()*$B$6*$B$5*R73)</f>
        <v>0.55226552905832693</v>
      </c>
      <c r="Z73" s="41">
        <f t="shared" ref="Z73:Z136" ca="1" si="67">SQRT((2*((U73*N73*$B$3)/(D73))*D73)/(AV73*$B$3*$B$18))</f>
        <v>192.62116140134015</v>
      </c>
      <c r="AA73" s="14">
        <f t="shared" ref="AA73:AA136" ca="1" si="68">D73/W73</f>
        <v>1041.7206716858277</v>
      </c>
      <c r="AB73" s="14">
        <f t="shared" ref="AB73:AB136" si="69">$B$15*AR73*0.93</f>
        <v>2916.576547414023</v>
      </c>
      <c r="AC73" s="25">
        <f t="shared" ref="AC73:AC136" ca="1" si="70">AA73*K73</f>
        <v>543595.88532696513</v>
      </c>
      <c r="AD73" s="41">
        <f t="shared" ref="AD73:AD136" si="71">AB73*K73</f>
        <v>1521942.5451639127</v>
      </c>
      <c r="AE73" s="5">
        <f t="shared" ref="AE73:AE136" ca="1" si="72">(AA73/AB73)*100</f>
        <v>35.71724090730509</v>
      </c>
      <c r="AF73" s="7">
        <f t="shared" ref="AF73:AF136" ca="1" si="73">(AB73)*(AE73/100)</f>
        <v>1041.7206716858279</v>
      </c>
      <c r="AG73" s="41">
        <f t="shared" ref="AG73:AG136" ca="1" si="74">AB73-AA73</f>
        <v>1874.8558757281953</v>
      </c>
      <c r="AH73" s="41">
        <f t="shared" ref="AH73:AH136" ca="1" si="75">AD73-AC73</f>
        <v>978346.65983694757</v>
      </c>
      <c r="AI73" s="41">
        <f t="shared" ref="AI73:AI136" ca="1" si="76">(AP73*AF73)</f>
        <v>821.40719602693957</v>
      </c>
      <c r="AJ73" s="13">
        <f t="shared" ref="AJ73:AJ136" ca="1" si="77">K73*SIN(RADIANS(T73))</f>
        <v>9.061385374188223E-15</v>
      </c>
      <c r="AK73" s="11"/>
      <c r="AL73" s="6">
        <v>0</v>
      </c>
      <c r="AM73" s="41">
        <f t="shared" ref="AM73:AM136" si="78">(AO73/M73)*3600</f>
        <v>149.70815736023346</v>
      </c>
      <c r="AN73" s="41">
        <f t="shared" ref="AN73:AN136" ca="1" si="79">AI73*(AM73/3600)</f>
        <v>34.158710488785886</v>
      </c>
      <c r="AO73" s="6">
        <f>(900/70)</f>
        <v>12.857142857142858</v>
      </c>
      <c r="AP73" s="67">
        <f>0.692 + 0.298*AZ73 + -0.0331*AZ73^2</f>
        <v>0.78851002802665648</v>
      </c>
      <c r="AQ73" s="11">
        <f t="shared" ref="AQ73:AQ136" si="80">IF(H73 &lt;= 36089, ((1 - 6.87535*10^(-6)*H73) + ((I73*1.8)/518.67)), 0.75187 + ((I73*1.8)/518.67))</f>
        <v>0.92829992278098084</v>
      </c>
      <c r="AR73" s="11">
        <f t="shared" ref="AR73:AR136" si="81">IF(H73 &lt;= 36089, (1 - 6.87535*10^(-6)*H73)^5.2561, 0.22336*EXP((36089 - H73)/(20806.7)))</f>
        <v>0.49937958828402557</v>
      </c>
      <c r="AS73" s="11">
        <f t="shared" ref="AS73:AS136" si="82">(AR73/AQ73)</f>
        <v>0.53795069462894596</v>
      </c>
      <c r="AT73" s="11">
        <f t="shared" ref="AT73:AT136" si="83">(518.67*AQ73)</f>
        <v>481.48132094881129</v>
      </c>
      <c r="AU73" s="11">
        <f t="shared" ref="AU73:AU136" si="84">2116.22*AR73</f>
        <v>1056.7970723184205</v>
      </c>
      <c r="AV73" s="11">
        <f t="shared" ref="AV73:AV136" si="85">(0.0023769*AS73)</f>
        <v>1.2786550060635417E-3</v>
      </c>
      <c r="AW73" s="11">
        <f t="shared" ref="AW73:AW136" si="86">((2.2697*10^-8)*(AT73^1.5))/(AT73+198.72)</f>
        <v>3.5253330431988683E-7</v>
      </c>
      <c r="AX73" s="41">
        <f t="shared" ref="AX73:AX136" ca="1" si="87">(1/U73)*(((1 + 0.2*(U73)^2)/1.2)^3)</f>
        <v>1.8856407696148048</v>
      </c>
      <c r="AY73" s="41">
        <f t="shared" ref="AY73:AY136" ca="1" si="88">($H$4/$H$3)*AX73</f>
        <v>2.53999557973279</v>
      </c>
      <c r="AZ73" s="41">
        <f t="shared" ref="AZ73:AZ136" si="89">-6.6*10^(-3) + 0.825*J73 - 0.243*(J73^2)</f>
        <v>0.33643114722663964</v>
      </c>
    </row>
    <row r="74" spans="1:52" ht="14.5">
      <c r="A74" s="41">
        <f t="shared" ref="A74:A137" ca="1" si="90">A73+AM73</f>
        <v>428.13431738039412</v>
      </c>
      <c r="B74" s="41">
        <f t="shared" ca="1" si="51"/>
        <v>7.135571956339902</v>
      </c>
      <c r="C74" s="41">
        <f t="shared" ca="1" si="51"/>
        <v>0.1189261992723317</v>
      </c>
      <c r="D74" s="41">
        <f t="shared" ref="D74:D137" ca="1" si="91">D73-AN73</f>
        <v>13059.784696307344</v>
      </c>
      <c r="E74" s="41">
        <f t="shared" ref="E74:E137" ca="1" si="92">E73+AO73</f>
        <v>22.374046331019827</v>
      </c>
      <c r="F74" s="7">
        <f t="shared" ref="F74:F137" si="93">F73+AO73</f>
        <v>12.857142857142858</v>
      </c>
      <c r="G74" s="41"/>
      <c r="H74" s="7">
        <f t="shared" ref="H74:H137" si="94">H73+AL73</f>
        <v>17999.999700000015</v>
      </c>
      <c r="I74" s="6">
        <v>15</v>
      </c>
      <c r="J74" s="41">
        <f t="shared" si="53"/>
        <v>0.48511170265687215</v>
      </c>
      <c r="K74" s="41">
        <f t="shared" si="54"/>
        <v>521.82499599173559</v>
      </c>
      <c r="L74" s="6">
        <f t="shared" ref="L74:L137" si="95">L73</f>
        <v>230</v>
      </c>
      <c r="M74" s="41">
        <f t="shared" si="55"/>
        <v>309.1729609251675</v>
      </c>
      <c r="N74" s="41">
        <f t="shared" si="56"/>
        <v>174.08972710625903</v>
      </c>
      <c r="O74" s="41">
        <f t="shared" si="57"/>
        <v>1892683.9967677938</v>
      </c>
      <c r="P74" s="41">
        <f t="shared" si="58"/>
        <v>12152361.218326269</v>
      </c>
      <c r="Q74" s="41">
        <f t="shared" si="59"/>
        <v>2.8495774462929686E-3</v>
      </c>
      <c r="R74" s="41">
        <f t="shared" si="60"/>
        <v>1.9262624734378238E-2</v>
      </c>
      <c r="S74" s="24">
        <f t="shared" ref="S74:S137" ca="1" si="96">T74</f>
        <v>-9.9753191022805349E-16</v>
      </c>
      <c r="T74" s="10">
        <f t="shared" ca="1" si="61"/>
        <v>-9.9753191022805349E-16</v>
      </c>
      <c r="U74" s="41">
        <f t="shared" ca="1" si="62"/>
        <v>0.32616325808807106</v>
      </c>
      <c r="V74" s="41">
        <f t="shared" ca="1" si="63"/>
        <v>2.5981393030529949E-2</v>
      </c>
      <c r="W74" s="41">
        <f t="shared" ca="1" si="64"/>
        <v>12.553724802392486</v>
      </c>
      <c r="X74" s="20">
        <f t="shared" ca="1" si="65"/>
        <v>1040.3115331808465</v>
      </c>
      <c r="Y74" s="41">
        <f t="shared" si="66"/>
        <v>0.55226552905832693</v>
      </c>
      <c r="Z74" s="41">
        <f t="shared" ca="1" si="67"/>
        <v>192.36974793995103</v>
      </c>
      <c r="AA74" s="14">
        <f t="shared" ca="1" si="68"/>
        <v>1040.3115331808463</v>
      </c>
      <c r="AB74" s="14">
        <f t="shared" si="69"/>
        <v>2916.576547414023</v>
      </c>
      <c r="AC74" s="25">
        <f t="shared" ca="1" si="70"/>
        <v>542860.56163225137</v>
      </c>
      <c r="AD74" s="41">
        <f t="shared" si="71"/>
        <v>1521942.5451639127</v>
      </c>
      <c r="AE74" s="5">
        <f t="shared" ca="1" si="72"/>
        <v>35.668926094301774</v>
      </c>
      <c r="AF74" s="7">
        <f t="shared" ca="1" si="73"/>
        <v>1040.3115331808463</v>
      </c>
      <c r="AG74" s="41">
        <f t="shared" ca="1" si="74"/>
        <v>1876.2650142331768</v>
      </c>
      <c r="AH74" s="41">
        <f t="shared" ca="1" si="75"/>
        <v>979081.98353166133</v>
      </c>
      <c r="AI74" s="41">
        <f t="shared" ca="1" si="76"/>
        <v>820.29607618488308</v>
      </c>
      <c r="AJ74" s="13">
        <f t="shared" ca="1" si="77"/>
        <v>-9.0850860129676444E-15</v>
      </c>
      <c r="AK74" s="11"/>
      <c r="AL74" s="6">
        <v>0</v>
      </c>
      <c r="AM74" s="41">
        <f t="shared" si="78"/>
        <v>149.70815736023346</v>
      </c>
      <c r="AN74" s="41">
        <f t="shared" ca="1" si="79"/>
        <v>34.112503904296808</v>
      </c>
      <c r="AO74" s="6">
        <f t="shared" ref="AO74:AO137" si="97">(900/70)</f>
        <v>12.857142857142858</v>
      </c>
      <c r="AP74" s="67">
        <f t="shared" ref="AP74:AP137" si="98">0.692 + 0.298*AZ74 + -0.0331*AZ74^2</f>
        <v>0.78851002802665648</v>
      </c>
      <c r="AQ74" s="11">
        <f t="shared" si="80"/>
        <v>0.92829992278098084</v>
      </c>
      <c r="AR74" s="11">
        <f t="shared" si="81"/>
        <v>0.49937958828402557</v>
      </c>
      <c r="AS74" s="11">
        <f t="shared" si="82"/>
        <v>0.53795069462894596</v>
      </c>
      <c r="AT74" s="11">
        <f t="shared" si="83"/>
        <v>481.48132094881129</v>
      </c>
      <c r="AU74" s="11">
        <f t="shared" si="84"/>
        <v>1056.7970723184205</v>
      </c>
      <c r="AV74" s="11">
        <f t="shared" si="85"/>
        <v>1.2786550060635417E-3</v>
      </c>
      <c r="AW74" s="11">
        <f t="shared" si="86"/>
        <v>3.5253330431988683E-7</v>
      </c>
      <c r="AX74" s="41">
        <f t="shared" ca="1" si="87"/>
        <v>1.8899540000350072</v>
      </c>
      <c r="AY74" s="41">
        <f t="shared" ca="1" si="88"/>
        <v>2.5458055868021225</v>
      </c>
      <c r="AZ74" s="41">
        <f t="shared" si="89"/>
        <v>0.33643114722663964</v>
      </c>
    </row>
    <row r="75" spans="1:52" ht="14.5">
      <c r="A75" s="41">
        <f t="shared" ca="1" si="90"/>
        <v>577.84247474062761</v>
      </c>
      <c r="B75" s="41">
        <f t="shared" ca="1" si="51"/>
        <v>9.6307079123437926</v>
      </c>
      <c r="C75" s="41">
        <f t="shared" ca="1" si="51"/>
        <v>0.16051179853906322</v>
      </c>
      <c r="D75" s="41">
        <f t="shared" ca="1" si="91"/>
        <v>13025.672192403048</v>
      </c>
      <c r="E75" s="41">
        <f t="shared" ca="1" si="92"/>
        <v>35.231189188162688</v>
      </c>
      <c r="F75" s="7">
        <f t="shared" si="93"/>
        <v>25.714285714285715</v>
      </c>
      <c r="G75" s="41"/>
      <c r="H75" s="7">
        <f t="shared" si="94"/>
        <v>17999.999700000015</v>
      </c>
      <c r="I75" s="6">
        <v>15</v>
      </c>
      <c r="J75" s="41">
        <f t="shared" si="53"/>
        <v>0.48511170265687215</v>
      </c>
      <c r="K75" s="41">
        <f t="shared" si="54"/>
        <v>521.82499599173559</v>
      </c>
      <c r="L75" s="6">
        <f t="shared" si="95"/>
        <v>230</v>
      </c>
      <c r="M75" s="41">
        <f t="shared" si="55"/>
        <v>309.1729609251675</v>
      </c>
      <c r="N75" s="41">
        <f t="shared" si="56"/>
        <v>174.08972710625903</v>
      </c>
      <c r="O75" s="41">
        <f t="shared" si="57"/>
        <v>1892683.9967677938</v>
      </c>
      <c r="P75" s="41">
        <f t="shared" si="58"/>
        <v>12152361.218326269</v>
      </c>
      <c r="Q75" s="41">
        <f t="shared" si="59"/>
        <v>2.8495774462929686E-3</v>
      </c>
      <c r="R75" s="41">
        <f t="shared" si="60"/>
        <v>1.9262624734378238E-2</v>
      </c>
      <c r="S75" s="24">
        <f t="shared" ca="1" si="96"/>
        <v>0</v>
      </c>
      <c r="T75" s="10">
        <f t="shared" ca="1" si="61"/>
        <v>0</v>
      </c>
      <c r="U75" s="41">
        <f t="shared" ca="1" si="62"/>
        <v>0.32531131100979244</v>
      </c>
      <c r="V75" s="41">
        <f t="shared" ca="1" si="63"/>
        <v>2.5946339668680273E-2</v>
      </c>
      <c r="W75" s="41">
        <f t="shared" ca="1" si="64"/>
        <v>12.537849853344611</v>
      </c>
      <c r="X75" s="20">
        <f t="shared" ca="1" si="65"/>
        <v>1038.907974235176</v>
      </c>
      <c r="Y75" s="41">
        <f t="shared" si="66"/>
        <v>0.55226552905832693</v>
      </c>
      <c r="Z75" s="41">
        <f t="shared" ca="1" si="67"/>
        <v>192.11834622449001</v>
      </c>
      <c r="AA75" s="14">
        <f t="shared" ca="1" si="68"/>
        <v>1038.907974235176</v>
      </c>
      <c r="AB75" s="14">
        <f t="shared" si="69"/>
        <v>2916.576547414023</v>
      </c>
      <c r="AC75" s="25">
        <f t="shared" ca="1" si="70"/>
        <v>542128.14949105284</v>
      </c>
      <c r="AD75" s="41">
        <f t="shared" si="71"/>
        <v>1521942.5451639127</v>
      </c>
      <c r="AE75" s="5">
        <f t="shared" ca="1" si="72"/>
        <v>35.6208025863858</v>
      </c>
      <c r="AF75" s="7">
        <f t="shared" ca="1" si="73"/>
        <v>1038.907974235176</v>
      </c>
      <c r="AG75" s="41">
        <f t="shared" ca="1" si="74"/>
        <v>1877.6685731788471</v>
      </c>
      <c r="AH75" s="41">
        <f t="shared" ca="1" si="75"/>
        <v>979814.39567285986</v>
      </c>
      <c r="AI75" s="41">
        <f t="shared" ca="1" si="76"/>
        <v>819.18935588129557</v>
      </c>
      <c r="AJ75" s="13">
        <f t="shared" ca="1" si="77"/>
        <v>0</v>
      </c>
      <c r="AK75" s="11"/>
      <c r="AL75" s="6">
        <v>0</v>
      </c>
      <c r="AM75" s="41">
        <f t="shared" si="78"/>
        <v>149.70815736023346</v>
      </c>
      <c r="AN75" s="41">
        <f t="shared" ca="1" si="79"/>
        <v>34.066480277251465</v>
      </c>
      <c r="AO75" s="6">
        <f t="shared" si="97"/>
        <v>12.857142857142858</v>
      </c>
      <c r="AP75" s="67">
        <f t="shared" si="98"/>
        <v>0.78851002802665648</v>
      </c>
      <c r="AQ75" s="11">
        <f t="shared" si="80"/>
        <v>0.92829992278098084</v>
      </c>
      <c r="AR75" s="11">
        <f t="shared" si="81"/>
        <v>0.49937958828402557</v>
      </c>
      <c r="AS75" s="11">
        <f t="shared" si="82"/>
        <v>0.53795069462894596</v>
      </c>
      <c r="AT75" s="11">
        <f t="shared" si="83"/>
        <v>481.48132094881129</v>
      </c>
      <c r="AU75" s="11">
        <f t="shared" si="84"/>
        <v>1056.7970723184205</v>
      </c>
      <c r="AV75" s="11">
        <f t="shared" si="85"/>
        <v>1.2786550060635417E-3</v>
      </c>
      <c r="AW75" s="11">
        <f t="shared" si="86"/>
        <v>3.5253330431988683E-7</v>
      </c>
      <c r="AX75" s="41">
        <f t="shared" ca="1" si="87"/>
        <v>1.8942857240988709</v>
      </c>
      <c r="AY75" s="41">
        <f t="shared" ca="1" si="88"/>
        <v>2.5516405051768896</v>
      </c>
      <c r="AZ75" s="41">
        <f t="shared" si="89"/>
        <v>0.33643114722663964</v>
      </c>
    </row>
    <row r="76" spans="1:52" ht="14.5">
      <c r="A76" s="41">
        <f t="shared" ca="1" si="90"/>
        <v>727.55063210086109</v>
      </c>
      <c r="B76" s="41">
        <f t="shared" ca="1" si="51"/>
        <v>12.125843868347685</v>
      </c>
      <c r="C76" s="41">
        <f t="shared" ca="1" si="51"/>
        <v>0.20209739780579475</v>
      </c>
      <c r="D76" s="41">
        <f t="shared" ca="1" si="91"/>
        <v>12991.605712125796</v>
      </c>
      <c r="E76" s="41">
        <f t="shared" ca="1" si="92"/>
        <v>48.088332045305549</v>
      </c>
      <c r="F76" s="7">
        <f t="shared" si="93"/>
        <v>38.571428571428569</v>
      </c>
      <c r="G76" s="41"/>
      <c r="H76" s="7">
        <f t="shared" si="94"/>
        <v>17999.999700000015</v>
      </c>
      <c r="I76" s="6">
        <v>15</v>
      </c>
      <c r="J76" s="41">
        <f t="shared" si="53"/>
        <v>0.48511170265687215</v>
      </c>
      <c r="K76" s="41">
        <f t="shared" si="54"/>
        <v>521.82499599173559</v>
      </c>
      <c r="L76" s="6">
        <f t="shared" si="95"/>
        <v>230</v>
      </c>
      <c r="M76" s="41">
        <f t="shared" si="55"/>
        <v>309.1729609251675</v>
      </c>
      <c r="N76" s="41">
        <f t="shared" si="56"/>
        <v>174.08972710625903</v>
      </c>
      <c r="O76" s="41">
        <f t="shared" si="57"/>
        <v>1892683.9967677938</v>
      </c>
      <c r="P76" s="41">
        <f t="shared" si="58"/>
        <v>12152361.218326269</v>
      </c>
      <c r="Q76" s="41">
        <f t="shared" si="59"/>
        <v>2.8495774462929686E-3</v>
      </c>
      <c r="R76" s="41">
        <f t="shared" si="60"/>
        <v>1.9262624734378238E-2</v>
      </c>
      <c r="S76" s="24">
        <f t="shared" ca="1" si="96"/>
        <v>0</v>
      </c>
      <c r="T76" s="10">
        <f t="shared" ca="1" si="61"/>
        <v>0</v>
      </c>
      <c r="U76" s="41">
        <f t="shared" ca="1" si="62"/>
        <v>0.32446051335445564</v>
      </c>
      <c r="V76" s="41">
        <f t="shared" ca="1" si="63"/>
        <v>2.591142509442779E-2</v>
      </c>
      <c r="W76" s="41">
        <f t="shared" ca="1" si="64"/>
        <v>12.521909241658435</v>
      </c>
      <c r="X76" s="20">
        <f t="shared" ca="1" si="65"/>
        <v>1037.5099724333375</v>
      </c>
      <c r="Y76" s="41">
        <f t="shared" si="66"/>
        <v>0.55226552905832693</v>
      </c>
      <c r="Z76" s="41">
        <f t="shared" ca="1" si="67"/>
        <v>191.86695495012236</v>
      </c>
      <c r="AA76" s="14">
        <f t="shared" ca="1" si="68"/>
        <v>1037.5099724333375</v>
      </c>
      <c r="AB76" s="14">
        <f t="shared" si="69"/>
        <v>2916.576547414023</v>
      </c>
      <c r="AC76" s="25">
        <f t="shared" ca="1" si="70"/>
        <v>541398.63720641204</v>
      </c>
      <c r="AD76" s="41">
        <f t="shared" si="71"/>
        <v>1521942.5451639127</v>
      </c>
      <c r="AE76" s="5">
        <f t="shared" ca="1" si="72"/>
        <v>35.572869615002688</v>
      </c>
      <c r="AF76" s="7">
        <f t="shared" ca="1" si="73"/>
        <v>1037.5099724333375</v>
      </c>
      <c r="AG76" s="41">
        <f t="shared" ca="1" si="74"/>
        <v>1879.0665749806856</v>
      </c>
      <c r="AH76" s="41">
        <f t="shared" ca="1" si="75"/>
        <v>980543.90795750066</v>
      </c>
      <c r="AI76" s="41">
        <f t="shared" ca="1" si="76"/>
        <v>818.08701744134646</v>
      </c>
      <c r="AJ76" s="13">
        <f t="shared" ca="1" si="77"/>
        <v>0</v>
      </c>
      <c r="AK76" s="11"/>
      <c r="AL76" s="6">
        <v>0</v>
      </c>
      <c r="AM76" s="41">
        <f t="shared" si="78"/>
        <v>149.70815736023346</v>
      </c>
      <c r="AN76" s="41">
        <f t="shared" ca="1" si="79"/>
        <v>34.02063887263143</v>
      </c>
      <c r="AO76" s="6">
        <f t="shared" si="97"/>
        <v>12.857142857142858</v>
      </c>
      <c r="AP76" s="67">
        <f t="shared" si="98"/>
        <v>0.78851002802665648</v>
      </c>
      <c r="AQ76" s="11">
        <f t="shared" si="80"/>
        <v>0.92829992278098084</v>
      </c>
      <c r="AR76" s="11">
        <f t="shared" si="81"/>
        <v>0.49937958828402557</v>
      </c>
      <c r="AS76" s="11">
        <f t="shared" si="82"/>
        <v>0.53795069462894596</v>
      </c>
      <c r="AT76" s="11">
        <f t="shared" si="83"/>
        <v>481.48132094881129</v>
      </c>
      <c r="AU76" s="11">
        <f t="shared" si="84"/>
        <v>1056.7970723184205</v>
      </c>
      <c r="AV76" s="11">
        <f t="shared" si="85"/>
        <v>1.2786550060635417E-3</v>
      </c>
      <c r="AW76" s="11">
        <f t="shared" si="86"/>
        <v>3.5253330431988683E-7</v>
      </c>
      <c r="AX76" s="41">
        <f t="shared" ca="1" si="87"/>
        <v>1.8986360564932767</v>
      </c>
      <c r="AY76" s="41">
        <f t="shared" ca="1" si="88"/>
        <v>2.5575004893425994</v>
      </c>
      <c r="AZ76" s="41">
        <f t="shared" si="89"/>
        <v>0.33643114722663964</v>
      </c>
    </row>
    <row r="77" spans="1:52" ht="14.5">
      <c r="A77" s="41">
        <f t="shared" ca="1" si="90"/>
        <v>877.25878946109458</v>
      </c>
      <c r="B77" s="41">
        <f t="shared" ca="1" si="51"/>
        <v>14.620979824351576</v>
      </c>
      <c r="C77" s="41">
        <f t="shared" ca="1" si="51"/>
        <v>0.24368299707252625</v>
      </c>
      <c r="D77" s="41">
        <f t="shared" ca="1" si="91"/>
        <v>12957.585073253165</v>
      </c>
      <c r="E77" s="41">
        <f t="shared" ca="1" si="92"/>
        <v>60.94547490244841</v>
      </c>
      <c r="F77" s="7">
        <f t="shared" si="93"/>
        <v>51.428571428571431</v>
      </c>
      <c r="G77" s="41"/>
      <c r="H77" s="7">
        <f t="shared" si="94"/>
        <v>17999.999700000015</v>
      </c>
      <c r="I77" s="6">
        <v>15</v>
      </c>
      <c r="J77" s="41">
        <f t="shared" si="53"/>
        <v>0.48511170265687215</v>
      </c>
      <c r="K77" s="41">
        <f t="shared" si="54"/>
        <v>521.82499599173559</v>
      </c>
      <c r="L77" s="6">
        <f t="shared" si="95"/>
        <v>230</v>
      </c>
      <c r="M77" s="41">
        <f t="shared" si="55"/>
        <v>309.1729609251675</v>
      </c>
      <c r="N77" s="41">
        <f t="shared" si="56"/>
        <v>174.08972710625903</v>
      </c>
      <c r="O77" s="41">
        <f t="shared" si="57"/>
        <v>1892683.9967677938</v>
      </c>
      <c r="P77" s="41">
        <f t="shared" si="58"/>
        <v>12152361.218326269</v>
      </c>
      <c r="Q77" s="41">
        <f t="shared" si="59"/>
        <v>2.8495774462929686E-3</v>
      </c>
      <c r="R77" s="41">
        <f t="shared" si="60"/>
        <v>1.9262624734378238E-2</v>
      </c>
      <c r="S77" s="24">
        <f t="shared" ca="1" si="96"/>
        <v>0</v>
      </c>
      <c r="T77" s="10">
        <f t="shared" ca="1" si="61"/>
        <v>0</v>
      </c>
      <c r="U77" s="41">
        <f t="shared" ca="1" si="62"/>
        <v>0.32361086057112359</v>
      </c>
      <c r="V77" s="41">
        <f t="shared" ca="1" si="63"/>
        <v>2.5876648751170829E-2</v>
      </c>
      <c r="W77" s="41">
        <f t="shared" ca="1" si="64"/>
        <v>12.505903051162347</v>
      </c>
      <c r="X77" s="20">
        <f t="shared" ca="1" si="65"/>
        <v>1036.1175054886451</v>
      </c>
      <c r="Y77" s="41">
        <f t="shared" si="66"/>
        <v>0.55226552905832693</v>
      </c>
      <c r="Z77" s="41">
        <f t="shared" ca="1" si="67"/>
        <v>191.61557281059868</v>
      </c>
      <c r="AA77" s="14">
        <f t="shared" ca="1" si="68"/>
        <v>1036.1175054886451</v>
      </c>
      <c r="AB77" s="14">
        <f t="shared" si="69"/>
        <v>2916.576547414023</v>
      </c>
      <c r="AC77" s="25">
        <f t="shared" ca="1" si="70"/>
        <v>540672.01314857928</v>
      </c>
      <c r="AD77" s="41">
        <f t="shared" si="71"/>
        <v>1521942.5451639127</v>
      </c>
      <c r="AE77" s="5">
        <f t="shared" ca="1" si="72"/>
        <v>35.52512641601389</v>
      </c>
      <c r="AF77" s="7">
        <f t="shared" ca="1" si="73"/>
        <v>1036.1175054886451</v>
      </c>
      <c r="AG77" s="41">
        <f t="shared" ca="1" si="74"/>
        <v>1880.459041925378</v>
      </c>
      <c r="AH77" s="41">
        <f t="shared" ca="1" si="75"/>
        <v>981270.53201533342</v>
      </c>
      <c r="AI77" s="41">
        <f t="shared" ca="1" si="76"/>
        <v>816.98904329176094</v>
      </c>
      <c r="AJ77" s="13">
        <f t="shared" ca="1" si="77"/>
        <v>0</v>
      </c>
      <c r="AK77" s="11"/>
      <c r="AL77" s="6">
        <v>0</v>
      </c>
      <c r="AM77" s="41">
        <f t="shared" si="78"/>
        <v>149.70815736023346</v>
      </c>
      <c r="AN77" s="41">
        <f t="shared" ca="1" si="79"/>
        <v>33.974978959641533</v>
      </c>
      <c r="AO77" s="6">
        <f t="shared" si="97"/>
        <v>12.857142857142858</v>
      </c>
      <c r="AP77" s="67">
        <f t="shared" si="98"/>
        <v>0.78851002802665648</v>
      </c>
      <c r="AQ77" s="11">
        <f t="shared" si="80"/>
        <v>0.92829992278098084</v>
      </c>
      <c r="AR77" s="11">
        <f t="shared" si="81"/>
        <v>0.49937958828402557</v>
      </c>
      <c r="AS77" s="11">
        <f t="shared" si="82"/>
        <v>0.53795069462894596</v>
      </c>
      <c r="AT77" s="11">
        <f t="shared" si="83"/>
        <v>481.48132094881129</v>
      </c>
      <c r="AU77" s="11">
        <f t="shared" si="84"/>
        <v>1056.7970723184205</v>
      </c>
      <c r="AV77" s="11">
        <f t="shared" si="85"/>
        <v>1.2786550060635417E-3</v>
      </c>
      <c r="AW77" s="11">
        <f t="shared" si="86"/>
        <v>3.5253330431988683E-7</v>
      </c>
      <c r="AX77" s="41">
        <f t="shared" ca="1" si="87"/>
        <v>1.9030051129249286</v>
      </c>
      <c r="AY77" s="41">
        <f t="shared" ca="1" si="88"/>
        <v>2.5633856951584799</v>
      </c>
      <c r="AZ77" s="41">
        <f t="shared" si="89"/>
        <v>0.33643114722663964</v>
      </c>
    </row>
    <row r="78" spans="1:52" ht="14.5">
      <c r="A78" s="41">
        <f t="shared" ca="1" si="90"/>
        <v>1026.9669468213281</v>
      </c>
      <c r="B78" s="41">
        <f t="shared" ca="1" si="51"/>
        <v>17.116115780355468</v>
      </c>
      <c r="C78" s="41">
        <f t="shared" ca="1" si="51"/>
        <v>0.28526859633925777</v>
      </c>
      <c r="D78" s="41">
        <f t="shared" ca="1" si="91"/>
        <v>12923.610094293525</v>
      </c>
      <c r="E78" s="41">
        <f t="shared" ca="1" si="92"/>
        <v>73.802617759591271</v>
      </c>
      <c r="F78" s="7">
        <f t="shared" si="93"/>
        <v>64.285714285714292</v>
      </c>
      <c r="G78" s="41"/>
      <c r="H78" s="7">
        <f t="shared" si="94"/>
        <v>17999.999700000015</v>
      </c>
      <c r="I78" s="6">
        <v>15</v>
      </c>
      <c r="J78" s="41">
        <f t="shared" si="53"/>
        <v>0.48511170265687215</v>
      </c>
      <c r="K78" s="41">
        <f t="shared" si="54"/>
        <v>521.82499599173559</v>
      </c>
      <c r="L78" s="6">
        <f t="shared" si="95"/>
        <v>230</v>
      </c>
      <c r="M78" s="41">
        <f t="shared" si="55"/>
        <v>309.1729609251675</v>
      </c>
      <c r="N78" s="41">
        <f t="shared" si="56"/>
        <v>174.08972710625903</v>
      </c>
      <c r="O78" s="41">
        <f t="shared" si="57"/>
        <v>1892683.9967677938</v>
      </c>
      <c r="P78" s="41">
        <f t="shared" si="58"/>
        <v>12152361.218326269</v>
      </c>
      <c r="Q78" s="41">
        <f t="shared" si="59"/>
        <v>2.8495774462929686E-3</v>
      </c>
      <c r="R78" s="41">
        <f t="shared" si="60"/>
        <v>1.9262624734378238E-2</v>
      </c>
      <c r="S78" s="24">
        <f t="shared" ca="1" si="96"/>
        <v>0</v>
      </c>
      <c r="T78" s="10">
        <f t="shared" ca="1" si="61"/>
        <v>0</v>
      </c>
      <c r="U78" s="41">
        <f t="shared" ca="1" si="62"/>
        <v>0.32276234812711035</v>
      </c>
      <c r="V78" s="41">
        <f t="shared" ca="1" si="63"/>
        <v>2.5842010085503478E-2</v>
      </c>
      <c r="W78" s="41">
        <f t="shared" ca="1" si="64"/>
        <v>12.489831366027113</v>
      </c>
      <c r="X78" s="20">
        <f t="shared" ca="1" si="65"/>
        <v>1034.7305512423736</v>
      </c>
      <c r="Y78" s="41">
        <f t="shared" si="66"/>
        <v>0.55226552905832693</v>
      </c>
      <c r="Z78" s="41">
        <f t="shared" ca="1" si="67"/>
        <v>191.36419849821488</v>
      </c>
      <c r="AA78" s="14">
        <f t="shared" ca="1" si="68"/>
        <v>1034.7305512423736</v>
      </c>
      <c r="AB78" s="14">
        <f t="shared" si="69"/>
        <v>2916.576547414023</v>
      </c>
      <c r="AC78" s="25">
        <f t="shared" ca="1" si="70"/>
        <v>539948.26575457794</v>
      </c>
      <c r="AD78" s="41">
        <f t="shared" si="71"/>
        <v>1521942.5451639127</v>
      </c>
      <c r="AE78" s="5">
        <f t="shared" ca="1" si="72"/>
        <v>35.477572229668219</v>
      </c>
      <c r="AF78" s="7">
        <f t="shared" ca="1" si="73"/>
        <v>1034.7305512423736</v>
      </c>
      <c r="AG78" s="41">
        <f t="shared" ca="1" si="74"/>
        <v>1881.8459961716494</v>
      </c>
      <c r="AH78" s="41">
        <f t="shared" ca="1" si="75"/>
        <v>981994.27940933476</v>
      </c>
      <c r="AI78" s="41">
        <f t="shared" ca="1" si="76"/>
        <v>815.8954159601617</v>
      </c>
      <c r="AJ78" s="13">
        <f t="shared" ca="1" si="77"/>
        <v>0</v>
      </c>
      <c r="AK78" s="11"/>
      <c r="AL78" s="6">
        <v>0</v>
      </c>
      <c r="AM78" s="41">
        <f t="shared" si="78"/>
        <v>149.70815736023346</v>
      </c>
      <c r="AN78" s="41">
        <f t="shared" ca="1" si="79"/>
        <v>33.929499811682504</v>
      </c>
      <c r="AO78" s="6">
        <f t="shared" si="97"/>
        <v>12.857142857142858</v>
      </c>
      <c r="AP78" s="67">
        <f t="shared" si="98"/>
        <v>0.78851002802665648</v>
      </c>
      <c r="AQ78" s="11">
        <f t="shared" si="80"/>
        <v>0.92829992278098084</v>
      </c>
      <c r="AR78" s="11">
        <f t="shared" si="81"/>
        <v>0.49937958828402557</v>
      </c>
      <c r="AS78" s="11">
        <f t="shared" si="82"/>
        <v>0.53795069462894596</v>
      </c>
      <c r="AT78" s="11">
        <f t="shared" si="83"/>
        <v>481.48132094881129</v>
      </c>
      <c r="AU78" s="11">
        <f t="shared" si="84"/>
        <v>1056.7970723184205</v>
      </c>
      <c r="AV78" s="11">
        <f t="shared" si="85"/>
        <v>1.2786550060635417E-3</v>
      </c>
      <c r="AW78" s="11">
        <f t="shared" si="86"/>
        <v>3.5253330431988683E-7</v>
      </c>
      <c r="AX78" s="41">
        <f t="shared" ca="1" si="87"/>
        <v>1.9073930101311796</v>
      </c>
      <c r="AY78" s="41">
        <f t="shared" ca="1" si="88"/>
        <v>2.569296279872066</v>
      </c>
      <c r="AZ78" s="41">
        <f t="shared" si="89"/>
        <v>0.33643114722663964</v>
      </c>
    </row>
    <row r="79" spans="1:52" ht="14.5">
      <c r="A79" s="41">
        <f t="shared" ca="1" si="90"/>
        <v>1176.6751041815614</v>
      </c>
      <c r="B79" s="41">
        <f t="shared" ca="1" si="51"/>
        <v>19.611251736359357</v>
      </c>
      <c r="C79" s="41">
        <f t="shared" ca="1" si="51"/>
        <v>0.32685419560598927</v>
      </c>
      <c r="D79" s="41">
        <f t="shared" ca="1" si="91"/>
        <v>12889.680594481842</v>
      </c>
      <c r="E79" s="41">
        <f t="shared" ca="1" si="92"/>
        <v>86.659760616734133</v>
      </c>
      <c r="F79" s="7">
        <f t="shared" si="93"/>
        <v>77.142857142857153</v>
      </c>
      <c r="G79" s="41"/>
      <c r="H79" s="7">
        <f t="shared" si="94"/>
        <v>17999.999700000015</v>
      </c>
      <c r="I79" s="6">
        <v>15</v>
      </c>
      <c r="J79" s="41">
        <f t="shared" si="53"/>
        <v>0.48511170265687215</v>
      </c>
      <c r="K79" s="41">
        <f t="shared" si="54"/>
        <v>521.82499599173559</v>
      </c>
      <c r="L79" s="6">
        <f t="shared" si="95"/>
        <v>230</v>
      </c>
      <c r="M79" s="41">
        <f t="shared" si="55"/>
        <v>309.1729609251675</v>
      </c>
      <c r="N79" s="41">
        <f t="shared" si="56"/>
        <v>174.08972710625903</v>
      </c>
      <c r="O79" s="41">
        <f t="shared" si="57"/>
        <v>1892683.9967677938</v>
      </c>
      <c r="P79" s="41">
        <f t="shared" si="58"/>
        <v>12152361.218326269</v>
      </c>
      <c r="Q79" s="41">
        <f t="shared" si="59"/>
        <v>2.8495774462929686E-3</v>
      </c>
      <c r="R79" s="41">
        <f t="shared" si="60"/>
        <v>1.9262624734378238E-2</v>
      </c>
      <c r="S79" s="24">
        <f t="shared" ca="1" si="96"/>
        <v>0</v>
      </c>
      <c r="T79" s="10">
        <f t="shared" ca="1" si="61"/>
        <v>0</v>
      </c>
      <c r="U79" s="41">
        <f t="shared" ca="1" si="62"/>
        <v>0.32191497150787668</v>
      </c>
      <c r="V79" s="41">
        <f t="shared" ca="1" si="63"/>
        <v>2.5807508547194987E-2</v>
      </c>
      <c r="W79" s="41">
        <f t="shared" ca="1" si="64"/>
        <v>12.473694270765458</v>
      </c>
      <c r="X79" s="20">
        <f t="shared" ca="1" si="65"/>
        <v>1033.3490876629332</v>
      </c>
      <c r="Y79" s="41">
        <f t="shared" si="66"/>
        <v>0.55226552905832693</v>
      </c>
      <c r="Z79" s="41">
        <f t="shared" ca="1" si="67"/>
        <v>191.11283070377232</v>
      </c>
      <c r="AA79" s="14">
        <f t="shared" ca="1" si="68"/>
        <v>1033.3490876629332</v>
      </c>
      <c r="AB79" s="14">
        <f t="shared" si="69"/>
        <v>2916.576547414023</v>
      </c>
      <c r="AC79" s="25">
        <f t="shared" ca="1" si="70"/>
        <v>539227.38352777378</v>
      </c>
      <c r="AD79" s="41">
        <f t="shared" si="71"/>
        <v>1521942.5451639127</v>
      </c>
      <c r="AE79" s="5">
        <f t="shared" ca="1" si="72"/>
        <v>35.430206300573538</v>
      </c>
      <c r="AF79" s="7">
        <f t="shared" ca="1" si="73"/>
        <v>1033.3490876629332</v>
      </c>
      <c r="AG79" s="41">
        <f t="shared" ca="1" si="74"/>
        <v>1883.2274597510898</v>
      </c>
      <c r="AH79" s="41">
        <f t="shared" ca="1" si="75"/>
        <v>982715.16163613892</v>
      </c>
      <c r="AI79" s="41">
        <f t="shared" ca="1" si="76"/>
        <v>814.80611807441937</v>
      </c>
      <c r="AJ79" s="13">
        <f t="shared" ca="1" si="77"/>
        <v>0</v>
      </c>
      <c r="AK79" s="11"/>
      <c r="AL79" s="6">
        <v>0</v>
      </c>
      <c r="AM79" s="41">
        <f t="shared" si="78"/>
        <v>149.70815736023346</v>
      </c>
      <c r="AN79" s="41">
        <f t="shared" ca="1" si="79"/>
        <v>33.884200706323924</v>
      </c>
      <c r="AO79" s="6">
        <f t="shared" si="97"/>
        <v>12.857142857142858</v>
      </c>
      <c r="AP79" s="67">
        <f t="shared" si="98"/>
        <v>0.78851002802665648</v>
      </c>
      <c r="AQ79" s="11">
        <f t="shared" si="80"/>
        <v>0.92829992278098084</v>
      </c>
      <c r="AR79" s="11">
        <f t="shared" si="81"/>
        <v>0.49937958828402557</v>
      </c>
      <c r="AS79" s="11">
        <f t="shared" si="82"/>
        <v>0.53795069462894596</v>
      </c>
      <c r="AT79" s="11">
        <f t="shared" si="83"/>
        <v>481.48132094881129</v>
      </c>
      <c r="AU79" s="11">
        <f t="shared" si="84"/>
        <v>1056.7970723184205</v>
      </c>
      <c r="AV79" s="11">
        <f t="shared" si="85"/>
        <v>1.2786550060635417E-3</v>
      </c>
      <c r="AW79" s="11">
        <f t="shared" si="86"/>
        <v>3.5253330431988683E-7</v>
      </c>
      <c r="AX79" s="41">
        <f t="shared" ca="1" si="87"/>
        <v>1.9117998658910065</v>
      </c>
      <c r="AY79" s="41">
        <f t="shared" ca="1" si="88"/>
        <v>2.5752324021339783</v>
      </c>
      <c r="AZ79" s="41">
        <f t="shared" si="89"/>
        <v>0.33643114722663964</v>
      </c>
    </row>
    <row r="80" spans="1:52" ht="14.5">
      <c r="A80" s="41">
        <f t="shared" ca="1" si="90"/>
        <v>1326.3832615417948</v>
      </c>
      <c r="B80" s="41">
        <f t="shared" ca="1" si="51"/>
        <v>22.106387692363246</v>
      </c>
      <c r="C80" s="41">
        <f t="shared" ca="1" si="51"/>
        <v>0.36843979487272077</v>
      </c>
      <c r="D80" s="41">
        <f t="shared" ca="1" si="91"/>
        <v>12855.796393775519</v>
      </c>
      <c r="E80" s="41">
        <f t="shared" ca="1" si="92"/>
        <v>99.516903473876994</v>
      </c>
      <c r="F80" s="7">
        <f t="shared" si="93"/>
        <v>90.000000000000014</v>
      </c>
      <c r="G80" s="41"/>
      <c r="H80" s="7">
        <f t="shared" si="94"/>
        <v>17999.999700000015</v>
      </c>
      <c r="I80" s="6">
        <v>15</v>
      </c>
      <c r="J80" s="41">
        <f t="shared" si="53"/>
        <v>0.48511170265687215</v>
      </c>
      <c r="K80" s="41">
        <f t="shared" si="54"/>
        <v>521.82499599173559</v>
      </c>
      <c r="L80" s="6">
        <f t="shared" si="95"/>
        <v>230</v>
      </c>
      <c r="M80" s="41">
        <f t="shared" si="55"/>
        <v>309.1729609251675</v>
      </c>
      <c r="N80" s="41">
        <f t="shared" si="56"/>
        <v>174.08972710625903</v>
      </c>
      <c r="O80" s="41">
        <f t="shared" si="57"/>
        <v>1892683.9967677938</v>
      </c>
      <c r="P80" s="41">
        <f t="shared" si="58"/>
        <v>12152361.218326269</v>
      </c>
      <c r="Q80" s="41">
        <f t="shared" si="59"/>
        <v>2.8495774462929686E-3</v>
      </c>
      <c r="R80" s="41">
        <f t="shared" si="60"/>
        <v>1.9262624734378238E-2</v>
      </c>
      <c r="S80" s="24">
        <f t="shared" ca="1" si="96"/>
        <v>0</v>
      </c>
      <c r="T80" s="10">
        <f t="shared" ca="1" si="61"/>
        <v>0</v>
      </c>
      <c r="U80" s="41">
        <f t="shared" ca="1" si="62"/>
        <v>0.32106872621692562</v>
      </c>
      <c r="V80" s="41">
        <f t="shared" ca="1" si="63"/>
        <v>2.5773143589169378E-2</v>
      </c>
      <c r="W80" s="41">
        <f t="shared" ca="1" si="64"/>
        <v>12.457491850231571</v>
      </c>
      <c r="X80" s="20">
        <f t="shared" ca="1" si="65"/>
        <v>1031.9730928450531</v>
      </c>
      <c r="Y80" s="41">
        <f t="shared" si="66"/>
        <v>0.55226552905832693</v>
      </c>
      <c r="Z80" s="41">
        <f t="shared" ca="1" si="67"/>
        <v>190.86146811653722</v>
      </c>
      <c r="AA80" s="14">
        <f t="shared" ca="1" si="68"/>
        <v>1031.9730928450533</v>
      </c>
      <c r="AB80" s="14">
        <f t="shared" si="69"/>
        <v>2916.576547414023</v>
      </c>
      <c r="AC80" s="25">
        <f t="shared" ca="1" si="70"/>
        <v>538509.35503744893</v>
      </c>
      <c r="AD80" s="41">
        <f t="shared" si="71"/>
        <v>1521942.5451639127</v>
      </c>
      <c r="AE80" s="5">
        <f t="shared" ca="1" si="72"/>
        <v>35.383027877668773</v>
      </c>
      <c r="AF80" s="7">
        <f t="shared" ca="1" si="73"/>
        <v>1031.9730928450531</v>
      </c>
      <c r="AG80" s="41">
        <f t="shared" ca="1" si="74"/>
        <v>1884.6034545689697</v>
      </c>
      <c r="AH80" s="41">
        <f t="shared" ca="1" si="75"/>
        <v>983433.19012646377</v>
      </c>
      <c r="AI80" s="41">
        <f t="shared" ca="1" si="76"/>
        <v>813.72113236200823</v>
      </c>
      <c r="AJ80" s="13">
        <f t="shared" ca="1" si="77"/>
        <v>0</v>
      </c>
      <c r="AK80" s="11"/>
      <c r="AL80" s="6">
        <v>0</v>
      </c>
      <c r="AM80" s="41">
        <f t="shared" si="78"/>
        <v>149.70815736023346</v>
      </c>
      <c r="AN80" s="41">
        <f t="shared" ca="1" si="79"/>
        <v>33.839080925277464</v>
      </c>
      <c r="AO80" s="6">
        <f t="shared" si="97"/>
        <v>12.857142857142858</v>
      </c>
      <c r="AP80" s="67">
        <f t="shared" si="98"/>
        <v>0.78851002802665648</v>
      </c>
      <c r="AQ80" s="11">
        <f t="shared" si="80"/>
        <v>0.92829992278098084</v>
      </c>
      <c r="AR80" s="11">
        <f t="shared" si="81"/>
        <v>0.49937958828402557</v>
      </c>
      <c r="AS80" s="11">
        <f t="shared" si="82"/>
        <v>0.53795069462894596</v>
      </c>
      <c r="AT80" s="11">
        <f t="shared" si="83"/>
        <v>481.48132094881129</v>
      </c>
      <c r="AU80" s="11">
        <f t="shared" si="84"/>
        <v>1056.7970723184205</v>
      </c>
      <c r="AV80" s="11">
        <f t="shared" si="85"/>
        <v>1.2786550060635417E-3</v>
      </c>
      <c r="AW80" s="11">
        <f t="shared" si="86"/>
        <v>3.5253330431988683E-7</v>
      </c>
      <c r="AX80" s="41">
        <f t="shared" ca="1" si="87"/>
        <v>1.9162257990361173</v>
      </c>
      <c r="AY80" s="41">
        <f t="shared" ca="1" si="88"/>
        <v>2.5811942220128894</v>
      </c>
      <c r="AZ80" s="41">
        <f t="shared" si="89"/>
        <v>0.33643114722663964</v>
      </c>
    </row>
    <row r="81" spans="1:52" ht="14.5">
      <c r="A81" s="41">
        <f t="shared" ca="1" si="90"/>
        <v>1476.0914189020282</v>
      </c>
      <c r="B81" s="41">
        <f t="shared" ca="1" si="51"/>
        <v>24.601523648367138</v>
      </c>
      <c r="C81" s="41">
        <f t="shared" ca="1" si="51"/>
        <v>0.41002539413945233</v>
      </c>
      <c r="D81" s="41">
        <f t="shared" ca="1" si="91"/>
        <v>12821.957312850242</v>
      </c>
      <c r="E81" s="41">
        <f t="shared" ca="1" si="92"/>
        <v>112.37404633101985</v>
      </c>
      <c r="F81" s="7">
        <f t="shared" si="93"/>
        <v>102.85714285714288</v>
      </c>
      <c r="G81" s="41"/>
      <c r="H81" s="7">
        <f t="shared" si="94"/>
        <v>17999.999700000015</v>
      </c>
      <c r="I81" s="6">
        <v>15</v>
      </c>
      <c r="J81" s="41">
        <f t="shared" si="53"/>
        <v>0.48511170265687215</v>
      </c>
      <c r="K81" s="41">
        <f t="shared" si="54"/>
        <v>521.82499599173559</v>
      </c>
      <c r="L81" s="6">
        <f t="shared" si="95"/>
        <v>230</v>
      </c>
      <c r="M81" s="41">
        <f t="shared" si="55"/>
        <v>309.1729609251675</v>
      </c>
      <c r="N81" s="41">
        <f t="shared" si="56"/>
        <v>174.08972710625903</v>
      </c>
      <c r="O81" s="41">
        <f t="shared" si="57"/>
        <v>1892683.9967677938</v>
      </c>
      <c r="P81" s="41">
        <f t="shared" si="58"/>
        <v>12152361.218326269</v>
      </c>
      <c r="Q81" s="41">
        <f t="shared" si="59"/>
        <v>2.8495774462929686E-3</v>
      </c>
      <c r="R81" s="41">
        <f t="shared" si="60"/>
        <v>1.9262624734378238E-2</v>
      </c>
      <c r="S81" s="24">
        <f t="shared" ca="1" si="96"/>
        <v>0</v>
      </c>
      <c r="T81" s="10">
        <f t="shared" ca="1" si="61"/>
        <v>0</v>
      </c>
      <c r="U81" s="41">
        <f t="shared" ca="1" si="62"/>
        <v>0.3202236077756993</v>
      </c>
      <c r="V81" s="41">
        <f t="shared" ca="1" si="63"/>
        <v>2.57389146674851E-2</v>
      </c>
      <c r="W81" s="41">
        <f t="shared" ca="1" si="64"/>
        <v>12.441224189620725</v>
      </c>
      <c r="X81" s="20">
        <f t="shared" ca="1" si="65"/>
        <v>1030.6025450089669</v>
      </c>
      <c r="Y81" s="41">
        <f t="shared" si="66"/>
        <v>0.55226552905832693</v>
      </c>
      <c r="Z81" s="41">
        <f t="shared" ca="1" si="67"/>
        <v>190.6101094242004</v>
      </c>
      <c r="AA81" s="14">
        <f t="shared" ca="1" si="68"/>
        <v>1030.6025450089669</v>
      </c>
      <c r="AB81" s="14">
        <f t="shared" si="69"/>
        <v>2916.576547414023</v>
      </c>
      <c r="AC81" s="25">
        <f t="shared" ca="1" si="70"/>
        <v>537794.16891837667</v>
      </c>
      <c r="AD81" s="41">
        <f t="shared" si="71"/>
        <v>1521942.5451639127</v>
      </c>
      <c r="AE81" s="5">
        <f t="shared" ca="1" si="72"/>
        <v>35.336036214196007</v>
      </c>
      <c r="AF81" s="7">
        <f t="shared" ca="1" si="73"/>
        <v>1030.6025450089669</v>
      </c>
      <c r="AG81" s="41">
        <f t="shared" ca="1" si="74"/>
        <v>1885.9740024050561</v>
      </c>
      <c r="AH81" s="41">
        <f t="shared" ca="1" si="75"/>
        <v>984148.37624553603</v>
      </c>
      <c r="AI81" s="41">
        <f t="shared" ca="1" si="76"/>
        <v>812.64044164936399</v>
      </c>
      <c r="AJ81" s="13">
        <f t="shared" ca="1" si="77"/>
        <v>0</v>
      </c>
      <c r="AK81" s="11"/>
      <c r="AL81" s="6">
        <v>0</v>
      </c>
      <c r="AM81" s="41">
        <f t="shared" si="78"/>
        <v>149.70815736023346</v>
      </c>
      <c r="AN81" s="41">
        <f t="shared" ca="1" si="79"/>
        <v>33.794139754370164</v>
      </c>
      <c r="AO81" s="6">
        <f t="shared" si="97"/>
        <v>12.857142857142858</v>
      </c>
      <c r="AP81" s="67">
        <f t="shared" si="98"/>
        <v>0.78851002802665648</v>
      </c>
      <c r="AQ81" s="11">
        <f t="shared" si="80"/>
        <v>0.92829992278098084</v>
      </c>
      <c r="AR81" s="11">
        <f t="shared" si="81"/>
        <v>0.49937958828402557</v>
      </c>
      <c r="AS81" s="11">
        <f t="shared" si="82"/>
        <v>0.53795069462894596</v>
      </c>
      <c r="AT81" s="11">
        <f t="shared" si="83"/>
        <v>481.48132094881129</v>
      </c>
      <c r="AU81" s="11">
        <f t="shared" si="84"/>
        <v>1056.7970723184205</v>
      </c>
      <c r="AV81" s="11">
        <f t="shared" si="85"/>
        <v>1.2786550060635417E-3</v>
      </c>
      <c r="AW81" s="11">
        <f t="shared" si="86"/>
        <v>3.5253330431988683E-7</v>
      </c>
      <c r="AX81" s="41">
        <f t="shared" ca="1" si="87"/>
        <v>1.9206709294622093</v>
      </c>
      <c r="AY81" s="41">
        <f t="shared" ca="1" si="88"/>
        <v>2.5871819010106849</v>
      </c>
      <c r="AZ81" s="41">
        <f t="shared" si="89"/>
        <v>0.33643114722663964</v>
      </c>
    </row>
    <row r="82" spans="1:52" ht="14.5">
      <c r="A82" s="41">
        <f t="shared" ca="1" si="90"/>
        <v>1625.7995762622616</v>
      </c>
      <c r="B82" s="41">
        <f t="shared" ca="1" si="51"/>
        <v>27.096659604371027</v>
      </c>
      <c r="C82" s="41">
        <f t="shared" ca="1" si="51"/>
        <v>0.45161099340618377</v>
      </c>
      <c r="D82" s="41">
        <f t="shared" ca="1" si="91"/>
        <v>12788.163173095871</v>
      </c>
      <c r="E82" s="41">
        <f t="shared" ca="1" si="92"/>
        <v>125.23118918816272</v>
      </c>
      <c r="F82" s="7">
        <f t="shared" si="93"/>
        <v>115.71428571428574</v>
      </c>
      <c r="G82" s="41"/>
      <c r="H82" s="7">
        <f t="shared" si="94"/>
        <v>17999.999700000015</v>
      </c>
      <c r="I82" s="6">
        <v>15</v>
      </c>
      <c r="J82" s="41">
        <f t="shared" si="53"/>
        <v>0.48511170265687215</v>
      </c>
      <c r="K82" s="41">
        <f t="shared" si="54"/>
        <v>521.82499599173559</v>
      </c>
      <c r="L82" s="6">
        <f t="shared" si="95"/>
        <v>230</v>
      </c>
      <c r="M82" s="41">
        <f t="shared" si="55"/>
        <v>309.1729609251675</v>
      </c>
      <c r="N82" s="41">
        <f t="shared" si="56"/>
        <v>174.08972710625903</v>
      </c>
      <c r="O82" s="41">
        <f t="shared" si="57"/>
        <v>1892683.9967677938</v>
      </c>
      <c r="P82" s="41">
        <f t="shared" si="58"/>
        <v>12152361.218326269</v>
      </c>
      <c r="Q82" s="41">
        <f t="shared" si="59"/>
        <v>2.8495774462929686E-3</v>
      </c>
      <c r="R82" s="41">
        <f t="shared" si="60"/>
        <v>1.9262624734378238E-2</v>
      </c>
      <c r="S82" s="24">
        <f t="shared" ca="1" si="96"/>
        <v>0</v>
      </c>
      <c r="T82" s="10">
        <f t="shared" ca="1" si="61"/>
        <v>0</v>
      </c>
      <c r="U82" s="41">
        <f t="shared" ca="1" si="62"/>
        <v>0.31937961172347606</v>
      </c>
      <c r="V82" s="41">
        <f t="shared" ca="1" si="63"/>
        <v>2.5704821241314974E-2</v>
      </c>
      <c r="W82" s="41">
        <f t="shared" ca="1" si="64"/>
        <v>12.424891374468771</v>
      </c>
      <c r="X82" s="20">
        <f t="shared" ca="1" si="65"/>
        <v>1029.2374224996097</v>
      </c>
      <c r="Y82" s="41">
        <f t="shared" si="66"/>
        <v>0.55226552905832693</v>
      </c>
      <c r="Z82" s="41">
        <f t="shared" ca="1" si="67"/>
        <v>190.35875331283643</v>
      </c>
      <c r="AA82" s="14">
        <f t="shared" ca="1" si="68"/>
        <v>1029.2374224996097</v>
      </c>
      <c r="AB82" s="14">
        <f t="shared" si="69"/>
        <v>2916.576547414023</v>
      </c>
      <c r="AC82" s="25">
        <f t="shared" ca="1" si="70"/>
        <v>537081.8138704031</v>
      </c>
      <c r="AD82" s="41">
        <f t="shared" si="71"/>
        <v>1521942.5451639127</v>
      </c>
      <c r="AE82" s="5">
        <f t="shared" ca="1" si="72"/>
        <v>35.289230567672945</v>
      </c>
      <c r="AF82" s="7">
        <f t="shared" ca="1" si="73"/>
        <v>1029.2374224996097</v>
      </c>
      <c r="AG82" s="41">
        <f t="shared" ca="1" si="74"/>
        <v>1887.3391249144133</v>
      </c>
      <c r="AH82" s="41">
        <f t="shared" ca="1" si="75"/>
        <v>984860.7312935096</v>
      </c>
      <c r="AI82" s="41">
        <f t="shared" ca="1" si="76"/>
        <v>811.5640288612509</v>
      </c>
      <c r="AJ82" s="13">
        <f t="shared" ca="1" si="77"/>
        <v>0</v>
      </c>
      <c r="AK82" s="11"/>
      <c r="AL82" s="6">
        <v>0</v>
      </c>
      <c r="AM82" s="41">
        <f t="shared" si="78"/>
        <v>149.70815736023346</v>
      </c>
      <c r="AN82" s="41">
        <f t="shared" ca="1" si="79"/>
        <v>33.749376483518105</v>
      </c>
      <c r="AO82" s="6">
        <f t="shared" si="97"/>
        <v>12.857142857142858</v>
      </c>
      <c r="AP82" s="67">
        <f t="shared" si="98"/>
        <v>0.78851002802665648</v>
      </c>
      <c r="AQ82" s="11">
        <f t="shared" si="80"/>
        <v>0.92829992278098084</v>
      </c>
      <c r="AR82" s="11">
        <f t="shared" si="81"/>
        <v>0.49937958828402557</v>
      </c>
      <c r="AS82" s="11">
        <f t="shared" si="82"/>
        <v>0.53795069462894596</v>
      </c>
      <c r="AT82" s="11">
        <f t="shared" si="83"/>
        <v>481.48132094881129</v>
      </c>
      <c r="AU82" s="11">
        <f t="shared" si="84"/>
        <v>1056.7970723184205</v>
      </c>
      <c r="AV82" s="11">
        <f t="shared" si="85"/>
        <v>1.2786550060635417E-3</v>
      </c>
      <c r="AW82" s="11">
        <f t="shared" si="86"/>
        <v>3.5253330431988683E-7</v>
      </c>
      <c r="AX82" s="41">
        <f t="shared" ca="1" si="87"/>
        <v>1.9251353781403877</v>
      </c>
      <c r="AY82" s="41">
        <f t="shared" ca="1" si="88"/>
        <v>2.5931956020778468</v>
      </c>
      <c r="AZ82" s="41">
        <f t="shared" si="89"/>
        <v>0.33643114722663964</v>
      </c>
    </row>
    <row r="83" spans="1:52" ht="14.5">
      <c r="A83" s="41">
        <f t="shared" ca="1" si="90"/>
        <v>1775.5077336224949</v>
      </c>
      <c r="B83" s="41">
        <f t="shared" ca="1" si="51"/>
        <v>29.591795560374916</v>
      </c>
      <c r="C83" s="41">
        <f t="shared" ca="1" si="51"/>
        <v>0.49319659267291527</v>
      </c>
      <c r="D83" s="41">
        <f t="shared" ca="1" si="91"/>
        <v>12754.413796612353</v>
      </c>
      <c r="E83" s="41">
        <f t="shared" ca="1" si="92"/>
        <v>138.08833204530558</v>
      </c>
      <c r="F83" s="7">
        <f t="shared" si="93"/>
        <v>128.57142857142858</v>
      </c>
      <c r="G83" s="41"/>
      <c r="H83" s="7">
        <f t="shared" si="94"/>
        <v>17999.999700000015</v>
      </c>
      <c r="I83" s="6">
        <v>15</v>
      </c>
      <c r="J83" s="41">
        <f t="shared" si="53"/>
        <v>0.48511170265687215</v>
      </c>
      <c r="K83" s="41">
        <f t="shared" si="54"/>
        <v>521.82499599173559</v>
      </c>
      <c r="L83" s="6">
        <f t="shared" si="95"/>
        <v>230</v>
      </c>
      <c r="M83" s="41">
        <f t="shared" si="55"/>
        <v>309.1729609251675</v>
      </c>
      <c r="N83" s="41">
        <f t="shared" si="56"/>
        <v>174.08972710625903</v>
      </c>
      <c r="O83" s="41">
        <f t="shared" si="57"/>
        <v>1892683.9967677938</v>
      </c>
      <c r="P83" s="41">
        <f t="shared" si="58"/>
        <v>12152361.218326269</v>
      </c>
      <c r="Q83" s="41">
        <f t="shared" si="59"/>
        <v>2.8495774462929686E-3</v>
      </c>
      <c r="R83" s="41">
        <f t="shared" si="60"/>
        <v>1.9262624734378238E-2</v>
      </c>
      <c r="S83" s="24">
        <f t="shared" ca="1" si="96"/>
        <v>0</v>
      </c>
      <c r="T83" s="10">
        <f t="shared" ca="1" si="61"/>
        <v>0</v>
      </c>
      <c r="U83" s="41">
        <f t="shared" ca="1" si="62"/>
        <v>0.31853673361726825</v>
      </c>
      <c r="V83" s="41">
        <f t="shared" ca="1" si="63"/>
        <v>2.5670862772926167E-2</v>
      </c>
      <c r="W83" s="41">
        <f t="shared" ca="1" si="64"/>
        <v>12.408493490651734</v>
      </c>
      <c r="X83" s="20">
        <f t="shared" ca="1" si="65"/>
        <v>1027.8777037858163</v>
      </c>
      <c r="Y83" s="41">
        <f t="shared" si="66"/>
        <v>0.55226552905832693</v>
      </c>
      <c r="Z83" s="41">
        <f t="shared" ca="1" si="67"/>
        <v>190.10739846686272</v>
      </c>
      <c r="AA83" s="14">
        <f t="shared" ca="1" si="68"/>
        <v>1027.8777037858163</v>
      </c>
      <c r="AB83" s="14">
        <f t="shared" si="69"/>
        <v>2916.576547414023</v>
      </c>
      <c r="AC83" s="25">
        <f t="shared" ca="1" si="70"/>
        <v>536372.27865802799</v>
      </c>
      <c r="AD83" s="41">
        <f t="shared" si="71"/>
        <v>1521942.5451639127</v>
      </c>
      <c r="AE83" s="5">
        <f t="shared" ca="1" si="72"/>
        <v>35.242610199865389</v>
      </c>
      <c r="AF83" s="7">
        <f t="shared" ca="1" si="73"/>
        <v>1027.8777037858163</v>
      </c>
      <c r="AG83" s="41">
        <f t="shared" ca="1" si="74"/>
        <v>1888.6988436282068</v>
      </c>
      <c r="AH83" s="41">
        <f t="shared" ca="1" si="75"/>
        <v>985570.26650588471</v>
      </c>
      <c r="AI83" s="41">
        <f t="shared" ca="1" si="76"/>
        <v>810.49187702012932</v>
      </c>
      <c r="AJ83" s="13">
        <f t="shared" ca="1" si="77"/>
        <v>0</v>
      </c>
      <c r="AK83" s="11"/>
      <c r="AL83" s="6">
        <v>0</v>
      </c>
      <c r="AM83" s="41">
        <f t="shared" si="78"/>
        <v>149.70815736023346</v>
      </c>
      <c r="AN83" s="41">
        <f t="shared" ca="1" si="79"/>
        <v>33.704790406700134</v>
      </c>
      <c r="AO83" s="6">
        <f t="shared" si="97"/>
        <v>12.857142857142858</v>
      </c>
      <c r="AP83" s="67">
        <f t="shared" si="98"/>
        <v>0.78851002802665648</v>
      </c>
      <c r="AQ83" s="11">
        <f t="shared" si="80"/>
        <v>0.92829992278098084</v>
      </c>
      <c r="AR83" s="11">
        <f t="shared" si="81"/>
        <v>0.49937958828402557</v>
      </c>
      <c r="AS83" s="11">
        <f t="shared" si="82"/>
        <v>0.53795069462894596</v>
      </c>
      <c r="AT83" s="11">
        <f t="shared" si="83"/>
        <v>481.48132094881129</v>
      </c>
      <c r="AU83" s="11">
        <f t="shared" si="84"/>
        <v>1056.7970723184205</v>
      </c>
      <c r="AV83" s="11">
        <f t="shared" si="85"/>
        <v>1.2786550060635417E-3</v>
      </c>
      <c r="AW83" s="11">
        <f t="shared" si="86"/>
        <v>3.5253330431988683E-7</v>
      </c>
      <c r="AX83" s="41">
        <f t="shared" ca="1" si="87"/>
        <v>1.9296192671287125</v>
      </c>
      <c r="AY83" s="41">
        <f t="shared" ca="1" si="88"/>
        <v>2.5992354896290077</v>
      </c>
      <c r="AZ83" s="41">
        <f t="shared" si="89"/>
        <v>0.33643114722663964</v>
      </c>
    </row>
    <row r="84" spans="1:52" ht="14.5">
      <c r="A84" s="41">
        <f t="shared" ca="1" si="90"/>
        <v>1925.2158909827283</v>
      </c>
      <c r="B84" s="41">
        <f t="shared" ca="1" si="51"/>
        <v>32.086931516378804</v>
      </c>
      <c r="C84" s="41">
        <f t="shared" ca="1" si="51"/>
        <v>0.53478219193964671</v>
      </c>
      <c r="D84" s="41">
        <f t="shared" ca="1" si="91"/>
        <v>12720.709006205652</v>
      </c>
      <c r="E84" s="41">
        <f t="shared" ca="1" si="92"/>
        <v>150.94547490244844</v>
      </c>
      <c r="F84" s="7">
        <f t="shared" si="93"/>
        <v>141.42857142857144</v>
      </c>
      <c r="G84" s="41"/>
      <c r="H84" s="7">
        <f t="shared" si="94"/>
        <v>17999.999700000015</v>
      </c>
      <c r="I84" s="6">
        <v>15</v>
      </c>
      <c r="J84" s="41">
        <f t="shared" si="53"/>
        <v>0.48511170265687215</v>
      </c>
      <c r="K84" s="41">
        <f t="shared" si="54"/>
        <v>521.82499599173559</v>
      </c>
      <c r="L84" s="6">
        <f t="shared" si="95"/>
        <v>230</v>
      </c>
      <c r="M84" s="41">
        <f t="shared" si="55"/>
        <v>309.1729609251675</v>
      </c>
      <c r="N84" s="41">
        <f t="shared" si="56"/>
        <v>174.08972710625903</v>
      </c>
      <c r="O84" s="41">
        <f t="shared" si="57"/>
        <v>1892683.9967677938</v>
      </c>
      <c r="P84" s="41">
        <f t="shared" si="58"/>
        <v>12152361.218326269</v>
      </c>
      <c r="Q84" s="41">
        <f t="shared" si="59"/>
        <v>2.8495774462929686E-3</v>
      </c>
      <c r="R84" s="41">
        <f t="shared" si="60"/>
        <v>1.9262624734378238E-2</v>
      </c>
      <c r="S84" s="24">
        <f t="shared" ca="1" si="96"/>
        <v>0</v>
      </c>
      <c r="T84" s="10">
        <f t="shared" ca="1" si="61"/>
        <v>0</v>
      </c>
      <c r="U84" s="41">
        <f t="shared" ca="1" si="62"/>
        <v>0.3176949690317209</v>
      </c>
      <c r="V84" s="41">
        <f t="shared" ca="1" si="63"/>
        <v>2.5637038727660436E-2</v>
      </c>
      <c r="W84" s="41">
        <f t="shared" ca="1" si="64"/>
        <v>12.392030624385333</v>
      </c>
      <c r="X84" s="20">
        <f t="shared" ca="1" si="65"/>
        <v>1026.5233674595299</v>
      </c>
      <c r="Y84" s="41">
        <f t="shared" si="66"/>
        <v>0.55226552905832693</v>
      </c>
      <c r="Z84" s="41">
        <f t="shared" ca="1" si="67"/>
        <v>189.85604356899836</v>
      </c>
      <c r="AA84" s="14">
        <f t="shared" ca="1" si="68"/>
        <v>1026.5233674595299</v>
      </c>
      <c r="AB84" s="14">
        <f t="shared" si="69"/>
        <v>2916.576547414023</v>
      </c>
      <c r="AC84" s="25">
        <f t="shared" ca="1" si="70"/>
        <v>535665.55210999213</v>
      </c>
      <c r="AD84" s="41">
        <f t="shared" si="71"/>
        <v>1521942.5451639127</v>
      </c>
      <c r="AE84" s="5">
        <f t="shared" ca="1" si="72"/>
        <v>35.19617437676014</v>
      </c>
      <c r="AF84" s="7">
        <f t="shared" ca="1" si="73"/>
        <v>1026.5233674595299</v>
      </c>
      <c r="AG84" s="41">
        <f t="shared" ca="1" si="74"/>
        <v>1890.0531799544931</v>
      </c>
      <c r="AH84" s="41">
        <f t="shared" ca="1" si="75"/>
        <v>986276.99305392057</v>
      </c>
      <c r="AI84" s="41">
        <f t="shared" ca="1" si="76"/>
        <v>809.42396924553179</v>
      </c>
      <c r="AJ84" s="13">
        <f t="shared" ca="1" si="77"/>
        <v>0</v>
      </c>
      <c r="AK84" s="11"/>
      <c r="AL84" s="6">
        <v>0</v>
      </c>
      <c r="AM84" s="41">
        <f t="shared" si="78"/>
        <v>149.70815736023346</v>
      </c>
      <c r="AN84" s="41">
        <f t="shared" ca="1" si="79"/>
        <v>33.660380821931895</v>
      </c>
      <c r="AO84" s="6">
        <f t="shared" si="97"/>
        <v>12.857142857142858</v>
      </c>
      <c r="AP84" s="67">
        <f t="shared" si="98"/>
        <v>0.78851002802665648</v>
      </c>
      <c r="AQ84" s="11">
        <f t="shared" si="80"/>
        <v>0.92829992278098084</v>
      </c>
      <c r="AR84" s="11">
        <f t="shared" si="81"/>
        <v>0.49937958828402557</v>
      </c>
      <c r="AS84" s="11">
        <f t="shared" si="82"/>
        <v>0.53795069462894596</v>
      </c>
      <c r="AT84" s="11">
        <f t="shared" si="83"/>
        <v>481.48132094881129</v>
      </c>
      <c r="AU84" s="11">
        <f t="shared" si="84"/>
        <v>1056.7970723184205</v>
      </c>
      <c r="AV84" s="11">
        <f t="shared" si="85"/>
        <v>1.2786550060635417E-3</v>
      </c>
      <c r="AW84" s="11">
        <f t="shared" si="86"/>
        <v>3.5253330431988683E-7</v>
      </c>
      <c r="AX84" s="41">
        <f t="shared" ca="1" si="87"/>
        <v>1.9341227195839261</v>
      </c>
      <c r="AY84" s="41">
        <f t="shared" ca="1" si="88"/>
        <v>2.6053017295587457</v>
      </c>
      <c r="AZ84" s="41">
        <f t="shared" si="89"/>
        <v>0.33643114722663964</v>
      </c>
    </row>
    <row r="85" spans="1:52" ht="14.5">
      <c r="A85" s="41">
        <f t="shared" ca="1" si="90"/>
        <v>2074.9240483429617</v>
      </c>
      <c r="B85" s="41">
        <f t="shared" ca="1" si="51"/>
        <v>34.582067472382697</v>
      </c>
      <c r="C85" s="41">
        <f t="shared" ca="1" si="51"/>
        <v>0.57636779120637827</v>
      </c>
      <c r="D85" s="41">
        <f t="shared" ca="1" si="91"/>
        <v>12687.048625383721</v>
      </c>
      <c r="E85" s="41">
        <f t="shared" ca="1" si="92"/>
        <v>163.8026177595913</v>
      </c>
      <c r="F85" s="7">
        <f t="shared" si="93"/>
        <v>154.28571428571431</v>
      </c>
      <c r="G85" s="41"/>
      <c r="H85" s="7">
        <f t="shared" si="94"/>
        <v>17999.999700000015</v>
      </c>
      <c r="I85" s="6">
        <v>15</v>
      </c>
      <c r="J85" s="41">
        <f t="shared" si="53"/>
        <v>0.48511170265687215</v>
      </c>
      <c r="K85" s="41">
        <f t="shared" si="54"/>
        <v>521.82499599173559</v>
      </c>
      <c r="L85" s="6">
        <f t="shared" si="95"/>
        <v>230</v>
      </c>
      <c r="M85" s="41">
        <f t="shared" si="55"/>
        <v>309.1729609251675</v>
      </c>
      <c r="N85" s="41">
        <f t="shared" si="56"/>
        <v>174.08972710625903</v>
      </c>
      <c r="O85" s="41">
        <f t="shared" si="57"/>
        <v>1892683.9967677938</v>
      </c>
      <c r="P85" s="41">
        <f t="shared" si="58"/>
        <v>12152361.218326269</v>
      </c>
      <c r="Q85" s="41">
        <f t="shared" si="59"/>
        <v>2.8495774462929686E-3</v>
      </c>
      <c r="R85" s="41">
        <f t="shared" si="60"/>
        <v>1.9262624734378238E-2</v>
      </c>
      <c r="S85" s="24">
        <f t="shared" ca="1" si="96"/>
        <v>0</v>
      </c>
      <c r="T85" s="10">
        <f t="shared" ca="1" si="61"/>
        <v>0</v>
      </c>
      <c r="U85" s="41">
        <f t="shared" ca="1" si="62"/>
        <v>0.31685431355901078</v>
      </c>
      <c r="V85" s="41">
        <f t="shared" ca="1" si="63"/>
        <v>2.5603348573914424E-2</v>
      </c>
      <c r="W85" s="41">
        <f t="shared" ca="1" si="64"/>
        <v>12.375502862224549</v>
      </c>
      <c r="X85" s="20">
        <f t="shared" ca="1" si="65"/>
        <v>1025.1743922350133</v>
      </c>
      <c r="Y85" s="41">
        <f t="shared" si="66"/>
        <v>0.55226552905832693</v>
      </c>
      <c r="Z85" s="41">
        <f t="shared" ca="1" si="67"/>
        <v>189.60468730022285</v>
      </c>
      <c r="AA85" s="14">
        <f t="shared" ca="1" si="68"/>
        <v>1025.1743922350133</v>
      </c>
      <c r="AB85" s="14">
        <f t="shared" si="69"/>
        <v>2916.576547414023</v>
      </c>
      <c r="AC85" s="25">
        <f t="shared" ca="1" si="70"/>
        <v>534961.62311886577</v>
      </c>
      <c r="AD85" s="41">
        <f t="shared" si="71"/>
        <v>1521942.5451639127</v>
      </c>
      <c r="AE85" s="5">
        <f t="shared" ca="1" si="72"/>
        <v>35.149922368537943</v>
      </c>
      <c r="AF85" s="7">
        <f t="shared" ca="1" si="73"/>
        <v>1025.1743922350133</v>
      </c>
      <c r="AG85" s="41">
        <f t="shared" ca="1" si="74"/>
        <v>1891.4021551790097</v>
      </c>
      <c r="AH85" s="41">
        <f t="shared" ca="1" si="75"/>
        <v>986980.92204504693</v>
      </c>
      <c r="AI85" s="41">
        <f t="shared" ca="1" si="76"/>
        <v>808.36028875344084</v>
      </c>
      <c r="AJ85" s="13">
        <f t="shared" ca="1" si="77"/>
        <v>0</v>
      </c>
      <c r="AK85" s="11"/>
      <c r="AL85" s="6">
        <v>0</v>
      </c>
      <c r="AM85" s="41">
        <f t="shared" si="78"/>
        <v>149.70815736023346</v>
      </c>
      <c r="AN85" s="41">
        <f t="shared" ca="1" si="79"/>
        <v>33.616147031239962</v>
      </c>
      <c r="AO85" s="6">
        <f t="shared" si="97"/>
        <v>12.857142857142858</v>
      </c>
      <c r="AP85" s="67">
        <f t="shared" si="98"/>
        <v>0.78851002802665648</v>
      </c>
      <c r="AQ85" s="11">
        <f t="shared" si="80"/>
        <v>0.92829992278098084</v>
      </c>
      <c r="AR85" s="11">
        <f t="shared" si="81"/>
        <v>0.49937958828402557</v>
      </c>
      <c r="AS85" s="11">
        <f t="shared" si="82"/>
        <v>0.53795069462894596</v>
      </c>
      <c r="AT85" s="11">
        <f t="shared" si="83"/>
        <v>481.48132094881129</v>
      </c>
      <c r="AU85" s="11">
        <f t="shared" si="84"/>
        <v>1056.7970723184205</v>
      </c>
      <c r="AV85" s="11">
        <f t="shared" si="85"/>
        <v>1.2786550060635417E-3</v>
      </c>
      <c r="AW85" s="11">
        <f t="shared" si="86"/>
        <v>3.5253330431988683E-7</v>
      </c>
      <c r="AX85" s="41">
        <f t="shared" ca="1" si="87"/>
        <v>1.9386458597733129</v>
      </c>
      <c r="AY85" s="41">
        <f t="shared" ca="1" si="88"/>
        <v>2.6113944892575622</v>
      </c>
      <c r="AZ85" s="41">
        <f t="shared" si="89"/>
        <v>0.33643114722663964</v>
      </c>
    </row>
    <row r="86" spans="1:52" ht="14.5">
      <c r="A86" s="41">
        <f t="shared" ca="1" si="90"/>
        <v>2224.6322057031953</v>
      </c>
      <c r="B86" s="41">
        <f t="shared" ca="1" si="51"/>
        <v>37.077203428386589</v>
      </c>
      <c r="C86" s="41">
        <f t="shared" ca="1" si="51"/>
        <v>0.61795339047310982</v>
      </c>
      <c r="D86" s="41">
        <f t="shared" ca="1" si="91"/>
        <v>12653.432478352481</v>
      </c>
      <c r="E86" s="41">
        <f t="shared" ca="1" si="92"/>
        <v>176.65976061673416</v>
      </c>
      <c r="F86" s="7">
        <f t="shared" si="93"/>
        <v>167.14285714285717</v>
      </c>
      <c r="G86" s="41"/>
      <c r="H86" s="7">
        <f t="shared" si="94"/>
        <v>17999.999700000015</v>
      </c>
      <c r="I86" s="6">
        <v>15</v>
      </c>
      <c r="J86" s="41">
        <f t="shared" si="53"/>
        <v>0.48511170265687215</v>
      </c>
      <c r="K86" s="41">
        <f t="shared" si="54"/>
        <v>521.82499599173559</v>
      </c>
      <c r="L86" s="6">
        <f t="shared" si="95"/>
        <v>230</v>
      </c>
      <c r="M86" s="41">
        <f t="shared" si="55"/>
        <v>309.1729609251675</v>
      </c>
      <c r="N86" s="41">
        <f t="shared" si="56"/>
        <v>174.08972710625903</v>
      </c>
      <c r="O86" s="41">
        <f t="shared" si="57"/>
        <v>1892683.9967677938</v>
      </c>
      <c r="P86" s="41">
        <f t="shared" si="58"/>
        <v>12152361.218326269</v>
      </c>
      <c r="Q86" s="41">
        <f t="shared" si="59"/>
        <v>2.8495774462929686E-3</v>
      </c>
      <c r="R86" s="41">
        <f t="shared" si="60"/>
        <v>1.9262624734378238E-2</v>
      </c>
      <c r="S86" s="24">
        <f t="shared" ca="1" si="96"/>
        <v>5.1478332055598862E-16</v>
      </c>
      <c r="T86" s="10">
        <f t="shared" ca="1" si="61"/>
        <v>5.1478332055598862E-16</v>
      </c>
      <c r="U86" s="41">
        <f t="shared" ca="1" si="62"/>
        <v>0.31601476280874635</v>
      </c>
      <c r="V86" s="41">
        <f t="shared" ca="1" si="63"/>
        <v>2.5569791783120181E-2</v>
      </c>
      <c r="W86" s="41">
        <f t="shared" ca="1" si="64"/>
        <v>12.358910291063165</v>
      </c>
      <c r="X86" s="20">
        <f t="shared" ca="1" si="65"/>
        <v>1023.8307569480692</v>
      </c>
      <c r="Y86" s="41">
        <f t="shared" si="66"/>
        <v>0.55226552905832693</v>
      </c>
      <c r="Z86" s="41">
        <f t="shared" ca="1" si="67"/>
        <v>189.35332833973425</v>
      </c>
      <c r="AA86" s="14">
        <f t="shared" ca="1" si="68"/>
        <v>1023.8307569480691</v>
      </c>
      <c r="AB86" s="14">
        <f t="shared" si="69"/>
        <v>2916.576547414023</v>
      </c>
      <c r="AC86" s="25">
        <f t="shared" ca="1" si="70"/>
        <v>534260.48064064176</v>
      </c>
      <c r="AD86" s="41">
        <f t="shared" si="71"/>
        <v>1521942.5451639127</v>
      </c>
      <c r="AE86" s="5">
        <f t="shared" ca="1" si="72"/>
        <v>35.103853449546754</v>
      </c>
      <c r="AF86" s="7">
        <f t="shared" ca="1" si="73"/>
        <v>1023.8307569480693</v>
      </c>
      <c r="AG86" s="41">
        <f t="shared" ca="1" si="74"/>
        <v>1892.7457904659541</v>
      </c>
      <c r="AH86" s="41">
        <f t="shared" ca="1" si="75"/>
        <v>987682.06452327094</v>
      </c>
      <c r="AI86" s="41">
        <f t="shared" ca="1" si="76"/>
        <v>807.30081885567506</v>
      </c>
      <c r="AJ86" s="13">
        <f t="shared" ca="1" si="77"/>
        <v>4.6884221921512672E-15</v>
      </c>
      <c r="AK86" s="11"/>
      <c r="AL86" s="6">
        <v>0</v>
      </c>
      <c r="AM86" s="41">
        <f t="shared" si="78"/>
        <v>149.70815736023346</v>
      </c>
      <c r="AN86" s="41">
        <f t="shared" ca="1" si="79"/>
        <v>33.572088340636313</v>
      </c>
      <c r="AO86" s="6">
        <f t="shared" si="97"/>
        <v>12.857142857142858</v>
      </c>
      <c r="AP86" s="67">
        <f t="shared" si="98"/>
        <v>0.78851002802665648</v>
      </c>
      <c r="AQ86" s="11">
        <f t="shared" si="80"/>
        <v>0.92829992278098084</v>
      </c>
      <c r="AR86" s="11">
        <f t="shared" si="81"/>
        <v>0.49937958828402557</v>
      </c>
      <c r="AS86" s="11">
        <f t="shared" si="82"/>
        <v>0.53795069462894596</v>
      </c>
      <c r="AT86" s="11">
        <f t="shared" si="83"/>
        <v>481.48132094881129</v>
      </c>
      <c r="AU86" s="11">
        <f t="shared" si="84"/>
        <v>1056.7970723184205</v>
      </c>
      <c r="AV86" s="11">
        <f t="shared" si="85"/>
        <v>1.2786550060635417E-3</v>
      </c>
      <c r="AW86" s="11">
        <f t="shared" si="86"/>
        <v>3.5253330431988683E-7</v>
      </c>
      <c r="AX86" s="41">
        <f t="shared" ca="1" si="87"/>
        <v>1.9431888130867312</v>
      </c>
      <c r="AY86" s="41">
        <f t="shared" ca="1" si="88"/>
        <v>2.6175139376280869</v>
      </c>
      <c r="AZ86" s="41">
        <f t="shared" si="89"/>
        <v>0.33643114722663964</v>
      </c>
    </row>
    <row r="87" spans="1:52" ht="14.5">
      <c r="A87" s="41">
        <f t="shared" ca="1" si="90"/>
        <v>2374.3403630634289</v>
      </c>
      <c r="B87" s="41">
        <f t="shared" ca="1" si="51"/>
        <v>39.572339384390482</v>
      </c>
      <c r="C87" s="41">
        <f t="shared" ca="1" si="51"/>
        <v>0.65953898973984137</v>
      </c>
      <c r="D87" s="41">
        <f t="shared" ca="1" si="91"/>
        <v>12619.860390011845</v>
      </c>
      <c r="E87" s="41">
        <f t="shared" ca="1" si="92"/>
        <v>189.51690347387702</v>
      </c>
      <c r="F87" s="7">
        <f t="shared" si="93"/>
        <v>180.00000000000003</v>
      </c>
      <c r="G87" s="41"/>
      <c r="H87" s="7">
        <f t="shared" si="94"/>
        <v>17999.999700000015</v>
      </c>
      <c r="I87" s="6">
        <v>15</v>
      </c>
      <c r="J87" s="41">
        <f t="shared" si="53"/>
        <v>0.48511170265687215</v>
      </c>
      <c r="K87" s="41">
        <f t="shared" si="54"/>
        <v>521.82499599173559</v>
      </c>
      <c r="L87" s="6">
        <f t="shared" si="95"/>
        <v>230</v>
      </c>
      <c r="M87" s="41">
        <f t="shared" si="55"/>
        <v>309.1729609251675</v>
      </c>
      <c r="N87" s="41">
        <f t="shared" si="56"/>
        <v>174.08972710625903</v>
      </c>
      <c r="O87" s="41">
        <f t="shared" si="57"/>
        <v>1892683.9967677938</v>
      </c>
      <c r="P87" s="41">
        <f t="shared" si="58"/>
        <v>12152361.218326269</v>
      </c>
      <c r="Q87" s="41">
        <f t="shared" si="59"/>
        <v>2.8495774462929686E-3</v>
      </c>
      <c r="R87" s="41">
        <f t="shared" si="60"/>
        <v>1.9262624734378238E-2</v>
      </c>
      <c r="S87" s="24">
        <f t="shared" ca="1" si="96"/>
        <v>0</v>
      </c>
      <c r="T87" s="10">
        <f t="shared" ca="1" si="61"/>
        <v>0</v>
      </c>
      <c r="U87" s="41">
        <f t="shared" ca="1" si="62"/>
        <v>0.31517631240786814</v>
      </c>
      <c r="V87" s="41">
        <f t="shared" ca="1" si="63"/>
        <v>2.5536367829725799E-2</v>
      </c>
      <c r="W87" s="41">
        <f t="shared" ca="1" si="64"/>
        <v>12.342252998133306</v>
      </c>
      <c r="X87" s="20">
        <f t="shared" ca="1" si="65"/>
        <v>1022.4924405552638</v>
      </c>
      <c r="Y87" s="41">
        <f t="shared" si="66"/>
        <v>0.55226552905832693</v>
      </c>
      <c r="Z87" s="41">
        <f t="shared" ca="1" si="67"/>
        <v>189.10196536490761</v>
      </c>
      <c r="AA87" s="14">
        <f t="shared" ca="1" si="68"/>
        <v>1022.4924405552638</v>
      </c>
      <c r="AB87" s="14">
        <f t="shared" si="69"/>
        <v>2916.576547414023</v>
      </c>
      <c r="AC87" s="25">
        <f t="shared" ca="1" si="70"/>
        <v>533562.11369433044</v>
      </c>
      <c r="AD87" s="41">
        <f t="shared" si="71"/>
        <v>1521942.5451639127</v>
      </c>
      <c r="AE87" s="5">
        <f t="shared" ca="1" si="72"/>
        <v>35.057966898275126</v>
      </c>
      <c r="AF87" s="7">
        <f t="shared" ca="1" si="73"/>
        <v>1022.4924405552638</v>
      </c>
      <c r="AG87" s="41">
        <f t="shared" ca="1" si="74"/>
        <v>1894.0841068587592</v>
      </c>
      <c r="AH87" s="41">
        <f t="shared" ca="1" si="75"/>
        <v>988380.43146958225</v>
      </c>
      <c r="AI87" s="41">
        <f t="shared" ca="1" si="76"/>
        <v>806.24554295927544</v>
      </c>
      <c r="AJ87" s="13">
        <f t="shared" ca="1" si="77"/>
        <v>0</v>
      </c>
      <c r="AK87" s="11"/>
      <c r="AL87" s="6">
        <v>0</v>
      </c>
      <c r="AM87" s="41">
        <f t="shared" si="78"/>
        <v>149.70815736023346</v>
      </c>
      <c r="AN87" s="41">
        <f t="shared" ca="1" si="79"/>
        <v>33.528204060092797</v>
      </c>
      <c r="AO87" s="6">
        <f t="shared" si="97"/>
        <v>12.857142857142858</v>
      </c>
      <c r="AP87" s="67">
        <f t="shared" si="98"/>
        <v>0.78851002802665648</v>
      </c>
      <c r="AQ87" s="11">
        <f t="shared" si="80"/>
        <v>0.92829992278098084</v>
      </c>
      <c r="AR87" s="11">
        <f t="shared" si="81"/>
        <v>0.49937958828402557</v>
      </c>
      <c r="AS87" s="11">
        <f t="shared" si="82"/>
        <v>0.53795069462894596</v>
      </c>
      <c r="AT87" s="11">
        <f t="shared" si="83"/>
        <v>481.48132094881129</v>
      </c>
      <c r="AU87" s="11">
        <f t="shared" si="84"/>
        <v>1056.7970723184205</v>
      </c>
      <c r="AV87" s="11">
        <f t="shared" si="85"/>
        <v>1.2786550060635417E-3</v>
      </c>
      <c r="AW87" s="11">
        <f t="shared" si="86"/>
        <v>3.5253330431988683E-7</v>
      </c>
      <c r="AX87" s="41">
        <f t="shared" ca="1" si="87"/>
        <v>1.9477517060488045</v>
      </c>
      <c r="AY87" s="41">
        <f t="shared" ca="1" si="88"/>
        <v>2.6236602451015023</v>
      </c>
      <c r="AZ87" s="41">
        <f t="shared" si="89"/>
        <v>0.33643114722663964</v>
      </c>
    </row>
    <row r="88" spans="1:52" ht="14.5">
      <c r="A88" s="41">
        <f t="shared" ca="1" si="90"/>
        <v>2524.0485204236625</v>
      </c>
      <c r="B88" s="41">
        <f t="shared" ca="1" si="51"/>
        <v>42.067475340394374</v>
      </c>
      <c r="C88" s="41">
        <f t="shared" ca="1" si="51"/>
        <v>0.70112458900657293</v>
      </c>
      <c r="D88" s="41">
        <f t="shared" ca="1" si="91"/>
        <v>12586.332185951753</v>
      </c>
      <c r="E88" s="41">
        <f t="shared" ca="1" si="92"/>
        <v>202.37404633101988</v>
      </c>
      <c r="F88" s="7">
        <f t="shared" si="93"/>
        <v>192.85714285714289</v>
      </c>
      <c r="G88" s="41"/>
      <c r="H88" s="7">
        <f t="shared" si="94"/>
        <v>17999.999700000015</v>
      </c>
      <c r="I88" s="6">
        <v>15</v>
      </c>
      <c r="J88" s="41">
        <f t="shared" si="53"/>
        <v>0.48511170265687215</v>
      </c>
      <c r="K88" s="41">
        <f t="shared" si="54"/>
        <v>521.82499599173559</v>
      </c>
      <c r="L88" s="6">
        <f t="shared" si="95"/>
        <v>230</v>
      </c>
      <c r="M88" s="41">
        <f t="shared" si="55"/>
        <v>309.1729609251675</v>
      </c>
      <c r="N88" s="41">
        <f t="shared" si="56"/>
        <v>174.08972710625903</v>
      </c>
      <c r="O88" s="41">
        <f t="shared" si="57"/>
        <v>1892683.9967677938</v>
      </c>
      <c r="P88" s="41">
        <f t="shared" si="58"/>
        <v>12152361.218326269</v>
      </c>
      <c r="Q88" s="41">
        <f t="shared" si="59"/>
        <v>2.8495774462929686E-3</v>
      </c>
      <c r="R88" s="41">
        <f t="shared" si="60"/>
        <v>1.9262624734378238E-2</v>
      </c>
      <c r="S88" s="24">
        <f t="shared" ca="1" si="96"/>
        <v>0</v>
      </c>
      <c r="T88" s="10">
        <f t="shared" ca="1" si="61"/>
        <v>0</v>
      </c>
      <c r="U88" s="41">
        <f t="shared" ca="1" si="62"/>
        <v>0.31433895800054978</v>
      </c>
      <c r="V88" s="41">
        <f t="shared" ca="1" si="63"/>
        <v>2.5503076191176199E-2</v>
      </c>
      <c r="W88" s="41">
        <f t="shared" ca="1" si="64"/>
        <v>12.325531071004988</v>
      </c>
      <c r="X88" s="20">
        <f t="shared" ca="1" si="65"/>
        <v>1021.1594221331592</v>
      </c>
      <c r="Y88" s="41">
        <f t="shared" si="66"/>
        <v>0.55226552905832693</v>
      </c>
      <c r="Z88" s="41">
        <f t="shared" ca="1" si="67"/>
        <v>188.85059705125269</v>
      </c>
      <c r="AA88" s="14">
        <f t="shared" ca="1" si="68"/>
        <v>1021.1594221331592</v>
      </c>
      <c r="AB88" s="14">
        <f t="shared" si="69"/>
        <v>2916.576547414023</v>
      </c>
      <c r="AC88" s="25">
        <f t="shared" ca="1" si="70"/>
        <v>532866.51136155881</v>
      </c>
      <c r="AD88" s="41">
        <f t="shared" si="71"/>
        <v>1521942.5451639127</v>
      </c>
      <c r="AE88" s="5">
        <f t="shared" ca="1" si="72"/>
        <v>35.012261997325879</v>
      </c>
      <c r="AF88" s="7">
        <f t="shared" ca="1" si="73"/>
        <v>1021.1594221331592</v>
      </c>
      <c r="AG88" s="41">
        <f t="shared" ca="1" si="74"/>
        <v>1895.4171252808637</v>
      </c>
      <c r="AH88" s="41">
        <f t="shared" ca="1" si="75"/>
        <v>989076.03380235389</v>
      </c>
      <c r="AI88" s="41">
        <f t="shared" ca="1" si="76"/>
        <v>805.19444456590168</v>
      </c>
      <c r="AJ88" s="13">
        <f t="shared" ca="1" si="77"/>
        <v>0</v>
      </c>
      <c r="AK88" s="11"/>
      <c r="AL88" s="6">
        <v>0</v>
      </c>
      <c r="AM88" s="41">
        <f t="shared" si="78"/>
        <v>149.70815736023346</v>
      </c>
      <c r="AN88" s="41">
        <f t="shared" ca="1" si="79"/>
        <v>33.484493503516049</v>
      </c>
      <c r="AO88" s="6">
        <f t="shared" si="97"/>
        <v>12.857142857142858</v>
      </c>
      <c r="AP88" s="67">
        <f t="shared" si="98"/>
        <v>0.78851002802665648</v>
      </c>
      <c r="AQ88" s="11">
        <f t="shared" si="80"/>
        <v>0.92829992278098084</v>
      </c>
      <c r="AR88" s="11">
        <f t="shared" si="81"/>
        <v>0.49937958828402557</v>
      </c>
      <c r="AS88" s="11">
        <f t="shared" si="82"/>
        <v>0.53795069462894596</v>
      </c>
      <c r="AT88" s="11">
        <f t="shared" si="83"/>
        <v>481.48132094881129</v>
      </c>
      <c r="AU88" s="11">
        <f t="shared" si="84"/>
        <v>1056.7970723184205</v>
      </c>
      <c r="AV88" s="11">
        <f t="shared" si="85"/>
        <v>1.2786550060635417E-3</v>
      </c>
      <c r="AW88" s="11">
        <f t="shared" si="86"/>
        <v>3.5253330431988683E-7</v>
      </c>
      <c r="AX88" s="41">
        <f t="shared" ca="1" si="87"/>
        <v>1.9523346663312715</v>
      </c>
      <c r="AY88" s="41">
        <f t="shared" ca="1" si="88"/>
        <v>2.6298335836541766</v>
      </c>
      <c r="AZ88" s="41">
        <f t="shared" si="89"/>
        <v>0.33643114722663964</v>
      </c>
    </row>
    <row r="89" spans="1:52" ht="14.5">
      <c r="A89" s="41">
        <f t="shared" ca="1" si="90"/>
        <v>2673.7566777838961</v>
      </c>
      <c r="B89" s="41">
        <f t="shared" ref="B89:C107" ca="1" si="99">A89/60</f>
        <v>44.562611296398266</v>
      </c>
      <c r="C89" s="41">
        <f t="shared" ca="1" si="99"/>
        <v>0.74271018827330448</v>
      </c>
      <c r="D89" s="41">
        <f t="shared" ca="1" si="91"/>
        <v>12552.847692448237</v>
      </c>
      <c r="E89" s="41">
        <f t="shared" ca="1" si="92"/>
        <v>215.23118918816274</v>
      </c>
      <c r="F89" s="7">
        <f t="shared" si="93"/>
        <v>205.71428571428575</v>
      </c>
      <c r="G89" s="41"/>
      <c r="H89" s="7">
        <f t="shared" si="94"/>
        <v>17999.999700000015</v>
      </c>
      <c r="I89" s="6">
        <v>15</v>
      </c>
      <c r="J89" s="41">
        <f t="shared" si="53"/>
        <v>0.48511170265687215</v>
      </c>
      <c r="K89" s="41">
        <f t="shared" si="54"/>
        <v>521.82499599173559</v>
      </c>
      <c r="L89" s="6">
        <f t="shared" si="95"/>
        <v>230</v>
      </c>
      <c r="M89" s="41">
        <f t="shared" si="55"/>
        <v>309.1729609251675</v>
      </c>
      <c r="N89" s="41">
        <f t="shared" si="56"/>
        <v>174.08972710625903</v>
      </c>
      <c r="O89" s="41">
        <f t="shared" si="57"/>
        <v>1892683.9967677938</v>
      </c>
      <c r="P89" s="41">
        <f t="shared" si="58"/>
        <v>12152361.218326269</v>
      </c>
      <c r="Q89" s="41">
        <f t="shared" si="59"/>
        <v>2.8495774462929686E-3</v>
      </c>
      <c r="R89" s="41">
        <f t="shared" si="60"/>
        <v>1.9262624734378238E-2</v>
      </c>
      <c r="S89" s="24">
        <f t="shared" ca="1" si="96"/>
        <v>0</v>
      </c>
      <c r="T89" s="10">
        <f t="shared" ca="1" si="61"/>
        <v>0</v>
      </c>
      <c r="U89" s="41">
        <f t="shared" ca="1" si="62"/>
        <v>0.31350269524809998</v>
      </c>
      <c r="V89" s="41">
        <f t="shared" ca="1" si="63"/>
        <v>2.5469916347894084E-2</v>
      </c>
      <c r="W89" s="41">
        <f t="shared" ca="1" si="64"/>
        <v>12.30874459758566</v>
      </c>
      <c r="X89" s="20">
        <f t="shared" ca="1" si="65"/>
        <v>1019.8316808775492</v>
      </c>
      <c r="Y89" s="41">
        <f t="shared" si="66"/>
        <v>0.55226552905832693</v>
      </c>
      <c r="Z89" s="41">
        <f t="shared" ca="1" si="67"/>
        <v>188.59922207237179</v>
      </c>
      <c r="AA89" s="14">
        <f t="shared" ca="1" si="68"/>
        <v>1019.8316808775492</v>
      </c>
      <c r="AB89" s="14">
        <f t="shared" si="69"/>
        <v>2916.576547414023</v>
      </c>
      <c r="AC89" s="25">
        <f t="shared" ca="1" si="70"/>
        <v>532173.662786172</v>
      </c>
      <c r="AD89" s="41">
        <f t="shared" si="71"/>
        <v>1521942.5451639127</v>
      </c>
      <c r="AE89" s="5">
        <f t="shared" ca="1" si="72"/>
        <v>34.966738033389902</v>
      </c>
      <c r="AF89" s="7">
        <f t="shared" ca="1" si="73"/>
        <v>1019.8316808775492</v>
      </c>
      <c r="AG89" s="41">
        <f t="shared" ca="1" si="74"/>
        <v>1896.7448665364739</v>
      </c>
      <c r="AH89" s="41">
        <f t="shared" ca="1" si="75"/>
        <v>989768.88237774069</v>
      </c>
      <c r="AI89" s="41">
        <f t="shared" ca="1" si="76"/>
        <v>804.14750727122851</v>
      </c>
      <c r="AJ89" s="13">
        <f t="shared" ca="1" si="77"/>
        <v>0</v>
      </c>
      <c r="AK89" s="11"/>
      <c r="AL89" s="6">
        <v>0</v>
      </c>
      <c r="AM89" s="41">
        <f t="shared" si="78"/>
        <v>149.70815736023346</v>
      </c>
      <c r="AN89" s="41">
        <f t="shared" ca="1" si="79"/>
        <v>33.440955988722372</v>
      </c>
      <c r="AO89" s="6">
        <f t="shared" si="97"/>
        <v>12.857142857142858</v>
      </c>
      <c r="AP89" s="67">
        <f t="shared" si="98"/>
        <v>0.78851002802665648</v>
      </c>
      <c r="AQ89" s="11">
        <f t="shared" si="80"/>
        <v>0.92829992278098084</v>
      </c>
      <c r="AR89" s="11">
        <f t="shared" si="81"/>
        <v>0.49937958828402557</v>
      </c>
      <c r="AS89" s="11">
        <f t="shared" si="82"/>
        <v>0.53795069462894596</v>
      </c>
      <c r="AT89" s="11">
        <f t="shared" si="83"/>
        <v>481.48132094881129</v>
      </c>
      <c r="AU89" s="11">
        <f t="shared" si="84"/>
        <v>1056.7970723184205</v>
      </c>
      <c r="AV89" s="11">
        <f t="shared" si="85"/>
        <v>1.2786550060635417E-3</v>
      </c>
      <c r="AW89" s="11">
        <f t="shared" si="86"/>
        <v>3.5253330431988683E-7</v>
      </c>
      <c r="AX89" s="41">
        <f t="shared" ca="1" si="87"/>
        <v>1.9569378227655039</v>
      </c>
      <c r="AY89" s="41">
        <f t="shared" ca="1" si="88"/>
        <v>2.6360341268245264</v>
      </c>
      <c r="AZ89" s="41">
        <f t="shared" si="89"/>
        <v>0.33643114722663964</v>
      </c>
    </row>
    <row r="90" spans="1:52" ht="14.5">
      <c r="A90" s="41">
        <f t="shared" ca="1" si="90"/>
        <v>2823.4648351441297</v>
      </c>
      <c r="B90" s="41">
        <f t="shared" ca="1" si="99"/>
        <v>47.057747252402159</v>
      </c>
      <c r="C90" s="41">
        <f t="shared" ca="1" si="99"/>
        <v>0.78429578754003593</v>
      </c>
      <c r="D90" s="41">
        <f t="shared" ca="1" si="91"/>
        <v>12519.406736459514</v>
      </c>
      <c r="E90" s="41">
        <f t="shared" ca="1" si="92"/>
        <v>228.08833204530561</v>
      </c>
      <c r="F90" s="7">
        <f t="shared" si="93"/>
        <v>218.57142857142861</v>
      </c>
      <c r="G90" s="41"/>
      <c r="H90" s="7">
        <f t="shared" si="94"/>
        <v>17999.999700000015</v>
      </c>
      <c r="I90" s="6">
        <v>15</v>
      </c>
      <c r="J90" s="41">
        <f t="shared" si="53"/>
        <v>0.48511170265687215</v>
      </c>
      <c r="K90" s="41">
        <f t="shared" si="54"/>
        <v>521.82499599173559</v>
      </c>
      <c r="L90" s="6">
        <f t="shared" si="95"/>
        <v>230</v>
      </c>
      <c r="M90" s="41">
        <f t="shared" si="55"/>
        <v>309.1729609251675</v>
      </c>
      <c r="N90" s="41">
        <f t="shared" si="56"/>
        <v>174.08972710625903</v>
      </c>
      <c r="O90" s="41">
        <f t="shared" si="57"/>
        <v>1892683.9967677938</v>
      </c>
      <c r="P90" s="41">
        <f t="shared" si="58"/>
        <v>12152361.218326269</v>
      </c>
      <c r="Q90" s="41">
        <f t="shared" si="59"/>
        <v>2.8495774462929686E-3</v>
      </c>
      <c r="R90" s="41">
        <f t="shared" si="60"/>
        <v>1.9262624734378238E-2</v>
      </c>
      <c r="S90" s="24">
        <f t="shared" ca="1" si="96"/>
        <v>-5.2029430185917716E-16</v>
      </c>
      <c r="T90" s="10">
        <f t="shared" ca="1" si="61"/>
        <v>-5.2029430185917716E-16</v>
      </c>
      <c r="U90" s="41">
        <f t="shared" ca="1" si="62"/>
        <v>0.31266751982886465</v>
      </c>
      <c r="V90" s="41">
        <f t="shared" ca="1" si="63"/>
        <v>2.5436887783261024E-2</v>
      </c>
      <c r="W90" s="41">
        <f t="shared" ca="1" si="64"/>
        <v>12.291893666119735</v>
      </c>
      <c r="X90" s="20">
        <f t="shared" ca="1" si="65"/>
        <v>1018.5091961027026</v>
      </c>
      <c r="Y90" s="41">
        <f t="shared" si="66"/>
        <v>0.55226552905832693</v>
      </c>
      <c r="Z90" s="41">
        <f t="shared" ca="1" si="67"/>
        <v>188.34783909991705</v>
      </c>
      <c r="AA90" s="14">
        <f t="shared" ca="1" si="68"/>
        <v>1018.5091961027026</v>
      </c>
      <c r="AB90" s="14">
        <f t="shared" si="69"/>
        <v>2916.576547414023</v>
      </c>
      <c r="AC90" s="25">
        <f t="shared" ca="1" si="70"/>
        <v>531483.55717383861</v>
      </c>
      <c r="AD90" s="41">
        <f t="shared" si="71"/>
        <v>1521942.5451639127</v>
      </c>
      <c r="AE90" s="5">
        <f t="shared" ca="1" si="72"/>
        <v>34.921394297220203</v>
      </c>
      <c r="AF90" s="7">
        <f t="shared" ca="1" si="73"/>
        <v>1018.5091961027025</v>
      </c>
      <c r="AG90" s="41">
        <f t="shared" ca="1" si="74"/>
        <v>1898.0673513113204</v>
      </c>
      <c r="AH90" s="41">
        <f t="shared" ca="1" si="75"/>
        <v>990458.98799007409</v>
      </c>
      <c r="AI90" s="41">
        <f t="shared" ca="1" si="76"/>
        <v>803.1047147643493</v>
      </c>
      <c r="AJ90" s="13">
        <f t="shared" ca="1" si="77"/>
        <v>-4.7386138087220879E-15</v>
      </c>
      <c r="AK90" s="11"/>
      <c r="AL90" s="6">
        <v>0</v>
      </c>
      <c r="AM90" s="41">
        <f t="shared" si="78"/>
        <v>149.70815736023346</v>
      </c>
      <c r="AN90" s="41">
        <f t="shared" ca="1" si="79"/>
        <v>33.397590837412942</v>
      </c>
      <c r="AO90" s="6">
        <f t="shared" si="97"/>
        <v>12.857142857142858</v>
      </c>
      <c r="AP90" s="67">
        <f t="shared" si="98"/>
        <v>0.78851002802665648</v>
      </c>
      <c r="AQ90" s="11">
        <f t="shared" si="80"/>
        <v>0.92829992278098084</v>
      </c>
      <c r="AR90" s="11">
        <f t="shared" si="81"/>
        <v>0.49937958828402557</v>
      </c>
      <c r="AS90" s="11">
        <f t="shared" si="82"/>
        <v>0.53795069462894596</v>
      </c>
      <c r="AT90" s="11">
        <f t="shared" si="83"/>
        <v>481.48132094881129</v>
      </c>
      <c r="AU90" s="11">
        <f t="shared" si="84"/>
        <v>1056.7970723184205</v>
      </c>
      <c r="AV90" s="11">
        <f t="shared" si="85"/>
        <v>1.2786550060635417E-3</v>
      </c>
      <c r="AW90" s="11">
        <f t="shared" si="86"/>
        <v>3.5253330431988683E-7</v>
      </c>
      <c r="AX90" s="41">
        <f t="shared" ca="1" si="87"/>
        <v>1.9615613053551908</v>
      </c>
      <c r="AY90" s="41">
        <f t="shared" ca="1" si="88"/>
        <v>2.642262049730105</v>
      </c>
      <c r="AZ90" s="41">
        <f t="shared" si="89"/>
        <v>0.33643114722663964</v>
      </c>
    </row>
    <row r="91" spans="1:52" ht="14.5">
      <c r="A91" s="41">
        <f t="shared" ca="1" si="90"/>
        <v>2973.1729925043633</v>
      </c>
      <c r="B91" s="41">
        <f t="shared" ca="1" si="99"/>
        <v>49.552883208406051</v>
      </c>
      <c r="C91" s="41">
        <f t="shared" ca="1" si="99"/>
        <v>0.82588138680676748</v>
      </c>
      <c r="D91" s="41">
        <f t="shared" ca="1" si="91"/>
        <v>12486.009145622102</v>
      </c>
      <c r="E91" s="41">
        <f t="shared" ca="1" si="92"/>
        <v>240.94547490244847</v>
      </c>
      <c r="F91" s="7">
        <f t="shared" si="93"/>
        <v>231.42857142857147</v>
      </c>
      <c r="G91" s="41"/>
      <c r="H91" s="7">
        <f t="shared" si="94"/>
        <v>17999.999700000015</v>
      </c>
      <c r="I91" s="6">
        <v>15</v>
      </c>
      <c r="J91" s="41">
        <f t="shared" si="53"/>
        <v>0.48511170265687215</v>
      </c>
      <c r="K91" s="41">
        <f t="shared" si="54"/>
        <v>521.82499599173559</v>
      </c>
      <c r="L91" s="6">
        <f t="shared" si="95"/>
        <v>230</v>
      </c>
      <c r="M91" s="41">
        <f t="shared" si="55"/>
        <v>309.1729609251675</v>
      </c>
      <c r="N91" s="41">
        <f t="shared" si="56"/>
        <v>174.08972710625903</v>
      </c>
      <c r="O91" s="41">
        <f t="shared" si="57"/>
        <v>1892683.9967677938</v>
      </c>
      <c r="P91" s="41">
        <f t="shared" si="58"/>
        <v>12152361.218326269</v>
      </c>
      <c r="Q91" s="41">
        <f t="shared" si="59"/>
        <v>2.8495774462929686E-3</v>
      </c>
      <c r="R91" s="41">
        <f t="shared" si="60"/>
        <v>1.9262624734378238E-2</v>
      </c>
      <c r="S91" s="24">
        <f t="shared" ca="1" si="96"/>
        <v>5.2168598562345042E-16</v>
      </c>
      <c r="T91" s="10">
        <f t="shared" ca="1" si="61"/>
        <v>5.2168598562345042E-16</v>
      </c>
      <c r="U91" s="41">
        <f t="shared" ca="1" si="62"/>
        <v>0.31183342743813003</v>
      </c>
      <c r="V91" s="41">
        <f t="shared" ca="1" si="63"/>
        <v>2.5403989983598683E-2</v>
      </c>
      <c r="W91" s="41">
        <f t="shared" ca="1" si="64"/>
        <v>12.274978365188138</v>
      </c>
      <c r="X91" s="20">
        <f t="shared" ca="1" si="65"/>
        <v>1017.1919472406115</v>
      </c>
      <c r="Y91" s="41">
        <f t="shared" si="66"/>
        <v>0.55226552905832693</v>
      </c>
      <c r="Z91" s="41">
        <f t="shared" ca="1" si="67"/>
        <v>188.09644680354785</v>
      </c>
      <c r="AA91" s="14">
        <f t="shared" ca="1" si="68"/>
        <v>1017.1919472406116</v>
      </c>
      <c r="AB91" s="14">
        <f t="shared" si="69"/>
        <v>2916.576547414023</v>
      </c>
      <c r="AC91" s="25">
        <f t="shared" ca="1" si="70"/>
        <v>530796.18379165791</v>
      </c>
      <c r="AD91" s="41">
        <f t="shared" si="71"/>
        <v>1521942.5451639127</v>
      </c>
      <c r="AE91" s="5">
        <f t="shared" ca="1" si="72"/>
        <v>34.876230083606167</v>
      </c>
      <c r="AF91" s="7">
        <f t="shared" ca="1" si="73"/>
        <v>1017.1919472406116</v>
      </c>
      <c r="AG91" s="41">
        <f t="shared" ca="1" si="74"/>
        <v>1899.3846001734114</v>
      </c>
      <c r="AH91" s="41">
        <f t="shared" ca="1" si="75"/>
        <v>991146.36137225479</v>
      </c>
      <c r="AI91" s="41">
        <f t="shared" ca="1" si="76"/>
        <v>802.06605082718397</v>
      </c>
      <c r="AJ91" s="13">
        <f t="shared" ca="1" si="77"/>
        <v>4.7512886580894453E-15</v>
      </c>
      <c r="AK91" s="11"/>
      <c r="AL91" s="6">
        <v>0</v>
      </c>
      <c r="AM91" s="41">
        <f t="shared" si="78"/>
        <v>149.70815736023346</v>
      </c>
      <c r="AN91" s="41">
        <f t="shared" ca="1" si="79"/>
        <v>33.354397375149183</v>
      </c>
      <c r="AO91" s="6">
        <f t="shared" si="97"/>
        <v>12.857142857142858</v>
      </c>
      <c r="AP91" s="67">
        <f t="shared" si="98"/>
        <v>0.78851002802665648</v>
      </c>
      <c r="AQ91" s="11">
        <f t="shared" si="80"/>
        <v>0.92829992278098084</v>
      </c>
      <c r="AR91" s="11">
        <f t="shared" si="81"/>
        <v>0.49937958828402557</v>
      </c>
      <c r="AS91" s="11">
        <f t="shared" si="82"/>
        <v>0.53795069462894596</v>
      </c>
      <c r="AT91" s="11">
        <f t="shared" si="83"/>
        <v>481.48132094881129</v>
      </c>
      <c r="AU91" s="11">
        <f t="shared" si="84"/>
        <v>1056.7970723184205</v>
      </c>
      <c r="AV91" s="11">
        <f t="shared" si="85"/>
        <v>1.2786550060635417E-3</v>
      </c>
      <c r="AW91" s="11">
        <f t="shared" si="86"/>
        <v>3.5253330431988683E-7</v>
      </c>
      <c r="AX91" s="41">
        <f t="shared" ca="1" si="87"/>
        <v>1.9662052452892038</v>
      </c>
      <c r="AY91" s="41">
        <f t="shared" ca="1" si="88"/>
        <v>2.6485175290849279</v>
      </c>
      <c r="AZ91" s="41">
        <f t="shared" si="89"/>
        <v>0.33643114722663964</v>
      </c>
    </row>
    <row r="92" spans="1:52" ht="14.5">
      <c r="A92" s="41">
        <f t="shared" ca="1" si="90"/>
        <v>3122.8811498645969</v>
      </c>
      <c r="B92" s="41">
        <f t="shared" ca="1" si="99"/>
        <v>52.048019164409951</v>
      </c>
      <c r="C92" s="41">
        <f t="shared" ca="1" si="99"/>
        <v>0.86746698607349915</v>
      </c>
      <c r="D92" s="41">
        <f t="shared" ca="1" si="91"/>
        <v>12452.654748246952</v>
      </c>
      <c r="E92" s="41">
        <f t="shared" ca="1" si="92"/>
        <v>253.80261775959133</v>
      </c>
      <c r="F92" s="7">
        <f t="shared" si="93"/>
        <v>244.28571428571433</v>
      </c>
      <c r="G92" s="41"/>
      <c r="H92" s="7">
        <f t="shared" si="94"/>
        <v>17999.999700000015</v>
      </c>
      <c r="I92" s="6">
        <v>15</v>
      </c>
      <c r="J92" s="41">
        <f t="shared" si="53"/>
        <v>0.48511170265687215</v>
      </c>
      <c r="K92" s="41">
        <f t="shared" si="54"/>
        <v>521.82499599173559</v>
      </c>
      <c r="L92" s="6">
        <f t="shared" si="95"/>
        <v>230</v>
      </c>
      <c r="M92" s="41">
        <f t="shared" si="55"/>
        <v>309.1729609251675</v>
      </c>
      <c r="N92" s="41">
        <f t="shared" si="56"/>
        <v>174.08972710625903</v>
      </c>
      <c r="O92" s="41">
        <f t="shared" si="57"/>
        <v>1892683.9967677938</v>
      </c>
      <c r="P92" s="41">
        <f t="shared" si="58"/>
        <v>12152361.218326269</v>
      </c>
      <c r="Q92" s="41">
        <f t="shared" si="59"/>
        <v>2.8495774462929686E-3</v>
      </c>
      <c r="R92" s="41">
        <f t="shared" si="60"/>
        <v>1.9262624734378238E-2</v>
      </c>
      <c r="S92" s="24">
        <f t="shared" ca="1" si="96"/>
        <v>0</v>
      </c>
      <c r="T92" s="10">
        <f t="shared" ca="1" si="61"/>
        <v>0</v>
      </c>
      <c r="U92" s="41">
        <f t="shared" ca="1" si="62"/>
        <v>0.31100041378802606</v>
      </c>
      <c r="V92" s="41">
        <f t="shared" ca="1" si="63"/>
        <v>2.5371222438150189E-2</v>
      </c>
      <c r="W92" s="41">
        <f t="shared" ca="1" si="64"/>
        <v>12.257998783707841</v>
      </c>
      <c r="X92" s="20">
        <f t="shared" ca="1" si="65"/>
        <v>1015.8799138402453</v>
      </c>
      <c r="Y92" s="41">
        <f t="shared" si="66"/>
        <v>0.55226552905832693</v>
      </c>
      <c r="Z92" s="41">
        <f t="shared" ca="1" si="67"/>
        <v>187.84504385088738</v>
      </c>
      <c r="AA92" s="14">
        <f t="shared" ca="1" si="68"/>
        <v>1015.8799138402453</v>
      </c>
      <c r="AB92" s="14">
        <f t="shared" si="69"/>
        <v>2916.576547414023</v>
      </c>
      <c r="AC92" s="25">
        <f t="shared" ca="1" si="70"/>
        <v>530111.53196777066</v>
      </c>
      <c r="AD92" s="41">
        <f t="shared" si="71"/>
        <v>1521942.5451639127</v>
      </c>
      <c r="AE92" s="5">
        <f t="shared" ca="1" si="72"/>
        <v>34.831244691347919</v>
      </c>
      <c r="AF92" s="7">
        <f t="shared" ca="1" si="73"/>
        <v>1015.8799138402453</v>
      </c>
      <c r="AG92" s="41">
        <f t="shared" ca="1" si="74"/>
        <v>1900.6966335737777</v>
      </c>
      <c r="AH92" s="41">
        <f t="shared" ca="1" si="75"/>
        <v>991831.01319614204</v>
      </c>
      <c r="AI92" s="41">
        <f t="shared" ca="1" si="76"/>
        <v>801.0314993338892</v>
      </c>
      <c r="AJ92" s="13">
        <f t="shared" ca="1" si="77"/>
        <v>0</v>
      </c>
      <c r="AK92" s="11"/>
      <c r="AL92" s="6">
        <v>0</v>
      </c>
      <c r="AM92" s="41">
        <f t="shared" si="78"/>
        <v>149.70815736023346</v>
      </c>
      <c r="AN92" s="41">
        <f t="shared" ca="1" si="79"/>
        <v>33.311374931328224</v>
      </c>
      <c r="AO92" s="6">
        <f t="shared" si="97"/>
        <v>12.857142857142858</v>
      </c>
      <c r="AP92" s="67">
        <f t="shared" si="98"/>
        <v>0.78851002802665648</v>
      </c>
      <c r="AQ92" s="11">
        <f t="shared" si="80"/>
        <v>0.92829992278098084</v>
      </c>
      <c r="AR92" s="11">
        <f t="shared" si="81"/>
        <v>0.49937958828402557</v>
      </c>
      <c r="AS92" s="11">
        <f t="shared" si="82"/>
        <v>0.53795069462894596</v>
      </c>
      <c r="AT92" s="11">
        <f t="shared" si="83"/>
        <v>481.48132094881129</v>
      </c>
      <c r="AU92" s="11">
        <f t="shared" si="84"/>
        <v>1056.7970723184205</v>
      </c>
      <c r="AV92" s="11">
        <f t="shared" si="85"/>
        <v>1.2786550060635417E-3</v>
      </c>
      <c r="AW92" s="11">
        <f t="shared" si="86"/>
        <v>3.5253330431988683E-7</v>
      </c>
      <c r="AX92" s="41">
        <f t="shared" ca="1" si="87"/>
        <v>1.9708697749546207</v>
      </c>
      <c r="AY92" s="41">
        <f t="shared" ca="1" si="88"/>
        <v>2.6548007432170189</v>
      </c>
      <c r="AZ92" s="41">
        <f t="shared" si="89"/>
        <v>0.33643114722663964</v>
      </c>
    </row>
    <row r="93" spans="1:52" ht="14.5">
      <c r="A93" s="41">
        <f t="shared" ca="1" si="90"/>
        <v>3272.5893072248305</v>
      </c>
      <c r="B93" s="41">
        <f t="shared" ca="1" si="99"/>
        <v>54.543155120413843</v>
      </c>
      <c r="C93" s="41">
        <f t="shared" ca="1" si="99"/>
        <v>0.9090525853402307</v>
      </c>
      <c r="D93" s="41">
        <f t="shared" ca="1" si="91"/>
        <v>12419.343373315623</v>
      </c>
      <c r="E93" s="41">
        <f t="shared" ca="1" si="92"/>
        <v>266.65976061673416</v>
      </c>
      <c r="F93" s="7">
        <f t="shared" si="93"/>
        <v>257.14285714285717</v>
      </c>
      <c r="G93" s="41"/>
      <c r="H93" s="7">
        <f t="shared" si="94"/>
        <v>17999.999700000015</v>
      </c>
      <c r="I93" s="6">
        <v>15</v>
      </c>
      <c r="J93" s="41">
        <f t="shared" si="53"/>
        <v>0.48511170265687215</v>
      </c>
      <c r="K93" s="41">
        <f t="shared" si="54"/>
        <v>521.82499599173559</v>
      </c>
      <c r="L93" s="6">
        <f t="shared" si="95"/>
        <v>230</v>
      </c>
      <c r="M93" s="41">
        <f t="shared" si="55"/>
        <v>309.1729609251675</v>
      </c>
      <c r="N93" s="41">
        <f t="shared" si="56"/>
        <v>174.08972710625903</v>
      </c>
      <c r="O93" s="41">
        <f t="shared" si="57"/>
        <v>1892683.9967677938</v>
      </c>
      <c r="P93" s="41">
        <f t="shared" si="58"/>
        <v>12152361.218326269</v>
      </c>
      <c r="Q93" s="41">
        <f t="shared" si="59"/>
        <v>2.8495774462929686E-3</v>
      </c>
      <c r="R93" s="41">
        <f t="shared" si="60"/>
        <v>1.9262624734378238E-2</v>
      </c>
      <c r="S93" s="24">
        <f t="shared" ca="1" si="96"/>
        <v>0</v>
      </c>
      <c r="T93" s="10">
        <f t="shared" ca="1" si="61"/>
        <v>0</v>
      </c>
      <c r="U93" s="41">
        <f t="shared" ca="1" si="62"/>
        <v>0.31016847460743086</v>
      </c>
      <c r="V93" s="41">
        <f t="shared" ca="1" si="63"/>
        <v>2.5338584639061669E-2</v>
      </c>
      <c r="W93" s="41">
        <f t="shared" ca="1" si="64"/>
        <v>12.240955010931382</v>
      </c>
      <c r="X93" s="20">
        <f t="shared" ca="1" si="65"/>
        <v>1014.5730755668114</v>
      </c>
      <c r="Y93" s="41">
        <f t="shared" si="66"/>
        <v>0.55226552905832693</v>
      </c>
      <c r="Z93" s="41">
        <f t="shared" ca="1" si="67"/>
        <v>187.5936289074798</v>
      </c>
      <c r="AA93" s="14">
        <f t="shared" ca="1" si="68"/>
        <v>1014.5730755668114</v>
      </c>
      <c r="AB93" s="14">
        <f t="shared" si="69"/>
        <v>2916.576547414023</v>
      </c>
      <c r="AC93" s="25">
        <f t="shared" ca="1" si="70"/>
        <v>529429.59109097428</v>
      </c>
      <c r="AD93" s="41">
        <f t="shared" si="71"/>
        <v>1521942.5451639127</v>
      </c>
      <c r="AE93" s="5">
        <f t="shared" ca="1" si="72"/>
        <v>34.786437423231035</v>
      </c>
      <c r="AF93" s="7">
        <f t="shared" ca="1" si="73"/>
        <v>1014.5730755668114</v>
      </c>
      <c r="AG93" s="41">
        <f t="shared" ca="1" si="74"/>
        <v>1902.0034718472116</v>
      </c>
      <c r="AH93" s="41">
        <f t="shared" ca="1" si="75"/>
        <v>992512.95407293842</v>
      </c>
      <c r="AI93" s="41">
        <f t="shared" ca="1" si="76"/>
        <v>800.00104425027757</v>
      </c>
      <c r="AJ93" s="13">
        <f t="shared" ca="1" si="77"/>
        <v>0</v>
      </c>
      <c r="AK93" s="11"/>
      <c r="AL93" s="6">
        <v>0</v>
      </c>
      <c r="AM93" s="41">
        <f t="shared" si="78"/>
        <v>149.70815736023346</v>
      </c>
      <c r="AN93" s="41">
        <f t="shared" ca="1" si="79"/>
        <v>33.268522839158784</v>
      </c>
      <c r="AO93" s="6">
        <f t="shared" si="97"/>
        <v>12.857142857142858</v>
      </c>
      <c r="AP93" s="67">
        <f t="shared" si="98"/>
        <v>0.78851002802665648</v>
      </c>
      <c r="AQ93" s="11">
        <f t="shared" si="80"/>
        <v>0.92829992278098084</v>
      </c>
      <c r="AR93" s="11">
        <f t="shared" si="81"/>
        <v>0.49937958828402557</v>
      </c>
      <c r="AS93" s="11">
        <f t="shared" si="82"/>
        <v>0.53795069462894596</v>
      </c>
      <c r="AT93" s="11">
        <f t="shared" si="83"/>
        <v>481.48132094881129</v>
      </c>
      <c r="AU93" s="11">
        <f t="shared" si="84"/>
        <v>1056.7970723184205</v>
      </c>
      <c r="AV93" s="11">
        <f t="shared" si="85"/>
        <v>1.2786550060635417E-3</v>
      </c>
      <c r="AW93" s="11">
        <f t="shared" si="86"/>
        <v>3.5253330431988683E-7</v>
      </c>
      <c r="AX93" s="41">
        <f t="shared" ca="1" si="87"/>
        <v>1.9755550279499345</v>
      </c>
      <c r="AY93" s="41">
        <f t="shared" ca="1" si="88"/>
        <v>2.6611118720862033</v>
      </c>
      <c r="AZ93" s="41">
        <f t="shared" si="89"/>
        <v>0.33643114722663964</v>
      </c>
    </row>
    <row r="94" spans="1:52" ht="14.5">
      <c r="A94" s="41">
        <f t="shared" ca="1" si="90"/>
        <v>3422.2974645850641</v>
      </c>
      <c r="B94" s="41">
        <f t="shared" ca="1" si="99"/>
        <v>57.038291076417735</v>
      </c>
      <c r="C94" s="41">
        <f t="shared" ca="1" si="99"/>
        <v>0.95063818460696226</v>
      </c>
      <c r="D94" s="41">
        <f t="shared" ca="1" si="91"/>
        <v>12386.074850476465</v>
      </c>
      <c r="E94" s="41">
        <f t="shared" ca="1" si="92"/>
        <v>279.51690347387699</v>
      </c>
      <c r="F94" s="7">
        <f t="shared" si="93"/>
        <v>270</v>
      </c>
      <c r="G94" s="41"/>
      <c r="H94" s="7">
        <f t="shared" si="94"/>
        <v>17999.999700000015</v>
      </c>
      <c r="I94" s="6">
        <v>15</v>
      </c>
      <c r="J94" s="41">
        <f t="shared" si="53"/>
        <v>0.48511170265687215</v>
      </c>
      <c r="K94" s="41">
        <f t="shared" si="54"/>
        <v>521.82499599173559</v>
      </c>
      <c r="L94" s="6">
        <f t="shared" si="95"/>
        <v>230</v>
      </c>
      <c r="M94" s="41">
        <f t="shared" si="55"/>
        <v>309.1729609251675</v>
      </c>
      <c r="N94" s="41">
        <f t="shared" si="56"/>
        <v>174.08972710625903</v>
      </c>
      <c r="O94" s="41">
        <f t="shared" si="57"/>
        <v>1892683.9967677938</v>
      </c>
      <c r="P94" s="41">
        <f t="shared" si="58"/>
        <v>12152361.218326269</v>
      </c>
      <c r="Q94" s="41">
        <f t="shared" si="59"/>
        <v>2.8495774462929686E-3</v>
      </c>
      <c r="R94" s="41">
        <f t="shared" si="60"/>
        <v>1.9262624734378238E-2</v>
      </c>
      <c r="S94" s="24">
        <f t="shared" ca="1" si="96"/>
        <v>5.2589509318092898E-16</v>
      </c>
      <c r="T94" s="10">
        <f t="shared" ca="1" si="61"/>
        <v>5.2589509318092898E-16</v>
      </c>
      <c r="U94" s="41">
        <f t="shared" ca="1" si="62"/>
        <v>0.30933760564187546</v>
      </c>
      <c r="V94" s="41">
        <f t="shared" ca="1" si="63"/>
        <v>2.5306076081363916E-2</v>
      </c>
      <c r="W94" s="41">
        <f t="shared" ca="1" si="64"/>
        <v>12.223847136446416</v>
      </c>
      <c r="X94" s="20">
        <f t="shared" ca="1" si="65"/>
        <v>1013.2714122010209</v>
      </c>
      <c r="Y94" s="41">
        <f t="shared" si="66"/>
        <v>0.55226552905832693</v>
      </c>
      <c r="Z94" s="41">
        <f t="shared" ca="1" si="67"/>
        <v>187.34220063674624</v>
      </c>
      <c r="AA94" s="14">
        <f t="shared" ca="1" si="68"/>
        <v>1013.2714122010209</v>
      </c>
      <c r="AB94" s="14">
        <f t="shared" si="69"/>
        <v>2916.576547414023</v>
      </c>
      <c r="AC94" s="25">
        <f t="shared" ca="1" si="70"/>
        <v>528750.35061033804</v>
      </c>
      <c r="AD94" s="41">
        <f t="shared" si="71"/>
        <v>1521942.5451639127</v>
      </c>
      <c r="AE94" s="5">
        <f t="shared" ca="1" si="72"/>
        <v>34.741807586001336</v>
      </c>
      <c r="AF94" s="7">
        <f t="shared" ca="1" si="73"/>
        <v>1013.271412201021</v>
      </c>
      <c r="AG94" s="41">
        <f t="shared" ca="1" si="74"/>
        <v>1903.3051352130021</v>
      </c>
      <c r="AH94" s="41">
        <f t="shared" ca="1" si="75"/>
        <v>993192.19455357466</v>
      </c>
      <c r="AI94" s="41">
        <f t="shared" ca="1" si="76"/>
        <v>798.97466963323689</v>
      </c>
      <c r="AJ94" s="13">
        <f t="shared" ca="1" si="77"/>
        <v>4.7896233758116914E-15</v>
      </c>
      <c r="AK94" s="11"/>
      <c r="AL94" s="6">
        <v>0</v>
      </c>
      <c r="AM94" s="41">
        <f t="shared" si="78"/>
        <v>149.70815736023346</v>
      </c>
      <c r="AN94" s="41">
        <f t="shared" ca="1" si="79"/>
        <v>33.225840435636989</v>
      </c>
      <c r="AO94" s="6">
        <f t="shared" si="97"/>
        <v>12.857142857142858</v>
      </c>
      <c r="AP94" s="67">
        <f t="shared" si="98"/>
        <v>0.78851002802665648</v>
      </c>
      <c r="AQ94" s="11">
        <f t="shared" si="80"/>
        <v>0.92829992278098084</v>
      </c>
      <c r="AR94" s="11">
        <f t="shared" si="81"/>
        <v>0.49937958828402557</v>
      </c>
      <c r="AS94" s="11">
        <f t="shared" si="82"/>
        <v>0.53795069462894596</v>
      </c>
      <c r="AT94" s="11">
        <f t="shared" si="83"/>
        <v>481.48132094881129</v>
      </c>
      <c r="AU94" s="11">
        <f t="shared" si="84"/>
        <v>1056.7970723184205</v>
      </c>
      <c r="AV94" s="11">
        <f t="shared" si="85"/>
        <v>1.2786550060635417E-3</v>
      </c>
      <c r="AW94" s="11">
        <f t="shared" si="86"/>
        <v>3.5253330431988683E-7</v>
      </c>
      <c r="AX94" s="41">
        <f t="shared" ca="1" si="87"/>
        <v>1.9802611390984401</v>
      </c>
      <c r="AY94" s="41">
        <f t="shared" ca="1" si="88"/>
        <v>2.6674510973021373</v>
      </c>
      <c r="AZ94" s="41">
        <f t="shared" si="89"/>
        <v>0.33643114722663964</v>
      </c>
    </row>
    <row r="95" spans="1:52" ht="14.5">
      <c r="A95" s="41">
        <f t="shared" ca="1" si="90"/>
        <v>3572.0056219452977</v>
      </c>
      <c r="B95" s="41">
        <f t="shared" ca="1" si="99"/>
        <v>59.533427032421628</v>
      </c>
      <c r="C95" s="41">
        <f t="shared" ca="1" si="99"/>
        <v>0.99222378387369381</v>
      </c>
      <c r="D95" s="41">
        <f t="shared" ca="1" si="91"/>
        <v>12352.849010040829</v>
      </c>
      <c r="E95" s="41">
        <f t="shared" ca="1" si="92"/>
        <v>292.37404633101983</v>
      </c>
      <c r="F95" s="7">
        <f t="shared" si="93"/>
        <v>282.85714285714283</v>
      </c>
      <c r="G95" s="41"/>
      <c r="H95" s="7">
        <f t="shared" si="94"/>
        <v>17999.999700000015</v>
      </c>
      <c r="I95" s="6">
        <v>15</v>
      </c>
      <c r="J95" s="41">
        <f t="shared" si="53"/>
        <v>0.48511170265687215</v>
      </c>
      <c r="K95" s="41">
        <f t="shared" si="54"/>
        <v>521.82499599173559</v>
      </c>
      <c r="L95" s="6">
        <f t="shared" si="95"/>
        <v>230</v>
      </c>
      <c r="M95" s="41">
        <f t="shared" si="55"/>
        <v>309.1729609251675</v>
      </c>
      <c r="N95" s="41">
        <f t="shared" si="56"/>
        <v>174.08972710625903</v>
      </c>
      <c r="O95" s="41">
        <f t="shared" si="57"/>
        <v>1892683.9967677938</v>
      </c>
      <c r="P95" s="41">
        <f t="shared" si="58"/>
        <v>12152361.218326269</v>
      </c>
      <c r="Q95" s="41">
        <f t="shared" si="59"/>
        <v>2.8495774462929686E-3</v>
      </c>
      <c r="R95" s="41">
        <f t="shared" si="60"/>
        <v>1.9262624734378238E-2</v>
      </c>
      <c r="S95" s="24">
        <f t="shared" ca="1" si="96"/>
        <v>-5.2730960949515836E-16</v>
      </c>
      <c r="T95" s="10">
        <f t="shared" ca="1" si="61"/>
        <v>-5.2730960949515836E-16</v>
      </c>
      <c r="U95" s="41">
        <f t="shared" ca="1" si="62"/>
        <v>0.30850780265344901</v>
      </c>
      <c r="V95" s="41">
        <f t="shared" ca="1" si="63"/>
        <v>2.5273696262954153E-2</v>
      </c>
      <c r="W95" s="41">
        <f t="shared" ca="1" si="64"/>
        <v>12.206675250175245</v>
      </c>
      <c r="X95" s="20">
        <f t="shared" ca="1" si="65"/>
        <v>1011.9749036383586</v>
      </c>
      <c r="Y95" s="41">
        <f t="shared" si="66"/>
        <v>0.55226552905832693</v>
      </c>
      <c r="Z95" s="41">
        <f t="shared" ca="1" si="67"/>
        <v>187.09075769994121</v>
      </c>
      <c r="AA95" s="14">
        <f t="shared" ca="1" si="68"/>
        <v>1011.9749036383585</v>
      </c>
      <c r="AB95" s="14">
        <f t="shared" si="69"/>
        <v>2916.576547414023</v>
      </c>
      <c r="AC95" s="25">
        <f t="shared" ca="1" si="70"/>
        <v>528073.80003482336</v>
      </c>
      <c r="AD95" s="41">
        <f t="shared" si="71"/>
        <v>1521942.5451639127</v>
      </c>
      <c r="AE95" s="5">
        <f t="shared" ca="1" si="72"/>
        <v>34.697354490339848</v>
      </c>
      <c r="AF95" s="7">
        <f t="shared" ca="1" si="73"/>
        <v>1011.9749036383585</v>
      </c>
      <c r="AG95" s="41">
        <f t="shared" ca="1" si="74"/>
        <v>1904.6016437756646</v>
      </c>
      <c r="AH95" s="41">
        <f t="shared" ca="1" si="75"/>
        <v>993868.74512908934</v>
      </c>
      <c r="AI95" s="41">
        <f t="shared" ca="1" si="76"/>
        <v>797.952359630155</v>
      </c>
      <c r="AJ95" s="13">
        <f t="shared" ca="1" si="77"/>
        <v>-4.8025061740958904E-15</v>
      </c>
      <c r="AK95" s="11"/>
      <c r="AL95" s="6">
        <v>0</v>
      </c>
      <c r="AM95" s="41">
        <f t="shared" si="78"/>
        <v>149.70815736023346</v>
      </c>
      <c r="AN95" s="41">
        <f t="shared" ca="1" si="79"/>
        <v>33.183327061522455</v>
      </c>
      <c r="AO95" s="6">
        <f t="shared" si="97"/>
        <v>12.857142857142858</v>
      </c>
      <c r="AP95" s="67">
        <f t="shared" si="98"/>
        <v>0.78851002802665648</v>
      </c>
      <c r="AQ95" s="11">
        <f t="shared" si="80"/>
        <v>0.92829992278098084</v>
      </c>
      <c r="AR95" s="11">
        <f t="shared" si="81"/>
        <v>0.49937958828402557</v>
      </c>
      <c r="AS95" s="11">
        <f t="shared" si="82"/>
        <v>0.53795069462894596</v>
      </c>
      <c r="AT95" s="11">
        <f t="shared" si="83"/>
        <v>481.48132094881129</v>
      </c>
      <c r="AU95" s="11">
        <f t="shared" si="84"/>
        <v>1056.7970723184205</v>
      </c>
      <c r="AV95" s="11">
        <f t="shared" si="85"/>
        <v>1.2786550060635417E-3</v>
      </c>
      <c r="AW95" s="11">
        <f t="shared" si="86"/>
        <v>3.5253330431988683E-7</v>
      </c>
      <c r="AX95" s="41">
        <f t="shared" ca="1" si="87"/>
        <v>1.9849882444618046</v>
      </c>
      <c r="AY95" s="41">
        <f t="shared" ca="1" si="88"/>
        <v>2.6738186021425898</v>
      </c>
      <c r="AZ95" s="41">
        <f t="shared" si="89"/>
        <v>0.33643114722663964</v>
      </c>
    </row>
    <row r="96" spans="1:52" ht="14.5">
      <c r="A96" s="41">
        <f t="shared" ca="1" si="90"/>
        <v>3721.7137793055313</v>
      </c>
      <c r="B96" s="41">
        <f t="shared" ca="1" si="99"/>
        <v>62.02856298842552</v>
      </c>
      <c r="C96" s="41">
        <f t="shared" ca="1" si="99"/>
        <v>1.0338093831404254</v>
      </c>
      <c r="D96" s="41">
        <f t="shared" ca="1" si="91"/>
        <v>12319.665682979306</v>
      </c>
      <c r="E96" s="41">
        <f t="shared" ca="1" si="92"/>
        <v>305.23118918816266</v>
      </c>
      <c r="F96" s="7">
        <f t="shared" si="93"/>
        <v>295.71428571428567</v>
      </c>
      <c r="G96" s="41"/>
      <c r="H96" s="7">
        <f t="shared" si="94"/>
        <v>17999.999700000015</v>
      </c>
      <c r="I96" s="6">
        <v>15</v>
      </c>
      <c r="J96" s="41">
        <f t="shared" si="53"/>
        <v>0.48511170265687215</v>
      </c>
      <c r="K96" s="41">
        <f t="shared" si="54"/>
        <v>521.82499599173559</v>
      </c>
      <c r="L96" s="6">
        <f t="shared" si="95"/>
        <v>230</v>
      </c>
      <c r="M96" s="41">
        <f t="shared" si="55"/>
        <v>309.1729609251675</v>
      </c>
      <c r="N96" s="41">
        <f t="shared" si="56"/>
        <v>174.08972710625903</v>
      </c>
      <c r="O96" s="41">
        <f t="shared" si="57"/>
        <v>1892683.9967677938</v>
      </c>
      <c r="P96" s="41">
        <f t="shared" si="58"/>
        <v>12152361.218326269</v>
      </c>
      <c r="Q96" s="41">
        <f t="shared" si="59"/>
        <v>2.8495774462929686E-3</v>
      </c>
      <c r="R96" s="41">
        <f t="shared" si="60"/>
        <v>1.9262624734378238E-2</v>
      </c>
      <c r="S96" s="24">
        <f t="shared" ca="1" si="96"/>
        <v>5.2872993109193153E-16</v>
      </c>
      <c r="T96" s="10">
        <f t="shared" ca="1" si="61"/>
        <v>5.2872993109193153E-16</v>
      </c>
      <c r="U96" s="41">
        <f t="shared" ca="1" si="62"/>
        <v>0.30767906142070511</v>
      </c>
      <c r="V96" s="41">
        <f t="shared" ca="1" si="63"/>
        <v>2.5241444684578021E-2</v>
      </c>
      <c r="W96" s="41">
        <f t="shared" ca="1" si="64"/>
        <v>12.189439442374326</v>
      </c>
      <c r="X96" s="20">
        <f t="shared" ca="1" si="65"/>
        <v>1010.6835298883617</v>
      </c>
      <c r="Y96" s="41">
        <f t="shared" si="66"/>
        <v>0.55226552905832693</v>
      </c>
      <c r="Z96" s="41">
        <f t="shared" ca="1" si="67"/>
        <v>186.83929875610829</v>
      </c>
      <c r="AA96" s="14">
        <f t="shared" ca="1" si="68"/>
        <v>1010.6835298883617</v>
      </c>
      <c r="AB96" s="14">
        <f t="shared" si="69"/>
        <v>2916.576547414023</v>
      </c>
      <c r="AC96" s="25">
        <f t="shared" ca="1" si="70"/>
        <v>527399.92893290753</v>
      </c>
      <c r="AD96" s="41">
        <f t="shared" si="71"/>
        <v>1521942.5451639127</v>
      </c>
      <c r="AE96" s="5">
        <f t="shared" ca="1" si="72"/>
        <v>34.653077450838119</v>
      </c>
      <c r="AF96" s="7">
        <f t="shared" ca="1" si="73"/>
        <v>1010.6835298883618</v>
      </c>
      <c r="AG96" s="41">
        <f t="shared" ca="1" si="74"/>
        <v>1905.8930175256614</v>
      </c>
      <c r="AH96" s="41">
        <f t="shared" ca="1" si="75"/>
        <v>994542.61623100517</v>
      </c>
      <c r="AI96" s="41">
        <f t="shared" ca="1" si="76"/>
        <v>796.93409847835233</v>
      </c>
      <c r="AJ96" s="13">
        <f t="shared" ca="1" si="77"/>
        <v>4.815441844364132E-15</v>
      </c>
      <c r="AK96" s="11"/>
      <c r="AL96" s="6">
        <v>0</v>
      </c>
      <c r="AM96" s="41">
        <f t="shared" si="78"/>
        <v>149.70815736023346</v>
      </c>
      <c r="AN96" s="41">
        <f t="shared" ca="1" si="79"/>
        <v>33.140982061314709</v>
      </c>
      <c r="AO96" s="6">
        <f t="shared" si="97"/>
        <v>12.857142857142858</v>
      </c>
      <c r="AP96" s="67">
        <f t="shared" si="98"/>
        <v>0.78851002802665648</v>
      </c>
      <c r="AQ96" s="11">
        <f t="shared" si="80"/>
        <v>0.92829992278098084</v>
      </c>
      <c r="AR96" s="11">
        <f t="shared" si="81"/>
        <v>0.49937958828402557</v>
      </c>
      <c r="AS96" s="11">
        <f t="shared" si="82"/>
        <v>0.53795069462894596</v>
      </c>
      <c r="AT96" s="11">
        <f t="shared" si="83"/>
        <v>481.48132094881129</v>
      </c>
      <c r="AU96" s="11">
        <f t="shared" si="84"/>
        <v>1056.7970723184205</v>
      </c>
      <c r="AV96" s="11">
        <f t="shared" si="85"/>
        <v>1.2786550060635417E-3</v>
      </c>
      <c r="AW96" s="11">
        <f t="shared" si="86"/>
        <v>3.5253330431988683E-7</v>
      </c>
      <c r="AX96" s="41">
        <f t="shared" ca="1" si="87"/>
        <v>1.9897364813538172</v>
      </c>
      <c r="AY96" s="41">
        <f t="shared" ca="1" si="88"/>
        <v>2.6802145715719634</v>
      </c>
      <c r="AZ96" s="41">
        <f t="shared" si="89"/>
        <v>0.33643114722663964</v>
      </c>
    </row>
    <row r="97" spans="1:52" ht="14.5">
      <c r="A97" s="41">
        <f t="shared" ca="1" si="90"/>
        <v>3871.4219366657649</v>
      </c>
      <c r="B97" s="41">
        <f t="shared" ca="1" si="99"/>
        <v>64.523698944429412</v>
      </c>
      <c r="C97" s="41">
        <f t="shared" ca="1" si="99"/>
        <v>1.0753949824071569</v>
      </c>
      <c r="D97" s="41">
        <f t="shared" ca="1" si="91"/>
        <v>12286.524700917991</v>
      </c>
      <c r="E97" s="41">
        <f t="shared" ca="1" si="92"/>
        <v>318.08833204530549</v>
      </c>
      <c r="F97" s="7">
        <f t="shared" si="93"/>
        <v>308.5714285714285</v>
      </c>
      <c r="G97" s="41"/>
      <c r="H97" s="7">
        <f t="shared" si="94"/>
        <v>17999.999700000015</v>
      </c>
      <c r="I97" s="6">
        <v>15</v>
      </c>
      <c r="J97" s="41">
        <f t="shared" si="53"/>
        <v>0.48511170265687215</v>
      </c>
      <c r="K97" s="41">
        <f t="shared" si="54"/>
        <v>521.82499599173559</v>
      </c>
      <c r="L97" s="6">
        <f t="shared" si="95"/>
        <v>230</v>
      </c>
      <c r="M97" s="41">
        <f t="shared" si="55"/>
        <v>309.1729609251675</v>
      </c>
      <c r="N97" s="41">
        <f t="shared" si="56"/>
        <v>174.08972710625903</v>
      </c>
      <c r="O97" s="41">
        <f t="shared" si="57"/>
        <v>1892683.9967677938</v>
      </c>
      <c r="P97" s="41">
        <f t="shared" si="58"/>
        <v>12152361.218326269</v>
      </c>
      <c r="Q97" s="41">
        <f t="shared" si="59"/>
        <v>2.8495774462929686E-3</v>
      </c>
      <c r="R97" s="41">
        <f t="shared" si="60"/>
        <v>1.9262624734378238E-2</v>
      </c>
      <c r="S97" s="24">
        <f t="shared" ca="1" si="96"/>
        <v>-5.3015609752940177E-16</v>
      </c>
      <c r="T97" s="10">
        <f t="shared" ca="1" si="61"/>
        <v>-5.3015609752940177E-16</v>
      </c>
      <c r="U97" s="41">
        <f t="shared" ca="1" si="62"/>
        <v>0.30685137773856802</v>
      </c>
      <c r="V97" s="41">
        <f t="shared" ca="1" si="63"/>
        <v>2.5209320849811614E-2</v>
      </c>
      <c r="W97" s="41">
        <f t="shared" ca="1" si="64"/>
        <v>12.172139803633824</v>
      </c>
      <c r="X97" s="20">
        <f t="shared" ca="1" si="65"/>
        <v>1009.3972710739009</v>
      </c>
      <c r="Y97" s="41">
        <f t="shared" si="66"/>
        <v>0.55226552905832693</v>
      </c>
      <c r="Z97" s="41">
        <f t="shared" ca="1" si="67"/>
        <v>186.58782246203594</v>
      </c>
      <c r="AA97" s="14">
        <f t="shared" ca="1" si="68"/>
        <v>1009.397271073901</v>
      </c>
      <c r="AB97" s="14">
        <f t="shared" si="69"/>
        <v>2916.576547414023</v>
      </c>
      <c r="AC97" s="25">
        <f t="shared" ca="1" si="70"/>
        <v>526728.72693220724</v>
      </c>
      <c r="AD97" s="41">
        <f t="shared" si="71"/>
        <v>1521942.5451639127</v>
      </c>
      <c r="AE97" s="5">
        <f t="shared" ca="1" si="72"/>
        <v>34.608975785973492</v>
      </c>
      <c r="AF97" s="7">
        <f t="shared" ca="1" si="73"/>
        <v>1009.3972710739008</v>
      </c>
      <c r="AG97" s="41">
        <f t="shared" ca="1" si="74"/>
        <v>1907.179276340122</v>
      </c>
      <c r="AH97" s="41">
        <f t="shared" ca="1" si="75"/>
        <v>995213.81823170546</v>
      </c>
      <c r="AI97" s="41">
        <f t="shared" ca="1" si="76"/>
        <v>795.91987050451212</v>
      </c>
      <c r="AJ97" s="13">
        <f t="shared" ca="1" si="77"/>
        <v>-4.8284307468948416E-15</v>
      </c>
      <c r="AK97" s="11"/>
      <c r="AL97" s="6">
        <v>0</v>
      </c>
      <c r="AM97" s="41">
        <f t="shared" si="78"/>
        <v>149.70815736023346</v>
      </c>
      <c r="AN97" s="41">
        <f t="shared" ca="1" si="79"/>
        <v>33.098804783229482</v>
      </c>
      <c r="AO97" s="6">
        <f t="shared" si="97"/>
        <v>12.857142857142858</v>
      </c>
      <c r="AP97" s="67">
        <f t="shared" si="98"/>
        <v>0.78851002802665648</v>
      </c>
      <c r="AQ97" s="11">
        <f t="shared" si="80"/>
        <v>0.92829992278098084</v>
      </c>
      <c r="AR97" s="11">
        <f t="shared" si="81"/>
        <v>0.49937958828402557</v>
      </c>
      <c r="AS97" s="11">
        <f t="shared" si="82"/>
        <v>0.53795069462894596</v>
      </c>
      <c r="AT97" s="11">
        <f t="shared" si="83"/>
        <v>481.48132094881129</v>
      </c>
      <c r="AU97" s="11">
        <f t="shared" si="84"/>
        <v>1056.7970723184205</v>
      </c>
      <c r="AV97" s="11">
        <f t="shared" si="85"/>
        <v>1.2786550060635417E-3</v>
      </c>
      <c r="AW97" s="11">
        <f t="shared" si="86"/>
        <v>3.5253330431988683E-7</v>
      </c>
      <c r="AX97" s="41">
        <f t="shared" ca="1" si="87"/>
        <v>1.9945059883543332</v>
      </c>
      <c r="AY97" s="41">
        <f t="shared" ca="1" si="88"/>
        <v>2.6866391922600754</v>
      </c>
      <c r="AZ97" s="41">
        <f t="shared" si="89"/>
        <v>0.33643114722663964</v>
      </c>
    </row>
    <row r="98" spans="1:52" s="105" customFormat="1" ht="14.5">
      <c r="A98" s="41">
        <f t="shared" ca="1" si="90"/>
        <v>4021.1300940259985</v>
      </c>
      <c r="B98" s="41">
        <f t="shared" ca="1" si="99"/>
        <v>67.018834900433305</v>
      </c>
      <c r="C98" s="41">
        <f t="shared" ca="1" si="99"/>
        <v>1.1169805816738885</v>
      </c>
      <c r="D98" s="41">
        <f t="shared" ca="1" si="91"/>
        <v>12253.425896134762</v>
      </c>
      <c r="E98" s="41">
        <f t="shared" ca="1" si="92"/>
        <v>330.94547490244832</v>
      </c>
      <c r="F98" s="7">
        <f t="shared" si="93"/>
        <v>321.42857142857133</v>
      </c>
      <c r="G98" s="41"/>
      <c r="H98" s="7">
        <f t="shared" si="94"/>
        <v>17999.999700000015</v>
      </c>
      <c r="I98" s="6">
        <v>15</v>
      </c>
      <c r="J98" s="41">
        <f t="shared" si="53"/>
        <v>0.48511170265687215</v>
      </c>
      <c r="K98" s="41">
        <f t="shared" si="54"/>
        <v>521.82499599173559</v>
      </c>
      <c r="L98" s="6">
        <f t="shared" si="95"/>
        <v>230</v>
      </c>
      <c r="M98" s="41">
        <f t="shared" si="55"/>
        <v>309.1729609251675</v>
      </c>
      <c r="N98" s="41">
        <f t="shared" si="56"/>
        <v>174.08972710625903</v>
      </c>
      <c r="O98" s="41">
        <f t="shared" si="57"/>
        <v>1892683.9967677938</v>
      </c>
      <c r="P98" s="41">
        <f t="shared" si="58"/>
        <v>12152361.218326269</v>
      </c>
      <c r="Q98" s="41">
        <f t="shared" si="59"/>
        <v>2.8495774462929686E-3</v>
      </c>
      <c r="R98" s="41">
        <f t="shared" si="60"/>
        <v>1.9262624734378238E-2</v>
      </c>
      <c r="S98" s="24">
        <f t="shared" ca="1" si="96"/>
        <v>-5.3158814872271731E-16</v>
      </c>
      <c r="T98" s="10">
        <f t="shared" ca="1" si="61"/>
        <v>-5.3158814872271731E-16</v>
      </c>
      <c r="U98" s="41">
        <f t="shared" ca="1" si="62"/>
        <v>0.30602474741824037</v>
      </c>
      <c r="V98" s="41">
        <f t="shared" ca="1" si="63"/>
        <v>2.5177324265043734E-2</v>
      </c>
      <c r="W98" s="41">
        <f t="shared" ca="1" si="64"/>
        <v>12.154776424877126</v>
      </c>
      <c r="X98" s="20">
        <f t="shared" ca="1" si="65"/>
        <v>1008.1161074304692</v>
      </c>
      <c r="Y98" s="41">
        <f t="shared" si="66"/>
        <v>0.55226552905832693</v>
      </c>
      <c r="Z98" s="41">
        <f t="shared" ca="1" si="67"/>
        <v>186.33632747221262</v>
      </c>
      <c r="AA98" s="14">
        <f t="shared" ca="1" si="68"/>
        <v>1008.1161074304691</v>
      </c>
      <c r="AB98" s="14">
        <f t="shared" si="69"/>
        <v>2916.576547414023</v>
      </c>
      <c r="AC98" s="25">
        <f t="shared" ca="1" si="70"/>
        <v>526060.1837191087</v>
      </c>
      <c r="AD98" s="41">
        <f t="shared" si="71"/>
        <v>1521942.5451639127</v>
      </c>
      <c r="AE98" s="5">
        <f t="shared" ca="1" si="72"/>
        <v>34.565048818084797</v>
      </c>
      <c r="AF98" s="7">
        <f t="shared" ca="1" si="73"/>
        <v>1008.1161074304691</v>
      </c>
      <c r="AG98" s="41">
        <f t="shared" ca="1" si="74"/>
        <v>1908.4604399835539</v>
      </c>
      <c r="AH98" s="41">
        <f t="shared" ca="1" si="75"/>
        <v>995882.361444804</v>
      </c>
      <c r="AI98" s="41">
        <f t="shared" ca="1" si="76"/>
        <v>794.90966012412309</v>
      </c>
      <c r="AJ98" s="13">
        <f t="shared" ca="1" si="77"/>
        <v>-4.8414732452177985E-15</v>
      </c>
      <c r="AK98" s="11"/>
      <c r="AL98" s="6">
        <v>0</v>
      </c>
      <c r="AM98" s="41">
        <f t="shared" si="78"/>
        <v>149.70815736023346</v>
      </c>
      <c r="AN98" s="41">
        <f t="shared" ca="1" si="79"/>
        <v>33.056794579175531</v>
      </c>
      <c r="AO98" s="6">
        <f t="shared" si="97"/>
        <v>12.857142857142858</v>
      </c>
      <c r="AP98" s="67">
        <f t="shared" si="98"/>
        <v>0.78851002802665648</v>
      </c>
      <c r="AQ98" s="11">
        <f t="shared" si="80"/>
        <v>0.92829992278098084</v>
      </c>
      <c r="AR98" s="11">
        <f t="shared" si="81"/>
        <v>0.49937958828402557</v>
      </c>
      <c r="AS98" s="11">
        <f t="shared" si="82"/>
        <v>0.53795069462894596</v>
      </c>
      <c r="AT98" s="11">
        <f t="shared" si="83"/>
        <v>481.48132094881129</v>
      </c>
      <c r="AU98" s="11">
        <f t="shared" si="84"/>
        <v>1056.7970723184205</v>
      </c>
      <c r="AV98" s="11">
        <f t="shared" si="85"/>
        <v>1.2786550060635417E-3</v>
      </c>
      <c r="AW98" s="11">
        <f t="shared" si="86"/>
        <v>3.5253330431988683E-7</v>
      </c>
      <c r="AX98" s="41">
        <f t="shared" ca="1" si="87"/>
        <v>1.9992969053234009</v>
      </c>
      <c r="AY98" s="41">
        <f t="shared" ca="1" si="88"/>
        <v>2.6930926526011905</v>
      </c>
      <c r="AZ98" s="41">
        <f t="shared" si="89"/>
        <v>0.33643114722663964</v>
      </c>
    </row>
    <row r="99" spans="1:52" ht="14.5">
      <c r="A99" s="41">
        <f t="shared" ca="1" si="90"/>
        <v>4170.8382513862316</v>
      </c>
      <c r="B99" s="41">
        <f t="shared" ca="1" si="99"/>
        <v>69.513970856437197</v>
      </c>
      <c r="C99" s="41">
        <f t="shared" ca="1" si="99"/>
        <v>1.15856618094062</v>
      </c>
      <c r="D99" s="41">
        <f t="shared" ca="1" si="91"/>
        <v>12220.369101555587</v>
      </c>
      <c r="E99" s="41">
        <f t="shared" ca="1" si="92"/>
        <v>343.80261775959116</v>
      </c>
      <c r="F99" s="7">
        <f t="shared" si="93"/>
        <v>334.28571428571416</v>
      </c>
      <c r="G99" s="41"/>
      <c r="H99" s="7">
        <f t="shared" si="94"/>
        <v>17999.999700000015</v>
      </c>
      <c r="I99" s="6">
        <v>15</v>
      </c>
      <c r="J99" s="41">
        <f t="shared" si="53"/>
        <v>0.48511170265687215</v>
      </c>
      <c r="K99" s="41">
        <f t="shared" si="54"/>
        <v>521.82499599173559</v>
      </c>
      <c r="L99" s="6">
        <f t="shared" si="95"/>
        <v>230</v>
      </c>
      <c r="M99" s="41">
        <f t="shared" si="55"/>
        <v>309.1729609251675</v>
      </c>
      <c r="N99" s="41">
        <f t="shared" si="56"/>
        <v>174.08972710625903</v>
      </c>
      <c r="O99" s="41">
        <f t="shared" si="57"/>
        <v>1892683.9967677938</v>
      </c>
      <c r="P99" s="41">
        <f t="shared" si="58"/>
        <v>12152361.218326269</v>
      </c>
      <c r="Q99" s="41">
        <f t="shared" si="59"/>
        <v>2.8495774462929686E-3</v>
      </c>
      <c r="R99" s="41">
        <f t="shared" si="60"/>
        <v>1.9262624734378238E-2</v>
      </c>
      <c r="S99" s="24">
        <f t="shared" ca="1" si="96"/>
        <v>-5.3302612494806841E-16</v>
      </c>
      <c r="T99" s="10">
        <f t="shared" ca="1" si="61"/>
        <v>-5.3302612494806841E-16</v>
      </c>
      <c r="U99" s="41">
        <f t="shared" ca="1" si="62"/>
        <v>0.30519916628711036</v>
      </c>
      <c r="V99" s="41">
        <f t="shared" ca="1" si="63"/>
        <v>2.5145454439458211E-2</v>
      </c>
      <c r="W99" s="41">
        <f t="shared" ca="1" si="64"/>
        <v>12.137349397360355</v>
      </c>
      <c r="X99" s="20">
        <f t="shared" ca="1" si="65"/>
        <v>1006.8400193054745</v>
      </c>
      <c r="Y99" s="41">
        <f t="shared" si="66"/>
        <v>0.55226552905832693</v>
      </c>
      <c r="Z99" s="41">
        <f t="shared" ca="1" si="67"/>
        <v>186.08481243878194</v>
      </c>
      <c r="AA99" s="14">
        <f t="shared" ca="1" si="68"/>
        <v>1006.8400193054744</v>
      </c>
      <c r="AB99" s="14">
        <f t="shared" si="69"/>
        <v>2916.576547414023</v>
      </c>
      <c r="AC99" s="25">
        <f t="shared" ca="1" si="70"/>
        <v>525394.28903839819</v>
      </c>
      <c r="AD99" s="41">
        <f t="shared" si="71"/>
        <v>1521942.5451639127</v>
      </c>
      <c r="AE99" s="5">
        <f t="shared" ca="1" si="72"/>
        <v>34.521295873348059</v>
      </c>
      <c r="AF99" s="7">
        <f t="shared" ca="1" si="73"/>
        <v>1006.8400193054744</v>
      </c>
      <c r="AG99" s="41">
        <f t="shared" ca="1" si="74"/>
        <v>1909.7365281085486</v>
      </c>
      <c r="AH99" s="41">
        <f t="shared" ca="1" si="75"/>
        <v>996548.25612551451</v>
      </c>
      <c r="AI99" s="41">
        <f t="shared" ca="1" si="76"/>
        <v>793.90345184091893</v>
      </c>
      <c r="AJ99" s="13">
        <f t="shared" ca="1" si="77"/>
        <v>-4.8545697061509934E-15</v>
      </c>
      <c r="AK99" s="11"/>
      <c r="AL99" s="6">
        <v>0</v>
      </c>
      <c r="AM99" s="41">
        <f t="shared" si="78"/>
        <v>149.70815736023346</v>
      </c>
      <c r="AN99" s="41">
        <f t="shared" ca="1" si="79"/>
        <v>33.014950804731335</v>
      </c>
      <c r="AO99" s="6">
        <f t="shared" si="97"/>
        <v>12.857142857142858</v>
      </c>
      <c r="AP99" s="67">
        <f t="shared" si="98"/>
        <v>0.78851002802665648</v>
      </c>
      <c r="AQ99" s="11">
        <f t="shared" si="80"/>
        <v>0.92829992278098084</v>
      </c>
      <c r="AR99" s="11">
        <f t="shared" si="81"/>
        <v>0.49937958828402557</v>
      </c>
      <c r="AS99" s="11">
        <f t="shared" si="82"/>
        <v>0.53795069462894596</v>
      </c>
      <c r="AT99" s="11">
        <f t="shared" si="83"/>
        <v>481.48132094881129</v>
      </c>
      <c r="AU99" s="11">
        <f t="shared" si="84"/>
        <v>1056.7970723184205</v>
      </c>
      <c r="AV99" s="11">
        <f t="shared" si="85"/>
        <v>1.2786550060635417E-3</v>
      </c>
      <c r="AW99" s="11">
        <f t="shared" si="86"/>
        <v>3.5253330431988683E-7</v>
      </c>
      <c r="AX99" s="41">
        <f t="shared" ca="1" si="87"/>
        <v>2.0041093734155906</v>
      </c>
      <c r="AY99" s="41">
        <f t="shared" ca="1" si="88"/>
        <v>2.6995751427333188</v>
      </c>
      <c r="AZ99" s="41">
        <f t="shared" si="89"/>
        <v>0.33643114722663964</v>
      </c>
    </row>
    <row r="100" spans="1:52" ht="14.5">
      <c r="A100" s="41">
        <f t="shared" ca="1" si="90"/>
        <v>4320.5464087464652</v>
      </c>
      <c r="B100" s="41">
        <f t="shared" ca="1" si="99"/>
        <v>72.00910681244109</v>
      </c>
      <c r="C100" s="41">
        <f t="shared" ca="1" si="99"/>
        <v>1.2001517802073516</v>
      </c>
      <c r="D100" s="41">
        <f t="shared" ca="1" si="91"/>
        <v>12187.354150750856</v>
      </c>
      <c r="E100" s="41">
        <f t="shared" ca="1" si="92"/>
        <v>356.65976061673399</v>
      </c>
      <c r="F100" s="7">
        <f t="shared" si="93"/>
        <v>347.142857142857</v>
      </c>
      <c r="G100" s="41"/>
      <c r="H100" s="7">
        <f t="shared" si="94"/>
        <v>17999.999700000015</v>
      </c>
      <c r="I100" s="6">
        <v>15</v>
      </c>
      <c r="J100" s="41">
        <f t="shared" si="53"/>
        <v>0.48511170265687215</v>
      </c>
      <c r="K100" s="41">
        <f t="shared" si="54"/>
        <v>521.82499599173559</v>
      </c>
      <c r="L100" s="6">
        <f t="shared" si="95"/>
        <v>230</v>
      </c>
      <c r="M100" s="41">
        <f t="shared" si="55"/>
        <v>309.1729609251675</v>
      </c>
      <c r="N100" s="41">
        <f t="shared" si="56"/>
        <v>174.08972710625903</v>
      </c>
      <c r="O100" s="41">
        <f t="shared" si="57"/>
        <v>1892683.9967677938</v>
      </c>
      <c r="P100" s="41">
        <f t="shared" si="58"/>
        <v>12152361.218326269</v>
      </c>
      <c r="Q100" s="41">
        <f t="shared" si="59"/>
        <v>2.8495774462929686E-3</v>
      </c>
      <c r="R100" s="41">
        <f t="shared" si="60"/>
        <v>1.9262624734378238E-2</v>
      </c>
      <c r="S100" s="24">
        <f t="shared" ca="1" si="96"/>
        <v>0</v>
      </c>
      <c r="T100" s="10">
        <f t="shared" ca="1" si="61"/>
        <v>0</v>
      </c>
      <c r="U100" s="41">
        <f t="shared" ca="1" si="62"/>
        <v>0.30437463018866051</v>
      </c>
      <c r="V100" s="41">
        <f t="shared" ca="1" si="63"/>
        <v>2.5113710885016405E-2</v>
      </c>
      <c r="W100" s="41">
        <f t="shared" ca="1" si="64"/>
        <v>12.119858812671909</v>
      </c>
      <c r="X100" s="20">
        <f t="shared" ca="1" si="65"/>
        <v>1005.5689871575383</v>
      </c>
      <c r="Y100" s="41">
        <f t="shared" si="66"/>
        <v>0.55226552905832693</v>
      </c>
      <c r="Z100" s="41">
        <f t="shared" ca="1" si="67"/>
        <v>185.83327601149745</v>
      </c>
      <c r="AA100" s="14">
        <f t="shared" ca="1" si="68"/>
        <v>1005.5689871575382</v>
      </c>
      <c r="AB100" s="14">
        <f t="shared" si="69"/>
        <v>2916.576547414023</v>
      </c>
      <c r="AC100" s="25">
        <f t="shared" ca="1" si="70"/>
        <v>524731.03269289597</v>
      </c>
      <c r="AD100" s="41">
        <f t="shared" si="71"/>
        <v>1521942.5451639127</v>
      </c>
      <c r="AE100" s="5">
        <f t="shared" ca="1" si="72"/>
        <v>34.477716281752457</v>
      </c>
      <c r="AF100" s="7">
        <f t="shared" ca="1" si="73"/>
        <v>1005.5689871575383</v>
      </c>
      <c r="AG100" s="41">
        <f t="shared" ca="1" si="74"/>
        <v>1911.0075602564848</v>
      </c>
      <c r="AH100" s="41">
        <f t="shared" ca="1" si="75"/>
        <v>997211.51247101673</v>
      </c>
      <c r="AI100" s="41">
        <f t="shared" ca="1" si="76"/>
        <v>792.90123024632715</v>
      </c>
      <c r="AJ100" s="13">
        <f t="shared" ca="1" si="77"/>
        <v>0</v>
      </c>
      <c r="AK100" s="11"/>
      <c r="AL100" s="6">
        <v>0</v>
      </c>
      <c r="AM100" s="41">
        <f t="shared" si="78"/>
        <v>149.70815736023346</v>
      </c>
      <c r="AN100" s="41">
        <f t="shared" ca="1" si="79"/>
        <v>32.97327281912218</v>
      </c>
      <c r="AO100" s="6">
        <f t="shared" si="97"/>
        <v>12.857142857142858</v>
      </c>
      <c r="AP100" s="67">
        <f t="shared" si="98"/>
        <v>0.78851002802665648</v>
      </c>
      <c r="AQ100" s="11">
        <f t="shared" si="80"/>
        <v>0.92829992278098084</v>
      </c>
      <c r="AR100" s="11">
        <f t="shared" si="81"/>
        <v>0.49937958828402557</v>
      </c>
      <c r="AS100" s="11">
        <f t="shared" si="82"/>
        <v>0.53795069462894596</v>
      </c>
      <c r="AT100" s="11">
        <f t="shared" si="83"/>
        <v>481.48132094881129</v>
      </c>
      <c r="AU100" s="11">
        <f t="shared" si="84"/>
        <v>1056.7970723184205</v>
      </c>
      <c r="AV100" s="11">
        <f t="shared" si="85"/>
        <v>1.2786550060635417E-3</v>
      </c>
      <c r="AW100" s="11">
        <f t="shared" si="86"/>
        <v>3.5253330431988683E-7</v>
      </c>
      <c r="AX100" s="41">
        <f t="shared" ca="1" si="87"/>
        <v>2.008943535094514</v>
      </c>
      <c r="AY100" s="41">
        <f t="shared" ca="1" si="88"/>
        <v>2.7060868545577761</v>
      </c>
      <c r="AZ100" s="41">
        <f t="shared" si="89"/>
        <v>0.33643114722663964</v>
      </c>
    </row>
    <row r="101" spans="1:52" ht="14.5">
      <c r="A101" s="41">
        <f t="shared" ca="1" si="90"/>
        <v>4470.2545661066988</v>
      </c>
      <c r="B101" s="41">
        <f t="shared" ca="1" si="99"/>
        <v>74.504242768444982</v>
      </c>
      <c r="C101" s="41">
        <f t="shared" ca="1" si="99"/>
        <v>1.2417373794740831</v>
      </c>
      <c r="D101" s="41">
        <f t="shared" ca="1" si="91"/>
        <v>12154.380877931733</v>
      </c>
      <c r="E101" s="41">
        <f t="shared" ca="1" si="92"/>
        <v>369.51690347387682</v>
      </c>
      <c r="F101" s="7">
        <f t="shared" si="93"/>
        <v>359.99999999999983</v>
      </c>
      <c r="G101" s="41"/>
      <c r="H101" s="7">
        <f t="shared" si="94"/>
        <v>17999.999700000015</v>
      </c>
      <c r="I101" s="6">
        <v>15</v>
      </c>
      <c r="J101" s="41">
        <f t="shared" si="53"/>
        <v>0.48511170265687215</v>
      </c>
      <c r="K101" s="41">
        <f t="shared" si="54"/>
        <v>521.82499599173559</v>
      </c>
      <c r="L101" s="6">
        <f t="shared" si="95"/>
        <v>230</v>
      </c>
      <c r="M101" s="41">
        <f t="shared" si="55"/>
        <v>309.1729609251675</v>
      </c>
      <c r="N101" s="41">
        <f t="shared" si="56"/>
        <v>174.08972710625903</v>
      </c>
      <c r="O101" s="41">
        <f t="shared" si="57"/>
        <v>1892683.9967677938</v>
      </c>
      <c r="P101" s="41">
        <f t="shared" si="58"/>
        <v>12152361.218326269</v>
      </c>
      <c r="Q101" s="41">
        <f t="shared" si="59"/>
        <v>2.8495774462929686E-3</v>
      </c>
      <c r="R101" s="41">
        <f t="shared" si="60"/>
        <v>1.9262624734378238E-2</v>
      </c>
      <c r="S101" s="24">
        <f t="shared" ca="1" si="96"/>
        <v>0</v>
      </c>
      <c r="T101" s="10">
        <f t="shared" ca="1" si="61"/>
        <v>0</v>
      </c>
      <c r="U101" s="41">
        <f t="shared" ca="1" si="62"/>
        <v>0.30355113498237635</v>
      </c>
      <c r="V101" s="41">
        <f t="shared" ca="1" si="63"/>
        <v>2.5082093116439809E-2</v>
      </c>
      <c r="W101" s="41">
        <f t="shared" ca="1" si="64"/>
        <v>12.102304762731974</v>
      </c>
      <c r="X101" s="20">
        <f t="shared" ca="1" si="65"/>
        <v>1004.3029915558004</v>
      </c>
      <c r="Y101" s="41">
        <f t="shared" si="66"/>
        <v>0.55226552905832693</v>
      </c>
      <c r="Z101" s="41">
        <f t="shared" ca="1" si="67"/>
        <v>185.58171683767696</v>
      </c>
      <c r="AA101" s="14">
        <f t="shared" ca="1" si="68"/>
        <v>1004.3029915558004</v>
      </c>
      <c r="AB101" s="14">
        <f t="shared" si="69"/>
        <v>2916.576547414023</v>
      </c>
      <c r="AC101" s="25">
        <f t="shared" ca="1" si="70"/>
        <v>524070.40454309364</v>
      </c>
      <c r="AD101" s="41">
        <f t="shared" si="71"/>
        <v>1521942.5451639127</v>
      </c>
      <c r="AE101" s="5">
        <f t="shared" ca="1" si="72"/>
        <v>34.434309377076481</v>
      </c>
      <c r="AF101" s="7">
        <f t="shared" ca="1" si="73"/>
        <v>1004.3029915558004</v>
      </c>
      <c r="AG101" s="41">
        <f t="shared" ca="1" si="74"/>
        <v>1912.2735558582226</v>
      </c>
      <c r="AH101" s="41">
        <f t="shared" ca="1" si="75"/>
        <v>997872.14062081906</v>
      </c>
      <c r="AI101" s="41">
        <f t="shared" ca="1" si="76"/>
        <v>791.90298001891915</v>
      </c>
      <c r="AJ101" s="13">
        <f t="shared" ca="1" si="77"/>
        <v>0</v>
      </c>
      <c r="AK101" s="11"/>
      <c r="AL101" s="6">
        <v>0</v>
      </c>
      <c r="AM101" s="41">
        <f t="shared" si="78"/>
        <v>149.70815736023346</v>
      </c>
      <c r="AN101" s="41">
        <f t="shared" ca="1" si="79"/>
        <v>32.931759985197267</v>
      </c>
      <c r="AO101" s="6">
        <f t="shared" si="97"/>
        <v>12.857142857142858</v>
      </c>
      <c r="AP101" s="67">
        <f t="shared" si="98"/>
        <v>0.78851002802665648</v>
      </c>
      <c r="AQ101" s="11">
        <f t="shared" si="80"/>
        <v>0.92829992278098084</v>
      </c>
      <c r="AR101" s="11">
        <f t="shared" si="81"/>
        <v>0.49937958828402557</v>
      </c>
      <c r="AS101" s="11">
        <f t="shared" si="82"/>
        <v>0.53795069462894596</v>
      </c>
      <c r="AT101" s="11">
        <f t="shared" si="83"/>
        <v>481.48132094881129</v>
      </c>
      <c r="AU101" s="11">
        <f t="shared" si="84"/>
        <v>1056.7970723184205</v>
      </c>
      <c r="AV101" s="11">
        <f t="shared" si="85"/>
        <v>1.2786550060635417E-3</v>
      </c>
      <c r="AW101" s="11">
        <f t="shared" si="86"/>
        <v>3.5253330431988683E-7</v>
      </c>
      <c r="AX101" s="41">
        <f t="shared" ca="1" si="87"/>
        <v>2.0137995341475459</v>
      </c>
      <c r="AY101" s="41">
        <f t="shared" ca="1" si="88"/>
        <v>2.7126279817590122</v>
      </c>
      <c r="AZ101" s="41">
        <f t="shared" si="89"/>
        <v>0.33643114722663964</v>
      </c>
    </row>
    <row r="102" spans="1:52" ht="14.5">
      <c r="A102" s="41">
        <f t="shared" ca="1" si="90"/>
        <v>4619.9627234669324</v>
      </c>
      <c r="B102" s="41">
        <f t="shared" ca="1" si="99"/>
        <v>76.999378724448874</v>
      </c>
      <c r="C102" s="41">
        <f t="shared" ca="1" si="99"/>
        <v>1.2833229787408145</v>
      </c>
      <c r="D102" s="41">
        <f t="shared" ca="1" si="91"/>
        <v>12121.449117946537</v>
      </c>
      <c r="E102" s="41">
        <f t="shared" ca="1" si="92"/>
        <v>382.37404633101966</v>
      </c>
      <c r="F102" s="7">
        <f t="shared" si="93"/>
        <v>372.85714285714266</v>
      </c>
      <c r="G102" s="41"/>
      <c r="H102" s="7">
        <f t="shared" si="94"/>
        <v>17999.999700000015</v>
      </c>
      <c r="I102" s="6">
        <v>15</v>
      </c>
      <c r="J102" s="41">
        <f t="shared" si="53"/>
        <v>0.48511170265687215</v>
      </c>
      <c r="K102" s="41">
        <f t="shared" si="54"/>
        <v>521.82499599173559</v>
      </c>
      <c r="L102" s="6">
        <f t="shared" si="95"/>
        <v>230</v>
      </c>
      <c r="M102" s="41">
        <f t="shared" si="55"/>
        <v>309.1729609251675</v>
      </c>
      <c r="N102" s="41">
        <f t="shared" si="56"/>
        <v>174.08972710625903</v>
      </c>
      <c r="O102" s="41">
        <f t="shared" si="57"/>
        <v>1892683.9967677938</v>
      </c>
      <c r="P102" s="41">
        <f t="shared" si="58"/>
        <v>12152361.218326269</v>
      </c>
      <c r="Q102" s="41">
        <f t="shared" si="59"/>
        <v>2.8495774462929686E-3</v>
      </c>
      <c r="R102" s="41">
        <f t="shared" si="60"/>
        <v>1.9262624734378238E-2</v>
      </c>
      <c r="S102" s="24">
        <f t="shared" ca="1" si="96"/>
        <v>5.3737601208037441E-16</v>
      </c>
      <c r="T102" s="10">
        <f t="shared" ca="1" si="61"/>
        <v>5.3737601208037441E-16</v>
      </c>
      <c r="U102" s="41">
        <f t="shared" ca="1" si="62"/>
        <v>0.30272867654365621</v>
      </c>
      <c r="V102" s="41">
        <f t="shared" ca="1" si="63"/>
        <v>2.5050600651192832E-2</v>
      </c>
      <c r="W102" s="41">
        <f t="shared" ca="1" si="64"/>
        <v>12.084687339792039</v>
      </c>
      <c r="X102" s="20">
        <f t="shared" ca="1" si="65"/>
        <v>1003.042013179228</v>
      </c>
      <c r="Y102" s="41">
        <f t="shared" si="66"/>
        <v>0.55226552905832693</v>
      </c>
      <c r="Z102" s="41">
        <f t="shared" ca="1" si="67"/>
        <v>185.3301335621569</v>
      </c>
      <c r="AA102" s="14">
        <f t="shared" ca="1" si="68"/>
        <v>1003.0420131792281</v>
      </c>
      <c r="AB102" s="14">
        <f t="shared" si="69"/>
        <v>2916.576547414023</v>
      </c>
      <c r="AC102" s="25">
        <f t="shared" ca="1" si="70"/>
        <v>523412.39450679312</v>
      </c>
      <c r="AD102" s="41">
        <f t="shared" si="71"/>
        <v>1521942.5451639127</v>
      </c>
      <c r="AE102" s="5">
        <f t="shared" ca="1" si="72"/>
        <v>34.391074496864256</v>
      </c>
      <c r="AF102" s="7">
        <f t="shared" ca="1" si="73"/>
        <v>1003.0420131792281</v>
      </c>
      <c r="AG102" s="41">
        <f t="shared" ca="1" si="74"/>
        <v>1913.534534234795</v>
      </c>
      <c r="AH102" s="41">
        <f t="shared" ca="1" si="75"/>
        <v>998530.15065711958</v>
      </c>
      <c r="AI102" s="41">
        <f t="shared" ca="1" si="76"/>
        <v>790.9086859238671</v>
      </c>
      <c r="AJ102" s="13">
        <f t="shared" ca="1" si="77"/>
        <v>4.8941865829030032E-15</v>
      </c>
      <c r="AK102" s="11"/>
      <c r="AL102" s="6">
        <v>0</v>
      </c>
      <c r="AM102" s="41">
        <f t="shared" si="78"/>
        <v>149.70815736023346</v>
      </c>
      <c r="AN102" s="41">
        <f t="shared" ca="1" si="79"/>
        <v>32.89041166940715</v>
      </c>
      <c r="AO102" s="6">
        <f t="shared" si="97"/>
        <v>12.857142857142858</v>
      </c>
      <c r="AP102" s="67">
        <f t="shared" si="98"/>
        <v>0.78851002802665648</v>
      </c>
      <c r="AQ102" s="11">
        <f t="shared" si="80"/>
        <v>0.92829992278098084</v>
      </c>
      <c r="AR102" s="11">
        <f t="shared" si="81"/>
        <v>0.49937958828402557</v>
      </c>
      <c r="AS102" s="11">
        <f t="shared" si="82"/>
        <v>0.53795069462894596</v>
      </c>
      <c r="AT102" s="11">
        <f t="shared" si="83"/>
        <v>481.48132094881129</v>
      </c>
      <c r="AU102" s="11">
        <f t="shared" si="84"/>
        <v>1056.7970723184205</v>
      </c>
      <c r="AV102" s="11">
        <f t="shared" si="85"/>
        <v>1.2786550060635417E-3</v>
      </c>
      <c r="AW102" s="11">
        <f t="shared" si="86"/>
        <v>3.5253330431988683E-7</v>
      </c>
      <c r="AX102" s="41">
        <f t="shared" ca="1" si="87"/>
        <v>2.0186775157007437</v>
      </c>
      <c r="AY102" s="41">
        <f t="shared" ca="1" si="88"/>
        <v>2.7191987198247105</v>
      </c>
      <c r="AZ102" s="41">
        <f t="shared" si="89"/>
        <v>0.33643114722663964</v>
      </c>
    </row>
    <row r="103" spans="1:52" ht="14.5">
      <c r="A103" s="41">
        <f t="shared" ca="1" si="90"/>
        <v>4769.670880827166</v>
      </c>
      <c r="B103" s="41">
        <f t="shared" ca="1" si="99"/>
        <v>79.494514680452767</v>
      </c>
      <c r="C103" s="41">
        <f t="shared" ca="1" si="99"/>
        <v>1.324908578007546</v>
      </c>
      <c r="D103" s="41">
        <f t="shared" ca="1" si="91"/>
        <v>12088.55870627713</v>
      </c>
      <c r="E103" s="41">
        <f t="shared" ca="1" si="92"/>
        <v>395.23118918816249</v>
      </c>
      <c r="F103" s="7">
        <f t="shared" si="93"/>
        <v>385.7142857142855</v>
      </c>
      <c r="G103" s="41"/>
      <c r="H103" s="7">
        <f t="shared" si="94"/>
        <v>17999.999700000015</v>
      </c>
      <c r="I103" s="6">
        <v>15</v>
      </c>
      <c r="J103" s="41">
        <f t="shared" si="53"/>
        <v>0.48511170265687215</v>
      </c>
      <c r="K103" s="41">
        <f t="shared" si="54"/>
        <v>521.82499599173559</v>
      </c>
      <c r="L103" s="6">
        <f t="shared" si="95"/>
        <v>230</v>
      </c>
      <c r="M103" s="41">
        <f t="shared" si="55"/>
        <v>309.1729609251675</v>
      </c>
      <c r="N103" s="41">
        <f t="shared" si="56"/>
        <v>174.08972710625903</v>
      </c>
      <c r="O103" s="41">
        <f t="shared" si="57"/>
        <v>1892683.9967677938</v>
      </c>
      <c r="P103" s="41">
        <f t="shared" si="58"/>
        <v>12152361.218326269</v>
      </c>
      <c r="Q103" s="41">
        <f t="shared" si="59"/>
        <v>2.8495774462929686E-3</v>
      </c>
      <c r="R103" s="41">
        <f t="shared" si="60"/>
        <v>1.9262624734378238E-2</v>
      </c>
      <c r="S103" s="24">
        <f t="shared" ca="1" si="96"/>
        <v>0</v>
      </c>
      <c r="T103" s="10">
        <f t="shared" ca="1" si="61"/>
        <v>0</v>
      </c>
      <c r="U103" s="41">
        <f t="shared" ca="1" si="62"/>
        <v>0.30190725076372088</v>
      </c>
      <c r="V103" s="41">
        <f t="shared" ca="1" si="63"/>
        <v>2.5019233009465635E-2</v>
      </c>
      <c r="W103" s="41">
        <f t="shared" ca="1" si="64"/>
        <v>12.067006636434419</v>
      </c>
      <c r="X103" s="20">
        <f t="shared" ca="1" si="65"/>
        <v>1001.7860328159295</v>
      </c>
      <c r="Y103" s="41">
        <f t="shared" si="66"/>
        <v>0.55226552905832693</v>
      </c>
      <c r="Z103" s="41">
        <f t="shared" ca="1" si="67"/>
        <v>185.0785248272459</v>
      </c>
      <c r="AA103" s="14">
        <f t="shared" ca="1" si="68"/>
        <v>1001.7860328159295</v>
      </c>
      <c r="AB103" s="14">
        <f t="shared" si="69"/>
        <v>2916.576547414023</v>
      </c>
      <c r="AC103" s="25">
        <f t="shared" ca="1" si="70"/>
        <v>522756.9925587491</v>
      </c>
      <c r="AD103" s="41">
        <f t="shared" si="71"/>
        <v>1521942.5451639127</v>
      </c>
      <c r="AE103" s="5">
        <f t="shared" ca="1" si="72"/>
        <v>34.348010982401995</v>
      </c>
      <c r="AF103" s="7">
        <f t="shared" ca="1" si="73"/>
        <v>1001.7860328159295</v>
      </c>
      <c r="AG103" s="41">
        <f t="shared" ca="1" si="74"/>
        <v>1914.7905145980935</v>
      </c>
      <c r="AH103" s="41">
        <f t="shared" ca="1" si="75"/>
        <v>999185.55260516354</v>
      </c>
      <c r="AI103" s="41">
        <f t="shared" ca="1" si="76"/>
        <v>789.91833281240156</v>
      </c>
      <c r="AJ103" s="13">
        <f t="shared" ca="1" si="77"/>
        <v>0</v>
      </c>
      <c r="AK103" s="11"/>
      <c r="AL103" s="6">
        <v>0</v>
      </c>
      <c r="AM103" s="41">
        <f t="shared" si="78"/>
        <v>149.70815736023346</v>
      </c>
      <c r="AN103" s="41">
        <f t="shared" ca="1" si="79"/>
        <v>32.849227241781186</v>
      </c>
      <c r="AO103" s="6">
        <f t="shared" si="97"/>
        <v>12.857142857142858</v>
      </c>
      <c r="AP103" s="67">
        <f t="shared" si="98"/>
        <v>0.78851002802665648</v>
      </c>
      <c r="AQ103" s="11">
        <f t="shared" si="80"/>
        <v>0.92829992278098084</v>
      </c>
      <c r="AR103" s="11">
        <f t="shared" si="81"/>
        <v>0.49937958828402557</v>
      </c>
      <c r="AS103" s="11">
        <f t="shared" si="82"/>
        <v>0.53795069462894596</v>
      </c>
      <c r="AT103" s="11">
        <f t="shared" si="83"/>
        <v>481.48132094881129</v>
      </c>
      <c r="AU103" s="11">
        <f t="shared" si="84"/>
        <v>1056.7970723184205</v>
      </c>
      <c r="AV103" s="11">
        <f t="shared" si="85"/>
        <v>1.2786550060635417E-3</v>
      </c>
      <c r="AW103" s="11">
        <f t="shared" si="86"/>
        <v>3.5253330431988683E-7</v>
      </c>
      <c r="AX103" s="41">
        <f t="shared" ca="1" si="87"/>
        <v>2.0235776262339908</v>
      </c>
      <c r="AY103" s="41">
        <f t="shared" ca="1" si="88"/>
        <v>2.7257992660661841</v>
      </c>
      <c r="AZ103" s="41">
        <f t="shared" si="89"/>
        <v>0.33643114722663964</v>
      </c>
    </row>
    <row r="104" spans="1:52" ht="14.5">
      <c r="A104" s="41">
        <f t="shared" ca="1" si="90"/>
        <v>4919.3790381873996</v>
      </c>
      <c r="B104" s="41">
        <f t="shared" ca="1" si="99"/>
        <v>81.989650636456659</v>
      </c>
      <c r="C104" s="41">
        <f t="shared" ca="1" si="99"/>
        <v>1.3664941772742776</v>
      </c>
      <c r="D104" s="41">
        <f t="shared" ca="1" si="91"/>
        <v>12055.709479035349</v>
      </c>
      <c r="E104" s="41">
        <f t="shared" ca="1" si="92"/>
        <v>408.08833204530532</v>
      </c>
      <c r="F104" s="7">
        <f t="shared" si="93"/>
        <v>398.57142857142833</v>
      </c>
      <c r="G104" s="41"/>
      <c r="H104" s="7">
        <f t="shared" si="94"/>
        <v>17999.999700000015</v>
      </c>
      <c r="I104" s="6">
        <v>15</v>
      </c>
      <c r="J104" s="41">
        <f t="shared" si="53"/>
        <v>0.48511170265687215</v>
      </c>
      <c r="K104" s="41">
        <f t="shared" si="54"/>
        <v>521.82499599173559</v>
      </c>
      <c r="L104" s="6">
        <f t="shared" si="95"/>
        <v>230</v>
      </c>
      <c r="M104" s="41">
        <f t="shared" si="55"/>
        <v>309.1729609251675</v>
      </c>
      <c r="N104" s="41">
        <f t="shared" si="56"/>
        <v>174.08972710625903</v>
      </c>
      <c r="O104" s="41">
        <f t="shared" si="57"/>
        <v>1892683.9967677938</v>
      </c>
      <c r="P104" s="41">
        <f t="shared" si="58"/>
        <v>12152361.218326269</v>
      </c>
      <c r="Q104" s="41">
        <f t="shared" si="59"/>
        <v>2.8495774462929686E-3</v>
      </c>
      <c r="R104" s="41">
        <f t="shared" si="60"/>
        <v>1.9262624734378238E-2</v>
      </c>
      <c r="S104" s="24">
        <f t="shared" ca="1" si="96"/>
        <v>5.4030631701639915E-16</v>
      </c>
      <c r="T104" s="10">
        <f t="shared" ca="1" si="61"/>
        <v>5.4030631701639915E-16</v>
      </c>
      <c r="U104" s="41">
        <f t="shared" ca="1" si="62"/>
        <v>0.30108685354952458</v>
      </c>
      <c r="V104" s="41">
        <f t="shared" ca="1" si="63"/>
        <v>2.4987989714157183E-2</v>
      </c>
      <c r="W104" s="41">
        <f t="shared" ca="1" si="64"/>
        <v>12.049262745571763</v>
      </c>
      <c r="X104" s="20">
        <f t="shared" ca="1" si="65"/>
        <v>1000.5350313624754</v>
      </c>
      <c r="Y104" s="41">
        <f t="shared" si="66"/>
        <v>0.55226552905832693</v>
      </c>
      <c r="Z104" s="41">
        <f t="shared" ca="1" si="67"/>
        <v>184.82688927267853</v>
      </c>
      <c r="AA104" s="14">
        <f t="shared" ca="1" si="68"/>
        <v>1000.5350313624754</v>
      </c>
      <c r="AB104" s="14">
        <f t="shared" si="69"/>
        <v>2916.576547414023</v>
      </c>
      <c r="AC104" s="25">
        <f t="shared" ca="1" si="70"/>
        <v>522104.18873031472</v>
      </c>
      <c r="AD104" s="41">
        <f t="shared" si="71"/>
        <v>1521942.5451639127</v>
      </c>
      <c r="AE104" s="5">
        <f t="shared" ca="1" si="72"/>
        <v>34.305118178694741</v>
      </c>
      <c r="AF104" s="7">
        <f t="shared" ca="1" si="73"/>
        <v>1000.5350313624755</v>
      </c>
      <c r="AG104" s="41">
        <f t="shared" ca="1" si="74"/>
        <v>1916.0415160515477</v>
      </c>
      <c r="AH104" s="41">
        <f t="shared" ca="1" si="75"/>
        <v>999838.35643359798</v>
      </c>
      <c r="AI104" s="41">
        <f t="shared" ca="1" si="76"/>
        <v>788.93190562127711</v>
      </c>
      <c r="AJ104" s="13">
        <f t="shared" ca="1" si="77"/>
        <v>4.9208745235242927E-15</v>
      </c>
      <c r="AK104" s="11"/>
      <c r="AL104" s="6">
        <v>0</v>
      </c>
      <c r="AM104" s="41">
        <f t="shared" si="78"/>
        <v>149.70815736023346</v>
      </c>
      <c r="AN104" s="41">
        <f t="shared" ca="1" si="79"/>
        <v>32.808206075905275</v>
      </c>
      <c r="AO104" s="6">
        <f t="shared" si="97"/>
        <v>12.857142857142858</v>
      </c>
      <c r="AP104" s="67">
        <f t="shared" si="98"/>
        <v>0.78851002802665648</v>
      </c>
      <c r="AQ104" s="11">
        <f t="shared" si="80"/>
        <v>0.92829992278098084</v>
      </c>
      <c r="AR104" s="11">
        <f t="shared" si="81"/>
        <v>0.49937958828402557</v>
      </c>
      <c r="AS104" s="11">
        <f t="shared" si="82"/>
        <v>0.53795069462894596</v>
      </c>
      <c r="AT104" s="11">
        <f t="shared" si="83"/>
        <v>481.48132094881129</v>
      </c>
      <c r="AU104" s="11">
        <f t="shared" si="84"/>
        <v>1056.7970723184205</v>
      </c>
      <c r="AV104" s="11">
        <f t="shared" si="85"/>
        <v>1.2786550060635417E-3</v>
      </c>
      <c r="AW104" s="11">
        <f t="shared" si="86"/>
        <v>3.5253330431988683E-7</v>
      </c>
      <c r="AX104" s="41">
        <f t="shared" ca="1" si="87"/>
        <v>2.0285000135963203</v>
      </c>
      <c r="AY104" s="41">
        <f t="shared" ca="1" si="88"/>
        <v>2.7324298196390169</v>
      </c>
      <c r="AZ104" s="41">
        <f t="shared" si="89"/>
        <v>0.33643114722663964</v>
      </c>
    </row>
    <row r="105" spans="1:52" ht="14.5">
      <c r="A105" s="41">
        <f t="shared" ca="1" si="90"/>
        <v>5069.0871955476332</v>
      </c>
      <c r="B105" s="41">
        <f t="shared" ca="1" si="99"/>
        <v>84.484786592460551</v>
      </c>
      <c r="C105" s="41">
        <f t="shared" ca="1" si="99"/>
        <v>1.4080797765410091</v>
      </c>
      <c r="D105" s="41">
        <f t="shared" ca="1" si="91"/>
        <v>12022.901272959443</v>
      </c>
      <c r="E105" s="41">
        <f t="shared" ca="1" si="92"/>
        <v>420.94547490244815</v>
      </c>
      <c r="F105" s="7">
        <f t="shared" si="93"/>
        <v>411.42857142857116</v>
      </c>
      <c r="G105" s="41"/>
      <c r="H105" s="7">
        <f t="shared" si="94"/>
        <v>17999.999700000015</v>
      </c>
      <c r="I105" s="6">
        <v>15</v>
      </c>
      <c r="J105" s="41">
        <f t="shared" si="53"/>
        <v>0.48511170265687215</v>
      </c>
      <c r="K105" s="41">
        <f t="shared" si="54"/>
        <v>521.82499599173559</v>
      </c>
      <c r="L105" s="6">
        <f t="shared" si="95"/>
        <v>230</v>
      </c>
      <c r="M105" s="41">
        <f t="shared" si="55"/>
        <v>309.1729609251675</v>
      </c>
      <c r="N105" s="41">
        <f t="shared" si="56"/>
        <v>174.08972710625903</v>
      </c>
      <c r="O105" s="41">
        <f t="shared" si="57"/>
        <v>1892683.9967677938</v>
      </c>
      <c r="P105" s="41">
        <f t="shared" si="58"/>
        <v>12152361.218326269</v>
      </c>
      <c r="Q105" s="41">
        <f t="shared" si="59"/>
        <v>2.8495774462929686E-3</v>
      </c>
      <c r="R105" s="41">
        <f t="shared" si="60"/>
        <v>1.9262624734378238E-2</v>
      </c>
      <c r="S105" s="24">
        <f t="shared" ca="1" si="96"/>
        <v>-5.4178070997616316E-16</v>
      </c>
      <c r="T105" s="10">
        <f t="shared" ca="1" si="61"/>
        <v>-5.4178070997616316E-16</v>
      </c>
      <c r="U105" s="41">
        <f t="shared" ca="1" si="62"/>
        <v>0.30026748082366578</v>
      </c>
      <c r="V105" s="41">
        <f t="shared" ca="1" si="63"/>
        <v>2.4956870290858368E-2</v>
      </c>
      <c r="W105" s="41">
        <f t="shared" ca="1" si="64"/>
        <v>12.031455760446571</v>
      </c>
      <c r="X105" s="20">
        <f t="shared" ca="1" si="65"/>
        <v>999.28898982322244</v>
      </c>
      <c r="Y105" s="41">
        <f t="shared" si="66"/>
        <v>0.55226552905832693</v>
      </c>
      <c r="Z105" s="41">
        <f t="shared" ca="1" si="67"/>
        <v>184.57522553556853</v>
      </c>
      <c r="AA105" s="14">
        <f t="shared" ca="1" si="68"/>
        <v>999.28898982322232</v>
      </c>
      <c r="AB105" s="14">
        <f t="shared" si="69"/>
        <v>2916.576547414023</v>
      </c>
      <c r="AC105" s="25">
        <f t="shared" ca="1" si="70"/>
        <v>521453.97310908849</v>
      </c>
      <c r="AD105" s="41">
        <f t="shared" si="71"/>
        <v>1521942.5451639127</v>
      </c>
      <c r="AE105" s="5">
        <f t="shared" ca="1" si="72"/>
        <v>34.262395434443164</v>
      </c>
      <c r="AF105" s="7">
        <f t="shared" ca="1" si="73"/>
        <v>999.28898982322232</v>
      </c>
      <c r="AG105" s="41">
        <f t="shared" ca="1" si="74"/>
        <v>1917.2875575908006</v>
      </c>
      <c r="AH105" s="41">
        <f t="shared" ca="1" si="75"/>
        <v>1000488.5720548242</v>
      </c>
      <c r="AI105" s="41">
        <f t="shared" ca="1" si="76"/>
        <v>787.94938937223833</v>
      </c>
      <c r="AJ105" s="13">
        <f t="shared" ca="1" si="77"/>
        <v>-4.9343026522077227E-15</v>
      </c>
      <c r="AK105" s="11"/>
      <c r="AL105" s="6">
        <v>0</v>
      </c>
      <c r="AM105" s="41">
        <f t="shared" si="78"/>
        <v>149.70815736023346</v>
      </c>
      <c r="AN105" s="41">
        <f t="shared" ca="1" si="79"/>
        <v>32.7673475488997</v>
      </c>
      <c r="AO105" s="6">
        <f t="shared" si="97"/>
        <v>12.857142857142858</v>
      </c>
      <c r="AP105" s="67">
        <f t="shared" si="98"/>
        <v>0.78851002802665648</v>
      </c>
      <c r="AQ105" s="11">
        <f t="shared" si="80"/>
        <v>0.92829992278098084</v>
      </c>
      <c r="AR105" s="11">
        <f t="shared" si="81"/>
        <v>0.49937958828402557</v>
      </c>
      <c r="AS105" s="11">
        <f t="shared" si="82"/>
        <v>0.53795069462894596</v>
      </c>
      <c r="AT105" s="11">
        <f t="shared" si="83"/>
        <v>481.48132094881129</v>
      </c>
      <c r="AU105" s="11">
        <f t="shared" si="84"/>
        <v>1056.7970723184205</v>
      </c>
      <c r="AV105" s="11">
        <f t="shared" si="85"/>
        <v>1.2786550060635417E-3</v>
      </c>
      <c r="AW105" s="11">
        <f t="shared" si="86"/>
        <v>3.5253330431988683E-7</v>
      </c>
      <c r="AX105" s="41">
        <f t="shared" ca="1" si="87"/>
        <v>2.0334448270214782</v>
      </c>
      <c r="AY105" s="41">
        <f t="shared" ca="1" si="88"/>
        <v>2.7390905815640312</v>
      </c>
      <c r="AZ105" s="41">
        <f t="shared" si="89"/>
        <v>0.33643114722663964</v>
      </c>
    </row>
    <row r="106" spans="1:52" ht="14.5">
      <c r="A106" s="41">
        <f t="shared" ca="1" si="90"/>
        <v>5218.7953529078668</v>
      </c>
      <c r="B106" s="41">
        <f t="shared" ca="1" si="99"/>
        <v>86.979922548464444</v>
      </c>
      <c r="C106" s="41">
        <f t="shared" ca="1" si="99"/>
        <v>1.4496653758077407</v>
      </c>
      <c r="D106" s="41">
        <f t="shared" ca="1" si="91"/>
        <v>11990.133925410544</v>
      </c>
      <c r="E106" s="41">
        <f t="shared" ca="1" si="92"/>
        <v>433.80261775959099</v>
      </c>
      <c r="F106" s="7">
        <f t="shared" si="93"/>
        <v>424.28571428571399</v>
      </c>
      <c r="G106" s="41"/>
      <c r="H106" s="7">
        <f t="shared" si="94"/>
        <v>17999.999700000015</v>
      </c>
      <c r="I106" s="6">
        <v>15</v>
      </c>
      <c r="J106" s="41">
        <f t="shared" si="53"/>
        <v>0.48511170265687215</v>
      </c>
      <c r="K106" s="41">
        <f t="shared" si="54"/>
        <v>521.82499599173559</v>
      </c>
      <c r="L106" s="6">
        <f t="shared" si="95"/>
        <v>230</v>
      </c>
      <c r="M106" s="41">
        <f t="shared" si="55"/>
        <v>309.1729609251675</v>
      </c>
      <c r="N106" s="41">
        <f t="shared" si="56"/>
        <v>174.08972710625903</v>
      </c>
      <c r="O106" s="41">
        <f t="shared" si="57"/>
        <v>1892683.9967677938</v>
      </c>
      <c r="P106" s="41">
        <f t="shared" si="58"/>
        <v>12152361.218326269</v>
      </c>
      <c r="Q106" s="41">
        <f t="shared" si="59"/>
        <v>2.8495774462929686E-3</v>
      </c>
      <c r="R106" s="41">
        <f t="shared" si="60"/>
        <v>1.9262624734378238E-2</v>
      </c>
      <c r="S106" s="24">
        <f t="shared" ca="1" si="96"/>
        <v>5.4326132036212851E-16</v>
      </c>
      <c r="T106" s="10">
        <f t="shared" ca="1" si="61"/>
        <v>5.4326132036212851E-16</v>
      </c>
      <c r="U106" s="41">
        <f t="shared" ca="1" si="62"/>
        <v>0.29944912852429939</v>
      </c>
      <c r="V106" s="41">
        <f t="shared" ca="1" si="63"/>
        <v>2.4925874267835268E-2</v>
      </c>
      <c r="W106" s="41">
        <f t="shared" ca="1" si="64"/>
        <v>12.013585774630707</v>
      </c>
      <c r="X106" s="20">
        <f t="shared" ca="1" si="65"/>
        <v>998.04788930964423</v>
      </c>
      <c r="Y106" s="41">
        <f t="shared" si="66"/>
        <v>0.55226552905832693</v>
      </c>
      <c r="Z106" s="41">
        <f t="shared" ca="1" si="67"/>
        <v>184.32353225036164</v>
      </c>
      <c r="AA106" s="14">
        <f t="shared" ca="1" si="68"/>
        <v>998.04788930964423</v>
      </c>
      <c r="AB106" s="14">
        <f t="shared" si="69"/>
        <v>2916.576547414023</v>
      </c>
      <c r="AC106" s="25">
        <f t="shared" ca="1" si="70"/>
        <v>520806.33583856525</v>
      </c>
      <c r="AD106" s="41">
        <f t="shared" si="71"/>
        <v>1521942.5451639127</v>
      </c>
      <c r="AE106" s="5">
        <f t="shared" ca="1" si="72"/>
        <v>34.219842102020657</v>
      </c>
      <c r="AF106" s="7">
        <f t="shared" ca="1" si="73"/>
        <v>998.04788930964435</v>
      </c>
      <c r="AG106" s="41">
        <f t="shared" ca="1" si="74"/>
        <v>1918.5286581043788</v>
      </c>
      <c r="AH106" s="41">
        <f t="shared" ca="1" si="75"/>
        <v>1001136.2093253474</v>
      </c>
      <c r="AI106" s="41">
        <f t="shared" ca="1" si="76"/>
        <v>786.97076917149298</v>
      </c>
      <c r="AJ106" s="13">
        <f t="shared" ca="1" si="77"/>
        <v>4.9477874065000572E-15</v>
      </c>
      <c r="AK106" s="11"/>
      <c r="AL106" s="6">
        <v>0</v>
      </c>
      <c r="AM106" s="41">
        <f t="shared" si="78"/>
        <v>149.70815736023346</v>
      </c>
      <c r="AN106" s="41">
        <f t="shared" ca="1" si="79"/>
        <v>32.726651041397176</v>
      </c>
      <c r="AO106" s="6">
        <f t="shared" si="97"/>
        <v>12.857142857142858</v>
      </c>
      <c r="AP106" s="67">
        <f t="shared" si="98"/>
        <v>0.78851002802665648</v>
      </c>
      <c r="AQ106" s="11">
        <f t="shared" si="80"/>
        <v>0.92829992278098084</v>
      </c>
      <c r="AR106" s="11">
        <f t="shared" si="81"/>
        <v>0.49937958828402557</v>
      </c>
      <c r="AS106" s="11">
        <f t="shared" si="82"/>
        <v>0.53795069462894596</v>
      </c>
      <c r="AT106" s="11">
        <f t="shared" si="83"/>
        <v>481.48132094881129</v>
      </c>
      <c r="AU106" s="11">
        <f t="shared" si="84"/>
        <v>1056.7970723184205</v>
      </c>
      <c r="AV106" s="11">
        <f t="shared" si="85"/>
        <v>1.2786550060635417E-3</v>
      </c>
      <c r="AW106" s="11">
        <f t="shared" si="86"/>
        <v>3.5253330431988683E-7</v>
      </c>
      <c r="AX106" s="41">
        <f t="shared" ca="1" si="87"/>
        <v>2.0384122171436894</v>
      </c>
      <c r="AY106" s="41">
        <f t="shared" ca="1" si="88"/>
        <v>2.7457817547485197</v>
      </c>
      <c r="AZ106" s="41">
        <f t="shared" si="89"/>
        <v>0.33643114722663964</v>
      </c>
    </row>
    <row r="107" spans="1:52" ht="14.5">
      <c r="A107" s="41">
        <f t="shared" ca="1" si="90"/>
        <v>5368.5035102681004</v>
      </c>
      <c r="B107" s="41">
        <f t="shared" ca="1" si="99"/>
        <v>89.475058504468336</v>
      </c>
      <c r="C107" s="41">
        <f t="shared" ca="1" si="99"/>
        <v>1.4912509750744722</v>
      </c>
      <c r="D107" s="41">
        <f t="shared" ca="1" si="91"/>
        <v>11957.407274369147</v>
      </c>
      <c r="E107" s="41">
        <f t="shared" ca="1" si="92"/>
        <v>446.65976061673382</v>
      </c>
      <c r="F107" s="7">
        <f t="shared" si="93"/>
        <v>437.14285714285683</v>
      </c>
      <c r="G107" s="41"/>
      <c r="H107" s="7">
        <f t="shared" si="94"/>
        <v>17999.999700000015</v>
      </c>
      <c r="I107" s="6">
        <v>15</v>
      </c>
      <c r="J107" s="41">
        <f t="shared" si="53"/>
        <v>0.48511170265687215</v>
      </c>
      <c r="K107" s="41">
        <f t="shared" si="54"/>
        <v>521.82499599173559</v>
      </c>
      <c r="L107" s="6">
        <f t="shared" si="95"/>
        <v>230</v>
      </c>
      <c r="M107" s="41">
        <f t="shared" si="55"/>
        <v>309.1729609251675</v>
      </c>
      <c r="N107" s="41">
        <f t="shared" si="56"/>
        <v>174.08972710625903</v>
      </c>
      <c r="O107" s="41">
        <f t="shared" si="57"/>
        <v>1892683.9967677938</v>
      </c>
      <c r="P107" s="41">
        <f t="shared" si="58"/>
        <v>12152361.218326269</v>
      </c>
      <c r="Q107" s="41">
        <f t="shared" si="59"/>
        <v>2.8495774462929686E-3</v>
      </c>
      <c r="R107" s="41">
        <f t="shared" si="60"/>
        <v>1.9262624734378238E-2</v>
      </c>
      <c r="S107" s="24">
        <f t="shared" ca="1" si="96"/>
        <v>-5.4474819149128115E-16</v>
      </c>
      <c r="T107" s="10">
        <f t="shared" ca="1" si="61"/>
        <v>-5.4474819149128115E-16</v>
      </c>
      <c r="U107" s="41">
        <f t="shared" ca="1" si="62"/>
        <v>0.29863179260504857</v>
      </c>
      <c r="V107" s="41">
        <f t="shared" ca="1" si="63"/>
        <v>2.4895001176012562E-2</v>
      </c>
      <c r="W107" s="41">
        <f t="shared" ca="1" si="64"/>
        <v>11.995652882024908</v>
      </c>
      <c r="X107" s="20">
        <f t="shared" ca="1" si="65"/>
        <v>996.81171103966574</v>
      </c>
      <c r="Y107" s="41">
        <f t="shared" si="66"/>
        <v>0.55226552905832693</v>
      </c>
      <c r="Z107" s="41">
        <f t="shared" ca="1" si="67"/>
        <v>184.07180804878809</v>
      </c>
      <c r="AA107" s="14">
        <f t="shared" ca="1" si="68"/>
        <v>996.81171103966574</v>
      </c>
      <c r="AB107" s="14">
        <f t="shared" si="69"/>
        <v>2916.576547414023</v>
      </c>
      <c r="AC107" s="25">
        <f t="shared" ca="1" si="70"/>
        <v>520161.26711778867</v>
      </c>
      <c r="AD107" s="41">
        <f t="shared" si="71"/>
        <v>1521942.5451639127</v>
      </c>
      <c r="AE107" s="5">
        <f t="shared" ca="1" si="72"/>
        <v>34.177457537450437</v>
      </c>
      <c r="AF107" s="7">
        <f t="shared" ca="1" si="73"/>
        <v>996.81171103966562</v>
      </c>
      <c r="AG107" s="41">
        <f t="shared" ca="1" si="74"/>
        <v>1919.7648363743574</v>
      </c>
      <c r="AH107" s="41">
        <f t="shared" ca="1" si="75"/>
        <v>1001781.278046124</v>
      </c>
      <c r="AI107" s="41">
        <f t="shared" ca="1" si="76"/>
        <v>785.99603020918619</v>
      </c>
      <c r="AJ107" s="13">
        <f t="shared" ca="1" si="77"/>
        <v>-4.9613291809135308E-15</v>
      </c>
      <c r="AK107" s="11"/>
      <c r="AL107" s="6">
        <v>0</v>
      </c>
      <c r="AM107" s="41">
        <f t="shared" si="78"/>
        <v>149.70815736023346</v>
      </c>
      <c r="AN107" s="41">
        <f t="shared" ca="1" si="79"/>
        <v>32.686115937521016</v>
      </c>
      <c r="AO107" s="6">
        <f t="shared" si="97"/>
        <v>12.857142857142858</v>
      </c>
      <c r="AP107" s="67">
        <f t="shared" si="98"/>
        <v>0.78851002802665648</v>
      </c>
      <c r="AQ107" s="11">
        <f t="shared" si="80"/>
        <v>0.92829992278098084</v>
      </c>
      <c r="AR107" s="11">
        <f t="shared" si="81"/>
        <v>0.49937958828402557</v>
      </c>
      <c r="AS107" s="11">
        <f t="shared" si="82"/>
        <v>0.53795069462894596</v>
      </c>
      <c r="AT107" s="11">
        <f t="shared" si="83"/>
        <v>481.48132094881129</v>
      </c>
      <c r="AU107" s="11">
        <f t="shared" si="84"/>
        <v>1056.7970723184205</v>
      </c>
      <c r="AV107" s="11">
        <f t="shared" si="85"/>
        <v>1.2786550060635417E-3</v>
      </c>
      <c r="AW107" s="11">
        <f t="shared" si="86"/>
        <v>3.5253330431988683E-7</v>
      </c>
      <c r="AX107" s="41">
        <f t="shared" ca="1" si="87"/>
        <v>2.0434023360136475</v>
      </c>
      <c r="AY107" s="41">
        <f t="shared" ca="1" si="88"/>
        <v>2.7525035440077876</v>
      </c>
      <c r="AZ107" s="41">
        <f t="shared" si="89"/>
        <v>0.33643114722663964</v>
      </c>
    </row>
    <row r="108" spans="1:52" ht="14.5">
      <c r="A108" s="41">
        <f t="shared" ca="1" si="90"/>
        <v>5518.211667628334</v>
      </c>
      <c r="B108" s="41">
        <f t="shared" ref="B108:C143" ca="1" si="100">A108/60</f>
        <v>91.970194460472229</v>
      </c>
      <c r="C108" s="41">
        <f t="shared" ca="1" si="100"/>
        <v>1.5328365743412038</v>
      </c>
      <c r="D108" s="41">
        <f t="shared" ca="1" si="91"/>
        <v>11924.721158431626</v>
      </c>
      <c r="E108" s="41">
        <f t="shared" ca="1" si="92"/>
        <v>459.51690347387665</v>
      </c>
      <c r="F108" s="7">
        <f t="shared" si="93"/>
        <v>449.99999999999966</v>
      </c>
      <c r="G108" s="41"/>
      <c r="H108" s="7">
        <f t="shared" si="94"/>
        <v>17999.999700000015</v>
      </c>
      <c r="I108" s="6">
        <v>15</v>
      </c>
      <c r="J108" s="41">
        <f t="shared" si="53"/>
        <v>0.48511170265687215</v>
      </c>
      <c r="K108" s="41">
        <f t="shared" si="54"/>
        <v>521.82499599173559</v>
      </c>
      <c r="L108" s="6">
        <f t="shared" si="95"/>
        <v>230</v>
      </c>
      <c r="M108" s="41">
        <f t="shared" si="55"/>
        <v>309.1729609251675</v>
      </c>
      <c r="N108" s="41">
        <f t="shared" si="56"/>
        <v>174.08972710625903</v>
      </c>
      <c r="O108" s="41">
        <f t="shared" si="57"/>
        <v>1892683.9967677938</v>
      </c>
      <c r="P108" s="41">
        <f t="shared" si="58"/>
        <v>12152361.218326269</v>
      </c>
      <c r="Q108" s="41">
        <f t="shared" si="59"/>
        <v>2.8495774462929686E-3</v>
      </c>
      <c r="R108" s="41">
        <f t="shared" si="60"/>
        <v>1.9262624734378238E-2</v>
      </c>
      <c r="S108" s="24">
        <f t="shared" ca="1" si="96"/>
        <v>0</v>
      </c>
      <c r="T108" s="10">
        <f t="shared" ca="1" si="61"/>
        <v>0</v>
      </c>
      <c r="U108" s="41">
        <f t="shared" ca="1" si="62"/>
        <v>0.29781546903491801</v>
      </c>
      <c r="V108" s="41">
        <f t="shared" ca="1" si="63"/>
        <v>2.4864250548957044E-2</v>
      </c>
      <c r="W108" s="41">
        <f t="shared" ca="1" si="64"/>
        <v>11.97765717685829</v>
      </c>
      <c r="X108" s="20">
        <f t="shared" ca="1" si="65"/>
        <v>995.58043633700413</v>
      </c>
      <c r="Y108" s="41">
        <f t="shared" si="66"/>
        <v>0.55226552905832693</v>
      </c>
      <c r="Z108" s="41">
        <f t="shared" ca="1" si="67"/>
        <v>183.8200515598152</v>
      </c>
      <c r="AA108" s="14">
        <f t="shared" ca="1" si="68"/>
        <v>995.58043633700413</v>
      </c>
      <c r="AB108" s="14">
        <f t="shared" si="69"/>
        <v>2916.576547414023</v>
      </c>
      <c r="AC108" s="25">
        <f t="shared" ca="1" si="70"/>
        <v>519518.75720100757</v>
      </c>
      <c r="AD108" s="41">
        <f t="shared" si="71"/>
        <v>1521942.5451639127</v>
      </c>
      <c r="AE108" s="5">
        <f t="shared" ca="1" si="72"/>
        <v>34.135241100383034</v>
      </c>
      <c r="AF108" s="7">
        <f t="shared" ca="1" si="73"/>
        <v>995.58043633700413</v>
      </c>
      <c r="AG108" s="41">
        <f t="shared" ca="1" si="74"/>
        <v>1920.9961110770189</v>
      </c>
      <c r="AH108" s="41">
        <f t="shared" ca="1" si="75"/>
        <v>1002423.7879629051</v>
      </c>
      <c r="AI108" s="41">
        <f t="shared" ca="1" si="76"/>
        <v>785.02515775888207</v>
      </c>
      <c r="AJ108" s="13">
        <f t="shared" ca="1" si="77"/>
        <v>0</v>
      </c>
      <c r="AK108" s="11"/>
      <c r="AL108" s="6">
        <v>0</v>
      </c>
      <c r="AM108" s="41">
        <f t="shared" si="78"/>
        <v>149.70815736023346</v>
      </c>
      <c r="AN108" s="41">
        <f t="shared" ca="1" si="79"/>
        <v>32.645741624863554</v>
      </c>
      <c r="AO108" s="6">
        <f t="shared" si="97"/>
        <v>12.857142857142858</v>
      </c>
      <c r="AP108" s="67">
        <f t="shared" si="98"/>
        <v>0.78851002802665648</v>
      </c>
      <c r="AQ108" s="11">
        <f t="shared" si="80"/>
        <v>0.92829992278098084</v>
      </c>
      <c r="AR108" s="11">
        <f t="shared" si="81"/>
        <v>0.49937958828402557</v>
      </c>
      <c r="AS108" s="11">
        <f t="shared" si="82"/>
        <v>0.53795069462894596</v>
      </c>
      <c r="AT108" s="11">
        <f t="shared" si="83"/>
        <v>481.48132094881129</v>
      </c>
      <c r="AU108" s="11">
        <f t="shared" si="84"/>
        <v>1056.7970723184205</v>
      </c>
      <c r="AV108" s="11">
        <f t="shared" si="85"/>
        <v>1.2786550060635417E-3</v>
      </c>
      <c r="AW108" s="11">
        <f t="shared" si="86"/>
        <v>3.5253330431988683E-7</v>
      </c>
      <c r="AX108" s="41">
        <f t="shared" ca="1" si="87"/>
        <v>2.0484153371147213</v>
      </c>
      <c r="AY108" s="41">
        <f t="shared" ca="1" si="88"/>
        <v>2.7592561560869826</v>
      </c>
      <c r="AZ108" s="41">
        <f t="shared" si="89"/>
        <v>0.33643114722663964</v>
      </c>
    </row>
    <row r="109" spans="1:52" ht="14.5">
      <c r="A109" s="41">
        <f t="shared" ca="1" si="90"/>
        <v>5667.9198249885676</v>
      </c>
      <c r="B109" s="41">
        <f t="shared" ca="1" si="100"/>
        <v>94.465330416476121</v>
      </c>
      <c r="C109" s="41">
        <f t="shared" ca="1" si="100"/>
        <v>1.5744221736079353</v>
      </c>
      <c r="D109" s="41">
        <f t="shared" ca="1" si="91"/>
        <v>11892.075416806763</v>
      </c>
      <c r="E109" s="41">
        <f t="shared" ca="1" si="92"/>
        <v>472.37404633101949</v>
      </c>
      <c r="F109" s="7">
        <f t="shared" si="93"/>
        <v>462.85714285714249</v>
      </c>
      <c r="G109" s="41"/>
      <c r="H109" s="7">
        <f t="shared" si="94"/>
        <v>17999.999700000015</v>
      </c>
      <c r="I109" s="6">
        <v>15</v>
      </c>
      <c r="J109" s="41">
        <f t="shared" si="53"/>
        <v>0.48511170265687215</v>
      </c>
      <c r="K109" s="41">
        <f t="shared" si="54"/>
        <v>521.82499599173559</v>
      </c>
      <c r="L109" s="6">
        <f t="shared" si="95"/>
        <v>230</v>
      </c>
      <c r="M109" s="41">
        <f t="shared" si="55"/>
        <v>309.1729609251675</v>
      </c>
      <c r="N109" s="41">
        <f t="shared" si="56"/>
        <v>174.08972710625903</v>
      </c>
      <c r="O109" s="41">
        <f t="shared" si="57"/>
        <v>1892683.9967677938</v>
      </c>
      <c r="P109" s="41">
        <f t="shared" si="58"/>
        <v>12152361.218326269</v>
      </c>
      <c r="Q109" s="41">
        <f t="shared" si="59"/>
        <v>2.8495774462929686E-3</v>
      </c>
      <c r="R109" s="41">
        <f t="shared" si="60"/>
        <v>1.9262624734378238E-2</v>
      </c>
      <c r="S109" s="24">
        <f t="shared" ca="1" si="96"/>
        <v>0</v>
      </c>
      <c r="T109" s="10">
        <f t="shared" ca="1" si="61"/>
        <v>0</v>
      </c>
      <c r="U109" s="41">
        <f t="shared" ca="1" si="62"/>
        <v>0.29700015379820688</v>
      </c>
      <c r="V109" s="41">
        <f t="shared" ca="1" si="63"/>
        <v>2.4833621922861256E-2</v>
      </c>
      <c r="W109" s="41">
        <f t="shared" ca="1" si="64"/>
        <v>11.959598753687855</v>
      </c>
      <c r="X109" s="20">
        <f t="shared" ca="1" si="65"/>
        <v>994.35404663051338</v>
      </c>
      <c r="Y109" s="41">
        <f t="shared" si="66"/>
        <v>0.55226552905832693</v>
      </c>
      <c r="Z109" s="41">
        <f t="shared" ca="1" si="67"/>
        <v>183.56826140959899</v>
      </c>
      <c r="AA109" s="14">
        <f t="shared" ca="1" si="68"/>
        <v>994.35404663051338</v>
      </c>
      <c r="AB109" s="14">
        <f t="shared" si="69"/>
        <v>2916.576547414023</v>
      </c>
      <c r="AC109" s="25">
        <f t="shared" ca="1" si="70"/>
        <v>518878.79639733373</v>
      </c>
      <c r="AD109" s="41">
        <f t="shared" si="71"/>
        <v>1521942.5451639127</v>
      </c>
      <c r="AE109" s="5">
        <f t="shared" ca="1" si="72"/>
        <v>34.093192154073769</v>
      </c>
      <c r="AF109" s="7">
        <f t="shared" ca="1" si="73"/>
        <v>994.35404663051338</v>
      </c>
      <c r="AG109" s="41">
        <f t="shared" ca="1" si="74"/>
        <v>1922.2225007835095</v>
      </c>
      <c r="AH109" s="41">
        <f t="shared" ca="1" si="75"/>
        <v>1003063.748766579</v>
      </c>
      <c r="AI109" s="41">
        <f t="shared" ca="1" si="76"/>
        <v>784.05813717704541</v>
      </c>
      <c r="AJ109" s="13">
        <f t="shared" ca="1" si="77"/>
        <v>0</v>
      </c>
      <c r="AK109" s="11"/>
      <c r="AL109" s="6">
        <v>0</v>
      </c>
      <c r="AM109" s="41">
        <f t="shared" si="78"/>
        <v>149.70815736023346</v>
      </c>
      <c r="AN109" s="41">
        <f t="shared" ca="1" si="79"/>
        <v>32.605527494464617</v>
      </c>
      <c r="AO109" s="6">
        <f t="shared" si="97"/>
        <v>12.857142857142858</v>
      </c>
      <c r="AP109" s="67">
        <f t="shared" si="98"/>
        <v>0.78851002802665648</v>
      </c>
      <c r="AQ109" s="11">
        <f t="shared" si="80"/>
        <v>0.92829992278098084</v>
      </c>
      <c r="AR109" s="11">
        <f t="shared" si="81"/>
        <v>0.49937958828402557</v>
      </c>
      <c r="AS109" s="11">
        <f t="shared" si="82"/>
        <v>0.53795069462894596</v>
      </c>
      <c r="AT109" s="11">
        <f t="shared" si="83"/>
        <v>481.48132094881129</v>
      </c>
      <c r="AU109" s="11">
        <f t="shared" si="84"/>
        <v>1056.7970723184205</v>
      </c>
      <c r="AV109" s="11">
        <f t="shared" si="85"/>
        <v>1.2786550060635417E-3</v>
      </c>
      <c r="AW109" s="11">
        <f t="shared" si="86"/>
        <v>3.5253330431988683E-7</v>
      </c>
      <c r="AX109" s="41">
        <f t="shared" ca="1" si="87"/>
        <v>2.0534513753794013</v>
      </c>
      <c r="AY109" s="41">
        <f t="shared" ca="1" si="88"/>
        <v>2.7660397996832464</v>
      </c>
      <c r="AZ109" s="41">
        <f t="shared" si="89"/>
        <v>0.33643114722663964</v>
      </c>
    </row>
    <row r="110" spans="1:52" ht="14.5">
      <c r="A110" s="41">
        <f t="shared" ca="1" si="90"/>
        <v>5817.6279823488012</v>
      </c>
      <c r="B110" s="41">
        <f t="shared" ca="1" si="100"/>
        <v>96.960466372480013</v>
      </c>
      <c r="C110" s="41">
        <f t="shared" ca="1" si="100"/>
        <v>1.6160077728746669</v>
      </c>
      <c r="D110" s="41">
        <f t="shared" ca="1" si="91"/>
        <v>11859.469889312299</v>
      </c>
      <c r="E110" s="41">
        <f t="shared" ca="1" si="92"/>
        <v>485.23118918816232</v>
      </c>
      <c r="F110" s="7">
        <f t="shared" si="93"/>
        <v>475.71428571428532</v>
      </c>
      <c r="G110" s="41"/>
      <c r="H110" s="7">
        <f t="shared" si="94"/>
        <v>17999.999700000015</v>
      </c>
      <c r="I110" s="6">
        <v>15</v>
      </c>
      <c r="J110" s="41">
        <f t="shared" si="53"/>
        <v>0.48511170265687215</v>
      </c>
      <c r="K110" s="41">
        <f t="shared" si="54"/>
        <v>521.82499599173559</v>
      </c>
      <c r="L110" s="6">
        <f t="shared" si="95"/>
        <v>230</v>
      </c>
      <c r="M110" s="41">
        <f t="shared" si="55"/>
        <v>309.1729609251675</v>
      </c>
      <c r="N110" s="41">
        <f t="shared" si="56"/>
        <v>174.08972710625903</v>
      </c>
      <c r="O110" s="41">
        <f t="shared" si="57"/>
        <v>1892683.9967677938</v>
      </c>
      <c r="P110" s="41">
        <f t="shared" si="58"/>
        <v>12152361.218326269</v>
      </c>
      <c r="Q110" s="41">
        <f t="shared" si="59"/>
        <v>2.8495774462929686E-3</v>
      </c>
      <c r="R110" s="41">
        <f t="shared" si="60"/>
        <v>1.9262624734378238E-2</v>
      </c>
      <c r="S110" s="24">
        <f t="shared" ca="1" si="96"/>
        <v>0</v>
      </c>
      <c r="T110" s="10">
        <f t="shared" ca="1" si="61"/>
        <v>0</v>
      </c>
      <c r="U110" s="41">
        <f t="shared" ca="1" si="62"/>
        <v>0.29618584289442285</v>
      </c>
      <c r="V110" s="41">
        <f t="shared" ca="1" si="63"/>
        <v>2.4803114836527269E-2</v>
      </c>
      <c r="W110" s="41">
        <f t="shared" ca="1" si="64"/>
        <v>11.941477707397995</v>
      </c>
      <c r="X110" s="20">
        <f t="shared" ca="1" si="65"/>
        <v>993.13252345353453</v>
      </c>
      <c r="Y110" s="41">
        <f t="shared" si="66"/>
        <v>0.55226552905832693</v>
      </c>
      <c r="Z110" s="41">
        <f t="shared" ca="1" si="67"/>
        <v>183.31643622143568</v>
      </c>
      <c r="AA110" s="14">
        <f t="shared" ca="1" si="68"/>
        <v>993.13252345353453</v>
      </c>
      <c r="AB110" s="14">
        <f t="shared" si="69"/>
        <v>2916.576547414023</v>
      </c>
      <c r="AC110" s="25">
        <f t="shared" ca="1" si="70"/>
        <v>518241.37507040292</v>
      </c>
      <c r="AD110" s="41">
        <f t="shared" si="71"/>
        <v>1521942.5451639127</v>
      </c>
      <c r="AE110" s="5">
        <f t="shared" ca="1" si="72"/>
        <v>34.051310065360482</v>
      </c>
      <c r="AF110" s="7">
        <f t="shared" ca="1" si="73"/>
        <v>993.13252345353453</v>
      </c>
      <c r="AG110" s="41">
        <f t="shared" ca="1" si="74"/>
        <v>1923.4440239604885</v>
      </c>
      <c r="AH110" s="41">
        <f t="shared" ca="1" si="75"/>
        <v>1003701.1700935098</v>
      </c>
      <c r="AI110" s="41">
        <f t="shared" ca="1" si="76"/>
        <v>783.09495390253062</v>
      </c>
      <c r="AJ110" s="13">
        <f t="shared" ca="1" si="77"/>
        <v>0</v>
      </c>
      <c r="AK110" s="11"/>
      <c r="AL110" s="6">
        <v>0</v>
      </c>
      <c r="AM110" s="41">
        <f t="shared" si="78"/>
        <v>149.70815736023346</v>
      </c>
      <c r="AN110" s="41">
        <f t="shared" ca="1" si="79"/>
        <v>32.565472940790222</v>
      </c>
      <c r="AO110" s="6">
        <f t="shared" si="97"/>
        <v>12.857142857142858</v>
      </c>
      <c r="AP110" s="67">
        <f t="shared" si="98"/>
        <v>0.78851002802665648</v>
      </c>
      <c r="AQ110" s="11">
        <f t="shared" si="80"/>
        <v>0.92829992278098084</v>
      </c>
      <c r="AR110" s="11">
        <f t="shared" si="81"/>
        <v>0.49937958828402557</v>
      </c>
      <c r="AS110" s="11">
        <f t="shared" si="82"/>
        <v>0.53795069462894596</v>
      </c>
      <c r="AT110" s="11">
        <f t="shared" si="83"/>
        <v>481.48132094881129</v>
      </c>
      <c r="AU110" s="11">
        <f t="shared" si="84"/>
        <v>1056.7970723184205</v>
      </c>
      <c r="AV110" s="11">
        <f t="shared" si="85"/>
        <v>1.2786550060635417E-3</v>
      </c>
      <c r="AW110" s="11">
        <f t="shared" si="86"/>
        <v>3.5253330431988683E-7</v>
      </c>
      <c r="AX110" s="41">
        <f t="shared" ca="1" si="87"/>
        <v>2.0585106072059669</v>
      </c>
      <c r="AY110" s="41">
        <f t="shared" ca="1" si="88"/>
        <v>2.7728546854681704</v>
      </c>
      <c r="AZ110" s="41">
        <f t="shared" si="89"/>
        <v>0.33643114722663964</v>
      </c>
    </row>
    <row r="111" spans="1:52" ht="14.5">
      <c r="A111" s="41">
        <f t="shared" ca="1" si="90"/>
        <v>5967.3361397090348</v>
      </c>
      <c r="B111" s="41">
        <f t="shared" ca="1" si="100"/>
        <v>99.45560232848392</v>
      </c>
      <c r="C111" s="41">
        <f t="shared" ca="1" si="100"/>
        <v>1.6575933721413987</v>
      </c>
      <c r="D111" s="41">
        <f t="shared" ca="1" si="91"/>
        <v>11826.904416371508</v>
      </c>
      <c r="E111" s="41">
        <f t="shared" ca="1" si="92"/>
        <v>498.08833204530515</v>
      </c>
      <c r="F111" s="7">
        <f t="shared" si="93"/>
        <v>488.57142857142816</v>
      </c>
      <c r="G111" s="41"/>
      <c r="H111" s="7">
        <f t="shared" si="94"/>
        <v>17999.999700000015</v>
      </c>
      <c r="I111" s="6">
        <v>15</v>
      </c>
      <c r="J111" s="41">
        <f t="shared" si="53"/>
        <v>0.48511170265687215</v>
      </c>
      <c r="K111" s="41">
        <f t="shared" si="54"/>
        <v>521.82499599173559</v>
      </c>
      <c r="L111" s="6">
        <f t="shared" si="95"/>
        <v>230</v>
      </c>
      <c r="M111" s="41">
        <f t="shared" si="55"/>
        <v>309.1729609251675</v>
      </c>
      <c r="N111" s="41">
        <f t="shared" si="56"/>
        <v>174.08972710625903</v>
      </c>
      <c r="O111" s="41">
        <f t="shared" si="57"/>
        <v>1892683.9967677938</v>
      </c>
      <c r="P111" s="41">
        <f t="shared" si="58"/>
        <v>12152361.218326269</v>
      </c>
      <c r="Q111" s="41">
        <f t="shared" si="59"/>
        <v>2.8495774462929686E-3</v>
      </c>
      <c r="R111" s="41">
        <f t="shared" si="60"/>
        <v>1.9262624734378238E-2</v>
      </c>
      <c r="S111" s="24">
        <f t="shared" ca="1" si="96"/>
        <v>0</v>
      </c>
      <c r="T111" s="10">
        <f t="shared" ca="1" si="61"/>
        <v>0</v>
      </c>
      <c r="U111" s="41">
        <f t="shared" ca="1" si="62"/>
        <v>0.29537253233819671</v>
      </c>
      <c r="V111" s="41">
        <f t="shared" ca="1" si="63"/>
        <v>2.4772728831350569E-2</v>
      </c>
      <c r="W111" s="41">
        <f t="shared" ca="1" si="64"/>
        <v>11.923294133199999</v>
      </c>
      <c r="X111" s="20">
        <f t="shared" ca="1" si="65"/>
        <v>991.91584844325052</v>
      </c>
      <c r="Y111" s="41">
        <f t="shared" si="66"/>
        <v>0.55226552905832693</v>
      </c>
      <c r="Z111" s="41">
        <f t="shared" ca="1" si="67"/>
        <v>183.06457461571335</v>
      </c>
      <c r="AA111" s="14">
        <f t="shared" ca="1" si="68"/>
        <v>991.91584844325052</v>
      </c>
      <c r="AB111" s="14">
        <f t="shared" si="69"/>
        <v>2916.576547414023</v>
      </c>
      <c r="AC111" s="25">
        <f t="shared" ca="1" si="70"/>
        <v>517606.48363803822</v>
      </c>
      <c r="AD111" s="41">
        <f t="shared" si="71"/>
        <v>1521942.5451639127</v>
      </c>
      <c r="AE111" s="5">
        <f t="shared" ca="1" si="72"/>
        <v>34.009594204641424</v>
      </c>
      <c r="AF111" s="7">
        <f t="shared" ca="1" si="73"/>
        <v>991.91584844325052</v>
      </c>
      <c r="AG111" s="41">
        <f t="shared" ca="1" si="74"/>
        <v>1924.6606989707725</v>
      </c>
      <c r="AH111" s="41">
        <f t="shared" ca="1" si="75"/>
        <v>1004336.0615258745</v>
      </c>
      <c r="AI111" s="41">
        <f t="shared" ca="1" si="76"/>
        <v>782.13559345607223</v>
      </c>
      <c r="AJ111" s="13">
        <f t="shared" ca="1" si="77"/>
        <v>0</v>
      </c>
      <c r="AK111" s="11"/>
      <c r="AL111" s="6">
        <v>0</v>
      </c>
      <c r="AM111" s="41">
        <f t="shared" si="78"/>
        <v>149.70815736023346</v>
      </c>
      <c r="AN111" s="41">
        <f t="shared" ca="1" si="79"/>
        <v>32.525577361711456</v>
      </c>
      <c r="AO111" s="6">
        <f t="shared" si="97"/>
        <v>12.857142857142858</v>
      </c>
      <c r="AP111" s="67">
        <f t="shared" si="98"/>
        <v>0.78851002802665648</v>
      </c>
      <c r="AQ111" s="11">
        <f t="shared" si="80"/>
        <v>0.92829992278098084</v>
      </c>
      <c r="AR111" s="11">
        <f t="shared" si="81"/>
        <v>0.49937958828402557</v>
      </c>
      <c r="AS111" s="11">
        <f t="shared" si="82"/>
        <v>0.53795069462894596</v>
      </c>
      <c r="AT111" s="11">
        <f t="shared" si="83"/>
        <v>481.48132094881129</v>
      </c>
      <c r="AU111" s="11">
        <f t="shared" si="84"/>
        <v>1056.7970723184205</v>
      </c>
      <c r="AV111" s="11">
        <f t="shared" si="85"/>
        <v>1.2786550060635417E-3</v>
      </c>
      <c r="AW111" s="11">
        <f t="shared" si="86"/>
        <v>3.5253330431988683E-7</v>
      </c>
      <c r="AX111" s="41">
        <f t="shared" ca="1" si="87"/>
        <v>2.0635931904753861</v>
      </c>
      <c r="AY111" s="41">
        <f t="shared" ca="1" si="88"/>
        <v>2.7797010261105535</v>
      </c>
      <c r="AZ111" s="41">
        <f t="shared" si="89"/>
        <v>0.33643114722663964</v>
      </c>
    </row>
    <row r="112" spans="1:52" ht="14.5">
      <c r="A112" s="41">
        <f t="shared" ca="1" si="90"/>
        <v>6117.0442970692684</v>
      </c>
      <c r="B112" s="41">
        <f t="shared" ca="1" si="100"/>
        <v>101.95073828448781</v>
      </c>
      <c r="C112" s="41">
        <f t="shared" ca="1" si="100"/>
        <v>1.6991789714081302</v>
      </c>
      <c r="D112" s="41">
        <f t="shared" ca="1" si="91"/>
        <v>11794.378839009796</v>
      </c>
      <c r="E112" s="41">
        <f t="shared" ca="1" si="92"/>
        <v>510.94547490244798</v>
      </c>
      <c r="F112" s="7">
        <f t="shared" si="93"/>
        <v>501.42857142857099</v>
      </c>
      <c r="G112" s="41"/>
      <c r="H112" s="7">
        <f t="shared" si="94"/>
        <v>17999.999700000015</v>
      </c>
      <c r="I112" s="6">
        <v>15</v>
      </c>
      <c r="J112" s="41">
        <f t="shared" si="53"/>
        <v>0.48511170265687215</v>
      </c>
      <c r="K112" s="41">
        <f t="shared" si="54"/>
        <v>521.82499599173559</v>
      </c>
      <c r="L112" s="6">
        <f t="shared" si="95"/>
        <v>230</v>
      </c>
      <c r="M112" s="41">
        <f t="shared" si="55"/>
        <v>309.1729609251675</v>
      </c>
      <c r="N112" s="41">
        <f t="shared" si="56"/>
        <v>174.08972710625903</v>
      </c>
      <c r="O112" s="41">
        <f t="shared" si="57"/>
        <v>1892683.9967677938</v>
      </c>
      <c r="P112" s="41">
        <f t="shared" si="58"/>
        <v>12152361.218326269</v>
      </c>
      <c r="Q112" s="41">
        <f t="shared" si="59"/>
        <v>2.8495774462929686E-3</v>
      </c>
      <c r="R112" s="41">
        <f t="shared" si="60"/>
        <v>1.9262624734378238E-2</v>
      </c>
      <c r="S112" s="24">
        <f t="shared" ca="1" si="96"/>
        <v>-5.5227800264419444E-16</v>
      </c>
      <c r="T112" s="10">
        <f t="shared" ca="1" si="61"/>
        <v>-5.5227800264419444E-16</v>
      </c>
      <c r="U112" s="41">
        <f t="shared" ca="1" si="62"/>
        <v>0.2945602181591972</v>
      </c>
      <c r="V112" s="41">
        <f t="shared" ca="1" si="63"/>
        <v>2.4742463451304084E-2</v>
      </c>
      <c r="W112" s="41">
        <f t="shared" ca="1" si="64"/>
        <v>11.905048126631547</v>
      </c>
      <c r="X112" s="20">
        <f t="shared" ca="1" si="65"/>
        <v>990.70400334004671</v>
      </c>
      <c r="Y112" s="41">
        <f t="shared" si="66"/>
        <v>0.55226552905832693</v>
      </c>
      <c r="Z112" s="41">
        <f t="shared" ca="1" si="67"/>
        <v>182.81267520986245</v>
      </c>
      <c r="AA112" s="14">
        <f t="shared" ca="1" si="68"/>
        <v>990.7040033400466</v>
      </c>
      <c r="AB112" s="14">
        <f t="shared" si="69"/>
        <v>2916.576547414023</v>
      </c>
      <c r="AC112" s="25">
        <f t="shared" ca="1" si="70"/>
        <v>516974.11257191619</v>
      </c>
      <c r="AD112" s="41">
        <f t="shared" si="71"/>
        <v>1521942.5451639127</v>
      </c>
      <c r="AE112" s="5">
        <f t="shared" ca="1" si="72"/>
        <v>33.96804394585331</v>
      </c>
      <c r="AF112" s="7">
        <f t="shared" ca="1" si="73"/>
        <v>990.7040033400466</v>
      </c>
      <c r="AG112" s="41">
        <f t="shared" ca="1" si="74"/>
        <v>1925.8725440739763</v>
      </c>
      <c r="AH112" s="41">
        <f t="shared" ca="1" si="75"/>
        <v>1004968.4325919965</v>
      </c>
      <c r="AI112" s="41">
        <f t="shared" ca="1" si="76"/>
        <v>781.18004143978089</v>
      </c>
      <c r="AJ112" s="13">
        <f t="shared" ca="1" si="77"/>
        <v>-5.0299074201499895E-15</v>
      </c>
      <c r="AK112" s="11"/>
      <c r="AL112" s="6">
        <v>0</v>
      </c>
      <c r="AM112" s="41">
        <f t="shared" si="78"/>
        <v>149.70815736023346</v>
      </c>
      <c r="AN112" s="41">
        <f t="shared" ca="1" si="79"/>
        <v>32.485840158483448</v>
      </c>
      <c r="AO112" s="6">
        <f t="shared" si="97"/>
        <v>12.857142857142858</v>
      </c>
      <c r="AP112" s="67">
        <f t="shared" si="98"/>
        <v>0.78851002802665648</v>
      </c>
      <c r="AQ112" s="11">
        <f t="shared" si="80"/>
        <v>0.92829992278098084</v>
      </c>
      <c r="AR112" s="11">
        <f t="shared" si="81"/>
        <v>0.49937958828402557</v>
      </c>
      <c r="AS112" s="11">
        <f t="shared" si="82"/>
        <v>0.53795069462894596</v>
      </c>
      <c r="AT112" s="11">
        <f t="shared" si="83"/>
        <v>481.48132094881129</v>
      </c>
      <c r="AU112" s="11">
        <f t="shared" si="84"/>
        <v>1056.7970723184205</v>
      </c>
      <c r="AV112" s="11">
        <f t="shared" si="85"/>
        <v>1.2786550060635417E-3</v>
      </c>
      <c r="AW112" s="11">
        <f t="shared" si="86"/>
        <v>3.5253330431988683E-7</v>
      </c>
      <c r="AX112" s="41">
        <f t="shared" ca="1" si="87"/>
        <v>2.0686992845684631</v>
      </c>
      <c r="AY112" s="41">
        <f t="shared" ca="1" si="88"/>
        <v>2.7865790362995062</v>
      </c>
      <c r="AZ112" s="41">
        <f t="shared" si="89"/>
        <v>0.33643114722663964</v>
      </c>
    </row>
    <row r="113" spans="1:52" ht="14.5">
      <c r="A113" s="41">
        <f t="shared" ca="1" si="90"/>
        <v>6266.752454429502</v>
      </c>
      <c r="B113" s="41">
        <f t="shared" ca="1" si="100"/>
        <v>104.4458742404917</v>
      </c>
      <c r="C113" s="41">
        <f t="shared" ca="1" si="100"/>
        <v>1.7407645706748618</v>
      </c>
      <c r="D113" s="41">
        <f t="shared" ca="1" si="91"/>
        <v>11761.892998851312</v>
      </c>
      <c r="E113" s="41">
        <f t="shared" ca="1" si="92"/>
        <v>523.80261775959082</v>
      </c>
      <c r="F113" s="7">
        <f t="shared" si="93"/>
        <v>514.28571428571388</v>
      </c>
      <c r="G113" s="41"/>
      <c r="H113" s="7">
        <f t="shared" si="94"/>
        <v>17999.999700000015</v>
      </c>
      <c r="I113" s="6">
        <v>15</v>
      </c>
      <c r="J113" s="41">
        <f t="shared" si="53"/>
        <v>0.48511170265687215</v>
      </c>
      <c r="K113" s="41">
        <f t="shared" si="54"/>
        <v>521.82499599173559</v>
      </c>
      <c r="L113" s="6">
        <f t="shared" si="95"/>
        <v>230</v>
      </c>
      <c r="M113" s="41">
        <f t="shared" si="55"/>
        <v>309.1729609251675</v>
      </c>
      <c r="N113" s="41">
        <f t="shared" si="56"/>
        <v>174.08972710625903</v>
      </c>
      <c r="O113" s="41">
        <f t="shared" si="57"/>
        <v>1892683.9967677938</v>
      </c>
      <c r="P113" s="41">
        <f t="shared" si="58"/>
        <v>12152361.218326269</v>
      </c>
      <c r="Q113" s="41">
        <f t="shared" si="59"/>
        <v>2.8495774462929686E-3</v>
      </c>
      <c r="R113" s="41">
        <f t="shared" si="60"/>
        <v>1.9262624734378238E-2</v>
      </c>
      <c r="S113" s="24">
        <f t="shared" ca="1" si="96"/>
        <v>-1.1076067412402799E-15</v>
      </c>
      <c r="T113" s="10">
        <f t="shared" ca="1" si="61"/>
        <v>-1.1076067412402799E-15</v>
      </c>
      <c r="U113" s="41">
        <f t="shared" ca="1" si="62"/>
        <v>0.29374889640204638</v>
      </c>
      <c r="V113" s="41">
        <f t="shared" ca="1" si="63"/>
        <v>2.4712318242922287E-2</v>
      </c>
      <c r="W113" s="41">
        <f t="shared" ca="1" si="64"/>
        <v>11.886739783556216</v>
      </c>
      <c r="X113" s="20">
        <f t="shared" ca="1" si="65"/>
        <v>989.49696998687455</v>
      </c>
      <c r="Y113" s="41">
        <f t="shared" si="66"/>
        <v>0.55226552905832693</v>
      </c>
      <c r="Z113" s="41">
        <f t="shared" ca="1" si="67"/>
        <v>182.56073661830638</v>
      </c>
      <c r="AA113" s="14">
        <f t="shared" ca="1" si="68"/>
        <v>989.49696998687443</v>
      </c>
      <c r="AB113" s="14">
        <f t="shared" si="69"/>
        <v>2916.576547414023</v>
      </c>
      <c r="AC113" s="25">
        <f t="shared" ca="1" si="70"/>
        <v>516344.25239723525</v>
      </c>
      <c r="AD113" s="41">
        <f t="shared" si="71"/>
        <v>1521942.5451639127</v>
      </c>
      <c r="AE113" s="5">
        <f t="shared" ca="1" si="72"/>
        <v>33.926658666449541</v>
      </c>
      <c r="AF113" s="7">
        <f t="shared" ca="1" si="73"/>
        <v>989.49696998687432</v>
      </c>
      <c r="AG113" s="41">
        <f t="shared" ca="1" si="74"/>
        <v>1927.0795774271487</v>
      </c>
      <c r="AH113" s="41">
        <f t="shared" ca="1" si="75"/>
        <v>1005598.2927666774</v>
      </c>
      <c r="AI113" s="41">
        <f t="shared" ca="1" si="76"/>
        <v>780.22828353664192</v>
      </c>
      <c r="AJ113" s="13">
        <f t="shared" ca="1" si="77"/>
        <v>-1.0087599614141896E-14</v>
      </c>
      <c r="AK113" s="11"/>
      <c r="AL113" s="6">
        <v>0</v>
      </c>
      <c r="AM113" s="41">
        <f t="shared" si="78"/>
        <v>149.70815736023346</v>
      </c>
      <c r="AN113" s="41">
        <f t="shared" ca="1" si="79"/>
        <v>32.446260735724564</v>
      </c>
      <c r="AO113" s="6">
        <f t="shared" si="97"/>
        <v>12.857142857142858</v>
      </c>
      <c r="AP113" s="67">
        <f t="shared" si="98"/>
        <v>0.78851002802665648</v>
      </c>
      <c r="AQ113" s="11">
        <f t="shared" si="80"/>
        <v>0.92829992278098084</v>
      </c>
      <c r="AR113" s="11">
        <f t="shared" si="81"/>
        <v>0.49937958828402557</v>
      </c>
      <c r="AS113" s="11">
        <f t="shared" si="82"/>
        <v>0.53795069462894596</v>
      </c>
      <c r="AT113" s="11">
        <f t="shared" si="83"/>
        <v>481.48132094881129</v>
      </c>
      <c r="AU113" s="11">
        <f t="shared" si="84"/>
        <v>1056.7970723184205</v>
      </c>
      <c r="AV113" s="11">
        <f t="shared" si="85"/>
        <v>1.2786550060635417E-3</v>
      </c>
      <c r="AW113" s="11">
        <f t="shared" si="86"/>
        <v>3.5253330431988683E-7</v>
      </c>
      <c r="AX113" s="41">
        <f t="shared" ca="1" si="87"/>
        <v>2.0738290503832144</v>
      </c>
      <c r="AY113" s="41">
        <f t="shared" ca="1" si="88"/>
        <v>2.7934889327678532</v>
      </c>
      <c r="AZ113" s="41">
        <f t="shared" si="89"/>
        <v>0.33643114722663964</v>
      </c>
    </row>
    <row r="114" spans="1:52" ht="14.5">
      <c r="A114" s="41">
        <f t="shared" ca="1" si="90"/>
        <v>6416.4606117897356</v>
      </c>
      <c r="B114" s="41">
        <f t="shared" ca="1" si="100"/>
        <v>106.9410101964956</v>
      </c>
      <c r="C114" s="41">
        <f t="shared" ca="1" si="100"/>
        <v>1.7823501699415933</v>
      </c>
      <c r="D114" s="41">
        <f t="shared" ca="1" si="91"/>
        <v>11729.446738115586</v>
      </c>
      <c r="E114" s="41">
        <f t="shared" ca="1" si="92"/>
        <v>536.65976061673371</v>
      </c>
      <c r="F114" s="7">
        <f t="shared" si="93"/>
        <v>527.14285714285677</v>
      </c>
      <c r="G114" s="41"/>
      <c r="H114" s="7">
        <f t="shared" si="94"/>
        <v>17999.999700000015</v>
      </c>
      <c r="I114" s="6">
        <v>15</v>
      </c>
      <c r="J114" s="41">
        <f t="shared" si="53"/>
        <v>0.48511170265687215</v>
      </c>
      <c r="K114" s="41">
        <f t="shared" si="54"/>
        <v>521.82499599173559</v>
      </c>
      <c r="L114" s="6">
        <f t="shared" si="95"/>
        <v>230</v>
      </c>
      <c r="M114" s="41">
        <f t="shared" si="55"/>
        <v>309.1729609251675</v>
      </c>
      <c r="N114" s="41">
        <f t="shared" si="56"/>
        <v>174.08972710625903</v>
      </c>
      <c r="O114" s="41">
        <f t="shared" si="57"/>
        <v>1892683.9967677938</v>
      </c>
      <c r="P114" s="41">
        <f t="shared" si="58"/>
        <v>12152361.218326269</v>
      </c>
      <c r="Q114" s="41">
        <f t="shared" si="59"/>
        <v>2.8495774462929686E-3</v>
      </c>
      <c r="R114" s="41">
        <f t="shared" si="60"/>
        <v>1.9262624734378238E-2</v>
      </c>
      <c r="S114" s="24">
        <f t="shared" ca="1" si="96"/>
        <v>5.5533531402383642E-16</v>
      </c>
      <c r="T114" s="10">
        <f t="shared" ca="1" si="61"/>
        <v>5.5533531402383642E-16</v>
      </c>
      <c r="U114" s="41">
        <f t="shared" ca="1" si="62"/>
        <v>0.29293856312623578</v>
      </c>
      <c r="V114" s="41">
        <f t="shared" ca="1" si="63"/>
        <v>2.4682292755285475E-2</v>
      </c>
      <c r="W114" s="41">
        <f t="shared" ca="1" si="64"/>
        <v>11.868369200162972</v>
      </c>
      <c r="X114" s="20">
        <f t="shared" ca="1" si="65"/>
        <v>988.29473032862177</v>
      </c>
      <c r="Y114" s="41">
        <f t="shared" si="66"/>
        <v>0.55226552905832693</v>
      </c>
      <c r="Z114" s="41">
        <f t="shared" ca="1" si="67"/>
        <v>182.30875745241184</v>
      </c>
      <c r="AA114" s="14">
        <f t="shared" ca="1" si="68"/>
        <v>988.29473032862188</v>
      </c>
      <c r="AB114" s="14">
        <f t="shared" si="69"/>
        <v>2916.576547414023</v>
      </c>
      <c r="AC114" s="25">
        <f t="shared" ca="1" si="70"/>
        <v>515716.89369238651</v>
      </c>
      <c r="AD114" s="41">
        <f t="shared" si="71"/>
        <v>1521942.5451639127</v>
      </c>
      <c r="AE114" s="5">
        <f t="shared" ca="1" si="72"/>
        <v>33.885437747378568</v>
      </c>
      <c r="AF114" s="7">
        <f t="shared" ca="1" si="73"/>
        <v>988.29473032862188</v>
      </c>
      <c r="AG114" s="41">
        <f t="shared" ca="1" si="74"/>
        <v>1928.2818170854011</v>
      </c>
      <c r="AH114" s="41">
        <f t="shared" ca="1" si="75"/>
        <v>1006225.6514715261</v>
      </c>
      <c r="AI114" s="41">
        <f t="shared" ca="1" si="76"/>
        <v>779.28030551001859</v>
      </c>
      <c r="AJ114" s="13">
        <f t="shared" ca="1" si="77"/>
        <v>5.0577520801229434E-15</v>
      </c>
      <c r="AK114" s="11"/>
      <c r="AL114" s="6">
        <v>0</v>
      </c>
      <c r="AM114" s="41">
        <f t="shared" si="78"/>
        <v>149.70815736023346</v>
      </c>
      <c r="AN114" s="41">
        <f t="shared" ca="1" si="79"/>
        <v>32.40683850139574</v>
      </c>
      <c r="AO114" s="6">
        <f t="shared" si="97"/>
        <v>12.857142857142858</v>
      </c>
      <c r="AP114" s="67">
        <f t="shared" si="98"/>
        <v>0.78851002802665648</v>
      </c>
      <c r="AQ114" s="11">
        <f t="shared" si="80"/>
        <v>0.92829992278098084</v>
      </c>
      <c r="AR114" s="11">
        <f t="shared" si="81"/>
        <v>0.49937958828402557</v>
      </c>
      <c r="AS114" s="11">
        <f t="shared" si="82"/>
        <v>0.53795069462894596</v>
      </c>
      <c r="AT114" s="11">
        <f t="shared" si="83"/>
        <v>481.48132094881129</v>
      </c>
      <c r="AU114" s="11">
        <f t="shared" si="84"/>
        <v>1056.7970723184205</v>
      </c>
      <c r="AV114" s="11">
        <f t="shared" si="85"/>
        <v>1.2786550060635417E-3</v>
      </c>
      <c r="AW114" s="11">
        <f t="shared" si="86"/>
        <v>3.5253330431988683E-7</v>
      </c>
      <c r="AX114" s="41">
        <f t="shared" ca="1" si="87"/>
        <v>2.0789826503525122</v>
      </c>
      <c r="AY114" s="41">
        <f t="shared" ca="1" si="88"/>
        <v>2.8004309343159006</v>
      </c>
      <c r="AZ114" s="41">
        <f t="shared" si="89"/>
        <v>0.33643114722663964</v>
      </c>
    </row>
    <row r="115" spans="1:52" ht="14.5">
      <c r="A115" s="41">
        <f t="shared" ca="1" si="90"/>
        <v>6566.1687691499692</v>
      </c>
      <c r="B115" s="41">
        <f t="shared" ca="1" si="100"/>
        <v>109.43614615249949</v>
      </c>
      <c r="C115" s="41">
        <f t="shared" ca="1" si="100"/>
        <v>1.8239357692083249</v>
      </c>
      <c r="D115" s="41">
        <f t="shared" ca="1" si="91"/>
        <v>11697.03989961419</v>
      </c>
      <c r="E115" s="41">
        <f t="shared" ca="1" si="92"/>
        <v>549.5169034738766</v>
      </c>
      <c r="F115" s="7">
        <f t="shared" si="93"/>
        <v>539.99999999999966</v>
      </c>
      <c r="G115" s="41"/>
      <c r="H115" s="7">
        <f t="shared" si="94"/>
        <v>17999.999700000015</v>
      </c>
      <c r="I115" s="6">
        <v>15</v>
      </c>
      <c r="J115" s="41">
        <f t="shared" si="53"/>
        <v>0.48511170265687215</v>
      </c>
      <c r="K115" s="41">
        <f t="shared" si="54"/>
        <v>521.82499599173559</v>
      </c>
      <c r="L115" s="6">
        <f t="shared" si="95"/>
        <v>230</v>
      </c>
      <c r="M115" s="41">
        <f t="shared" si="55"/>
        <v>309.1729609251675</v>
      </c>
      <c r="N115" s="41">
        <f t="shared" si="56"/>
        <v>174.08972710625903</v>
      </c>
      <c r="O115" s="41">
        <f t="shared" si="57"/>
        <v>1892683.9967677938</v>
      </c>
      <c r="P115" s="41">
        <f t="shared" si="58"/>
        <v>12152361.218326269</v>
      </c>
      <c r="Q115" s="41">
        <f t="shared" si="59"/>
        <v>2.8495774462929686E-3</v>
      </c>
      <c r="R115" s="41">
        <f t="shared" si="60"/>
        <v>1.9262624734378238E-2</v>
      </c>
      <c r="S115" s="24">
        <f t="shared" ca="1" si="96"/>
        <v>-5.5687387950622702E-16</v>
      </c>
      <c r="T115" s="10">
        <f t="shared" ca="1" si="61"/>
        <v>-5.5687387950622702E-16</v>
      </c>
      <c r="U115" s="41">
        <f t="shared" ca="1" si="62"/>
        <v>0.29212921440604306</v>
      </c>
      <c r="V115" s="41">
        <f t="shared" ca="1" si="63"/>
        <v>2.4652386540004127E-2</v>
      </c>
      <c r="W115" s="41">
        <f t="shared" ca="1" si="64"/>
        <v>11.849936472965679</v>
      </c>
      <c r="X115" s="20">
        <f t="shared" ca="1" si="65"/>
        <v>987.09726641148632</v>
      </c>
      <c r="Y115" s="41">
        <f t="shared" si="66"/>
        <v>0.55226552905832693</v>
      </c>
      <c r="Z115" s="41">
        <f t="shared" ca="1" si="67"/>
        <v>182.05673632043846</v>
      </c>
      <c r="AA115" s="14">
        <f t="shared" ca="1" si="68"/>
        <v>987.0972664114862</v>
      </c>
      <c r="AB115" s="14">
        <f t="shared" si="69"/>
        <v>2916.576547414023</v>
      </c>
      <c r="AC115" s="25">
        <f t="shared" ca="1" si="70"/>
        <v>515092.02708862693</v>
      </c>
      <c r="AD115" s="41">
        <f t="shared" si="71"/>
        <v>1521942.5451639127</v>
      </c>
      <c r="AE115" s="5">
        <f t="shared" ca="1" si="72"/>
        <v>33.844380573062416</v>
      </c>
      <c r="AF115" s="7">
        <f t="shared" ca="1" si="73"/>
        <v>987.0972664114862</v>
      </c>
      <c r="AG115" s="41">
        <f t="shared" ca="1" si="74"/>
        <v>1929.4792810025369</v>
      </c>
      <c r="AH115" s="41">
        <f t="shared" ca="1" si="75"/>
        <v>1006850.5180752857</v>
      </c>
      <c r="AI115" s="41">
        <f t="shared" ca="1" si="76"/>
        <v>778.33609320315702</v>
      </c>
      <c r="AJ115" s="13">
        <f t="shared" ca="1" si="77"/>
        <v>-5.0717646641824413E-15</v>
      </c>
      <c r="AK115" s="11"/>
      <c r="AL115" s="6">
        <v>0</v>
      </c>
      <c r="AM115" s="41">
        <f t="shared" si="78"/>
        <v>149.70815736023346</v>
      </c>
      <c r="AN115" s="41">
        <f t="shared" ca="1" si="79"/>
        <v>32.367572866779874</v>
      </c>
      <c r="AO115" s="6">
        <f t="shared" si="97"/>
        <v>12.857142857142858</v>
      </c>
      <c r="AP115" s="67">
        <f t="shared" si="98"/>
        <v>0.78851002802665648</v>
      </c>
      <c r="AQ115" s="11">
        <f t="shared" si="80"/>
        <v>0.92829992278098084</v>
      </c>
      <c r="AR115" s="11">
        <f t="shared" si="81"/>
        <v>0.49937958828402557</v>
      </c>
      <c r="AS115" s="11">
        <f t="shared" si="82"/>
        <v>0.53795069462894596</v>
      </c>
      <c r="AT115" s="11">
        <f t="shared" si="83"/>
        <v>481.48132094881129</v>
      </c>
      <c r="AU115" s="11">
        <f t="shared" si="84"/>
        <v>1056.7970723184205</v>
      </c>
      <c r="AV115" s="11">
        <f t="shared" si="85"/>
        <v>1.2786550060635417E-3</v>
      </c>
      <c r="AW115" s="11">
        <f t="shared" si="86"/>
        <v>3.5253330431988683E-7</v>
      </c>
      <c r="AX115" s="41">
        <f t="shared" ca="1" si="87"/>
        <v>2.0841602484619464</v>
      </c>
      <c r="AY115" s="41">
        <f t="shared" ca="1" si="88"/>
        <v>2.8074052618354961</v>
      </c>
      <c r="AZ115" s="41">
        <f t="shared" si="89"/>
        <v>0.33643114722663964</v>
      </c>
    </row>
    <row r="116" spans="1:52" ht="14.5">
      <c r="A116" s="41">
        <f t="shared" ca="1" si="90"/>
        <v>6715.8769265102028</v>
      </c>
      <c r="B116" s="41">
        <f t="shared" ca="1" si="100"/>
        <v>111.93128210850338</v>
      </c>
      <c r="C116" s="41">
        <f t="shared" ca="1" si="100"/>
        <v>1.8655213684750565</v>
      </c>
      <c r="D116" s="41">
        <f t="shared" ca="1" si="91"/>
        <v>11664.67232674741</v>
      </c>
      <c r="E116" s="41">
        <f t="shared" ca="1" si="92"/>
        <v>562.37404633101949</v>
      </c>
      <c r="F116" s="7">
        <f t="shared" si="93"/>
        <v>552.85714285714255</v>
      </c>
      <c r="G116" s="41"/>
      <c r="H116" s="7">
        <f t="shared" si="94"/>
        <v>17999.999700000015</v>
      </c>
      <c r="I116" s="6">
        <v>15</v>
      </c>
      <c r="J116" s="41">
        <f t="shared" si="53"/>
        <v>0.48511170265687215</v>
      </c>
      <c r="K116" s="41">
        <f t="shared" si="54"/>
        <v>521.82499599173559</v>
      </c>
      <c r="L116" s="6">
        <f t="shared" si="95"/>
        <v>230</v>
      </c>
      <c r="M116" s="41">
        <f t="shared" si="55"/>
        <v>309.1729609251675</v>
      </c>
      <c r="N116" s="41">
        <f t="shared" si="56"/>
        <v>174.08972710625903</v>
      </c>
      <c r="O116" s="41">
        <f t="shared" si="57"/>
        <v>1892683.9967677938</v>
      </c>
      <c r="P116" s="41">
        <f t="shared" si="58"/>
        <v>12152361.218326269</v>
      </c>
      <c r="Q116" s="41">
        <f t="shared" si="59"/>
        <v>2.8495774462929686E-3</v>
      </c>
      <c r="R116" s="41">
        <f t="shared" si="60"/>
        <v>1.9262624734378238E-2</v>
      </c>
      <c r="S116" s="24">
        <f t="shared" ca="1" si="96"/>
        <v>5.5841911415728481E-16</v>
      </c>
      <c r="T116" s="10">
        <f t="shared" ca="1" si="61"/>
        <v>5.5841911415728481E-16</v>
      </c>
      <c r="U116" s="41">
        <f t="shared" ca="1" si="62"/>
        <v>0.29132084633044858</v>
      </c>
      <c r="V116" s="41">
        <f t="shared" ca="1" si="63"/>
        <v>2.4622599151203392E-2</v>
      </c>
      <c r="W116" s="41">
        <f t="shared" ca="1" si="64"/>
        <v>11.831441698802569</v>
      </c>
      <c r="X116" s="20">
        <f t="shared" ca="1" si="65"/>
        <v>985.90456038235493</v>
      </c>
      <c r="Y116" s="41">
        <f t="shared" si="66"/>
        <v>0.55226552905832693</v>
      </c>
      <c r="Z116" s="41">
        <f t="shared" ca="1" si="67"/>
        <v>181.80467182748816</v>
      </c>
      <c r="AA116" s="14">
        <f t="shared" ca="1" si="68"/>
        <v>985.90456038235493</v>
      </c>
      <c r="AB116" s="14">
        <f t="shared" si="69"/>
        <v>2916.576547414023</v>
      </c>
      <c r="AC116" s="25">
        <f t="shared" ca="1" si="70"/>
        <v>514469.64326975623</v>
      </c>
      <c r="AD116" s="41">
        <f t="shared" si="71"/>
        <v>1521942.5451639127</v>
      </c>
      <c r="AE116" s="5">
        <f t="shared" ca="1" si="72"/>
        <v>33.803486531375469</v>
      </c>
      <c r="AF116" s="7">
        <f t="shared" ca="1" si="73"/>
        <v>985.90456038235504</v>
      </c>
      <c r="AG116" s="41">
        <f t="shared" ca="1" si="74"/>
        <v>1930.6719870316681</v>
      </c>
      <c r="AH116" s="41">
        <f t="shared" ca="1" si="75"/>
        <v>1007472.9018941565</v>
      </c>
      <c r="AI116" s="41">
        <f t="shared" ca="1" si="76"/>
        <v>777.39563253869926</v>
      </c>
      <c r="AJ116" s="13">
        <f t="shared" ca="1" si="77"/>
        <v>5.0858379881243974E-15</v>
      </c>
      <c r="AK116" s="11"/>
      <c r="AL116" s="6">
        <v>0</v>
      </c>
      <c r="AM116" s="41">
        <f t="shared" si="78"/>
        <v>149.70815736023346</v>
      </c>
      <c r="AN116" s="41">
        <f t="shared" ca="1" si="79"/>
        <v>32.32846324646161</v>
      </c>
      <c r="AO116" s="6">
        <f t="shared" si="97"/>
        <v>12.857142857142858</v>
      </c>
      <c r="AP116" s="67">
        <f t="shared" si="98"/>
        <v>0.78851002802665648</v>
      </c>
      <c r="AQ116" s="11">
        <f t="shared" si="80"/>
        <v>0.92829992278098084</v>
      </c>
      <c r="AR116" s="11">
        <f t="shared" si="81"/>
        <v>0.49937958828402557</v>
      </c>
      <c r="AS116" s="11">
        <f t="shared" si="82"/>
        <v>0.53795069462894596</v>
      </c>
      <c r="AT116" s="11">
        <f t="shared" si="83"/>
        <v>481.48132094881129</v>
      </c>
      <c r="AU116" s="11">
        <f t="shared" si="84"/>
        <v>1056.7970723184205</v>
      </c>
      <c r="AV116" s="11">
        <f t="shared" si="85"/>
        <v>1.2786550060635417E-3</v>
      </c>
      <c r="AW116" s="11">
        <f t="shared" si="86"/>
        <v>3.5253330431988683E-7</v>
      </c>
      <c r="AX116" s="41">
        <f t="shared" ca="1" si="87"/>
        <v>2.0893620102679753</v>
      </c>
      <c r="AY116" s="41">
        <f t="shared" ca="1" si="88"/>
        <v>2.814412138334478</v>
      </c>
      <c r="AZ116" s="41">
        <f t="shared" si="89"/>
        <v>0.33643114722663964</v>
      </c>
    </row>
    <row r="117" spans="1:52" ht="14.5">
      <c r="A117" s="41">
        <f t="shared" ca="1" si="90"/>
        <v>6865.5850838704364</v>
      </c>
      <c r="B117" s="41">
        <f t="shared" ca="1" si="100"/>
        <v>114.42641806450727</v>
      </c>
      <c r="C117" s="41">
        <f t="shared" ca="1" si="100"/>
        <v>1.907106967741788</v>
      </c>
      <c r="D117" s="41">
        <f t="shared" ca="1" si="91"/>
        <v>11632.343863500948</v>
      </c>
      <c r="E117" s="41">
        <f t="shared" ca="1" si="92"/>
        <v>575.23118918816238</v>
      </c>
      <c r="F117" s="7">
        <f t="shared" si="93"/>
        <v>565.71428571428544</v>
      </c>
      <c r="G117" s="41"/>
      <c r="H117" s="7">
        <f t="shared" si="94"/>
        <v>17999.999700000015</v>
      </c>
      <c r="I117" s="6">
        <v>15</v>
      </c>
      <c r="J117" s="41">
        <f t="shared" si="53"/>
        <v>0.48511170265687215</v>
      </c>
      <c r="K117" s="41">
        <f t="shared" si="54"/>
        <v>521.82499599173559</v>
      </c>
      <c r="L117" s="6">
        <f t="shared" si="95"/>
        <v>230</v>
      </c>
      <c r="M117" s="41">
        <f t="shared" si="55"/>
        <v>309.1729609251675</v>
      </c>
      <c r="N117" s="41">
        <f t="shared" si="56"/>
        <v>174.08972710625903</v>
      </c>
      <c r="O117" s="41">
        <f t="shared" si="57"/>
        <v>1892683.9967677938</v>
      </c>
      <c r="P117" s="41">
        <f t="shared" si="58"/>
        <v>12152361.218326269</v>
      </c>
      <c r="Q117" s="41">
        <f t="shared" si="59"/>
        <v>2.8495774462929686E-3</v>
      </c>
      <c r="R117" s="41">
        <f t="shared" si="60"/>
        <v>1.9262624734378238E-2</v>
      </c>
      <c r="S117" s="24">
        <f t="shared" ca="1" si="96"/>
        <v>0</v>
      </c>
      <c r="T117" s="10">
        <f t="shared" ca="1" si="61"/>
        <v>0</v>
      </c>
      <c r="U117" s="41">
        <f t="shared" ca="1" si="62"/>
        <v>0.29051345500305342</v>
      </c>
      <c r="V117" s="41">
        <f t="shared" ca="1" si="63"/>
        <v>2.4592930145507712E-2</v>
      </c>
      <c r="W117" s="41">
        <f t="shared" ca="1" si="64"/>
        <v>11.812884974835757</v>
      </c>
      <c r="X117" s="20">
        <f t="shared" ca="1" si="65"/>
        <v>984.71659448818764</v>
      </c>
      <c r="Y117" s="41">
        <f t="shared" si="66"/>
        <v>0.55226552905832693</v>
      </c>
      <c r="Z117" s="41">
        <f t="shared" ca="1" si="67"/>
        <v>181.55256257545443</v>
      </c>
      <c r="AA117" s="14">
        <f t="shared" ca="1" si="68"/>
        <v>984.71659448818775</v>
      </c>
      <c r="AB117" s="14">
        <f t="shared" si="69"/>
        <v>2916.576547414023</v>
      </c>
      <c r="AC117" s="25">
        <f t="shared" ca="1" si="70"/>
        <v>513849.73297179409</v>
      </c>
      <c r="AD117" s="41">
        <f t="shared" si="71"/>
        <v>1521942.5451639127</v>
      </c>
      <c r="AE117" s="5">
        <f t="shared" ca="1" si="72"/>
        <v>33.762755013623241</v>
      </c>
      <c r="AF117" s="7">
        <f t="shared" ca="1" si="73"/>
        <v>984.71659448818764</v>
      </c>
      <c r="AG117" s="41">
        <f t="shared" ca="1" si="74"/>
        <v>1931.8599529258354</v>
      </c>
      <c r="AH117" s="41">
        <f t="shared" ca="1" si="75"/>
        <v>1008092.8121921186</v>
      </c>
      <c r="AI117" s="41">
        <f t="shared" ca="1" si="76"/>
        <v>776.45890951819456</v>
      </c>
      <c r="AJ117" s="13">
        <f t="shared" ca="1" si="77"/>
        <v>0</v>
      </c>
      <c r="AK117" s="11"/>
      <c r="AL117" s="6">
        <v>0</v>
      </c>
      <c r="AM117" s="41">
        <f t="shared" si="78"/>
        <v>149.70815736023346</v>
      </c>
      <c r="AN117" s="41">
        <f t="shared" ca="1" si="79"/>
        <v>32.289509058306983</v>
      </c>
      <c r="AO117" s="6">
        <f t="shared" si="97"/>
        <v>12.857142857142858</v>
      </c>
      <c r="AP117" s="67">
        <f t="shared" si="98"/>
        <v>0.78851002802665648</v>
      </c>
      <c r="AQ117" s="11">
        <f t="shared" si="80"/>
        <v>0.92829992278098084</v>
      </c>
      <c r="AR117" s="11">
        <f t="shared" si="81"/>
        <v>0.49937958828402557</v>
      </c>
      <c r="AS117" s="11">
        <f t="shared" si="82"/>
        <v>0.53795069462894596</v>
      </c>
      <c r="AT117" s="11">
        <f t="shared" si="83"/>
        <v>481.48132094881129</v>
      </c>
      <c r="AU117" s="11">
        <f t="shared" si="84"/>
        <v>1056.7970723184205</v>
      </c>
      <c r="AV117" s="11">
        <f t="shared" si="85"/>
        <v>1.2786550060635417E-3</v>
      </c>
      <c r="AW117" s="11">
        <f t="shared" si="86"/>
        <v>3.5253330431988683E-7</v>
      </c>
      <c r="AX117" s="41">
        <f t="shared" ca="1" si="87"/>
        <v>2.0945881029163074</v>
      </c>
      <c r="AY117" s="41">
        <f t="shared" ca="1" si="88"/>
        <v>2.8214517889614368</v>
      </c>
      <c r="AZ117" s="41">
        <f t="shared" si="89"/>
        <v>0.33643114722663964</v>
      </c>
    </row>
    <row r="118" spans="1:52" ht="14.5">
      <c r="A118" s="41">
        <f t="shared" ca="1" si="90"/>
        <v>7015.29324123067</v>
      </c>
      <c r="B118" s="41">
        <f t="shared" ca="1" si="100"/>
        <v>116.92155402051117</v>
      </c>
      <c r="C118" s="41">
        <f t="shared" ca="1" si="100"/>
        <v>1.9486925670085193</v>
      </c>
      <c r="D118" s="41">
        <f t="shared" ca="1" si="91"/>
        <v>11600.05435444264</v>
      </c>
      <c r="E118" s="41">
        <f t="shared" ca="1" si="92"/>
        <v>588.08833204530526</v>
      </c>
      <c r="F118" s="7">
        <f t="shared" si="93"/>
        <v>578.57142857142833</v>
      </c>
      <c r="G118" s="41"/>
      <c r="H118" s="7">
        <f t="shared" si="94"/>
        <v>17999.999700000015</v>
      </c>
      <c r="I118" s="6">
        <v>15</v>
      </c>
      <c r="J118" s="41">
        <f t="shared" si="53"/>
        <v>0.48511170265687215</v>
      </c>
      <c r="K118" s="41">
        <f t="shared" si="54"/>
        <v>521.82499599173559</v>
      </c>
      <c r="L118" s="6">
        <f t="shared" si="95"/>
        <v>230</v>
      </c>
      <c r="M118" s="41">
        <f t="shared" si="55"/>
        <v>309.1729609251675</v>
      </c>
      <c r="N118" s="41">
        <f t="shared" si="56"/>
        <v>174.08972710625903</v>
      </c>
      <c r="O118" s="41">
        <f t="shared" si="57"/>
        <v>1892683.9967677938</v>
      </c>
      <c r="P118" s="41">
        <f t="shared" si="58"/>
        <v>12152361.218326269</v>
      </c>
      <c r="Q118" s="41">
        <f t="shared" si="59"/>
        <v>2.8495774462929686E-3</v>
      </c>
      <c r="R118" s="41">
        <f t="shared" si="60"/>
        <v>1.9262624734378238E-2</v>
      </c>
      <c r="S118" s="24">
        <f t="shared" ca="1" si="96"/>
        <v>-5.6152978155163617E-16</v>
      </c>
      <c r="T118" s="10">
        <f t="shared" ca="1" si="61"/>
        <v>-5.6152978155163617E-16</v>
      </c>
      <c r="U118" s="41">
        <f t="shared" ca="1" si="62"/>
        <v>0.2897070365419972</v>
      </c>
      <c r="V118" s="41">
        <f t="shared" ca="1" si="63"/>
        <v>2.4563379082025497E-2</v>
      </c>
      <c r="W118" s="41">
        <f t="shared" ca="1" si="64"/>
        <v>11.794266398550731</v>
      </c>
      <c r="X118" s="20">
        <f t="shared" ca="1" si="65"/>
        <v>983.53335107540443</v>
      </c>
      <c r="Y118" s="41">
        <f t="shared" si="66"/>
        <v>0.55226552905832693</v>
      </c>
      <c r="Z118" s="41">
        <f t="shared" ca="1" si="67"/>
        <v>181.30040716297077</v>
      </c>
      <c r="AA118" s="14">
        <f t="shared" ca="1" si="68"/>
        <v>983.53335107540431</v>
      </c>
      <c r="AB118" s="14">
        <f t="shared" si="69"/>
        <v>2916.576547414023</v>
      </c>
      <c r="AC118" s="25">
        <f t="shared" ca="1" si="70"/>
        <v>513232.28698266111</v>
      </c>
      <c r="AD118" s="41">
        <f t="shared" si="71"/>
        <v>1521942.5451639127</v>
      </c>
      <c r="AE118" s="5">
        <f t="shared" ca="1" si="72"/>
        <v>33.722185414521427</v>
      </c>
      <c r="AF118" s="7">
        <f t="shared" ca="1" si="73"/>
        <v>983.53335107540431</v>
      </c>
      <c r="AG118" s="41">
        <f t="shared" ca="1" si="74"/>
        <v>1933.0431963386186</v>
      </c>
      <c r="AH118" s="41">
        <f t="shared" ca="1" si="75"/>
        <v>1008710.2581812516</v>
      </c>
      <c r="AI118" s="41">
        <f t="shared" ca="1" si="76"/>
        <v>775.52591022161846</v>
      </c>
      <c r="AJ118" s="13">
        <f t="shared" ca="1" si="77"/>
        <v>-5.1141685914320708E-15</v>
      </c>
      <c r="AK118" s="11"/>
      <c r="AL118" s="6">
        <v>0</v>
      </c>
      <c r="AM118" s="41">
        <f t="shared" si="78"/>
        <v>149.70815736023346</v>
      </c>
      <c r="AN118" s="41">
        <f t="shared" ca="1" si="79"/>
        <v>32.250709723443428</v>
      </c>
      <c r="AO118" s="6">
        <f t="shared" si="97"/>
        <v>12.857142857142858</v>
      </c>
      <c r="AP118" s="67">
        <f t="shared" si="98"/>
        <v>0.78851002802665648</v>
      </c>
      <c r="AQ118" s="11">
        <f t="shared" si="80"/>
        <v>0.92829992278098084</v>
      </c>
      <c r="AR118" s="11">
        <f t="shared" si="81"/>
        <v>0.49937958828402557</v>
      </c>
      <c r="AS118" s="11">
        <f t="shared" si="82"/>
        <v>0.53795069462894596</v>
      </c>
      <c r="AT118" s="11">
        <f t="shared" si="83"/>
        <v>481.48132094881129</v>
      </c>
      <c r="AU118" s="11">
        <f t="shared" si="84"/>
        <v>1056.7970723184205</v>
      </c>
      <c r="AV118" s="11">
        <f t="shared" si="85"/>
        <v>1.2786550060635417E-3</v>
      </c>
      <c r="AW118" s="11">
        <f t="shared" si="86"/>
        <v>3.5253330431988683E-7</v>
      </c>
      <c r="AX118" s="41">
        <f t="shared" ca="1" si="87"/>
        <v>2.0998386951605621</v>
      </c>
      <c r="AY118" s="41">
        <f t="shared" ca="1" si="88"/>
        <v>2.8285244410308499</v>
      </c>
      <c r="AZ118" s="41">
        <f t="shared" si="89"/>
        <v>0.33643114722663964</v>
      </c>
    </row>
    <row r="119" spans="1:52" ht="14.5">
      <c r="A119" s="41">
        <f t="shared" ca="1" si="90"/>
        <v>7165.0013985909036</v>
      </c>
      <c r="B119" s="41">
        <f t="shared" ca="1" si="100"/>
        <v>119.41668997651506</v>
      </c>
      <c r="C119" s="41">
        <f t="shared" ca="1" si="100"/>
        <v>1.9902781662752509</v>
      </c>
      <c r="D119" s="41">
        <f t="shared" ca="1" si="91"/>
        <v>11567.803644719197</v>
      </c>
      <c r="E119" s="41">
        <f t="shared" ca="1" si="92"/>
        <v>600.94547490244815</v>
      </c>
      <c r="F119" s="7">
        <f t="shared" si="93"/>
        <v>591.42857142857122</v>
      </c>
      <c r="G119" s="41"/>
      <c r="H119" s="7">
        <f t="shared" si="94"/>
        <v>17999.999700000015</v>
      </c>
      <c r="I119" s="6">
        <v>15</v>
      </c>
      <c r="J119" s="41">
        <f t="shared" si="53"/>
        <v>0.48511170265687215</v>
      </c>
      <c r="K119" s="41">
        <f t="shared" si="54"/>
        <v>521.82499599173559</v>
      </c>
      <c r="L119" s="6">
        <f t="shared" si="95"/>
        <v>230</v>
      </c>
      <c r="M119" s="41">
        <f t="shared" si="55"/>
        <v>309.1729609251675</v>
      </c>
      <c r="N119" s="41">
        <f t="shared" si="56"/>
        <v>174.08972710625903</v>
      </c>
      <c r="O119" s="41">
        <f t="shared" si="57"/>
        <v>1892683.9967677938</v>
      </c>
      <c r="P119" s="41">
        <f t="shared" si="58"/>
        <v>12152361.218326269</v>
      </c>
      <c r="Q119" s="41">
        <f t="shared" si="59"/>
        <v>2.8495774462929686E-3</v>
      </c>
      <c r="R119" s="41">
        <f t="shared" si="60"/>
        <v>1.9262624734378238E-2</v>
      </c>
      <c r="S119" s="24">
        <f t="shared" ca="1" si="96"/>
        <v>0</v>
      </c>
      <c r="T119" s="10">
        <f t="shared" ca="1" si="61"/>
        <v>0</v>
      </c>
      <c r="U119" s="41">
        <f t="shared" ca="1" si="62"/>
        <v>0.28890158707987662</v>
      </c>
      <c r="V119" s="41">
        <f t="shared" ca="1" si="63"/>
        <v>2.4533945522334021E-2</v>
      </c>
      <c r="W119" s="41">
        <f t="shared" ca="1" si="64"/>
        <v>11.775586067755814</v>
      </c>
      <c r="X119" s="20">
        <f t="shared" ca="1" si="65"/>
        <v>982.35481258927973</v>
      </c>
      <c r="Y119" s="41">
        <f t="shared" si="66"/>
        <v>0.55226552905832693</v>
      </c>
      <c r="Z119" s="41">
        <f t="shared" ca="1" si="67"/>
        <v>181.04820418535908</v>
      </c>
      <c r="AA119" s="14">
        <f t="shared" ca="1" si="68"/>
        <v>982.35481258927985</v>
      </c>
      <c r="AB119" s="14">
        <f t="shared" si="69"/>
        <v>2916.576547414023</v>
      </c>
      <c r="AC119" s="25">
        <f t="shared" ca="1" si="70"/>
        <v>512617.2961418631</v>
      </c>
      <c r="AD119" s="41">
        <f t="shared" si="71"/>
        <v>1521942.5451639127</v>
      </c>
      <c r="AE119" s="5">
        <f t="shared" ca="1" si="72"/>
        <v>33.681777132175142</v>
      </c>
      <c r="AF119" s="7">
        <f t="shared" ca="1" si="73"/>
        <v>982.35481258927973</v>
      </c>
      <c r="AG119" s="41">
        <f t="shared" ca="1" si="74"/>
        <v>1934.2217348247432</v>
      </c>
      <c r="AH119" s="41">
        <f t="shared" ca="1" si="75"/>
        <v>1009325.2490220496</v>
      </c>
      <c r="AI119" s="41">
        <f t="shared" ca="1" si="76"/>
        <v>774.59662080689384</v>
      </c>
      <c r="AJ119" s="13">
        <f t="shared" ca="1" si="77"/>
        <v>0</v>
      </c>
      <c r="AK119" s="11"/>
      <c r="AL119" s="6">
        <v>0</v>
      </c>
      <c r="AM119" s="41">
        <f t="shared" si="78"/>
        <v>149.70815736023346</v>
      </c>
      <c r="AN119" s="41">
        <f t="shared" ca="1" si="79"/>
        <v>32.212064666239876</v>
      </c>
      <c r="AO119" s="6">
        <f t="shared" si="97"/>
        <v>12.857142857142858</v>
      </c>
      <c r="AP119" s="67">
        <f t="shared" si="98"/>
        <v>0.78851002802665648</v>
      </c>
      <c r="AQ119" s="11">
        <f t="shared" si="80"/>
        <v>0.92829992278098084</v>
      </c>
      <c r="AR119" s="11">
        <f t="shared" si="81"/>
        <v>0.49937958828402557</v>
      </c>
      <c r="AS119" s="11">
        <f t="shared" si="82"/>
        <v>0.53795069462894596</v>
      </c>
      <c r="AT119" s="11">
        <f t="shared" si="83"/>
        <v>481.48132094881129</v>
      </c>
      <c r="AU119" s="11">
        <f t="shared" si="84"/>
        <v>1056.7970723184205</v>
      </c>
      <c r="AV119" s="11">
        <f t="shared" si="85"/>
        <v>1.2786550060635417E-3</v>
      </c>
      <c r="AW119" s="11">
        <f t="shared" si="86"/>
        <v>3.5253330431988683E-7</v>
      </c>
      <c r="AX119" s="41">
        <f t="shared" ca="1" si="87"/>
        <v>2.1051139573811888</v>
      </c>
      <c r="AY119" s="41">
        <f t="shared" ca="1" si="88"/>
        <v>2.8356303240485685</v>
      </c>
      <c r="AZ119" s="41">
        <f t="shared" si="89"/>
        <v>0.33643114722663964</v>
      </c>
    </row>
    <row r="120" spans="1:52" ht="14.5">
      <c r="A120" s="41">
        <f t="shared" ca="1" si="90"/>
        <v>7314.7095559511372</v>
      </c>
      <c r="B120" s="41">
        <f t="shared" ca="1" si="100"/>
        <v>121.91182593251895</v>
      </c>
      <c r="C120" s="41">
        <f t="shared" ca="1" si="100"/>
        <v>2.0318637655419827</v>
      </c>
      <c r="D120" s="41">
        <f t="shared" ca="1" si="91"/>
        <v>11535.591580052956</v>
      </c>
      <c r="E120" s="41">
        <f t="shared" ca="1" si="92"/>
        <v>613.80261775959104</v>
      </c>
      <c r="F120" s="7">
        <f t="shared" si="93"/>
        <v>604.28571428571411</v>
      </c>
      <c r="G120" s="41"/>
      <c r="H120" s="7">
        <f t="shared" si="94"/>
        <v>17999.999700000015</v>
      </c>
      <c r="I120" s="6">
        <v>15</v>
      </c>
      <c r="J120" s="41">
        <f t="shared" si="53"/>
        <v>0.48511170265687215</v>
      </c>
      <c r="K120" s="41">
        <f t="shared" si="54"/>
        <v>521.82499599173559</v>
      </c>
      <c r="L120" s="6">
        <f t="shared" si="95"/>
        <v>230</v>
      </c>
      <c r="M120" s="41">
        <f t="shared" si="55"/>
        <v>309.1729609251675</v>
      </c>
      <c r="N120" s="41">
        <f t="shared" si="56"/>
        <v>174.08972710625903</v>
      </c>
      <c r="O120" s="41">
        <f t="shared" si="57"/>
        <v>1892683.9967677938</v>
      </c>
      <c r="P120" s="41">
        <f t="shared" si="58"/>
        <v>12152361.218326269</v>
      </c>
      <c r="Q120" s="41">
        <f t="shared" si="59"/>
        <v>2.8495774462929686E-3</v>
      </c>
      <c r="R120" s="41">
        <f t="shared" si="60"/>
        <v>1.9262624734378238E-2</v>
      </c>
      <c r="S120" s="24">
        <f t="shared" ca="1" si="96"/>
        <v>0</v>
      </c>
      <c r="T120" s="10">
        <f t="shared" ca="1" si="61"/>
        <v>0</v>
      </c>
      <c r="U120" s="41">
        <f t="shared" ca="1" si="62"/>
        <v>0.28809710276366463</v>
      </c>
      <c r="V120" s="41">
        <f t="shared" ca="1" si="63"/>
        <v>2.4504629030464312E-2</v>
      </c>
      <c r="W120" s="41">
        <f t="shared" ca="1" si="64"/>
        <v>11.756844080581692</v>
      </c>
      <c r="X120" s="20">
        <f t="shared" ca="1" si="65"/>
        <v>981.18096157333832</v>
      </c>
      <c r="Y120" s="41">
        <f t="shared" si="66"/>
        <v>0.55226552905832693</v>
      </c>
      <c r="Z120" s="41">
        <f t="shared" ca="1" si="67"/>
        <v>180.79595223457736</v>
      </c>
      <c r="AA120" s="14">
        <f t="shared" ca="1" si="68"/>
        <v>981.18096157333844</v>
      </c>
      <c r="AB120" s="14">
        <f t="shared" si="69"/>
        <v>2916.576547414023</v>
      </c>
      <c r="AC120" s="25">
        <f t="shared" ca="1" si="70"/>
        <v>512004.75134017458</v>
      </c>
      <c r="AD120" s="41">
        <f t="shared" si="71"/>
        <v>1521942.5451639127</v>
      </c>
      <c r="AE120" s="5">
        <f t="shared" ca="1" si="72"/>
        <v>33.641529568058161</v>
      </c>
      <c r="AF120" s="7">
        <f t="shared" ca="1" si="73"/>
        <v>981.18096157333832</v>
      </c>
      <c r="AG120" s="41">
        <f t="shared" ca="1" si="74"/>
        <v>1935.3955858406846</v>
      </c>
      <c r="AH120" s="41">
        <f t="shared" ca="1" si="75"/>
        <v>1009937.7938237381</v>
      </c>
      <c r="AI120" s="41">
        <f t="shared" ca="1" si="76"/>
        <v>773.67102750941478</v>
      </c>
      <c r="AJ120" s="13">
        <f t="shared" ca="1" si="77"/>
        <v>0</v>
      </c>
      <c r="AK120" s="11"/>
      <c r="AL120" s="6">
        <v>0</v>
      </c>
      <c r="AM120" s="41">
        <f t="shared" si="78"/>
        <v>149.70815736023346</v>
      </c>
      <c r="AN120" s="41">
        <f t="shared" ca="1" si="79"/>
        <v>32.173573314286934</v>
      </c>
      <c r="AO120" s="6">
        <f t="shared" si="97"/>
        <v>12.857142857142858</v>
      </c>
      <c r="AP120" s="67">
        <f t="shared" si="98"/>
        <v>0.78851002802665648</v>
      </c>
      <c r="AQ120" s="11">
        <f t="shared" si="80"/>
        <v>0.92829992278098084</v>
      </c>
      <c r="AR120" s="11">
        <f t="shared" si="81"/>
        <v>0.49937958828402557</v>
      </c>
      <c r="AS120" s="11">
        <f t="shared" si="82"/>
        <v>0.53795069462894596</v>
      </c>
      <c r="AT120" s="11">
        <f t="shared" si="83"/>
        <v>481.48132094881129</v>
      </c>
      <c r="AU120" s="11">
        <f t="shared" si="84"/>
        <v>1056.7970723184205</v>
      </c>
      <c r="AV120" s="11">
        <f t="shared" si="85"/>
        <v>1.2786550060635417E-3</v>
      </c>
      <c r="AW120" s="11">
        <f t="shared" si="86"/>
        <v>3.5253330431988683E-7</v>
      </c>
      <c r="AX120" s="41">
        <f t="shared" ca="1" si="87"/>
        <v>2.1104140616046578</v>
      </c>
      <c r="AY120" s="41">
        <f t="shared" ca="1" si="88"/>
        <v>2.842769669737665</v>
      </c>
      <c r="AZ120" s="41">
        <f t="shared" si="89"/>
        <v>0.33643114722663964</v>
      </c>
    </row>
    <row r="121" spans="1:52" ht="14.5">
      <c r="A121" s="41">
        <f t="shared" ca="1" si="90"/>
        <v>7464.4177133113708</v>
      </c>
      <c r="B121" s="41">
        <f t="shared" ca="1" si="100"/>
        <v>124.40696188852284</v>
      </c>
      <c r="C121" s="41">
        <f t="shared" ca="1" si="100"/>
        <v>2.073449364808714</v>
      </c>
      <c r="D121" s="41">
        <f t="shared" ca="1" si="91"/>
        <v>11503.41800673867</v>
      </c>
      <c r="E121" s="41">
        <f t="shared" ca="1" si="92"/>
        <v>626.65976061673393</v>
      </c>
      <c r="F121" s="7">
        <f t="shared" si="93"/>
        <v>617.142857142857</v>
      </c>
      <c r="G121" s="41"/>
      <c r="H121" s="7">
        <f t="shared" si="94"/>
        <v>17999.999700000015</v>
      </c>
      <c r="I121" s="6">
        <v>15</v>
      </c>
      <c r="J121" s="41">
        <f t="shared" si="53"/>
        <v>0.48511170265687215</v>
      </c>
      <c r="K121" s="41">
        <f t="shared" si="54"/>
        <v>521.82499599173559</v>
      </c>
      <c r="L121" s="6">
        <f t="shared" si="95"/>
        <v>230</v>
      </c>
      <c r="M121" s="41">
        <f t="shared" si="55"/>
        <v>309.1729609251675</v>
      </c>
      <c r="N121" s="41">
        <f t="shared" si="56"/>
        <v>174.08972710625903</v>
      </c>
      <c r="O121" s="41">
        <f t="shared" si="57"/>
        <v>1892683.9967677938</v>
      </c>
      <c r="P121" s="41">
        <f t="shared" si="58"/>
        <v>12152361.218326269</v>
      </c>
      <c r="Q121" s="41">
        <f t="shared" si="59"/>
        <v>2.8495774462929686E-3</v>
      </c>
      <c r="R121" s="41">
        <f t="shared" si="60"/>
        <v>1.9262624734378238E-2</v>
      </c>
      <c r="S121" s="24">
        <f t="shared" ca="1" si="96"/>
        <v>0</v>
      </c>
      <c r="T121" s="10">
        <f t="shared" ca="1" si="61"/>
        <v>0</v>
      </c>
      <c r="U121" s="41">
        <f t="shared" ca="1" si="62"/>
        <v>0.28729357975462988</v>
      </c>
      <c r="V121" s="41">
        <f t="shared" ca="1" si="63"/>
        <v>2.447542917288625E-2</v>
      </c>
      <c r="W121" s="41">
        <f t="shared" ca="1" si="64"/>
        <v>11.738040535480872</v>
      </c>
      <c r="X121" s="20">
        <f t="shared" ca="1" si="65"/>
        <v>980.01178066875786</v>
      </c>
      <c r="Y121" s="41">
        <f t="shared" si="66"/>
        <v>0.55226552905832693</v>
      </c>
      <c r="Z121" s="41">
        <f t="shared" ca="1" si="67"/>
        <v>180.54364989916743</v>
      </c>
      <c r="AA121" s="14">
        <f t="shared" ca="1" si="68"/>
        <v>980.01178066875786</v>
      </c>
      <c r="AB121" s="14">
        <f t="shared" si="69"/>
        <v>2916.576547414023</v>
      </c>
      <c r="AC121" s="25">
        <f t="shared" ca="1" si="70"/>
        <v>511394.64351932821</v>
      </c>
      <c r="AD121" s="41">
        <f t="shared" si="71"/>
        <v>1521942.5451639127</v>
      </c>
      <c r="AE121" s="5">
        <f t="shared" ca="1" si="72"/>
        <v>33.601442126992467</v>
      </c>
      <c r="AF121" s="7">
        <f t="shared" ca="1" si="73"/>
        <v>980.01178066875786</v>
      </c>
      <c r="AG121" s="41">
        <f t="shared" ca="1" si="74"/>
        <v>1936.5647667452652</v>
      </c>
      <c r="AH121" s="41">
        <f t="shared" ca="1" si="75"/>
        <v>1010547.9016445845</v>
      </c>
      <c r="AI121" s="41">
        <f t="shared" ca="1" si="76"/>
        <v>772.74911664157582</v>
      </c>
      <c r="AJ121" s="13">
        <f t="shared" ca="1" si="77"/>
        <v>0</v>
      </c>
      <c r="AK121" s="11"/>
      <c r="AL121" s="6">
        <v>0</v>
      </c>
      <c r="AM121" s="41">
        <f t="shared" si="78"/>
        <v>149.70815736023346</v>
      </c>
      <c r="AN121" s="41">
        <f t="shared" ca="1" si="79"/>
        <v>32.135235098377336</v>
      </c>
      <c r="AO121" s="6">
        <f t="shared" si="97"/>
        <v>12.857142857142858</v>
      </c>
      <c r="AP121" s="67">
        <f t="shared" si="98"/>
        <v>0.78851002802665648</v>
      </c>
      <c r="AQ121" s="11">
        <f t="shared" si="80"/>
        <v>0.92829992278098084</v>
      </c>
      <c r="AR121" s="11">
        <f t="shared" si="81"/>
        <v>0.49937958828402557</v>
      </c>
      <c r="AS121" s="11">
        <f t="shared" si="82"/>
        <v>0.53795069462894596</v>
      </c>
      <c r="AT121" s="11">
        <f t="shared" si="83"/>
        <v>481.48132094881129</v>
      </c>
      <c r="AU121" s="11">
        <f t="shared" si="84"/>
        <v>1056.7970723184205</v>
      </c>
      <c r="AV121" s="11">
        <f t="shared" si="85"/>
        <v>1.2786550060635417E-3</v>
      </c>
      <c r="AW121" s="11">
        <f t="shared" si="86"/>
        <v>3.5253330431988683E-7</v>
      </c>
      <c r="AX121" s="41">
        <f t="shared" ca="1" si="87"/>
        <v>2.1157391815229389</v>
      </c>
      <c r="AY121" s="41">
        <f t="shared" ca="1" si="88"/>
        <v>2.8499427120646743</v>
      </c>
      <c r="AZ121" s="41">
        <f t="shared" si="89"/>
        <v>0.33643114722663964</v>
      </c>
    </row>
    <row r="122" spans="1:52" ht="14.5">
      <c r="A122" s="41">
        <f t="shared" ca="1" si="90"/>
        <v>7614.1258706716044</v>
      </c>
      <c r="B122" s="41">
        <f t="shared" ca="1" si="100"/>
        <v>126.90209784452674</v>
      </c>
      <c r="C122" s="41">
        <f t="shared" ca="1" si="100"/>
        <v>2.1150349640754458</v>
      </c>
      <c r="D122" s="41">
        <f t="shared" ca="1" si="91"/>
        <v>11471.282771640292</v>
      </c>
      <c r="E122" s="41">
        <f t="shared" ca="1" si="92"/>
        <v>639.51690347387682</v>
      </c>
      <c r="F122" s="7">
        <f t="shared" si="93"/>
        <v>629.99999999999989</v>
      </c>
      <c r="G122" s="41"/>
      <c r="H122" s="7">
        <f t="shared" si="94"/>
        <v>17999.999700000015</v>
      </c>
      <c r="I122" s="6">
        <v>15</v>
      </c>
      <c r="J122" s="41">
        <f t="shared" si="53"/>
        <v>0.48511170265687215</v>
      </c>
      <c r="K122" s="41">
        <f t="shared" si="54"/>
        <v>521.82499599173559</v>
      </c>
      <c r="L122" s="6">
        <f t="shared" si="95"/>
        <v>230</v>
      </c>
      <c r="M122" s="41">
        <f t="shared" si="55"/>
        <v>309.1729609251675</v>
      </c>
      <c r="N122" s="41">
        <f t="shared" si="56"/>
        <v>174.08972710625903</v>
      </c>
      <c r="O122" s="41">
        <f t="shared" si="57"/>
        <v>1892683.9967677938</v>
      </c>
      <c r="P122" s="41">
        <f t="shared" si="58"/>
        <v>12152361.218326269</v>
      </c>
      <c r="Q122" s="41">
        <f t="shared" si="59"/>
        <v>2.8495774462929686E-3</v>
      </c>
      <c r="R122" s="41">
        <f t="shared" si="60"/>
        <v>1.9262624734378238E-2</v>
      </c>
      <c r="S122" s="24">
        <f t="shared" ca="1" si="96"/>
        <v>5.6783326828459573E-16</v>
      </c>
      <c r="T122" s="10">
        <f t="shared" ca="1" si="61"/>
        <v>5.6783326828459573E-16</v>
      </c>
      <c r="U122" s="41">
        <f t="shared" ca="1" si="62"/>
        <v>0.28649101422825662</v>
      </c>
      <c r="V122" s="41">
        <f t="shared" ca="1" si="63"/>
        <v>2.4446345518493721E-2</v>
      </c>
      <c r="W122" s="41">
        <f t="shared" ca="1" si="64"/>
        <v>11.719175531227171</v>
      </c>
      <c r="X122" s="20">
        <f t="shared" ca="1" si="65"/>
        <v>978.8472526137748</v>
      </c>
      <c r="Y122" s="41">
        <f t="shared" si="66"/>
        <v>0.55226552905832693</v>
      </c>
      <c r="Z122" s="41">
        <f t="shared" ca="1" si="67"/>
        <v>180.29129576420172</v>
      </c>
      <c r="AA122" s="14">
        <f t="shared" ca="1" si="68"/>
        <v>978.84725261377491</v>
      </c>
      <c r="AB122" s="14">
        <f t="shared" si="69"/>
        <v>2916.576547414023</v>
      </c>
      <c r="AC122" s="25">
        <f t="shared" ca="1" si="70"/>
        <v>510786.96367170446</v>
      </c>
      <c r="AD122" s="41">
        <f t="shared" si="71"/>
        <v>1521942.5451639127</v>
      </c>
      <c r="AE122" s="5">
        <f t="shared" ca="1" si="72"/>
        <v>33.561514217127886</v>
      </c>
      <c r="AF122" s="7">
        <f t="shared" ca="1" si="73"/>
        <v>978.84725261377491</v>
      </c>
      <c r="AG122" s="41">
        <f t="shared" ca="1" si="74"/>
        <v>1937.7292948002482</v>
      </c>
      <c r="AH122" s="41">
        <f t="shared" ca="1" si="75"/>
        <v>1011155.5814922082</v>
      </c>
      <c r="AI122" s="41">
        <f t="shared" ca="1" si="76"/>
        <v>771.8308745923033</v>
      </c>
      <c r="AJ122" s="13">
        <f t="shared" ca="1" si="77"/>
        <v>5.1715780021620444E-15</v>
      </c>
      <c r="AK122" s="11"/>
      <c r="AL122" s="6">
        <v>0</v>
      </c>
      <c r="AM122" s="41">
        <f t="shared" si="78"/>
        <v>149.70815736023346</v>
      </c>
      <c r="AN122" s="41">
        <f t="shared" ca="1" si="79"/>
        <v>32.097049452486431</v>
      </c>
      <c r="AO122" s="6">
        <f t="shared" si="97"/>
        <v>12.857142857142858</v>
      </c>
      <c r="AP122" s="67">
        <f t="shared" si="98"/>
        <v>0.78851002802665648</v>
      </c>
      <c r="AQ122" s="11">
        <f t="shared" si="80"/>
        <v>0.92829992278098084</v>
      </c>
      <c r="AR122" s="11">
        <f t="shared" si="81"/>
        <v>0.49937958828402557</v>
      </c>
      <c r="AS122" s="11">
        <f t="shared" si="82"/>
        <v>0.53795069462894596</v>
      </c>
      <c r="AT122" s="11">
        <f t="shared" si="83"/>
        <v>481.48132094881129</v>
      </c>
      <c r="AU122" s="11">
        <f t="shared" si="84"/>
        <v>1056.7970723184205</v>
      </c>
      <c r="AV122" s="11">
        <f t="shared" si="85"/>
        <v>1.2786550060635417E-3</v>
      </c>
      <c r="AW122" s="11">
        <f t="shared" si="86"/>
        <v>3.5253330431988683E-7</v>
      </c>
      <c r="AX122" s="41">
        <f t="shared" ca="1" si="87"/>
        <v>2.1210894925132409</v>
      </c>
      <c r="AY122" s="41">
        <f t="shared" ca="1" si="88"/>
        <v>2.8571496872661801</v>
      </c>
      <c r="AZ122" s="41">
        <f t="shared" si="89"/>
        <v>0.33643114722663964</v>
      </c>
    </row>
    <row r="123" spans="1:52" ht="14.5">
      <c r="A123" s="41">
        <f t="shared" ca="1" si="90"/>
        <v>7763.834028031838</v>
      </c>
      <c r="B123" s="41">
        <f t="shared" ca="1" si="100"/>
        <v>129.39723380053064</v>
      </c>
      <c r="C123" s="41">
        <f t="shared" ca="1" si="100"/>
        <v>2.1566205633421776</v>
      </c>
      <c r="D123" s="41">
        <f t="shared" ca="1" si="91"/>
        <v>11439.185722187805</v>
      </c>
      <c r="E123" s="41">
        <f t="shared" ca="1" si="92"/>
        <v>652.37404633101971</v>
      </c>
      <c r="F123" s="7">
        <f t="shared" si="93"/>
        <v>642.85714285714278</v>
      </c>
      <c r="G123" s="41"/>
      <c r="H123" s="7">
        <f t="shared" si="94"/>
        <v>17999.999700000015</v>
      </c>
      <c r="I123" s="6">
        <v>15</v>
      </c>
      <c r="J123" s="41">
        <f t="shared" si="53"/>
        <v>0.48511170265687215</v>
      </c>
      <c r="K123" s="41">
        <f t="shared" si="54"/>
        <v>521.82499599173559</v>
      </c>
      <c r="L123" s="6">
        <f t="shared" si="95"/>
        <v>230</v>
      </c>
      <c r="M123" s="41">
        <f t="shared" si="55"/>
        <v>309.1729609251675</v>
      </c>
      <c r="N123" s="41">
        <f t="shared" si="56"/>
        <v>174.08972710625903</v>
      </c>
      <c r="O123" s="41">
        <f t="shared" si="57"/>
        <v>1892683.9967677938</v>
      </c>
      <c r="P123" s="41">
        <f t="shared" si="58"/>
        <v>12152361.218326269</v>
      </c>
      <c r="Q123" s="41">
        <f t="shared" si="59"/>
        <v>2.8495774462929686E-3</v>
      </c>
      <c r="R123" s="41">
        <f t="shared" si="60"/>
        <v>1.9262624734378238E-2</v>
      </c>
      <c r="S123" s="24">
        <f t="shared" ca="1" si="96"/>
        <v>5.6942654362215286E-16</v>
      </c>
      <c r="T123" s="10">
        <f t="shared" ca="1" si="61"/>
        <v>5.6942654362215286E-16</v>
      </c>
      <c r="U123" s="41">
        <f t="shared" ca="1" si="62"/>
        <v>0.28568940237416557</v>
      </c>
      <c r="V123" s="41">
        <f t="shared" ca="1" si="63"/>
        <v>2.4417377638589907E-2</v>
      </c>
      <c r="W123" s="41">
        <f t="shared" ca="1" si="64"/>
        <v>11.700249166915206</v>
      </c>
      <c r="X123" s="20">
        <f t="shared" ca="1" si="65"/>
        <v>977.68736024309544</v>
      </c>
      <c r="Y123" s="41">
        <f t="shared" si="66"/>
        <v>0.55226552905832693</v>
      </c>
      <c r="Z123" s="41">
        <f t="shared" ca="1" si="67"/>
        <v>180.03888841123003</v>
      </c>
      <c r="AA123" s="14">
        <f t="shared" ca="1" si="68"/>
        <v>977.68736024309544</v>
      </c>
      <c r="AB123" s="14">
        <f t="shared" si="69"/>
        <v>2916.576547414023</v>
      </c>
      <c r="AC123" s="25">
        <f t="shared" ca="1" si="70"/>
        <v>510181.70284002385</v>
      </c>
      <c r="AD123" s="41">
        <f t="shared" si="71"/>
        <v>1521942.5451639127</v>
      </c>
      <c r="AE123" s="5">
        <f t="shared" ca="1" si="72"/>
        <v>33.521745249921871</v>
      </c>
      <c r="AF123" s="7">
        <f t="shared" ca="1" si="73"/>
        <v>977.68736024309555</v>
      </c>
      <c r="AG123" s="41">
        <f t="shared" ca="1" si="74"/>
        <v>1938.8891871709275</v>
      </c>
      <c r="AH123" s="41">
        <f t="shared" ca="1" si="75"/>
        <v>1011760.8423238888</v>
      </c>
      <c r="AI123" s="41">
        <f t="shared" ca="1" si="76"/>
        <v>770.91628782659109</v>
      </c>
      <c r="AJ123" s="13">
        <f t="shared" ca="1" si="77"/>
        <v>5.1860888597452753E-15</v>
      </c>
      <c r="AK123" s="11"/>
      <c r="AL123" s="6">
        <v>0</v>
      </c>
      <c r="AM123" s="41">
        <f t="shared" si="78"/>
        <v>149.70815736023346</v>
      </c>
      <c r="AN123" s="41">
        <f t="shared" ca="1" si="79"/>
        <v>32.059015813752865</v>
      </c>
      <c r="AO123" s="6">
        <f t="shared" si="97"/>
        <v>12.857142857142858</v>
      </c>
      <c r="AP123" s="67">
        <f t="shared" si="98"/>
        <v>0.78851002802665648</v>
      </c>
      <c r="AQ123" s="11">
        <f t="shared" si="80"/>
        <v>0.92829992278098084</v>
      </c>
      <c r="AR123" s="11">
        <f t="shared" si="81"/>
        <v>0.49937958828402557</v>
      </c>
      <c r="AS123" s="11">
        <f t="shared" si="82"/>
        <v>0.53795069462894596</v>
      </c>
      <c r="AT123" s="11">
        <f t="shared" si="83"/>
        <v>481.48132094881129</v>
      </c>
      <c r="AU123" s="11">
        <f t="shared" si="84"/>
        <v>1056.7970723184205</v>
      </c>
      <c r="AV123" s="11">
        <f t="shared" si="85"/>
        <v>1.2786550060635417E-3</v>
      </c>
      <c r="AW123" s="11">
        <f t="shared" si="86"/>
        <v>3.5253330431988683E-7</v>
      </c>
      <c r="AX123" s="41">
        <f t="shared" ca="1" si="87"/>
        <v>2.1264651716580518</v>
      </c>
      <c r="AY123" s="41">
        <f t="shared" ca="1" si="88"/>
        <v>2.8643908338758131</v>
      </c>
      <c r="AZ123" s="41">
        <f t="shared" si="89"/>
        <v>0.33643114722663964</v>
      </c>
    </row>
    <row r="124" spans="1:52" ht="14.5">
      <c r="A124" s="41">
        <f t="shared" ca="1" si="90"/>
        <v>7913.5421853920716</v>
      </c>
      <c r="B124" s="41">
        <f t="shared" ca="1" si="100"/>
        <v>131.89236975653452</v>
      </c>
      <c r="C124" s="41">
        <f t="shared" ca="1" si="100"/>
        <v>2.1982061626089089</v>
      </c>
      <c r="D124" s="41">
        <f t="shared" ca="1" si="91"/>
        <v>11407.126706374052</v>
      </c>
      <c r="E124" s="41">
        <f t="shared" ca="1" si="92"/>
        <v>665.2311891881626</v>
      </c>
      <c r="F124" s="7">
        <f t="shared" si="93"/>
        <v>655.71428571428567</v>
      </c>
      <c r="G124" s="41"/>
      <c r="H124" s="7">
        <f t="shared" si="94"/>
        <v>17999.999700000015</v>
      </c>
      <c r="I124" s="6">
        <v>15</v>
      </c>
      <c r="J124" s="41">
        <f t="shared" si="53"/>
        <v>0.48511170265687215</v>
      </c>
      <c r="K124" s="41">
        <f t="shared" si="54"/>
        <v>521.82499599173559</v>
      </c>
      <c r="L124" s="6">
        <f t="shared" si="95"/>
        <v>230</v>
      </c>
      <c r="M124" s="41">
        <f t="shared" si="55"/>
        <v>309.1729609251675</v>
      </c>
      <c r="N124" s="41">
        <f t="shared" si="56"/>
        <v>174.08972710625903</v>
      </c>
      <c r="O124" s="41">
        <f t="shared" si="57"/>
        <v>1892683.9967677938</v>
      </c>
      <c r="P124" s="41">
        <f t="shared" si="58"/>
        <v>12152361.218326269</v>
      </c>
      <c r="Q124" s="41">
        <f t="shared" si="59"/>
        <v>2.8495774462929686E-3</v>
      </c>
      <c r="R124" s="41">
        <f t="shared" si="60"/>
        <v>1.9262624734378238E-2</v>
      </c>
      <c r="S124" s="24">
        <f t="shared" ca="1" si="96"/>
        <v>-1.1420537625829172E-15</v>
      </c>
      <c r="T124" s="10">
        <f t="shared" ca="1" si="61"/>
        <v>-1.1420537625829172E-15</v>
      </c>
      <c r="U124" s="41">
        <f t="shared" ca="1" si="62"/>
        <v>0.28488874039603457</v>
      </c>
      <c r="V124" s="41">
        <f t="shared" ca="1" si="63"/>
        <v>2.4388525106872685E-2</v>
      </c>
      <c r="W124" s="41">
        <f t="shared" ca="1" si="64"/>
        <v>11.681261541959868</v>
      </c>
      <c r="X124" s="20">
        <f t="shared" ca="1" si="65"/>
        <v>976.53208648731095</v>
      </c>
      <c r="Y124" s="41">
        <f t="shared" si="66"/>
        <v>0.55226552905832693</v>
      </c>
      <c r="Z124" s="41">
        <f t="shared" ca="1" si="67"/>
        <v>179.78642641822577</v>
      </c>
      <c r="AA124" s="14">
        <f t="shared" ca="1" si="68"/>
        <v>976.53208648731083</v>
      </c>
      <c r="AB124" s="14">
        <f t="shared" si="69"/>
        <v>2916.576547414023</v>
      </c>
      <c r="AC124" s="25">
        <f t="shared" ca="1" si="70"/>
        <v>509578.85211704217</v>
      </c>
      <c r="AD124" s="41">
        <f t="shared" si="71"/>
        <v>1521942.5451639127</v>
      </c>
      <c r="AE124" s="5">
        <f t="shared" ca="1" si="72"/>
        <v>33.482134640119462</v>
      </c>
      <c r="AF124" s="7">
        <f t="shared" ca="1" si="73"/>
        <v>976.53208648731072</v>
      </c>
      <c r="AG124" s="41">
        <f t="shared" ca="1" si="74"/>
        <v>1940.0444609267122</v>
      </c>
      <c r="AH124" s="41">
        <f t="shared" ca="1" si="75"/>
        <v>1012363.6930468705</v>
      </c>
      <c r="AI124" s="41">
        <f t="shared" ca="1" si="76"/>
        <v>770.00534288503866</v>
      </c>
      <c r="AJ124" s="13">
        <f t="shared" ca="1" si="77"/>
        <v>-1.0401328075938014E-14</v>
      </c>
      <c r="AK124" s="11"/>
      <c r="AL124" s="6">
        <v>0</v>
      </c>
      <c r="AM124" s="41">
        <f t="shared" si="78"/>
        <v>149.70815736023346</v>
      </c>
      <c r="AN124" s="41">
        <f t="shared" ca="1" si="79"/>
        <v>32.021133622459409</v>
      </c>
      <c r="AO124" s="6">
        <f t="shared" si="97"/>
        <v>12.857142857142858</v>
      </c>
      <c r="AP124" s="67">
        <f t="shared" si="98"/>
        <v>0.78851002802665648</v>
      </c>
      <c r="AQ124" s="11">
        <f t="shared" si="80"/>
        <v>0.92829992278098084</v>
      </c>
      <c r="AR124" s="11">
        <f t="shared" si="81"/>
        <v>0.49937958828402557</v>
      </c>
      <c r="AS124" s="11">
        <f t="shared" si="82"/>
        <v>0.53795069462894596</v>
      </c>
      <c r="AT124" s="11">
        <f t="shared" si="83"/>
        <v>481.48132094881129</v>
      </c>
      <c r="AU124" s="11">
        <f t="shared" si="84"/>
        <v>1056.7970723184205</v>
      </c>
      <c r="AV124" s="11">
        <f t="shared" si="85"/>
        <v>1.2786550060635417E-3</v>
      </c>
      <c r="AW124" s="11">
        <f t="shared" si="86"/>
        <v>3.5253330431988683E-7</v>
      </c>
      <c r="AX124" s="41">
        <f t="shared" ca="1" si="87"/>
        <v>2.1318663977654619</v>
      </c>
      <c r="AY124" s="41">
        <f t="shared" ca="1" si="88"/>
        <v>2.8716663927516226</v>
      </c>
      <c r="AZ124" s="41">
        <f t="shared" si="89"/>
        <v>0.33643114722663964</v>
      </c>
    </row>
    <row r="125" spans="1:52" ht="14.5">
      <c r="A125" s="41">
        <f t="shared" ca="1" si="90"/>
        <v>8063.2503427523052</v>
      </c>
      <c r="B125" s="41">
        <f t="shared" ca="1" si="100"/>
        <v>134.38750571253843</v>
      </c>
      <c r="C125" s="41">
        <f t="shared" ca="1" si="100"/>
        <v>2.2397917618756407</v>
      </c>
      <c r="D125" s="41">
        <f t="shared" ca="1" si="91"/>
        <v>11375.105572751592</v>
      </c>
      <c r="E125" s="41">
        <f t="shared" ca="1" si="92"/>
        <v>678.08833204530549</v>
      </c>
      <c r="F125" s="7">
        <f t="shared" si="93"/>
        <v>668.57142857142856</v>
      </c>
      <c r="G125" s="41"/>
      <c r="H125" s="7">
        <f t="shared" si="94"/>
        <v>17999.999700000015</v>
      </c>
      <c r="I125" s="6">
        <v>15</v>
      </c>
      <c r="J125" s="41">
        <f t="shared" si="53"/>
        <v>0.48511170265687215</v>
      </c>
      <c r="K125" s="41">
        <f t="shared" si="54"/>
        <v>521.82499599173559</v>
      </c>
      <c r="L125" s="6">
        <f t="shared" si="95"/>
        <v>230</v>
      </c>
      <c r="M125" s="41">
        <f t="shared" si="55"/>
        <v>309.1729609251675</v>
      </c>
      <c r="N125" s="41">
        <f t="shared" si="56"/>
        <v>174.08972710625903</v>
      </c>
      <c r="O125" s="41">
        <f t="shared" si="57"/>
        <v>1892683.9967677938</v>
      </c>
      <c r="P125" s="41">
        <f t="shared" si="58"/>
        <v>12152361.218326269</v>
      </c>
      <c r="Q125" s="41">
        <f t="shared" si="59"/>
        <v>2.8495774462929686E-3</v>
      </c>
      <c r="R125" s="41">
        <f t="shared" si="60"/>
        <v>1.9262624734378238E-2</v>
      </c>
      <c r="S125" s="24">
        <f t="shared" ca="1" si="96"/>
        <v>-1.1452686651525515E-15</v>
      </c>
      <c r="T125" s="10">
        <f t="shared" ca="1" si="61"/>
        <v>-1.1452686651525515E-15</v>
      </c>
      <c r="U125" s="41">
        <f t="shared" ca="1" si="62"/>
        <v>0.28408902451152018</v>
      </c>
      <c r="V125" s="41">
        <f t="shared" ca="1" si="63"/>
        <v>2.4359787499420103E-2</v>
      </c>
      <c r="W125" s="41">
        <f t="shared" ca="1" si="64"/>
        <v>11.662212756095801</v>
      </c>
      <c r="X125" s="20">
        <f t="shared" ca="1" si="65"/>
        <v>975.38141437231639</v>
      </c>
      <c r="Y125" s="41">
        <f t="shared" si="66"/>
        <v>0.55226552905832693</v>
      </c>
      <c r="Z125" s="41">
        <f t="shared" ca="1" si="67"/>
        <v>179.53390835953158</v>
      </c>
      <c r="AA125" s="14">
        <f t="shared" ca="1" si="68"/>
        <v>975.38141437231639</v>
      </c>
      <c r="AB125" s="14">
        <f t="shared" si="69"/>
        <v>2916.576547414023</v>
      </c>
      <c r="AC125" s="25">
        <f t="shared" ca="1" si="70"/>
        <v>508978.40264524741</v>
      </c>
      <c r="AD125" s="41">
        <f t="shared" si="71"/>
        <v>1521942.5451639127</v>
      </c>
      <c r="AE125" s="5">
        <f t="shared" ca="1" si="72"/>
        <v>33.442681805733379</v>
      </c>
      <c r="AF125" s="7">
        <f t="shared" ca="1" si="73"/>
        <v>975.38141437231616</v>
      </c>
      <c r="AG125" s="41">
        <f t="shared" ca="1" si="74"/>
        <v>1941.1951330417066</v>
      </c>
      <c r="AH125" s="41">
        <f t="shared" ca="1" si="75"/>
        <v>1012964.1425186653</v>
      </c>
      <c r="AI125" s="41">
        <f t="shared" ca="1" si="76"/>
        <v>769.09802638339488</v>
      </c>
      <c r="AJ125" s="13">
        <f t="shared" ca="1" si="77"/>
        <v>-1.0430608007806824E-14</v>
      </c>
      <c r="AK125" s="11"/>
      <c r="AL125" s="6">
        <v>0</v>
      </c>
      <c r="AM125" s="41">
        <f t="shared" si="78"/>
        <v>149.70815736023346</v>
      </c>
      <c r="AN125" s="41">
        <f t="shared" ca="1" si="79"/>
        <v>31.983402322013958</v>
      </c>
      <c r="AO125" s="6">
        <f t="shared" si="97"/>
        <v>12.857142857142858</v>
      </c>
      <c r="AP125" s="67">
        <f t="shared" si="98"/>
        <v>0.78851002802665648</v>
      </c>
      <c r="AQ125" s="11">
        <f t="shared" si="80"/>
        <v>0.92829992278098084</v>
      </c>
      <c r="AR125" s="11">
        <f t="shared" si="81"/>
        <v>0.49937958828402557</v>
      </c>
      <c r="AS125" s="11">
        <f t="shared" si="82"/>
        <v>0.53795069462894596</v>
      </c>
      <c r="AT125" s="11">
        <f t="shared" si="83"/>
        <v>481.48132094881129</v>
      </c>
      <c r="AU125" s="11">
        <f t="shared" si="84"/>
        <v>1056.7970723184205</v>
      </c>
      <c r="AV125" s="11">
        <f t="shared" si="85"/>
        <v>1.2786550060635417E-3</v>
      </c>
      <c r="AW125" s="11">
        <f t="shared" si="86"/>
        <v>3.5253330431988683E-7</v>
      </c>
      <c r="AX125" s="41">
        <f t="shared" ca="1" si="87"/>
        <v>2.1372933513897854</v>
      </c>
      <c r="AY125" s="41">
        <f t="shared" ca="1" si="88"/>
        <v>2.8789766071038567</v>
      </c>
      <c r="AZ125" s="41">
        <f t="shared" si="89"/>
        <v>0.33643114722663964</v>
      </c>
    </row>
    <row r="126" spans="1:52" ht="14.5">
      <c r="A126" s="41">
        <f t="shared" ca="1" si="90"/>
        <v>8212.9585001125379</v>
      </c>
      <c r="B126" s="41">
        <f t="shared" ca="1" si="100"/>
        <v>136.88264166854231</v>
      </c>
      <c r="C126" s="41">
        <f t="shared" ca="1" si="100"/>
        <v>2.2813773611423716</v>
      </c>
      <c r="D126" s="41">
        <f t="shared" ca="1" si="91"/>
        <v>11343.122170429579</v>
      </c>
      <c r="E126" s="41">
        <f t="shared" ca="1" si="92"/>
        <v>690.94547490244838</v>
      </c>
      <c r="F126" s="7">
        <f t="shared" si="93"/>
        <v>681.42857142857144</v>
      </c>
      <c r="G126" s="41"/>
      <c r="H126" s="7">
        <f t="shared" si="94"/>
        <v>17999.999700000015</v>
      </c>
      <c r="I126" s="6">
        <v>15</v>
      </c>
      <c r="J126" s="41">
        <f t="shared" si="53"/>
        <v>0.48511170265687215</v>
      </c>
      <c r="K126" s="41">
        <f t="shared" si="54"/>
        <v>521.82499599173559</v>
      </c>
      <c r="L126" s="6">
        <f t="shared" si="95"/>
        <v>230</v>
      </c>
      <c r="M126" s="41">
        <f t="shared" si="55"/>
        <v>309.1729609251675</v>
      </c>
      <c r="N126" s="41">
        <f t="shared" si="56"/>
        <v>174.08972710625903</v>
      </c>
      <c r="O126" s="41">
        <f t="shared" si="57"/>
        <v>1892683.9967677938</v>
      </c>
      <c r="P126" s="41">
        <f t="shared" si="58"/>
        <v>12152361.218326269</v>
      </c>
      <c r="Q126" s="41">
        <f t="shared" si="59"/>
        <v>2.8495774462929686E-3</v>
      </c>
      <c r="R126" s="41">
        <f t="shared" si="60"/>
        <v>1.9262624734378238E-2</v>
      </c>
      <c r="S126" s="24">
        <f t="shared" ca="1" si="96"/>
        <v>0</v>
      </c>
      <c r="T126" s="10">
        <f t="shared" ca="1" si="61"/>
        <v>0</v>
      </c>
      <c r="U126" s="41">
        <f t="shared" ca="1" si="62"/>
        <v>0.28329025095217969</v>
      </c>
      <c r="V126" s="41">
        <f t="shared" ca="1" si="63"/>
        <v>2.433116439467602E-2</v>
      </c>
      <c r="W126" s="41">
        <f t="shared" ca="1" si="64"/>
        <v>11.643102909376887</v>
      </c>
      <c r="X126" s="20">
        <f t="shared" ca="1" si="65"/>
        <v>974.23532701873523</v>
      </c>
      <c r="Y126" s="41">
        <f t="shared" si="66"/>
        <v>0.55226552905832693</v>
      </c>
      <c r="Z126" s="41">
        <f t="shared" ca="1" si="67"/>
        <v>179.28133280580482</v>
      </c>
      <c r="AA126" s="14">
        <f t="shared" ca="1" si="68"/>
        <v>974.23532701873512</v>
      </c>
      <c r="AB126" s="14">
        <f t="shared" si="69"/>
        <v>2916.576547414023</v>
      </c>
      <c r="AC126" s="25">
        <f t="shared" ca="1" si="70"/>
        <v>508380.34561655868</v>
      </c>
      <c r="AD126" s="41">
        <f t="shared" si="71"/>
        <v>1521942.5451639127</v>
      </c>
      <c r="AE126" s="5">
        <f t="shared" ca="1" si="72"/>
        <v>33.403386168024255</v>
      </c>
      <c r="AF126" s="7">
        <f t="shared" ca="1" si="73"/>
        <v>974.23532701873523</v>
      </c>
      <c r="AG126" s="41">
        <f t="shared" ca="1" si="74"/>
        <v>1942.341220395288</v>
      </c>
      <c r="AH126" s="41">
        <f t="shared" ca="1" si="75"/>
        <v>1013562.199547354</v>
      </c>
      <c r="AI126" s="41">
        <f t="shared" ca="1" si="76"/>
        <v>768.19432501210179</v>
      </c>
      <c r="AJ126" s="13">
        <f t="shared" ca="1" si="77"/>
        <v>0</v>
      </c>
      <c r="AK126" s="11"/>
      <c r="AL126" s="6">
        <v>0</v>
      </c>
      <c r="AM126" s="41">
        <f t="shared" si="78"/>
        <v>149.70815736023346</v>
      </c>
      <c r="AN126" s="41">
        <f t="shared" ca="1" si="79"/>
        <v>31.945821358930569</v>
      </c>
      <c r="AO126" s="6">
        <f t="shared" si="97"/>
        <v>12.857142857142858</v>
      </c>
      <c r="AP126" s="67">
        <f t="shared" si="98"/>
        <v>0.78851002802665648</v>
      </c>
      <c r="AQ126" s="11">
        <f t="shared" si="80"/>
        <v>0.92829992278098084</v>
      </c>
      <c r="AR126" s="11">
        <f t="shared" si="81"/>
        <v>0.49937958828402557</v>
      </c>
      <c r="AS126" s="11">
        <f t="shared" si="82"/>
        <v>0.53795069462894596</v>
      </c>
      <c r="AT126" s="11">
        <f t="shared" si="83"/>
        <v>481.48132094881129</v>
      </c>
      <c r="AU126" s="11">
        <f t="shared" si="84"/>
        <v>1056.7970723184205</v>
      </c>
      <c r="AV126" s="11">
        <f t="shared" si="85"/>
        <v>1.2786550060635417E-3</v>
      </c>
      <c r="AW126" s="11">
        <f t="shared" si="86"/>
        <v>3.5253330431988683E-7</v>
      </c>
      <c r="AX126" s="41">
        <f t="shared" ca="1" si="87"/>
        <v>2.1427462148524818</v>
      </c>
      <c r="AY126" s="41">
        <f t="shared" ca="1" si="88"/>
        <v>2.8863217225231446</v>
      </c>
      <c r="AZ126" s="41">
        <f t="shared" si="89"/>
        <v>0.33643114722663964</v>
      </c>
    </row>
    <row r="127" spans="1:52" ht="14.5">
      <c r="A127" s="41">
        <f t="shared" ca="1" si="90"/>
        <v>8362.6666574727715</v>
      </c>
      <c r="B127" s="41">
        <f t="shared" ca="1" si="100"/>
        <v>139.37777762454618</v>
      </c>
      <c r="C127" s="41">
        <f t="shared" ca="1" si="100"/>
        <v>2.3229629604091029</v>
      </c>
      <c r="D127" s="41">
        <f t="shared" ca="1" si="91"/>
        <v>11311.176349070647</v>
      </c>
      <c r="E127" s="41">
        <f t="shared" ca="1" si="92"/>
        <v>703.80261775959127</v>
      </c>
      <c r="F127" s="7">
        <f t="shared" si="93"/>
        <v>694.28571428571433</v>
      </c>
      <c r="G127" s="41"/>
      <c r="H127" s="7">
        <f t="shared" si="94"/>
        <v>17999.999700000015</v>
      </c>
      <c r="I127" s="6">
        <v>15</v>
      </c>
      <c r="J127" s="41">
        <f t="shared" si="53"/>
        <v>0.48511170265687215</v>
      </c>
      <c r="K127" s="41">
        <f t="shared" si="54"/>
        <v>521.82499599173559</v>
      </c>
      <c r="L127" s="6">
        <f t="shared" si="95"/>
        <v>230</v>
      </c>
      <c r="M127" s="41">
        <f t="shared" si="55"/>
        <v>309.1729609251675</v>
      </c>
      <c r="N127" s="41">
        <f t="shared" si="56"/>
        <v>174.08972710625903</v>
      </c>
      <c r="O127" s="41">
        <f t="shared" si="57"/>
        <v>1892683.9967677938</v>
      </c>
      <c r="P127" s="41">
        <f t="shared" si="58"/>
        <v>12152361.218326269</v>
      </c>
      <c r="Q127" s="41">
        <f t="shared" si="59"/>
        <v>2.8495774462929686E-3</v>
      </c>
      <c r="R127" s="41">
        <f t="shared" si="60"/>
        <v>1.9262624734378238E-2</v>
      </c>
      <c r="S127" s="24">
        <f t="shared" ca="1" si="96"/>
        <v>5.7587078360532053E-16</v>
      </c>
      <c r="T127" s="10">
        <f t="shared" ca="1" si="61"/>
        <v>5.7587078360532053E-16</v>
      </c>
      <c r="U127" s="41">
        <f t="shared" ca="1" si="62"/>
        <v>0.28249241596339347</v>
      </c>
      <c r="V127" s="41">
        <f t="shared" ca="1" si="63"/>
        <v>2.4302655373435809E-2</v>
      </c>
      <c r="W127" s="41">
        <f t="shared" ca="1" si="64"/>
        <v>11.623932102175708</v>
      </c>
      <c r="X127" s="20">
        <f t="shared" ca="1" si="65"/>
        <v>973.09380764134698</v>
      </c>
      <c r="Y127" s="41">
        <f t="shared" si="66"/>
        <v>0.55226552905832693</v>
      </c>
      <c r="Z127" s="41">
        <f t="shared" ca="1" si="67"/>
        <v>179.02869832396246</v>
      </c>
      <c r="AA127" s="14">
        <f t="shared" ca="1" si="68"/>
        <v>973.0938076413471</v>
      </c>
      <c r="AB127" s="14">
        <f t="shared" si="69"/>
        <v>2916.576547414023</v>
      </c>
      <c r="AC127" s="25">
        <f t="shared" ca="1" si="70"/>
        <v>507784.67227202869</v>
      </c>
      <c r="AD127" s="41">
        <f t="shared" si="71"/>
        <v>1521942.5451639127</v>
      </c>
      <c r="AE127" s="5">
        <f t="shared" ca="1" si="72"/>
        <v>33.364247151481038</v>
      </c>
      <c r="AF127" s="7">
        <f t="shared" ca="1" si="73"/>
        <v>973.0938076413471</v>
      </c>
      <c r="AG127" s="41">
        <f t="shared" ca="1" si="74"/>
        <v>1943.4827397726758</v>
      </c>
      <c r="AH127" s="41">
        <f t="shared" ca="1" si="75"/>
        <v>1014157.8728918841</v>
      </c>
      <c r="AI127" s="41">
        <f t="shared" ca="1" si="76"/>
        <v>767.29422553584448</v>
      </c>
      <c r="AJ127" s="13">
        <f t="shared" ca="1" si="77"/>
        <v>5.2447801897518488E-15</v>
      </c>
      <c r="AK127" s="11"/>
      <c r="AL127" s="6">
        <v>0</v>
      </c>
      <c r="AM127" s="41">
        <f t="shared" si="78"/>
        <v>149.70815736023346</v>
      </c>
      <c r="AN127" s="41">
        <f t="shared" ca="1" si="79"/>
        <v>31.908390182810738</v>
      </c>
      <c r="AO127" s="6">
        <f t="shared" si="97"/>
        <v>12.857142857142858</v>
      </c>
      <c r="AP127" s="67">
        <f t="shared" si="98"/>
        <v>0.78851002802665648</v>
      </c>
      <c r="AQ127" s="11">
        <f t="shared" si="80"/>
        <v>0.92829992278098084</v>
      </c>
      <c r="AR127" s="11">
        <f t="shared" si="81"/>
        <v>0.49937958828402557</v>
      </c>
      <c r="AS127" s="11">
        <f t="shared" si="82"/>
        <v>0.53795069462894596</v>
      </c>
      <c r="AT127" s="11">
        <f t="shared" si="83"/>
        <v>481.48132094881129</v>
      </c>
      <c r="AU127" s="11">
        <f t="shared" si="84"/>
        <v>1056.7970723184205</v>
      </c>
      <c r="AV127" s="11">
        <f t="shared" si="85"/>
        <v>1.2786550060635417E-3</v>
      </c>
      <c r="AW127" s="11">
        <f t="shared" si="86"/>
        <v>3.5253330431988683E-7</v>
      </c>
      <c r="AX127" s="41">
        <f t="shared" ca="1" si="87"/>
        <v>2.1482251722633738</v>
      </c>
      <c r="AY127" s="41">
        <f t="shared" ca="1" si="88"/>
        <v>2.8937019870090745</v>
      </c>
      <c r="AZ127" s="41">
        <f t="shared" si="89"/>
        <v>0.33643114722663964</v>
      </c>
    </row>
    <row r="128" spans="1:52" ht="14.5">
      <c r="A128" s="41">
        <f t="shared" ca="1" si="90"/>
        <v>8512.3748148330051</v>
      </c>
      <c r="B128" s="41">
        <f t="shared" ca="1" si="100"/>
        <v>141.87291358055009</v>
      </c>
      <c r="C128" s="41">
        <f t="shared" ca="1" si="100"/>
        <v>2.3645485596758347</v>
      </c>
      <c r="D128" s="41">
        <f t="shared" ca="1" si="91"/>
        <v>11279.267958887836</v>
      </c>
      <c r="E128" s="41">
        <f t="shared" ca="1" si="92"/>
        <v>716.65976061673416</v>
      </c>
      <c r="F128" s="7">
        <f t="shared" si="93"/>
        <v>707.14285714285722</v>
      </c>
      <c r="G128" s="41"/>
      <c r="H128" s="7">
        <f t="shared" si="94"/>
        <v>17999.999700000015</v>
      </c>
      <c r="I128" s="6">
        <v>15</v>
      </c>
      <c r="J128" s="41">
        <f t="shared" si="53"/>
        <v>0.48511170265687215</v>
      </c>
      <c r="K128" s="41">
        <f t="shared" si="54"/>
        <v>521.82499599173559</v>
      </c>
      <c r="L128" s="6">
        <f t="shared" si="95"/>
        <v>230</v>
      </c>
      <c r="M128" s="41">
        <f t="shared" si="55"/>
        <v>309.1729609251675</v>
      </c>
      <c r="N128" s="41">
        <f t="shared" si="56"/>
        <v>174.08972710625903</v>
      </c>
      <c r="O128" s="41">
        <f t="shared" si="57"/>
        <v>1892683.9967677938</v>
      </c>
      <c r="P128" s="41">
        <f t="shared" si="58"/>
        <v>12152361.218326269</v>
      </c>
      <c r="Q128" s="41">
        <f t="shared" si="59"/>
        <v>2.8495774462929686E-3</v>
      </c>
      <c r="R128" s="41">
        <f t="shared" si="60"/>
        <v>1.9262624734378238E-2</v>
      </c>
      <c r="S128" s="24">
        <f t="shared" ca="1" si="96"/>
        <v>5.774998884129318E-16</v>
      </c>
      <c r="T128" s="10">
        <f t="shared" ca="1" si="61"/>
        <v>5.774998884129318E-16</v>
      </c>
      <c r="U128" s="41">
        <f t="shared" ca="1" si="62"/>
        <v>0.28169551580428798</v>
      </c>
      <c r="V128" s="41">
        <f t="shared" ca="1" si="63"/>
        <v>2.4274260018832174E-2</v>
      </c>
      <c r="W128" s="41">
        <f t="shared" ca="1" si="64"/>
        <v>11.604700435183039</v>
      </c>
      <c r="X128" s="20">
        <f t="shared" ca="1" si="65"/>
        <v>971.9568395485195</v>
      </c>
      <c r="Y128" s="41">
        <f t="shared" si="66"/>
        <v>0.55226552905832693</v>
      </c>
      <c r="Z128" s="41">
        <f t="shared" ca="1" si="67"/>
        <v>178.77600347712541</v>
      </c>
      <c r="AA128" s="14">
        <f t="shared" ca="1" si="68"/>
        <v>971.95683954851961</v>
      </c>
      <c r="AB128" s="14">
        <f t="shared" si="69"/>
        <v>2916.576547414023</v>
      </c>
      <c r="AC128" s="25">
        <f t="shared" ca="1" si="70"/>
        <v>507191.37390154623</v>
      </c>
      <c r="AD128" s="41">
        <f t="shared" si="71"/>
        <v>1521942.5451639127</v>
      </c>
      <c r="AE128" s="5">
        <f t="shared" ca="1" si="72"/>
        <v>33.325264183801494</v>
      </c>
      <c r="AF128" s="7">
        <f t="shared" ca="1" si="73"/>
        <v>971.95683954851961</v>
      </c>
      <c r="AG128" s="41">
        <f t="shared" ca="1" si="74"/>
        <v>1944.6197078655034</v>
      </c>
      <c r="AH128" s="41">
        <f t="shared" ca="1" si="75"/>
        <v>1014751.1712623665</v>
      </c>
      <c r="AI128" s="41">
        <f t="shared" ca="1" si="76"/>
        <v>766.39771479310366</v>
      </c>
      <c r="AJ128" s="13">
        <f t="shared" ca="1" si="77"/>
        <v>5.259617366537406E-15</v>
      </c>
      <c r="AK128" s="11"/>
      <c r="AL128" s="6">
        <v>0</v>
      </c>
      <c r="AM128" s="41">
        <f t="shared" si="78"/>
        <v>149.70815736023346</v>
      </c>
      <c r="AN128" s="41">
        <f t="shared" ca="1" si="79"/>
        <v>31.871108246324798</v>
      </c>
      <c r="AO128" s="6">
        <f t="shared" si="97"/>
        <v>12.857142857142858</v>
      </c>
      <c r="AP128" s="67">
        <f t="shared" si="98"/>
        <v>0.78851002802665648</v>
      </c>
      <c r="AQ128" s="11">
        <f t="shared" si="80"/>
        <v>0.92829992278098084</v>
      </c>
      <c r="AR128" s="11">
        <f t="shared" si="81"/>
        <v>0.49937958828402557</v>
      </c>
      <c r="AS128" s="11">
        <f t="shared" si="82"/>
        <v>0.53795069462894596</v>
      </c>
      <c r="AT128" s="11">
        <f t="shared" si="83"/>
        <v>481.48132094881129</v>
      </c>
      <c r="AU128" s="11">
        <f t="shared" si="84"/>
        <v>1056.7970723184205</v>
      </c>
      <c r="AV128" s="11">
        <f t="shared" si="85"/>
        <v>1.2786550060635417E-3</v>
      </c>
      <c r="AW128" s="11">
        <f t="shared" si="86"/>
        <v>3.5253330431988683E-7</v>
      </c>
      <c r="AX128" s="41">
        <f t="shared" ca="1" si="87"/>
        <v>2.1537304095421916</v>
      </c>
      <c r="AY128" s="41">
        <f t="shared" ca="1" si="88"/>
        <v>2.9011176509992174</v>
      </c>
      <c r="AZ128" s="41">
        <f t="shared" si="89"/>
        <v>0.33643114722663964</v>
      </c>
    </row>
    <row r="129" spans="1:52" ht="14.5">
      <c r="A129" s="41">
        <f t="shared" ca="1" si="90"/>
        <v>8662.0829721932387</v>
      </c>
      <c r="B129" s="41">
        <f t="shared" ca="1" si="100"/>
        <v>144.36804953655397</v>
      </c>
      <c r="C129" s="41">
        <f t="shared" ca="1" si="100"/>
        <v>2.406134158942566</v>
      </c>
      <c r="D129" s="41">
        <f t="shared" ca="1" si="91"/>
        <v>11247.396850641511</v>
      </c>
      <c r="E129" s="41">
        <f t="shared" ca="1" si="92"/>
        <v>729.51690347387705</v>
      </c>
      <c r="F129" s="7">
        <f t="shared" si="93"/>
        <v>720.00000000000011</v>
      </c>
      <c r="G129" s="41"/>
      <c r="H129" s="7">
        <f t="shared" si="94"/>
        <v>17999.999700000015</v>
      </c>
      <c r="I129" s="6">
        <v>15</v>
      </c>
      <c r="J129" s="41">
        <f t="shared" si="53"/>
        <v>0.48511170265687215</v>
      </c>
      <c r="K129" s="41">
        <f t="shared" si="54"/>
        <v>521.82499599173559</v>
      </c>
      <c r="L129" s="6">
        <f t="shared" si="95"/>
        <v>230</v>
      </c>
      <c r="M129" s="41">
        <f t="shared" si="55"/>
        <v>309.1729609251675</v>
      </c>
      <c r="N129" s="41">
        <f t="shared" si="56"/>
        <v>174.08972710625903</v>
      </c>
      <c r="O129" s="41">
        <f t="shared" si="57"/>
        <v>1892683.9967677938</v>
      </c>
      <c r="P129" s="41">
        <f t="shared" si="58"/>
        <v>12152361.218326269</v>
      </c>
      <c r="Q129" s="41">
        <f t="shared" si="59"/>
        <v>2.8495774462929686E-3</v>
      </c>
      <c r="R129" s="41">
        <f t="shared" si="60"/>
        <v>1.9262624734378238E-2</v>
      </c>
      <c r="S129" s="24">
        <f t="shared" ca="1" si="96"/>
        <v>5.7913631697504832E-16</v>
      </c>
      <c r="T129" s="10">
        <f t="shared" ca="1" si="61"/>
        <v>5.7913631697504832E-16</v>
      </c>
      <c r="U129" s="41">
        <f t="shared" ca="1" si="62"/>
        <v>0.28089954674765888</v>
      </c>
      <c r="V129" s="41">
        <f t="shared" ca="1" si="63"/>
        <v>2.424597791632108E-2</v>
      </c>
      <c r="W129" s="41">
        <f t="shared" ca="1" si="64"/>
        <v>11.585408009407304</v>
      </c>
      <c r="X129" s="20">
        <f t="shared" ca="1" si="65"/>
        <v>970.82440614164557</v>
      </c>
      <c r="Y129" s="41">
        <f t="shared" si="66"/>
        <v>0.55226552905832693</v>
      </c>
      <c r="Z129" s="41">
        <f t="shared" ca="1" si="67"/>
        <v>178.52324682456256</v>
      </c>
      <c r="AA129" s="14">
        <f t="shared" ca="1" si="68"/>
        <v>970.82440614164568</v>
      </c>
      <c r="AB129" s="14">
        <f t="shared" si="69"/>
        <v>2916.576547414023</v>
      </c>
      <c r="AC129" s="25">
        <f t="shared" ca="1" si="70"/>
        <v>506600.44184354332</v>
      </c>
      <c r="AD129" s="41">
        <f t="shared" si="71"/>
        <v>1521942.5451639127</v>
      </c>
      <c r="AE129" s="5">
        <f t="shared" ca="1" si="72"/>
        <v>33.286436695872951</v>
      </c>
      <c r="AF129" s="7">
        <f t="shared" ca="1" si="73"/>
        <v>970.82440614164568</v>
      </c>
      <c r="AG129" s="41">
        <f t="shared" ca="1" si="74"/>
        <v>1945.7521412723772</v>
      </c>
      <c r="AH129" s="41">
        <f t="shared" ca="1" si="75"/>
        <v>1015342.1033203694</v>
      </c>
      <c r="AI129" s="41">
        <f t="shared" ca="1" si="76"/>
        <v>765.50477969571114</v>
      </c>
      <c r="AJ129" s="13">
        <f t="shared" ca="1" si="77"/>
        <v>5.2745212448880308E-15</v>
      </c>
      <c r="AK129" s="11"/>
      <c r="AL129" s="6">
        <v>0</v>
      </c>
      <c r="AM129" s="41">
        <f t="shared" si="78"/>
        <v>149.70815736023346</v>
      </c>
      <c r="AN129" s="41">
        <f t="shared" ca="1" si="79"/>
        <v>31.833975005193434</v>
      </c>
      <c r="AO129" s="6">
        <f t="shared" si="97"/>
        <v>12.857142857142858</v>
      </c>
      <c r="AP129" s="67">
        <f t="shared" si="98"/>
        <v>0.78851002802665648</v>
      </c>
      <c r="AQ129" s="11">
        <f t="shared" si="80"/>
        <v>0.92829992278098084</v>
      </c>
      <c r="AR129" s="11">
        <f t="shared" si="81"/>
        <v>0.49937958828402557</v>
      </c>
      <c r="AS129" s="11">
        <f t="shared" si="82"/>
        <v>0.53795069462894596</v>
      </c>
      <c r="AT129" s="11">
        <f t="shared" si="83"/>
        <v>481.48132094881129</v>
      </c>
      <c r="AU129" s="11">
        <f t="shared" si="84"/>
        <v>1056.7970723184205</v>
      </c>
      <c r="AV129" s="11">
        <f t="shared" si="85"/>
        <v>1.2786550060635417E-3</v>
      </c>
      <c r="AW129" s="11">
        <f t="shared" si="86"/>
        <v>3.5253330431988683E-7</v>
      </c>
      <c r="AX129" s="41">
        <f t="shared" ca="1" si="87"/>
        <v>2.1592621144404096</v>
      </c>
      <c r="AY129" s="41">
        <f t="shared" ca="1" si="88"/>
        <v>2.9085689673985389</v>
      </c>
      <c r="AZ129" s="41">
        <f t="shared" si="89"/>
        <v>0.33643114722663964</v>
      </c>
    </row>
    <row r="130" spans="1:52" ht="14.5">
      <c r="A130" s="41">
        <f t="shared" ca="1" si="90"/>
        <v>8811.7911295534723</v>
      </c>
      <c r="B130" s="41">
        <f t="shared" ca="1" si="100"/>
        <v>146.86318549255788</v>
      </c>
      <c r="C130" s="41">
        <f t="shared" ca="1" si="100"/>
        <v>2.4477197582092978</v>
      </c>
      <c r="D130" s="41">
        <f t="shared" ca="1" si="91"/>
        <v>11215.562875636318</v>
      </c>
      <c r="E130" s="41">
        <f t="shared" ca="1" si="92"/>
        <v>742.37404633101994</v>
      </c>
      <c r="F130" s="7">
        <f t="shared" si="93"/>
        <v>732.857142857143</v>
      </c>
      <c r="G130" s="41"/>
      <c r="H130" s="7">
        <f t="shared" si="94"/>
        <v>17999.999700000015</v>
      </c>
      <c r="I130" s="6">
        <v>15</v>
      </c>
      <c r="J130" s="41">
        <f t="shared" si="53"/>
        <v>0.48511170265687215</v>
      </c>
      <c r="K130" s="41">
        <f t="shared" si="54"/>
        <v>521.82499599173559</v>
      </c>
      <c r="L130" s="6">
        <f t="shared" si="95"/>
        <v>230</v>
      </c>
      <c r="M130" s="41">
        <f t="shared" si="55"/>
        <v>309.1729609251675</v>
      </c>
      <c r="N130" s="41">
        <f t="shared" si="56"/>
        <v>174.08972710625903</v>
      </c>
      <c r="O130" s="41">
        <f t="shared" si="57"/>
        <v>1892683.9967677938</v>
      </c>
      <c r="P130" s="41">
        <f t="shared" si="58"/>
        <v>12152361.218326269</v>
      </c>
      <c r="Q130" s="41">
        <f t="shared" si="59"/>
        <v>2.8495774462929686E-3</v>
      </c>
      <c r="R130" s="41">
        <f t="shared" si="60"/>
        <v>1.9262624734378238E-2</v>
      </c>
      <c r="S130" s="24">
        <f t="shared" ca="1" si="96"/>
        <v>0</v>
      </c>
      <c r="T130" s="10">
        <f t="shared" ca="1" si="61"/>
        <v>0</v>
      </c>
      <c r="U130" s="41">
        <f t="shared" ca="1" si="62"/>
        <v>0.28010450507989509</v>
      </c>
      <c r="V130" s="41">
        <f t="shared" ca="1" si="63"/>
        <v>2.4217808653667804E-2</v>
      </c>
      <c r="W130" s="41">
        <f t="shared" ca="1" si="64"/>
        <v>11.566054926174052</v>
      </c>
      <c r="X130" s="20">
        <f t="shared" ca="1" si="65"/>
        <v>969.69649091458416</v>
      </c>
      <c r="Y130" s="41">
        <f t="shared" si="66"/>
        <v>0.55226552905832693</v>
      </c>
      <c r="Z130" s="41">
        <f t="shared" ca="1" si="67"/>
        <v>178.2704269216344</v>
      </c>
      <c r="AA130" s="14">
        <f t="shared" ca="1" si="68"/>
        <v>969.69649091458416</v>
      </c>
      <c r="AB130" s="14">
        <f t="shared" si="69"/>
        <v>2916.576547414023</v>
      </c>
      <c r="AC130" s="25">
        <f t="shared" ca="1" si="70"/>
        <v>506011.86748470296</v>
      </c>
      <c r="AD130" s="41">
        <f t="shared" si="71"/>
        <v>1521942.5451639127</v>
      </c>
      <c r="AE130" s="5">
        <f t="shared" ca="1" si="72"/>
        <v>33.247764121753079</v>
      </c>
      <c r="AF130" s="7">
        <f t="shared" ca="1" si="73"/>
        <v>969.69649091458416</v>
      </c>
      <c r="AG130" s="41">
        <f t="shared" ca="1" si="74"/>
        <v>1946.880056499439</v>
      </c>
      <c r="AH130" s="41">
        <f t="shared" ca="1" si="75"/>
        <v>1015930.6776792097</v>
      </c>
      <c r="AI130" s="41">
        <f t="shared" ca="1" si="76"/>
        <v>764.61540722840925</v>
      </c>
      <c r="AJ130" s="13">
        <f t="shared" ca="1" si="77"/>
        <v>0</v>
      </c>
      <c r="AK130" s="11"/>
      <c r="AL130" s="6">
        <v>0</v>
      </c>
      <c r="AM130" s="41">
        <f t="shared" si="78"/>
        <v>149.70815736023346</v>
      </c>
      <c r="AN130" s="41">
        <f t="shared" ca="1" si="79"/>
        <v>31.796989918169352</v>
      </c>
      <c r="AO130" s="6">
        <f t="shared" si="97"/>
        <v>12.857142857142858</v>
      </c>
      <c r="AP130" s="67">
        <f t="shared" si="98"/>
        <v>0.78851002802665648</v>
      </c>
      <c r="AQ130" s="11">
        <f t="shared" si="80"/>
        <v>0.92829992278098084</v>
      </c>
      <c r="AR130" s="11">
        <f t="shared" si="81"/>
        <v>0.49937958828402557</v>
      </c>
      <c r="AS130" s="11">
        <f t="shared" si="82"/>
        <v>0.53795069462894596</v>
      </c>
      <c r="AT130" s="11">
        <f t="shared" si="83"/>
        <v>481.48132094881129</v>
      </c>
      <c r="AU130" s="11">
        <f t="shared" si="84"/>
        <v>1056.7970723184205</v>
      </c>
      <c r="AV130" s="11">
        <f t="shared" si="85"/>
        <v>1.2786550060635417E-3</v>
      </c>
      <c r="AW130" s="11">
        <f t="shared" si="86"/>
        <v>3.5253330431988683E-7</v>
      </c>
      <c r="AX130" s="41">
        <f t="shared" ca="1" si="87"/>
        <v>2.1648204765634356</v>
      </c>
      <c r="AY130" s="41">
        <f t="shared" ca="1" si="88"/>
        <v>2.9160561916092904</v>
      </c>
      <c r="AZ130" s="41">
        <f t="shared" si="89"/>
        <v>0.33643114722663964</v>
      </c>
    </row>
    <row r="131" spans="1:52" ht="14.5">
      <c r="A131" s="41">
        <f t="shared" ca="1" si="90"/>
        <v>8961.4992869137059</v>
      </c>
      <c r="B131" s="41">
        <f t="shared" ca="1" si="100"/>
        <v>149.35832144856175</v>
      </c>
      <c r="C131" s="41">
        <f t="shared" ca="1" si="100"/>
        <v>2.4893053574760291</v>
      </c>
      <c r="D131" s="41">
        <f t="shared" ca="1" si="91"/>
        <v>11183.765885718149</v>
      </c>
      <c r="E131" s="41">
        <f t="shared" ca="1" si="92"/>
        <v>755.23118918816283</v>
      </c>
      <c r="F131" s="7">
        <f t="shared" si="93"/>
        <v>745.71428571428589</v>
      </c>
      <c r="G131" s="41"/>
      <c r="H131" s="7">
        <f t="shared" si="94"/>
        <v>17999.999700000015</v>
      </c>
      <c r="I131" s="6">
        <v>15</v>
      </c>
      <c r="J131" s="41">
        <f t="shared" si="53"/>
        <v>0.48511170265687215</v>
      </c>
      <c r="K131" s="41">
        <f t="shared" si="54"/>
        <v>521.82499599173559</v>
      </c>
      <c r="L131" s="6">
        <f t="shared" si="95"/>
        <v>230</v>
      </c>
      <c r="M131" s="41">
        <f t="shared" si="55"/>
        <v>309.1729609251675</v>
      </c>
      <c r="N131" s="41">
        <f t="shared" si="56"/>
        <v>174.08972710625903</v>
      </c>
      <c r="O131" s="41">
        <f t="shared" si="57"/>
        <v>1892683.9967677938</v>
      </c>
      <c r="P131" s="41">
        <f t="shared" si="58"/>
        <v>12152361.218326269</v>
      </c>
      <c r="Q131" s="41">
        <f t="shared" si="59"/>
        <v>2.8495774462929686E-3</v>
      </c>
      <c r="R131" s="41">
        <f t="shared" si="60"/>
        <v>1.9262624734378238E-2</v>
      </c>
      <c r="S131" s="24">
        <f t="shared" ca="1" si="96"/>
        <v>0</v>
      </c>
      <c r="T131" s="10">
        <f t="shared" ca="1" si="61"/>
        <v>0</v>
      </c>
      <c r="U131" s="41">
        <f t="shared" ca="1" si="62"/>
        <v>0.279310387100903</v>
      </c>
      <c r="V131" s="41">
        <f t="shared" ca="1" si="63"/>
        <v>2.4189751820933043E-2</v>
      </c>
      <c r="W131" s="41">
        <f t="shared" ca="1" si="64"/>
        <v>11.546641287125428</v>
      </c>
      <c r="X131" s="20">
        <f t="shared" ca="1" si="65"/>
        <v>968.57307745310425</v>
      </c>
      <c r="Y131" s="41">
        <f t="shared" si="66"/>
        <v>0.55226552905832693</v>
      </c>
      <c r="Z131" s="41">
        <f t="shared" ca="1" si="67"/>
        <v>178.01754231973587</v>
      </c>
      <c r="AA131" s="14">
        <f t="shared" ca="1" si="68"/>
        <v>968.57307745310425</v>
      </c>
      <c r="AB131" s="14">
        <f t="shared" si="69"/>
        <v>2916.576547414023</v>
      </c>
      <c r="AC131" s="25">
        <f t="shared" ca="1" si="70"/>
        <v>505425.64225966914</v>
      </c>
      <c r="AD131" s="41">
        <f t="shared" si="71"/>
        <v>1521942.5451639127</v>
      </c>
      <c r="AE131" s="5">
        <f t="shared" ca="1" si="72"/>
        <v>33.209245898650856</v>
      </c>
      <c r="AF131" s="7">
        <f t="shared" ca="1" si="73"/>
        <v>968.57307745310425</v>
      </c>
      <c r="AG131" s="41">
        <f t="shared" ca="1" si="74"/>
        <v>1948.0034699609187</v>
      </c>
      <c r="AH131" s="41">
        <f t="shared" ca="1" si="75"/>
        <v>1016516.9029042436</v>
      </c>
      <c r="AI131" s="41">
        <f t="shared" ca="1" si="76"/>
        <v>763.7295844484122</v>
      </c>
      <c r="AJ131" s="13">
        <f t="shared" ca="1" si="77"/>
        <v>0</v>
      </c>
      <c r="AK131" s="11"/>
      <c r="AL131" s="6">
        <v>0</v>
      </c>
      <c r="AM131" s="41">
        <f t="shared" si="78"/>
        <v>149.70815736023346</v>
      </c>
      <c r="AN131" s="41">
        <f t="shared" ca="1" si="79"/>
        <v>31.760152447019053</v>
      </c>
      <c r="AO131" s="6">
        <f t="shared" si="97"/>
        <v>12.857142857142858</v>
      </c>
      <c r="AP131" s="67">
        <f t="shared" si="98"/>
        <v>0.78851002802665648</v>
      </c>
      <c r="AQ131" s="11">
        <f t="shared" si="80"/>
        <v>0.92829992278098084</v>
      </c>
      <c r="AR131" s="11">
        <f t="shared" si="81"/>
        <v>0.49937958828402557</v>
      </c>
      <c r="AS131" s="11">
        <f t="shared" si="82"/>
        <v>0.53795069462894596</v>
      </c>
      <c r="AT131" s="11">
        <f t="shared" si="83"/>
        <v>481.48132094881129</v>
      </c>
      <c r="AU131" s="11">
        <f t="shared" si="84"/>
        <v>1056.7970723184205</v>
      </c>
      <c r="AV131" s="11">
        <f t="shared" si="85"/>
        <v>1.2786550060635417E-3</v>
      </c>
      <c r="AW131" s="11">
        <f t="shared" si="86"/>
        <v>3.5253330431988683E-7</v>
      </c>
      <c r="AX131" s="41">
        <f t="shared" ca="1" si="87"/>
        <v>2.1704056873930893</v>
      </c>
      <c r="AY131" s="41">
        <f t="shared" ca="1" si="88"/>
        <v>2.9235795815612873</v>
      </c>
      <c r="AZ131" s="41">
        <f t="shared" si="89"/>
        <v>0.33643114722663964</v>
      </c>
    </row>
    <row r="132" spans="1:52" ht="14.5">
      <c r="A132" s="41">
        <f t="shared" ca="1" si="90"/>
        <v>9111.2074442739395</v>
      </c>
      <c r="B132" s="41">
        <f t="shared" ca="1" si="100"/>
        <v>151.85345740456566</v>
      </c>
      <c r="C132" s="41">
        <f t="shared" ca="1" si="100"/>
        <v>2.5308909567427609</v>
      </c>
      <c r="D132" s="41">
        <f t="shared" ca="1" si="91"/>
        <v>11152.005733271129</v>
      </c>
      <c r="E132" s="41">
        <f t="shared" ca="1" si="92"/>
        <v>768.08833204530572</v>
      </c>
      <c r="F132" s="7">
        <f t="shared" si="93"/>
        <v>758.57142857142878</v>
      </c>
      <c r="G132" s="41"/>
      <c r="H132" s="7">
        <f t="shared" si="94"/>
        <v>17999.999700000015</v>
      </c>
      <c r="I132" s="6">
        <v>15</v>
      </c>
      <c r="J132" s="41">
        <f t="shared" si="53"/>
        <v>0.48511170265687215</v>
      </c>
      <c r="K132" s="41">
        <f t="shared" si="54"/>
        <v>521.82499599173559</v>
      </c>
      <c r="L132" s="6">
        <f t="shared" si="95"/>
        <v>230</v>
      </c>
      <c r="M132" s="41">
        <f t="shared" si="55"/>
        <v>309.1729609251675</v>
      </c>
      <c r="N132" s="41">
        <f t="shared" si="56"/>
        <v>174.08972710625903</v>
      </c>
      <c r="O132" s="41">
        <f t="shared" si="57"/>
        <v>1892683.9967677938</v>
      </c>
      <c r="P132" s="41">
        <f t="shared" si="58"/>
        <v>12152361.218326269</v>
      </c>
      <c r="Q132" s="41">
        <f t="shared" si="59"/>
        <v>2.8495774462929686E-3</v>
      </c>
      <c r="R132" s="41">
        <f t="shared" si="60"/>
        <v>1.9262624734378238E-2</v>
      </c>
      <c r="S132" s="24">
        <f t="shared" ca="1" si="96"/>
        <v>-1.1681801719674417E-15</v>
      </c>
      <c r="T132" s="10">
        <f t="shared" ca="1" si="61"/>
        <v>-1.1681801719674417E-15</v>
      </c>
      <c r="U132" s="41">
        <f t="shared" ca="1" si="62"/>
        <v>0.27851718912403112</v>
      </c>
      <c r="V132" s="41">
        <f t="shared" ca="1" si="63"/>
        <v>2.4161807010459176E-2</v>
      </c>
      <c r="W132" s="41">
        <f t="shared" ca="1" si="64"/>
        <v>11.52716719421964</v>
      </c>
      <c r="X132" s="20">
        <f t="shared" ca="1" si="65"/>
        <v>967.45414943433491</v>
      </c>
      <c r="Y132" s="41">
        <f t="shared" si="66"/>
        <v>0.55226552905832693</v>
      </c>
      <c r="Z132" s="41">
        <f t="shared" ca="1" si="67"/>
        <v>177.76459156623912</v>
      </c>
      <c r="AA132" s="14">
        <f t="shared" ca="1" si="68"/>
        <v>967.45414943433479</v>
      </c>
      <c r="AB132" s="14">
        <f t="shared" si="69"/>
        <v>2916.576547414023</v>
      </c>
      <c r="AC132" s="25">
        <f t="shared" ca="1" si="70"/>
        <v>504841.75765075971</v>
      </c>
      <c r="AD132" s="41">
        <f t="shared" si="71"/>
        <v>1521942.5451639127</v>
      </c>
      <c r="AE132" s="5">
        <f t="shared" ca="1" si="72"/>
        <v>33.170881466907701</v>
      </c>
      <c r="AF132" s="7">
        <f t="shared" ca="1" si="73"/>
        <v>967.45414943433468</v>
      </c>
      <c r="AG132" s="41">
        <f t="shared" ca="1" si="74"/>
        <v>1949.1223979796882</v>
      </c>
      <c r="AH132" s="41">
        <f t="shared" ca="1" si="75"/>
        <v>1017100.7875131529</v>
      </c>
      <c r="AI132" s="41">
        <f t="shared" ca="1" si="76"/>
        <v>762.84729848497238</v>
      </c>
      <c r="AJ132" s="13">
        <f t="shared" ca="1" si="77"/>
        <v>-1.0639276029316414E-14</v>
      </c>
      <c r="AK132" s="11"/>
      <c r="AL132" s="6">
        <v>0</v>
      </c>
      <c r="AM132" s="41">
        <f t="shared" si="78"/>
        <v>149.70815736023346</v>
      </c>
      <c r="AN132" s="41">
        <f t="shared" ca="1" si="79"/>
        <v>31.723462056504783</v>
      </c>
      <c r="AO132" s="6">
        <f t="shared" si="97"/>
        <v>12.857142857142858</v>
      </c>
      <c r="AP132" s="67">
        <f t="shared" si="98"/>
        <v>0.78851002802665648</v>
      </c>
      <c r="AQ132" s="11">
        <f t="shared" si="80"/>
        <v>0.92829992278098084</v>
      </c>
      <c r="AR132" s="11">
        <f t="shared" si="81"/>
        <v>0.49937958828402557</v>
      </c>
      <c r="AS132" s="11">
        <f t="shared" si="82"/>
        <v>0.53795069462894596</v>
      </c>
      <c r="AT132" s="11">
        <f t="shared" si="83"/>
        <v>481.48132094881129</v>
      </c>
      <c r="AU132" s="11">
        <f t="shared" si="84"/>
        <v>1056.7970723184205</v>
      </c>
      <c r="AV132" s="11">
        <f t="shared" si="85"/>
        <v>1.2786550060635417E-3</v>
      </c>
      <c r="AW132" s="11">
        <f t="shared" si="86"/>
        <v>3.5253330431988683E-7</v>
      </c>
      <c r="AX132" s="41">
        <f t="shared" ca="1" si="87"/>
        <v>2.1760179403104427</v>
      </c>
      <c r="AY132" s="41">
        <f t="shared" ca="1" si="88"/>
        <v>2.9311393977426761</v>
      </c>
      <c r="AZ132" s="41">
        <f t="shared" si="89"/>
        <v>0.33643114722663964</v>
      </c>
    </row>
    <row r="133" spans="1:52" ht="14.5">
      <c r="A133" s="41">
        <f t="shared" ca="1" si="90"/>
        <v>9260.9156016341731</v>
      </c>
      <c r="B133" s="41">
        <f t="shared" ca="1" si="100"/>
        <v>154.34859336056954</v>
      </c>
      <c r="C133" s="41">
        <f t="shared" ca="1" si="100"/>
        <v>2.5724765560094922</v>
      </c>
      <c r="D133" s="41">
        <f t="shared" ca="1" si="91"/>
        <v>11120.282271214624</v>
      </c>
      <c r="E133" s="41">
        <f t="shared" ca="1" si="92"/>
        <v>780.94547490244861</v>
      </c>
      <c r="F133" s="7">
        <f t="shared" si="93"/>
        <v>771.42857142857167</v>
      </c>
      <c r="G133" s="41"/>
      <c r="H133" s="7">
        <f t="shared" si="94"/>
        <v>17999.999700000015</v>
      </c>
      <c r="I133" s="6">
        <v>15</v>
      </c>
      <c r="J133" s="41">
        <f t="shared" si="53"/>
        <v>0.48511170265687215</v>
      </c>
      <c r="K133" s="41">
        <f t="shared" si="54"/>
        <v>521.82499599173559</v>
      </c>
      <c r="L133" s="6">
        <f t="shared" si="95"/>
        <v>230</v>
      </c>
      <c r="M133" s="41">
        <f t="shared" si="55"/>
        <v>309.1729609251675</v>
      </c>
      <c r="N133" s="41">
        <f t="shared" si="56"/>
        <v>174.08972710625903</v>
      </c>
      <c r="O133" s="41">
        <f t="shared" si="57"/>
        <v>1892683.9967677938</v>
      </c>
      <c r="P133" s="41">
        <f t="shared" si="58"/>
        <v>12152361.218326269</v>
      </c>
      <c r="Q133" s="41">
        <f t="shared" si="59"/>
        <v>2.8495774462929686E-3</v>
      </c>
      <c r="R133" s="41">
        <f t="shared" si="60"/>
        <v>1.9262624734378238E-2</v>
      </c>
      <c r="S133" s="24">
        <f t="shared" ca="1" si="96"/>
        <v>0</v>
      </c>
      <c r="T133" s="10">
        <f t="shared" ca="1" si="61"/>
        <v>0</v>
      </c>
      <c r="U133" s="41">
        <f t="shared" ca="1" si="62"/>
        <v>0.27772490747599532</v>
      </c>
      <c r="V133" s="41">
        <f t="shared" ca="1" si="63"/>
        <v>2.4133973816856582E-2</v>
      </c>
      <c r="W133" s="41">
        <f t="shared" ca="1" si="64"/>
        <v>11.507632749730423</v>
      </c>
      <c r="X133" s="20">
        <f t="shared" ca="1" si="65"/>
        <v>966.33969062621748</v>
      </c>
      <c r="Y133" s="41">
        <f t="shared" si="66"/>
        <v>0.55226552905832693</v>
      </c>
      <c r="Z133" s="41">
        <f t="shared" ca="1" si="67"/>
        <v>177.51157320443542</v>
      </c>
      <c r="AA133" s="14">
        <f t="shared" ca="1" si="68"/>
        <v>966.33969062621748</v>
      </c>
      <c r="AB133" s="14">
        <f t="shared" si="69"/>
        <v>2916.576547414023</v>
      </c>
      <c r="AC133" s="25">
        <f t="shared" ca="1" si="70"/>
        <v>504260.20518768096</v>
      </c>
      <c r="AD133" s="41">
        <f t="shared" si="71"/>
        <v>1521942.5451639127</v>
      </c>
      <c r="AE133" s="5">
        <f t="shared" ca="1" si="72"/>
        <v>33.132670269978711</v>
      </c>
      <c r="AF133" s="7">
        <f t="shared" ca="1" si="73"/>
        <v>966.33969062621748</v>
      </c>
      <c r="AG133" s="41">
        <f t="shared" ca="1" si="74"/>
        <v>1950.2368567878057</v>
      </c>
      <c r="AH133" s="41">
        <f t="shared" ca="1" si="75"/>
        <v>1017682.3399762318</v>
      </c>
      <c r="AI133" s="41">
        <f t="shared" ca="1" si="76"/>
        <v>761.96853653894925</v>
      </c>
      <c r="AJ133" s="13">
        <f t="shared" ca="1" si="77"/>
        <v>0</v>
      </c>
      <c r="AK133" s="11"/>
      <c r="AL133" s="6">
        <v>0</v>
      </c>
      <c r="AM133" s="41">
        <f t="shared" si="78"/>
        <v>149.70815736023346</v>
      </c>
      <c r="AN133" s="41">
        <f t="shared" ca="1" si="79"/>
        <v>31.68691821436661</v>
      </c>
      <c r="AO133" s="6">
        <f t="shared" si="97"/>
        <v>12.857142857142858</v>
      </c>
      <c r="AP133" s="67">
        <f t="shared" si="98"/>
        <v>0.78851002802665648</v>
      </c>
      <c r="AQ133" s="11">
        <f t="shared" si="80"/>
        <v>0.92829992278098084</v>
      </c>
      <c r="AR133" s="11">
        <f t="shared" si="81"/>
        <v>0.49937958828402557</v>
      </c>
      <c r="AS133" s="11">
        <f t="shared" si="82"/>
        <v>0.53795069462894596</v>
      </c>
      <c r="AT133" s="11">
        <f t="shared" si="83"/>
        <v>481.48132094881129</v>
      </c>
      <c r="AU133" s="11">
        <f t="shared" si="84"/>
        <v>1056.7970723184205</v>
      </c>
      <c r="AV133" s="11">
        <f t="shared" si="85"/>
        <v>1.2786550060635417E-3</v>
      </c>
      <c r="AW133" s="11">
        <f t="shared" si="86"/>
        <v>3.5253330431988683E-7</v>
      </c>
      <c r="AX133" s="41">
        <f t="shared" ca="1" si="87"/>
        <v>2.1816574306189844</v>
      </c>
      <c r="AY133" s="41">
        <f t="shared" ca="1" si="88"/>
        <v>2.9387359032311355</v>
      </c>
      <c r="AZ133" s="41">
        <f t="shared" si="89"/>
        <v>0.33643114722663964</v>
      </c>
    </row>
    <row r="134" spans="1:52" ht="14.5">
      <c r="A134" s="41">
        <f t="shared" ca="1" si="90"/>
        <v>9410.6237589944067</v>
      </c>
      <c r="B134" s="41">
        <f t="shared" ca="1" si="100"/>
        <v>156.84372931657344</v>
      </c>
      <c r="C134" s="41">
        <f t="shared" ca="1" si="100"/>
        <v>2.614062155276224</v>
      </c>
      <c r="D134" s="41">
        <f t="shared" ca="1" si="91"/>
        <v>11088.595353000257</v>
      </c>
      <c r="E134" s="41">
        <f t="shared" ca="1" si="92"/>
        <v>793.8026177595915</v>
      </c>
      <c r="F134" s="7">
        <f t="shared" si="93"/>
        <v>784.28571428571456</v>
      </c>
      <c r="G134" s="41"/>
      <c r="H134" s="7">
        <f t="shared" si="94"/>
        <v>17999.999700000015</v>
      </c>
      <c r="I134" s="6">
        <v>15</v>
      </c>
      <c r="J134" s="41">
        <f t="shared" si="53"/>
        <v>0.48511170265687215</v>
      </c>
      <c r="K134" s="41">
        <f t="shared" si="54"/>
        <v>521.82499599173559</v>
      </c>
      <c r="L134" s="6">
        <f t="shared" si="95"/>
        <v>230</v>
      </c>
      <c r="M134" s="41">
        <f t="shared" si="55"/>
        <v>309.1729609251675</v>
      </c>
      <c r="N134" s="41">
        <f t="shared" si="56"/>
        <v>174.08972710625903</v>
      </c>
      <c r="O134" s="41">
        <f t="shared" si="57"/>
        <v>1892683.9967677938</v>
      </c>
      <c r="P134" s="41">
        <f t="shared" si="58"/>
        <v>12152361.218326269</v>
      </c>
      <c r="Q134" s="41">
        <f t="shared" si="59"/>
        <v>2.8495774462929686E-3</v>
      </c>
      <c r="R134" s="41">
        <f t="shared" si="60"/>
        <v>1.9262624734378238E-2</v>
      </c>
      <c r="S134" s="24">
        <f t="shared" ca="1" si="96"/>
        <v>0</v>
      </c>
      <c r="T134" s="10">
        <f t="shared" ca="1" si="61"/>
        <v>0</v>
      </c>
      <c r="U134" s="41">
        <f t="shared" ca="1" si="62"/>
        <v>0.27693353849680452</v>
      </c>
      <c r="V134" s="41">
        <f t="shared" ca="1" si="63"/>
        <v>2.4106251836990108E-2</v>
      </c>
      <c r="W134" s="41">
        <f t="shared" ca="1" si="64"/>
        <v>11.488038056246502</v>
      </c>
      <c r="X134" s="20">
        <f t="shared" ca="1" si="65"/>
        <v>965.22968488696358</v>
      </c>
      <c r="Y134" s="41">
        <f t="shared" si="66"/>
        <v>0.55226552905832693</v>
      </c>
      <c r="Z134" s="41">
        <f t="shared" ca="1" si="67"/>
        <v>177.25848577347691</v>
      </c>
      <c r="AA134" s="14">
        <f t="shared" ca="1" si="68"/>
        <v>965.22968488696358</v>
      </c>
      <c r="AB134" s="14">
        <f t="shared" si="69"/>
        <v>2916.576547414023</v>
      </c>
      <c r="AC134" s="25">
        <f t="shared" ca="1" si="70"/>
        <v>503680.976447244</v>
      </c>
      <c r="AD134" s="41">
        <f t="shared" si="71"/>
        <v>1521942.5451639127</v>
      </c>
      <c r="AE134" s="5">
        <f t="shared" ca="1" si="72"/>
        <v>33.094611754414011</v>
      </c>
      <c r="AF134" s="7">
        <f t="shared" ca="1" si="73"/>
        <v>965.22968488696358</v>
      </c>
      <c r="AG134" s="41">
        <f t="shared" ca="1" si="74"/>
        <v>1951.3468625270593</v>
      </c>
      <c r="AH134" s="41">
        <f t="shared" ca="1" si="75"/>
        <v>1018261.5687166688</v>
      </c>
      <c r="AI134" s="41">
        <f t="shared" ca="1" si="76"/>
        <v>761.09328588238043</v>
      </c>
      <c r="AJ134" s="13">
        <f t="shared" ca="1" si="77"/>
        <v>0</v>
      </c>
      <c r="AK134" s="11"/>
      <c r="AL134" s="6">
        <v>0</v>
      </c>
      <c r="AM134" s="41">
        <f t="shared" si="78"/>
        <v>149.70815736023346</v>
      </c>
      <c r="AN134" s="41">
        <f t="shared" ca="1" si="79"/>
        <v>31.650520391304596</v>
      </c>
      <c r="AO134" s="6">
        <f t="shared" si="97"/>
        <v>12.857142857142858</v>
      </c>
      <c r="AP134" s="67">
        <f t="shared" si="98"/>
        <v>0.78851002802665648</v>
      </c>
      <c r="AQ134" s="11">
        <f t="shared" si="80"/>
        <v>0.92829992278098084</v>
      </c>
      <c r="AR134" s="11">
        <f t="shared" si="81"/>
        <v>0.49937958828402557</v>
      </c>
      <c r="AS134" s="11">
        <f t="shared" si="82"/>
        <v>0.53795069462894596</v>
      </c>
      <c r="AT134" s="11">
        <f t="shared" si="83"/>
        <v>481.48132094881129</v>
      </c>
      <c r="AU134" s="11">
        <f t="shared" si="84"/>
        <v>1056.7970723184205</v>
      </c>
      <c r="AV134" s="11">
        <f t="shared" si="85"/>
        <v>1.2786550060635417E-3</v>
      </c>
      <c r="AW134" s="11">
        <f t="shared" si="86"/>
        <v>3.5253330431988683E-7</v>
      </c>
      <c r="AX134" s="41">
        <f t="shared" ca="1" si="87"/>
        <v>2.187324355568125</v>
      </c>
      <c r="AY134" s="41">
        <f t="shared" ca="1" si="88"/>
        <v>2.9463693637255406</v>
      </c>
      <c r="AZ134" s="41">
        <f t="shared" si="89"/>
        <v>0.33643114722663964</v>
      </c>
    </row>
    <row r="135" spans="1:52" ht="14.5">
      <c r="A135" s="41">
        <f t="shared" ca="1" si="90"/>
        <v>9560.3319163546403</v>
      </c>
      <c r="B135" s="41">
        <f t="shared" ca="1" si="100"/>
        <v>159.33886527257735</v>
      </c>
      <c r="C135" s="41">
        <f t="shared" ca="1" si="100"/>
        <v>2.6556477545429558</v>
      </c>
      <c r="D135" s="41">
        <f t="shared" ca="1" si="91"/>
        <v>11056.944832608953</v>
      </c>
      <c r="E135" s="41">
        <f t="shared" ca="1" si="92"/>
        <v>806.65976061673439</v>
      </c>
      <c r="F135" s="7">
        <f t="shared" si="93"/>
        <v>797.14285714285745</v>
      </c>
      <c r="G135" s="41"/>
      <c r="H135" s="7">
        <f t="shared" si="94"/>
        <v>17999.999700000015</v>
      </c>
      <c r="I135" s="6">
        <v>15</v>
      </c>
      <c r="J135" s="41">
        <f t="shared" si="53"/>
        <v>0.48511170265687215</v>
      </c>
      <c r="K135" s="41">
        <f t="shared" si="54"/>
        <v>521.82499599173559</v>
      </c>
      <c r="L135" s="6">
        <f t="shared" si="95"/>
        <v>230</v>
      </c>
      <c r="M135" s="41">
        <f t="shared" si="55"/>
        <v>309.1729609251675</v>
      </c>
      <c r="N135" s="41">
        <f t="shared" si="56"/>
        <v>174.08972710625903</v>
      </c>
      <c r="O135" s="41">
        <f t="shared" si="57"/>
        <v>1892683.9967677938</v>
      </c>
      <c r="P135" s="41">
        <f t="shared" si="58"/>
        <v>12152361.218326269</v>
      </c>
      <c r="Q135" s="41">
        <f t="shared" si="59"/>
        <v>2.8495774462929686E-3</v>
      </c>
      <c r="R135" s="41">
        <f t="shared" si="60"/>
        <v>1.9262624734378238E-2</v>
      </c>
      <c r="S135" s="24">
        <f t="shared" ca="1" si="96"/>
        <v>0</v>
      </c>
      <c r="T135" s="10">
        <f t="shared" ca="1" si="61"/>
        <v>0</v>
      </c>
      <c r="U135" s="41">
        <f t="shared" ca="1" si="62"/>
        <v>0.27614307853968673</v>
      </c>
      <c r="V135" s="41">
        <f t="shared" ca="1" si="63"/>
        <v>2.4078640669965592E-2</v>
      </c>
      <c r="W135" s="41">
        <f t="shared" ca="1" si="64"/>
        <v>11.468383216671064</v>
      </c>
      <c r="X135" s="20">
        <f t="shared" ca="1" si="65"/>
        <v>964.1241161645155</v>
      </c>
      <c r="Y135" s="41">
        <f t="shared" si="66"/>
        <v>0.55226552905832693</v>
      </c>
      <c r="Z135" s="41">
        <f t="shared" ca="1" si="67"/>
        <v>177.00532780831756</v>
      </c>
      <c r="AA135" s="14">
        <f t="shared" ca="1" si="68"/>
        <v>964.1241161645155</v>
      </c>
      <c r="AB135" s="14">
        <f t="shared" si="69"/>
        <v>2916.576547414023</v>
      </c>
      <c r="AC135" s="25">
        <f t="shared" ca="1" si="70"/>
        <v>503104.0630530839</v>
      </c>
      <c r="AD135" s="41">
        <f t="shared" si="71"/>
        <v>1521942.5451639127</v>
      </c>
      <c r="AE135" s="5">
        <f t="shared" ca="1" si="72"/>
        <v>33.056705369840344</v>
      </c>
      <c r="AF135" s="7">
        <f t="shared" ca="1" si="73"/>
        <v>964.1241161645155</v>
      </c>
      <c r="AG135" s="41">
        <f t="shared" ca="1" si="74"/>
        <v>1952.4524312495075</v>
      </c>
      <c r="AH135" s="41">
        <f t="shared" ca="1" si="75"/>
        <v>1018838.4821108289</v>
      </c>
      <c r="AI135" s="41">
        <f t="shared" ca="1" si="76"/>
        <v>760.22153385805757</v>
      </c>
      <c r="AJ135" s="13">
        <f t="shared" ca="1" si="77"/>
        <v>0</v>
      </c>
      <c r="AK135" s="11"/>
      <c r="AL135" s="6">
        <v>0</v>
      </c>
      <c r="AM135" s="41">
        <f t="shared" si="78"/>
        <v>149.70815736023346</v>
      </c>
      <c r="AN135" s="41">
        <f t="shared" ca="1" si="79"/>
        <v>31.614268060961145</v>
      </c>
      <c r="AO135" s="6">
        <f t="shared" si="97"/>
        <v>12.857142857142858</v>
      </c>
      <c r="AP135" s="67">
        <f t="shared" si="98"/>
        <v>0.78851002802665648</v>
      </c>
      <c r="AQ135" s="11">
        <f t="shared" si="80"/>
        <v>0.92829992278098084</v>
      </c>
      <c r="AR135" s="11">
        <f t="shared" si="81"/>
        <v>0.49937958828402557</v>
      </c>
      <c r="AS135" s="11">
        <f t="shared" si="82"/>
        <v>0.53795069462894596</v>
      </c>
      <c r="AT135" s="11">
        <f t="shared" si="83"/>
        <v>481.48132094881129</v>
      </c>
      <c r="AU135" s="11">
        <f t="shared" si="84"/>
        <v>1056.7970723184205</v>
      </c>
      <c r="AV135" s="11">
        <f t="shared" si="85"/>
        <v>1.2786550060635417E-3</v>
      </c>
      <c r="AW135" s="11">
        <f t="shared" si="86"/>
        <v>3.5253330431988683E-7</v>
      </c>
      <c r="AX135" s="41">
        <f t="shared" ca="1" si="87"/>
        <v>2.1930189143770575</v>
      </c>
      <c r="AY135" s="41">
        <f t="shared" ca="1" si="88"/>
        <v>2.9540400475781028</v>
      </c>
      <c r="AZ135" s="41">
        <f t="shared" si="89"/>
        <v>0.33643114722663964</v>
      </c>
    </row>
    <row r="136" spans="1:52" ht="14.5">
      <c r="A136" s="41">
        <f t="shared" ca="1" si="90"/>
        <v>9710.0400737148739</v>
      </c>
      <c r="B136" s="41">
        <f t="shared" ca="1" si="100"/>
        <v>161.83400122858123</v>
      </c>
      <c r="C136" s="41">
        <f t="shared" ca="1" si="100"/>
        <v>2.6972333538096871</v>
      </c>
      <c r="D136" s="41">
        <f t="shared" ca="1" si="91"/>
        <v>11025.330564547992</v>
      </c>
      <c r="E136" s="41">
        <f t="shared" ca="1" si="92"/>
        <v>819.51690347387728</v>
      </c>
      <c r="F136" s="7">
        <f t="shared" si="93"/>
        <v>810.00000000000034</v>
      </c>
      <c r="G136" s="41"/>
      <c r="H136" s="7">
        <f t="shared" si="94"/>
        <v>17999.999700000015</v>
      </c>
      <c r="I136" s="6">
        <v>15</v>
      </c>
      <c r="J136" s="41">
        <f t="shared" si="53"/>
        <v>0.48511170265687215</v>
      </c>
      <c r="K136" s="41">
        <f t="shared" si="54"/>
        <v>521.82499599173559</v>
      </c>
      <c r="L136" s="6">
        <f t="shared" si="95"/>
        <v>230</v>
      </c>
      <c r="M136" s="41">
        <f t="shared" si="55"/>
        <v>309.1729609251675</v>
      </c>
      <c r="N136" s="41">
        <f t="shared" si="56"/>
        <v>174.08972710625903</v>
      </c>
      <c r="O136" s="41">
        <f t="shared" si="57"/>
        <v>1892683.9967677938</v>
      </c>
      <c r="P136" s="41">
        <f t="shared" si="58"/>
        <v>12152361.218326269</v>
      </c>
      <c r="Q136" s="41">
        <f t="shared" si="59"/>
        <v>2.8495774462929686E-3</v>
      </c>
      <c r="R136" s="41">
        <f t="shared" si="60"/>
        <v>1.9262624734378238E-2</v>
      </c>
      <c r="S136" s="24">
        <f t="shared" ca="1" si="96"/>
        <v>0</v>
      </c>
      <c r="T136" s="10">
        <f t="shared" ca="1" si="61"/>
        <v>0</v>
      </c>
      <c r="U136" s="41">
        <f t="shared" ca="1" si="62"/>
        <v>0.27535352397101542</v>
      </c>
      <c r="V136" s="41">
        <f t="shared" ca="1" si="63"/>
        <v>2.4051139917116514E-2</v>
      </c>
      <c r="W136" s="41">
        <f t="shared" ca="1" si="64"/>
        <v>11.448668334221203</v>
      </c>
      <c r="X136" s="20">
        <f t="shared" ca="1" si="65"/>
        <v>963.02296849601157</v>
      </c>
      <c r="Y136" s="41">
        <f t="shared" si="66"/>
        <v>0.55226552905832693</v>
      </c>
      <c r="Z136" s="41">
        <f t="shared" ca="1" si="67"/>
        <v>176.75209783965383</v>
      </c>
      <c r="AA136" s="14">
        <f t="shared" ca="1" si="68"/>
        <v>963.02296849601169</v>
      </c>
      <c r="AB136" s="14">
        <f t="shared" si="69"/>
        <v>2916.576547414023</v>
      </c>
      <c r="AC136" s="25">
        <f t="shared" ca="1" si="70"/>
        <v>502529.45667538058</v>
      </c>
      <c r="AD136" s="41">
        <f t="shared" si="71"/>
        <v>1521942.5451639127</v>
      </c>
      <c r="AE136" s="5">
        <f t="shared" ca="1" si="72"/>
        <v>33.018950568942692</v>
      </c>
      <c r="AF136" s="7">
        <f t="shared" ca="1" si="73"/>
        <v>963.02296849601157</v>
      </c>
      <c r="AG136" s="41">
        <f t="shared" ca="1" si="74"/>
        <v>1953.5535789180112</v>
      </c>
      <c r="AH136" s="41">
        <f t="shared" ca="1" si="75"/>
        <v>1019413.0884885321</v>
      </c>
      <c r="AI136" s="41">
        <f t="shared" ca="1" si="76"/>
        <v>759.35326787910401</v>
      </c>
      <c r="AJ136" s="13">
        <f t="shared" ca="1" si="77"/>
        <v>0</v>
      </c>
      <c r="AK136" s="11"/>
      <c r="AL136" s="6">
        <v>0</v>
      </c>
      <c r="AM136" s="41">
        <f t="shared" si="78"/>
        <v>149.70815736023346</v>
      </c>
      <c r="AN136" s="41">
        <f t="shared" ca="1" si="79"/>
        <v>31.578160699903446</v>
      </c>
      <c r="AO136" s="6">
        <f t="shared" si="97"/>
        <v>12.857142857142858</v>
      </c>
      <c r="AP136" s="67">
        <f t="shared" si="98"/>
        <v>0.78851002802665648</v>
      </c>
      <c r="AQ136" s="11">
        <f t="shared" si="80"/>
        <v>0.92829992278098084</v>
      </c>
      <c r="AR136" s="11">
        <f t="shared" si="81"/>
        <v>0.49937958828402557</v>
      </c>
      <c r="AS136" s="11">
        <f t="shared" si="82"/>
        <v>0.53795069462894596</v>
      </c>
      <c r="AT136" s="11">
        <f t="shared" si="83"/>
        <v>481.48132094881129</v>
      </c>
      <c r="AU136" s="11">
        <f t="shared" si="84"/>
        <v>1056.7970723184205</v>
      </c>
      <c r="AV136" s="11">
        <f t="shared" si="85"/>
        <v>1.2786550060635417E-3</v>
      </c>
      <c r="AW136" s="11">
        <f t="shared" si="86"/>
        <v>3.5253330431988683E-7</v>
      </c>
      <c r="AX136" s="41">
        <f t="shared" ca="1" si="87"/>
        <v>2.1987413082589762</v>
      </c>
      <c r="AY136" s="41">
        <f t="shared" ca="1" si="88"/>
        <v>2.9617482258269918</v>
      </c>
      <c r="AZ136" s="41">
        <f t="shared" si="89"/>
        <v>0.33643114722663964</v>
      </c>
    </row>
    <row r="137" spans="1:52" ht="14.5">
      <c r="A137" s="41">
        <f t="shared" ca="1" si="90"/>
        <v>9859.7482310751075</v>
      </c>
      <c r="B137" s="41">
        <f t="shared" ca="1" si="100"/>
        <v>164.32913718458514</v>
      </c>
      <c r="C137" s="41">
        <f t="shared" ca="1" si="100"/>
        <v>2.7388189530764189</v>
      </c>
      <c r="D137" s="41">
        <f t="shared" ca="1" si="91"/>
        <v>10993.75240384809</v>
      </c>
      <c r="E137" s="41">
        <f t="shared" ca="1" si="92"/>
        <v>832.37404633102017</v>
      </c>
      <c r="F137" s="7">
        <f t="shared" si="93"/>
        <v>822.85714285714323</v>
      </c>
      <c r="G137" s="41"/>
      <c r="H137" s="7">
        <f t="shared" si="94"/>
        <v>17999.999700000015</v>
      </c>
      <c r="I137" s="6">
        <v>15</v>
      </c>
      <c r="J137" s="41">
        <f t="shared" ref="J137:J143" si="101">SQRT((((((((L137^2)*(0.2))/(661.477)^2) + 1)^(3.5) - 1)*(1/AR137) + 1)^(1/3.5) - 1)*(5))</f>
        <v>0.48511170265687215</v>
      </c>
      <c r="K137" s="41">
        <f t="shared" ref="K137:K143" si="102">SQRT((1.4*2116.22*AR137*(J137)^2)/AV137)</f>
        <v>521.82499599173559</v>
      </c>
      <c r="L137" s="6">
        <f t="shared" si="95"/>
        <v>230</v>
      </c>
      <c r="M137" s="41">
        <f t="shared" ref="M137:M143" si="103">K137*0.592484</f>
        <v>309.1729609251675</v>
      </c>
      <c r="N137" s="41">
        <f t="shared" ref="N137:N143" si="104">0.5*AV137*K137^2</f>
        <v>174.08972710625903</v>
      </c>
      <c r="O137" s="41">
        <f t="shared" ref="O137:O143" si="105">P137/$B$7</f>
        <v>1892683.9967677938</v>
      </c>
      <c r="P137" s="41">
        <f t="shared" ref="P137:P143" si="106">(AV137*K137*$B$7)/(AW137)</f>
        <v>12152361.218326269</v>
      </c>
      <c r="Q137" s="41">
        <f t="shared" ref="Q137:Q143" si="107">0.455/(LOG10(P137)^2.58 * (1+0.144*J137*J137)^0.65)</f>
        <v>2.8495774462929686E-3</v>
      </c>
      <c r="R137" s="41">
        <f t="shared" ref="R137:R143" si="108">(((Q137*$B$4)+$B$17)+(0.1*(Q137*$B$4)))</f>
        <v>1.9262624734378238E-2</v>
      </c>
      <c r="S137" s="24">
        <f t="shared" ca="1" si="96"/>
        <v>-5.9249797051617214E-16</v>
      </c>
      <c r="T137" s="10">
        <f t="shared" ref="T137:T143" ca="1" si="109">DEGREES(ASIN(((AF137-X137)/(D137))))</f>
        <v>-5.9249797051617214E-16</v>
      </c>
      <c r="U137" s="41">
        <f t="shared" ref="U137:U143" ca="1" si="110">(D137*COS(RADIANS(S137)))/(N137*$B$3)</f>
        <v>0.27456487117023681</v>
      </c>
      <c r="V137" s="41">
        <f t="shared" ref="V137:V143" ca="1" si="111">(X137)/(N137*$B$3)</f>
        <v>2.4023749181990732E-2</v>
      </c>
      <c r="W137" s="41">
        <f t="shared" ref="W137:W143" ca="1" si="112">U137/V137</f>
        <v>11.428893512427395</v>
      </c>
      <c r="X137" s="20">
        <f t="shared" ref="X137:X143" ca="1" si="113">(N137*$B$3*R137)+((N137*$B$3)*((U137^2)/(PI()*$B$6*$B$5)))</f>
        <v>961.92622600725554</v>
      </c>
      <c r="Y137" s="41">
        <f t="shared" ref="Y137:Y143" si="114">SQRT(PI()*$B$6*$B$5*R137)</f>
        <v>0.55226552905832693</v>
      </c>
      <c r="Z137" s="41">
        <f t="shared" ref="Z137:Z143" ca="1" si="115">SQRT((2*((U137*N137*$B$3)/(D137))*D137)/(AV137*$B$3*$B$18))</f>
        <v>176.49879439386467</v>
      </c>
      <c r="AA137" s="14">
        <f t="shared" ref="AA137:AA143" ca="1" si="116">D137/W137</f>
        <v>961.92622600725542</v>
      </c>
      <c r="AB137" s="14">
        <f t="shared" ref="AB137:AB143" si="117">$B$15*AR137*0.93</f>
        <v>2916.576547414023</v>
      </c>
      <c r="AC137" s="25">
        <f t="shared" ref="AC137:AC143" ca="1" si="118">AA137*K137</f>
        <v>501957.14903058141</v>
      </c>
      <c r="AD137" s="41">
        <f t="shared" ref="AD137:AD143" si="119">AB137*K137</f>
        <v>1521942.5451639127</v>
      </c>
      <c r="AE137" s="5">
        <f t="shared" ref="AE137:AE143" ca="1" si="120">(AA137/AB137)*100</f>
        <v>32.981346807446059</v>
      </c>
      <c r="AF137" s="7">
        <f t="shared" ref="AF137:AF143" ca="1" si="121">(AB137)*(AE137/100)</f>
        <v>961.92622600725542</v>
      </c>
      <c r="AG137" s="41">
        <f t="shared" ref="AG137:AG143" ca="1" si="122">AB137-AA137</f>
        <v>1954.6503214067675</v>
      </c>
      <c r="AH137" s="41">
        <f t="shared" ref="AH137:AH143" ca="1" si="123">AD137-AC137</f>
        <v>1019985.3961333313</v>
      </c>
      <c r="AI137" s="41">
        <f t="shared" ref="AI137:AI143" ca="1" si="124">(AP137*AF137)</f>
        <v>758.48847542855685</v>
      </c>
      <c r="AJ137" s="13">
        <f t="shared" ref="AJ137:AJ143" ca="1" si="125">K137*SIN(RADIANS(T137))</f>
        <v>-5.3962133636582781E-15</v>
      </c>
      <c r="AK137" s="11"/>
      <c r="AL137" s="6">
        <v>0</v>
      </c>
      <c r="AM137" s="41">
        <f t="shared" ref="AM137:AM143" si="126">(AO137/M137)*3600</f>
        <v>149.70815736023346</v>
      </c>
      <c r="AN137" s="41">
        <f t="shared" ref="AN137:AN143" ca="1" si="127">AI137*(AM137/3600)</f>
        <v>31.542197787606096</v>
      </c>
      <c r="AO137" s="6">
        <f t="shared" si="97"/>
        <v>12.857142857142858</v>
      </c>
      <c r="AP137" s="67">
        <f t="shared" si="98"/>
        <v>0.78851002802665648</v>
      </c>
      <c r="AQ137" s="11">
        <f t="shared" ref="AQ137:AQ143" si="128">IF(H137 &lt;= 36089, ((1 - 6.87535*10^(-6)*H137) + ((I137*1.8)/518.67)), 0.75187 + ((I137*1.8)/518.67))</f>
        <v>0.92829992278098084</v>
      </c>
      <c r="AR137" s="11">
        <f t="shared" ref="AR137:AR143" si="129">IF(H137 &lt;= 36089, (1 - 6.87535*10^(-6)*H137)^5.2561, 0.22336*EXP((36089 - H137)/(20806.7)))</f>
        <v>0.49937958828402557</v>
      </c>
      <c r="AS137" s="11">
        <f t="shared" ref="AS137:AS143" si="130">(AR137/AQ137)</f>
        <v>0.53795069462894596</v>
      </c>
      <c r="AT137" s="11">
        <f t="shared" ref="AT137:AT143" si="131">(518.67*AQ137)</f>
        <v>481.48132094881129</v>
      </c>
      <c r="AU137" s="11">
        <f t="shared" ref="AU137:AU143" si="132">2116.22*AR137</f>
        <v>1056.7970723184205</v>
      </c>
      <c r="AV137" s="11">
        <f t="shared" ref="AV137:AV143" si="133">(0.0023769*AS137)</f>
        <v>1.2786550060635417E-3</v>
      </c>
      <c r="AW137" s="11">
        <f t="shared" ref="AW137:AW143" si="134">((2.2697*10^-8)*(AT137^1.5))/(AT137+198.72)</f>
        <v>3.5253330431988683E-7</v>
      </c>
      <c r="AX137" s="41">
        <f t="shared" ref="AX137:AX143" ca="1" si="135">(1/U137)*(((1 + 0.2*(U137)^2)/1.2)^3)</f>
        <v>2.2044917404456448</v>
      </c>
      <c r="AY137" s="41">
        <f t="shared" ref="AY137:AY143" ca="1" si="136">($H$4/$H$3)*AX137</f>
        <v>2.9694941722294317</v>
      </c>
      <c r="AZ137" s="41">
        <f t="shared" ref="AZ137:AZ143" si="137">-6.6*10^(-3) + 0.825*J137 - 0.243*(J137^2)</f>
        <v>0.33643114722663964</v>
      </c>
    </row>
    <row r="138" spans="1:52" ht="14.5">
      <c r="A138" s="41">
        <f t="shared" ref="A138:A143" ca="1" si="138">A137+AM137</f>
        <v>10009.456388435341</v>
      </c>
      <c r="B138" s="41">
        <f t="shared" ca="1" si="100"/>
        <v>166.82427314058901</v>
      </c>
      <c r="C138" s="41">
        <f t="shared" ca="1" si="100"/>
        <v>2.7804045523431502</v>
      </c>
      <c r="D138" s="41">
        <f t="shared" ref="D138:D143" ca="1" si="139">D137-AN137</f>
        <v>10962.210206060483</v>
      </c>
      <c r="E138" s="41">
        <f t="shared" ref="E138:E143" ca="1" si="140">E137+AO137</f>
        <v>845.23118918816306</v>
      </c>
      <c r="F138" s="7">
        <f t="shared" ref="F138:F143" si="141">F137+AO137</f>
        <v>835.71428571428612</v>
      </c>
      <c r="G138" s="41"/>
      <c r="H138" s="7">
        <f t="shared" ref="H138:H143" si="142">H137+AL137</f>
        <v>17999.999700000015</v>
      </c>
      <c r="I138" s="6">
        <v>15</v>
      </c>
      <c r="J138" s="41">
        <f t="shared" si="101"/>
        <v>0.48511170265687215</v>
      </c>
      <c r="K138" s="41">
        <f t="shared" si="102"/>
        <v>521.82499599173559</v>
      </c>
      <c r="L138" s="6">
        <f t="shared" ref="L138:L143" si="143">L137</f>
        <v>230</v>
      </c>
      <c r="M138" s="41">
        <f t="shared" si="103"/>
        <v>309.1729609251675</v>
      </c>
      <c r="N138" s="41">
        <f t="shared" si="104"/>
        <v>174.08972710625903</v>
      </c>
      <c r="O138" s="41">
        <f t="shared" si="105"/>
        <v>1892683.9967677938</v>
      </c>
      <c r="P138" s="41">
        <f t="shared" si="106"/>
        <v>12152361.218326269</v>
      </c>
      <c r="Q138" s="41">
        <f t="shared" si="107"/>
        <v>2.8495774462929686E-3</v>
      </c>
      <c r="R138" s="41">
        <f t="shared" si="108"/>
        <v>1.9262624734378238E-2</v>
      </c>
      <c r="S138" s="24">
        <f t="shared" ref="S138:S143" ca="1" si="144">T138</f>
        <v>-5.9420279899724297E-16</v>
      </c>
      <c r="T138" s="10">
        <f t="shared" ca="1" si="109"/>
        <v>-5.9420279899724297E-16</v>
      </c>
      <c r="U138" s="41">
        <f t="shared" ca="1" si="110"/>
        <v>0.27377711652979675</v>
      </c>
      <c r="V138" s="41">
        <f t="shared" ca="1" si="111"/>
        <v>2.3996468070337312E-2</v>
      </c>
      <c r="W138" s="41">
        <f t="shared" ca="1" si="112"/>
        <v>11.409058855132939</v>
      </c>
      <c r="X138" s="20">
        <f t="shared" ca="1" si="113"/>
        <v>960.83387291218867</v>
      </c>
      <c r="Y138" s="41">
        <f t="shared" si="114"/>
        <v>0.55226552905832693</v>
      </c>
      <c r="Z138" s="41">
        <f t="shared" ca="1" si="115"/>
        <v>176.24541599295097</v>
      </c>
      <c r="AA138" s="14">
        <f t="shared" ca="1" si="116"/>
        <v>960.83387291218867</v>
      </c>
      <c r="AB138" s="14">
        <f t="shared" si="117"/>
        <v>2916.576547414023</v>
      </c>
      <c r="AC138" s="25">
        <f t="shared" ca="1" si="118"/>
        <v>501387.13188112661</v>
      </c>
      <c r="AD138" s="41">
        <f t="shared" si="119"/>
        <v>1521942.5451639127</v>
      </c>
      <c r="AE138" s="5">
        <f t="shared" ca="1" si="120"/>
        <v>32.943893544097449</v>
      </c>
      <c r="AF138" s="7">
        <f t="shared" ca="1" si="121"/>
        <v>960.83387291218855</v>
      </c>
      <c r="AG138" s="41">
        <f t="shared" ca="1" si="122"/>
        <v>1955.7426745018342</v>
      </c>
      <c r="AH138" s="41">
        <f t="shared" ca="1" si="123"/>
        <v>1020555.413282786</v>
      </c>
      <c r="AI138" s="41">
        <f t="shared" ca="1" si="124"/>
        <v>757.62714405895065</v>
      </c>
      <c r="AJ138" s="13">
        <f t="shared" ca="1" si="125"/>
        <v>-5.4117401986688436E-15</v>
      </c>
      <c r="AK138" s="11"/>
      <c r="AL138" s="6">
        <v>0</v>
      </c>
      <c r="AM138" s="41">
        <f t="shared" si="126"/>
        <v>149.70815736023346</v>
      </c>
      <c r="AN138" s="41">
        <f t="shared" ca="1" si="127"/>
        <v>31.506378806433787</v>
      </c>
      <c r="AO138" s="6">
        <f t="shared" ref="AO138:AO142" si="145">(900/70)</f>
        <v>12.857142857142858</v>
      </c>
      <c r="AP138" s="67">
        <f t="shared" ref="AP138:AP143" si="146">0.692 + 0.298*AZ138 + -0.0331*AZ138^2</f>
        <v>0.78851002802665648</v>
      </c>
      <c r="AQ138" s="11">
        <f t="shared" si="128"/>
        <v>0.92829992278098084</v>
      </c>
      <c r="AR138" s="11">
        <f t="shared" si="129"/>
        <v>0.49937958828402557</v>
      </c>
      <c r="AS138" s="11">
        <f t="shared" si="130"/>
        <v>0.53795069462894596</v>
      </c>
      <c r="AT138" s="11">
        <f t="shared" si="131"/>
        <v>481.48132094881129</v>
      </c>
      <c r="AU138" s="11">
        <f t="shared" si="132"/>
        <v>1056.7970723184205</v>
      </c>
      <c r="AV138" s="11">
        <f t="shared" si="133"/>
        <v>1.2786550060635417E-3</v>
      </c>
      <c r="AW138" s="11">
        <f t="shared" si="134"/>
        <v>3.5253330431988683E-7</v>
      </c>
      <c r="AX138" s="41">
        <f t="shared" ca="1" si="135"/>
        <v>2.2102704162123459</v>
      </c>
      <c r="AY138" s="41">
        <f t="shared" ca="1" si="136"/>
        <v>2.9772781632953058</v>
      </c>
      <c r="AZ138" s="41">
        <f t="shared" si="137"/>
        <v>0.33643114722663964</v>
      </c>
    </row>
    <row r="139" spans="1:52" ht="14.5">
      <c r="A139" s="41">
        <f t="shared" ca="1" si="138"/>
        <v>10159.164545795575</v>
      </c>
      <c r="B139" s="41">
        <f t="shared" ca="1" si="100"/>
        <v>169.31940909659292</v>
      </c>
      <c r="C139" s="41">
        <f t="shared" ca="1" si="100"/>
        <v>2.821990151609882</v>
      </c>
      <c r="D139" s="41">
        <f t="shared" ca="1" si="139"/>
        <v>10930.703827254049</v>
      </c>
      <c r="E139" s="41">
        <f t="shared" ca="1" si="140"/>
        <v>858.08833204530595</v>
      </c>
      <c r="F139" s="7">
        <f t="shared" si="141"/>
        <v>848.57142857142901</v>
      </c>
      <c r="G139" s="41"/>
      <c r="H139" s="7">
        <f t="shared" si="142"/>
        <v>17999.999700000015</v>
      </c>
      <c r="I139" s="6">
        <v>15</v>
      </c>
      <c r="J139" s="41">
        <f t="shared" si="101"/>
        <v>0.48511170265687215</v>
      </c>
      <c r="K139" s="41">
        <f t="shared" si="102"/>
        <v>521.82499599173559</v>
      </c>
      <c r="L139" s="6">
        <f t="shared" si="143"/>
        <v>230</v>
      </c>
      <c r="M139" s="41">
        <f t="shared" si="103"/>
        <v>309.1729609251675</v>
      </c>
      <c r="N139" s="41">
        <f t="shared" si="104"/>
        <v>174.08972710625903</v>
      </c>
      <c r="O139" s="41">
        <f t="shared" si="105"/>
        <v>1892683.9967677938</v>
      </c>
      <c r="P139" s="41">
        <f t="shared" si="106"/>
        <v>12152361.218326269</v>
      </c>
      <c r="Q139" s="41">
        <f t="shared" si="107"/>
        <v>2.8495774462929686E-3</v>
      </c>
      <c r="R139" s="41">
        <f t="shared" si="108"/>
        <v>1.9262624734378238E-2</v>
      </c>
      <c r="S139" s="24">
        <f t="shared" ca="1" si="144"/>
        <v>-1.1918310276409049E-15</v>
      </c>
      <c r="T139" s="10">
        <f t="shared" ca="1" si="109"/>
        <v>-1.1918310276409049E-15</v>
      </c>
      <c r="U139" s="41">
        <f t="shared" ca="1" si="110"/>
        <v>0.27299025645506908</v>
      </c>
      <c r="V139" s="41">
        <f t="shared" ca="1" si="111"/>
        <v>2.396929619009348E-2</v>
      </c>
      <c r="W139" s="41">
        <f t="shared" ca="1" si="112"/>
        <v>11.389164466493433</v>
      </c>
      <c r="X139" s="20">
        <f t="shared" ca="1" si="113"/>
        <v>959.74589351236773</v>
      </c>
      <c r="Y139" s="41">
        <f t="shared" si="114"/>
        <v>0.55226552905832693</v>
      </c>
      <c r="Z139" s="41">
        <f t="shared" ca="1" si="115"/>
        <v>175.99196115447478</v>
      </c>
      <c r="AA139" s="14">
        <f t="shared" ca="1" si="116"/>
        <v>959.74589351236773</v>
      </c>
      <c r="AB139" s="14">
        <f t="shared" si="117"/>
        <v>2916.576547414023</v>
      </c>
      <c r="AC139" s="25">
        <f t="shared" ca="1" si="118"/>
        <v>500819.39703517599</v>
      </c>
      <c r="AD139" s="41">
        <f t="shared" si="119"/>
        <v>1521942.5451639127</v>
      </c>
      <c r="AE139" s="5">
        <f t="shared" ca="1" si="120"/>
        <v>32.906590240647873</v>
      </c>
      <c r="AF139" s="7">
        <f t="shared" ca="1" si="121"/>
        <v>959.7458935123675</v>
      </c>
      <c r="AG139" s="41">
        <f t="shared" ca="1" si="122"/>
        <v>1956.8306539016553</v>
      </c>
      <c r="AH139" s="41">
        <f t="shared" ca="1" si="123"/>
        <v>1021123.1481287368</v>
      </c>
      <c r="AI139" s="41">
        <f t="shared" ca="1" si="124"/>
        <v>756.76926139190539</v>
      </c>
      <c r="AJ139" s="13">
        <f t="shared" ca="1" si="125"/>
        <v>-1.0854677718095046E-14</v>
      </c>
      <c r="AK139" s="11"/>
      <c r="AL139" s="6">
        <v>0</v>
      </c>
      <c r="AM139" s="41">
        <f t="shared" si="126"/>
        <v>149.70815736023346</v>
      </c>
      <c r="AN139" s="41">
        <f t="shared" ca="1" si="127"/>
        <v>31.470703241624168</v>
      </c>
      <c r="AO139" s="6">
        <f t="shared" si="145"/>
        <v>12.857142857142858</v>
      </c>
      <c r="AP139" s="67">
        <f t="shared" si="146"/>
        <v>0.78851002802665648</v>
      </c>
      <c r="AQ139" s="11">
        <f t="shared" si="128"/>
        <v>0.92829992278098084</v>
      </c>
      <c r="AR139" s="11">
        <f t="shared" si="129"/>
        <v>0.49937958828402557</v>
      </c>
      <c r="AS139" s="11">
        <f t="shared" si="130"/>
        <v>0.53795069462894596</v>
      </c>
      <c r="AT139" s="11">
        <f t="shared" si="131"/>
        <v>481.48132094881129</v>
      </c>
      <c r="AU139" s="11">
        <f t="shared" si="132"/>
        <v>1056.7970723184205</v>
      </c>
      <c r="AV139" s="11">
        <f t="shared" si="133"/>
        <v>1.2786550060635417E-3</v>
      </c>
      <c r="AW139" s="11">
        <f t="shared" si="134"/>
        <v>3.5253330431988683E-7</v>
      </c>
      <c r="AX139" s="41">
        <f t="shared" ca="1" si="135"/>
        <v>2.2160775429031889</v>
      </c>
      <c r="AY139" s="41">
        <f t="shared" ca="1" si="136"/>
        <v>2.9851004783212494</v>
      </c>
      <c r="AZ139" s="41">
        <f t="shared" si="137"/>
        <v>0.33643114722663964</v>
      </c>
    </row>
    <row r="140" spans="1:52" ht="14.5">
      <c r="A140" s="41">
        <f t="shared" ca="1" si="138"/>
        <v>10308.872703155808</v>
      </c>
      <c r="B140" s="41">
        <f t="shared" ca="1" si="100"/>
        <v>171.8145450525968</v>
      </c>
      <c r="C140" s="41">
        <f t="shared" ca="1" si="100"/>
        <v>2.8635757508766133</v>
      </c>
      <c r="D140" s="41">
        <f t="shared" ca="1" si="139"/>
        <v>10899.233124012424</v>
      </c>
      <c r="E140" s="41">
        <f t="shared" ca="1" si="140"/>
        <v>870.94547490244884</v>
      </c>
      <c r="F140" s="7">
        <f t="shared" si="141"/>
        <v>861.4285714285719</v>
      </c>
      <c r="G140" s="41"/>
      <c r="H140" s="7">
        <f t="shared" si="142"/>
        <v>17999.999700000015</v>
      </c>
      <c r="I140" s="6">
        <v>15</v>
      </c>
      <c r="J140" s="41">
        <f t="shared" si="101"/>
        <v>0.48511170265687215</v>
      </c>
      <c r="K140" s="41">
        <f t="shared" si="102"/>
        <v>521.82499599173559</v>
      </c>
      <c r="L140" s="6">
        <f t="shared" si="143"/>
        <v>230</v>
      </c>
      <c r="M140" s="41">
        <f t="shared" si="103"/>
        <v>309.1729609251675</v>
      </c>
      <c r="N140" s="41">
        <f t="shared" si="104"/>
        <v>174.08972710625903</v>
      </c>
      <c r="O140" s="41">
        <f t="shared" si="105"/>
        <v>1892683.9967677938</v>
      </c>
      <c r="P140" s="41">
        <f t="shared" si="106"/>
        <v>12152361.218326269</v>
      </c>
      <c r="Q140" s="41">
        <f t="shared" si="107"/>
        <v>2.8495774462929686E-3</v>
      </c>
      <c r="R140" s="41">
        <f t="shared" si="108"/>
        <v>1.9262624734378238E-2</v>
      </c>
      <c r="S140" s="24">
        <f t="shared" ca="1" si="144"/>
        <v>0</v>
      </c>
      <c r="T140" s="10">
        <f t="shared" ca="1" si="109"/>
        <v>0</v>
      </c>
      <c r="U140" s="41">
        <f t="shared" ca="1" si="110"/>
        <v>0.27220428736428359</v>
      </c>
      <c r="V140" s="41">
        <f t="shared" ca="1" si="111"/>
        <v>2.3942233151371648E-2</v>
      </c>
      <c r="W140" s="41">
        <f t="shared" ca="1" si="112"/>
        <v>11.369210450976208</v>
      </c>
      <c r="X140" s="20">
        <f t="shared" ca="1" si="113"/>
        <v>958.66227219644531</v>
      </c>
      <c r="Y140" s="41">
        <f t="shared" si="114"/>
        <v>0.55226552905832693</v>
      </c>
      <c r="Z140" s="41">
        <f t="shared" ca="1" si="115"/>
        <v>175.73842839149759</v>
      </c>
      <c r="AA140" s="14">
        <f t="shared" ca="1" si="116"/>
        <v>958.66227219644531</v>
      </c>
      <c r="AB140" s="14">
        <f t="shared" si="117"/>
        <v>2916.576547414023</v>
      </c>
      <c r="AC140" s="25">
        <f t="shared" ca="1" si="118"/>
        <v>500253.93634633819</v>
      </c>
      <c r="AD140" s="41">
        <f t="shared" si="119"/>
        <v>1521942.5451639127</v>
      </c>
      <c r="AE140" s="5">
        <f t="shared" ca="1" si="120"/>
        <v>32.869436361834609</v>
      </c>
      <c r="AF140" s="7">
        <f t="shared" ca="1" si="121"/>
        <v>958.66227219644531</v>
      </c>
      <c r="AG140" s="41">
        <f t="shared" ca="1" si="122"/>
        <v>1957.9142752175776</v>
      </c>
      <c r="AH140" s="41">
        <f t="shared" ca="1" si="123"/>
        <v>1021688.6088175746</v>
      </c>
      <c r="AI140" s="41">
        <f t="shared" ca="1" si="124"/>
        <v>755.91481511771724</v>
      </c>
      <c r="AJ140" s="13">
        <f t="shared" ca="1" si="125"/>
        <v>0</v>
      </c>
      <c r="AK140" s="11"/>
      <c r="AL140" s="6">
        <v>0</v>
      </c>
      <c r="AM140" s="41">
        <f t="shared" si="126"/>
        <v>149.70815736023346</v>
      </c>
      <c r="AN140" s="41">
        <f t="shared" ca="1" si="127"/>
        <v>31.435170581270828</v>
      </c>
      <c r="AO140" s="6">
        <f t="shared" si="145"/>
        <v>12.857142857142858</v>
      </c>
      <c r="AP140" s="67">
        <f t="shared" si="146"/>
        <v>0.78851002802665648</v>
      </c>
      <c r="AQ140" s="11">
        <f t="shared" si="128"/>
        <v>0.92829992278098084</v>
      </c>
      <c r="AR140" s="11">
        <f t="shared" si="129"/>
        <v>0.49937958828402557</v>
      </c>
      <c r="AS140" s="11">
        <f t="shared" si="130"/>
        <v>0.53795069462894596</v>
      </c>
      <c r="AT140" s="11">
        <f t="shared" si="131"/>
        <v>481.48132094881129</v>
      </c>
      <c r="AU140" s="11">
        <f t="shared" si="132"/>
        <v>1056.7970723184205</v>
      </c>
      <c r="AV140" s="11">
        <f t="shared" si="133"/>
        <v>1.2786550060635417E-3</v>
      </c>
      <c r="AW140" s="11">
        <f t="shared" si="134"/>
        <v>3.5253330431988683E-7</v>
      </c>
      <c r="AX140" s="41">
        <f t="shared" ca="1" si="135"/>
        <v>2.2219133299568172</v>
      </c>
      <c r="AY140" s="41">
        <f t="shared" ca="1" si="136"/>
        <v>2.9929613994252757</v>
      </c>
      <c r="AZ140" s="41">
        <f t="shared" si="137"/>
        <v>0.33643114722663964</v>
      </c>
    </row>
    <row r="141" spans="1:52" ht="14.5">
      <c r="A141" s="41">
        <f t="shared" ca="1" si="138"/>
        <v>10458.580860516042</v>
      </c>
      <c r="B141" s="41">
        <f t="shared" ca="1" si="100"/>
        <v>174.30968100860071</v>
      </c>
      <c r="C141" s="41">
        <f t="shared" ca="1" si="100"/>
        <v>2.9051613501433451</v>
      </c>
      <c r="D141" s="41">
        <f t="shared" ca="1" si="139"/>
        <v>10867.797953431153</v>
      </c>
      <c r="E141" s="41">
        <f t="shared" ca="1" si="140"/>
        <v>883.80261775959173</v>
      </c>
      <c r="F141" s="7">
        <f t="shared" si="141"/>
        <v>874.28571428571479</v>
      </c>
      <c r="G141" s="41"/>
      <c r="H141" s="7">
        <f t="shared" si="142"/>
        <v>17999.999700000015</v>
      </c>
      <c r="I141" s="6">
        <v>15</v>
      </c>
      <c r="J141" s="41">
        <f t="shared" si="101"/>
        <v>0.48511170265687215</v>
      </c>
      <c r="K141" s="41">
        <f t="shared" si="102"/>
        <v>521.82499599173559</v>
      </c>
      <c r="L141" s="6">
        <f t="shared" si="143"/>
        <v>230</v>
      </c>
      <c r="M141" s="41">
        <f t="shared" si="103"/>
        <v>309.1729609251675</v>
      </c>
      <c r="N141" s="41">
        <f t="shared" si="104"/>
        <v>174.08972710625903</v>
      </c>
      <c r="O141" s="41">
        <f t="shared" si="105"/>
        <v>1892683.9967677938</v>
      </c>
      <c r="P141" s="41">
        <f t="shared" si="106"/>
        <v>12152361.218326269</v>
      </c>
      <c r="Q141" s="41">
        <f t="shared" si="107"/>
        <v>2.8495774462929686E-3</v>
      </c>
      <c r="R141" s="41">
        <f t="shared" si="108"/>
        <v>1.9262624734378238E-2</v>
      </c>
      <c r="S141" s="24">
        <f t="shared" ca="1" si="144"/>
        <v>5.9936484056374737E-16</v>
      </c>
      <c r="T141" s="10">
        <f t="shared" ca="1" si="109"/>
        <v>5.9936484056374737E-16</v>
      </c>
      <c r="U141" s="41">
        <f t="shared" ca="1" si="110"/>
        <v>0.27141920568845468</v>
      </c>
      <c r="V141" s="41">
        <f t="shared" ca="1" si="111"/>
        <v>2.3915278566446534E-2</v>
      </c>
      <c r="W141" s="41">
        <f t="shared" ca="1" si="112"/>
        <v>11.349196913359796</v>
      </c>
      <c r="X141" s="20">
        <f t="shared" ca="1" si="113"/>
        <v>957.58299343965382</v>
      </c>
      <c r="Y141" s="41">
        <f t="shared" si="114"/>
        <v>0.55226552905832693</v>
      </c>
      <c r="Z141" s="41">
        <f t="shared" ca="1" si="115"/>
        <v>175.48481621251824</v>
      </c>
      <c r="AA141" s="14">
        <f t="shared" ca="1" si="116"/>
        <v>957.58299343965382</v>
      </c>
      <c r="AB141" s="14">
        <f t="shared" si="117"/>
        <v>2916.576547414023</v>
      </c>
      <c r="AC141" s="25">
        <f t="shared" ca="1" si="118"/>
        <v>499690.74171340151</v>
      </c>
      <c r="AD141" s="41">
        <f t="shared" si="119"/>
        <v>1521942.5451639127</v>
      </c>
      <c r="AE141" s="5">
        <f t="shared" ca="1" si="120"/>
        <v>32.832431375363456</v>
      </c>
      <c r="AF141" s="7">
        <f t="shared" ca="1" si="121"/>
        <v>957.58299343965393</v>
      </c>
      <c r="AG141" s="41">
        <f t="shared" ca="1" si="122"/>
        <v>1958.9935539743692</v>
      </c>
      <c r="AH141" s="41">
        <f t="shared" ca="1" si="123"/>
        <v>1022251.8034505112</v>
      </c>
      <c r="AI141" s="41">
        <f t="shared" ca="1" si="124"/>
        <v>755.06379299495109</v>
      </c>
      <c r="AJ141" s="13">
        <f t="shared" ca="1" si="125"/>
        <v>5.4587538241512455E-15</v>
      </c>
      <c r="AK141" s="11"/>
      <c r="AL141" s="6">
        <v>0</v>
      </c>
      <c r="AM141" s="41">
        <f t="shared" si="126"/>
        <v>149.70815736023346</v>
      </c>
      <c r="AN141" s="41">
        <f t="shared" ca="1" si="127"/>
        <v>31.399780316306352</v>
      </c>
      <c r="AO141" s="6">
        <f t="shared" si="145"/>
        <v>12.857142857142858</v>
      </c>
      <c r="AP141" s="67">
        <f t="shared" si="146"/>
        <v>0.78851002802665648</v>
      </c>
      <c r="AQ141" s="11">
        <f t="shared" si="128"/>
        <v>0.92829992278098084</v>
      </c>
      <c r="AR141" s="11">
        <f t="shared" si="129"/>
        <v>0.49937958828402557</v>
      </c>
      <c r="AS141" s="11">
        <f t="shared" si="130"/>
        <v>0.53795069462894596</v>
      </c>
      <c r="AT141" s="11">
        <f t="shared" si="131"/>
        <v>481.48132094881129</v>
      </c>
      <c r="AU141" s="11">
        <f t="shared" si="132"/>
        <v>1056.7970723184205</v>
      </c>
      <c r="AV141" s="11">
        <f t="shared" si="133"/>
        <v>1.2786550060635417E-3</v>
      </c>
      <c r="AW141" s="11">
        <f t="shared" si="134"/>
        <v>3.5253330431988683E-7</v>
      </c>
      <c r="AX141" s="41">
        <f t="shared" ca="1" si="135"/>
        <v>2.2277779889324925</v>
      </c>
      <c r="AY141" s="41">
        <f t="shared" ca="1" si="136"/>
        <v>3.0008612115819138</v>
      </c>
      <c r="AZ141" s="41">
        <f t="shared" si="137"/>
        <v>0.33643114722663964</v>
      </c>
    </row>
    <row r="142" spans="1:52" ht="14.5">
      <c r="A142" s="41">
        <f t="shared" ca="1" si="138"/>
        <v>10608.289017876275</v>
      </c>
      <c r="B142" s="41">
        <f t="shared" ca="1" si="100"/>
        <v>176.80481696460458</v>
      </c>
      <c r="C142" s="41">
        <f t="shared" ca="1" si="100"/>
        <v>2.9467469494100764</v>
      </c>
      <c r="D142" s="41">
        <f t="shared" ca="1" si="139"/>
        <v>10836.398173114847</v>
      </c>
      <c r="E142" s="41">
        <f t="shared" ca="1" si="140"/>
        <v>896.65976061673462</v>
      </c>
      <c r="F142" s="7">
        <f t="shared" si="141"/>
        <v>887.14285714285768</v>
      </c>
      <c r="G142" s="41"/>
      <c r="H142" s="7">
        <f t="shared" si="142"/>
        <v>17999.999700000015</v>
      </c>
      <c r="I142" s="6">
        <v>15</v>
      </c>
      <c r="J142" s="41">
        <f t="shared" si="101"/>
        <v>0.48511170265687215</v>
      </c>
      <c r="K142" s="41">
        <f t="shared" si="102"/>
        <v>521.82499599173559</v>
      </c>
      <c r="L142" s="6">
        <f t="shared" si="143"/>
        <v>230</v>
      </c>
      <c r="M142" s="41">
        <f t="shared" si="103"/>
        <v>309.1729609251675</v>
      </c>
      <c r="N142" s="41">
        <f t="shared" si="104"/>
        <v>174.08972710625903</v>
      </c>
      <c r="O142" s="41">
        <f t="shared" si="105"/>
        <v>1892683.9967677938</v>
      </c>
      <c r="P142" s="41">
        <f t="shared" si="106"/>
        <v>12152361.218326269</v>
      </c>
      <c r="Q142" s="41">
        <f t="shared" si="107"/>
        <v>2.8495774462929686E-3</v>
      </c>
      <c r="R142" s="41">
        <f t="shared" si="108"/>
        <v>1.9262624734378238E-2</v>
      </c>
      <c r="S142" s="24">
        <f t="shared" ca="1" si="144"/>
        <v>6.0110157301140803E-16</v>
      </c>
      <c r="T142" s="10">
        <f t="shared" ca="1" si="109"/>
        <v>6.0110157301140803E-16</v>
      </c>
      <c r="U142" s="41">
        <f t="shared" ca="1" si="110"/>
        <v>0.27063500787131056</v>
      </c>
      <c r="V142" s="41">
        <f t="shared" ca="1" si="111"/>
        <v>2.3888432049742378E-2</v>
      </c>
      <c r="W142" s="41">
        <f t="shared" ca="1" si="112"/>
        <v>11.329123958733373</v>
      </c>
      <c r="X142" s="20">
        <f t="shared" ca="1" si="113"/>
        <v>956.50804180329442</v>
      </c>
      <c r="Y142" s="41">
        <f t="shared" si="114"/>
        <v>0.55226552905832693</v>
      </c>
      <c r="Z142" s="41">
        <f t="shared" ca="1" si="115"/>
        <v>175.23112312141029</v>
      </c>
      <c r="AA142" s="14">
        <f t="shared" ca="1" si="116"/>
        <v>956.50804180329453</v>
      </c>
      <c r="AB142" s="14">
        <f t="shared" si="117"/>
        <v>2916.576547414023</v>
      </c>
      <c r="AC142" s="25">
        <f t="shared" ca="1" si="118"/>
        <v>499129.80508006702</v>
      </c>
      <c r="AD142" s="41">
        <f t="shared" si="119"/>
        <v>1521942.5451639127</v>
      </c>
      <c r="AE142" s="5">
        <f t="shared" ca="1" si="120"/>
        <v>32.795574751891237</v>
      </c>
      <c r="AF142" s="7">
        <f t="shared" ca="1" si="121"/>
        <v>956.50804180329453</v>
      </c>
      <c r="AG142" s="41">
        <f t="shared" ca="1" si="122"/>
        <v>1960.0685056107286</v>
      </c>
      <c r="AH142" s="41">
        <f t="shared" ca="1" si="123"/>
        <v>1022812.7400838457</v>
      </c>
      <c r="AI142" s="41">
        <f t="shared" ca="1" si="124"/>
        <v>754.21618285003808</v>
      </c>
      <c r="AJ142" s="13">
        <f t="shared" ca="1" si="125"/>
        <v>5.4745712265889299E-15</v>
      </c>
      <c r="AK142" s="11"/>
      <c r="AL142" s="6">
        <v>0</v>
      </c>
      <c r="AM142" s="41">
        <f t="shared" si="126"/>
        <v>149.70815736023346</v>
      </c>
      <c r="AN142" s="41">
        <f t="shared" ca="1" si="127"/>
        <v>31.364531940485584</v>
      </c>
      <c r="AO142" s="6">
        <f t="shared" si="145"/>
        <v>12.857142857142858</v>
      </c>
      <c r="AP142" s="67">
        <f t="shared" si="146"/>
        <v>0.78851002802665648</v>
      </c>
      <c r="AQ142" s="11">
        <f t="shared" si="128"/>
        <v>0.92829992278098084</v>
      </c>
      <c r="AR142" s="11">
        <f t="shared" si="129"/>
        <v>0.49937958828402557</v>
      </c>
      <c r="AS142" s="11">
        <f t="shared" si="130"/>
        <v>0.53795069462894596</v>
      </c>
      <c r="AT142" s="11">
        <f t="shared" si="131"/>
        <v>481.48132094881129</v>
      </c>
      <c r="AU142" s="11">
        <f t="shared" si="132"/>
        <v>1056.7970723184205</v>
      </c>
      <c r="AV142" s="11">
        <f t="shared" si="133"/>
        <v>1.2786550060635417E-3</v>
      </c>
      <c r="AW142" s="11">
        <f t="shared" si="134"/>
        <v>3.5253330431988683E-7</v>
      </c>
      <c r="AX142" s="41">
        <f t="shared" ca="1" si="135"/>
        <v>2.2336717335365623</v>
      </c>
      <c r="AY142" s="41">
        <f t="shared" ca="1" si="136"/>
        <v>3.0088002026578597</v>
      </c>
      <c r="AZ142" s="41">
        <f t="shared" si="137"/>
        <v>0.33643114722663964</v>
      </c>
    </row>
    <row r="143" spans="1:52" ht="14.5">
      <c r="A143" s="41">
        <f t="shared" ca="1" si="138"/>
        <v>10757.997175236509</v>
      </c>
      <c r="B143" s="41">
        <f t="shared" ca="1" si="100"/>
        <v>179.29995292060849</v>
      </c>
      <c r="C143" s="41">
        <f t="shared" ca="1" si="100"/>
        <v>2.9883325486768082</v>
      </c>
      <c r="D143" s="41">
        <f t="shared" ca="1" si="139"/>
        <v>10805.033641174361</v>
      </c>
      <c r="E143" s="41">
        <f t="shared" ca="1" si="140"/>
        <v>909.51690347387751</v>
      </c>
      <c r="F143" s="7">
        <f t="shared" si="141"/>
        <v>900.00000000000057</v>
      </c>
      <c r="G143" s="41"/>
      <c r="H143" s="7">
        <f t="shared" si="142"/>
        <v>17999.999700000015</v>
      </c>
      <c r="I143" s="6">
        <v>15</v>
      </c>
      <c r="J143" s="41">
        <f t="shared" si="101"/>
        <v>0.48511170265687215</v>
      </c>
      <c r="K143" s="41">
        <f t="shared" si="102"/>
        <v>521.82499599173559</v>
      </c>
      <c r="L143" s="6">
        <f t="shared" si="143"/>
        <v>230</v>
      </c>
      <c r="M143" s="41">
        <f t="shared" si="103"/>
        <v>309.1729609251675</v>
      </c>
      <c r="N143" s="41">
        <f t="shared" si="104"/>
        <v>174.08972710625903</v>
      </c>
      <c r="O143" s="41">
        <f t="shared" si="105"/>
        <v>1892683.9967677938</v>
      </c>
      <c r="P143" s="41">
        <f t="shared" si="106"/>
        <v>12152361.218326269</v>
      </c>
      <c r="Q143" s="41">
        <f t="shared" si="107"/>
        <v>2.8495774462929686E-3</v>
      </c>
      <c r="R143" s="41">
        <f t="shared" si="108"/>
        <v>1.9262624734378238E-2</v>
      </c>
      <c r="S143" s="24">
        <f t="shared" ca="1" si="144"/>
        <v>6.0284643287138553E-16</v>
      </c>
      <c r="T143" s="10">
        <f t="shared" ca="1" si="109"/>
        <v>6.0284643287138553E-16</v>
      </c>
      <c r="U143" s="41">
        <f t="shared" ca="1" si="110"/>
        <v>0.26985169036922274</v>
      </c>
      <c r="V143" s="41">
        <f t="shared" ca="1" si="111"/>
        <v>2.3861693217820279E-2</v>
      </c>
      <c r="W143" s="41">
        <f t="shared" ca="1" si="112"/>
        <v>11.308991692496212</v>
      </c>
      <c r="X143" s="20">
        <f t="shared" ca="1" si="113"/>
        <v>955.437401934229</v>
      </c>
      <c r="Y143" s="41">
        <f t="shared" si="114"/>
        <v>0.55226552905832693</v>
      </c>
      <c r="Z143" s="41">
        <f t="shared" ca="1" si="115"/>
        <v>174.97734761735884</v>
      </c>
      <c r="AA143" s="14">
        <f t="shared" ca="1" si="116"/>
        <v>955.43740193422911</v>
      </c>
      <c r="AB143" s="14">
        <f t="shared" si="117"/>
        <v>2916.576547414023</v>
      </c>
      <c r="AC143" s="25">
        <f t="shared" ca="1" si="118"/>
        <v>498571.11843468336</v>
      </c>
      <c r="AD143" s="41">
        <f t="shared" si="119"/>
        <v>1521942.5451639127</v>
      </c>
      <c r="AE143" s="5">
        <f t="shared" ca="1" si="120"/>
        <v>32.75886596500839</v>
      </c>
      <c r="AF143" s="7">
        <f t="shared" ca="1" si="121"/>
        <v>955.43740193422911</v>
      </c>
      <c r="AG143" s="41">
        <f t="shared" ca="1" si="122"/>
        <v>1961.139145479794</v>
      </c>
      <c r="AH143" s="41">
        <f t="shared" ca="1" si="123"/>
        <v>1023371.4267292293</v>
      </c>
      <c r="AI143" s="41">
        <f t="shared" ca="1" si="124"/>
        <v>753.3719725768749</v>
      </c>
      <c r="AJ143" s="13">
        <f t="shared" ca="1" si="125"/>
        <v>5.4904626499568761E-15</v>
      </c>
      <c r="AK143" s="11"/>
      <c r="AL143" s="6">
        <v>0</v>
      </c>
      <c r="AM143" s="41">
        <f t="shared" si="126"/>
        <v>0</v>
      </c>
      <c r="AN143" s="41">
        <f t="shared" ca="1" si="127"/>
        <v>0</v>
      </c>
      <c r="AO143" s="6">
        <v>0</v>
      </c>
      <c r="AP143" s="67">
        <f t="shared" si="146"/>
        <v>0.78851002802665648</v>
      </c>
      <c r="AQ143" s="11">
        <f t="shared" si="128"/>
        <v>0.92829992278098084</v>
      </c>
      <c r="AR143" s="11">
        <f t="shared" si="129"/>
        <v>0.49937958828402557</v>
      </c>
      <c r="AS143" s="11">
        <f t="shared" si="130"/>
        <v>0.53795069462894596</v>
      </c>
      <c r="AT143" s="11">
        <f t="shared" si="131"/>
        <v>481.48132094881129</v>
      </c>
      <c r="AU143" s="11">
        <f t="shared" si="132"/>
        <v>1056.7970723184205</v>
      </c>
      <c r="AV143" s="11">
        <f t="shared" si="133"/>
        <v>1.2786550060635417E-3</v>
      </c>
      <c r="AW143" s="11">
        <f t="shared" si="134"/>
        <v>3.5253330431988683E-7</v>
      </c>
      <c r="AX143" s="41">
        <f t="shared" ca="1" si="135"/>
        <v>2.2395947796493547</v>
      </c>
      <c r="AY143" s="41">
        <f t="shared" ca="1" si="136"/>
        <v>3.0167786634482039</v>
      </c>
      <c r="AZ143" s="41">
        <f t="shared" si="137"/>
        <v>0.33643114722663964</v>
      </c>
    </row>
    <row r="144" spans="1:52" ht="14.5">
      <c r="B144" s="135">
        <f ca="1">B143-B73</f>
        <v>174.65951692027247</v>
      </c>
      <c r="X144" s="32">
        <f ca="1">AVERAGE(X73:X143)</f>
        <v>996.60766763894674</v>
      </c>
      <c r="AC144" s="3"/>
      <c r="AD144" s="3"/>
      <c r="AN144" s="32">
        <f ca="1">SUM(AN73:AN143)</f>
        <v>2288.9097656217673</v>
      </c>
      <c r="AP144" s="53"/>
    </row>
    <row r="145" spans="1:52" ht="14.5">
      <c r="A145" s="67" t="s">
        <v>6</v>
      </c>
      <c r="B145" s="67" t="s">
        <v>22</v>
      </c>
      <c r="C145" s="67">
        <v>0</v>
      </c>
      <c r="D145" s="67" t="s">
        <v>9</v>
      </c>
      <c r="E145" s="53"/>
      <c r="F145" s="53"/>
      <c r="G145" s="53"/>
      <c r="H145" s="53"/>
      <c r="I145" s="53"/>
      <c r="J145" s="53"/>
      <c r="K145" s="53"/>
      <c r="L145" s="67" t="s">
        <v>60</v>
      </c>
      <c r="M145" s="53"/>
      <c r="N145" s="53"/>
      <c r="O145" s="53"/>
      <c r="P145" s="53"/>
      <c r="Q145" s="67"/>
      <c r="R145" s="53"/>
      <c r="S145" s="53"/>
      <c r="T145" s="53"/>
      <c r="U145" s="67"/>
      <c r="V145" s="67"/>
      <c r="W145" s="67"/>
      <c r="X145" s="67"/>
      <c r="Y145" s="53"/>
      <c r="Z145" s="53"/>
      <c r="AA145" s="67"/>
      <c r="AB145" s="67"/>
      <c r="AC145" s="53"/>
      <c r="AD145" s="53"/>
      <c r="AE145" s="53"/>
      <c r="AF145" s="67"/>
      <c r="AG145" s="53"/>
      <c r="AH145" s="53"/>
      <c r="AI145" s="53"/>
      <c r="AJ145" s="67" t="s">
        <v>61</v>
      </c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</row>
    <row r="146" spans="1:52" ht="14.5">
      <c r="A146" s="41" t="s">
        <v>2</v>
      </c>
      <c r="B146" s="41" t="s">
        <v>2</v>
      </c>
      <c r="C146" s="41" t="s">
        <v>2</v>
      </c>
      <c r="D146" s="41" t="s">
        <v>23</v>
      </c>
      <c r="E146" s="41" t="s">
        <v>24</v>
      </c>
      <c r="F146" s="41" t="s">
        <v>25</v>
      </c>
      <c r="G146" s="41"/>
      <c r="H146" s="41" t="s">
        <v>0</v>
      </c>
      <c r="I146" s="5" t="s">
        <v>26</v>
      </c>
      <c r="J146" s="41" t="s">
        <v>27</v>
      </c>
      <c r="K146" s="41" t="s">
        <v>28</v>
      </c>
      <c r="L146" s="12" t="s">
        <v>29</v>
      </c>
      <c r="M146" s="13" t="s">
        <v>30</v>
      </c>
      <c r="N146" s="41" t="s">
        <v>31</v>
      </c>
      <c r="O146" s="41" t="s">
        <v>32</v>
      </c>
      <c r="P146" s="41" t="s">
        <v>33</v>
      </c>
      <c r="Q146" s="41" t="s">
        <v>34</v>
      </c>
      <c r="R146" s="41" t="s">
        <v>13</v>
      </c>
      <c r="S146" s="24" t="s">
        <v>35</v>
      </c>
      <c r="T146" s="10" t="s">
        <v>35</v>
      </c>
      <c r="U146" s="41" t="s">
        <v>36</v>
      </c>
      <c r="V146" s="41" t="s">
        <v>37</v>
      </c>
      <c r="W146" s="41" t="s">
        <v>38</v>
      </c>
      <c r="X146" s="41" t="s">
        <v>39</v>
      </c>
      <c r="Y146" s="41" t="s">
        <v>40</v>
      </c>
      <c r="Z146" s="35" t="s">
        <v>108</v>
      </c>
      <c r="AA146" s="35" t="s">
        <v>109</v>
      </c>
      <c r="AB146" s="9" t="s">
        <v>110</v>
      </c>
      <c r="AC146" s="7" t="s">
        <v>111</v>
      </c>
      <c r="AD146" s="7" t="s">
        <v>112</v>
      </c>
      <c r="AE146" s="5" t="s">
        <v>41</v>
      </c>
      <c r="AF146" s="7" t="s">
        <v>113</v>
      </c>
      <c r="AG146" s="7" t="s">
        <v>114</v>
      </c>
      <c r="AH146" s="7" t="s">
        <v>115</v>
      </c>
      <c r="AI146" s="41" t="s">
        <v>42</v>
      </c>
      <c r="AJ146" s="41" t="s">
        <v>43</v>
      </c>
      <c r="AK146" s="36"/>
      <c r="AL146" s="5" t="s">
        <v>44</v>
      </c>
      <c r="AM146" s="41" t="s">
        <v>45</v>
      </c>
      <c r="AN146" s="41" t="s">
        <v>46</v>
      </c>
      <c r="AO146" s="5" t="s">
        <v>47</v>
      </c>
      <c r="AP146" s="53"/>
      <c r="AQ146" s="15" t="s">
        <v>62</v>
      </c>
      <c r="AR146" s="16" t="s">
        <v>63</v>
      </c>
      <c r="AS146" s="16" t="s">
        <v>64</v>
      </c>
      <c r="AT146" s="17" t="s">
        <v>65</v>
      </c>
      <c r="AU146" s="18" t="s">
        <v>66</v>
      </c>
      <c r="AV146" s="18" t="s">
        <v>67</v>
      </c>
      <c r="AW146" s="19" t="s">
        <v>68</v>
      </c>
      <c r="AX146" s="7" t="s">
        <v>207</v>
      </c>
      <c r="AY146" s="7" t="s">
        <v>208</v>
      </c>
      <c r="AZ146" s="7" t="s">
        <v>209</v>
      </c>
    </row>
    <row r="147" spans="1:52" ht="14.5">
      <c r="A147" s="41" t="s">
        <v>18</v>
      </c>
      <c r="B147" s="41" t="s">
        <v>21</v>
      </c>
      <c r="C147" s="41" t="s">
        <v>48</v>
      </c>
      <c r="D147" s="41" t="s">
        <v>8</v>
      </c>
      <c r="E147" s="41" t="s">
        <v>49</v>
      </c>
      <c r="F147" s="41" t="s">
        <v>49</v>
      </c>
      <c r="G147" s="41"/>
      <c r="H147" s="41" t="s">
        <v>9</v>
      </c>
      <c r="I147" s="5" t="s">
        <v>50</v>
      </c>
      <c r="J147" s="41"/>
      <c r="K147" s="41" t="s">
        <v>51</v>
      </c>
      <c r="L147" s="5" t="s">
        <v>52</v>
      </c>
      <c r="M147" s="41" t="s">
        <v>52</v>
      </c>
      <c r="N147" s="41" t="s">
        <v>53</v>
      </c>
      <c r="O147" s="41" t="s">
        <v>54</v>
      </c>
      <c r="P147" s="41"/>
      <c r="Q147" s="41"/>
      <c r="R147" s="41"/>
      <c r="S147" s="24" t="s">
        <v>55</v>
      </c>
      <c r="T147" s="10" t="s">
        <v>55</v>
      </c>
      <c r="U147" s="41"/>
      <c r="V147" s="41"/>
      <c r="W147" s="41"/>
      <c r="X147" s="41"/>
      <c r="Y147" s="41"/>
      <c r="Z147" s="41"/>
      <c r="AA147" s="9" t="s">
        <v>118</v>
      </c>
      <c r="AB147" s="9" t="s">
        <v>118</v>
      </c>
      <c r="AC147" s="7" t="s">
        <v>119</v>
      </c>
      <c r="AD147" s="7" t="s">
        <v>119</v>
      </c>
      <c r="AE147" s="5" t="s">
        <v>20</v>
      </c>
      <c r="AF147" s="7" t="s">
        <v>118</v>
      </c>
      <c r="AG147" s="7" t="s">
        <v>118</v>
      </c>
      <c r="AH147" s="7" t="s">
        <v>119</v>
      </c>
      <c r="AI147" s="41" t="s">
        <v>56</v>
      </c>
      <c r="AJ147" s="41" t="s">
        <v>57</v>
      </c>
      <c r="AK147" s="11"/>
      <c r="AL147" s="5" t="s">
        <v>9</v>
      </c>
      <c r="AM147" s="41" t="s">
        <v>18</v>
      </c>
      <c r="AN147" s="41" t="s">
        <v>8</v>
      </c>
      <c r="AO147" s="5" t="s">
        <v>49</v>
      </c>
      <c r="AP147" s="53"/>
      <c r="AQ147" s="11"/>
      <c r="AR147" s="11"/>
      <c r="AS147" s="11"/>
      <c r="AT147" s="11"/>
      <c r="AU147" s="11"/>
      <c r="AV147" s="11"/>
      <c r="AW147" s="11"/>
      <c r="AX147" s="41"/>
      <c r="AY147" s="41"/>
      <c r="AZ147" s="41"/>
    </row>
    <row r="148" spans="1:52" ht="14.5">
      <c r="A148" s="41">
        <f ca="1">A143</f>
        <v>10757.997175236509</v>
      </c>
      <c r="B148" s="41">
        <f t="shared" ref="B148:C163" ca="1" si="147">A148/60</f>
        <v>179.29995292060849</v>
      </c>
      <c r="C148" s="41">
        <f t="shared" ca="1" si="147"/>
        <v>2.9883325486768082</v>
      </c>
      <c r="D148" s="41">
        <f t="shared" ref="D148:E148" ca="1" si="148">D143</f>
        <v>10805.033641174361</v>
      </c>
      <c r="E148" s="7">
        <f t="shared" ca="1" si="148"/>
        <v>909.51690347387751</v>
      </c>
      <c r="F148" s="7">
        <v>0</v>
      </c>
      <c r="G148" s="41"/>
      <c r="H148" s="7">
        <f>H143</f>
        <v>17999.999700000015</v>
      </c>
      <c r="I148" s="6">
        <v>15</v>
      </c>
      <c r="J148" s="41">
        <f t="shared" ref="J148:J193" si="149">SQRT((((((((L148^2)*(0.2))/(661.477)^2) + 1)^(3.5) - 1)*(1/AR148) + 1)^(1/3.5) - 1)*(5))</f>
        <v>0.48511170265687215</v>
      </c>
      <c r="K148" s="41">
        <f t="shared" ref="K148:K193" si="150">SQRT((1.4*2116.22*AR148*(J148)^2)/AV148)</f>
        <v>521.82499599173559</v>
      </c>
      <c r="L148" s="6">
        <f t="shared" ref="L148:L191" si="151">L149+($L$143-$L$193)/45</f>
        <v>230.00000000000043</v>
      </c>
      <c r="M148" s="41">
        <f t="shared" ref="M148:M193" si="152">K148*0.592484</f>
        <v>309.1729609251675</v>
      </c>
      <c r="N148" s="41">
        <f t="shared" ref="N148:N193" si="153">0.5*AV148*K148^2</f>
        <v>174.08972710625903</v>
      </c>
      <c r="O148" s="41">
        <f t="shared" ref="O148:O193" si="154">P148/$B$7</f>
        <v>1892683.9967677938</v>
      </c>
      <c r="P148" s="41">
        <f t="shared" ref="P148:P193" si="155">(AV148*K148*$B$7)/(AW148)</f>
        <v>12152361.218326269</v>
      </c>
      <c r="Q148" s="41">
        <f t="shared" ref="Q148:Q193" si="156">0.455/(LOG10(P148)^2.58 * (1+0.144*J148*J148)^0.65)</f>
        <v>2.8495774462929686E-3</v>
      </c>
      <c r="R148" s="41">
        <f t="shared" ref="R148:R193" si="157">(((Q148*$B$4)+$B$17)+(0.1*(Q148*$B$4)))</f>
        <v>1.9262624734378238E-2</v>
      </c>
      <c r="S148" s="24">
        <f ca="1">T148</f>
        <v>-4.2916495306237872</v>
      </c>
      <c r="T148" s="10">
        <f t="shared" ref="T148:T193" ca="1" si="158">DEGREES(ASIN(((AF148-X148)/(D148))))</f>
        <v>-4.2916495306237872</v>
      </c>
      <c r="U148" s="41">
        <f t="shared" ref="U148:U193" ca="1" si="159">(D148*COS(RADIANS(S148)))/(N148*$B$3)</f>
        <v>0.26909503987660111</v>
      </c>
      <c r="V148" s="41">
        <f t="shared" ref="V148:V193" ca="1" si="160">(X148)/(N148*$B$3)</f>
        <v>2.3835938265426581E-2</v>
      </c>
      <c r="W148" s="41">
        <f t="shared" ref="W148:W193" ca="1" si="161">U148/V148</f>
        <v>11.289467059365419</v>
      </c>
      <c r="X148" s="20">
        <f t="shared" ref="X148:X193" ca="1" si="162">(N148*$B$3*R148)+((N148*$B$3)*((U148^2)/(PI()*$B$6*$B$5)))</f>
        <v>954.40615722844268</v>
      </c>
      <c r="Y148" s="41">
        <f t="shared" ref="Y148:Y193" si="163">SQRT(PI()*$B$6*$B$5*R148)</f>
        <v>0.55226552905832693</v>
      </c>
      <c r="Z148" s="41">
        <f t="shared" ref="Z148:Z193" ca="1" si="164">SQRT((2*((U148*N148*$B$3)/(D148))*D148)/(AV148*$B$3*$B$18))</f>
        <v>174.7318615971588</v>
      </c>
      <c r="AA148" s="14">
        <f t="shared" ref="AA148:AA193" ca="1" si="165">D148/W148</f>
        <v>957.08978859288254</v>
      </c>
      <c r="AB148" s="14">
        <f t="shared" ref="AB148:AB193" si="166">$B$15*AR148*0.93</f>
        <v>2916.576547414023</v>
      </c>
      <c r="AC148" s="25">
        <f t="shared" ref="AC148:AC193" ca="1" si="167">AA148*K148</f>
        <v>499433.37509621202</v>
      </c>
      <c r="AD148" s="41">
        <f t="shared" ref="AD148:AD193" si="168">AB148*K148</f>
        <v>1521942.5451639127</v>
      </c>
      <c r="AE148" s="6">
        <v>5</v>
      </c>
      <c r="AF148" s="41">
        <f t="shared" ref="AF148:AF193" si="169">AB148*(AE148/100)</f>
        <v>145.82882737070116</v>
      </c>
      <c r="AG148" s="41">
        <f t="shared" ref="AG148:AG193" ca="1" si="170">AB148-AA148</f>
        <v>1959.4867588211405</v>
      </c>
      <c r="AH148" s="41">
        <f t="shared" ref="AH148:AH193" ca="1" si="171">AD148-AC148</f>
        <v>1022509.1700677007</v>
      </c>
      <c r="AI148" s="41">
        <f t="shared" ref="AI148:AI193" si="172">(AP148*AF148)</f>
        <v>117.08611525955945</v>
      </c>
      <c r="AJ148" s="13">
        <f t="shared" ref="AJ148:AJ193" ca="1" si="173">K148*SIN(RADIANS(T148))</f>
        <v>-39.049935051027333</v>
      </c>
      <c r="AK148" s="11"/>
      <c r="AL148" s="6">
        <v>-266.66666659999999</v>
      </c>
      <c r="AM148" s="41">
        <f t="shared" ref="AM148:AM193" ca="1" si="174">AL148/AJ148</f>
        <v>6.8288632555096775</v>
      </c>
      <c r="AN148" s="41">
        <f t="shared" ref="AN148:AN193" ca="1" si="175">AI148*(AM148/3600)</f>
        <v>0.22210140839621567</v>
      </c>
      <c r="AO148" s="41">
        <f t="shared" ref="AO148:AO193" ca="1" si="176">M148*COS(RADIANS(T148))*(AM148/3600)</f>
        <v>0.58482774844197738</v>
      </c>
      <c r="AP148" s="67">
        <f>0.705 + 0.302*AZ148 + -0.0327*AZ148^2</f>
        <v>0.80290102698229282</v>
      </c>
      <c r="AQ148" s="11">
        <f t="shared" ref="AQ148:AQ193" si="177">IF(H148 &lt;= 36089, ((1 - 6.87535*10^(-6)*H148) + ((I148*1.8)/518.67)), 0.75187 + ((I148*1.8)/518.67))</f>
        <v>0.92829992278098084</v>
      </c>
      <c r="AR148" s="11">
        <f t="shared" ref="AR148:AR193" si="178">IF(H148 &lt;= 36089, (1 - 6.87535*10^(-6)*H148)^5.2561, 0.22336*EXP((36089 - H148)/(20806.7)))</f>
        <v>0.49937958828402557</v>
      </c>
      <c r="AS148" s="11">
        <f t="shared" ref="AS148:AS193" si="179">(AR148/AQ148)</f>
        <v>0.53795069462894596</v>
      </c>
      <c r="AT148" s="11">
        <f t="shared" ref="AT148:AT193" si="180">(518.67*AQ148)</f>
        <v>481.48132094881129</v>
      </c>
      <c r="AU148" s="11">
        <f t="shared" ref="AU148:AU193" si="181">2116.22*AR148</f>
        <v>1056.7970723184205</v>
      </c>
      <c r="AV148" s="11">
        <f t="shared" ref="AV148:AV193" si="182">(0.0023769*AS148)</f>
        <v>1.2786550060635417E-3</v>
      </c>
      <c r="AW148" s="11">
        <f t="shared" ref="AW148:AW193" si="183">((2.2697*10^-8)*(AT148^1.5))/(AT148+198.72)</f>
        <v>3.5253330431988683E-7</v>
      </c>
      <c r="AX148" s="41">
        <f t="shared" ref="AX148:AX193" ca="1" si="184">(1/U148)*(((1 + 0.2*(U148)^2)/1.2)^3)</f>
        <v>2.2453505622446217</v>
      </c>
      <c r="AY148" s="41">
        <f t="shared" ref="AY148:AY193" ca="1" si="185">($H$4/$H$3)*AX148</f>
        <v>3.024531816957325</v>
      </c>
      <c r="AZ148" s="41">
        <f t="shared" ref="AZ148:AZ193" si="186">-6.6*10^(-3) + 0.825*J148 - 0.243*(J148^2)</f>
        <v>0.33643114722663964</v>
      </c>
    </row>
    <row r="149" spans="1:52" ht="14.5">
      <c r="A149" s="41">
        <f t="shared" ref="A149:A193" ca="1" si="187">A148+AM148</f>
        <v>10764.82603849202</v>
      </c>
      <c r="B149" s="41">
        <f t="shared" ca="1" si="147"/>
        <v>179.41376730820033</v>
      </c>
      <c r="C149" s="41">
        <f t="shared" ca="1" si="147"/>
        <v>2.9902294551366722</v>
      </c>
      <c r="D149" s="41">
        <f t="shared" ref="D149:D193" ca="1" si="188">D148-AN148</f>
        <v>10804.811539765964</v>
      </c>
      <c r="E149" s="41">
        <f t="shared" ref="E149:E193" ca="1" si="189">E148+AO148</f>
        <v>910.10173122231947</v>
      </c>
      <c r="F149" s="41">
        <f t="shared" ref="F149:F193" ca="1" si="190">F148+AO148</f>
        <v>0.58482774844197738</v>
      </c>
      <c r="G149" s="41"/>
      <c r="H149" s="7">
        <f t="shared" ref="H149:H193" si="191">H148+AL148</f>
        <v>17733.333033400017</v>
      </c>
      <c r="I149" s="6">
        <v>15</v>
      </c>
      <c r="J149" s="41">
        <f t="shared" si="149"/>
        <v>0.47657875565663305</v>
      </c>
      <c r="K149" s="41">
        <f t="shared" si="150"/>
        <v>513.15227281922103</v>
      </c>
      <c r="L149" s="6">
        <f t="shared" si="151"/>
        <v>227.05555555555597</v>
      </c>
      <c r="M149" s="41">
        <f t="shared" si="152"/>
        <v>304.03451120902338</v>
      </c>
      <c r="N149" s="41">
        <f t="shared" si="153"/>
        <v>169.8753068619724</v>
      </c>
      <c r="O149" s="41">
        <f t="shared" si="154"/>
        <v>1875146.5817043155</v>
      </c>
      <c r="P149" s="41">
        <f t="shared" si="155"/>
        <v>12039758.690354848</v>
      </c>
      <c r="Q149" s="41">
        <f t="shared" si="156"/>
        <v>2.8558992328500815E-3</v>
      </c>
      <c r="R149" s="41">
        <f t="shared" si="157"/>
        <v>1.9298703361601693E-2</v>
      </c>
      <c r="S149" s="24">
        <f t="shared" ref="S149:S193" ca="1" si="192">T149</f>
        <v>-4.2156950592039939</v>
      </c>
      <c r="T149" s="10">
        <f t="shared" ca="1" si="158"/>
        <v>-4.2156950592039939</v>
      </c>
      <c r="U149" s="41">
        <f t="shared" ca="1" si="159"/>
        <v>0.27579251585358494</v>
      </c>
      <c r="V149" s="41">
        <f t="shared" ca="1" si="160"/>
        <v>2.4102499227533356E-2</v>
      </c>
      <c r="W149" s="41">
        <f t="shared" ca="1" si="161"/>
        <v>11.442486243855363</v>
      </c>
      <c r="X149" s="20">
        <f t="shared" ca="1" si="162"/>
        <v>941.71647405606677</v>
      </c>
      <c r="Y149" s="41">
        <f t="shared" si="163"/>
        <v>0.55278247992430729</v>
      </c>
      <c r="Z149" s="41">
        <f t="shared" ca="1" si="164"/>
        <v>173.95298046657015</v>
      </c>
      <c r="AA149" s="14">
        <f t="shared" ca="1" si="165"/>
        <v>944.2713156476957</v>
      </c>
      <c r="AB149" s="14">
        <f t="shared" si="166"/>
        <v>2948.7953567831464</v>
      </c>
      <c r="AC149" s="25">
        <f t="shared" ca="1" si="167"/>
        <v>484554.9717826111</v>
      </c>
      <c r="AD149" s="41">
        <f t="shared" si="168"/>
        <v>1513181.0394120372</v>
      </c>
      <c r="AE149" s="6">
        <v>5</v>
      </c>
      <c r="AF149" s="41">
        <f t="shared" si="169"/>
        <v>147.43976783915733</v>
      </c>
      <c r="AG149" s="41">
        <f t="shared" ca="1" si="170"/>
        <v>2004.5240411354507</v>
      </c>
      <c r="AH149" s="41">
        <f t="shared" ca="1" si="171"/>
        <v>1028626.0676294261</v>
      </c>
      <c r="AI149" s="41">
        <f t="shared" si="172"/>
        <v>118.17112159906313</v>
      </c>
      <c r="AJ149" s="13">
        <f t="shared" ca="1" si="173"/>
        <v>-37.72253644059397</v>
      </c>
      <c r="AK149" s="11"/>
      <c r="AL149" s="6">
        <v>-266.66666659999999</v>
      </c>
      <c r="AM149" s="41">
        <f t="shared" ca="1" si="174"/>
        <v>7.0691605539291018</v>
      </c>
      <c r="AN149" s="41">
        <f t="shared" ca="1" si="175"/>
        <v>0.23204739761712678</v>
      </c>
      <c r="AO149" s="41">
        <f t="shared" ca="1" si="176"/>
        <v>0.59540379555731937</v>
      </c>
      <c r="AP149" s="67">
        <f t="shared" ref="AP149:AP195" si="193">0.705 + 0.302*AZ149 + -0.0327*AZ149^2</f>
        <v>0.80148743674078837</v>
      </c>
      <c r="AQ149" s="11">
        <f t="shared" si="177"/>
        <v>0.93013334944718906</v>
      </c>
      <c r="AR149" s="11">
        <f t="shared" si="178"/>
        <v>0.50489612985123389</v>
      </c>
      <c r="AS149" s="11">
        <f t="shared" si="179"/>
        <v>0.54282123111843195</v>
      </c>
      <c r="AT149" s="11">
        <f t="shared" si="180"/>
        <v>482.43226435777353</v>
      </c>
      <c r="AU149" s="11">
        <f t="shared" si="181"/>
        <v>1068.471287913778</v>
      </c>
      <c r="AV149" s="11">
        <f t="shared" si="182"/>
        <v>1.2902317842454008E-3</v>
      </c>
      <c r="AW149" s="11">
        <f t="shared" si="183"/>
        <v>3.5308459563057662E-7</v>
      </c>
      <c r="AX149" s="41">
        <f t="shared" ca="1" si="184"/>
        <v>2.195555404695039</v>
      </c>
      <c r="AY149" s="41">
        <f t="shared" ca="1" si="185"/>
        <v>2.9574567504302713</v>
      </c>
      <c r="AZ149" s="41">
        <f t="shared" si="186"/>
        <v>0.33138553700331863</v>
      </c>
    </row>
    <row r="150" spans="1:52" ht="14.5">
      <c r="A150" s="41">
        <f t="shared" ca="1" si="187"/>
        <v>10771.895199045948</v>
      </c>
      <c r="B150" s="41">
        <f t="shared" ca="1" si="147"/>
        <v>179.5315866507658</v>
      </c>
      <c r="C150" s="41">
        <f t="shared" ca="1" si="147"/>
        <v>2.9921931108460966</v>
      </c>
      <c r="D150" s="41">
        <f t="shared" ca="1" si="188"/>
        <v>10804.579492368346</v>
      </c>
      <c r="E150" s="41">
        <f t="shared" ca="1" si="189"/>
        <v>910.6971350178768</v>
      </c>
      <c r="F150" s="41">
        <f t="shared" ca="1" si="190"/>
        <v>1.1802315439992968</v>
      </c>
      <c r="G150" s="41"/>
      <c r="H150" s="7">
        <f t="shared" si="191"/>
        <v>17466.666366800018</v>
      </c>
      <c r="I150" s="6">
        <v>15</v>
      </c>
      <c r="J150" s="41">
        <f t="shared" si="149"/>
        <v>0.4681129479231933</v>
      </c>
      <c r="K150" s="41">
        <f t="shared" si="150"/>
        <v>504.53330361712898</v>
      </c>
      <c r="L150" s="6">
        <f t="shared" si="151"/>
        <v>224.11111111111151</v>
      </c>
      <c r="M150" s="41">
        <f t="shared" si="152"/>
        <v>298.92790986029104</v>
      </c>
      <c r="N150" s="41">
        <f t="shared" si="153"/>
        <v>165.70038085901243</v>
      </c>
      <c r="O150" s="41">
        <f t="shared" si="154"/>
        <v>1857410.7669603724</v>
      </c>
      <c r="P150" s="41">
        <f t="shared" si="155"/>
        <v>11925882.297022531</v>
      </c>
      <c r="Q150" s="41">
        <f t="shared" si="156"/>
        <v>2.8622737931069345E-3</v>
      </c>
      <c r="R150" s="41">
        <f t="shared" si="157"/>
        <v>1.9335083169926867E-2</v>
      </c>
      <c r="S150" s="24">
        <f t="shared" ca="1" si="192"/>
        <v>-4.1412786887118882</v>
      </c>
      <c r="T150" s="10">
        <f t="shared" ca="1" si="158"/>
        <v>-4.1412786887118882</v>
      </c>
      <c r="U150" s="41">
        <f t="shared" ca="1" si="159"/>
        <v>0.28276204023186324</v>
      </c>
      <c r="V150" s="41">
        <f t="shared" ca="1" si="160"/>
        <v>2.4384739292741275E-2</v>
      </c>
      <c r="W150" s="41">
        <f t="shared" ca="1" si="161"/>
        <v>11.59586070768591</v>
      </c>
      <c r="X150" s="20">
        <f t="shared" ca="1" si="162"/>
        <v>929.32893522963946</v>
      </c>
      <c r="Y150" s="41">
        <f t="shared" si="163"/>
        <v>0.55330325719778395</v>
      </c>
      <c r="Z150" s="41">
        <f t="shared" ca="1" si="164"/>
        <v>173.17881803170368</v>
      </c>
      <c r="AA150" s="14">
        <f t="shared" ca="1" si="165"/>
        <v>931.76175229553326</v>
      </c>
      <c r="AB150" s="14">
        <f t="shared" si="166"/>
        <v>2981.301762252458</v>
      </c>
      <c r="AC150" s="25">
        <f t="shared" ca="1" si="167"/>
        <v>470104.83506975038</v>
      </c>
      <c r="AD150" s="41">
        <f t="shared" si="168"/>
        <v>1504166.0271888012</v>
      </c>
      <c r="AE150" s="6">
        <v>5</v>
      </c>
      <c r="AF150" s="41">
        <f t="shared" si="169"/>
        <v>149.0650881126229</v>
      </c>
      <c r="AG150" s="41">
        <f t="shared" ca="1" si="170"/>
        <v>2049.5400099569247</v>
      </c>
      <c r="AH150" s="41">
        <f t="shared" ca="1" si="171"/>
        <v>1034061.1921190508</v>
      </c>
      <c r="AI150" s="41">
        <f t="shared" si="172"/>
        <v>119.26302813782461</v>
      </c>
      <c r="AJ150" s="13">
        <f t="shared" ca="1" si="173"/>
        <v>-36.43539267372887</v>
      </c>
      <c r="AK150" s="11"/>
      <c r="AL150" s="6">
        <v>-266.66666659999999</v>
      </c>
      <c r="AM150" s="41">
        <f t="shared" ca="1" si="174"/>
        <v>7.3188909747163375</v>
      </c>
      <c r="AN150" s="41">
        <f t="shared" ca="1" si="175"/>
        <v>0.24246475007090695</v>
      </c>
      <c r="AO150" s="41">
        <f t="shared" ca="1" si="176"/>
        <v>0.60614122547902061</v>
      </c>
      <c r="AP150" s="67">
        <f t="shared" si="193"/>
        <v>0.80007350914868813</v>
      </c>
      <c r="AQ150" s="11">
        <f t="shared" si="177"/>
        <v>0.9319667761133974</v>
      </c>
      <c r="AR150" s="11">
        <f t="shared" si="178"/>
        <v>0.51046191395323226</v>
      </c>
      <c r="AS150" s="11">
        <f t="shared" si="179"/>
        <v>0.54772544154634284</v>
      </c>
      <c r="AT150" s="11">
        <f t="shared" si="180"/>
        <v>483.38320776673578</v>
      </c>
      <c r="AU150" s="11">
        <f t="shared" si="181"/>
        <v>1080.249711546109</v>
      </c>
      <c r="AV150" s="11">
        <f t="shared" si="182"/>
        <v>1.3018886020115022E-3</v>
      </c>
      <c r="AW150" s="11">
        <f t="shared" si="183"/>
        <v>3.5363537726728521E-7</v>
      </c>
      <c r="AX150" s="41">
        <f t="shared" ca="1" si="184"/>
        <v>2.1463699357944734</v>
      </c>
      <c r="AY150" s="41">
        <f t="shared" ca="1" si="185"/>
        <v>2.8912029466264633</v>
      </c>
      <c r="AZ150" s="41">
        <f t="shared" si="186"/>
        <v>0.32634465715739225</v>
      </c>
    </row>
    <row r="151" spans="1:52" ht="14.5">
      <c r="A151" s="41">
        <f t="shared" ca="1" si="187"/>
        <v>10779.214090020665</v>
      </c>
      <c r="B151" s="41">
        <f t="shared" ca="1" si="147"/>
        <v>179.65356816701109</v>
      </c>
      <c r="C151" s="41">
        <f t="shared" ca="1" si="147"/>
        <v>2.9942261361168514</v>
      </c>
      <c r="D151" s="41">
        <f t="shared" ca="1" si="188"/>
        <v>10804.337027618276</v>
      </c>
      <c r="E151" s="41">
        <f t="shared" ca="1" si="189"/>
        <v>911.30327624335587</v>
      </c>
      <c r="F151" s="41">
        <f t="shared" ca="1" si="190"/>
        <v>1.7863727694783174</v>
      </c>
      <c r="G151" s="41"/>
      <c r="H151" s="7">
        <f t="shared" si="191"/>
        <v>17199.99970020002</v>
      </c>
      <c r="I151" s="6">
        <v>15</v>
      </c>
      <c r="J151" s="41">
        <f t="shared" si="149"/>
        <v>0.45971417803030196</v>
      </c>
      <c r="K151" s="41">
        <f t="shared" si="150"/>
        <v>495.96822058238996</v>
      </c>
      <c r="L151" s="6">
        <f t="shared" si="151"/>
        <v>221.16666666666706</v>
      </c>
      <c r="M151" s="41">
        <f t="shared" si="152"/>
        <v>293.85323520353671</v>
      </c>
      <c r="N151" s="41">
        <f t="shared" si="153"/>
        <v>161.56578209994248</v>
      </c>
      <c r="O151" s="41">
        <f t="shared" si="154"/>
        <v>1839477.886159217</v>
      </c>
      <c r="P151" s="41">
        <f t="shared" si="155"/>
        <v>11810740.60112771</v>
      </c>
      <c r="Q151" s="41">
        <f t="shared" si="156"/>
        <v>2.8687041401862317E-3</v>
      </c>
      <c r="R151" s="41">
        <f t="shared" si="157"/>
        <v>1.9371781355336237E-2</v>
      </c>
      <c r="S151" s="24">
        <f t="shared" ca="1" si="192"/>
        <v>-4.0684754011199189</v>
      </c>
      <c r="T151" s="10">
        <f t="shared" ca="1" si="158"/>
        <v>-4.0684754011199189</v>
      </c>
      <c r="U151" s="41">
        <f t="shared" ca="1" si="159"/>
        <v>0.29001808692981823</v>
      </c>
      <c r="V151" s="41">
        <f t="shared" ca="1" si="160"/>
        <v>2.4683924358582153E-2</v>
      </c>
      <c r="W151" s="41">
        <f t="shared" ca="1" si="161"/>
        <v>11.749269796679805</v>
      </c>
      <c r="X151" s="20">
        <f t="shared" ca="1" si="162"/>
        <v>917.25783518673381</v>
      </c>
      <c r="Y151" s="41">
        <f t="shared" si="163"/>
        <v>0.55382809589625837</v>
      </c>
      <c r="Z151" s="41">
        <f t="shared" ca="1" si="164"/>
        <v>172.40933256590827</v>
      </c>
      <c r="AA151" s="14">
        <f t="shared" ca="1" si="165"/>
        <v>919.57519187034461</v>
      </c>
      <c r="AB151" s="14">
        <f t="shared" si="166"/>
        <v>3014.09772372012</v>
      </c>
      <c r="AC151" s="25">
        <f t="shared" ca="1" si="167"/>
        <v>456080.07160364464</v>
      </c>
      <c r="AD151" s="41">
        <f t="shared" si="168"/>
        <v>1494896.6846948999</v>
      </c>
      <c r="AE151" s="6">
        <v>5</v>
      </c>
      <c r="AF151" s="41">
        <f t="shared" si="169"/>
        <v>150.70488618600601</v>
      </c>
      <c r="AG151" s="41">
        <f t="shared" ca="1" si="170"/>
        <v>2094.5225318497755</v>
      </c>
      <c r="AH151" s="41">
        <f t="shared" ca="1" si="171"/>
        <v>1038816.6130912553</v>
      </c>
      <c r="AI151" s="41">
        <f t="shared" si="172"/>
        <v>120.36188371331718</v>
      </c>
      <c r="AJ151" s="13">
        <f t="shared" ca="1" si="173"/>
        <v>-35.188267556466933</v>
      </c>
      <c r="AK151" s="11"/>
      <c r="AL151" s="6">
        <v>-266.66666659999999</v>
      </c>
      <c r="AM151" s="41">
        <f t="shared" ca="1" si="174"/>
        <v>7.5782834767888918</v>
      </c>
      <c r="AN151" s="41">
        <f t="shared" ca="1" si="175"/>
        <v>0.25337124293883823</v>
      </c>
      <c r="AO151" s="41">
        <f t="shared" ca="1" si="176"/>
        <v>0.6170253486721381</v>
      </c>
      <c r="AP151" s="67">
        <f t="shared" si="193"/>
        <v>0.79865946459600334</v>
      </c>
      <c r="AQ151" s="11">
        <f t="shared" si="177"/>
        <v>0.93380020277960574</v>
      </c>
      <c r="AR151" s="11">
        <f t="shared" si="178"/>
        <v>0.5160772761660366</v>
      </c>
      <c r="AS151" s="11">
        <f t="shared" si="179"/>
        <v>0.55266348693205458</v>
      </c>
      <c r="AT151" s="11">
        <f t="shared" si="180"/>
        <v>484.33415117569808</v>
      </c>
      <c r="AU151" s="11">
        <f t="shared" si="181"/>
        <v>1092.1330533680898</v>
      </c>
      <c r="AV151" s="11">
        <f t="shared" si="182"/>
        <v>1.3136258420888005E-3</v>
      </c>
      <c r="AW151" s="11">
        <f t="shared" si="183"/>
        <v>3.5418565034895647E-7</v>
      </c>
      <c r="AX151" s="41">
        <f t="shared" ca="1" si="184"/>
        <v>2.0978097828393443</v>
      </c>
      <c r="AY151" s="41">
        <f t="shared" ca="1" si="185"/>
        <v>2.8257914558246533</v>
      </c>
      <c r="AZ151" s="41">
        <f t="shared" si="186"/>
        <v>0.32130927538285459</v>
      </c>
    </row>
    <row r="152" spans="1:52" ht="14.5">
      <c r="A152" s="41">
        <f t="shared" ca="1" si="187"/>
        <v>10786.792373497454</v>
      </c>
      <c r="B152" s="41">
        <f t="shared" ca="1" si="147"/>
        <v>179.77987289162422</v>
      </c>
      <c r="C152" s="41">
        <f t="shared" ca="1" si="147"/>
        <v>2.9963312148604038</v>
      </c>
      <c r="D152" s="41">
        <f t="shared" ca="1" si="188"/>
        <v>10804.083656375336</v>
      </c>
      <c r="E152" s="41">
        <f t="shared" ca="1" si="189"/>
        <v>911.92030159202795</v>
      </c>
      <c r="F152" s="41">
        <f t="shared" ca="1" si="190"/>
        <v>2.4033981181504553</v>
      </c>
      <c r="G152" s="41"/>
      <c r="H152" s="7">
        <f t="shared" si="191"/>
        <v>16933.333033600022</v>
      </c>
      <c r="I152" s="6">
        <v>15</v>
      </c>
      <c r="J152" s="41">
        <f t="shared" si="149"/>
        <v>0.45138233171646569</v>
      </c>
      <c r="K152" s="41">
        <f t="shared" si="150"/>
        <v>487.45714109044883</v>
      </c>
      <c r="L152" s="6">
        <f t="shared" si="151"/>
        <v>218.2222222222226</v>
      </c>
      <c r="M152" s="41">
        <f t="shared" si="152"/>
        <v>288.8105567818335</v>
      </c>
      <c r="N152" s="41">
        <f t="shared" si="153"/>
        <v>157.47231979603188</v>
      </c>
      <c r="O152" s="41">
        <f t="shared" si="154"/>
        <v>1821349.2628659648</v>
      </c>
      <c r="P152" s="41">
        <f t="shared" si="155"/>
        <v>11694342.10088848</v>
      </c>
      <c r="Q152" s="41">
        <f t="shared" si="156"/>
        <v>2.8751934068131303E-3</v>
      </c>
      <c r="R152" s="41">
        <f t="shared" si="157"/>
        <v>1.9408815796387088E-2</v>
      </c>
      <c r="S152" s="24">
        <f t="shared" ca="1" si="192"/>
        <v>-3.9973631765523447</v>
      </c>
      <c r="T152" s="10">
        <f t="shared" ca="1" si="158"/>
        <v>-3.9973631765523447</v>
      </c>
      <c r="U152" s="41">
        <f t="shared" ca="1" si="159"/>
        <v>0.29757611116179938</v>
      </c>
      <c r="V152" s="41">
        <f t="shared" ca="1" si="160"/>
        <v>2.5001441041321189E-2</v>
      </c>
      <c r="W152" s="41">
        <f t="shared" ca="1" si="161"/>
        <v>11.902358374862464</v>
      </c>
      <c r="X152" s="20">
        <f t="shared" ca="1" si="162"/>
        <v>905.5180313747303</v>
      </c>
      <c r="Y152" s="41">
        <f t="shared" si="163"/>
        <v>0.55435723980919405</v>
      </c>
      <c r="Z152" s="41">
        <f t="shared" ca="1" si="164"/>
        <v>171.64448271544657</v>
      </c>
      <c r="AA152" s="14">
        <f t="shared" ca="1" si="165"/>
        <v>907.72629390771317</v>
      </c>
      <c r="AB152" s="14">
        <f t="shared" si="166"/>
        <v>3047.1852103193132</v>
      </c>
      <c r="AC152" s="25">
        <f t="shared" ca="1" si="167"/>
        <v>442477.66412088234</v>
      </c>
      <c r="AD152" s="41">
        <f t="shared" si="168"/>
        <v>1485372.1909953505</v>
      </c>
      <c r="AE152" s="6">
        <v>5</v>
      </c>
      <c r="AF152" s="41">
        <f t="shared" si="169"/>
        <v>152.35926051596567</v>
      </c>
      <c r="AG152" s="41">
        <f t="shared" ca="1" si="170"/>
        <v>2139.4589164116001</v>
      </c>
      <c r="AH152" s="41">
        <f t="shared" ca="1" si="171"/>
        <v>1042894.5268744682</v>
      </c>
      <c r="AI152" s="41">
        <f t="shared" si="172"/>
        <v>121.46773787394221</v>
      </c>
      <c r="AJ152" s="13">
        <f t="shared" ca="1" si="173"/>
        <v>-33.980912487045593</v>
      </c>
      <c r="AK152" s="11"/>
      <c r="AL152" s="6">
        <v>-266.66666659999999</v>
      </c>
      <c r="AM152" s="41">
        <f t="shared" ca="1" si="174"/>
        <v>7.8475428434024614</v>
      </c>
      <c r="AN152" s="41">
        <f t="shared" ca="1" si="175"/>
        <v>0.26478424362692815</v>
      </c>
      <c r="AO152" s="41">
        <f t="shared" ca="1" si="176"/>
        <v>0.62803875705569201</v>
      </c>
      <c r="AP152" s="67">
        <f t="shared" si="193"/>
        <v>0.79724551998080651</v>
      </c>
      <c r="AQ152" s="11">
        <f t="shared" si="177"/>
        <v>0.93563362944581396</v>
      </c>
      <c r="AR152" s="11">
        <f t="shared" si="178"/>
        <v>0.52174255364689281</v>
      </c>
      <c r="AS152" s="11">
        <f t="shared" si="179"/>
        <v>0.55763552872284705</v>
      </c>
      <c r="AT152" s="11">
        <f t="shared" si="180"/>
        <v>485.28509458466027</v>
      </c>
      <c r="AU152" s="11">
        <f t="shared" si="181"/>
        <v>1104.1220268786274</v>
      </c>
      <c r="AV152" s="11">
        <f t="shared" si="182"/>
        <v>1.3254438882213352E-3</v>
      </c>
      <c r="AW152" s="11">
        <f t="shared" si="183"/>
        <v>3.5473541599128621E-7</v>
      </c>
      <c r="AX152" s="41">
        <f t="shared" ca="1" si="184"/>
        <v>2.0498907628083032</v>
      </c>
      <c r="AY152" s="41">
        <f t="shared" ca="1" si="185"/>
        <v>2.7612435838093305</v>
      </c>
      <c r="AZ152" s="41">
        <f t="shared" si="186"/>
        <v>0.31628014338533633</v>
      </c>
    </row>
    <row r="153" spans="1:52" ht="14.5">
      <c r="A153" s="41">
        <f t="shared" ca="1" si="187"/>
        <v>10794.639916340857</v>
      </c>
      <c r="B153" s="41">
        <f t="shared" ca="1" si="147"/>
        <v>179.91066527234761</v>
      </c>
      <c r="C153" s="41">
        <f t="shared" ca="1" si="147"/>
        <v>2.9985110878724601</v>
      </c>
      <c r="D153" s="41">
        <f t="shared" ca="1" si="188"/>
        <v>10803.818872131709</v>
      </c>
      <c r="E153" s="41">
        <f t="shared" ca="1" si="189"/>
        <v>912.54834034908367</v>
      </c>
      <c r="F153" s="41">
        <f t="shared" ca="1" si="190"/>
        <v>3.0314368752061474</v>
      </c>
      <c r="G153" s="41"/>
      <c r="H153" s="7">
        <f t="shared" si="191"/>
        <v>16666.666367000023</v>
      </c>
      <c r="I153" s="6">
        <v>15</v>
      </c>
      <c r="J153" s="41">
        <f t="shared" si="149"/>
        <v>0.44311728208575368</v>
      </c>
      <c r="K153" s="41">
        <f t="shared" si="150"/>
        <v>479.00016784825459</v>
      </c>
      <c r="L153" s="6">
        <f t="shared" si="151"/>
        <v>215.27777777777814</v>
      </c>
      <c r="M153" s="41">
        <f t="shared" si="152"/>
        <v>283.79993544740529</v>
      </c>
      <c r="N153" s="41">
        <f t="shared" si="153"/>
        <v>153.42077951264326</v>
      </c>
      <c r="O153" s="41">
        <f t="shared" si="154"/>
        <v>1803026.2095444484</v>
      </c>
      <c r="P153" s="41">
        <f t="shared" si="155"/>
        <v>11576695.223244891</v>
      </c>
      <c r="Q153" s="41">
        <f t="shared" si="156"/>
        <v>2.8817448514709232E-3</v>
      </c>
      <c r="R153" s="41">
        <f t="shared" si="157"/>
        <v>1.9446205089342201E-2</v>
      </c>
      <c r="S153" s="24">
        <f t="shared" ca="1" si="192"/>
        <v>-3.928023284993535</v>
      </c>
      <c r="T153" s="10">
        <f t="shared" ca="1" si="158"/>
        <v>-3.928023284993535</v>
      </c>
      <c r="U153" s="41">
        <f t="shared" ca="1" si="159"/>
        <v>0.30545263032178388</v>
      </c>
      <c r="V153" s="41">
        <f t="shared" ca="1" si="160"/>
        <v>2.5338810082699614E-2</v>
      </c>
      <c r="W153" s="41">
        <f t="shared" ca="1" si="161"/>
        <v>12.054734587964548</v>
      </c>
      <c r="X153" s="20">
        <f t="shared" ca="1" si="162"/>
        <v>894.12499880643782</v>
      </c>
      <c r="Y153" s="41">
        <f t="shared" si="163"/>
        <v>0.55489094193935495</v>
      </c>
      <c r="Z153" s="41">
        <f t="shared" ca="1" si="164"/>
        <v>170.88422746364577</v>
      </c>
      <c r="AA153" s="14">
        <f t="shared" ca="1" si="165"/>
        <v>896.23033948157149</v>
      </c>
      <c r="AB153" s="14">
        <f t="shared" si="166"/>
        <v>3080.5662004424134</v>
      </c>
      <c r="AC153" s="25">
        <f t="shared" ca="1" si="167"/>
        <v>429294.48304237094</v>
      </c>
      <c r="AD153" s="41">
        <f t="shared" si="168"/>
        <v>1475591.7270795759</v>
      </c>
      <c r="AE153" s="6">
        <v>5</v>
      </c>
      <c r="AF153" s="41">
        <f t="shared" si="169"/>
        <v>154.02831002212068</v>
      </c>
      <c r="AG153" s="41">
        <f t="shared" ca="1" si="170"/>
        <v>2184.3358609608422</v>
      </c>
      <c r="AH153" s="41">
        <f t="shared" ca="1" si="171"/>
        <v>1046297.2440372049</v>
      </c>
      <c r="AI153" s="41">
        <f t="shared" si="172"/>
        <v>122.58064087065644</v>
      </c>
      <c r="AJ153" s="13">
        <f t="shared" ca="1" si="173"/>
        <v>-32.813067522454439</v>
      </c>
      <c r="AK153" s="11"/>
      <c r="AL153" s="6">
        <v>-266.66666659999999</v>
      </c>
      <c r="AM153" s="41">
        <f t="shared" ca="1" si="174"/>
        <v>8.1268435636965748</v>
      </c>
      <c r="AN153" s="41">
        <f t="shared" ca="1" si="175"/>
        <v>0.27672047008152656</v>
      </c>
      <c r="AO153" s="41">
        <f t="shared" ca="1" si="176"/>
        <v>0.63916102904996652</v>
      </c>
      <c r="AP153" s="67">
        <f t="shared" si="193"/>
        <v>0.79583188865119725</v>
      </c>
      <c r="AQ153" s="11">
        <f t="shared" si="177"/>
        <v>0.9374670561120223</v>
      </c>
      <c r="AR153" s="11">
        <f t="shared" si="178"/>
        <v>0.52745808513841741</v>
      </c>
      <c r="AS153" s="11">
        <f t="shared" si="179"/>
        <v>0.56264172879413588</v>
      </c>
      <c r="AT153" s="11">
        <f t="shared" si="180"/>
        <v>486.23603799362257</v>
      </c>
      <c r="AU153" s="11">
        <f t="shared" si="181"/>
        <v>1116.2173489316215</v>
      </c>
      <c r="AV153" s="11">
        <f t="shared" si="182"/>
        <v>1.3373431251707815E-3</v>
      </c>
      <c r="AW153" s="11">
        <f t="shared" si="183"/>
        <v>3.5528467530672461E-7</v>
      </c>
      <c r="AX153" s="41">
        <f t="shared" ca="1" si="184"/>
        <v>2.0026289328061009</v>
      </c>
      <c r="AY153" s="41">
        <f t="shared" ca="1" si="185"/>
        <v>2.697580959819609</v>
      </c>
      <c r="AZ153" s="41">
        <f t="shared" si="186"/>
        <v>0.3112579967797619</v>
      </c>
    </row>
    <row r="154" spans="1:52" ht="14.5">
      <c r="A154" s="41">
        <f t="shared" ca="1" si="187"/>
        <v>10802.766759904553</v>
      </c>
      <c r="B154" s="41">
        <f t="shared" ca="1" si="147"/>
        <v>180.04611266507587</v>
      </c>
      <c r="C154" s="41">
        <f t="shared" ca="1" si="147"/>
        <v>3.0007685444179311</v>
      </c>
      <c r="D154" s="41">
        <f t="shared" ca="1" si="188"/>
        <v>10803.542151661628</v>
      </c>
      <c r="E154" s="41">
        <f t="shared" ca="1" si="189"/>
        <v>913.18750137813367</v>
      </c>
      <c r="F154" s="41">
        <f t="shared" ca="1" si="190"/>
        <v>3.6705979042561139</v>
      </c>
      <c r="G154" s="41"/>
      <c r="H154" s="7">
        <f t="shared" si="191"/>
        <v>16399.999700400025</v>
      </c>
      <c r="I154" s="6">
        <v>15</v>
      </c>
      <c r="J154" s="41">
        <f t="shared" si="149"/>
        <v>0.43491888981845289</v>
      </c>
      <c r="K154" s="41">
        <f t="shared" si="150"/>
        <v>470.59738905935251</v>
      </c>
      <c r="L154" s="6">
        <f t="shared" si="151"/>
        <v>212.33333333333368</v>
      </c>
      <c r="M154" s="41">
        <f t="shared" si="152"/>
        <v>278.82142345944141</v>
      </c>
      <c r="N154" s="41">
        <f t="shared" si="153"/>
        <v>149.41192333889819</v>
      </c>
      <c r="O154" s="41">
        <f t="shared" si="154"/>
        <v>1784510.0265542709</v>
      </c>
      <c r="P154" s="41">
        <f t="shared" si="155"/>
        <v>11457808.317419337</v>
      </c>
      <c r="Q154" s="41">
        <f t="shared" si="156"/>
        <v>2.888361865039019E-3</v>
      </c>
      <c r="R154" s="41">
        <f t="shared" si="157"/>
        <v>1.9483968586052995E-2</v>
      </c>
      <c r="S154" s="24">
        <f t="shared" ca="1" si="192"/>
        <v>-3.8605406071308792</v>
      </c>
      <c r="T154" s="10">
        <f t="shared" ca="1" si="158"/>
        <v>-3.8605406071308792</v>
      </c>
      <c r="U154" s="41">
        <f t="shared" ca="1" si="159"/>
        <v>0.31366531275256887</v>
      </c>
      <c r="V154" s="41">
        <f t="shared" ca="1" si="160"/>
        <v>2.5697701458827424E-2</v>
      </c>
      <c r="W154" s="41">
        <f t="shared" ca="1" si="161"/>
        <v>12.205967652598035</v>
      </c>
      <c r="X154" s="20">
        <f t="shared" ca="1" si="162"/>
        <v>883.09489008100957</v>
      </c>
      <c r="Y154" s="41">
        <f t="shared" si="163"/>
        <v>0.55542946497867818</v>
      </c>
      <c r="Z154" s="41">
        <f t="shared" ca="1" si="164"/>
        <v>170.12852609437672</v>
      </c>
      <c r="AA154" s="14">
        <f t="shared" ca="1" si="165"/>
        <v>885.10329202470882</v>
      </c>
      <c r="AB154" s="14">
        <f t="shared" si="166"/>
        <v>3114.2426817651726</v>
      </c>
      <c r="AC154" s="25">
        <f t="shared" ca="1" si="167"/>
        <v>416527.29827466561</v>
      </c>
      <c r="AD154" s="41">
        <f t="shared" si="168"/>
        <v>1465554.4749358862</v>
      </c>
      <c r="AE154" s="6">
        <v>5</v>
      </c>
      <c r="AF154" s="41">
        <f t="shared" si="169"/>
        <v>155.71213408825864</v>
      </c>
      <c r="AG154" s="41">
        <f t="shared" ca="1" si="170"/>
        <v>2229.1393897404637</v>
      </c>
      <c r="AH154" s="41">
        <f t="shared" ca="1" si="171"/>
        <v>1049027.1766612206</v>
      </c>
      <c r="AI154" s="41">
        <f t="shared" si="172"/>
        <v>123.70064364834029</v>
      </c>
      <c r="AJ154" s="13">
        <f t="shared" ca="1" si="173"/>
        <v>-31.684462467185995</v>
      </c>
      <c r="AK154" s="11"/>
      <c r="AL154" s="6">
        <v>-266.66666659999999</v>
      </c>
      <c r="AM154" s="41">
        <f t="shared" ca="1" si="174"/>
        <v>8.4163228862150739</v>
      </c>
      <c r="AN154" s="41">
        <f t="shared" ca="1" si="175"/>
        <v>0.28919571060473936</v>
      </c>
      <c r="AO154" s="41">
        <f t="shared" ca="1" si="176"/>
        <v>0.65036841779683852</v>
      </c>
      <c r="AP154" s="67">
        <f t="shared" si="193"/>
        <v>0.79441878035160685</v>
      </c>
      <c r="AQ154" s="11">
        <f t="shared" si="177"/>
        <v>0.93930048277823053</v>
      </c>
      <c r="AR154" s="11">
        <f t="shared" si="178"/>
        <v>0.53322421097273687</v>
      </c>
      <c r="AS154" s="11">
        <f t="shared" si="179"/>
        <v>0.56768224944970191</v>
      </c>
      <c r="AT154" s="11">
        <f t="shared" si="180"/>
        <v>487.18698140258476</v>
      </c>
      <c r="AU154" s="11">
        <f t="shared" si="181"/>
        <v>1128.4197397447251</v>
      </c>
      <c r="AV154" s="11">
        <f t="shared" si="182"/>
        <v>1.3493239387169964E-3</v>
      </c>
      <c r="AW154" s="11">
        <f t="shared" si="183"/>
        <v>3.5583342940448807E-7</v>
      </c>
      <c r="AX154" s="41">
        <f t="shared" ca="1" si="184"/>
        <v>1.9560406465622302</v>
      </c>
      <c r="AY154" s="41">
        <f t="shared" ca="1" si="185"/>
        <v>2.6348256126540242</v>
      </c>
      <c r="AZ154" s="41">
        <f t="shared" si="186"/>
        <v>0.30624355500504119</v>
      </c>
    </row>
    <row r="155" spans="1:52" ht="14.5">
      <c r="A155" s="41">
        <f t="shared" ca="1" si="187"/>
        <v>10811.183082790767</v>
      </c>
      <c r="B155" s="41">
        <f t="shared" ca="1" si="147"/>
        <v>180.18638471317945</v>
      </c>
      <c r="C155" s="41">
        <f t="shared" ca="1" si="147"/>
        <v>3.003106411886324</v>
      </c>
      <c r="D155" s="41">
        <f t="shared" ca="1" si="188"/>
        <v>10803.252955951024</v>
      </c>
      <c r="E155" s="41">
        <f t="shared" ca="1" si="189"/>
        <v>913.83786979593049</v>
      </c>
      <c r="F155" s="41">
        <f t="shared" ca="1" si="190"/>
        <v>4.3209663220529526</v>
      </c>
      <c r="G155" s="41"/>
      <c r="H155" s="7">
        <f t="shared" si="191"/>
        <v>16133.333033800025</v>
      </c>
      <c r="I155" s="6">
        <v>15</v>
      </c>
      <c r="J155" s="41">
        <f t="shared" si="149"/>
        <v>0.42678700339088416</v>
      </c>
      <c r="K155" s="41">
        <f t="shared" si="150"/>
        <v>462.2488786004011</v>
      </c>
      <c r="L155" s="6">
        <f t="shared" si="151"/>
        <v>209.38888888888923</v>
      </c>
      <c r="M155" s="41">
        <f t="shared" si="152"/>
        <v>273.87506458868006</v>
      </c>
      <c r="N155" s="41">
        <f t="shared" si="153"/>
        <v>145.44649008046403</v>
      </c>
      <c r="O155" s="41">
        <f t="shared" si="154"/>
        <v>1765802.0011881599</v>
      </c>
      <c r="P155" s="41">
        <f t="shared" si="155"/>
        <v>11337689.648735691</v>
      </c>
      <c r="Q155" s="41">
        <f t="shared" si="156"/>
        <v>2.8950479779556539E-3</v>
      </c>
      <c r="R155" s="41">
        <f t="shared" si="157"/>
        <v>1.9522126434837334E-2</v>
      </c>
      <c r="S155" s="24">
        <f t="shared" ca="1" si="192"/>
        <v>-3.7950039875084536</v>
      </c>
      <c r="T155" s="10">
        <f t="shared" ca="1" si="158"/>
        <v>-3.7950039875084536</v>
      </c>
      <c r="U155" s="41">
        <f t="shared" ca="1" si="159"/>
        <v>0.32223307529141493</v>
      </c>
      <c r="V155" s="41">
        <f t="shared" ca="1" si="160"/>
        <v>2.6079951434861595E-2</v>
      </c>
      <c r="W155" s="41">
        <f t="shared" ca="1" si="161"/>
        <v>12.35558571097182</v>
      </c>
      <c r="X155" s="20">
        <f t="shared" ca="1" si="162"/>
        <v>872.44460146400354</v>
      </c>
      <c r="Y155" s="41">
        <f t="shared" si="163"/>
        <v>0.55597308182167038</v>
      </c>
      <c r="Z155" s="41">
        <f t="shared" ca="1" si="164"/>
        <v>169.37733815471407</v>
      </c>
      <c r="AA155" s="14">
        <f t="shared" ca="1" si="165"/>
        <v>874.36186423422112</v>
      </c>
      <c r="AB155" s="14">
        <f t="shared" si="166"/>
        <v>3148.2166512709364</v>
      </c>
      <c r="AC155" s="25">
        <f t="shared" ca="1" si="167"/>
        <v>404172.79123322485</v>
      </c>
      <c r="AD155" s="41">
        <f t="shared" si="168"/>
        <v>1455259.6166411003</v>
      </c>
      <c r="AE155" s="6">
        <v>5</v>
      </c>
      <c r="AF155" s="41">
        <f t="shared" si="169"/>
        <v>157.41083256354682</v>
      </c>
      <c r="AG155" s="41">
        <f t="shared" ca="1" si="170"/>
        <v>2273.8547870367152</v>
      </c>
      <c r="AH155" s="41">
        <f t="shared" ca="1" si="171"/>
        <v>1051086.8254078755</v>
      </c>
      <c r="AI155" s="41">
        <f t="shared" si="172"/>
        <v>124.82779783692972</v>
      </c>
      <c r="AJ155" s="13">
        <f t="shared" ca="1" si="173"/>
        <v>-30.594817985223983</v>
      </c>
      <c r="AK155" s="11"/>
      <c r="AL155" s="6">
        <v>-266.66666659999999</v>
      </c>
      <c r="AM155" s="41">
        <f t="shared" ca="1" si="174"/>
        <v>8.7160729875493566</v>
      </c>
      <c r="AN155" s="41">
        <f t="shared" ca="1" si="175"/>
        <v>0.30222449911714866</v>
      </c>
      <c r="AO155" s="41">
        <f t="shared" ca="1" si="176"/>
        <v>0.66163352502208728</v>
      </c>
      <c r="AP155" s="67">
        <f t="shared" si="193"/>
        <v>0.79300640117341792</v>
      </c>
      <c r="AQ155" s="11">
        <f t="shared" si="177"/>
        <v>0.94113390944443887</v>
      </c>
      <c r="AR155" s="11">
        <f t="shared" si="178"/>
        <v>0.53904127307563454</v>
      </c>
      <c r="AS155" s="11">
        <f t="shared" si="179"/>
        <v>0.57275725342192396</v>
      </c>
      <c r="AT155" s="11">
        <f t="shared" si="180"/>
        <v>488.13792481154707</v>
      </c>
      <c r="AU155" s="11">
        <f t="shared" si="181"/>
        <v>1140.7299229081193</v>
      </c>
      <c r="AV155" s="11">
        <f t="shared" si="182"/>
        <v>1.3613867156585711E-3</v>
      </c>
      <c r="AW155" s="11">
        <f t="shared" si="183"/>
        <v>3.5638167939056538E-7</v>
      </c>
      <c r="AX155" s="41">
        <f t="shared" ca="1" si="184"/>
        <v>1.9101426178324237</v>
      </c>
      <c r="AY155" s="41">
        <f t="shared" ca="1" si="185"/>
        <v>2.5730000560736093</v>
      </c>
      <c r="AZ155" s="41">
        <f t="shared" si="186"/>
        <v>0.30123752125548037</v>
      </c>
    </row>
    <row r="156" spans="1:52" ht="14.5">
      <c r="A156" s="41">
        <f t="shared" ca="1" si="187"/>
        <v>10819.899155778316</v>
      </c>
      <c r="B156" s="41">
        <f t="shared" ca="1" si="147"/>
        <v>180.33165259630525</v>
      </c>
      <c r="C156" s="41">
        <f t="shared" ca="1" si="147"/>
        <v>3.0055275432717541</v>
      </c>
      <c r="D156" s="41">
        <f t="shared" ca="1" si="188"/>
        <v>10802.950731451907</v>
      </c>
      <c r="E156" s="41">
        <f t="shared" ca="1" si="189"/>
        <v>914.49950332095261</v>
      </c>
      <c r="F156" s="41">
        <f t="shared" ca="1" si="190"/>
        <v>4.9825998470750399</v>
      </c>
      <c r="G156" s="41"/>
      <c r="H156" s="7">
        <f t="shared" si="191"/>
        <v>15866.666367200025</v>
      </c>
      <c r="I156" s="6">
        <v>15</v>
      </c>
      <c r="J156" s="41">
        <f t="shared" si="149"/>
        <v>0.41872145930379162</v>
      </c>
      <c r="K156" s="41">
        <f t="shared" si="150"/>
        <v>453.95469620853771</v>
      </c>
      <c r="L156" s="6">
        <f t="shared" si="151"/>
        <v>206.44444444444477</v>
      </c>
      <c r="M156" s="41">
        <f t="shared" si="152"/>
        <v>268.96089422841925</v>
      </c>
      <c r="N156" s="41">
        <f t="shared" si="153"/>
        <v>141.52519547436077</v>
      </c>
      <c r="O156" s="41">
        <f t="shared" si="154"/>
        <v>1746903.4067498611</v>
      </c>
      <c r="P156" s="41">
        <f t="shared" si="155"/>
        <v>11216347.392698728</v>
      </c>
      <c r="Q156" s="41">
        <f t="shared" si="156"/>
        <v>2.9018068679519558E-3</v>
      </c>
      <c r="R156" s="41">
        <f t="shared" si="157"/>
        <v>1.9560699624618084E-2</v>
      </c>
      <c r="S156" s="24">
        <f t="shared" ca="1" si="192"/>
        <v>-3.7315066235792416</v>
      </c>
      <c r="T156" s="10">
        <f t="shared" ca="1" si="158"/>
        <v>-3.7315066235792416</v>
      </c>
      <c r="U156" s="41">
        <f t="shared" ca="1" si="159"/>
        <v>0.33117619059764591</v>
      </c>
      <c r="V156" s="41">
        <f t="shared" ca="1" si="160"/>
        <v>2.6487581848016809E-2</v>
      </c>
      <c r="W156" s="41">
        <f t="shared" ca="1" si="161"/>
        <v>12.503073798805152</v>
      </c>
      <c r="X156" s="20">
        <f t="shared" ca="1" si="162"/>
        <v>862.19184569725303</v>
      </c>
      <c r="Y156" s="41">
        <f t="shared" si="163"/>
        <v>0.55652207611960469</v>
      </c>
      <c r="Z156" s="41">
        <f t="shared" ca="1" si="164"/>
        <v>168.63062341658221</v>
      </c>
      <c r="AA156" s="14">
        <f t="shared" ca="1" si="165"/>
        <v>864.02359174143908</v>
      </c>
      <c r="AB156" s="14">
        <f t="shared" si="166"/>
        <v>3182.4901152748439</v>
      </c>
      <c r="AC156" s="25">
        <f t="shared" ca="1" si="167"/>
        <v>392227.56710599462</v>
      </c>
      <c r="AD156" s="41">
        <f t="shared" si="168"/>
        <v>1444706.3334662658</v>
      </c>
      <c r="AE156" s="6">
        <v>5</v>
      </c>
      <c r="AF156" s="41">
        <f t="shared" si="169"/>
        <v>159.12450576374221</v>
      </c>
      <c r="AG156" s="41">
        <f t="shared" ca="1" si="170"/>
        <v>2318.4665235334051</v>
      </c>
      <c r="AH156" s="41">
        <f t="shared" ca="1" si="171"/>
        <v>1052478.7663602713</v>
      </c>
      <c r="AI156" s="41">
        <f t="shared" si="172"/>
        <v>125.96215574233298</v>
      </c>
      <c r="AJ156" s="13">
        <f t="shared" ca="1" si="173"/>
        <v>-29.543846736656057</v>
      </c>
      <c r="AK156" s="11"/>
      <c r="AL156" s="6">
        <v>-266.66666659999999</v>
      </c>
      <c r="AM156" s="41">
        <f t="shared" ca="1" si="174"/>
        <v>9.0261322087464517</v>
      </c>
      <c r="AN156" s="41">
        <f t="shared" ca="1" si="175"/>
        <v>0.3158197419525024</v>
      </c>
      <c r="AO156" s="41">
        <f t="shared" ca="1" si="176"/>
        <v>0.67292496413272007</v>
      </c>
      <c r="AP156" s="67">
        <f t="shared" si="193"/>
        <v>0.79159495350988529</v>
      </c>
      <c r="AQ156" s="11">
        <f t="shared" si="177"/>
        <v>0.9429673361106472</v>
      </c>
      <c r="AR156" s="11">
        <f t="shared" si="178"/>
        <v>0.54490961497069446</v>
      </c>
      <c r="AS156" s="11">
        <f t="shared" si="179"/>
        <v>0.57786690387200756</v>
      </c>
      <c r="AT156" s="11">
        <f t="shared" si="180"/>
        <v>489.08886822050937</v>
      </c>
      <c r="AU156" s="11">
        <f t="shared" si="181"/>
        <v>1153.1486253932828</v>
      </c>
      <c r="AV156" s="11">
        <f t="shared" si="182"/>
        <v>1.3735318438133747E-3</v>
      </c>
      <c r="AW156" s="11">
        <f t="shared" si="183"/>
        <v>3.5692942636772537E-7</v>
      </c>
      <c r="AX156" s="41">
        <f t="shared" ca="1" si="184"/>
        <v>1.8649519917007396</v>
      </c>
      <c r="AY156" s="41">
        <f t="shared" ca="1" si="185"/>
        <v>2.5121273848472216</v>
      </c>
      <c r="AZ156" s="41">
        <f t="shared" si="186"/>
        <v>0.29624058242862433</v>
      </c>
    </row>
    <row r="157" spans="1:52" ht="14.5">
      <c r="A157" s="41">
        <f t="shared" ca="1" si="187"/>
        <v>10828.925287987062</v>
      </c>
      <c r="B157" s="41">
        <f t="shared" ca="1" si="147"/>
        <v>180.48208813311768</v>
      </c>
      <c r="C157" s="41">
        <f t="shared" ca="1" si="147"/>
        <v>3.0080348022186283</v>
      </c>
      <c r="D157" s="41">
        <f t="shared" ca="1" si="188"/>
        <v>10802.634911709954</v>
      </c>
      <c r="E157" s="41">
        <f t="shared" ca="1" si="189"/>
        <v>915.17242828508529</v>
      </c>
      <c r="F157" s="41">
        <f t="shared" ca="1" si="190"/>
        <v>5.6555248112077603</v>
      </c>
      <c r="G157" s="41"/>
      <c r="H157" s="7">
        <f t="shared" si="191"/>
        <v>15599.999700600025</v>
      </c>
      <c r="I157" s="6">
        <v>15</v>
      </c>
      <c r="J157" s="41">
        <f t="shared" si="149"/>
        <v>0.41072208231869733</v>
      </c>
      <c r="K157" s="41">
        <f t="shared" si="150"/>
        <v>445.71488767899069</v>
      </c>
      <c r="L157" s="6">
        <f t="shared" si="151"/>
        <v>203.50000000000031</v>
      </c>
      <c r="M157" s="41">
        <f t="shared" si="152"/>
        <v>264.07893951159912</v>
      </c>
      <c r="N157" s="41">
        <f t="shared" si="153"/>
        <v>137.64873242466786</v>
      </c>
      <c r="O157" s="41">
        <f t="shared" si="154"/>
        <v>1727815.5016727073</v>
      </c>
      <c r="P157" s="41">
        <f t="shared" si="155"/>
        <v>11093789.629334727</v>
      </c>
      <c r="Q157" s="41">
        <f t="shared" si="156"/>
        <v>2.9086423684087882E-3</v>
      </c>
      <c r="R157" s="41">
        <f t="shared" si="157"/>
        <v>1.9599710032615854E-2</v>
      </c>
      <c r="S157" s="24">
        <f t="shared" ca="1" si="192"/>
        <v>-3.6701464947134523</v>
      </c>
      <c r="T157" s="10">
        <f t="shared" ca="1" si="158"/>
        <v>-3.6701464947134523</v>
      </c>
      <c r="U157" s="41">
        <f t="shared" ca="1" si="159"/>
        <v>0.34051640539902278</v>
      </c>
      <c r="V157" s="41">
        <f t="shared" ca="1" si="160"/>
        <v>2.6922821947251381E-2</v>
      </c>
      <c r="W157" s="41">
        <f t="shared" ca="1" si="161"/>
        <v>12.647871982594564</v>
      </c>
      <c r="X157" s="20">
        <f t="shared" ca="1" si="162"/>
        <v>852.35523229686146</v>
      </c>
      <c r="Y157" s="41">
        <f t="shared" si="163"/>
        <v>0.55707674287912878</v>
      </c>
      <c r="Z157" s="41">
        <f t="shared" ca="1" si="164"/>
        <v>167.88834183712589</v>
      </c>
      <c r="AA157" s="14">
        <f t="shared" ca="1" si="165"/>
        <v>854.10691431539294</v>
      </c>
      <c r="AB157" s="14">
        <f t="shared" si="166"/>
        <v>3217.0650894480655</v>
      </c>
      <c r="AC157" s="25">
        <f t="shared" ca="1" si="167"/>
        <v>380688.16737993469</v>
      </c>
      <c r="AD157" s="41">
        <f t="shared" si="168"/>
        <v>1433893.8049993466</v>
      </c>
      <c r="AE157" s="6">
        <v>5</v>
      </c>
      <c r="AF157" s="41">
        <f t="shared" si="169"/>
        <v>160.85325447240328</v>
      </c>
      <c r="AG157" s="41">
        <f t="shared" ca="1" si="170"/>
        <v>2362.9581751326723</v>
      </c>
      <c r="AH157" s="41">
        <f t="shared" ca="1" si="171"/>
        <v>1053205.637619412</v>
      </c>
      <c r="AI157" s="41">
        <f t="shared" si="172"/>
        <v>127.1037703371573</v>
      </c>
      <c r="AJ157" s="13">
        <f t="shared" ca="1" si="173"/>
        <v>-28.531254540661063</v>
      </c>
      <c r="AK157" s="11"/>
      <c r="AL157" s="6">
        <v>-266.66666659999999</v>
      </c>
      <c r="AM157" s="41">
        <f t="shared" ca="1" si="174"/>
        <v>9.3464753265567886</v>
      </c>
      <c r="AN157" s="41">
        <f t="shared" ca="1" si="175"/>
        <v>0.32999229260238366</v>
      </c>
      <c r="AO157" s="41">
        <f t="shared" ca="1" si="176"/>
        <v>0.68420701749547919</v>
      </c>
      <c r="AP157" s="67">
        <f t="shared" si="193"/>
        <v>0.7901846360153304</v>
      </c>
      <c r="AQ157" s="11">
        <f t="shared" si="177"/>
        <v>0.94480076277685554</v>
      </c>
      <c r="AR157" s="11">
        <f t="shared" si="178"/>
        <v>0.55082958178345065</v>
      </c>
      <c r="AS157" s="11">
        <f t="shared" si="179"/>
        <v>0.58301136439021528</v>
      </c>
      <c r="AT157" s="11">
        <f t="shared" si="180"/>
        <v>490.03981162947161</v>
      </c>
      <c r="AU157" s="11">
        <f t="shared" si="181"/>
        <v>1165.6765775617739</v>
      </c>
      <c r="AV157" s="11">
        <f t="shared" si="182"/>
        <v>1.3857597120191026E-3</v>
      </c>
      <c r="AW157" s="11">
        <f t="shared" si="183"/>
        <v>3.5747667143552707E-7</v>
      </c>
      <c r="AX157" s="41">
        <f t="shared" ca="1" si="184"/>
        <v>1.8204864249578003</v>
      </c>
      <c r="AY157" s="41">
        <f t="shared" ca="1" si="185"/>
        <v>2.4522313830226268</v>
      </c>
      <c r="AZ157" s="41">
        <f t="shared" si="186"/>
        <v>0.29125340908920305</v>
      </c>
    </row>
    <row r="158" spans="1:52" ht="14.5">
      <c r="A158" s="41">
        <f t="shared" ca="1" si="187"/>
        <v>10838.271763313618</v>
      </c>
      <c r="B158" s="41">
        <f t="shared" ca="1" si="147"/>
        <v>180.63786272189364</v>
      </c>
      <c r="C158" s="41">
        <f t="shared" ca="1" si="147"/>
        <v>3.0106310453648941</v>
      </c>
      <c r="D158" s="41">
        <f t="shared" ca="1" si="188"/>
        <v>10802.304919417353</v>
      </c>
      <c r="E158" s="41">
        <f t="shared" ca="1" si="189"/>
        <v>915.8566353025808</v>
      </c>
      <c r="F158" s="41">
        <f t="shared" ca="1" si="190"/>
        <v>6.3397318287032398</v>
      </c>
      <c r="G158" s="41"/>
      <c r="H158" s="7">
        <f t="shared" si="191"/>
        <v>15333.333034000025</v>
      </c>
      <c r="I158" s="6">
        <v>15</v>
      </c>
      <c r="J158" s="41">
        <f t="shared" si="149"/>
        <v>0.40278868570158077</v>
      </c>
      <c r="K158" s="41">
        <f t="shared" si="150"/>
        <v>437.5294850722957</v>
      </c>
      <c r="L158" s="6">
        <f t="shared" si="151"/>
        <v>200.55555555555586</v>
      </c>
      <c r="M158" s="41">
        <f t="shared" si="152"/>
        <v>259.22921943357403</v>
      </c>
      <c r="N158" s="41">
        <f t="shared" si="153"/>
        <v>133.81777125797976</v>
      </c>
      <c r="O158" s="41">
        <f t="shared" si="154"/>
        <v>1708539.5286787557</v>
      </c>
      <c r="P158" s="41">
        <f t="shared" si="155"/>
        <v>10970024.337792538</v>
      </c>
      <c r="Q158" s="41">
        <f t="shared" si="156"/>
        <v>2.9155584773931202E-3</v>
      </c>
      <c r="R158" s="41">
        <f t="shared" si="157"/>
        <v>1.9639180475919851E-2</v>
      </c>
      <c r="S158" s="24">
        <f t="shared" ca="1" si="192"/>
        <v>-3.6110268357585285</v>
      </c>
      <c r="T158" s="10">
        <f t="shared" ca="1" si="158"/>
        <v>-3.6110268357585285</v>
      </c>
      <c r="U158" s="41">
        <f t="shared" ca="1" si="159"/>
        <v>0.35027707094432786</v>
      </c>
      <c r="V158" s="41">
        <f t="shared" ca="1" si="160"/>
        <v>2.7388133171982052E-2</v>
      </c>
      <c r="W158" s="41">
        <f t="shared" ca="1" si="161"/>
        <v>12.789373731491121</v>
      </c>
      <c r="X158" s="20">
        <f t="shared" ca="1" si="162"/>
        <v>842.95435619801788</v>
      </c>
      <c r="Y158" s="41">
        <f t="shared" si="163"/>
        <v>0.55763738910926375</v>
      </c>
      <c r="Z158" s="41">
        <f t="shared" ca="1" si="164"/>
        <v>167.15045351746136</v>
      </c>
      <c r="AA158" s="14">
        <f t="shared" ca="1" si="165"/>
        <v>844.63126547150364</v>
      </c>
      <c r="AB158" s="14">
        <f t="shared" si="166"/>
        <v>3251.9435988420423</v>
      </c>
      <c r="AC158" s="25">
        <f t="shared" ca="1" si="167"/>
        <v>369551.0826577085</v>
      </c>
      <c r="AD158" s="41">
        <f t="shared" si="168"/>
        <v>1422821.2082855068</v>
      </c>
      <c r="AE158" s="6">
        <v>5</v>
      </c>
      <c r="AF158" s="41">
        <f t="shared" si="169"/>
        <v>162.59717994210212</v>
      </c>
      <c r="AG158" s="41">
        <f t="shared" ca="1" si="170"/>
        <v>2407.3123333705389</v>
      </c>
      <c r="AH158" s="41">
        <f t="shared" ca="1" si="171"/>
        <v>1053270.1256277983</v>
      </c>
      <c r="AI158" s="41">
        <f t="shared" si="172"/>
        <v>128.25269525126498</v>
      </c>
      <c r="AJ158" s="13">
        <f t="shared" ca="1" si="173"/>
        <v>-27.556741567016214</v>
      </c>
      <c r="AK158" s="11"/>
      <c r="AL158" s="6">
        <v>-266.66666659999999</v>
      </c>
      <c r="AM158" s="41">
        <f t="shared" ca="1" si="174"/>
        <v>9.6770028470704315</v>
      </c>
      <c r="AN158" s="41">
        <f t="shared" ca="1" si="175"/>
        <v>0.3447504714141521</v>
      </c>
      <c r="AO158" s="41">
        <f t="shared" ca="1" si="176"/>
        <v>0.69543929444196972</v>
      </c>
      <c r="AP158" s="67">
        <f t="shared" si="193"/>
        <v>0.78877564356856256</v>
      </c>
      <c r="AQ158" s="11">
        <f t="shared" si="177"/>
        <v>0.94663418944306388</v>
      </c>
      <c r="AR158" s="11">
        <f t="shared" si="178"/>
        <v>0.55680152024553831</v>
      </c>
      <c r="AS158" s="11">
        <f t="shared" si="179"/>
        <v>0.58819079899609694</v>
      </c>
      <c r="AT158" s="11">
        <f t="shared" si="180"/>
        <v>490.99075503843392</v>
      </c>
      <c r="AU158" s="11">
        <f t="shared" si="181"/>
        <v>1178.314513174013</v>
      </c>
      <c r="AV158" s="11">
        <f t="shared" si="182"/>
        <v>1.3980707101338228E-3</v>
      </c>
      <c r="AW158" s="11">
        <f t="shared" si="183"/>
        <v>3.5802341569032743E-7</v>
      </c>
      <c r="AX158" s="41">
        <f t="shared" ca="1" si="184"/>
        <v>1.7767641769443407</v>
      </c>
      <c r="AY158" s="41">
        <f t="shared" ca="1" si="185"/>
        <v>2.3933366462945624</v>
      </c>
      <c r="AZ158" s="41">
        <f t="shared" si="186"/>
        <v>0.28627665544880687</v>
      </c>
    </row>
    <row r="159" spans="1:52" ht="14.5">
      <c r="A159" s="41">
        <f t="shared" ca="1" si="187"/>
        <v>10847.948766160689</v>
      </c>
      <c r="B159" s="41">
        <f t="shared" ca="1" si="147"/>
        <v>180.79914610267815</v>
      </c>
      <c r="C159" s="41">
        <f t="shared" ca="1" si="147"/>
        <v>3.0133191017113026</v>
      </c>
      <c r="D159" s="41">
        <f t="shared" ca="1" si="188"/>
        <v>10801.960168945938</v>
      </c>
      <c r="E159" s="41">
        <f t="shared" ca="1" si="189"/>
        <v>916.55207459702274</v>
      </c>
      <c r="F159" s="41">
        <f t="shared" ca="1" si="190"/>
        <v>7.0351711231452096</v>
      </c>
      <c r="G159" s="41"/>
      <c r="H159" s="7">
        <f t="shared" si="191"/>
        <v>15066.666367400025</v>
      </c>
      <c r="I159" s="6">
        <v>15</v>
      </c>
      <c r="J159" s="41">
        <f t="shared" si="149"/>
        <v>0.39492107147329492</v>
      </c>
      <c r="K159" s="41">
        <f t="shared" si="150"/>
        <v>429.39850693052318</v>
      </c>
      <c r="L159" s="6">
        <f t="shared" si="151"/>
        <v>197.6111111111114</v>
      </c>
      <c r="M159" s="41">
        <f t="shared" si="152"/>
        <v>254.41174498022411</v>
      </c>
      <c r="N159" s="41">
        <f t="shared" si="153"/>
        <v>130.03295999749159</v>
      </c>
      <c r="O159" s="41">
        <f t="shared" si="154"/>
        <v>1689076.7139784601</v>
      </c>
      <c r="P159" s="41">
        <f t="shared" si="155"/>
        <v>10845059.391204912</v>
      </c>
      <c r="Q159" s="41">
        <f t="shared" si="156"/>
        <v>2.9225593674366999E-3</v>
      </c>
      <c r="R159" s="41">
        <f t="shared" si="157"/>
        <v>1.9679134767295048E-2</v>
      </c>
      <c r="S159" s="24">
        <f t="shared" ca="1" si="192"/>
        <v>-3.5542566603652745</v>
      </c>
      <c r="T159" s="10">
        <f t="shared" ca="1" si="158"/>
        <v>-3.5542566603652745</v>
      </c>
      <c r="U159" s="41">
        <f t="shared" ca="1" si="159"/>
        <v>0.3604832871224839</v>
      </c>
      <c r="V159" s="41">
        <f t="shared" ca="1" si="160"/>
        <v>2.7886237316019746E-2</v>
      </c>
      <c r="W159" s="41">
        <f t="shared" ca="1" si="161"/>
        <v>12.926924598586767</v>
      </c>
      <c r="X159" s="20">
        <f t="shared" ca="1" si="162"/>
        <v>834.00989572074707</v>
      </c>
      <c r="Y159" s="41">
        <f t="shared" si="163"/>
        <v>0.55820433452119089</v>
      </c>
      <c r="Z159" s="41">
        <f t="shared" ca="1" si="164"/>
        <v>166.4169186593582</v>
      </c>
      <c r="AA159" s="14">
        <f t="shared" ca="1" si="165"/>
        <v>835.61717147532977</v>
      </c>
      <c r="AB159" s="14">
        <f t="shared" si="166"/>
        <v>3287.1276779127365</v>
      </c>
      <c r="AC159" s="25">
        <f t="shared" ca="1" si="167"/>
        <v>358812.76579701359</v>
      </c>
      <c r="AD159" s="41">
        <f t="shared" si="168"/>
        <v>1411487.7169857267</v>
      </c>
      <c r="AE159" s="6">
        <v>5</v>
      </c>
      <c r="AF159" s="41">
        <f t="shared" si="169"/>
        <v>164.35638389563684</v>
      </c>
      <c r="AG159" s="41">
        <f t="shared" ca="1" si="170"/>
        <v>2451.5105064374065</v>
      </c>
      <c r="AH159" s="41">
        <f t="shared" ca="1" si="171"/>
        <v>1052674.9511887131</v>
      </c>
      <c r="AI159" s="41">
        <f t="shared" si="172"/>
        <v>129.40898476218166</v>
      </c>
      <c r="AJ159" s="13">
        <f t="shared" ca="1" si="173"/>
        <v>-26.620003558719183</v>
      </c>
      <c r="AK159" s="11"/>
      <c r="AL159" s="6">
        <v>-266.66666659999999</v>
      </c>
      <c r="AM159" s="41">
        <f t="shared" ca="1" si="174"/>
        <v>10.017529336980697</v>
      </c>
      <c r="AN159" s="41">
        <f t="shared" ca="1" si="175"/>
        <v>0.36009952814556745</v>
      </c>
      <c r="AO159" s="41">
        <f t="shared" ca="1" si="176"/>
        <v>0.70657639839977093</v>
      </c>
      <c r="AP159" s="67">
        <f t="shared" si="193"/>
        <v>0.78736816724048819</v>
      </c>
      <c r="AQ159" s="11">
        <f t="shared" si="177"/>
        <v>0.9484676161092721</v>
      </c>
      <c r="AR159" s="11">
        <f t="shared" si="178"/>
        <v>0.56282577869884531</v>
      </c>
      <c r="AS159" s="11">
        <f t="shared" si="179"/>
        <v>0.59340537213871802</v>
      </c>
      <c r="AT159" s="11">
        <f t="shared" si="180"/>
        <v>491.94169844739611</v>
      </c>
      <c r="AU159" s="11">
        <f t="shared" si="181"/>
        <v>1191.0631693980704</v>
      </c>
      <c r="AV159" s="11">
        <f t="shared" si="182"/>
        <v>1.4104652290365188E-3</v>
      </c>
      <c r="AW159" s="11">
        <f t="shared" si="183"/>
        <v>3.585696602252863E-7</v>
      </c>
      <c r="AX159" s="41">
        <f t="shared" ca="1" si="184"/>
        <v>1.733804212507102</v>
      </c>
      <c r="AY159" s="41">
        <f t="shared" ca="1" si="185"/>
        <v>2.3354687206883749</v>
      </c>
      <c r="AZ159" s="41">
        <f t="shared" si="186"/>
        <v>0.28131095936091977</v>
      </c>
    </row>
    <row r="160" spans="1:52" ht="14.5">
      <c r="A160" s="41">
        <f t="shared" ca="1" si="187"/>
        <v>10857.96629549767</v>
      </c>
      <c r="B160" s="41">
        <f t="shared" ca="1" si="147"/>
        <v>180.96610492496117</v>
      </c>
      <c r="C160" s="41">
        <f t="shared" ca="1" si="147"/>
        <v>3.0161017487493527</v>
      </c>
      <c r="D160" s="41">
        <f t="shared" ca="1" si="188"/>
        <v>10801.600069417793</v>
      </c>
      <c r="E160" s="41">
        <f t="shared" ca="1" si="189"/>
        <v>917.2586509954225</v>
      </c>
      <c r="F160" s="41">
        <f t="shared" ca="1" si="190"/>
        <v>7.7417475215449807</v>
      </c>
      <c r="G160" s="41"/>
      <c r="H160" s="7">
        <f t="shared" si="191"/>
        <v>14799.999700800025</v>
      </c>
      <c r="I160" s="6">
        <v>15</v>
      </c>
      <c r="J160" s="41">
        <f t="shared" si="149"/>
        <v>0.3871190306661017</v>
      </c>
      <c r="K160" s="41">
        <f t="shared" si="150"/>
        <v>421.32195850189061</v>
      </c>
      <c r="L160" s="6">
        <f t="shared" si="151"/>
        <v>194.66666666666694</v>
      </c>
      <c r="M160" s="41">
        <f t="shared" si="152"/>
        <v>249.62651926103416</v>
      </c>
      <c r="N160" s="41">
        <f t="shared" si="153"/>
        <v>126.29492465457854</v>
      </c>
      <c r="O160" s="41">
        <f t="shared" si="154"/>
        <v>1669428.266510587</v>
      </c>
      <c r="P160" s="41">
        <f t="shared" si="155"/>
        <v>10718902.551808231</v>
      </c>
      <c r="Q160" s="41">
        <f t="shared" si="156"/>
        <v>2.9296493961265386E-3</v>
      </c>
      <c r="R160" s="41">
        <f t="shared" si="157"/>
        <v>1.9719597775622412E-2</v>
      </c>
      <c r="S160" s="24">
        <f t="shared" ca="1" si="192"/>
        <v>-3.4999513400048841</v>
      </c>
      <c r="T160" s="10">
        <f t="shared" ca="1" si="158"/>
        <v>-3.4999513400048841</v>
      </c>
      <c r="U160" s="41">
        <f t="shared" ca="1" si="159"/>
        <v>0.37116206190762024</v>
      </c>
      <c r="V160" s="41">
        <f t="shared" ca="1" si="160"/>
        <v>2.8420148598559264E-2</v>
      </c>
      <c r="W160" s="41">
        <f t="shared" ca="1" si="161"/>
        <v>13.059821296164371</v>
      </c>
      <c r="X160" s="20">
        <f t="shared" ca="1" si="162"/>
        <v>825.54372096320265</v>
      </c>
      <c r="Y160" s="41">
        <f t="shared" si="163"/>
        <v>0.55877791228568674</v>
      </c>
      <c r="Z160" s="41">
        <f t="shared" ca="1" si="164"/>
        <v>165.68769751926453</v>
      </c>
      <c r="AA160" s="14">
        <f t="shared" ca="1" si="165"/>
        <v>827.08636086698903</v>
      </c>
      <c r="AB160" s="14">
        <f t="shared" si="166"/>
        <v>3322.6193705449077</v>
      </c>
      <c r="AC160" s="25">
        <f t="shared" ca="1" si="167"/>
        <v>348469.64541068126</v>
      </c>
      <c r="AD160" s="41">
        <f t="shared" si="168"/>
        <v>1399892.5005542994</v>
      </c>
      <c r="AE160" s="6">
        <v>5</v>
      </c>
      <c r="AF160" s="41">
        <f t="shared" si="169"/>
        <v>166.13096852724539</v>
      </c>
      <c r="AG160" s="41">
        <f t="shared" ca="1" si="170"/>
        <v>2495.5330096779189</v>
      </c>
      <c r="AH160" s="41">
        <f t="shared" ca="1" si="171"/>
        <v>1051422.8551436183</v>
      </c>
      <c r="AI160" s="41">
        <f t="shared" si="172"/>
        <v>130.57269378537748</v>
      </c>
      <c r="AJ160" s="13">
        <f t="shared" ca="1" si="173"/>
        <v>-25.720733088798266</v>
      </c>
      <c r="AK160" s="11"/>
      <c r="AL160" s="6">
        <v>-266.66666659999999</v>
      </c>
      <c r="AM160" s="41">
        <f t="shared" ca="1" si="174"/>
        <v>10.367770843830925</v>
      </c>
      <c r="AN160" s="41">
        <f t="shared" ca="1" si="175"/>
        <v>0.37604104656347226</v>
      </c>
      <c r="AO160" s="41">
        <f t="shared" ca="1" si="176"/>
        <v>0.71756761365381772</v>
      </c>
      <c r="AP160" s="67">
        <f t="shared" si="193"/>
        <v>0.7859623942658448</v>
      </c>
      <c r="AQ160" s="11">
        <f t="shared" si="177"/>
        <v>0.95030104277548044</v>
      </c>
      <c r="AR160" s="11">
        <f t="shared" si="178"/>
        <v>0.56890270709966917</v>
      </c>
      <c r="AS160" s="11">
        <f t="shared" si="179"/>
        <v>0.59865524869689002</v>
      </c>
      <c r="AT160" s="11">
        <f t="shared" si="180"/>
        <v>492.89264185635841</v>
      </c>
      <c r="AU160" s="11">
        <f t="shared" si="181"/>
        <v>1203.9232868184617</v>
      </c>
      <c r="AV160" s="11">
        <f t="shared" si="182"/>
        <v>1.4229436606276377E-3</v>
      </c>
      <c r="AW160" s="11">
        <f t="shared" si="183"/>
        <v>3.5911540613038014E-7</v>
      </c>
      <c r="AX160" s="41">
        <f t="shared" ca="1" si="184"/>
        <v>1.6916263190253686</v>
      </c>
      <c r="AY160" s="41">
        <f t="shared" ca="1" si="185"/>
        <v>2.2786542601970861</v>
      </c>
      <c r="AZ160" s="41">
        <f t="shared" si="186"/>
        <v>0.27635694233089536</v>
      </c>
    </row>
    <row r="161" spans="1:52" ht="14.5">
      <c r="A161" s="41">
        <f t="shared" ca="1" si="187"/>
        <v>10868.334066341502</v>
      </c>
      <c r="B161" s="41">
        <f t="shared" ca="1" si="147"/>
        <v>181.1389011056917</v>
      </c>
      <c r="C161" s="41">
        <f t="shared" ca="1" si="147"/>
        <v>3.0189816850948619</v>
      </c>
      <c r="D161" s="41">
        <f t="shared" ca="1" si="188"/>
        <v>10801.224028371229</v>
      </c>
      <c r="E161" s="41">
        <f t="shared" ca="1" si="189"/>
        <v>917.97621860907634</v>
      </c>
      <c r="F161" s="41">
        <f t="shared" ca="1" si="190"/>
        <v>8.4593151351987981</v>
      </c>
      <c r="G161" s="41"/>
      <c r="H161" s="7">
        <f t="shared" si="191"/>
        <v>14533.333034200024</v>
      </c>
      <c r="I161" s="6">
        <v>15</v>
      </c>
      <c r="J161" s="41">
        <f t="shared" si="149"/>
        <v>0.37938234358575362</v>
      </c>
      <c r="K161" s="41">
        <f t="shared" si="150"/>
        <v>413.29983197317182</v>
      </c>
      <c r="L161" s="6">
        <f t="shared" si="151"/>
        <v>191.72222222222248</v>
      </c>
      <c r="M161" s="41">
        <f t="shared" si="152"/>
        <v>244.87353764679273</v>
      </c>
      <c r="N161" s="41">
        <f t="shared" si="153"/>
        <v>122.60426953675787</v>
      </c>
      <c r="O161" s="41">
        <f t="shared" si="154"/>
        <v>1649595.3772222486</v>
      </c>
      <c r="P161" s="41">
        <f t="shared" si="155"/>
        <v>10591561.466319816</v>
      </c>
      <c r="Q161" s="41">
        <f t="shared" si="156"/>
        <v>2.9368331175843648E-3</v>
      </c>
      <c r="R161" s="41">
        <f t="shared" si="157"/>
        <v>1.9760595491412489E-2</v>
      </c>
      <c r="S161" s="24">
        <f t="shared" ca="1" si="192"/>
        <v>-3.4482332454207345</v>
      </c>
      <c r="T161" s="10">
        <f t="shared" ca="1" si="158"/>
        <v>-3.4482332454207345</v>
      </c>
      <c r="U161" s="41">
        <f t="shared" ca="1" si="159"/>
        <v>0.38234248801895709</v>
      </c>
      <c r="V161" s="41">
        <f t="shared" ca="1" si="160"/>
        <v>2.8993210253887302E-2</v>
      </c>
      <c r="W161" s="41">
        <f t="shared" ca="1" si="161"/>
        <v>13.187311259114331</v>
      </c>
      <c r="X161" s="20">
        <f t="shared" ca="1" si="162"/>
        <v>817.57901388180289</v>
      </c>
      <c r="Y161" s="41">
        <f t="shared" si="163"/>
        <v>0.55935846985359983</v>
      </c>
      <c r="Z161" s="41">
        <f t="shared" ca="1" si="164"/>
        <v>164.96275035891932</v>
      </c>
      <c r="AA161" s="14">
        <f t="shared" ca="1" si="165"/>
        <v>819.06188578858541</v>
      </c>
      <c r="AB161" s="14">
        <f t="shared" si="166"/>
        <v>3358.4207300763815</v>
      </c>
      <c r="AC161" s="25">
        <f t="shared" ca="1" si="167"/>
        <v>338518.1397720516</v>
      </c>
      <c r="AD161" s="41">
        <f t="shared" si="168"/>
        <v>1388034.7234357854</v>
      </c>
      <c r="AE161" s="6">
        <v>5</v>
      </c>
      <c r="AF161" s="41">
        <f t="shared" si="169"/>
        <v>167.9210365038191</v>
      </c>
      <c r="AG161" s="41">
        <f t="shared" ca="1" si="170"/>
        <v>2539.3588442877963</v>
      </c>
      <c r="AH161" s="41">
        <f t="shared" ca="1" si="171"/>
        <v>1049516.5836637337</v>
      </c>
      <c r="AI161" s="41">
        <f t="shared" si="172"/>
        <v>131.74387786444115</v>
      </c>
      <c r="AJ161" s="13">
        <f t="shared" ca="1" si="173"/>
        <v>-24.858620854921792</v>
      </c>
      <c r="AK161" s="11"/>
      <c r="AL161" s="6">
        <v>-266.66666659999999</v>
      </c>
      <c r="AM161" s="41">
        <f t="shared" ca="1" si="174"/>
        <v>10.727331502270461</v>
      </c>
      <c r="AN161" s="41">
        <f t="shared" ca="1" si="175"/>
        <v>0.39257229201291433</v>
      </c>
      <c r="AO161" s="41">
        <f t="shared" ca="1" si="176"/>
        <v>0.72835662457537442</v>
      </c>
      <c r="AP161" s="67">
        <f t="shared" si="193"/>
        <v>0.78455850801900473</v>
      </c>
      <c r="AQ161" s="11">
        <f t="shared" si="177"/>
        <v>0.95213446944168878</v>
      </c>
      <c r="AR161" s="11">
        <f t="shared" si="178"/>
        <v>0.57503265702287198</v>
      </c>
      <c r="AS161" s="11">
        <f t="shared" si="179"/>
        <v>0.60394059397939748</v>
      </c>
      <c r="AT161" s="11">
        <f t="shared" si="180"/>
        <v>493.84358526532066</v>
      </c>
      <c r="AU161" s="11">
        <f t="shared" si="181"/>
        <v>1216.895609444942</v>
      </c>
      <c r="AV161" s="11">
        <f t="shared" si="182"/>
        <v>1.4355063978296297E-3</v>
      </c>
      <c r="AW161" s="11">
        <f t="shared" si="183"/>
        <v>3.5966065449240473E-7</v>
      </c>
      <c r="AX161" s="41">
        <f t="shared" ca="1" si="184"/>
        <v>1.6502512398445031</v>
      </c>
      <c r="AY161" s="41">
        <f t="shared" ca="1" si="185"/>
        <v>2.2229212065190196</v>
      </c>
      <c r="AZ161" s="41">
        <f t="shared" si="186"/>
        <v>0.27141520954046439</v>
      </c>
    </row>
    <row r="162" spans="1:52" ht="14.5">
      <c r="A162" s="41">
        <f t="shared" ca="1" si="187"/>
        <v>10879.061397843772</v>
      </c>
      <c r="B162" s="41">
        <f t="shared" ca="1" si="147"/>
        <v>181.31768996406288</v>
      </c>
      <c r="C162" s="41">
        <f t="shared" ca="1" si="147"/>
        <v>3.0219614994010482</v>
      </c>
      <c r="D162" s="41">
        <f t="shared" ca="1" si="188"/>
        <v>10800.831456079217</v>
      </c>
      <c r="E162" s="41">
        <f t="shared" ca="1" si="189"/>
        <v>918.70457523365167</v>
      </c>
      <c r="F162" s="41">
        <f t="shared" ca="1" si="190"/>
        <v>9.1876717597741724</v>
      </c>
      <c r="G162" s="41"/>
      <c r="H162" s="7">
        <f t="shared" si="191"/>
        <v>14266.666367600024</v>
      </c>
      <c r="I162" s="6">
        <v>15</v>
      </c>
      <c r="J162" s="41">
        <f t="shared" si="149"/>
        <v>0.37171078007850539</v>
      </c>
      <c r="K162" s="41">
        <f t="shared" si="150"/>
        <v>405.33210670926678</v>
      </c>
      <c r="L162" s="6">
        <f t="shared" si="151"/>
        <v>188.77777777777803</v>
      </c>
      <c r="M162" s="41">
        <f t="shared" si="152"/>
        <v>240.15278791153324</v>
      </c>
      <c r="N162" s="41">
        <f t="shared" si="153"/>
        <v>118.9615775709028</v>
      </c>
      <c r="O162" s="41">
        <f t="shared" si="154"/>
        <v>1629579.2183884769</v>
      </c>
      <c r="P162" s="41">
        <f t="shared" si="155"/>
        <v>10463043.661569113</v>
      </c>
      <c r="Q162" s="41">
        <f t="shared" si="156"/>
        <v>2.9441152949207885E-3</v>
      </c>
      <c r="R162" s="41">
        <f t="shared" si="157"/>
        <v>1.9802155097881694E-2</v>
      </c>
      <c r="S162" s="24">
        <f t="shared" ca="1" si="192"/>
        <v>-3.3992324582028752</v>
      </c>
      <c r="T162" s="10">
        <f t="shared" ca="1" si="158"/>
        <v>-3.3992324582028752</v>
      </c>
      <c r="U162" s="41">
        <f t="shared" ca="1" si="159"/>
        <v>0.39405593894957947</v>
      </c>
      <c r="V162" s="41">
        <f t="shared" ca="1" si="160"/>
        <v>2.9609136358429801E-2</v>
      </c>
      <c r="W162" s="41">
        <f t="shared" ca="1" si="161"/>
        <v>13.308592799850127</v>
      </c>
      <c r="X162" s="20">
        <f t="shared" ca="1" si="162"/>
        <v>810.14040149348057</v>
      </c>
      <c r="Y162" s="41">
        <f t="shared" si="163"/>
        <v>0.55994636984534862</v>
      </c>
      <c r="Z162" s="41">
        <f t="shared" ca="1" si="164"/>
        <v>164.24203739157426</v>
      </c>
      <c r="AA162" s="14">
        <f t="shared" ca="1" si="165"/>
        <v>811.56825657787419</v>
      </c>
      <c r="AB162" s="14">
        <f t="shared" si="166"/>
        <v>3394.5338193223456</v>
      </c>
      <c r="AC162" s="25">
        <f t="shared" ca="1" si="167"/>
        <v>328954.67117707653</v>
      </c>
      <c r="AD162" s="41">
        <f t="shared" si="168"/>
        <v>1375913.54428178</v>
      </c>
      <c r="AE162" s="6">
        <v>5</v>
      </c>
      <c r="AF162" s="41">
        <f t="shared" si="169"/>
        <v>169.7266909661173</v>
      </c>
      <c r="AG162" s="41">
        <f t="shared" ca="1" si="170"/>
        <v>2582.9655627444713</v>
      </c>
      <c r="AH162" s="41">
        <f t="shared" ca="1" si="171"/>
        <v>1046958.8731047035</v>
      </c>
      <c r="AI162" s="41">
        <f t="shared" si="172"/>
        <v>132.92259316116642</v>
      </c>
      <c r="AJ162" s="13">
        <f t="shared" ca="1" si="173"/>
        <v>-24.033357015996273</v>
      </c>
      <c r="AK162" s="11"/>
      <c r="AL162" s="6">
        <v>-266.66666659999999</v>
      </c>
      <c r="AM162" s="41">
        <f t="shared" ca="1" si="174"/>
        <v>11.095689479522578</v>
      </c>
      <c r="AN162" s="41">
        <f t="shared" ca="1" si="175"/>
        <v>0.40968550514700391</v>
      </c>
      <c r="AO162" s="41">
        <f t="shared" ca="1" si="176"/>
        <v>0.73888128266996078</v>
      </c>
      <c r="AP162" s="67">
        <f t="shared" si="193"/>
        <v>0.78315668799376925</v>
      </c>
      <c r="AQ162" s="11">
        <f t="shared" si="177"/>
        <v>0.95396789610789712</v>
      </c>
      <c r="AR162" s="11">
        <f t="shared" si="178"/>
        <v>0.58121598166604094</v>
      </c>
      <c r="AS162" s="11">
        <f t="shared" si="179"/>
        <v>0.60926157372522671</v>
      </c>
      <c r="AT162" s="11">
        <f t="shared" si="180"/>
        <v>494.79452867428296</v>
      </c>
      <c r="AU162" s="11">
        <f t="shared" si="181"/>
        <v>1229.9808847213089</v>
      </c>
      <c r="AV162" s="11">
        <f t="shared" si="182"/>
        <v>1.4481538345874913E-3</v>
      </c>
      <c r="AW162" s="11">
        <f t="shared" si="183"/>
        <v>3.602054063949896E-7</v>
      </c>
      <c r="AX162" s="41">
        <f t="shared" ca="1" si="184"/>
        <v>1.6097008269127764</v>
      </c>
      <c r="AY162" s="41">
        <f t="shared" ca="1" si="185"/>
        <v>2.1682989946626408</v>
      </c>
      <c r="AZ162" s="41">
        <f t="shared" si="186"/>
        <v>0.26648634988631015</v>
      </c>
    </row>
    <row r="163" spans="1:52" ht="14.5">
      <c r="A163" s="41">
        <f t="shared" ca="1" si="187"/>
        <v>10890.157087323294</v>
      </c>
      <c r="B163" s="41">
        <f t="shared" ca="1" si="147"/>
        <v>181.50261812205491</v>
      </c>
      <c r="C163" s="41">
        <f t="shared" ca="1" si="147"/>
        <v>3.0250436353675818</v>
      </c>
      <c r="D163" s="41">
        <f t="shared" ca="1" si="188"/>
        <v>10800.42177057407</v>
      </c>
      <c r="E163" s="41">
        <f t="shared" ca="1" si="189"/>
        <v>919.44345651632159</v>
      </c>
      <c r="F163" s="41">
        <f t="shared" ca="1" si="190"/>
        <v>9.9265530424441337</v>
      </c>
      <c r="G163" s="41"/>
      <c r="H163" s="7">
        <f t="shared" si="191"/>
        <v>13999.999701000024</v>
      </c>
      <c r="I163" s="6">
        <v>15</v>
      </c>
      <c r="J163" s="41">
        <f t="shared" si="149"/>
        <v>0.36410409980252217</v>
      </c>
      <c r="K163" s="41">
        <f t="shared" si="150"/>
        <v>397.41874949937989</v>
      </c>
      <c r="L163" s="6">
        <f t="shared" si="151"/>
        <v>185.83333333333357</v>
      </c>
      <c r="M163" s="41">
        <f t="shared" si="152"/>
        <v>235.4642503783906</v>
      </c>
      <c r="N163" s="41">
        <f t="shared" si="153"/>
        <v>115.3674106406354</v>
      </c>
      <c r="O163" s="41">
        <f t="shared" si="154"/>
        <v>1609380.9429711874</v>
      </c>
      <c r="P163" s="41">
        <f t="shared" si="155"/>
        <v>10333356.540381784</v>
      </c>
      <c r="Q163" s="41">
        <f t="shared" si="156"/>
        <v>2.9515009137595707E-3</v>
      </c>
      <c r="R163" s="41">
        <f t="shared" si="157"/>
        <v>1.9844305048135724E-2</v>
      </c>
      <c r="S163" s="24">
        <f t="shared" ca="1" si="192"/>
        <v>-3.3530875612653785</v>
      </c>
      <c r="T163" s="10">
        <f t="shared" ca="1" si="158"/>
        <v>-3.3530875612653785</v>
      </c>
      <c r="U163" s="41">
        <f t="shared" ca="1" si="159"/>
        <v>0.406336286824933</v>
      </c>
      <c r="V163" s="41">
        <f t="shared" ca="1" si="160"/>
        <v>3.0272059741411669E-2</v>
      </c>
      <c r="W163" s="41">
        <f t="shared" ca="1" si="161"/>
        <v>13.422815966138961</v>
      </c>
      <c r="X163" s="20">
        <f t="shared" ca="1" si="162"/>
        <v>803.25410383881604</v>
      </c>
      <c r="Y163" s="41">
        <f t="shared" si="163"/>
        <v>0.56054199101609048</v>
      </c>
      <c r="Z163" s="41">
        <f t="shared" ca="1" si="164"/>
        <v>163.52551872258019</v>
      </c>
      <c r="AA163" s="14">
        <f t="shared" ca="1" si="165"/>
        <v>804.63159130094107</v>
      </c>
      <c r="AB163" s="14">
        <f t="shared" si="166"/>
        <v>3430.9607105996547</v>
      </c>
      <c r="AC163" s="25">
        <f t="shared" ca="1" si="167"/>
        <v>319775.68082251609</v>
      </c>
      <c r="AD163" s="41">
        <f t="shared" si="168"/>
        <v>1363528.1151880187</v>
      </c>
      <c r="AE163" s="6">
        <v>5</v>
      </c>
      <c r="AF163" s="41">
        <f t="shared" si="169"/>
        <v>171.54803552998274</v>
      </c>
      <c r="AG163" s="41">
        <f t="shared" ca="1" si="170"/>
        <v>2626.3291192987135</v>
      </c>
      <c r="AH163" s="41">
        <f t="shared" ca="1" si="171"/>
        <v>1043752.4343655026</v>
      </c>
      <c r="AI163" s="41">
        <f t="shared" si="172"/>
        <v>134.10889644557187</v>
      </c>
      <c r="AJ163" s="13">
        <f t="shared" ca="1" si="173"/>
        <v>-23.244632575596381</v>
      </c>
      <c r="AK163" s="11"/>
      <c r="AL163" s="6">
        <v>-266.66666659999999</v>
      </c>
      <c r="AM163" s="41">
        <f t="shared" ca="1" si="174"/>
        <v>11.472182480525106</v>
      </c>
      <c r="AN163" s="41">
        <f t="shared" ca="1" si="175"/>
        <v>0.42736714785706814</v>
      </c>
      <c r="AO163" s="41">
        <f t="shared" ca="1" si="176"/>
        <v>0.74907343941043891</v>
      </c>
      <c r="AP163" s="67">
        <f t="shared" si="193"/>
        <v>0.78175710978708723</v>
      </c>
      <c r="AQ163" s="11">
        <f t="shared" si="177"/>
        <v>0.95580132277410534</v>
      </c>
      <c r="AR163" s="11">
        <f t="shared" si="178"/>
        <v>0.5874530358536495</v>
      </c>
      <c r="AS163" s="11">
        <f t="shared" si="179"/>
        <v>0.61461835410379373</v>
      </c>
      <c r="AT163" s="11">
        <f t="shared" si="180"/>
        <v>495.7454720832452</v>
      </c>
      <c r="AU163" s="11">
        <f t="shared" si="181"/>
        <v>1243.17986353421</v>
      </c>
      <c r="AV163" s="11">
        <f t="shared" si="182"/>
        <v>1.4608863658693073E-3</v>
      </c>
      <c r="AW163" s="11">
        <f t="shared" si="183"/>
        <v>3.6074966291859954E-7</v>
      </c>
      <c r="AX163" s="41">
        <f t="shared" ca="1" si="184"/>
        <v>1.5699982159811416</v>
      </c>
      <c r="AY163" s="41">
        <f t="shared" ca="1" si="185"/>
        <v>2.1148187889441341</v>
      </c>
      <c r="AZ163" s="41">
        <f t="shared" si="186"/>
        <v>0.2615709360322806</v>
      </c>
    </row>
    <row r="164" spans="1:52" ht="14.5">
      <c r="A164" s="41">
        <f t="shared" ca="1" si="187"/>
        <v>10901.62926980382</v>
      </c>
      <c r="B164" s="41">
        <f t="shared" ref="B164:C193" ca="1" si="194">A164/60</f>
        <v>181.69382116339699</v>
      </c>
      <c r="C164" s="41">
        <f t="shared" ca="1" si="194"/>
        <v>3.0282303527232832</v>
      </c>
      <c r="D164" s="41">
        <f t="shared" ca="1" si="188"/>
        <v>10799.994403426213</v>
      </c>
      <c r="E164" s="41">
        <f t="shared" ca="1" si="189"/>
        <v>920.19252995573208</v>
      </c>
      <c r="F164" s="41">
        <f t="shared" ca="1" si="190"/>
        <v>10.675626481854573</v>
      </c>
      <c r="G164" s="41"/>
      <c r="H164" s="7">
        <f t="shared" si="191"/>
        <v>13733.333034400024</v>
      </c>
      <c r="I164" s="6">
        <v>15</v>
      </c>
      <c r="J164" s="41">
        <f t="shared" si="149"/>
        <v>0.35656205250308681</v>
      </c>
      <c r="K164" s="41">
        <f t="shared" si="150"/>
        <v>389.55971480917867</v>
      </c>
      <c r="L164" s="6">
        <f t="shared" si="151"/>
        <v>182.88888888888911</v>
      </c>
      <c r="M164" s="41">
        <f t="shared" si="152"/>
        <v>230.80789806900142</v>
      </c>
      <c r="N164" s="41">
        <f t="shared" si="153"/>
        <v>111.82230993679075</v>
      </c>
      <c r="O164" s="41">
        <f t="shared" si="154"/>
        <v>1589001.684016759</v>
      </c>
      <c r="P164" s="41">
        <f t="shared" si="155"/>
        <v>10202507.377711758</v>
      </c>
      <c r="Q164" s="41">
        <f t="shared" si="156"/>
        <v>2.9589951969385356E-3</v>
      </c>
      <c r="R164" s="41">
        <f t="shared" si="157"/>
        <v>1.9887075149068137E-2</v>
      </c>
      <c r="S164" s="24">
        <f t="shared" ca="1" si="192"/>
        <v>-3.309946518270245</v>
      </c>
      <c r="T164" s="10">
        <f t="shared" ca="1" si="158"/>
        <v>-3.309946518270245</v>
      </c>
      <c r="U164" s="41">
        <f t="shared" ca="1" si="159"/>
        <v>0.4192201449079539</v>
      </c>
      <c r="V164" s="41">
        <f t="shared" ca="1" si="160"/>
        <v>3.0986586978177529E-2</v>
      </c>
      <c r="W164" s="41">
        <f t="shared" ca="1" si="161"/>
        <v>13.529084219671949</v>
      </c>
      <c r="X164" s="20">
        <f t="shared" ca="1" si="162"/>
        <v>796.94809858013105</v>
      </c>
      <c r="Y164" s="41">
        <f t="shared" si="163"/>
        <v>0.56114572930397588</v>
      </c>
      <c r="Z164" s="41">
        <f t="shared" ca="1" si="164"/>
        <v>162.81315428275079</v>
      </c>
      <c r="AA164" s="14">
        <f t="shared" ca="1" si="165"/>
        <v>798.27978213946619</v>
      </c>
      <c r="AB164" s="14">
        <f t="shared" si="166"/>
        <v>3467.7034857511544</v>
      </c>
      <c r="AC164" s="25">
        <f t="shared" ca="1" si="167"/>
        <v>310977.64426818374</v>
      </c>
      <c r="AD164" s="41">
        <f t="shared" si="168"/>
        <v>1350877.5809520145</v>
      </c>
      <c r="AE164" s="6">
        <v>5</v>
      </c>
      <c r="AF164" s="41">
        <f t="shared" si="169"/>
        <v>173.38517428755773</v>
      </c>
      <c r="AG164" s="41">
        <f t="shared" ca="1" si="170"/>
        <v>2669.4237036116883</v>
      </c>
      <c r="AH164" s="41">
        <f t="shared" ca="1" si="171"/>
        <v>1039899.9366838308</v>
      </c>
      <c r="AI164" s="41">
        <f t="shared" si="172"/>
        <v>135.3028450858699</v>
      </c>
      <c r="AJ164" s="13">
        <f t="shared" ca="1" si="173"/>
        <v>-22.492140817770192</v>
      </c>
      <c r="AK164" s="11"/>
      <c r="AL164" s="6">
        <v>-266.66666659999999</v>
      </c>
      <c r="AM164" s="41">
        <f t="shared" ca="1" si="174"/>
        <v>11.855993111572408</v>
      </c>
      <c r="AN164" s="41">
        <f t="shared" ca="1" si="175"/>
        <v>0.44559711092061727</v>
      </c>
      <c r="AO164" s="41">
        <f t="shared" ca="1" si="176"/>
        <v>0.75885886541786662</v>
      </c>
      <c r="AP164" s="67">
        <f t="shared" si="193"/>
        <v>0.78035994508660456</v>
      </c>
      <c r="AQ164" s="11">
        <f t="shared" si="177"/>
        <v>0.95763474944031368</v>
      </c>
      <c r="AR164" s="11">
        <f t="shared" si="178"/>
        <v>0.5937441760412222</v>
      </c>
      <c r="AS164" s="11">
        <f t="shared" si="179"/>
        <v>0.62001110171517271</v>
      </c>
      <c r="AT164" s="11">
        <f t="shared" si="180"/>
        <v>496.69641549220745</v>
      </c>
      <c r="AU164" s="11">
        <f t="shared" si="181"/>
        <v>1256.4933002219552</v>
      </c>
      <c r="AV164" s="11">
        <f t="shared" si="182"/>
        <v>1.473704387666794E-3</v>
      </c>
      <c r="AW164" s="11">
        <f t="shared" si="183"/>
        <v>3.6129342514054671E-7</v>
      </c>
      <c r="AX164" s="41">
        <f t="shared" ca="1" si="184"/>
        <v>1.5311680284159188</v>
      </c>
      <c r="AY164" s="41">
        <f t="shared" ca="1" si="185"/>
        <v>2.0625137548330987</v>
      </c>
      <c r="AZ164" s="41">
        <f t="shared" si="186"/>
        <v>0.25666952447473962</v>
      </c>
    </row>
    <row r="165" spans="1:52" ht="14.5">
      <c r="A165" s="41">
        <f t="shared" ca="1" si="187"/>
        <v>10913.485262915392</v>
      </c>
      <c r="B165" s="41">
        <f t="shared" ca="1" si="194"/>
        <v>181.89142104858988</v>
      </c>
      <c r="C165" s="41">
        <f t="shared" ca="1" si="194"/>
        <v>3.0315236841431648</v>
      </c>
      <c r="D165" s="41">
        <f t="shared" ca="1" si="188"/>
        <v>10799.548806315293</v>
      </c>
      <c r="E165" s="41">
        <f t="shared" ca="1" si="189"/>
        <v>920.95138882114998</v>
      </c>
      <c r="F165" s="41">
        <f t="shared" ca="1" si="190"/>
        <v>11.434485347272441</v>
      </c>
      <c r="G165" s="41"/>
      <c r="H165" s="7">
        <f t="shared" si="191"/>
        <v>13466.666367800024</v>
      </c>
      <c r="I165" s="6">
        <v>15</v>
      </c>
      <c r="J165" s="41">
        <f t="shared" si="149"/>
        <v>0.34908437829107369</v>
      </c>
      <c r="K165" s="41">
        <f t="shared" si="150"/>
        <v>381.7549450383724</v>
      </c>
      <c r="L165" s="6">
        <f t="shared" si="151"/>
        <v>179.94444444444466</v>
      </c>
      <c r="M165" s="41">
        <f t="shared" si="152"/>
        <v>226.18369685611503</v>
      </c>
      <c r="N165" s="41">
        <f t="shared" si="153"/>
        <v>108.32679631989683</v>
      </c>
      <c r="O165" s="41">
        <f t="shared" si="154"/>
        <v>1568442.554091797</v>
      </c>
      <c r="P165" s="41">
        <f t="shared" si="155"/>
        <v>10070503.317018423</v>
      </c>
      <c r="Q165" s="41">
        <f t="shared" si="156"/>
        <v>2.9666036205060692E-3</v>
      </c>
      <c r="R165" s="41">
        <f t="shared" si="157"/>
        <v>1.9930496652652806E-2</v>
      </c>
      <c r="S165" s="24">
        <f t="shared" ca="1" si="192"/>
        <v>-3.2699676535083437</v>
      </c>
      <c r="T165" s="10">
        <f t="shared" ca="1" si="158"/>
        <v>-3.2699676535083437</v>
      </c>
      <c r="U165" s="41">
        <f t="shared" ca="1" si="159"/>
        <v>0.43274713798134273</v>
      </c>
      <c r="V165" s="41">
        <f t="shared" ca="1" si="160"/>
        <v>3.1757861648522678E-2</v>
      </c>
      <c r="W165" s="41">
        <f t="shared" ca="1" si="161"/>
        <v>13.626457057176372</v>
      </c>
      <c r="X165" s="20">
        <f t="shared" ca="1" si="162"/>
        <v>791.25230438164522</v>
      </c>
      <c r="Y165" s="41">
        <f t="shared" si="163"/>
        <v>0.56175799896975642</v>
      </c>
      <c r="Z165" s="41">
        <f t="shared" ca="1" si="164"/>
        <v>162.10490375249896</v>
      </c>
      <c r="AA165" s="14">
        <f t="shared" ca="1" si="165"/>
        <v>792.54268083042996</v>
      </c>
      <c r="AB165" s="14">
        <f t="shared" si="166"/>
        <v>3504.7642361699995</v>
      </c>
      <c r="AC165" s="25">
        <f t="shared" ca="1" si="167"/>
        <v>302557.08756098512</v>
      </c>
      <c r="AD165" s="41">
        <f t="shared" si="168"/>
        <v>1337961.0783515314</v>
      </c>
      <c r="AE165" s="6">
        <v>5</v>
      </c>
      <c r="AF165" s="41">
        <f t="shared" si="169"/>
        <v>175.23821180849998</v>
      </c>
      <c r="AG165" s="41">
        <f t="shared" ca="1" si="170"/>
        <v>2712.2215553395695</v>
      </c>
      <c r="AH165" s="41">
        <f t="shared" ca="1" si="171"/>
        <v>1035403.9907905463</v>
      </c>
      <c r="AI165" s="41">
        <f t="shared" si="172"/>
        <v>136.50449703840405</v>
      </c>
      <c r="AJ165" s="13">
        <f t="shared" ca="1" si="173"/>
        <v>-21.775578801551855</v>
      </c>
      <c r="AK165" s="11"/>
      <c r="AL165" s="6">
        <v>-266.66666659999999</v>
      </c>
      <c r="AM165" s="41">
        <f t="shared" ca="1" si="174"/>
        <v>12.246134489935843</v>
      </c>
      <c r="AN165" s="41">
        <f t="shared" ca="1" si="175"/>
        <v>0.46434789700370693</v>
      </c>
      <c r="AO165" s="41">
        <f t="shared" ca="1" si="176"/>
        <v>0.7681572789634078</v>
      </c>
      <c r="AP165" s="67">
        <f t="shared" si="193"/>
        <v>0.77896536166196406</v>
      </c>
      <c r="AQ165" s="11">
        <f t="shared" si="177"/>
        <v>0.95946817610652202</v>
      </c>
      <c r="AR165" s="11">
        <f t="shared" si="178"/>
        <v>0.60008976031949857</v>
      </c>
      <c r="AS165" s="11">
        <f t="shared" si="179"/>
        <v>0.62543998359032127</v>
      </c>
      <c r="AT165" s="11">
        <f t="shared" si="180"/>
        <v>497.64735890116975</v>
      </c>
      <c r="AU165" s="11">
        <f t="shared" si="181"/>
        <v>1269.9219525833291</v>
      </c>
      <c r="AV165" s="11">
        <f t="shared" si="182"/>
        <v>1.4866082969958345E-3</v>
      </c>
      <c r="AW165" s="11">
        <f t="shared" si="183"/>
        <v>3.61836694135001E-7</v>
      </c>
      <c r="AX165" s="41">
        <f t="shared" ca="1" si="184"/>
        <v>1.4932366045266503</v>
      </c>
      <c r="AY165" s="41">
        <f t="shared" ca="1" si="185"/>
        <v>2.0114193732498058</v>
      </c>
      <c r="AZ165" s="41">
        <f t="shared" si="186"/>
        <v>0.25178265562058749</v>
      </c>
    </row>
    <row r="166" spans="1:52" ht="14.5">
      <c r="A166" s="41">
        <f t="shared" ca="1" si="187"/>
        <v>10925.731397405329</v>
      </c>
      <c r="B166" s="41">
        <f t="shared" ca="1" si="194"/>
        <v>182.09552329008881</v>
      </c>
      <c r="C166" s="41">
        <f t="shared" ca="1" si="194"/>
        <v>3.0349253881681468</v>
      </c>
      <c r="D166" s="41">
        <f t="shared" ca="1" si="188"/>
        <v>10799.084458418291</v>
      </c>
      <c r="E166" s="41">
        <f t="shared" ca="1" si="189"/>
        <v>921.71954610011335</v>
      </c>
      <c r="F166" s="41">
        <f t="shared" ca="1" si="190"/>
        <v>12.202642626235848</v>
      </c>
      <c r="G166" s="41"/>
      <c r="H166" s="7">
        <f t="shared" si="191"/>
        <v>13199.999701200024</v>
      </c>
      <c r="I166" s="6">
        <v>15</v>
      </c>
      <c r="J166" s="41">
        <f t="shared" si="149"/>
        <v>0.34167080792416371</v>
      </c>
      <c r="K166" s="41">
        <f t="shared" si="150"/>
        <v>374.00437078315275</v>
      </c>
      <c r="L166" s="6">
        <f t="shared" si="151"/>
        <v>177.0000000000002</v>
      </c>
      <c r="M166" s="41">
        <f t="shared" si="152"/>
        <v>221.59160561908547</v>
      </c>
      <c r="N166" s="41">
        <f t="shared" si="153"/>
        <v>104.88137069363211</v>
      </c>
      <c r="O166" s="41">
        <f t="shared" si="154"/>
        <v>1547704.6447565171</v>
      </c>
      <c r="P166" s="41">
        <f t="shared" si="155"/>
        <v>9937351.3668853864</v>
      </c>
      <c r="Q166" s="41">
        <f t="shared" si="156"/>
        <v>2.9743319311462883E-3</v>
      </c>
      <c r="R166" s="41">
        <f t="shared" si="157"/>
        <v>1.997460235538992E-2</v>
      </c>
      <c r="S166" s="24">
        <f t="shared" ca="1" si="192"/>
        <v>-3.2333207454522879</v>
      </c>
      <c r="T166" s="10">
        <f t="shared" ca="1" si="158"/>
        <v>-3.2333207454522879</v>
      </c>
      <c r="U166" s="41">
        <f t="shared" ca="1" si="159"/>
        <v>0.44696020431934003</v>
      </c>
      <c r="V166" s="41">
        <f t="shared" ca="1" si="160"/>
        <v>3.2591637262935819E-2</v>
      </c>
      <c r="W166" s="41">
        <f t="shared" ca="1" si="161"/>
        <v>13.713953696571007</v>
      </c>
      <c r="X166" s="20">
        <f t="shared" ca="1" si="162"/>
        <v>786.19878553586398</v>
      </c>
      <c r="Y166" s="41">
        <f t="shared" si="163"/>
        <v>0.56237923383698529</v>
      </c>
      <c r="Z166" s="41">
        <f t="shared" ca="1" si="164"/>
        <v>161.40072647422289</v>
      </c>
      <c r="AA166" s="14">
        <f t="shared" ca="1" si="165"/>
        <v>787.4523056847172</v>
      </c>
      <c r="AB166" s="14">
        <f t="shared" si="166"/>
        <v>3542.145062824005</v>
      </c>
      <c r="AC166" s="25">
        <f t="shared" ca="1" si="167"/>
        <v>294510.60410935554</v>
      </c>
      <c r="AD166" s="41">
        <f t="shared" si="168"/>
        <v>1324777.7354441429</v>
      </c>
      <c r="AE166" s="6">
        <v>5</v>
      </c>
      <c r="AF166" s="41">
        <f t="shared" si="169"/>
        <v>177.10725314120026</v>
      </c>
      <c r="AG166" s="41">
        <f t="shared" ca="1" si="170"/>
        <v>2754.692757139288</v>
      </c>
      <c r="AH166" s="41">
        <f t="shared" ca="1" si="171"/>
        <v>1030267.1313347875</v>
      </c>
      <c r="AI166" s="41">
        <f t="shared" si="172"/>
        <v>137.71391083757189</v>
      </c>
      <c r="AJ166" s="13">
        <f t="shared" ca="1" si="173"/>
        <v>-21.094648921375146</v>
      </c>
      <c r="AK166" s="11"/>
      <c r="AL166" s="6">
        <v>-266.66666659999999</v>
      </c>
      <c r="AM166" s="41">
        <f t="shared" ca="1" si="174"/>
        <v>12.641436583937997</v>
      </c>
      <c r="AN166" s="41">
        <f t="shared" ca="1" si="175"/>
        <v>0.48358379738312685</v>
      </c>
      <c r="AO166" s="41">
        <f t="shared" ca="1" si="176"/>
        <v>0.7768825087705028</v>
      </c>
      <c r="AP166" s="67">
        <f t="shared" si="193"/>
        <v>0.77757352335975927</v>
      </c>
      <c r="AQ166" s="11">
        <f t="shared" si="177"/>
        <v>0.96130160277273036</v>
      </c>
      <c r="AR166" s="11">
        <f t="shared" si="178"/>
        <v>0.60649014841860227</v>
      </c>
      <c r="AS166" s="11">
        <f t="shared" si="179"/>
        <v>0.63090516719130851</v>
      </c>
      <c r="AT166" s="11">
        <f t="shared" si="180"/>
        <v>498.598302310132</v>
      </c>
      <c r="AU166" s="11">
        <f t="shared" si="181"/>
        <v>1283.4665818864144</v>
      </c>
      <c r="AV166" s="11">
        <f t="shared" si="182"/>
        <v>1.4995984918970212E-3</v>
      </c>
      <c r="AW166" s="11">
        <f t="shared" si="183"/>
        <v>3.6237947097299271E-7</v>
      </c>
      <c r="AX166" s="41">
        <f t="shared" ca="1" si="184"/>
        <v>1.4562322743660707</v>
      </c>
      <c r="AY166" s="41">
        <f t="shared" ca="1" si="185"/>
        <v>1.9615738053381377</v>
      </c>
      <c r="AZ166" s="41">
        <f t="shared" si="186"/>
        <v>0.24691085387746023</v>
      </c>
    </row>
    <row r="167" spans="1:52" ht="14.5">
      <c r="A167" s="41">
        <f t="shared" ca="1" si="187"/>
        <v>10938.372833989266</v>
      </c>
      <c r="B167" s="41">
        <f t="shared" ca="1" si="194"/>
        <v>182.3062138998211</v>
      </c>
      <c r="C167" s="41">
        <f t="shared" ca="1" si="194"/>
        <v>3.0384368983303518</v>
      </c>
      <c r="D167" s="41">
        <f t="shared" ca="1" si="188"/>
        <v>10798.600874620908</v>
      </c>
      <c r="E167" s="41">
        <f t="shared" ca="1" si="189"/>
        <v>922.49642860888389</v>
      </c>
      <c r="F167" s="41">
        <f t="shared" ca="1" si="190"/>
        <v>12.979525135006352</v>
      </c>
      <c r="G167" s="41"/>
      <c r="H167" s="7">
        <f t="shared" si="191"/>
        <v>12933.333034600024</v>
      </c>
      <c r="I167" s="6">
        <v>15</v>
      </c>
      <c r="J167" s="41">
        <f t="shared" si="149"/>
        <v>0.33432106309027099</v>
      </c>
      <c r="K167" s="41">
        <f t="shared" si="150"/>
        <v>366.30791110293069</v>
      </c>
      <c r="L167" s="6">
        <f t="shared" si="151"/>
        <v>174.05555555555574</v>
      </c>
      <c r="M167" s="41">
        <f t="shared" si="152"/>
        <v>217.03157640190878</v>
      </c>
      <c r="N167" s="41">
        <f t="shared" si="153"/>
        <v>101.48651438823013</v>
      </c>
      <c r="O167" s="41">
        <f t="shared" si="154"/>
        <v>1526789.0260749438</v>
      </c>
      <c r="P167" s="41">
        <f t="shared" si="155"/>
        <v>9803058.3978756033</v>
      </c>
      <c r="Q167" s="41">
        <f t="shared" si="156"/>
        <v>2.9821861651823348E-3</v>
      </c>
      <c r="R167" s="41">
        <f t="shared" si="157"/>
        <v>2.0019426706758357E-2</v>
      </c>
      <c r="S167" s="24">
        <f t="shared" ca="1" si="192"/>
        <v>-3.2001882491813096</v>
      </c>
      <c r="T167" s="10">
        <f t="shared" ca="1" si="158"/>
        <v>-3.2001882491813096</v>
      </c>
      <c r="U167" s="41">
        <f t="shared" ca="1" si="159"/>
        <v>0.46190593352387532</v>
      </c>
      <c r="V167" s="41">
        <f t="shared" ca="1" si="160"/>
        <v>3.3494361525777644E-2</v>
      </c>
      <c r="W167" s="41">
        <f t="shared" ca="1" si="161"/>
        <v>13.790557947145439</v>
      </c>
      <c r="X167" s="20">
        <f t="shared" ca="1" si="162"/>
        <v>781.82198066939532</v>
      </c>
      <c r="Y167" s="41">
        <f t="shared" si="163"/>
        <v>0.56300988864317292</v>
      </c>
      <c r="Z167" s="41">
        <f t="shared" ca="1" si="164"/>
        <v>160.7005813497851</v>
      </c>
      <c r="AA167" s="14">
        <f t="shared" ca="1" si="165"/>
        <v>783.04307309452645</v>
      </c>
      <c r="AB167" s="14">
        <f t="shared" si="166"/>
        <v>3579.8480762799968</v>
      </c>
      <c r="AC167" s="25">
        <f t="shared" ca="1" si="167"/>
        <v>286834.87240887544</v>
      </c>
      <c r="AD167" s="41">
        <f t="shared" si="168"/>
        <v>1311326.6708879706</v>
      </c>
      <c r="AE167" s="6">
        <v>5</v>
      </c>
      <c r="AF167" s="41">
        <f t="shared" si="169"/>
        <v>178.99240381399986</v>
      </c>
      <c r="AG167" s="41">
        <f t="shared" ca="1" si="170"/>
        <v>2796.8050031854705</v>
      </c>
      <c r="AH167" s="41">
        <f t="shared" ca="1" si="171"/>
        <v>1024491.7984790951</v>
      </c>
      <c r="AI167" s="41">
        <f t="shared" si="172"/>
        <v>138.93114558574942</v>
      </c>
      <c r="AJ167" s="13">
        <f t="shared" ca="1" si="173"/>
        <v>-20.449060541532017</v>
      </c>
      <c r="AK167" s="11"/>
      <c r="AL167" s="6">
        <v>-266.66666659999999</v>
      </c>
      <c r="AM167" s="41">
        <f t="shared" ca="1" si="174"/>
        <v>13.040533869925238</v>
      </c>
      <c r="AN167" s="41">
        <f t="shared" ca="1" si="175"/>
        <v>0.50326008599957761</v>
      </c>
      <c r="AO167" s="41">
        <f t="shared" ca="1" si="176"/>
        <v>0.7849428174232792</v>
      </c>
      <c r="AP167" s="67">
        <f t="shared" si="193"/>
        <v>0.77618459010204632</v>
      </c>
      <c r="AQ167" s="11">
        <f t="shared" si="177"/>
        <v>0.96313502943893858</v>
      </c>
      <c r="AR167" s="11">
        <f t="shared" si="178"/>
        <v>0.61294570171221086</v>
      </c>
      <c r="AS167" s="11">
        <f t="shared" si="179"/>
        <v>0.63640682041154106</v>
      </c>
      <c r="AT167" s="11">
        <f t="shared" si="180"/>
        <v>499.54924571909424</v>
      </c>
      <c r="AU167" s="11">
        <f t="shared" si="181"/>
        <v>1297.1279528774148</v>
      </c>
      <c r="AV167" s="11">
        <f t="shared" si="182"/>
        <v>1.5126753714361919E-3</v>
      </c>
      <c r="AW167" s="11">
        <f t="shared" si="183"/>
        <v>3.629217567224265E-7</v>
      </c>
      <c r="AX167" s="41">
        <f t="shared" ca="1" si="184"/>
        <v>1.4201856732710265</v>
      </c>
      <c r="AY167" s="41">
        <f t="shared" ca="1" si="185"/>
        <v>1.9130183175054756</v>
      </c>
      <c r="AZ167" s="41">
        <f t="shared" si="186"/>
        <v>0.24205462775560199</v>
      </c>
    </row>
    <row r="168" spans="1:52" ht="14.5">
      <c r="A168" s="41">
        <f t="shared" ca="1" si="187"/>
        <v>10951.413367859192</v>
      </c>
      <c r="B168" s="41">
        <f t="shared" ca="1" si="194"/>
        <v>182.52355613098652</v>
      </c>
      <c r="C168" s="41">
        <f t="shared" ca="1" si="194"/>
        <v>3.0420592688497754</v>
      </c>
      <c r="D168" s="41">
        <f t="shared" ca="1" si="188"/>
        <v>10798.097614534909</v>
      </c>
      <c r="E168" s="41">
        <f t="shared" ca="1" si="189"/>
        <v>923.28137142630715</v>
      </c>
      <c r="F168" s="41">
        <f t="shared" ca="1" si="190"/>
        <v>13.76446795242963</v>
      </c>
      <c r="G168" s="41"/>
      <c r="H168" s="7">
        <f t="shared" si="191"/>
        <v>12666.666368000024</v>
      </c>
      <c r="I168" s="6">
        <v>15</v>
      </c>
      <c r="J168" s="41">
        <f t="shared" si="149"/>
        <v>0.32703485669266175</v>
      </c>
      <c r="K168" s="41">
        <f t="shared" si="150"/>
        <v>358.66547379080754</v>
      </c>
      <c r="L168" s="6">
        <f t="shared" si="151"/>
        <v>171.11111111111128</v>
      </c>
      <c r="M168" s="41">
        <f t="shared" si="152"/>
        <v>212.50355457347283</v>
      </c>
      <c r="N168" s="41">
        <f t="shared" si="153"/>
        <v>98.142689552823256</v>
      </c>
      <c r="O168" s="41">
        <f t="shared" si="154"/>
        <v>1505696.7461612031</v>
      </c>
      <c r="P168" s="41">
        <f t="shared" si="155"/>
        <v>9667631.1396182533</v>
      </c>
      <c r="Q168" s="41">
        <f t="shared" si="156"/>
        <v>2.9901726693255448E-3</v>
      </c>
      <c r="R168" s="41">
        <f t="shared" si="157"/>
        <v>2.0065005927631802E-2</v>
      </c>
      <c r="S168" s="24">
        <f t="shared" ca="1" si="192"/>
        <v>-3.170766665195158</v>
      </c>
      <c r="T168" s="10">
        <f t="shared" ca="1" si="158"/>
        <v>-3.170766665195158</v>
      </c>
      <c r="U168" s="41">
        <f t="shared" ca="1" si="159"/>
        <v>0.4776349451580737</v>
      </c>
      <c r="V168" s="41">
        <f t="shared" ca="1" si="160"/>
        <v>3.4473273926457174E-2</v>
      </c>
      <c r="W168" s="41">
        <f t="shared" ca="1" si="161"/>
        <v>13.855224374018727</v>
      </c>
      <c r="X168" s="20">
        <f t="shared" ca="1" si="162"/>
        <v>778.15895879175628</v>
      </c>
      <c r="Y168" s="41">
        <f t="shared" si="163"/>
        <v>0.56365044051351354</v>
      </c>
      <c r="Z168" s="41">
        <f t="shared" ca="1" si="164"/>
        <v>160.00442671915712</v>
      </c>
      <c r="AA168" s="14">
        <f t="shared" ca="1" si="165"/>
        <v>779.35205688790336</v>
      </c>
      <c r="AB168" s="14">
        <f t="shared" si="166"/>
        <v>3617.87539672819</v>
      </c>
      <c r="AC168" s="25">
        <f t="shared" ca="1" si="167"/>
        <v>279526.67473354028</v>
      </c>
      <c r="AD168" s="41">
        <f t="shared" si="168"/>
        <v>1297606.993283622</v>
      </c>
      <c r="AE168" s="6">
        <v>5</v>
      </c>
      <c r="AF168" s="41">
        <f t="shared" si="169"/>
        <v>180.89376983640952</v>
      </c>
      <c r="AG168" s="41">
        <f t="shared" ca="1" si="170"/>
        <v>2838.5233398402866</v>
      </c>
      <c r="AH168" s="41">
        <f t="shared" ca="1" si="171"/>
        <v>1018080.3185500817</v>
      </c>
      <c r="AI168" s="41">
        <f t="shared" si="172"/>
        <v>140.15626094323233</v>
      </c>
      <c r="AJ168" s="13">
        <f t="shared" ca="1" si="173"/>
        <v>-19.838531713871003</v>
      </c>
      <c r="AK168" s="11"/>
      <c r="AL168" s="6">
        <v>-266.66666659999999</v>
      </c>
      <c r="AM168" s="41">
        <f t="shared" ca="1" si="174"/>
        <v>13.441854994417151</v>
      </c>
      <c r="AN168" s="41">
        <f t="shared" ca="1" si="175"/>
        <v>0.52332226004406135</v>
      </c>
      <c r="AO168" s="41">
        <f t="shared" ca="1" si="176"/>
        <v>0.79224141200891052</v>
      </c>
      <c r="AP168" s="67">
        <f t="shared" si="193"/>
        <v>0.77479871788830545</v>
      </c>
      <c r="AQ168" s="11">
        <f t="shared" si="177"/>
        <v>0.96496845610514692</v>
      </c>
      <c r="AR168" s="11">
        <f t="shared" si="178"/>
        <v>0.6194567832217297</v>
      </c>
      <c r="AS168" s="11">
        <f t="shared" si="179"/>
        <v>0.64194511157599032</v>
      </c>
      <c r="AT168" s="11">
        <f t="shared" si="180"/>
        <v>500.50018912805649</v>
      </c>
      <c r="AU168" s="11">
        <f t="shared" si="181"/>
        <v>1310.9068337894887</v>
      </c>
      <c r="AV168" s="11">
        <f t="shared" si="182"/>
        <v>1.5258393357049714E-3</v>
      </c>
      <c r="AW168" s="11">
        <f t="shared" si="183"/>
        <v>3.634635524480858E-7</v>
      </c>
      <c r="AX168" s="41">
        <f t="shared" ca="1" si="184"/>
        <v>1.3851301110526322</v>
      </c>
      <c r="AY168" s="41">
        <f t="shared" ca="1" si="185"/>
        <v>1.8657977787291748</v>
      </c>
      <c r="AZ168" s="41">
        <f t="shared" si="186"/>
        <v>0.23721446998089241</v>
      </c>
    </row>
    <row r="169" spans="1:52" ht="14.5">
      <c r="A169" s="41">
        <f t="shared" ca="1" si="187"/>
        <v>10964.855222853608</v>
      </c>
      <c r="B169" s="41">
        <f t="shared" ca="1" si="194"/>
        <v>182.74758704756013</v>
      </c>
      <c r="C169" s="41">
        <f t="shared" ca="1" si="194"/>
        <v>3.0457931174593353</v>
      </c>
      <c r="D169" s="41">
        <f t="shared" ca="1" si="188"/>
        <v>10797.574292274865</v>
      </c>
      <c r="E169" s="41">
        <f t="shared" ca="1" si="189"/>
        <v>924.07361283831608</v>
      </c>
      <c r="F169" s="41">
        <f t="shared" ca="1" si="190"/>
        <v>14.556709364438541</v>
      </c>
      <c r="G169" s="41"/>
      <c r="H169" s="7">
        <f t="shared" si="191"/>
        <v>12399.999701400024</v>
      </c>
      <c r="I169" s="6">
        <v>15</v>
      </c>
      <c r="J169" s="41">
        <f t="shared" si="149"/>
        <v>0.31981189313634206</v>
      </c>
      <c r="K169" s="41">
        <f t="shared" si="150"/>
        <v>351.07695564732336</v>
      </c>
      <c r="L169" s="6">
        <f t="shared" si="151"/>
        <v>168.16666666666683</v>
      </c>
      <c r="M169" s="41">
        <f t="shared" si="152"/>
        <v>208.00747898974873</v>
      </c>
      <c r="N169" s="41">
        <f t="shared" si="153"/>
        <v>94.85033955579209</v>
      </c>
      <c r="O169" s="41">
        <f t="shared" si="154"/>
        <v>1484428.8307613472</v>
      </c>
      <c r="P169" s="41">
        <f t="shared" si="155"/>
        <v>9531076.1781237684</v>
      </c>
      <c r="Q169" s="41">
        <f t="shared" si="156"/>
        <v>2.9982981233594528E-3</v>
      </c>
      <c r="R169" s="41">
        <f t="shared" si="157"/>
        <v>2.0111378139737072E-2</v>
      </c>
      <c r="S169" s="24">
        <f t="shared" ca="1" si="192"/>
        <v>-3.1452680748446218</v>
      </c>
      <c r="T169" s="10">
        <f t="shared" ca="1" si="158"/>
        <v>-3.1452680748446218</v>
      </c>
      <c r="U169" s="41">
        <f t="shared" ca="1" si="159"/>
        <v>0.4942023138816119</v>
      </c>
      <c r="V169" s="41">
        <f t="shared" ca="1" si="160"/>
        <v>3.5536519040527854E-2</v>
      </c>
      <c r="W169" s="41">
        <f t="shared" ca="1" si="161"/>
        <v>13.906885852212922</v>
      </c>
      <c r="X169" s="20">
        <f t="shared" ca="1" si="162"/>
        <v>775.24970645373571</v>
      </c>
      <c r="Y169" s="41">
        <f t="shared" si="163"/>
        <v>0.56430139057024864</v>
      </c>
      <c r="Z169" s="41">
        <f t="shared" ca="1" si="164"/>
        <v>159.31222021536669</v>
      </c>
      <c r="AA169" s="14">
        <f t="shared" ca="1" si="165"/>
        <v>776.41927941450024</v>
      </c>
      <c r="AB169" s="14">
        <f t="shared" si="166"/>
        <v>3656.2291540065562</v>
      </c>
      <c r="AC169" s="25">
        <f t="shared" ca="1" si="167"/>
        <v>272582.91692273127</v>
      </c>
      <c r="AD169" s="41">
        <f t="shared" si="168"/>
        <v>1283617.8005376104</v>
      </c>
      <c r="AE169" s="6">
        <v>5</v>
      </c>
      <c r="AF169" s="41">
        <f t="shared" si="169"/>
        <v>182.81145770032782</v>
      </c>
      <c r="AG169" s="41">
        <f t="shared" ca="1" si="170"/>
        <v>2879.8098745920561</v>
      </c>
      <c r="AH169" s="41">
        <f t="shared" ca="1" si="171"/>
        <v>1011034.8836148791</v>
      </c>
      <c r="AI169" s="41">
        <f t="shared" si="172"/>
        <v>141.38931711820968</v>
      </c>
      <c r="AJ169" s="13">
        <f t="shared" ca="1" si="173"/>
        <v>-19.26279098910074</v>
      </c>
      <c r="AK169" s="11"/>
      <c r="AL169" s="6">
        <v>-266.66666659999999</v>
      </c>
      <c r="AM169" s="41">
        <f t="shared" ca="1" si="174"/>
        <v>13.843615224340292</v>
      </c>
      <c r="AN169" s="41">
        <f t="shared" ca="1" si="175"/>
        <v>0.54370536194909025</v>
      </c>
      <c r="AO169" s="41">
        <f t="shared" ca="1" si="176"/>
        <v>0.79867716757113583</v>
      </c>
      <c r="AP169" s="67">
        <f t="shared" si="193"/>
        <v>0.77341605880076159</v>
      </c>
      <c r="AQ169" s="11">
        <f t="shared" si="177"/>
        <v>0.96680188277135526</v>
      </c>
      <c r="AR169" s="11">
        <f t="shared" si="178"/>
        <v>0.62602375762046369</v>
      </c>
      <c r="AS169" s="11">
        <f t="shared" si="179"/>
        <v>0.64752020944141642</v>
      </c>
      <c r="AT169" s="11">
        <f t="shared" si="180"/>
        <v>501.45113253701879</v>
      </c>
      <c r="AU169" s="11">
        <f t="shared" si="181"/>
        <v>1324.8039963515776</v>
      </c>
      <c r="AV169" s="11">
        <f t="shared" si="182"/>
        <v>1.5390907858213027E-3</v>
      </c>
      <c r="AW169" s="11">
        <f t="shared" si="183"/>
        <v>3.6400485921164407E-7</v>
      </c>
      <c r="AX169" s="41">
        <f t="shared" ca="1" si="184"/>
        <v>1.3511020058034473</v>
      </c>
      <c r="AY169" s="41">
        <f t="shared" ca="1" si="185"/>
        <v>1.8199612449034517</v>
      </c>
      <c r="AZ169" s="41">
        <f t="shared" si="186"/>
        <v>0.2323908576185596</v>
      </c>
    </row>
    <row r="170" spans="1:52" ht="14.5">
      <c r="A170" s="41">
        <f t="shared" ca="1" si="187"/>
        <v>10978.698838077949</v>
      </c>
      <c r="B170" s="41">
        <f t="shared" ca="1" si="194"/>
        <v>182.97831396796582</v>
      </c>
      <c r="C170" s="41">
        <f t="shared" ca="1" si="194"/>
        <v>3.0496385661327636</v>
      </c>
      <c r="D170" s="41">
        <f t="shared" ca="1" si="188"/>
        <v>10797.030586912915</v>
      </c>
      <c r="E170" s="41">
        <f t="shared" ca="1" si="189"/>
        <v>924.87229000588718</v>
      </c>
      <c r="F170" s="41">
        <f t="shared" ca="1" si="190"/>
        <v>15.355386532009677</v>
      </c>
      <c r="G170" s="41"/>
      <c r="H170" s="7">
        <f t="shared" si="191"/>
        <v>12133.333034800024</v>
      </c>
      <c r="I170" s="6">
        <v>15</v>
      </c>
      <c r="J170" s="41">
        <f t="shared" si="149"/>
        <v>0.31265186861514482</v>
      </c>
      <c r="K170" s="41">
        <f t="shared" si="150"/>
        <v>343.54224275685846</v>
      </c>
      <c r="L170" s="6">
        <f t="shared" si="151"/>
        <v>165.22222222222237</v>
      </c>
      <c r="M170" s="41">
        <f t="shared" si="152"/>
        <v>203.54328215755453</v>
      </c>
      <c r="N170" s="41">
        <f t="shared" si="153"/>
        <v>91.609889392115321</v>
      </c>
      <c r="O170" s="41">
        <f t="shared" si="154"/>
        <v>1462986.2828694999</v>
      </c>
      <c r="P170" s="41">
        <f t="shared" si="155"/>
        <v>9393399.9533192124</v>
      </c>
      <c r="Q170" s="41">
        <f t="shared" si="156"/>
        <v>3.006569564971859E-3</v>
      </c>
      <c r="R170" s="41">
        <f t="shared" si="157"/>
        <v>2.0158583507371448E-2</v>
      </c>
      <c r="S170" s="24">
        <f t="shared" ca="1" si="192"/>
        <v>-3.1239218657824179</v>
      </c>
      <c r="T170" s="10">
        <f t="shared" ca="1" si="158"/>
        <v>-3.1239218657824179</v>
      </c>
      <c r="U170" s="41">
        <f t="shared" ca="1" si="159"/>
        <v>0.51166804770011154</v>
      </c>
      <c r="V170" s="41">
        <f t="shared" ca="1" si="160"/>
        <v>3.6693278398542958E-2</v>
      </c>
      <c r="W170" s="41">
        <f t="shared" ca="1" si="161"/>
        <v>13.94446258365481</v>
      </c>
      <c r="X170" s="20">
        <f t="shared" ca="1" si="162"/>
        <v>773.13745037066144</v>
      </c>
      <c r="Y170" s="41">
        <f t="shared" si="163"/>
        <v>0.56496326569239341</v>
      </c>
      <c r="Z170" s="41">
        <f t="shared" ca="1" si="164"/>
        <v>158.62391858975423</v>
      </c>
      <c r="AA170" s="14">
        <f t="shared" ca="1" si="165"/>
        <v>774.28803886417256</v>
      </c>
      <c r="AB170" s="14">
        <f t="shared" si="166"/>
        <v>3694.9114876252247</v>
      </c>
      <c r="AC170" s="25">
        <f t="shared" ca="1" si="167"/>
        <v>266000.64941120741</v>
      </c>
      <c r="AD170" s="41">
        <f t="shared" si="168"/>
        <v>1269358.1792468498</v>
      </c>
      <c r="AE170" s="6">
        <v>5</v>
      </c>
      <c r="AF170" s="41">
        <f t="shared" si="169"/>
        <v>184.74557438126124</v>
      </c>
      <c r="AG170" s="41">
        <f t="shared" ca="1" si="170"/>
        <v>2920.6234487610523</v>
      </c>
      <c r="AH170" s="41">
        <f t="shared" ca="1" si="171"/>
        <v>1003357.5298356424</v>
      </c>
      <c r="AI170" s="41">
        <f t="shared" si="172"/>
        <v>142.63037485678282</v>
      </c>
      <c r="AJ170" s="13">
        <f t="shared" ca="1" si="173"/>
        <v>-18.721579333333068</v>
      </c>
      <c r="AK170" s="11"/>
      <c r="AL170" s="6">
        <v>-266.66666659999999</v>
      </c>
      <c r="AM170" s="41">
        <f t="shared" ca="1" si="174"/>
        <v>14.243812546584145</v>
      </c>
      <c r="AN170" s="41">
        <f t="shared" ca="1" si="175"/>
        <v>0.56433342303028966</v>
      </c>
      <c r="AO170" s="41">
        <f t="shared" ca="1" si="176"/>
        <v>0.8041455861426372</v>
      </c>
      <c r="AP170" s="67">
        <f t="shared" si="193"/>
        <v>0.77203676101293295</v>
      </c>
      <c r="AQ170" s="11">
        <f t="shared" si="177"/>
        <v>0.9686353094375636</v>
      </c>
      <c r="AR170" s="11">
        <f t="shared" si="178"/>
        <v>0.63264699123779611</v>
      </c>
      <c r="AS170" s="11">
        <f t="shared" si="179"/>
        <v>0.65313228319659489</v>
      </c>
      <c r="AT170" s="11">
        <f t="shared" si="180"/>
        <v>502.4020759459811</v>
      </c>
      <c r="AU170" s="11">
        <f t="shared" si="181"/>
        <v>1338.8202157972487</v>
      </c>
      <c r="AV170" s="11">
        <f t="shared" si="182"/>
        <v>1.5524301239299863E-3</v>
      </c>
      <c r="AW170" s="11">
        <f t="shared" si="183"/>
        <v>3.6454567807167091E-7</v>
      </c>
      <c r="AX170" s="41">
        <f t="shared" ca="1" si="184"/>
        <v>1.3181413958870105</v>
      </c>
      <c r="AY170" s="41">
        <f t="shared" ca="1" si="185"/>
        <v>1.7755626484994567</v>
      </c>
      <c r="AZ170" s="41">
        <f t="shared" si="186"/>
        <v>0.22758425220699882</v>
      </c>
    </row>
    <row r="171" spans="1:52" ht="14.5">
      <c r="A171" s="41">
        <f t="shared" ca="1" si="187"/>
        <v>10992.942650624533</v>
      </c>
      <c r="B171" s="41">
        <f t="shared" ca="1" si="194"/>
        <v>183.21571084374222</v>
      </c>
      <c r="C171" s="41">
        <f t="shared" ca="1" si="194"/>
        <v>3.0535951807290371</v>
      </c>
      <c r="D171" s="41">
        <f t="shared" ca="1" si="188"/>
        <v>10796.466253489885</v>
      </c>
      <c r="E171" s="41">
        <f t="shared" ca="1" si="189"/>
        <v>925.67643559202986</v>
      </c>
      <c r="F171" s="41">
        <f t="shared" ca="1" si="190"/>
        <v>16.159532118152313</v>
      </c>
      <c r="G171" s="41"/>
      <c r="H171" s="7">
        <f t="shared" si="191"/>
        <v>11866.666368200023</v>
      </c>
      <c r="I171" s="6">
        <v>15</v>
      </c>
      <c r="J171" s="41">
        <f t="shared" si="149"/>
        <v>0.30555447139918035</v>
      </c>
      <c r="K171" s="41">
        <f t="shared" si="150"/>
        <v>336.06121076631734</v>
      </c>
      <c r="L171" s="6">
        <f t="shared" si="151"/>
        <v>162.27777777777791</v>
      </c>
      <c r="M171" s="41">
        <f t="shared" si="152"/>
        <v>199.11089039967078</v>
      </c>
      <c r="N171" s="41">
        <f t="shared" si="153"/>
        <v>88.421746096873832</v>
      </c>
      <c r="O171" s="41">
        <f t="shared" si="154"/>
        <v>1441370.0823779523</v>
      </c>
      <c r="P171" s="41">
        <f t="shared" si="155"/>
        <v>9254608.7568016481</v>
      </c>
      <c r="Q171" s="41">
        <f t="shared" si="156"/>
        <v>3.0149944169759243E-3</v>
      </c>
      <c r="R171" s="41">
        <f t="shared" si="157"/>
        <v>2.02066643927543E-2</v>
      </c>
      <c r="S171" s="24">
        <f t="shared" ca="1" si="192"/>
        <v>-3.1069766745721332</v>
      </c>
      <c r="T171" s="10">
        <f t="shared" ca="1" si="158"/>
        <v>-3.1069766745721332</v>
      </c>
      <c r="U171" s="41">
        <f t="shared" ca="1" si="159"/>
        <v>0.53009762700934793</v>
      </c>
      <c r="V171" s="41">
        <f t="shared" ca="1" si="160"/>
        <v>3.7953924361725899E-2</v>
      </c>
      <c r="W171" s="41">
        <f t="shared" ca="1" si="161"/>
        <v>13.966872620527152</v>
      </c>
      <c r="X171" s="20">
        <f t="shared" ca="1" si="162"/>
        <v>771.86902055727091</v>
      </c>
      <c r="Y171" s="41">
        <f t="shared" si="163"/>
        <v>0.56563662044244456</v>
      </c>
      <c r="Z171" s="41">
        <f t="shared" ca="1" si="164"/>
        <v>157.9394775001912</v>
      </c>
      <c r="AA171" s="14">
        <f t="shared" ca="1" si="165"/>
        <v>773.00527804787794</v>
      </c>
      <c r="AB171" s="14">
        <f t="shared" si="166"/>
        <v>3733.9245467908822</v>
      </c>
      <c r="AC171" s="25">
        <f t="shared" ca="1" si="167"/>
        <v>259777.08966952364</v>
      </c>
      <c r="AD171" s="41">
        <f t="shared" si="168"/>
        <v>1254827.2041046165</v>
      </c>
      <c r="AE171" s="6">
        <v>5</v>
      </c>
      <c r="AF171" s="41">
        <f t="shared" si="169"/>
        <v>186.69622733954412</v>
      </c>
      <c r="AG171" s="41">
        <f t="shared" ca="1" si="170"/>
        <v>2960.9192687430041</v>
      </c>
      <c r="AH171" s="41">
        <f t="shared" ca="1" si="171"/>
        <v>995050.1144350929</v>
      </c>
      <c r="AI171" s="41">
        <f t="shared" si="172"/>
        <v>143.87949543304495</v>
      </c>
      <c r="AJ171" s="13">
        <f t="shared" ca="1" si="173"/>
        <v>-18.21465216294175</v>
      </c>
      <c r="AK171" s="11"/>
      <c r="AL171" s="6">
        <v>-266.66666659999999</v>
      </c>
      <c r="AM171" s="41">
        <f t="shared" ca="1" si="174"/>
        <v>14.640228329066927</v>
      </c>
      <c r="AN171" s="41">
        <f t="shared" ca="1" si="175"/>
        <v>0.58511907361408899</v>
      </c>
      <c r="AO171" s="41">
        <f t="shared" ca="1" si="176"/>
        <v>0.80854000917991253</v>
      </c>
      <c r="AP171" s="67">
        <f t="shared" si="193"/>
        <v>0.77066096880132207</v>
      </c>
      <c r="AQ171" s="11">
        <f t="shared" si="177"/>
        <v>0.97046873610377182</v>
      </c>
      <c r="AR171" s="11">
        <f t="shared" si="178"/>
        <v>0.63932685206336592</v>
      </c>
      <c r="AS171" s="11">
        <f t="shared" si="179"/>
        <v>0.65878150246254086</v>
      </c>
      <c r="AT171" s="11">
        <f t="shared" si="180"/>
        <v>503.35301935494329</v>
      </c>
      <c r="AU171" s="11">
        <f t="shared" si="181"/>
        <v>1352.9562708735361</v>
      </c>
      <c r="AV171" s="11">
        <f t="shared" si="182"/>
        <v>1.5658577532032133E-3</v>
      </c>
      <c r="AW171" s="11">
        <f t="shared" si="183"/>
        <v>3.650860100836421E-7</v>
      </c>
      <c r="AX171" s="41">
        <f t="shared" ca="1" si="184"/>
        <v>1.2862925469735718</v>
      </c>
      <c r="AY171" s="41">
        <f t="shared" ca="1" si="185"/>
        <v>1.732661616254467</v>
      </c>
      <c r="AZ171" s="41">
        <f t="shared" si="186"/>
        <v>0.2227950999012599</v>
      </c>
    </row>
    <row r="172" spans="1:52" ht="14.5">
      <c r="A172" s="41">
        <f t="shared" ca="1" si="187"/>
        <v>11007.582878953599</v>
      </c>
      <c r="B172" s="41">
        <f t="shared" ca="1" si="194"/>
        <v>183.45971464922664</v>
      </c>
      <c r="C172" s="41">
        <f t="shared" ca="1" si="194"/>
        <v>3.0576619108204439</v>
      </c>
      <c r="D172" s="41">
        <f t="shared" ca="1" si="188"/>
        <v>10795.881134416271</v>
      </c>
      <c r="E172" s="41">
        <f t="shared" ca="1" si="189"/>
        <v>926.48497560120973</v>
      </c>
      <c r="F172" s="41">
        <f t="shared" ca="1" si="190"/>
        <v>16.968072127332224</v>
      </c>
      <c r="G172" s="41"/>
      <c r="H172" s="7">
        <f t="shared" si="191"/>
        <v>11599.999701600023</v>
      </c>
      <c r="I172" s="6">
        <v>15</v>
      </c>
      <c r="J172" s="41">
        <f t="shared" si="149"/>
        <v>0.2985193821221217</v>
      </c>
      <c r="K172" s="41">
        <f t="shared" si="150"/>
        <v>328.63372516550965</v>
      </c>
      <c r="L172" s="6">
        <f t="shared" si="151"/>
        <v>159.33333333333346</v>
      </c>
      <c r="M172" s="41">
        <f t="shared" si="152"/>
        <v>194.71022402096182</v>
      </c>
      <c r="N172" s="41">
        <f t="shared" si="153"/>
        <v>85.286299163966703</v>
      </c>
      <c r="O172" s="41">
        <f t="shared" si="154"/>
        <v>1419581.1857599095</v>
      </c>
      <c r="P172" s="41">
        <f t="shared" si="155"/>
        <v>9114708.72980115</v>
      </c>
      <c r="Q172" s="41">
        <f t="shared" si="156"/>
        <v>3.0235805171934405E-3</v>
      </c>
      <c r="R172" s="41">
        <f t="shared" si="157"/>
        <v>2.0255665526571837E-2</v>
      </c>
      <c r="S172" s="24">
        <f t="shared" ca="1" si="192"/>
        <v>-3.0947025779885178</v>
      </c>
      <c r="T172" s="10">
        <f t="shared" ca="1" si="158"/>
        <v>-3.0947025779885178</v>
      </c>
      <c r="U172" s="41">
        <f t="shared" ca="1" si="159"/>
        <v>0.54956261337898182</v>
      </c>
      <c r="V172" s="41">
        <f t="shared" ca="1" si="160"/>
        <v>3.933020015582063E-2</v>
      </c>
      <c r="W172" s="41">
        <f t="shared" ca="1" si="161"/>
        <v>13.973043900150351</v>
      </c>
      <c r="X172" s="20">
        <f t="shared" ca="1" si="162"/>
        <v>771.49525983364174</v>
      </c>
      <c r="Y172" s="41">
        <f t="shared" si="163"/>
        <v>0.56632203917887969</v>
      </c>
      <c r="Z172" s="41">
        <f t="shared" ca="1" si="164"/>
        <v>157.25885125328435</v>
      </c>
      <c r="AA172" s="14">
        <f t="shared" ca="1" si="165"/>
        <v>772.62200072956955</v>
      </c>
      <c r="AB172" s="14">
        <f t="shared" si="166"/>
        <v>3773.2704904312063</v>
      </c>
      <c r="AC172" s="25">
        <f t="shared" ca="1" si="167"/>
        <v>253909.64624458755</v>
      </c>
      <c r="AD172" s="41">
        <f t="shared" si="168"/>
        <v>1240023.9373274969</v>
      </c>
      <c r="AE172" s="6">
        <v>5</v>
      </c>
      <c r="AF172" s="41">
        <f t="shared" si="169"/>
        <v>188.66352452156033</v>
      </c>
      <c r="AG172" s="41">
        <f t="shared" ca="1" si="170"/>
        <v>3000.6484897016367</v>
      </c>
      <c r="AH172" s="41">
        <f t="shared" ca="1" si="171"/>
        <v>986114.29108290933</v>
      </c>
      <c r="AI172" s="41">
        <f t="shared" si="172"/>
        <v>145.13674063923233</v>
      </c>
      <c r="AJ172" s="13">
        <f t="shared" ca="1" si="173"/>
        <v>-17.741781512366011</v>
      </c>
      <c r="AK172" s="11"/>
      <c r="AL172" s="6">
        <v>-266.66666659999999</v>
      </c>
      <c r="AM172" s="41">
        <f t="shared" ca="1" si="174"/>
        <v>15.030433466567802</v>
      </c>
      <c r="AN172" s="41">
        <f t="shared" ca="1" si="175"/>
        <v>0.60596336770346904</v>
      </c>
      <c r="AO172" s="41">
        <f t="shared" ca="1" si="176"/>
        <v>0.81175309383044492</v>
      </c>
      <c r="AP172" s="67">
        <f t="shared" si="193"/>
        <v>0.76928882256011399</v>
      </c>
      <c r="AQ172" s="11">
        <f t="shared" si="177"/>
        <v>0.97230216276998016</v>
      </c>
      <c r="AR172" s="11">
        <f t="shared" si="178"/>
        <v>0.64606370975125094</v>
      </c>
      <c r="AS172" s="11">
        <f t="shared" si="179"/>
        <v>0.66446803729273585</v>
      </c>
      <c r="AT172" s="11">
        <f t="shared" si="180"/>
        <v>504.30396276390559</v>
      </c>
      <c r="AU172" s="11">
        <f t="shared" si="181"/>
        <v>1367.2129438497921</v>
      </c>
      <c r="AV172" s="11">
        <f t="shared" si="182"/>
        <v>1.5793740778411037E-3</v>
      </c>
      <c r="AW172" s="11">
        <f t="shared" si="183"/>
        <v>3.6562585629994879E-7</v>
      </c>
      <c r="AX172" s="41">
        <f t="shared" ca="1" si="184"/>
        <v>1.2556046751908236</v>
      </c>
      <c r="AY172" s="41">
        <f t="shared" ca="1" si="185"/>
        <v>1.6913244432702883</v>
      </c>
      <c r="AZ172" s="41">
        <f t="shared" si="186"/>
        <v>0.21802383162562508</v>
      </c>
    </row>
    <row r="173" spans="1:52" ht="14.5">
      <c r="A173" s="41">
        <f t="shared" ca="1" si="187"/>
        <v>11022.613312420166</v>
      </c>
      <c r="B173" s="41">
        <f t="shared" ca="1" si="194"/>
        <v>183.71022187366944</v>
      </c>
      <c r="C173" s="41">
        <f t="shared" ca="1" si="194"/>
        <v>3.061837031227824</v>
      </c>
      <c r="D173" s="41">
        <f t="shared" ca="1" si="188"/>
        <v>10795.275171048568</v>
      </c>
      <c r="E173" s="41">
        <f t="shared" ca="1" si="189"/>
        <v>927.2967286950402</v>
      </c>
      <c r="F173" s="41">
        <f t="shared" ca="1" si="190"/>
        <v>17.779825221162668</v>
      </c>
      <c r="G173" s="41"/>
      <c r="H173" s="7">
        <f t="shared" si="191"/>
        <v>11333.333035000023</v>
      </c>
      <c r="I173" s="6">
        <v>15</v>
      </c>
      <c r="J173" s="41">
        <f t="shared" si="149"/>
        <v>0.29154627406795358</v>
      </c>
      <c r="K173" s="41">
        <f t="shared" si="150"/>
        <v>321.25964156881099</v>
      </c>
      <c r="L173" s="6">
        <f t="shared" si="151"/>
        <v>156.388888888889</v>
      </c>
      <c r="M173" s="41">
        <f t="shared" si="152"/>
        <v>190.34119747525543</v>
      </c>
      <c r="N173" s="41">
        <f t="shared" si="153"/>
        <v>82.203920969210344</v>
      </c>
      <c r="O173" s="41">
        <f t="shared" si="154"/>
        <v>1397620.5257841782</v>
      </c>
      <c r="P173" s="41">
        <f t="shared" si="155"/>
        <v>8973705.8613489009</v>
      </c>
      <c r="Q173" s="41">
        <f t="shared" si="156"/>
        <v>3.0323361513104248E-3</v>
      </c>
      <c r="R173" s="41">
        <f t="shared" si="157"/>
        <v>2.030563419548493E-2</v>
      </c>
      <c r="S173" s="24">
        <f t="shared" ca="1" si="192"/>
        <v>-3.0873935697340258</v>
      </c>
      <c r="T173" s="10">
        <f t="shared" ca="1" si="158"/>
        <v>-3.0873935697340258</v>
      </c>
      <c r="U173" s="41">
        <f t="shared" ca="1" si="159"/>
        <v>0.57014133851682736</v>
      </c>
      <c r="V173" s="41">
        <f t="shared" ca="1" si="160"/>
        <v>4.0835431090260471E-2</v>
      </c>
      <c r="W173" s="41">
        <f t="shared" ca="1" si="161"/>
        <v>13.961927749865483</v>
      </c>
      <c r="X173" s="20">
        <f t="shared" ca="1" si="162"/>
        <v>772.07148652010346</v>
      </c>
      <c r="Y173" s="41">
        <f t="shared" si="163"/>
        <v>0.56702013837577792</v>
      </c>
      <c r="Z173" s="41">
        <f t="shared" ca="1" si="164"/>
        <v>156.58199248964704</v>
      </c>
      <c r="AA173" s="14">
        <f t="shared" ca="1" si="165"/>
        <v>773.19374261570545</v>
      </c>
      <c r="AB173" s="14">
        <f t="shared" si="166"/>
        <v>3812.9514872192735</v>
      </c>
      <c r="AC173" s="25">
        <f t="shared" ca="1" si="167"/>
        <v>248395.94461596903</v>
      </c>
      <c r="AD173" s="41">
        <f t="shared" si="168"/>
        <v>1224947.4281033287</v>
      </c>
      <c r="AE173" s="6">
        <v>5</v>
      </c>
      <c r="AF173" s="41">
        <f t="shared" si="169"/>
        <v>190.64757436096369</v>
      </c>
      <c r="AG173" s="41">
        <f t="shared" ca="1" si="170"/>
        <v>3039.757744603568</v>
      </c>
      <c r="AH173" s="41">
        <f t="shared" ca="1" si="171"/>
        <v>976551.48348735971</v>
      </c>
      <c r="AI173" s="41">
        <f t="shared" si="172"/>
        <v>146.40217277595823</v>
      </c>
      <c r="AJ173" s="13">
        <f t="shared" ca="1" si="173"/>
        <v>-17.302758351238765</v>
      </c>
      <c r="AK173" s="11"/>
      <c r="AL173" s="6">
        <v>-266.66666659999999</v>
      </c>
      <c r="AM173" s="41">
        <f t="shared" ca="1" si="174"/>
        <v>15.411800892480729</v>
      </c>
      <c r="AN173" s="41">
        <f t="shared" ca="1" si="175"/>
        <v>0.6267558714026753</v>
      </c>
      <c r="AO173" s="41">
        <f t="shared" ca="1" si="176"/>
        <v>0.8136785534181924</v>
      </c>
      <c r="AP173" s="67">
        <f t="shared" si="193"/>
        <v>0.76792045881877746</v>
      </c>
      <c r="AQ173" s="11">
        <f t="shared" si="177"/>
        <v>0.9741355894361885</v>
      </c>
      <c r="AR173" s="11">
        <f t="shared" si="178"/>
        <v>0.65285793562414784</v>
      </c>
      <c r="AS173" s="11">
        <f t="shared" si="179"/>
        <v>0.67019205817334915</v>
      </c>
      <c r="AT173" s="11">
        <f t="shared" si="180"/>
        <v>505.25490617286783</v>
      </c>
      <c r="AU173" s="11">
        <f t="shared" si="181"/>
        <v>1381.5910205265341</v>
      </c>
      <c r="AV173" s="11">
        <f t="shared" si="182"/>
        <v>1.5929795030722336E-3</v>
      </c>
      <c r="AW173" s="11">
        <f t="shared" si="183"/>
        <v>3.6616521776990198E-7</v>
      </c>
      <c r="AX173" s="41">
        <f t="shared" ca="1" si="184"/>
        <v>1.2261328128558879</v>
      </c>
      <c r="AY173" s="41">
        <f t="shared" ca="1" si="185"/>
        <v>1.6516252591714411</v>
      </c>
      <c r="AZ173" s="41">
        <f t="shared" si="186"/>
        <v>0.21327086323479547</v>
      </c>
    </row>
    <row r="174" spans="1:52" ht="14.5">
      <c r="A174" s="41">
        <f t="shared" ca="1" si="187"/>
        <v>11038.025113312648</v>
      </c>
      <c r="B174" s="41">
        <f t="shared" ca="1" si="194"/>
        <v>183.96708522187745</v>
      </c>
      <c r="C174" s="41">
        <f t="shared" ca="1" si="194"/>
        <v>3.066118087031291</v>
      </c>
      <c r="D174" s="41">
        <f t="shared" ca="1" si="188"/>
        <v>10794.648415177166</v>
      </c>
      <c r="E174" s="41">
        <f t="shared" ca="1" si="189"/>
        <v>928.11040724845839</v>
      </c>
      <c r="F174" s="41">
        <f t="shared" ca="1" si="190"/>
        <v>18.59350377458086</v>
      </c>
      <c r="G174" s="41"/>
      <c r="H174" s="7">
        <f t="shared" si="191"/>
        <v>11066.666368400023</v>
      </c>
      <c r="I174" s="6">
        <v>15</v>
      </c>
      <c r="J174" s="41">
        <f t="shared" si="149"/>
        <v>0.28463481345680947</v>
      </c>
      <c r="K174" s="41">
        <f t="shared" si="150"/>
        <v>313.93880599767982</v>
      </c>
      <c r="L174" s="6">
        <f t="shared" si="151"/>
        <v>153.44444444444454</v>
      </c>
      <c r="M174" s="41">
        <f t="shared" si="152"/>
        <v>186.00371953272935</v>
      </c>
      <c r="N174" s="41">
        <f t="shared" si="153"/>
        <v>79.174967197010702</v>
      </c>
      <c r="O174" s="41">
        <f t="shared" si="154"/>
        <v>1375489.011260923</v>
      </c>
      <c r="P174" s="41">
        <f t="shared" si="155"/>
        <v>8831605.9866447635</v>
      </c>
      <c r="Q174" s="41">
        <f t="shared" si="156"/>
        <v>3.0412700890579589E-3</v>
      </c>
      <c r="R174" s="41">
        <f t="shared" si="157"/>
        <v>2.0356620448614301E-2</v>
      </c>
      <c r="S174" s="24">
        <f t="shared" ca="1" si="192"/>
        <v>-3.0853703654402449</v>
      </c>
      <c r="T174" s="10">
        <f t="shared" ca="1" si="158"/>
        <v>-3.0853703654402449</v>
      </c>
      <c r="U174" s="41">
        <f t="shared" ca="1" si="159"/>
        <v>0.59191968563272679</v>
      </c>
      <c r="V174" s="41">
        <f t="shared" ca="1" si="160"/>
        <v>4.2484773070425461E-2</v>
      </c>
      <c r="W174" s="41">
        <f t="shared" ca="1" si="161"/>
        <v>13.932513765614873</v>
      </c>
      <c r="X174" s="20">
        <f t="shared" ca="1" si="162"/>
        <v>773.65801827137727</v>
      </c>
      <c r="Y174" s="41">
        <f t="shared" si="163"/>
        <v>0.56773156917379841</v>
      </c>
      <c r="Z174" s="41">
        <f t="shared" ca="1" si="164"/>
        <v>155.90885179899004</v>
      </c>
      <c r="AA174" s="14">
        <f t="shared" ca="1" si="165"/>
        <v>774.78110531770028</v>
      </c>
      <c r="AB174" s="14">
        <f t="shared" si="166"/>
        <v>3852.9697155980211</v>
      </c>
      <c r="AC174" s="25">
        <f t="shared" ca="1" si="167"/>
        <v>243233.85511300145</v>
      </c>
      <c r="AD174" s="41">
        <f t="shared" si="168"/>
        <v>1209596.7120600627</v>
      </c>
      <c r="AE174" s="6">
        <v>5</v>
      </c>
      <c r="AF174" s="41">
        <f t="shared" si="169"/>
        <v>192.64848577990108</v>
      </c>
      <c r="AG174" s="41">
        <f t="shared" ca="1" si="170"/>
        <v>3078.188610280321</v>
      </c>
      <c r="AH174" s="41">
        <f t="shared" ca="1" si="171"/>
        <v>966362.85694706126</v>
      </c>
      <c r="AI174" s="41">
        <f t="shared" si="172"/>
        <v>147.67585464254404</v>
      </c>
      <c r="AJ174" s="13">
        <f t="shared" ca="1" si="173"/>
        <v>-16.897395069133481</v>
      </c>
      <c r="AK174" s="11"/>
      <c r="AL174" s="6">
        <v>-266.66666659999999</v>
      </c>
      <c r="AM174" s="41">
        <f t="shared" ca="1" si="174"/>
        <v>15.781525229715481</v>
      </c>
      <c r="AN174" s="41">
        <f t="shared" ca="1" si="175"/>
        <v>0.64737506273919576</v>
      </c>
      <c r="AO174" s="41">
        <f t="shared" ca="1" si="176"/>
        <v>0.81421314982527215</v>
      </c>
      <c r="AP174" s="67">
        <f t="shared" si="193"/>
        <v>0.76655601026245379</v>
      </c>
      <c r="AQ174" s="11">
        <f t="shared" si="177"/>
        <v>0.97596901610239684</v>
      </c>
      <c r="AR174" s="11">
        <f t="shared" si="178"/>
        <v>0.65970990267755991</v>
      </c>
      <c r="AS174" s="11">
        <f t="shared" si="179"/>
        <v>0.67595373602346454</v>
      </c>
      <c r="AT174" s="11">
        <f t="shared" si="180"/>
        <v>506.20584958183014</v>
      </c>
      <c r="AU174" s="11">
        <f t="shared" si="181"/>
        <v>1396.0912902443058</v>
      </c>
      <c r="AV174" s="11">
        <f t="shared" si="182"/>
        <v>1.6066744351541729E-3</v>
      </c>
      <c r="AW174" s="11">
        <f t="shared" si="183"/>
        <v>3.6670409553974702E-7</v>
      </c>
      <c r="AX174" s="41">
        <f t="shared" ca="1" si="184"/>
        <v>1.1979388502193826</v>
      </c>
      <c r="AY174" s="41">
        <f t="shared" ca="1" si="185"/>
        <v>1.6136474313551155</v>
      </c>
      <c r="AZ174" s="41">
        <f t="shared" si="186"/>
        <v>0.20853659568319077</v>
      </c>
    </row>
    <row r="175" spans="1:52" ht="14.5">
      <c r="A175" s="41">
        <f t="shared" ca="1" si="187"/>
        <v>11053.806638542363</v>
      </c>
      <c r="B175" s="41">
        <f t="shared" ca="1" si="194"/>
        <v>184.23011064237272</v>
      </c>
      <c r="C175" s="41">
        <f t="shared" ca="1" si="194"/>
        <v>3.0705018440395455</v>
      </c>
      <c r="D175" s="41">
        <f t="shared" ca="1" si="188"/>
        <v>10794.001040114426</v>
      </c>
      <c r="E175" s="41">
        <f t="shared" ca="1" si="189"/>
        <v>928.92462039828365</v>
      </c>
      <c r="F175" s="41">
        <f t="shared" ca="1" si="190"/>
        <v>19.407716924406131</v>
      </c>
      <c r="G175" s="41"/>
      <c r="H175" s="7">
        <f t="shared" si="191"/>
        <v>10799.999701800023</v>
      </c>
      <c r="I175" s="6">
        <v>15</v>
      </c>
      <c r="J175" s="41">
        <f t="shared" si="149"/>
        <v>0.27778465972945848</v>
      </c>
      <c r="K175" s="41">
        <f t="shared" si="150"/>
        <v>306.6710551635332</v>
      </c>
      <c r="L175" s="6">
        <f t="shared" si="151"/>
        <v>150.50000000000009</v>
      </c>
      <c r="M175" s="41">
        <f t="shared" si="152"/>
        <v>181.6976934475108</v>
      </c>
      <c r="N175" s="41">
        <f t="shared" si="153"/>
        <v>76.199777269782288</v>
      </c>
      <c r="O175" s="41">
        <f t="shared" si="154"/>
        <v>1353187.5268173097</v>
      </c>
      <c r="P175" s="41">
        <f t="shared" si="155"/>
        <v>8688414.7856167536</v>
      </c>
      <c r="Q175" s="41">
        <f t="shared" si="156"/>
        <v>3.050391624121115E-3</v>
      </c>
      <c r="R175" s="41">
        <f t="shared" si="157"/>
        <v>2.0408677325301956E-2</v>
      </c>
      <c r="S175" s="24">
        <f t="shared" ca="1" si="192"/>
        <v>-3.0889835861139998</v>
      </c>
      <c r="T175" s="10">
        <f t="shared" ca="1" si="158"/>
        <v>-3.0889835861139998</v>
      </c>
      <c r="U175" s="41">
        <f t="shared" ca="1" si="159"/>
        <v>0.61499197753965462</v>
      </c>
      <c r="V175" s="41">
        <f t="shared" ca="1" si="160"/>
        <v>4.4295505848986498E-2</v>
      </c>
      <c r="W175" s="41">
        <f t="shared" ca="1" si="161"/>
        <v>13.883845906090402</v>
      </c>
      <c r="X175" s="20">
        <f t="shared" ca="1" si="162"/>
        <v>776.32076634137525</v>
      </c>
      <c r="Y175" s="41">
        <f t="shared" si="163"/>
        <v>0.56845702019013911</v>
      </c>
      <c r="Z175" s="41">
        <f t="shared" ca="1" si="164"/>
        <v>155.23937724899764</v>
      </c>
      <c r="AA175" s="14">
        <f t="shared" ca="1" si="165"/>
        <v>777.45036304237874</v>
      </c>
      <c r="AB175" s="14">
        <f t="shared" si="166"/>
        <v>3893.3273638046926</v>
      </c>
      <c r="AC175" s="25">
        <f t="shared" ca="1" si="167"/>
        <v>238421.52317147824</v>
      </c>
      <c r="AD175" s="41">
        <f t="shared" si="168"/>
        <v>1193970.8107550421</v>
      </c>
      <c r="AE175" s="6">
        <v>5</v>
      </c>
      <c r="AF175" s="41">
        <f t="shared" si="169"/>
        <v>194.66636819023464</v>
      </c>
      <c r="AG175" s="41">
        <f t="shared" ca="1" si="170"/>
        <v>3115.8770007623139</v>
      </c>
      <c r="AH175" s="41">
        <f t="shared" ca="1" si="171"/>
        <v>955549.28758356394</v>
      </c>
      <c r="AI175" s="41">
        <f t="shared" si="172"/>
        <v>148.95784952745373</v>
      </c>
      <c r="AJ175" s="13">
        <f t="shared" ca="1" si="173"/>
        <v>-16.525528148330547</v>
      </c>
      <c r="AK175" s="11"/>
      <c r="AL175" s="6">
        <v>-266.66666659999999</v>
      </c>
      <c r="AM175" s="41">
        <f t="shared" ca="1" si="174"/>
        <v>16.136650169752023</v>
      </c>
      <c r="AN175" s="41">
        <f t="shared" ca="1" si="175"/>
        <v>0.66768908551752293</v>
      </c>
      <c r="AO175" s="41">
        <f t="shared" ca="1" si="176"/>
        <v>0.81325891031372299</v>
      </c>
      <c r="AP175" s="67">
        <f t="shared" si="193"/>
        <v>0.76519560575500656</v>
      </c>
      <c r="AQ175" s="11">
        <f t="shared" si="177"/>
        <v>0.97780244276860506</v>
      </c>
      <c r="AR175" s="11">
        <f t="shared" si="178"/>
        <v>0.66661998558398272</v>
      </c>
      <c r="AS175" s="11">
        <f t="shared" si="179"/>
        <v>0.68175324219530198</v>
      </c>
      <c r="AT175" s="11">
        <f t="shared" si="180"/>
        <v>507.15679299079233</v>
      </c>
      <c r="AU175" s="11">
        <f t="shared" si="181"/>
        <v>1410.7145458925359</v>
      </c>
      <c r="AV175" s="11">
        <f t="shared" si="182"/>
        <v>1.6204592813740132E-3</v>
      </c>
      <c r="AW175" s="11">
        <f t="shared" si="183"/>
        <v>3.6724249065266544E-7</v>
      </c>
      <c r="AX175" s="41">
        <f t="shared" ca="1" si="184"/>
        <v>1.1710927956956698</v>
      </c>
      <c r="AY175" s="41">
        <f t="shared" ca="1" si="185"/>
        <v>1.5774852625463527</v>
      </c>
      <c r="AZ175" s="41">
        <f t="shared" si="186"/>
        <v>0.20382141520181757</v>
      </c>
    </row>
    <row r="176" spans="1:52" ht="14.5">
      <c r="A176" s="41">
        <f t="shared" ca="1" si="187"/>
        <v>11069.943288712115</v>
      </c>
      <c r="B176" s="41">
        <f t="shared" ca="1" si="194"/>
        <v>184.49905481186858</v>
      </c>
      <c r="C176" s="41">
        <f t="shared" ca="1" si="194"/>
        <v>3.0749842468644761</v>
      </c>
      <c r="D176" s="41">
        <f t="shared" ca="1" si="188"/>
        <v>10793.333351028909</v>
      </c>
      <c r="E176" s="41">
        <f t="shared" ca="1" si="189"/>
        <v>929.73787930859737</v>
      </c>
      <c r="F176" s="41">
        <f t="shared" ca="1" si="190"/>
        <v>20.220975834719855</v>
      </c>
      <c r="G176" s="41"/>
      <c r="H176" s="7">
        <f t="shared" si="191"/>
        <v>10533.333035200023</v>
      </c>
      <c r="I176" s="6">
        <v>15</v>
      </c>
      <c r="J176" s="41">
        <f t="shared" si="149"/>
        <v>0.27099546583015444</v>
      </c>
      <c r="K176" s="41">
        <f t="shared" si="150"/>
        <v>299.45621675064729</v>
      </c>
      <c r="L176" s="6">
        <f t="shared" si="151"/>
        <v>147.55555555555563</v>
      </c>
      <c r="M176" s="41">
        <f t="shared" si="152"/>
        <v>177.4230171252905</v>
      </c>
      <c r="N176" s="41">
        <f t="shared" si="153"/>
        <v>73.27867477939779</v>
      </c>
      <c r="O176" s="41">
        <f t="shared" si="154"/>
        <v>1330716.9327023108</v>
      </c>
      <c r="P176" s="41">
        <f t="shared" si="155"/>
        <v>8544137.7816677615</v>
      </c>
      <c r="Q176" s="41">
        <f t="shared" si="156"/>
        <v>3.0597106182365264E-3</v>
      </c>
      <c r="R176" s="41">
        <f t="shared" si="157"/>
        <v>2.0461861106777331E-2</v>
      </c>
      <c r="S176" s="24">
        <f t="shared" ca="1" si="192"/>
        <v>-3.0986173788619382</v>
      </c>
      <c r="T176" s="10">
        <f t="shared" ca="1" si="158"/>
        <v>-3.0986173788619382</v>
      </c>
      <c r="U176" s="41">
        <f t="shared" ca="1" si="159"/>
        <v>0.63946198835999746</v>
      </c>
      <c r="V176" s="41">
        <f t="shared" ca="1" si="160"/>
        <v>4.6287380125660041E-2</v>
      </c>
      <c r="W176" s="41">
        <f t="shared" ca="1" si="161"/>
        <v>13.815039577180627</v>
      </c>
      <c r="X176" s="20">
        <f t="shared" ca="1" si="162"/>
        <v>780.13191116227858</v>
      </c>
      <c r="Y176" s="41">
        <f t="shared" si="163"/>
        <v>0.56919722061900913</v>
      </c>
      <c r="Z176" s="41">
        <f t="shared" ca="1" si="164"/>
        <v>154.5735138086016</v>
      </c>
      <c r="AA176" s="14">
        <f t="shared" ca="1" si="165"/>
        <v>781.27415348538659</v>
      </c>
      <c r="AB176" s="14">
        <f t="shared" si="166"/>
        <v>3934.026629895317</v>
      </c>
      <c r="AC176" s="25">
        <f t="shared" ca="1" si="167"/>
        <v>233957.4022477984</v>
      </c>
      <c r="AD176" s="41">
        <f t="shared" si="168"/>
        <v>1178068.7311847506</v>
      </c>
      <c r="AE176" s="6">
        <v>5</v>
      </c>
      <c r="AF176" s="41">
        <f t="shared" si="169"/>
        <v>196.70133149476587</v>
      </c>
      <c r="AG176" s="41">
        <f t="shared" ca="1" si="170"/>
        <v>3152.7524764099303</v>
      </c>
      <c r="AH176" s="41">
        <f t="shared" ca="1" si="171"/>
        <v>944111.32893695217</v>
      </c>
      <c r="AI176" s="41">
        <f t="shared" si="172"/>
        <v>150.24822119884524</v>
      </c>
      <c r="AJ176" s="13">
        <f t="shared" ca="1" si="173"/>
        <v>-16.187021047322283</v>
      </c>
      <c r="AK176" s="11"/>
      <c r="AL176" s="6">
        <v>-266.66666659999999</v>
      </c>
      <c r="AM176" s="41">
        <f t="shared" ca="1" si="174"/>
        <v>16.474103902157648</v>
      </c>
      <c r="AN176" s="41">
        <f t="shared" ca="1" si="175"/>
        <v>0.68755689087337268</v>
      </c>
      <c r="AO176" s="41">
        <f t="shared" ca="1" si="176"/>
        <v>0.81072552432596467</v>
      </c>
      <c r="AP176" s="67">
        <f t="shared" si="193"/>
        <v>0.76383937036462446</v>
      </c>
      <c r="AQ176" s="11">
        <f t="shared" si="177"/>
        <v>0.9796358694348134</v>
      </c>
      <c r="AR176" s="11">
        <f t="shared" si="178"/>
        <v>0.67358856069709561</v>
      </c>
      <c r="AS176" s="11">
        <f t="shared" si="179"/>
        <v>0.68759074847444357</v>
      </c>
      <c r="AT176" s="11">
        <f t="shared" si="180"/>
        <v>508.10773639975463</v>
      </c>
      <c r="AU176" s="11">
        <f t="shared" si="181"/>
        <v>1425.4615839184075</v>
      </c>
      <c r="AV176" s="11">
        <f t="shared" si="182"/>
        <v>1.6343344500489049E-3</v>
      </c>
      <c r="AW176" s="11">
        <f t="shared" si="183"/>
        <v>3.6778040414879051E-7</v>
      </c>
      <c r="AX176" s="41">
        <f t="shared" ca="1" si="184"/>
        <v>1.1456743088724823</v>
      </c>
      <c r="AY176" s="41">
        <f t="shared" ca="1" si="185"/>
        <v>1.5432460557924697</v>
      </c>
      <c r="AZ176" s="41">
        <f t="shared" si="186"/>
        <v>0.19912569348225531</v>
      </c>
    </row>
    <row r="177" spans="1:52" ht="14.5">
      <c r="A177" s="41">
        <f t="shared" ca="1" si="187"/>
        <v>11086.417392614272</v>
      </c>
      <c r="B177" s="41">
        <f t="shared" ca="1" si="194"/>
        <v>184.77362321023787</v>
      </c>
      <c r="C177" s="41">
        <f t="shared" ca="1" si="194"/>
        <v>3.079560386837298</v>
      </c>
      <c r="D177" s="41">
        <f t="shared" ca="1" si="188"/>
        <v>10792.645794138036</v>
      </c>
      <c r="E177" s="41">
        <f t="shared" ca="1" si="189"/>
        <v>930.54860483292339</v>
      </c>
      <c r="F177" s="41">
        <f t="shared" ca="1" si="190"/>
        <v>21.031701359045819</v>
      </c>
      <c r="G177" s="41"/>
      <c r="H177" s="7">
        <f t="shared" si="191"/>
        <v>10266.666368600023</v>
      </c>
      <c r="I177" s="6">
        <v>15</v>
      </c>
      <c r="J177" s="41">
        <f t="shared" si="149"/>
        <v>0.26426687848745695</v>
      </c>
      <c r="K177" s="41">
        <f t="shared" si="150"/>
        <v>292.29410969863403</v>
      </c>
      <c r="L177" s="6">
        <f t="shared" si="151"/>
        <v>144.61111111111117</v>
      </c>
      <c r="M177" s="41">
        <f t="shared" si="152"/>
        <v>173.17958329068549</v>
      </c>
      <c r="N177" s="41">
        <f t="shared" si="153"/>
        <v>70.411967919914304</v>
      </c>
      <c r="O177" s="41">
        <f t="shared" si="154"/>
        <v>1308078.0646195342</v>
      </c>
      <c r="P177" s="41">
        <f t="shared" si="155"/>
        <v>8398780.3406021819</v>
      </c>
      <c r="Q177" s="41">
        <f t="shared" si="156"/>
        <v>3.0692375500068359E-3</v>
      </c>
      <c r="R177" s="41">
        <f t="shared" si="157"/>
        <v>2.0516231594742883E-2</v>
      </c>
      <c r="S177" s="24">
        <f t="shared" ca="1" si="192"/>
        <v>-3.1146935440739347</v>
      </c>
      <c r="T177" s="10">
        <f t="shared" ca="1" si="158"/>
        <v>-3.1146935440739347</v>
      </c>
      <c r="U177" s="41">
        <f t="shared" ca="1" si="159"/>
        <v>0.66544409873814769</v>
      </c>
      <c r="V177" s="41">
        <f t="shared" ca="1" si="160"/>
        <v>4.8483029680233582E-2</v>
      </c>
      <c r="W177" s="41">
        <f t="shared" ca="1" si="161"/>
        <v>13.725299411506201</v>
      </c>
      <c r="X177" s="20">
        <f t="shared" ca="1" si="162"/>
        <v>785.17067201611781</v>
      </c>
      <c r="Y177" s="41">
        <f t="shared" si="163"/>
        <v>0.56995294365872951</v>
      </c>
      <c r="Z177" s="41">
        <f t="shared" ca="1" si="164"/>
        <v>153.91120264221587</v>
      </c>
      <c r="AA177" s="14">
        <f t="shared" ca="1" si="165"/>
        <v>786.3322664633705</v>
      </c>
      <c r="AB177" s="14">
        <f t="shared" si="166"/>
        <v>3975.0697217691754</v>
      </c>
      <c r="AC177" s="25">
        <f t="shared" ca="1" si="167"/>
        <v>229840.28975321996</v>
      </c>
      <c r="AD177" s="41">
        <f t="shared" si="168"/>
        <v>1161889.465314518</v>
      </c>
      <c r="AE177" s="6">
        <v>5</v>
      </c>
      <c r="AF177" s="41">
        <f t="shared" si="169"/>
        <v>198.75348608845877</v>
      </c>
      <c r="AG177" s="41">
        <f t="shared" ca="1" si="170"/>
        <v>3188.7374553058048</v>
      </c>
      <c r="AH177" s="41">
        <f t="shared" ca="1" si="171"/>
        <v>932049.17556129803</v>
      </c>
      <c r="AI177" s="41">
        <f t="shared" si="172"/>
        <v>151.5470338952442</v>
      </c>
      <c r="AJ177" s="13">
        <f t="shared" ca="1" si="173"/>
        <v>-15.881767320280426</v>
      </c>
      <c r="AK177" s="11"/>
      <c r="AL177" s="6">
        <v>-266.66666659999999</v>
      </c>
      <c r="AM177" s="41">
        <f t="shared" ca="1" si="174"/>
        <v>16.790742568018647</v>
      </c>
      <c r="AN177" s="41">
        <f t="shared" ca="1" si="175"/>
        <v>0.70682978696717824</v>
      </c>
      <c r="AO177" s="41">
        <f t="shared" ca="1" si="176"/>
        <v>0.8065328578355333</v>
      </c>
      <c r="AP177" s="67">
        <f t="shared" si="193"/>
        <v>0.76248742539185199</v>
      </c>
      <c r="AQ177" s="11">
        <f t="shared" si="177"/>
        <v>0.98146929610102174</v>
      </c>
      <c r="AR177" s="11">
        <f t="shared" si="178"/>
        <v>0.68061600605595085</v>
      </c>
      <c r="AS177" s="11">
        <f t="shared" si="179"/>
        <v>0.69346642708005368</v>
      </c>
      <c r="AT177" s="11">
        <f t="shared" si="180"/>
        <v>509.05867980871693</v>
      </c>
      <c r="AU177" s="11">
        <f t="shared" si="181"/>
        <v>1440.3332043357241</v>
      </c>
      <c r="AV177" s="11">
        <f t="shared" si="182"/>
        <v>1.6483003505265794E-3</v>
      </c>
      <c r="AW177" s="11">
        <f t="shared" si="183"/>
        <v>3.683178370652101E-7</v>
      </c>
      <c r="AX177" s="41">
        <f t="shared" ca="1" si="184"/>
        <v>1.1217745761394329</v>
      </c>
      <c r="AY177" s="41">
        <f t="shared" ca="1" si="185"/>
        <v>1.5110526409719249</v>
      </c>
      <c r="AZ177" s="41">
        <f t="shared" si="186"/>
        <v>0.19444978786723441</v>
      </c>
    </row>
    <row r="178" spans="1:52" ht="14.5">
      <c r="A178" s="41">
        <f t="shared" ca="1" si="187"/>
        <v>11103.208135182291</v>
      </c>
      <c r="B178" s="41">
        <f t="shared" ca="1" si="194"/>
        <v>185.05346891970484</v>
      </c>
      <c r="C178" s="41">
        <f t="shared" ca="1" si="194"/>
        <v>3.0842244819950806</v>
      </c>
      <c r="D178" s="41">
        <f t="shared" ca="1" si="188"/>
        <v>10791.938964351069</v>
      </c>
      <c r="E178" s="41">
        <f t="shared" ca="1" si="189"/>
        <v>931.35513769075897</v>
      </c>
      <c r="F178" s="41">
        <f t="shared" ca="1" si="190"/>
        <v>21.838234216881354</v>
      </c>
      <c r="G178" s="41"/>
      <c r="H178" s="7">
        <f t="shared" si="191"/>
        <v>9999.9997020000228</v>
      </c>
      <c r="I178" s="6">
        <v>15</v>
      </c>
      <c r="J178" s="41">
        <f t="shared" si="149"/>
        <v>0.25759853849273884</v>
      </c>
      <c r="K178" s="41">
        <f t="shared" si="150"/>
        <v>285.18454448415554</v>
      </c>
      <c r="L178" s="6">
        <f t="shared" si="151"/>
        <v>141.66666666666671</v>
      </c>
      <c r="M178" s="41">
        <f t="shared" si="152"/>
        <v>168.96727965415042</v>
      </c>
      <c r="N178" s="41">
        <f t="shared" si="153"/>
        <v>67.599949920905715</v>
      </c>
      <c r="O178" s="41">
        <f t="shared" si="154"/>
        <v>1285271.7335871833</v>
      </c>
      <c r="P178" s="41">
        <f t="shared" si="155"/>
        <v>8252347.6697267722</v>
      </c>
      <c r="Q178" s="41">
        <f t="shared" si="156"/>
        <v>3.0789835690393143E-3</v>
      </c>
      <c r="R178" s="41">
        <f t="shared" si="157"/>
        <v>2.0571852420344761E-2</v>
      </c>
      <c r="S178" s="24">
        <f t="shared" ca="1" si="192"/>
        <v>-3.1376762506181608</v>
      </c>
      <c r="T178" s="10">
        <f t="shared" ca="1" si="158"/>
        <v>-3.1376762506181608</v>
      </c>
      <c r="U178" s="41">
        <f t="shared" ca="1" si="159"/>
        <v>0.69306461810533393</v>
      </c>
      <c r="V178" s="41">
        <f t="shared" ca="1" si="160"/>
        <v>5.0908462323776008E-2</v>
      </c>
      <c r="W178" s="41">
        <f t="shared" ca="1" si="161"/>
        <v>13.613937378376656</v>
      </c>
      <c r="X178" s="20">
        <f t="shared" ca="1" si="162"/>
        <v>791.52418583664189</v>
      </c>
      <c r="Y178" s="41">
        <f t="shared" si="163"/>
        <v>0.57072501030690959</v>
      </c>
      <c r="Z178" s="41">
        <f t="shared" ca="1" si="164"/>
        <v>153.2523802465563</v>
      </c>
      <c r="AA178" s="14">
        <f t="shared" ca="1" si="165"/>
        <v>792.71254629774967</v>
      </c>
      <c r="AB178" s="14">
        <f t="shared" si="166"/>
        <v>4016.4588571933027</v>
      </c>
      <c r="AC178" s="25">
        <f t="shared" ca="1" si="167"/>
        <v>226069.3664227988</v>
      </c>
      <c r="AD178" s="41">
        <f t="shared" si="168"/>
        <v>1145431.9896280239</v>
      </c>
      <c r="AE178" s="6">
        <v>5</v>
      </c>
      <c r="AF178" s="41">
        <f t="shared" si="169"/>
        <v>200.82294285966515</v>
      </c>
      <c r="AG178" s="41">
        <f t="shared" ca="1" si="170"/>
        <v>3223.7463108955531</v>
      </c>
      <c r="AH178" s="41">
        <f t="shared" ca="1" si="171"/>
        <v>919362.6232052251</v>
      </c>
      <c r="AI178" s="41">
        <f t="shared" si="172"/>
        <v>152.85435231635176</v>
      </c>
      <c r="AJ178" s="13">
        <f t="shared" ca="1" si="173"/>
        <v>-15.60969400040924</v>
      </c>
      <c r="AK178" s="11"/>
      <c r="AL178" s="6">
        <v>-266.66666659999999</v>
      </c>
      <c r="AM178" s="41">
        <f t="shared" ca="1" si="174"/>
        <v>17.083401288520374</v>
      </c>
      <c r="AN178" s="41">
        <f t="shared" ca="1" si="175"/>
        <v>0.72535339981030855</v>
      </c>
      <c r="AO178" s="41">
        <f t="shared" ca="1" si="176"/>
        <v>0.80061350515848695</v>
      </c>
      <c r="AP178" s="67">
        <f t="shared" si="193"/>
        <v>0.76113988839993363</v>
      </c>
      <c r="AQ178" s="11">
        <f t="shared" si="177"/>
        <v>0.98330272276723008</v>
      </c>
      <c r="AR178" s="11">
        <f t="shared" si="178"/>
        <v>0.687702701389169</v>
      </c>
      <c r="AS178" s="11">
        <f t="shared" si="179"/>
        <v>0.69938045066510379</v>
      </c>
      <c r="AT178" s="11">
        <f t="shared" si="180"/>
        <v>510.00962321767918</v>
      </c>
      <c r="AU178" s="11">
        <f t="shared" si="181"/>
        <v>1455.330210733787</v>
      </c>
      <c r="AV178" s="11">
        <f t="shared" si="182"/>
        <v>1.662357393185885E-3</v>
      </c>
      <c r="AW178" s="11">
        <f t="shared" si="183"/>
        <v>3.6885479043597663E-7</v>
      </c>
      <c r="AX178" s="41">
        <f t="shared" ca="1" si="184"/>
        <v>1.0994986193686982</v>
      </c>
      <c r="AY178" s="41">
        <f t="shared" ca="1" si="185"/>
        <v>1.4810464846330678</v>
      </c>
      <c r="AZ178" s="41">
        <f t="shared" si="186"/>
        <v>0.18979404154734592</v>
      </c>
    </row>
    <row r="179" spans="1:52" ht="14.5">
      <c r="A179" s="41">
        <f t="shared" ca="1" si="187"/>
        <v>11120.291536470811</v>
      </c>
      <c r="B179" s="41">
        <f t="shared" ca="1" si="194"/>
        <v>185.33819227451352</v>
      </c>
      <c r="C179" s="41">
        <f t="shared" ca="1" si="194"/>
        <v>3.088969871241892</v>
      </c>
      <c r="D179" s="41">
        <f t="shared" ca="1" si="188"/>
        <v>10791.213610951259</v>
      </c>
      <c r="E179" s="41">
        <f t="shared" ca="1" si="189"/>
        <v>932.15575119591745</v>
      </c>
      <c r="F179" s="41">
        <f t="shared" ca="1" si="190"/>
        <v>22.638847722039841</v>
      </c>
      <c r="G179" s="41"/>
      <c r="H179" s="7">
        <f t="shared" si="191"/>
        <v>9733.3330354000227</v>
      </c>
      <c r="I179" s="6">
        <v>15</v>
      </c>
      <c r="J179" s="41">
        <f t="shared" si="149"/>
        <v>0.2509900809760271</v>
      </c>
      <c r="K179" s="41">
        <f t="shared" si="150"/>
        <v>278.12732340146414</v>
      </c>
      <c r="L179" s="6">
        <f t="shared" si="151"/>
        <v>138.72222222222226</v>
      </c>
      <c r="M179" s="41">
        <f t="shared" si="152"/>
        <v>164.78598907819307</v>
      </c>
      <c r="N179" s="41">
        <f t="shared" si="153"/>
        <v>64.842899480715985</v>
      </c>
      <c r="O179" s="41">
        <f t="shared" si="154"/>
        <v>1262298.7258239104</v>
      </c>
      <c r="P179" s="41">
        <f t="shared" si="155"/>
        <v>8104844.8171177451</v>
      </c>
      <c r="Q179" s="41">
        <f t="shared" si="156"/>
        <v>3.0889605561088356E-3</v>
      </c>
      <c r="R179" s="41">
        <f t="shared" si="157"/>
        <v>2.0628791387524766E-2</v>
      </c>
      <c r="S179" s="24">
        <f t="shared" ca="1" si="192"/>
        <v>-3.1680774354340668</v>
      </c>
      <c r="T179" s="10">
        <f t="shared" ca="1" si="158"/>
        <v>-3.1680774354340668</v>
      </c>
      <c r="U179" s="41">
        <f t="shared" ca="1" si="159"/>
        <v>0.72246330193767605</v>
      </c>
      <c r="V179" s="41">
        <f t="shared" ca="1" si="160"/>
        <v>5.3593646723622101E-2</v>
      </c>
      <c r="W179" s="41">
        <f t="shared" ca="1" si="161"/>
        <v>13.480390794516337</v>
      </c>
      <c r="X179" s="20">
        <f t="shared" ca="1" si="162"/>
        <v>799.28851288011117</v>
      </c>
      <c r="Y179" s="41">
        <f t="shared" si="163"/>
        <v>0.57151429357142103</v>
      </c>
      <c r="Z179" s="41">
        <f t="shared" ca="1" si="164"/>
        <v>152.59697739561031</v>
      </c>
      <c r="AA179" s="14">
        <f t="shared" ca="1" si="165"/>
        <v>800.5119269495508</v>
      </c>
      <c r="AB179" s="14">
        <f t="shared" si="166"/>
        <v>4058.1962638269911</v>
      </c>
      <c r="AC179" s="25">
        <f t="shared" ca="1" si="167"/>
        <v>222644.23959342696</v>
      </c>
      <c r="AD179" s="41">
        <f t="shared" si="168"/>
        <v>1128695.264696023</v>
      </c>
      <c r="AE179" s="6">
        <v>5</v>
      </c>
      <c r="AF179" s="41">
        <f t="shared" si="169"/>
        <v>202.90981319134957</v>
      </c>
      <c r="AG179" s="41">
        <f t="shared" ca="1" si="170"/>
        <v>3257.6843368774403</v>
      </c>
      <c r="AH179" s="41">
        <f t="shared" ca="1" si="171"/>
        <v>906051.02510259603</v>
      </c>
      <c r="AI179" s="41">
        <f t="shared" si="172"/>
        <v>154.17024161399004</v>
      </c>
      <c r="AJ179" s="13">
        <f t="shared" ca="1" si="173"/>
        <v>-15.370765277943494</v>
      </c>
      <c r="AK179" s="11"/>
      <c r="AL179" s="6">
        <v>-266.66666659999999</v>
      </c>
      <c r="AM179" s="41">
        <f t="shared" ca="1" si="174"/>
        <v>17.348951843188786</v>
      </c>
      <c r="AN179" s="41">
        <f t="shared" ca="1" si="175"/>
        <v>0.74297002705941484</v>
      </c>
      <c r="AO179" s="41">
        <f t="shared" ca="1" si="176"/>
        <v>0.79291528235611108</v>
      </c>
      <c r="AP179" s="67">
        <f t="shared" si="193"/>
        <v>0.7597968732473438</v>
      </c>
      <c r="AQ179" s="11">
        <f t="shared" si="177"/>
        <v>0.9851361494334383</v>
      </c>
      <c r="AR179" s="11">
        <f t="shared" si="178"/>
        <v>0.69484902811913407</v>
      </c>
      <c r="AS179" s="11">
        <f t="shared" si="179"/>
        <v>0.70533299231659374</v>
      </c>
      <c r="AT179" s="11">
        <f t="shared" si="180"/>
        <v>510.96056662664142</v>
      </c>
      <c r="AU179" s="11">
        <f t="shared" si="181"/>
        <v>1470.4534102862738</v>
      </c>
      <c r="AV179" s="11">
        <f t="shared" si="182"/>
        <v>1.6765059894373116E-3</v>
      </c>
      <c r="AW179" s="11">
        <f t="shared" si="183"/>
        <v>3.6939126529211814E-7</v>
      </c>
      <c r="AX179" s="41">
        <f t="shared" ca="1" si="184"/>
        <v>1.0789681555551052</v>
      </c>
      <c r="AY179" s="41">
        <f t="shared" ca="1" si="185"/>
        <v>1.4533915419861483</v>
      </c>
      <c r="AZ179" s="41">
        <f t="shared" si="186"/>
        <v>0.18515878376337266</v>
      </c>
    </row>
    <row r="180" spans="1:52" ht="14.5">
      <c r="A180" s="41">
        <f t="shared" ca="1" si="187"/>
        <v>11137.640488314</v>
      </c>
      <c r="B180" s="41">
        <f t="shared" ca="1" si="194"/>
        <v>185.6273414719</v>
      </c>
      <c r="C180" s="41">
        <f t="shared" ca="1" si="194"/>
        <v>3.0937890245316666</v>
      </c>
      <c r="D180" s="41">
        <f t="shared" ca="1" si="188"/>
        <v>10790.470640924201</v>
      </c>
      <c r="E180" s="41">
        <f t="shared" ca="1" si="189"/>
        <v>932.94866647827359</v>
      </c>
      <c r="F180" s="41">
        <f t="shared" ca="1" si="190"/>
        <v>23.431763004395954</v>
      </c>
      <c r="G180" s="41"/>
      <c r="H180" s="7">
        <f t="shared" si="191"/>
        <v>9466.6663688000226</v>
      </c>
      <c r="I180" s="6">
        <v>15</v>
      </c>
      <c r="J180" s="41">
        <f t="shared" si="149"/>
        <v>0.24444113567897732</v>
      </c>
      <c r="K180" s="41">
        <f t="shared" si="150"/>
        <v>271.12224084152018</v>
      </c>
      <c r="L180" s="6">
        <f t="shared" si="151"/>
        <v>135.7777777777778</v>
      </c>
      <c r="M180" s="41">
        <f t="shared" si="152"/>
        <v>160.63558974274724</v>
      </c>
      <c r="N180" s="41">
        <f t="shared" si="153"/>
        <v>62.141081199053986</v>
      </c>
      <c r="O180" s="41">
        <f t="shared" si="154"/>
        <v>1239159.8026599963</v>
      </c>
      <c r="P180" s="41">
        <f t="shared" si="155"/>
        <v>7956276.6710504759</v>
      </c>
      <c r="Q180" s="41">
        <f t="shared" si="156"/>
        <v>3.0991811901545903E-3</v>
      </c>
      <c r="R180" s="41">
        <f t="shared" si="157"/>
        <v>2.068712085537262E-2</v>
      </c>
      <c r="S180" s="24">
        <f t="shared" ca="1" si="192"/>
        <v>-3.2064630017350861</v>
      </c>
      <c r="T180" s="10">
        <f t="shared" ca="1" si="158"/>
        <v>-3.2064630017350861</v>
      </c>
      <c r="U180" s="41">
        <f t="shared" ca="1" si="159"/>
        <v>0.75379509726254634</v>
      </c>
      <c r="V180" s="41">
        <f t="shared" ca="1" si="160"/>
        <v>5.6573216289272171E-2</v>
      </c>
      <c r="W180" s="41">
        <f t="shared" ca="1" si="161"/>
        <v>13.324239749923613</v>
      </c>
      <c r="X180" s="20">
        <f t="shared" ca="1" si="162"/>
        <v>808.56979023836027</v>
      </c>
      <c r="Y180" s="41">
        <f t="shared" si="163"/>
        <v>0.5723217231522324</v>
      </c>
      <c r="Z180" s="41">
        <f t="shared" ca="1" si="164"/>
        <v>151.94491785179395</v>
      </c>
      <c r="AA180" s="14">
        <f t="shared" ca="1" si="165"/>
        <v>809.83762251696658</v>
      </c>
      <c r="AB180" s="14">
        <f t="shared" si="166"/>
        <v>4100.2841792463132</v>
      </c>
      <c r="AC180" s="25">
        <f t="shared" ca="1" si="167"/>
        <v>219564.99093456913</v>
      </c>
      <c r="AD180" s="41">
        <f t="shared" si="168"/>
        <v>1111678.2347642938</v>
      </c>
      <c r="AE180" s="6">
        <v>5</v>
      </c>
      <c r="AF180" s="41">
        <f t="shared" si="169"/>
        <v>205.01420896231568</v>
      </c>
      <c r="AG180" s="41">
        <f t="shared" ca="1" si="170"/>
        <v>3290.4465567293464</v>
      </c>
      <c r="AH180" s="41">
        <f t="shared" ca="1" si="171"/>
        <v>892113.24382972461</v>
      </c>
      <c r="AI180" s="41">
        <f t="shared" si="172"/>
        <v>155.49476738319677</v>
      </c>
      <c r="AJ180" s="13">
        <f t="shared" ca="1" si="173"/>
        <v>-15.16498650645992</v>
      </c>
      <c r="AK180" s="11"/>
      <c r="AL180" s="6">
        <v>-266.66666659999999</v>
      </c>
      <c r="AM180" s="41">
        <f t="shared" ca="1" si="174"/>
        <v>17.584365570414874</v>
      </c>
      <c r="AN180" s="41">
        <f t="shared" ca="1" si="175"/>
        <v>0.75952134276465422</v>
      </c>
      <c r="AO180" s="41">
        <f t="shared" ca="1" si="176"/>
        <v>0.78340355423453889</v>
      </c>
      <c r="AP180" s="67">
        <f t="shared" si="193"/>
        <v>0.75845849012240296</v>
      </c>
      <c r="AQ180" s="11">
        <f t="shared" si="177"/>
        <v>0.98696957609964664</v>
      </c>
      <c r="AR180" s="11">
        <f t="shared" si="178"/>
        <v>0.70205536936619284</v>
      </c>
      <c r="AS180" s="11">
        <f t="shared" si="179"/>
        <v>0.71132422555577512</v>
      </c>
      <c r="AT180" s="11">
        <f t="shared" si="180"/>
        <v>511.91151003560367</v>
      </c>
      <c r="AU180" s="11">
        <f t="shared" si="181"/>
        <v>1485.7036137601244</v>
      </c>
      <c r="AV180" s="11">
        <f t="shared" si="182"/>
        <v>1.6907465517235218E-3</v>
      </c>
      <c r="AW180" s="11">
        <f t="shared" si="183"/>
        <v>3.6992726266164316E-7</v>
      </c>
      <c r="AX180" s="41">
        <f t="shared" ca="1" si="184"/>
        <v>1.0603251622532217</v>
      </c>
      <c r="AY180" s="41">
        <f t="shared" ca="1" si="185"/>
        <v>1.428279059617916</v>
      </c>
      <c r="AZ180" s="41">
        <f t="shared" si="186"/>
        <v>0.18054433001383344</v>
      </c>
    </row>
    <row r="181" spans="1:52" ht="14.5">
      <c r="A181" s="41">
        <f t="shared" ca="1" si="187"/>
        <v>11155.224853884416</v>
      </c>
      <c r="B181" s="41">
        <f t="shared" ca="1" si="194"/>
        <v>185.92041423140694</v>
      </c>
      <c r="C181" s="41">
        <f t="shared" ca="1" si="194"/>
        <v>3.0986735705234492</v>
      </c>
      <c r="D181" s="41">
        <f t="shared" ca="1" si="188"/>
        <v>10789.711119581436</v>
      </c>
      <c r="E181" s="41">
        <f t="shared" ca="1" si="189"/>
        <v>933.73207003250809</v>
      </c>
      <c r="F181" s="41">
        <f t="shared" ca="1" si="190"/>
        <v>24.215166558630493</v>
      </c>
      <c r="G181" s="41"/>
      <c r="H181" s="7">
        <f t="shared" si="191"/>
        <v>9199.9997022000225</v>
      </c>
      <c r="I181" s="6">
        <v>15</v>
      </c>
      <c r="J181" s="41">
        <f t="shared" si="149"/>
        <v>0.23795132722465073</v>
      </c>
      <c r="K181" s="41">
        <f t="shared" si="150"/>
        <v>264.16908356929287</v>
      </c>
      <c r="L181" s="6">
        <f t="shared" si="151"/>
        <v>132.83333333333334</v>
      </c>
      <c r="M181" s="41">
        <f t="shared" si="152"/>
        <v>156.51595530946892</v>
      </c>
      <c r="N181" s="41">
        <f t="shared" si="153"/>
        <v>59.494746008302272</v>
      </c>
      <c r="O181" s="41">
        <f t="shared" si="154"/>
        <v>1215855.7004724659</v>
      </c>
      <c r="P181" s="41">
        <f t="shared" si="155"/>
        <v>7806647.9595829053</v>
      </c>
      <c r="Q181" s="41">
        <f t="shared" si="156"/>
        <v>3.1096590230493301E-3</v>
      </c>
      <c r="R181" s="41">
        <f t="shared" si="157"/>
        <v>2.0746918164836294E-2</v>
      </c>
      <c r="S181" s="24">
        <f t="shared" ca="1" si="192"/>
        <v>-3.2534599515072617</v>
      </c>
      <c r="T181" s="10">
        <f t="shared" ca="1" si="158"/>
        <v>-3.2534599515072617</v>
      </c>
      <c r="U181" s="41">
        <f t="shared" ca="1" si="159"/>
        <v>0.78723215611678132</v>
      </c>
      <c r="V181" s="41">
        <f t="shared" ca="1" si="160"/>
        <v>5.9887316548498104E-2</v>
      </c>
      <c r="W181" s="41">
        <f t="shared" ca="1" si="161"/>
        <v>13.145223421043802</v>
      </c>
      <c r="X181" s="20">
        <f t="shared" ca="1" si="162"/>
        <v>819.48555804948921</v>
      </c>
      <c r="Y181" s="41">
        <f t="shared" si="163"/>
        <v>0.57314829065787398</v>
      </c>
      <c r="Z181" s="41">
        <f t="shared" ca="1" si="164"/>
        <v>151.29611679190427</v>
      </c>
      <c r="AA181" s="14">
        <f t="shared" ca="1" si="165"/>
        <v>820.80850009049709</v>
      </c>
      <c r="AB181" s="14">
        <f t="shared" si="166"/>
        <v>4142.7248509686415</v>
      </c>
      <c r="AC181" s="25">
        <f t="shared" ca="1" si="167"/>
        <v>216832.22925479244</v>
      </c>
      <c r="AD181" s="41">
        <f t="shared" si="168"/>
        <v>1094379.8273601213</v>
      </c>
      <c r="AE181" s="6">
        <v>5</v>
      </c>
      <c r="AF181" s="41">
        <f t="shared" si="169"/>
        <v>207.13624254843208</v>
      </c>
      <c r="AG181" s="41">
        <f t="shared" ca="1" si="170"/>
        <v>3321.9163508781444</v>
      </c>
      <c r="AH181" s="41">
        <f t="shared" ca="1" si="171"/>
        <v>877547.59810532886</v>
      </c>
      <c r="AI181" s="41">
        <f t="shared" si="172"/>
        <v>156.82799565347153</v>
      </c>
      <c r="AJ181" s="13">
        <f t="shared" ca="1" si="173"/>
        <v>-14.992408574000201</v>
      </c>
      <c r="AK181" s="11"/>
      <c r="AL181" s="6">
        <v>-266.66666659999999</v>
      </c>
      <c r="AM181" s="41">
        <f t="shared" ca="1" si="174"/>
        <v>17.786779574727749</v>
      </c>
      <c r="AN181" s="41">
        <f t="shared" ca="1" si="175"/>
        <v>0.77485138606518333</v>
      </c>
      <c r="AO181" s="41">
        <f t="shared" ca="1" si="176"/>
        <v>0.77206328027134097</v>
      </c>
      <c r="AP181" s="67">
        <f t="shared" si="193"/>
        <v>0.75712484557984783</v>
      </c>
      <c r="AQ181" s="11">
        <f t="shared" si="177"/>
        <v>0.98880300276585498</v>
      </c>
      <c r="AR181" s="11">
        <f t="shared" si="178"/>
        <v>0.70932210995285283</v>
      </c>
      <c r="AS181" s="11">
        <f t="shared" si="179"/>
        <v>0.71735432433837154</v>
      </c>
      <c r="AT181" s="11">
        <f t="shared" si="180"/>
        <v>512.86245344456597</v>
      </c>
      <c r="AU181" s="11">
        <f t="shared" si="181"/>
        <v>1501.081635524426</v>
      </c>
      <c r="AV181" s="11">
        <f t="shared" si="182"/>
        <v>1.7050794935198753E-3</v>
      </c>
      <c r="AW181" s="11">
        <f t="shared" si="183"/>
        <v>3.7046278356955388E-7</v>
      </c>
      <c r="AX181" s="41">
        <f t="shared" ca="1" si="184"/>
        <v>1.0437363536767008</v>
      </c>
      <c r="AY181" s="41">
        <f t="shared" ca="1" si="185"/>
        <v>1.405933604886364</v>
      </c>
      <c r="AZ181" s="41">
        <f t="shared" si="186"/>
        <v>0.17595098226723946</v>
      </c>
    </row>
    <row r="182" spans="1:52" ht="14.5">
      <c r="A182" s="41">
        <f t="shared" ca="1" si="187"/>
        <v>11173.011633459144</v>
      </c>
      <c r="B182" s="41">
        <f t="shared" ca="1" si="194"/>
        <v>186.21686055765241</v>
      </c>
      <c r="C182" s="41">
        <f t="shared" ca="1" si="194"/>
        <v>3.10361434262754</v>
      </c>
      <c r="D182" s="41">
        <f t="shared" ca="1" si="188"/>
        <v>10788.93626819537</v>
      </c>
      <c r="E182" s="41">
        <f t="shared" ca="1" si="189"/>
        <v>934.50413331277946</v>
      </c>
      <c r="F182" s="41">
        <f t="shared" ca="1" si="190"/>
        <v>24.987229838901833</v>
      </c>
      <c r="G182" s="41"/>
      <c r="H182" s="7">
        <f t="shared" si="191"/>
        <v>8933.3330356000224</v>
      </c>
      <c r="I182" s="6">
        <v>15</v>
      </c>
      <c r="J182" s="41">
        <f t="shared" si="149"/>
        <v>0.23152027538385009</v>
      </c>
      <c r="K182" s="41">
        <f t="shared" si="150"/>
        <v>257.26763099894714</v>
      </c>
      <c r="L182" s="6">
        <f t="shared" si="151"/>
        <v>129.88888888888889</v>
      </c>
      <c r="M182" s="41">
        <f t="shared" si="152"/>
        <v>152.42695508478019</v>
      </c>
      <c r="N182" s="41">
        <f t="shared" si="153"/>
        <v>56.90413160298629</v>
      </c>
      <c r="O182" s="41">
        <f t="shared" si="154"/>
        <v>1192387.1306432232</v>
      </c>
      <c r="P182" s="41">
        <f t="shared" si="155"/>
        <v>7655963.2502867337</v>
      </c>
      <c r="Q182" s="41">
        <f t="shared" si="156"/>
        <v>3.1204085632332E-3</v>
      </c>
      <c r="R182" s="41">
        <f t="shared" si="157"/>
        <v>2.0808266116022815E-2</v>
      </c>
      <c r="S182" s="24">
        <f t="shared" ca="1" si="192"/>
        <v>-3.3097646139149086</v>
      </c>
      <c r="T182" s="10">
        <f t="shared" ca="1" si="158"/>
        <v>-3.3097646139149086</v>
      </c>
      <c r="U182" s="41">
        <f t="shared" ca="1" si="159"/>
        <v>0.82296616450699134</v>
      </c>
      <c r="V182" s="41">
        <f t="shared" ca="1" si="160"/>
        <v>6.3582629124038767E-2</v>
      </c>
      <c r="W182" s="41">
        <f t="shared" ca="1" si="161"/>
        <v>12.943254719799743</v>
      </c>
      <c r="X182" s="20">
        <f t="shared" ca="1" si="162"/>
        <v>832.16628792777942</v>
      </c>
      <c r="Y182" s="41">
        <f t="shared" si="163"/>
        <v>0.57399505543058038</v>
      </c>
      <c r="Z182" s="41">
        <f t="shared" ca="1" si="164"/>
        <v>150.65047888453228</v>
      </c>
      <c r="AA182" s="14">
        <f t="shared" ca="1" si="165"/>
        <v>833.55666729568122</v>
      </c>
      <c r="AB182" s="14">
        <f t="shared" si="166"/>
        <v>4185.5205364772009</v>
      </c>
      <c r="AC182" s="25">
        <f t="shared" ca="1" si="167"/>
        <v>214447.14909853745</v>
      </c>
      <c r="AD182" s="41">
        <f t="shared" si="168"/>
        <v>1076798.9529169318</v>
      </c>
      <c r="AE182" s="6">
        <v>5</v>
      </c>
      <c r="AF182" s="41">
        <f t="shared" si="169"/>
        <v>209.27602682386006</v>
      </c>
      <c r="AG182" s="41">
        <f t="shared" ca="1" si="170"/>
        <v>3351.9638691815198</v>
      </c>
      <c r="AH182" s="41">
        <f t="shared" ca="1" si="171"/>
        <v>862351.80381839443</v>
      </c>
      <c r="AI182" s="41">
        <f t="shared" si="172"/>
        <v>158.16999288018093</v>
      </c>
      <c r="AJ182" s="13">
        <f t="shared" ca="1" si="173"/>
        <v>-14.853132678049024</v>
      </c>
      <c r="AK182" s="11"/>
      <c r="AL182" s="6">
        <v>-266.66666659999999</v>
      </c>
      <c r="AM182" s="41">
        <f t="shared" ca="1" si="174"/>
        <v>17.953563896597938</v>
      </c>
      <c r="AN182" s="41">
        <f t="shared" ca="1" si="175"/>
        <v>0.78880974269410264</v>
      </c>
      <c r="AO182" s="41">
        <f t="shared" ca="1" si="176"/>
        <v>0.75890066516509647</v>
      </c>
      <c r="AP182" s="67">
        <f t="shared" si="193"/>
        <v>0.75579604257924293</v>
      </c>
      <c r="AQ182" s="11">
        <f t="shared" si="177"/>
        <v>0.99063642943206331</v>
      </c>
      <c r="AR182" s="11">
        <f t="shared" si="178"/>
        <v>0.71664963640798585</v>
      </c>
      <c r="AS182" s="11">
        <f t="shared" si="179"/>
        <v>0.72342346305480065</v>
      </c>
      <c r="AT182" s="11">
        <f t="shared" si="180"/>
        <v>513.81339685352827</v>
      </c>
      <c r="AU182" s="11">
        <f t="shared" si="181"/>
        <v>1516.5882935593077</v>
      </c>
      <c r="AV182" s="11">
        <f t="shared" si="182"/>
        <v>1.7195052293349556E-3</v>
      </c>
      <c r="AW182" s="11">
        <f t="shared" si="183"/>
        <v>3.7099782903784854E-7</v>
      </c>
      <c r="AX182" s="41">
        <f t="shared" ca="1" si="184"/>
        <v>1.0293988406526278</v>
      </c>
      <c r="AY182" s="41">
        <f t="shared" ca="1" si="185"/>
        <v>1.3866206899916855</v>
      </c>
      <c r="AZ182" s="41">
        <f t="shared" si="186"/>
        <v>0.17137902917861958</v>
      </c>
    </row>
    <row r="183" spans="1:52" ht="14.5">
      <c r="A183" s="41">
        <f t="shared" ca="1" si="187"/>
        <v>11190.965197355741</v>
      </c>
      <c r="B183" s="41">
        <f t="shared" ca="1" si="194"/>
        <v>186.51608662259568</v>
      </c>
      <c r="C183" s="41">
        <f t="shared" ca="1" si="194"/>
        <v>3.1086014437099281</v>
      </c>
      <c r="D183" s="41">
        <f t="shared" ca="1" si="188"/>
        <v>10788.147458452675</v>
      </c>
      <c r="E183" s="41">
        <f t="shared" ca="1" si="189"/>
        <v>935.26303397794459</v>
      </c>
      <c r="F183" s="41">
        <f t="shared" ca="1" si="190"/>
        <v>25.746130504066929</v>
      </c>
      <c r="G183" s="41"/>
      <c r="H183" s="7">
        <f t="shared" si="191"/>
        <v>8666.6663690000223</v>
      </c>
      <c r="I183" s="6">
        <v>15</v>
      </c>
      <c r="J183" s="41">
        <f t="shared" si="149"/>
        <v>0.2251475953378361</v>
      </c>
      <c r="K183" s="41">
        <f t="shared" si="150"/>
        <v>250.41765546668523</v>
      </c>
      <c r="L183" s="6">
        <f t="shared" si="151"/>
        <v>126.94444444444443</v>
      </c>
      <c r="M183" s="41">
        <f t="shared" si="152"/>
        <v>148.36845418152353</v>
      </c>
      <c r="N183" s="41">
        <f t="shared" si="153"/>
        <v>54.369462866902417</v>
      </c>
      <c r="O183" s="41">
        <f t="shared" si="154"/>
        <v>1168754.77953938</v>
      </c>
      <c r="P183" s="41">
        <f t="shared" si="155"/>
        <v>7504226.9501211178</v>
      </c>
      <c r="Q183" s="41">
        <f t="shared" si="156"/>
        <v>3.1314453694863257E-3</v>
      </c>
      <c r="R183" s="41">
        <f t="shared" si="157"/>
        <v>2.0871253503361283E-2</v>
      </c>
      <c r="S183" s="24">
        <f t="shared" ca="1" si="192"/>
        <v>-3.37615216258664</v>
      </c>
      <c r="T183" s="10">
        <f t="shared" ca="1" si="158"/>
        <v>-3.37615216258664</v>
      </c>
      <c r="U183" s="41">
        <f t="shared" ca="1" si="159"/>
        <v>0.86121104400228699</v>
      </c>
      <c r="V183" s="41">
        <f t="shared" ca="1" si="160"/>
        <v>6.7713613976111781E-2</v>
      </c>
      <c r="W183" s="41">
        <f t="shared" ca="1" si="161"/>
        <v>12.718432726188675</v>
      </c>
      <c r="X183" s="20">
        <f t="shared" ca="1" si="162"/>
        <v>846.75714875133394</v>
      </c>
      <c r="Y183" s="41">
        <f t="shared" si="163"/>
        <v>0.57486315106636032</v>
      </c>
      <c r="Z183" s="41">
        <f t="shared" ca="1" si="164"/>
        <v>150.00789594034396</v>
      </c>
      <c r="AA183" s="14">
        <f t="shared" ca="1" si="165"/>
        <v>848.22931336804356</v>
      </c>
      <c r="AB183" s="14">
        <f t="shared" si="166"/>
        <v>4228.673503245619</v>
      </c>
      <c r="AC183" s="25">
        <f t="shared" ca="1" si="167"/>
        <v>212411.59595174171</v>
      </c>
      <c r="AD183" s="41">
        <f t="shared" si="168"/>
        <v>1058934.5044168623</v>
      </c>
      <c r="AE183" s="6">
        <v>5</v>
      </c>
      <c r="AF183" s="41">
        <f t="shared" si="169"/>
        <v>211.43367516228096</v>
      </c>
      <c r="AG183" s="41">
        <f t="shared" ca="1" si="170"/>
        <v>3380.4441898775754</v>
      </c>
      <c r="AH183" s="41">
        <f t="shared" ca="1" si="171"/>
        <v>846522.90846512059</v>
      </c>
      <c r="AI183" s="41">
        <f t="shared" si="172"/>
        <v>159.52082593612758</v>
      </c>
      <c r="AJ183" s="13">
        <f t="shared" ca="1" si="173"/>
        <v>-14.747315545308654</v>
      </c>
      <c r="AK183" s="11"/>
      <c r="AL183" s="6">
        <v>-266.66666659999999</v>
      </c>
      <c r="AM183" s="41">
        <f t="shared" ca="1" si="174"/>
        <v>18.082386979563257</v>
      </c>
      <c r="AN183" s="41">
        <f t="shared" ca="1" si="175"/>
        <v>0.80125480718794728</v>
      </c>
      <c r="AO183" s="41">
        <f t="shared" ca="1" si="176"/>
        <v>0.74394430824664048</v>
      </c>
      <c r="AP183" s="67">
        <f t="shared" si="193"/>
        <v>0.75447218052512732</v>
      </c>
      <c r="AQ183" s="11">
        <f t="shared" si="177"/>
        <v>0.99246985609827165</v>
      </c>
      <c r="AR183" s="11">
        <f t="shared" si="178"/>
        <v>0.72403833697103259</v>
      </c>
      <c r="AS183" s="11">
        <f t="shared" si="179"/>
        <v>0.72953181653039578</v>
      </c>
      <c r="AT183" s="11">
        <f t="shared" si="180"/>
        <v>514.76434026249046</v>
      </c>
      <c r="AU183" s="11">
        <f t="shared" si="181"/>
        <v>1532.2244094648383</v>
      </c>
      <c r="AV183" s="11">
        <f t="shared" si="182"/>
        <v>1.7340241747110976E-3</v>
      </c>
      <c r="AW183" s="11">
        <f t="shared" si="183"/>
        <v>3.7153240008553557E-7</v>
      </c>
      <c r="AX183" s="41">
        <f t="shared" ca="1" si="184"/>
        <v>1.0175473417402272</v>
      </c>
      <c r="AY183" s="41">
        <f t="shared" ca="1" si="185"/>
        <v>1.3706564854964385</v>
      </c>
      <c r="AZ183" s="41">
        <f t="shared" si="186"/>
        <v>0.16682874630991715</v>
      </c>
    </row>
    <row r="184" spans="1:52" ht="14.5">
      <c r="A184" s="41">
        <f t="shared" ca="1" si="187"/>
        <v>11209.047584335305</v>
      </c>
      <c r="B184" s="41">
        <f t="shared" ca="1" si="194"/>
        <v>186.81745973892174</v>
      </c>
      <c r="C184" s="41">
        <f t="shared" ca="1" si="194"/>
        <v>3.1136243289820289</v>
      </c>
      <c r="D184" s="41">
        <f t="shared" ca="1" si="188"/>
        <v>10787.346203645488</v>
      </c>
      <c r="E184" s="41">
        <f t="shared" ca="1" si="189"/>
        <v>936.00697828619127</v>
      </c>
      <c r="F184" s="41">
        <f t="shared" ca="1" si="190"/>
        <v>26.490074812313569</v>
      </c>
      <c r="G184" s="41"/>
      <c r="H184" s="7">
        <f t="shared" si="191"/>
        <v>8399.9997024000222</v>
      </c>
      <c r="I184" s="6">
        <v>15</v>
      </c>
      <c r="J184" s="41">
        <f t="shared" si="149"/>
        <v>0.21883289793716806</v>
      </c>
      <c r="K184" s="41">
        <f t="shared" si="150"/>
        <v>243.61892250092723</v>
      </c>
      <c r="L184" s="6">
        <f t="shared" si="151"/>
        <v>123.99999999999999</v>
      </c>
      <c r="M184" s="41">
        <f t="shared" si="152"/>
        <v>144.34031367903938</v>
      </c>
      <c r="N184" s="41">
        <f t="shared" si="153"/>
        <v>51.890952297388658</v>
      </c>
      <c r="O184" s="41">
        <f t="shared" si="154"/>
        <v>1144959.3085146239</v>
      </c>
      <c r="P184" s="41">
        <f t="shared" si="155"/>
        <v>7351443.3054414568</v>
      </c>
      <c r="Q184" s="41">
        <f t="shared" si="156"/>
        <v>3.1427861563324898E-3</v>
      </c>
      <c r="R184" s="41">
        <f t="shared" si="157"/>
        <v>2.0935975717144829E-2</v>
      </c>
      <c r="S184" s="24">
        <f t="shared" ca="1" si="192"/>
        <v>-3.4534876527676857</v>
      </c>
      <c r="T184" s="10">
        <f t="shared" ca="1" si="158"/>
        <v>-3.4534876527676857</v>
      </c>
      <c r="U184" s="41">
        <f t="shared" ca="1" si="159"/>
        <v>0.90220609482439218</v>
      </c>
      <c r="V184" s="41">
        <f t="shared" ca="1" si="160"/>
        <v>7.2344022582852302E-2</v>
      </c>
      <c r="W184" s="41">
        <f t="shared" ca="1" si="161"/>
        <v>12.471052377425332</v>
      </c>
      <c r="X184" s="20">
        <f t="shared" ca="1" si="162"/>
        <v>863.42005171503934</v>
      </c>
      <c r="Y184" s="41">
        <f t="shared" si="163"/>
        <v>0.57575379273082616</v>
      </c>
      <c r="Z184" s="41">
        <f t="shared" ca="1" si="164"/>
        <v>149.36824403698807</v>
      </c>
      <c r="AA184" s="14">
        <f t="shared" ca="1" si="165"/>
        <v>864.99085058550224</v>
      </c>
      <c r="AB184" s="14">
        <f t="shared" si="166"/>
        <v>4272.1860287624922</v>
      </c>
      <c r="AC184" s="25">
        <f t="shared" ca="1" si="167"/>
        <v>210728.13899280058</v>
      </c>
      <c r="AD184" s="41">
        <f t="shared" si="168"/>
        <v>1040785.3570506336</v>
      </c>
      <c r="AE184" s="6">
        <v>5</v>
      </c>
      <c r="AF184" s="41">
        <f t="shared" si="169"/>
        <v>213.60930143812462</v>
      </c>
      <c r="AG184" s="41">
        <f t="shared" ca="1" si="170"/>
        <v>3407.1951781769899</v>
      </c>
      <c r="AH184" s="41">
        <f t="shared" ca="1" si="171"/>
        <v>830057.21805783303</v>
      </c>
      <c r="AI184" s="41">
        <f t="shared" si="172"/>
        <v>160.88056210328784</v>
      </c>
      <c r="AJ184" s="13">
        <f t="shared" ca="1" si="173"/>
        <v>-14.675175137929928</v>
      </c>
      <c r="AK184" s="11"/>
      <c r="AL184" s="6">
        <v>-266.66666659999999</v>
      </c>
      <c r="AM184" s="41">
        <f t="shared" ca="1" si="174"/>
        <v>18.171276601037949</v>
      </c>
      <c r="AN184" s="41">
        <f t="shared" ca="1" si="175"/>
        <v>0.81205699825258526</v>
      </c>
      <c r="AO184" s="41">
        <f t="shared" ca="1" si="176"/>
        <v>0.72724576314849809</v>
      </c>
      <c r="AP184" s="67">
        <f t="shared" si="193"/>
        <v>0.75315335530877847</v>
      </c>
      <c r="AQ184" s="11">
        <f t="shared" si="177"/>
        <v>0.99430328276447988</v>
      </c>
      <c r="AR184" s="11">
        <f t="shared" si="178"/>
        <v>0.73148860159620765</v>
      </c>
      <c r="AS184" s="11">
        <f t="shared" si="179"/>
        <v>0.73567956002562551</v>
      </c>
      <c r="AT184" s="11">
        <f t="shared" si="180"/>
        <v>515.71528367145277</v>
      </c>
      <c r="AU184" s="11">
        <f t="shared" si="181"/>
        <v>1547.9908084699264</v>
      </c>
      <c r="AV184" s="11">
        <f t="shared" si="182"/>
        <v>1.7486367462249091E-3</v>
      </c>
      <c r="AW184" s="11">
        <f t="shared" si="183"/>
        <v>3.7206649772863836E-7</v>
      </c>
      <c r="AX184" s="41">
        <f t="shared" ca="1" si="184"/>
        <v>1.0084634436210813</v>
      </c>
      <c r="AY184" s="41">
        <f t="shared" ca="1" si="185"/>
        <v>1.358420294255152</v>
      </c>
      <c r="AZ184" s="41">
        <f t="shared" si="186"/>
        <v>0.16230039635380594</v>
      </c>
    </row>
    <row r="185" spans="1:52" ht="14.5">
      <c r="A185" s="41">
        <f t="shared" ca="1" si="187"/>
        <v>11227.218860936344</v>
      </c>
      <c r="B185" s="41">
        <f t="shared" ca="1" si="194"/>
        <v>187.12031434893908</v>
      </c>
      <c r="C185" s="41">
        <f t="shared" ca="1" si="194"/>
        <v>3.1186719058156513</v>
      </c>
      <c r="D185" s="41">
        <f t="shared" ca="1" si="188"/>
        <v>10786.534146647235</v>
      </c>
      <c r="E185" s="41">
        <f t="shared" ca="1" si="189"/>
        <v>936.73422404933979</v>
      </c>
      <c r="F185" s="41">
        <f t="shared" ca="1" si="190"/>
        <v>27.217320575462068</v>
      </c>
      <c r="G185" s="41"/>
      <c r="H185" s="7">
        <f t="shared" si="191"/>
        <v>8133.3330358000221</v>
      </c>
      <c r="I185" s="6">
        <v>15</v>
      </c>
      <c r="J185" s="41">
        <f t="shared" si="149"/>
        <v>0.21257578995648618</v>
      </c>
      <c r="K185" s="41">
        <f t="shared" si="150"/>
        <v>236.87119108959439</v>
      </c>
      <c r="L185" s="6">
        <f t="shared" si="151"/>
        <v>121.05555555555554</v>
      </c>
      <c r="M185" s="41">
        <f t="shared" si="152"/>
        <v>140.34239078152726</v>
      </c>
      <c r="N185" s="41">
        <f t="shared" si="153"/>
        <v>49.468800426283117</v>
      </c>
      <c r="O185" s="41">
        <f t="shared" si="154"/>
        <v>1121001.353930664</v>
      </c>
      <c r="P185" s="41">
        <f t="shared" si="155"/>
        <v>7197616.4021370821</v>
      </c>
      <c r="Q185" s="41">
        <f t="shared" si="156"/>
        <v>3.1544489128273226E-3</v>
      </c>
      <c r="R185" s="41">
        <f t="shared" si="157"/>
        <v>2.1002535421458406E-2</v>
      </c>
      <c r="S185" s="24">
        <f t="shared" ca="1" si="192"/>
        <v>-3.5427388554665433</v>
      </c>
      <c r="T185" s="10">
        <f t="shared" ca="1" si="158"/>
        <v>-3.5427388554665433</v>
      </c>
      <c r="U185" s="41">
        <f t="shared" ca="1" si="159"/>
        <v>0.94621966371762301</v>
      </c>
      <c r="V185" s="41">
        <f t="shared" ca="1" si="160"/>
        <v>7.7548748962478375E-2</v>
      </c>
      <c r="W185" s="41">
        <f t="shared" ca="1" si="161"/>
        <v>12.201610939919188</v>
      </c>
      <c r="X185" s="20">
        <f t="shared" ca="1" si="162"/>
        <v>882.33602471853771</v>
      </c>
      <c r="Y185" s="41">
        <f t="shared" si="163"/>
        <v>0.57666828538904247</v>
      </c>
      <c r="Z185" s="41">
        <f t="shared" ca="1" si="164"/>
        <v>148.7313799949126</v>
      </c>
      <c r="AA185" s="14">
        <f t="shared" ca="1" si="165"/>
        <v>884.02541269019298</v>
      </c>
      <c r="AB185" s="14">
        <f t="shared" si="166"/>
        <v>4316.0604005559717</v>
      </c>
      <c r="AC185" s="25">
        <f t="shared" ca="1" si="167"/>
        <v>209400.15245739624</v>
      </c>
      <c r="AD185" s="41">
        <f t="shared" si="168"/>
        <v>1022350.3678943248</v>
      </c>
      <c r="AE185" s="6">
        <v>5</v>
      </c>
      <c r="AF185" s="41">
        <f t="shared" si="169"/>
        <v>215.8030200277986</v>
      </c>
      <c r="AG185" s="41">
        <f t="shared" ca="1" si="170"/>
        <v>3432.0349878657789</v>
      </c>
      <c r="AH185" s="41">
        <f t="shared" ca="1" si="171"/>
        <v>812950.21543692856</v>
      </c>
      <c r="AI185" s="41">
        <f t="shared" si="172"/>
        <v>162.24926906472101</v>
      </c>
      <c r="AJ185" s="13">
        <f t="shared" ca="1" si="173"/>
        <v>-14.636996886594568</v>
      </c>
      <c r="AK185" s="11"/>
      <c r="AL185" s="6">
        <v>-266.66666659999999</v>
      </c>
      <c r="AM185" s="41">
        <f t="shared" ca="1" si="174"/>
        <v>18.218673452354778</v>
      </c>
      <c r="AN185" s="41">
        <f t="shared" ca="1" si="175"/>
        <v>0.82110179193705557</v>
      </c>
      <c r="AO185" s="41">
        <f t="shared" ca="1" si="176"/>
        <v>0.70887944446488504</v>
      </c>
      <c r="AP185" s="67">
        <f t="shared" si="193"/>
        <v>0.75183965935148134</v>
      </c>
      <c r="AQ185" s="11">
        <f t="shared" si="177"/>
        <v>0.99613670943068822</v>
      </c>
      <c r="AR185" s="11">
        <f t="shared" si="178"/>
        <v>0.73900082195671046</v>
      </c>
      <c r="AS185" s="11">
        <f t="shared" si="179"/>
        <v>0.74186686923631595</v>
      </c>
      <c r="AT185" s="11">
        <f t="shared" si="180"/>
        <v>516.66622708041507</v>
      </c>
      <c r="AU185" s="11">
        <f t="shared" si="181"/>
        <v>1563.8883194412297</v>
      </c>
      <c r="AV185" s="11">
        <f t="shared" si="182"/>
        <v>1.7633433614877992E-3</v>
      </c>
      <c r="AW185" s="11">
        <f t="shared" si="183"/>
        <v>3.7260012298020718E-7</v>
      </c>
      <c r="AX185" s="41">
        <f t="shared" ca="1" si="184"/>
        <v>1.0024875923430245</v>
      </c>
      <c r="AY185" s="41">
        <f t="shared" ca="1" si="185"/>
        <v>1.3503707038580874</v>
      </c>
      <c r="AZ185" s="41">
        <f t="shared" si="186"/>
        <v>0.15779422936052445</v>
      </c>
    </row>
    <row r="186" spans="1:52" ht="14.5">
      <c r="A186" s="41">
        <f t="shared" ca="1" si="187"/>
        <v>11245.437534388699</v>
      </c>
      <c r="B186" s="41">
        <f t="shared" ca="1" si="194"/>
        <v>187.4239589064783</v>
      </c>
      <c r="C186" s="41">
        <f t="shared" ca="1" si="194"/>
        <v>3.123732648441305</v>
      </c>
      <c r="D186" s="41">
        <f t="shared" ca="1" si="188"/>
        <v>10785.713044855298</v>
      </c>
      <c r="E186" s="41">
        <f t="shared" ca="1" si="189"/>
        <v>937.44310349380464</v>
      </c>
      <c r="F186" s="41">
        <f t="shared" ca="1" si="190"/>
        <v>27.926200019926952</v>
      </c>
      <c r="G186" s="41"/>
      <c r="H186" s="7">
        <f t="shared" si="191"/>
        <v>7866.666369200022</v>
      </c>
      <c r="I186" s="6">
        <v>15</v>
      </c>
      <c r="J186" s="41">
        <f t="shared" si="149"/>
        <v>0.20637587434506577</v>
      </c>
      <c r="K186" s="41">
        <f t="shared" si="150"/>
        <v>230.1742139442708</v>
      </c>
      <c r="L186" s="6">
        <f t="shared" si="151"/>
        <v>118.1111111111111</v>
      </c>
      <c r="M186" s="41">
        <f t="shared" si="152"/>
        <v>136.37453897455734</v>
      </c>
      <c r="N186" s="41">
        <f t="shared" si="153"/>
        <v>47.103196237141987</v>
      </c>
      <c r="O186" s="41">
        <f t="shared" si="154"/>
        <v>1096881.5271978462</v>
      </c>
      <c r="P186" s="41">
        <f t="shared" si="155"/>
        <v>7042750.1658920432</v>
      </c>
      <c r="Q186" s="41">
        <f t="shared" si="156"/>
        <v>3.166453036799053E-3</v>
      </c>
      <c r="R186" s="41">
        <f t="shared" si="157"/>
        <v>2.1071043320294833E-2</v>
      </c>
      <c r="S186" s="24">
        <f t="shared" ca="1" si="192"/>
        <v>-3.6449912218065044</v>
      </c>
      <c r="T186" s="10">
        <f t="shared" ca="1" si="158"/>
        <v>-3.6449912218065044</v>
      </c>
      <c r="U186" s="41">
        <f t="shared" ca="1" si="159"/>
        <v>0.99355343765293314</v>
      </c>
      <c r="V186" s="41">
        <f t="shared" ca="1" si="160"/>
        <v>8.3416103936359745E-2</v>
      </c>
      <c r="W186" s="41">
        <f t="shared" ca="1" si="161"/>
        <v>11.910810871854434</v>
      </c>
      <c r="X186" s="20">
        <f t="shared" ca="1" si="162"/>
        <v>903.70797600200262</v>
      </c>
      <c r="Y186" s="41">
        <f t="shared" si="163"/>
        <v>0.57760803308861031</v>
      </c>
      <c r="Z186" s="41">
        <f t="shared" ca="1" si="164"/>
        <v>148.09713704716765</v>
      </c>
      <c r="AA186" s="14">
        <f t="shared" ca="1" si="165"/>
        <v>905.53977902060626</v>
      </c>
      <c r="AB186" s="14">
        <f t="shared" si="166"/>
        <v>4360.2989162183503</v>
      </c>
      <c r="AC186" s="25">
        <f t="shared" ca="1" si="167"/>
        <v>208431.90683133673</v>
      </c>
      <c r="AD186" s="41">
        <f t="shared" si="168"/>
        <v>1003628.3756026147</v>
      </c>
      <c r="AE186" s="6">
        <v>5</v>
      </c>
      <c r="AF186" s="41">
        <f t="shared" si="169"/>
        <v>218.01494581091754</v>
      </c>
      <c r="AG186" s="41">
        <f t="shared" ca="1" si="170"/>
        <v>3454.7591371977442</v>
      </c>
      <c r="AH186" s="41">
        <f t="shared" ca="1" si="171"/>
        <v>795196.46877127793</v>
      </c>
      <c r="AI186" s="41">
        <f t="shared" si="172"/>
        <v>163.62701489665406</v>
      </c>
      <c r="AJ186" s="13">
        <f t="shared" ca="1" si="173"/>
        <v>-14.633140486393831</v>
      </c>
      <c r="AK186" s="11"/>
      <c r="AL186" s="6">
        <v>-266.66666659999999</v>
      </c>
      <c r="AM186" s="41">
        <f t="shared" ca="1" si="174"/>
        <v>18.223474779590319</v>
      </c>
      <c r="AN186" s="41">
        <f t="shared" ca="1" si="175"/>
        <v>0.8282924386746735</v>
      </c>
      <c r="AO186" s="41">
        <f t="shared" ca="1" si="176"/>
        <v>0.68894185025644294</v>
      </c>
      <c r="AP186" s="67">
        <f t="shared" si="193"/>
        <v>0.75053118164919919</v>
      </c>
      <c r="AQ186" s="11">
        <f t="shared" si="177"/>
        <v>0.99797013609689655</v>
      </c>
      <c r="AR186" s="11">
        <f t="shared" si="178"/>
        <v>0.74657539144893326</v>
      </c>
      <c r="AS186" s="11">
        <f t="shared" si="179"/>
        <v>0.7480939202938689</v>
      </c>
      <c r="AT186" s="11">
        <f t="shared" si="180"/>
        <v>517.61717048937726</v>
      </c>
      <c r="AU186" s="11">
        <f t="shared" si="181"/>
        <v>1579.9177748920613</v>
      </c>
      <c r="AV186" s="11">
        <f t="shared" si="182"/>
        <v>1.7781444391464969E-3</v>
      </c>
      <c r="AW186" s="11">
        <f t="shared" si="183"/>
        <v>3.7313327685032497E-7</v>
      </c>
      <c r="AX186" s="41">
        <f t="shared" ca="1" si="184"/>
        <v>1.0000347568821204</v>
      </c>
      <c r="AY186" s="41">
        <f t="shared" ca="1" si="185"/>
        <v>1.3470666857604192</v>
      </c>
      <c r="AZ186" s="41">
        <f t="shared" si="186"/>
        <v>0.15331048296733851</v>
      </c>
    </row>
    <row r="187" spans="1:52" ht="14.5">
      <c r="A187" s="41">
        <f t="shared" ca="1" si="187"/>
        <v>11263.661009168289</v>
      </c>
      <c r="B187" s="41">
        <f t="shared" ca="1" si="194"/>
        <v>187.72768348613815</v>
      </c>
      <c r="C187" s="41">
        <f t="shared" ca="1" si="194"/>
        <v>3.1287947247689689</v>
      </c>
      <c r="D187" s="41">
        <f t="shared" ca="1" si="188"/>
        <v>10784.884752416623</v>
      </c>
      <c r="E187" s="41">
        <f t="shared" ca="1" si="189"/>
        <v>938.13204534406111</v>
      </c>
      <c r="F187" s="41">
        <f t="shared" ca="1" si="190"/>
        <v>28.615141870183397</v>
      </c>
      <c r="G187" s="41"/>
      <c r="H187" s="7">
        <f t="shared" si="191"/>
        <v>7599.9997026000219</v>
      </c>
      <c r="I187" s="6">
        <v>15</v>
      </c>
      <c r="J187" s="41">
        <f t="shared" si="149"/>
        <v>0.2002327504729734</v>
      </c>
      <c r="K187" s="41">
        <f t="shared" si="150"/>
        <v>223.5277377610183</v>
      </c>
      <c r="L187" s="6">
        <f t="shared" si="151"/>
        <v>115.16666666666666</v>
      </c>
      <c r="M187" s="41">
        <f t="shared" si="152"/>
        <v>132.43660817959918</v>
      </c>
      <c r="N187" s="41">
        <f t="shared" si="153"/>
        <v>44.794317578312743</v>
      </c>
      <c r="O187" s="41">
        <f t="shared" si="154"/>
        <v>1072600.4148339175</v>
      </c>
      <c r="P187" s="41">
        <f t="shared" si="155"/>
        <v>6886848.3625624143</v>
      </c>
      <c r="Q187" s="41">
        <f t="shared" si="156"/>
        <v>3.1788194869903858E-3</v>
      </c>
      <c r="R187" s="41">
        <f t="shared" si="157"/>
        <v>2.1141619025833086E-2</v>
      </c>
      <c r="S187" s="24">
        <f t="shared" ca="1" si="192"/>
        <v>-3.7614653790124111</v>
      </c>
      <c r="T187" s="10">
        <f t="shared" ca="1" si="158"/>
        <v>-3.7614653790124111</v>
      </c>
      <c r="U187" s="41">
        <f t="shared" ca="1" si="159"/>
        <v>1.0445474863948205</v>
      </c>
      <c r="V187" s="41">
        <f t="shared" ca="1" si="160"/>
        <v>9.0050622194784449E-2</v>
      </c>
      <c r="W187" s="41">
        <f t="shared" ca="1" si="161"/>
        <v>11.599558791891598</v>
      </c>
      <c r="X187" s="20">
        <f t="shared" ca="1" si="162"/>
        <v>927.76391880510141</v>
      </c>
      <c r="Y187" s="41">
        <f t="shared" si="163"/>
        <v>0.5785745494604988</v>
      </c>
      <c r="Z187" s="41">
        <f t="shared" ca="1" si="164"/>
        <v>147.46531950279157</v>
      </c>
      <c r="AA187" s="14">
        <f t="shared" ca="1" si="165"/>
        <v>929.76680802338331</v>
      </c>
      <c r="AB187" s="14">
        <f t="shared" si="166"/>
        <v>4404.9038834306602</v>
      </c>
      <c r="AC187" s="25">
        <f t="shared" ca="1" si="167"/>
        <v>207828.67124274987</v>
      </c>
      <c r="AD187" s="41">
        <f t="shared" si="168"/>
        <v>984618.20011797978</v>
      </c>
      <c r="AE187" s="6">
        <v>5</v>
      </c>
      <c r="AF187" s="41">
        <f t="shared" si="169"/>
        <v>220.24519417153303</v>
      </c>
      <c r="AG187" s="41">
        <f t="shared" ca="1" si="170"/>
        <v>3475.1370754072768</v>
      </c>
      <c r="AH187" s="41">
        <f t="shared" ca="1" si="171"/>
        <v>776789.52887522988</v>
      </c>
      <c r="AI187" s="41">
        <f t="shared" si="172"/>
        <v>165.01386806074433</v>
      </c>
      <c r="AJ187" s="13">
        <f t="shared" ca="1" si="173"/>
        <v>-14.664047282050454</v>
      </c>
      <c r="AK187" s="11"/>
      <c r="AL187" s="6">
        <v>-266.66666659999999</v>
      </c>
      <c r="AM187" s="41">
        <f t="shared" ca="1" si="174"/>
        <v>18.185065928313914</v>
      </c>
      <c r="AN187" s="41">
        <f t="shared" ca="1" si="175"/>
        <v>0.83355224160298047</v>
      </c>
      <c r="AO187" s="41">
        <f t="shared" ca="1" si="176"/>
        <v>0.66755010587602603</v>
      </c>
      <c r="AP187" s="67">
        <f t="shared" si="193"/>
        <v>0.74922800781853605</v>
      </c>
      <c r="AQ187" s="11">
        <f t="shared" si="177"/>
        <v>0.99980356276310478</v>
      </c>
      <c r="AR187" s="11">
        <f t="shared" si="178"/>
        <v>0.75421270519667494</v>
      </c>
      <c r="AS187" s="11">
        <f t="shared" si="179"/>
        <v>0.75436088976548232</v>
      </c>
      <c r="AT187" s="11">
        <f t="shared" si="180"/>
        <v>518.56811389833956</v>
      </c>
      <c r="AU187" s="11">
        <f t="shared" si="181"/>
        <v>1596.0800109913073</v>
      </c>
      <c r="AV187" s="11">
        <f t="shared" si="182"/>
        <v>1.7930403988835749E-3</v>
      </c>
      <c r="AW187" s="11">
        <f t="shared" si="183"/>
        <v>3.7366596034611714E-7</v>
      </c>
      <c r="AX187" s="41">
        <f t="shared" ca="1" si="184"/>
        <v>1.0016150783625553</v>
      </c>
      <c r="AY187" s="41">
        <f t="shared" ca="1" si="185"/>
        <v>1.3491954101916805</v>
      </c>
      <c r="AZ187" s="41">
        <f t="shared" si="186"/>
        <v>0.14884938263024383</v>
      </c>
    </row>
    <row r="188" spans="1:52" ht="14.5">
      <c r="A188" s="41">
        <f t="shared" ca="1" si="187"/>
        <v>11281.846075096602</v>
      </c>
      <c r="B188" s="41">
        <f t="shared" ca="1" si="194"/>
        <v>188.03076791827669</v>
      </c>
      <c r="C188" s="41">
        <f t="shared" ca="1" si="194"/>
        <v>3.133846131971278</v>
      </c>
      <c r="D188" s="41">
        <f t="shared" ca="1" si="188"/>
        <v>10784.051200175019</v>
      </c>
      <c r="E188" s="41">
        <f t="shared" ca="1" si="189"/>
        <v>938.7995954499371</v>
      </c>
      <c r="F188" s="41">
        <f t="shared" ca="1" si="190"/>
        <v>29.282691976059422</v>
      </c>
      <c r="G188" s="41"/>
      <c r="H188" s="7">
        <f t="shared" si="191"/>
        <v>7333.3330360000218</v>
      </c>
      <c r="I188" s="6">
        <v>15</v>
      </c>
      <c r="J188" s="41">
        <f t="shared" si="149"/>
        <v>0.19414601437270479</v>
      </c>
      <c r="K188" s="41">
        <f t="shared" si="150"/>
        <v>216.93150347767414</v>
      </c>
      <c r="L188" s="6">
        <f t="shared" si="151"/>
        <v>112.22222222222221</v>
      </c>
      <c r="M188" s="41">
        <f t="shared" si="152"/>
        <v>128.52844490646629</v>
      </c>
      <c r="N188" s="41">
        <f t="shared" si="153"/>
        <v>42.542331571502594</v>
      </c>
      <c r="O188" s="41">
        <f t="shared" si="154"/>
        <v>1048158.5785401474</v>
      </c>
      <c r="P188" s="41">
        <f t="shared" si="155"/>
        <v>6729914.5986650428</v>
      </c>
      <c r="Q188" s="41">
        <f t="shared" si="156"/>
        <v>3.1915709560122012E-3</v>
      </c>
      <c r="R188" s="41">
        <f t="shared" si="157"/>
        <v>2.1214392045490301E-2</v>
      </c>
      <c r="S188" s="24">
        <f t="shared" ca="1" si="192"/>
        <v>-3.8935376424665202</v>
      </c>
      <c r="T188" s="10">
        <f t="shared" ca="1" si="158"/>
        <v>-3.8935376424665202</v>
      </c>
      <c r="U188" s="41">
        <f t="shared" ca="1" si="159"/>
        <v>1.0995862042142797</v>
      </c>
      <c r="V188" s="41">
        <f t="shared" ca="1" si="160"/>
        <v>9.757654346390604E-2</v>
      </c>
      <c r="W188" s="41">
        <f t="shared" ca="1" si="161"/>
        <v>11.268960399494178</v>
      </c>
      <c r="X188" s="20">
        <f t="shared" ca="1" si="162"/>
        <v>954.7607430978037</v>
      </c>
      <c r="Y188" s="41">
        <f t="shared" si="163"/>
        <v>0.57956946963280409</v>
      </c>
      <c r="Z188" s="41">
        <f t="shared" ca="1" si="164"/>
        <v>146.83569614624781</v>
      </c>
      <c r="AA188" s="14">
        <f t="shared" ca="1" si="165"/>
        <v>956.96948235429738</v>
      </c>
      <c r="AB188" s="14">
        <f t="shared" si="166"/>
        <v>4449.87761998731</v>
      </c>
      <c r="AC188" s="25">
        <f t="shared" ca="1" si="167"/>
        <v>207596.82858936928</v>
      </c>
      <c r="AD188" s="41">
        <f t="shared" si="168"/>
        <v>965318.64239550149</v>
      </c>
      <c r="AE188" s="6">
        <v>5</v>
      </c>
      <c r="AF188" s="41">
        <f t="shared" si="169"/>
        <v>222.4938809993655</v>
      </c>
      <c r="AG188" s="41">
        <f t="shared" ca="1" si="170"/>
        <v>3492.9081376330128</v>
      </c>
      <c r="AH188" s="41">
        <f t="shared" ca="1" si="171"/>
        <v>757721.81380613218</v>
      </c>
      <c r="AI188" s="41">
        <f t="shared" si="172"/>
        <v>166.40989739652483</v>
      </c>
      <c r="AJ188" s="13">
        <f t="shared" ca="1" si="173"/>
        <v>-14.730248252096091</v>
      </c>
      <c r="AK188" s="11"/>
      <c r="AL188" s="6">
        <v>-266.66666659999999</v>
      </c>
      <c r="AM188" s="41">
        <f t="shared" ca="1" si="174"/>
        <v>18.103338249038249</v>
      </c>
      <c r="AN188" s="41">
        <f t="shared" ca="1" si="175"/>
        <v>0.83682629459917734</v>
      </c>
      <c r="AO188" s="41">
        <f t="shared" ca="1" si="176"/>
        <v>0.64483987274114341</v>
      </c>
      <c r="AP188" s="67">
        <f t="shared" si="193"/>
        <v>0.74793022014389421</v>
      </c>
      <c r="AQ188" s="11">
        <f t="shared" si="177"/>
        <v>1.0016369894293131</v>
      </c>
      <c r="AR188" s="11">
        <f t="shared" si="178"/>
        <v>0.76191316005535747</v>
      </c>
      <c r="AS188" s="11">
        <f t="shared" si="179"/>
        <v>0.76066795465437109</v>
      </c>
      <c r="AT188" s="11">
        <f t="shared" si="180"/>
        <v>519.51905730730175</v>
      </c>
      <c r="AU188" s="11">
        <f t="shared" si="181"/>
        <v>1612.3758675723484</v>
      </c>
      <c r="AV188" s="11">
        <f t="shared" si="182"/>
        <v>1.8080316614179745E-3</v>
      </c>
      <c r="AW188" s="11">
        <f t="shared" si="183"/>
        <v>3.7419817447176018E-7</v>
      </c>
      <c r="AX188" s="41">
        <f t="shared" ca="1" si="184"/>
        <v>1.0078613561015834</v>
      </c>
      <c r="AY188" s="41">
        <f t="shared" ca="1" si="185"/>
        <v>1.3576092704043847</v>
      </c>
      <c r="AZ188" s="41">
        <f t="shared" si="186"/>
        <v>0.14441114185755746</v>
      </c>
    </row>
    <row r="189" spans="1:52" ht="14.5">
      <c r="A189" s="41">
        <f t="shared" ca="1" si="187"/>
        <v>11299.949413345641</v>
      </c>
      <c r="B189" s="41">
        <f t="shared" ca="1" si="194"/>
        <v>188.33249022242734</v>
      </c>
      <c r="C189" s="41">
        <f t="shared" ca="1" si="194"/>
        <v>3.1388748370404556</v>
      </c>
      <c r="D189" s="41">
        <f t="shared" ca="1" si="188"/>
        <v>10783.214373880421</v>
      </c>
      <c r="E189" s="41">
        <f t="shared" ca="1" si="189"/>
        <v>939.44443532267826</v>
      </c>
      <c r="F189" s="41">
        <f t="shared" ca="1" si="190"/>
        <v>29.927531848800566</v>
      </c>
      <c r="G189" s="41"/>
      <c r="H189" s="7">
        <f t="shared" si="191"/>
        <v>7066.6663694000217</v>
      </c>
      <c r="I189" s="6">
        <v>15</v>
      </c>
      <c r="J189" s="41">
        <f t="shared" si="149"/>
        <v>0.18811525897612238</v>
      </c>
      <c r="K189" s="41">
        <f t="shared" si="150"/>
        <v>210.38524652739025</v>
      </c>
      <c r="L189" s="6">
        <f t="shared" si="151"/>
        <v>109.27777777777777</v>
      </c>
      <c r="M189" s="41">
        <f t="shared" si="152"/>
        <v>124.64989240353428</v>
      </c>
      <c r="N189" s="41">
        <f t="shared" si="153"/>
        <v>40.34739501547574</v>
      </c>
      <c r="O189" s="41">
        <f t="shared" si="154"/>
        <v>1023556.5552935915</v>
      </c>
      <c r="P189" s="41">
        <f t="shared" si="155"/>
        <v>6571952.3219699496</v>
      </c>
      <c r="Q189" s="41">
        <f t="shared" si="156"/>
        <v>3.2047320675840899E-3</v>
      </c>
      <c r="R189" s="41">
        <f t="shared" si="157"/>
        <v>2.1289502907579468E-2</v>
      </c>
      <c r="S189" s="24">
        <f t="shared" ca="1" si="192"/>
        <v>-4.0427641292129035</v>
      </c>
      <c r="T189" s="10">
        <f t="shared" ca="1" si="158"/>
        <v>-4.0427641292129035</v>
      </c>
      <c r="U189" s="41">
        <f t="shared" ca="1" si="159"/>
        <v>1.1591053349358564</v>
      </c>
      <c r="V189" s="41">
        <f t="shared" ca="1" si="160"/>
        <v>0.10614215098846953</v>
      </c>
      <c r="W189" s="41">
        <f t="shared" ca="1" si="161"/>
        <v>10.920311338534798</v>
      </c>
      <c r="X189" s="20">
        <f t="shared" ca="1" si="162"/>
        <v>984.98863755653133</v>
      </c>
      <c r="Y189" s="41">
        <f t="shared" si="163"/>
        <v>0.58059456378997576</v>
      </c>
      <c r="Z189" s="41">
        <f t="shared" ca="1" si="164"/>
        <v>146.20799204006019</v>
      </c>
      <c r="AA189" s="14">
        <f t="shared" ca="1" si="165"/>
        <v>987.44569084119428</v>
      </c>
      <c r="AB189" s="14">
        <f t="shared" si="166"/>
        <v>4495.2224538206874</v>
      </c>
      <c r="AC189" s="25">
        <f t="shared" ca="1" si="167"/>
        <v>207744.00510003383</v>
      </c>
      <c r="AD189" s="41">
        <f t="shared" si="168"/>
        <v>945728.48414252547</v>
      </c>
      <c r="AE189" s="6">
        <v>5</v>
      </c>
      <c r="AF189" s="41">
        <f t="shared" si="169"/>
        <v>224.76112269103439</v>
      </c>
      <c r="AG189" s="41">
        <f t="shared" ca="1" si="170"/>
        <v>3507.776762979493</v>
      </c>
      <c r="AH189" s="41">
        <f t="shared" ca="1" si="171"/>
        <v>737984.47904249164</v>
      </c>
      <c r="AI189" s="41">
        <f t="shared" si="172"/>
        <v>167.81517211402863</v>
      </c>
      <c r="AJ189" s="13">
        <f t="shared" ca="1" si="173"/>
        <v>-14.832372573367186</v>
      </c>
      <c r="AK189" s="11"/>
      <c r="AL189" s="6">
        <v>-266.66666659999999</v>
      </c>
      <c r="AM189" s="41">
        <f t="shared" ca="1" si="174"/>
        <v>17.978692571330306</v>
      </c>
      <c r="AN189" s="41">
        <f t="shared" ca="1" si="175"/>
        <v>0.83808260784527866</v>
      </c>
      <c r="AO189" s="41">
        <f t="shared" ca="1" si="176"/>
        <v>0.62096270202616988</v>
      </c>
      <c r="AP189" s="67">
        <f t="shared" si="193"/>
        <v>0.74663789762571198</v>
      </c>
      <c r="AQ189" s="11">
        <f t="shared" si="177"/>
        <v>1.0034704160955215</v>
      </c>
      <c r="AR189" s="11">
        <f t="shared" si="178"/>
        <v>0.76967715461623987</v>
      </c>
      <c r="AS189" s="11">
        <f t="shared" si="179"/>
        <v>0.76701529239998389</v>
      </c>
      <c r="AT189" s="11">
        <f t="shared" si="180"/>
        <v>520.47000071626405</v>
      </c>
      <c r="AU189" s="11">
        <f t="shared" si="181"/>
        <v>1628.806188141979</v>
      </c>
      <c r="AV189" s="11">
        <f t="shared" si="182"/>
        <v>1.8231186485055217E-3</v>
      </c>
      <c r="AW189" s="11">
        <f t="shared" si="183"/>
        <v>3.7472992022849116E-7</v>
      </c>
      <c r="AX189" s="41">
        <f t="shared" ca="1" si="184"/>
        <v>1.0195660081951718</v>
      </c>
      <c r="AY189" s="41">
        <f t="shared" ca="1" si="185"/>
        <v>1.373375669317205</v>
      </c>
      <c r="AZ189" s="41">
        <f t="shared" si="186"/>
        <v>0.13999596244500515</v>
      </c>
    </row>
    <row r="190" spans="1:52" ht="14.5">
      <c r="A190" s="41">
        <f t="shared" ca="1" si="187"/>
        <v>11317.928105916972</v>
      </c>
      <c r="B190" s="41">
        <f t="shared" ca="1" si="194"/>
        <v>188.6321350986162</v>
      </c>
      <c r="C190" s="41">
        <f t="shared" ca="1" si="194"/>
        <v>3.1438689183102699</v>
      </c>
      <c r="D190" s="41">
        <f t="shared" ca="1" si="188"/>
        <v>10782.376291272576</v>
      </c>
      <c r="E190" s="41">
        <f t="shared" ca="1" si="189"/>
        <v>940.06539802470445</v>
      </c>
      <c r="F190" s="41">
        <f t="shared" ca="1" si="190"/>
        <v>30.548494550826735</v>
      </c>
      <c r="G190" s="41"/>
      <c r="H190" s="7">
        <f t="shared" si="191"/>
        <v>6799.9997028000216</v>
      </c>
      <c r="I190" s="6">
        <v>15</v>
      </c>
      <c r="J190" s="41">
        <f t="shared" si="149"/>
        <v>0.18214007434663057</v>
      </c>
      <c r="K190" s="41">
        <f t="shared" si="150"/>
        <v>203.88869708830657</v>
      </c>
      <c r="L190" s="6">
        <f t="shared" si="151"/>
        <v>106.33333333333333</v>
      </c>
      <c r="M190" s="41">
        <f t="shared" si="152"/>
        <v>120.80079080566823</v>
      </c>
      <c r="N190" s="41">
        <f t="shared" si="153"/>
        <v>38.209654784589603</v>
      </c>
      <c r="O190" s="41">
        <f t="shared" si="154"/>
        <v>998794.85745489434</v>
      </c>
      <c r="P190" s="41">
        <f t="shared" si="155"/>
        <v>6412964.8221925031</v>
      </c>
      <c r="Q190" s="41">
        <f t="shared" si="156"/>
        <v>3.2183296022285442E-3</v>
      </c>
      <c r="R190" s="41">
        <f t="shared" si="157"/>
        <v>2.1367104449353018E-2</v>
      </c>
      <c r="S190" s="24">
        <f t="shared" ca="1" si="192"/>
        <v>-4.210909180863073</v>
      </c>
      <c r="T190" s="10">
        <f t="shared" ca="1" si="158"/>
        <v>-4.210909180863073</v>
      </c>
      <c r="U190" s="41">
        <f t="shared" ca="1" si="159"/>
        <v>1.2236003068002974</v>
      </c>
      <c r="V190" s="41">
        <f t="shared" ca="1" si="160"/>
        <v>0.1159252062191838</v>
      </c>
      <c r="W190" s="41">
        <f t="shared" ca="1" si="161"/>
        <v>10.555084150437429</v>
      </c>
      <c r="X190" s="20">
        <f t="shared" ca="1" si="162"/>
        <v>1018.7762854074957</v>
      </c>
      <c r="Y190" s="41">
        <f t="shared" si="163"/>
        <v>0.58165175265576996</v>
      </c>
      <c r="Z190" s="41">
        <f t="shared" ca="1" si="164"/>
        <v>145.58187829820778</v>
      </c>
      <c r="AA190" s="14">
        <f t="shared" ca="1" si="165"/>
        <v>1021.5339013498749</v>
      </c>
      <c r="AB190" s="14">
        <f t="shared" si="166"/>
        <v>4540.9407230258175</v>
      </c>
      <c r="AC190" s="25">
        <f t="shared" ca="1" si="167"/>
        <v>208279.21617776068</v>
      </c>
      <c r="AD190" s="41">
        <f t="shared" si="168"/>
        <v>925846.48757296673</v>
      </c>
      <c r="AE190" s="6">
        <v>5</v>
      </c>
      <c r="AF190" s="41">
        <f t="shared" si="169"/>
        <v>227.04703615129088</v>
      </c>
      <c r="AG190" s="41">
        <f t="shared" ca="1" si="170"/>
        <v>3519.4068216759424</v>
      </c>
      <c r="AH190" s="41">
        <f t="shared" ca="1" si="171"/>
        <v>717567.27139520599</v>
      </c>
      <c r="AI190" s="41">
        <f t="shared" si="172"/>
        <v>169.22976178659982</v>
      </c>
      <c r="AJ190" s="13">
        <f t="shared" ca="1" si="173"/>
        <v>-14.97115670209083</v>
      </c>
      <c r="AK190" s="11"/>
      <c r="AL190" s="6">
        <v>-266.66666659999999</v>
      </c>
      <c r="AM190" s="41">
        <f t="shared" ca="1" si="174"/>
        <v>17.812028282541323</v>
      </c>
      <c r="AN190" s="41">
        <f t="shared" ca="1" si="175"/>
        <v>0.83731258421962418</v>
      </c>
      <c r="AO190" s="41">
        <f t="shared" ca="1" si="176"/>
        <v>0.5960829445239495</v>
      </c>
      <c r="AP190" s="67">
        <f t="shared" si="193"/>
        <v>0.74535111602969795</v>
      </c>
      <c r="AQ190" s="11">
        <f t="shared" si="177"/>
        <v>1.0053038427617298</v>
      </c>
      <c r="AR190" s="11">
        <f t="shared" si="178"/>
        <v>0.77750508921063921</v>
      </c>
      <c r="AS190" s="11">
        <f t="shared" si="179"/>
        <v>0.77340308087822374</v>
      </c>
      <c r="AT190" s="11">
        <f t="shared" si="180"/>
        <v>521.42094412522636</v>
      </c>
      <c r="AU190" s="11">
        <f t="shared" si="181"/>
        <v>1645.3718198893387</v>
      </c>
      <c r="AV190" s="11">
        <f t="shared" si="182"/>
        <v>1.8383017829394499E-3</v>
      </c>
      <c r="AW190" s="11">
        <f t="shared" si="183"/>
        <v>3.7526119861461324E-7</v>
      </c>
      <c r="AX190" s="41">
        <f t="shared" ca="1" si="184"/>
        <v>1.0377313081273816</v>
      </c>
      <c r="AY190" s="41">
        <f t="shared" ca="1" si="185"/>
        <v>1.3978446892258902</v>
      </c>
      <c r="AZ190" s="41">
        <f t="shared" si="186"/>
        <v>0.13560403471200216</v>
      </c>
    </row>
    <row r="191" spans="1:52" ht="14.5">
      <c r="A191" s="41">
        <f t="shared" ca="1" si="187"/>
        <v>11335.740134199514</v>
      </c>
      <c r="B191" s="41">
        <f t="shared" ca="1" si="194"/>
        <v>188.92900223665856</v>
      </c>
      <c r="C191" s="41">
        <f t="shared" ca="1" si="194"/>
        <v>3.1488167039443096</v>
      </c>
      <c r="D191" s="41">
        <f t="shared" ca="1" si="188"/>
        <v>10781.538978688357</v>
      </c>
      <c r="E191" s="41">
        <f t="shared" ca="1" si="189"/>
        <v>940.66148096922836</v>
      </c>
      <c r="F191" s="41">
        <f t="shared" ca="1" si="190"/>
        <v>31.144577495350685</v>
      </c>
      <c r="G191" s="41"/>
      <c r="H191" s="7">
        <f t="shared" si="191"/>
        <v>6533.3330362000215</v>
      </c>
      <c r="I191" s="6">
        <v>15</v>
      </c>
      <c r="J191" s="41">
        <f t="shared" si="149"/>
        <v>0.17622004790646728</v>
      </c>
      <c r="K191" s="41">
        <f t="shared" si="150"/>
        <v>197.44158032918358</v>
      </c>
      <c r="L191" s="6">
        <f t="shared" si="151"/>
        <v>103.38888888888889</v>
      </c>
      <c r="M191" s="41">
        <f t="shared" si="152"/>
        <v>116.980977279756</v>
      </c>
      <c r="N191" s="41">
        <f t="shared" si="153"/>
        <v>36.129248221872274</v>
      </c>
      <c r="O191" s="41">
        <f t="shared" si="154"/>
        <v>973873.97289061511</v>
      </c>
      <c r="P191" s="41">
        <f t="shared" si="155"/>
        <v>6252955.2317788284</v>
      </c>
      <c r="Q191" s="41">
        <f t="shared" si="156"/>
        <v>3.2323927564389841E-3</v>
      </c>
      <c r="R191" s="41">
        <f t="shared" si="157"/>
        <v>2.144736329608259E-2</v>
      </c>
      <c r="S191" s="24">
        <f t="shared" ca="1" si="192"/>
        <v>-4.3999789522735355</v>
      </c>
      <c r="T191" s="10">
        <f t="shared" ca="1" si="158"/>
        <v>-4.3999789522735355</v>
      </c>
      <c r="U191" s="41">
        <f t="shared" ca="1" si="159"/>
        <v>1.2936361565231722</v>
      </c>
      <c r="V191" s="41">
        <f t="shared" ca="1" si="160"/>
        <v>0.12713979297137215</v>
      </c>
      <c r="W191" s="41">
        <f t="shared" ca="1" si="161"/>
        <v>10.174911617281444</v>
      </c>
      <c r="X191" s="20">
        <f t="shared" ca="1" si="162"/>
        <v>1056.4969820022359</v>
      </c>
      <c r="Y191" s="41">
        <f t="shared" si="163"/>
        <v>0.58274312523445182</v>
      </c>
      <c r="Z191" s="41">
        <f t="shared" ca="1" si="164"/>
        <v>144.95695926579148</v>
      </c>
      <c r="AA191" s="14">
        <f t="shared" ca="1" si="165"/>
        <v>1059.6199145726823</v>
      </c>
      <c r="AB191" s="14">
        <f t="shared" si="166"/>
        <v>4587.0347758850103</v>
      </c>
      <c r="AC191" s="25">
        <f t="shared" ca="1" si="167"/>
        <v>209213.03048150489</v>
      </c>
      <c r="AD191" s="41">
        <f t="shared" si="168"/>
        <v>905671.39517565886</v>
      </c>
      <c r="AE191" s="6">
        <v>5</v>
      </c>
      <c r="AF191" s="41">
        <f t="shared" si="169"/>
        <v>229.35173879425054</v>
      </c>
      <c r="AG191" s="41">
        <f t="shared" ca="1" si="170"/>
        <v>3527.414861312328</v>
      </c>
      <c r="AH191" s="41">
        <f t="shared" ca="1" si="171"/>
        <v>696458.36469415401</v>
      </c>
      <c r="AI191" s="41">
        <f t="shared" si="172"/>
        <v>170.65373634388888</v>
      </c>
      <c r="AJ191" s="13">
        <f t="shared" ca="1" si="173"/>
        <v>-15.147453837858274</v>
      </c>
      <c r="AK191" s="11"/>
      <c r="AL191" s="6">
        <v>-266.66666659999999</v>
      </c>
      <c r="AM191" s="41">
        <f t="shared" ca="1" si="174"/>
        <v>17.604718882424695</v>
      </c>
      <c r="AN191" s="41">
        <f t="shared" ca="1" si="175"/>
        <v>0.83453084849155168</v>
      </c>
      <c r="AO191" s="41">
        <f t="shared" ca="1" si="176"/>
        <v>0.57037435134091929</v>
      </c>
      <c r="AP191" s="67">
        <f t="shared" si="193"/>
        <v>0.74406994793695846</v>
      </c>
      <c r="AQ191" s="11">
        <f t="shared" si="177"/>
        <v>1.0071372694279381</v>
      </c>
      <c r="AR191" s="11">
        <f t="shared" si="178"/>
        <v>0.78539736591415144</v>
      </c>
      <c r="AS191" s="11">
        <f t="shared" si="179"/>
        <v>0.77983149840166599</v>
      </c>
      <c r="AT191" s="11">
        <f t="shared" si="180"/>
        <v>522.37188753418866</v>
      </c>
      <c r="AU191" s="11">
        <f t="shared" si="181"/>
        <v>1662.0736136948453</v>
      </c>
      <c r="AV191" s="11">
        <f t="shared" si="182"/>
        <v>1.8535814885509198E-3</v>
      </c>
      <c r="AW191" s="11">
        <f t="shared" si="183"/>
        <v>3.7579201062550635E-7</v>
      </c>
      <c r="AX191" s="41">
        <f t="shared" ca="1" si="184"/>
        <v>1.0636384418715734</v>
      </c>
      <c r="AY191" s="41">
        <f t="shared" ca="1" si="185"/>
        <v>1.4327421130905831</v>
      </c>
      <c r="AZ191" s="41">
        <f t="shared" si="186"/>
        <v>0.13123553773878521</v>
      </c>
    </row>
    <row r="192" spans="1:52" ht="14.5">
      <c r="A192" s="41">
        <f t="shared" ca="1" si="187"/>
        <v>11353.344853081939</v>
      </c>
      <c r="B192" s="41">
        <f t="shared" ca="1" si="194"/>
        <v>189.2224142180323</v>
      </c>
      <c r="C192" s="41">
        <f t="shared" ca="1" si="194"/>
        <v>3.1537069036338718</v>
      </c>
      <c r="D192" s="41">
        <f t="shared" ca="1" si="188"/>
        <v>10780.704447839866</v>
      </c>
      <c r="E192" s="41">
        <f t="shared" ca="1" si="189"/>
        <v>941.23185532056925</v>
      </c>
      <c r="F192" s="41">
        <f t="shared" ca="1" si="190"/>
        <v>31.714951846691605</v>
      </c>
      <c r="G192" s="41"/>
      <c r="H192" s="7">
        <f t="shared" si="191"/>
        <v>6266.6663696000214</v>
      </c>
      <c r="I192" s="6">
        <v>15</v>
      </c>
      <c r="J192" s="41">
        <f t="shared" si="149"/>
        <v>0.17035476465901961</v>
      </c>
      <c r="K192" s="41">
        <f t="shared" si="150"/>
        <v>191.04361665085153</v>
      </c>
      <c r="L192" s="6">
        <f>L193+($L$143-$L$193)/45</f>
        <v>100.44444444444444</v>
      </c>
      <c r="M192" s="41">
        <f t="shared" si="152"/>
        <v>113.19028616776312</v>
      </c>
      <c r="N192" s="41">
        <f t="shared" si="153"/>
        <v>34.106303526377658</v>
      </c>
      <c r="O192" s="41">
        <f t="shared" si="154"/>
        <v>948794.36510919232</v>
      </c>
      <c r="P192" s="41">
        <f t="shared" si="155"/>
        <v>6091926.5267787995</v>
      </c>
      <c r="Q192" s="41">
        <f t="shared" si="156"/>
        <v>3.2469534413997144E-3</v>
      </c>
      <c r="R192" s="41">
        <f t="shared" si="157"/>
        <v>2.1530461565862871E-2</v>
      </c>
      <c r="S192" s="24">
        <f t="shared" ca="1" si="192"/>
        <v>-4.6122612012103188</v>
      </c>
      <c r="T192" s="10">
        <f t="shared" ca="1" si="158"/>
        <v>-4.6122612012103188</v>
      </c>
      <c r="U192" s="41">
        <f t="shared" ca="1" si="159"/>
        <v>1.3698593882415999</v>
      </c>
      <c r="V192" s="41">
        <f t="shared" ca="1" si="160"/>
        <v>0.14004498427276121</v>
      </c>
      <c r="W192" s="41">
        <f t="shared" ca="1" si="161"/>
        <v>9.7815669397596405</v>
      </c>
      <c r="X192" s="20">
        <f t="shared" ca="1" si="162"/>
        <v>1098.5758504193232</v>
      </c>
      <c r="Y192" s="41">
        <f t="shared" si="163"/>
        <v>0.58387095921437082</v>
      </c>
      <c r="Z192" s="41">
        <f t="shared" ca="1" si="164"/>
        <v>144.33275636488466</v>
      </c>
      <c r="AA192" s="14">
        <f t="shared" ca="1" si="165"/>
        <v>1102.1449338570674</v>
      </c>
      <c r="AB192" s="14">
        <f t="shared" si="166"/>
        <v>4633.5069708925221</v>
      </c>
      <c r="AC192" s="25">
        <f t="shared" ca="1" si="167"/>
        <v>210557.75423746769</v>
      </c>
      <c r="AD192" s="41">
        <f t="shared" si="168"/>
        <v>885201.92949623929</v>
      </c>
      <c r="AE192" s="6">
        <v>5</v>
      </c>
      <c r="AF192" s="41">
        <f t="shared" si="169"/>
        <v>231.6753485446261</v>
      </c>
      <c r="AG192" s="41">
        <f t="shared" ca="1" si="170"/>
        <v>3531.3620370354547</v>
      </c>
      <c r="AH192" s="41">
        <f t="shared" ca="1" si="171"/>
        <v>674644.17525877163</v>
      </c>
      <c r="AI192" s="41">
        <f t="shared" si="172"/>
        <v>172.08716606503273</v>
      </c>
      <c r="AJ192" s="13">
        <f t="shared" ca="1" si="173"/>
        <v>-15.362243530177187</v>
      </c>
      <c r="AK192" s="11"/>
      <c r="AL192" s="6">
        <v>-266.66666659999999</v>
      </c>
      <c r="AM192" s="41">
        <f t="shared" ca="1" si="174"/>
        <v>17.358575658312343</v>
      </c>
      <c r="AN192" s="41">
        <f t="shared" ca="1" si="175"/>
        <v>0.82977446999011983</v>
      </c>
      <c r="AO192" s="41">
        <f t="shared" ca="1" si="176"/>
        <v>0.54401651369593185</v>
      </c>
      <c r="AP192" s="67">
        <f t="shared" si="193"/>
        <v>0.74279446279492578</v>
      </c>
      <c r="AQ192" s="11">
        <f t="shared" si="177"/>
        <v>1.0089706960941462</v>
      </c>
      <c r="AR192" s="11">
        <f t="shared" si="178"/>
        <v>0.79335438855087359</v>
      </c>
      <c r="AS192" s="11">
        <f t="shared" si="179"/>
        <v>0.78630072371977622</v>
      </c>
      <c r="AT192" s="11">
        <f t="shared" si="180"/>
        <v>523.32283094315085</v>
      </c>
      <c r="AU192" s="11">
        <f t="shared" si="181"/>
        <v>1678.9124241391296</v>
      </c>
      <c r="AV192" s="11">
        <f t="shared" si="182"/>
        <v>1.868958190209536E-3</v>
      </c>
      <c r="AW192" s="11">
        <f t="shared" si="183"/>
        <v>3.7632235725363777E-7</v>
      </c>
      <c r="AX192" s="41">
        <f t="shared" ca="1" si="184"/>
        <v>1.0989435738431774</v>
      </c>
      <c r="AY192" s="41">
        <f t="shared" ca="1" si="185"/>
        <v>1.4802988272827966</v>
      </c>
      <c r="AZ192" s="41">
        <f t="shared" si="186"/>
        <v>0.1268906396040779</v>
      </c>
    </row>
    <row r="193" spans="1:52" ht="14.5">
      <c r="A193" s="41">
        <f t="shared" ca="1" si="187"/>
        <v>11370.703428740251</v>
      </c>
      <c r="B193" s="41">
        <f t="shared" ca="1" si="194"/>
        <v>189.51172381233752</v>
      </c>
      <c r="C193" s="41">
        <f t="shared" ca="1" si="194"/>
        <v>3.1585287302056253</v>
      </c>
      <c r="D193" s="41">
        <f t="shared" ca="1" si="188"/>
        <v>10779.874673369875</v>
      </c>
      <c r="E193" s="41">
        <f t="shared" ca="1" si="189"/>
        <v>941.77587183426522</v>
      </c>
      <c r="F193" s="41">
        <f t="shared" ca="1" si="190"/>
        <v>32.258968360387534</v>
      </c>
      <c r="G193" s="41"/>
      <c r="H193" s="7">
        <f t="shared" si="191"/>
        <v>5999.9997030000213</v>
      </c>
      <c r="I193" s="6">
        <v>15</v>
      </c>
      <c r="J193" s="41">
        <f t="shared" si="149"/>
        <v>0.16454380740608146</v>
      </c>
      <c r="K193" s="41">
        <f t="shared" si="150"/>
        <v>184.6945219233439</v>
      </c>
      <c r="L193" s="120">
        <v>97.5</v>
      </c>
      <c r="M193" s="41">
        <f t="shared" si="152"/>
        <v>109.42854912723048</v>
      </c>
      <c r="N193" s="41">
        <f t="shared" si="153"/>
        <v>32.140940134578862</v>
      </c>
      <c r="O193" s="41">
        <f t="shared" si="154"/>
        <v>923556.47340967553</v>
      </c>
      <c r="P193" s="41">
        <f t="shared" si="155"/>
        <v>5929881.5278010042</v>
      </c>
      <c r="Q193" s="41">
        <f t="shared" si="156"/>
        <v>3.262046628655044E-3</v>
      </c>
      <c r="R193" s="41">
        <f t="shared" si="157"/>
        <v>2.1616598842355724E-2</v>
      </c>
      <c r="S193" s="24">
        <f t="shared" ca="1" si="192"/>
        <v>-4.8503725281122767</v>
      </c>
      <c r="T193" s="10">
        <f t="shared" ca="1" si="158"/>
        <v>-4.8503725281122767</v>
      </c>
      <c r="U193" s="41">
        <f t="shared" ca="1" si="159"/>
        <v>1.4530121963240699</v>
      </c>
      <c r="V193" s="41">
        <f t="shared" ca="1" si="160"/>
        <v>0.15495588024142981</v>
      </c>
      <c r="W193" s="41">
        <f t="shared" ca="1" si="161"/>
        <v>9.3769413207178509</v>
      </c>
      <c r="X193" s="20">
        <f t="shared" ca="1" si="162"/>
        <v>1145.4983641783765</v>
      </c>
      <c r="Y193" s="41">
        <f t="shared" si="163"/>
        <v>0.58503774452462598</v>
      </c>
      <c r="Z193" s="41">
        <f t="shared" ca="1" si="164"/>
        <v>143.70868763233102</v>
      </c>
      <c r="AA193" s="14">
        <f t="shared" ca="1" si="165"/>
        <v>1149.6152428246851</v>
      </c>
      <c r="AB193" s="14">
        <f t="shared" si="166"/>
        <v>4680.3596767792469</v>
      </c>
      <c r="AC193" s="25">
        <f t="shared" ca="1" si="167"/>
        <v>212327.63766929411</v>
      </c>
      <c r="AD193" s="41">
        <f t="shared" si="168"/>
        <v>864436.79293203936</v>
      </c>
      <c r="AE193" s="6">
        <v>5</v>
      </c>
      <c r="AF193" s="41">
        <f t="shared" si="169"/>
        <v>234.01798383896235</v>
      </c>
      <c r="AG193" s="41">
        <f t="shared" ca="1" si="170"/>
        <v>3530.7444339545618</v>
      </c>
      <c r="AH193" s="41">
        <f t="shared" ca="1" si="171"/>
        <v>652109.15526274522</v>
      </c>
      <c r="AI193" s="41">
        <f t="shared" si="172"/>
        <v>173.53012157202159</v>
      </c>
      <c r="AJ193" s="13">
        <f t="shared" ca="1" si="173"/>
        <v>-15.616641026928528</v>
      </c>
      <c r="AK193" s="11"/>
      <c r="AL193" s="6">
        <v>0</v>
      </c>
      <c r="AM193" s="41">
        <f t="shared" ca="1" si="174"/>
        <v>0</v>
      </c>
      <c r="AN193" s="41">
        <f t="shared" ca="1" si="175"/>
        <v>0</v>
      </c>
      <c r="AO193" s="41">
        <f t="shared" ca="1" si="176"/>
        <v>0</v>
      </c>
      <c r="AP193" s="67">
        <f t="shared" si="193"/>
        <v>0.74152472696899641</v>
      </c>
      <c r="AQ193" s="11">
        <f t="shared" si="177"/>
        <v>1.0108041227603546</v>
      </c>
      <c r="AR193" s="11">
        <f t="shared" si="178"/>
        <v>0.80137656269763147</v>
      </c>
      <c r="AS193" s="11">
        <f t="shared" si="179"/>
        <v>0.79281093601912922</v>
      </c>
      <c r="AT193" s="11">
        <f t="shared" si="180"/>
        <v>524.27377435211304</v>
      </c>
      <c r="AU193" s="11">
        <f t="shared" si="181"/>
        <v>1695.8891095119816</v>
      </c>
      <c r="AV193" s="11">
        <f t="shared" si="182"/>
        <v>1.8844323138238683E-3</v>
      </c>
      <c r="AW193" s="11">
        <f t="shared" si="183"/>
        <v>3.7685223948856777E-7</v>
      </c>
      <c r="AX193" s="41">
        <f t="shared" ca="1" si="184"/>
        <v>1.14581317410858</v>
      </c>
      <c r="AY193" s="41">
        <f t="shared" ca="1" si="185"/>
        <v>1.5434331100244052</v>
      </c>
      <c r="AZ193" s="41">
        <f t="shared" si="186"/>
        <v>0.12256949762298462</v>
      </c>
    </row>
    <row r="194" spans="1:52" s="148" customFormat="1" ht="14.5">
      <c r="A194" s="145"/>
      <c r="B194" s="135">
        <f ca="1">B193-B148</f>
        <v>10.211770891729032</v>
      </c>
      <c r="C194" s="145"/>
      <c r="D194" s="145"/>
      <c r="E194" s="145"/>
      <c r="F194" s="145"/>
      <c r="G194" s="145"/>
      <c r="H194" s="135"/>
      <c r="I194" s="135"/>
      <c r="J194" s="145"/>
      <c r="K194" s="145"/>
      <c r="L194" s="13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>
        <f ca="1">AVERAGE(X148:X193)</f>
        <v>860.72872240410334</v>
      </c>
      <c r="Y194" s="145"/>
      <c r="Z194" s="145"/>
      <c r="AA194" s="145"/>
      <c r="AB194" s="145"/>
      <c r="AC194" s="146"/>
      <c r="AD194" s="145"/>
      <c r="AE194" s="135"/>
      <c r="AF194" s="145"/>
      <c r="AG194" s="145"/>
      <c r="AH194" s="145"/>
      <c r="AI194" s="145"/>
      <c r="AJ194" s="147"/>
      <c r="AK194" s="145"/>
      <c r="AL194" s="135"/>
      <c r="AM194" s="145"/>
      <c r="AN194" s="145">
        <f ca="1">SUM(AN148:AN193)</f>
        <v>25.158967804491127</v>
      </c>
      <c r="AO194" s="145"/>
      <c r="AP194" s="135"/>
      <c r="AQ194" s="145"/>
      <c r="AR194" s="145"/>
      <c r="AS194" s="145"/>
      <c r="AT194" s="145"/>
      <c r="AU194" s="145"/>
      <c r="AV194" s="145"/>
      <c r="AW194" s="145"/>
      <c r="AX194" s="145"/>
      <c r="AY194" s="145"/>
      <c r="AZ194" s="145"/>
    </row>
    <row r="195" spans="1:52" s="101" customFormat="1" ht="14.5">
      <c r="A195" s="90">
        <f ca="1">A193+AM193</f>
        <v>11370.703428740251</v>
      </c>
      <c r="B195" s="90">
        <f t="shared" ref="B195:C195" ca="1" si="195">A195/60</f>
        <v>189.51172381233752</v>
      </c>
      <c r="C195" s="90">
        <f t="shared" ca="1" si="195"/>
        <v>3.1585287302056253</v>
      </c>
      <c r="D195" s="90">
        <f ca="1">0.85*B12</f>
        <v>11255.861926347627</v>
      </c>
      <c r="E195" s="90">
        <f ca="1">E193+AO193</f>
        <v>941.77587183426522</v>
      </c>
      <c r="F195" s="90">
        <f ca="1">F193+AO193</f>
        <v>32.258968360387534</v>
      </c>
      <c r="G195" s="90"/>
      <c r="H195" s="91">
        <f>H193+AL193</f>
        <v>5999.9997030000213</v>
      </c>
      <c r="I195" s="92">
        <v>15</v>
      </c>
      <c r="J195" s="90">
        <f t="shared" ref="J195" si="196">SQRT((((((((L195^2)*(0.2))/(661.477)^2) + 1)^(3.5) - 1)*(1/AR195) + 1)^(1/3.5) - 1)*(5))</f>
        <v>0.16033011451026166</v>
      </c>
      <c r="K195" s="90">
        <f t="shared" ref="K195" si="197">SQRT((1.4*2116.22*AR195*(J195)^2)/AV195)</f>
        <v>179.96480278536032</v>
      </c>
      <c r="L195" s="120">
        <v>95</v>
      </c>
      <c r="M195" s="90">
        <f t="shared" ref="M195" si="198">K195*0.592484</f>
        <v>106.62626621348143</v>
      </c>
      <c r="N195" s="90">
        <f t="shared" ref="N195" si="199">0.5*AV195*K195^2</f>
        <v>30.515865832853173</v>
      </c>
      <c r="O195" s="90">
        <f t="shared" ref="O195" si="200">P195/$B$7</f>
        <v>899905.73010767694</v>
      </c>
      <c r="P195" s="90">
        <f t="shared" ref="P195" si="201">(AV195*K195*$B$7)/(AW195)</f>
        <v>5778027.1367993252</v>
      </c>
      <c r="Q195" s="90">
        <f t="shared" ref="Q195" si="202">0.455/(LOG10(P195)^2.58 * (1+0.144*J195*J195)^0.65)</f>
        <v>3.2765061243182525E-3</v>
      </c>
      <c r="R195" s="90">
        <f t="shared" ref="R195" si="203">(((Q195*$B$4)+$B$17)+(0.1*(Q195*$B$4)))</f>
        <v>2.1699119621752347E-2</v>
      </c>
      <c r="S195" s="93">
        <f t="shared" ref="S195" ca="1" si="204">T195</f>
        <v>-5.3446196497253045</v>
      </c>
      <c r="T195" s="94">
        <f t="shared" ref="T195" ca="1" si="205">DEGREES(ASIN(((AF195-X195)/(D195))))</f>
        <v>-5.3446196497253045</v>
      </c>
      <c r="U195" s="90">
        <f t="shared" ref="U195" ca="1" si="206">(D195*COS(RADIANS(S195)))/(N195*$B$3)</f>
        <v>1.5967355555338367</v>
      </c>
      <c r="V195" s="90">
        <f t="shared" ref="V195" ca="1" si="207">(X195)/(N195*$B$3)</f>
        <v>0.18272125551503957</v>
      </c>
      <c r="W195" s="90">
        <f t="shared" ref="W195" ca="1" si="208">U195/V195</f>
        <v>8.7386415501201036</v>
      </c>
      <c r="X195" s="95">
        <f t="shared" ref="X195" ca="1" si="209">(N195*$B$3*R195)+((N195*$B$3)*((U195^2)/(PI()*$B$6*$B$5)))</f>
        <v>1282.456383164709</v>
      </c>
      <c r="Y195" s="90">
        <f t="shared" ref="Y195" si="210">SQRT(PI()*$B$6*$B$5*R195)</f>
        <v>0.58615336368312265</v>
      </c>
      <c r="Z195" s="90">
        <f t="shared" ref="Z195" ca="1" si="211">SQRT((2*((U195*N195*$B$3)/(D195))*D195)/(AV195*$B$3*$B$18))</f>
        <v>146.79066975563211</v>
      </c>
      <c r="AA195" s="96">
        <f t="shared" ref="AA195" ca="1" si="212">D195/W195</f>
        <v>1288.0562570040336</v>
      </c>
      <c r="AB195" s="96">
        <f>$B$15*AR195*0.93</f>
        <v>4680.3596767792469</v>
      </c>
      <c r="AC195" s="97">
        <f t="shared" ref="AC195" ca="1" si="213">AA195*K195</f>
        <v>231804.79026818028</v>
      </c>
      <c r="AD195" s="90">
        <f t="shared" ref="AD195" si="214">AB195*K195</f>
        <v>842300.00619612995</v>
      </c>
      <c r="AE195" s="92">
        <v>5</v>
      </c>
      <c r="AF195" s="90">
        <f t="shared" ref="AF195" si="215">AB195*(AE195/100)</f>
        <v>234.01798383896235</v>
      </c>
      <c r="AG195" s="90">
        <f t="shared" ref="AG195" ca="1" si="216">AB195-AA195</f>
        <v>3392.3034197752131</v>
      </c>
      <c r="AH195" s="90">
        <f t="shared" ref="AH195" ca="1" si="217">AD195-AC195</f>
        <v>610495.21592794964</v>
      </c>
      <c r="AI195" s="90">
        <f t="shared" ref="AI195" si="218">(AP195*AF195)</f>
        <v>173.31377062992536</v>
      </c>
      <c r="AJ195" s="98">
        <f t="shared" ref="AJ195" ca="1" si="219">K195*SIN(RADIANS(T195))</f>
        <v>-16.762999670917392</v>
      </c>
      <c r="AK195" s="99"/>
      <c r="AL195" s="92">
        <v>0</v>
      </c>
      <c r="AM195" s="91">
        <v>0</v>
      </c>
      <c r="AN195" s="90">
        <f t="shared" ref="AN195" si="220">AI195*(AM195/3600)</f>
        <v>0</v>
      </c>
      <c r="AO195" s="90">
        <f t="shared" ref="AO195" ca="1" si="221">M195*COS(RADIANS(T195))*(AM195/3600)</f>
        <v>0</v>
      </c>
      <c r="AP195" s="67">
        <f t="shared" si="193"/>
        <v>0.74060022134533843</v>
      </c>
      <c r="AQ195" s="99">
        <f t="shared" ref="AQ195" si="222">IF(H195 &lt;= 36089, ((1 - 6.87535*10^(-6)*H195) + ((I195*1.8)/518.67)), 0.75187 + ((I195*1.8)/518.67))</f>
        <v>1.0108041227603546</v>
      </c>
      <c r="AR195" s="99">
        <f t="shared" ref="AR195" si="223">IF(H195 &lt;= 36089, (1 - 6.87535*10^(-6)*H195)^5.2561, 0.22336*EXP((36089 - H195)/(20806.7)))</f>
        <v>0.80137656269763147</v>
      </c>
      <c r="AS195" s="99">
        <f t="shared" ref="AS195" si="224">(AR195/AQ195)</f>
        <v>0.79281093601912922</v>
      </c>
      <c r="AT195" s="99">
        <f t="shared" ref="AT195" si="225">(518.67*AQ195)</f>
        <v>524.27377435211304</v>
      </c>
      <c r="AU195" s="99">
        <f t="shared" ref="AU195" si="226">2116.22*AR195</f>
        <v>1695.8891095119816</v>
      </c>
      <c r="AV195" s="99">
        <f t="shared" ref="AV195" si="227">(0.0023769*AS195)</f>
        <v>1.8844323138238683E-3</v>
      </c>
      <c r="AW195" s="99">
        <f t="shared" ref="AW195" si="228">((2.2697*10^-8)*(AT195^1.5))/(AT195+198.72)</f>
        <v>3.7685223948856777E-7</v>
      </c>
      <c r="AX195" s="90">
        <f t="shared" ref="AX195" ca="1" si="229">(1/U195)*(((1 + 0.2*(U195)^2)/1.2)^3)</f>
        <v>1.2476102698377141</v>
      </c>
      <c r="AY195" s="90">
        <f t="shared" ref="AY195" ca="1" si="230">($H$4/$H$3)*AX195</f>
        <v>1.6805558204304043</v>
      </c>
      <c r="AZ195" s="90">
        <f t="shared" ref="AZ195" si="231">-6.6*10^(-3) + 0.825*J195 - 0.243*(J195^2)</f>
        <v>0.11942584828557957</v>
      </c>
    </row>
    <row r="196" spans="1:52" ht="14.5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3"/>
      <c r="AD196" s="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5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</row>
    <row r="197" spans="1:52" ht="14.5">
      <c r="B197" s="176" t="s">
        <v>218</v>
      </c>
      <c r="C197" s="176">
        <f ca="1">C198+C199+C201</f>
        <v>10719.77527752133</v>
      </c>
      <c r="F197" s="176" t="s">
        <v>229</v>
      </c>
      <c r="G197" s="176">
        <f ca="1">1.2*Z195</f>
        <v>176.14880370675851</v>
      </c>
      <c r="AC197" s="3"/>
      <c r="AD197" s="3"/>
      <c r="AP197" s="53"/>
    </row>
    <row r="198" spans="1:52" ht="14.5">
      <c r="B198" s="32" t="s">
        <v>58</v>
      </c>
      <c r="C198" s="21">
        <f>K6</f>
        <v>8420</v>
      </c>
      <c r="AC198" s="3"/>
      <c r="AD198" s="3"/>
      <c r="AP198" s="53"/>
    </row>
    <row r="199" spans="1:52" ht="14.5">
      <c r="B199" s="32" t="s">
        <v>59</v>
      </c>
      <c r="C199" s="21">
        <v>1800</v>
      </c>
      <c r="AC199" s="3"/>
      <c r="AD199" s="3"/>
      <c r="AP199" s="53"/>
    </row>
    <row r="200" spans="1:52" ht="14.5">
      <c r="B200" s="21" t="s">
        <v>125</v>
      </c>
      <c r="C200" s="32">
        <f ca="1">C201</f>
        <v>499.77527752132977</v>
      </c>
      <c r="AC200" s="3"/>
      <c r="AD200" s="3"/>
      <c r="AP200" s="53"/>
    </row>
    <row r="201" spans="1:52" ht="14.5">
      <c r="B201" s="21" t="s">
        <v>126</v>
      </c>
      <c r="C201" s="32">
        <f ca="1">SUM(AN207:AN227)+SUM(AN232:AN252)</f>
        <v>499.77527752132977</v>
      </c>
      <c r="AC201" s="3"/>
      <c r="AD201" s="3"/>
      <c r="AP201" s="53"/>
    </row>
    <row r="202" spans="1:52" ht="14.5">
      <c r="F202" s="176" t="s">
        <v>222</v>
      </c>
      <c r="G202" s="176">
        <f ca="1">1.1*Z207</f>
        <v>135.00314897134214</v>
      </c>
      <c r="AC202" s="3"/>
      <c r="AD202" s="3"/>
      <c r="AP202" s="53"/>
    </row>
    <row r="203" spans="1:52" ht="14.5">
      <c r="AC203" s="3"/>
      <c r="AD203" s="3"/>
      <c r="AP203" s="53"/>
    </row>
    <row r="204" spans="1:52" s="89" customFormat="1" ht="14.5">
      <c r="A204" s="124" t="s">
        <v>3</v>
      </c>
      <c r="B204" s="82" t="s">
        <v>22</v>
      </c>
      <c r="C204" s="81">
        <v>3000</v>
      </c>
      <c r="D204" s="82" t="s">
        <v>9</v>
      </c>
      <c r="E204" s="82"/>
      <c r="F204" s="82"/>
      <c r="G204" s="82"/>
      <c r="H204" s="82"/>
      <c r="I204" s="83"/>
      <c r="J204" s="82"/>
      <c r="K204" s="82"/>
      <c r="L204" s="84" t="s">
        <v>60</v>
      </c>
      <c r="M204" s="82"/>
      <c r="N204" s="82"/>
      <c r="O204" s="82"/>
      <c r="P204" s="82"/>
      <c r="Q204" s="81"/>
      <c r="R204" s="82"/>
      <c r="S204" s="85"/>
      <c r="T204" s="86"/>
      <c r="U204" s="81"/>
      <c r="V204" s="81"/>
      <c r="W204" s="81"/>
      <c r="X204" s="81"/>
      <c r="Y204" s="82"/>
      <c r="Z204" s="82"/>
      <c r="AA204" s="87"/>
      <c r="AB204" s="87"/>
      <c r="AC204" s="82"/>
      <c r="AD204" s="82"/>
      <c r="AE204" s="83"/>
      <c r="AF204" s="81"/>
      <c r="AG204" s="82"/>
      <c r="AH204" s="82"/>
      <c r="AI204" s="82"/>
      <c r="AJ204" s="81" t="s">
        <v>61</v>
      </c>
      <c r="AK204" s="88"/>
      <c r="AL204" s="83"/>
      <c r="AM204" s="82"/>
      <c r="AN204" s="82"/>
      <c r="AO204" s="82"/>
      <c r="AP204" s="53"/>
      <c r="AQ204" s="88"/>
      <c r="AR204" s="88"/>
      <c r="AS204" s="88"/>
      <c r="AT204" s="88"/>
      <c r="AU204" s="88"/>
      <c r="AV204" s="88"/>
      <c r="AW204" s="88"/>
      <c r="AX204" s="82"/>
      <c r="AY204" s="82"/>
      <c r="AZ204" s="82"/>
    </row>
    <row r="205" spans="1:52" ht="14.5">
      <c r="A205" s="41" t="s">
        <v>2</v>
      </c>
      <c r="B205" s="41" t="s">
        <v>2</v>
      </c>
      <c r="C205" s="41" t="s">
        <v>2</v>
      </c>
      <c r="D205" s="41" t="s">
        <v>23</v>
      </c>
      <c r="E205" s="41" t="s">
        <v>24</v>
      </c>
      <c r="F205" s="41" t="s">
        <v>25</v>
      </c>
      <c r="G205" s="41"/>
      <c r="H205" s="41" t="s">
        <v>0</v>
      </c>
      <c r="I205" s="5" t="s">
        <v>26</v>
      </c>
      <c r="J205" s="41" t="s">
        <v>27</v>
      </c>
      <c r="K205" s="41" t="s">
        <v>28</v>
      </c>
      <c r="L205" s="12" t="s">
        <v>29</v>
      </c>
      <c r="M205" s="13" t="s">
        <v>30</v>
      </c>
      <c r="N205" s="41" t="s">
        <v>31</v>
      </c>
      <c r="O205" s="41" t="s">
        <v>32</v>
      </c>
      <c r="P205" s="41" t="s">
        <v>33</v>
      </c>
      <c r="Q205" s="41" t="s">
        <v>34</v>
      </c>
      <c r="R205" s="41" t="s">
        <v>13</v>
      </c>
      <c r="S205" s="24" t="s">
        <v>35</v>
      </c>
      <c r="T205" s="10" t="s">
        <v>35</v>
      </c>
      <c r="U205" s="41" t="s">
        <v>36</v>
      </c>
      <c r="V205" s="41" t="s">
        <v>37</v>
      </c>
      <c r="W205" s="41" t="s">
        <v>38</v>
      </c>
      <c r="X205" s="41" t="s">
        <v>39</v>
      </c>
      <c r="Y205" s="41" t="s">
        <v>40</v>
      </c>
      <c r="Z205" s="35" t="s">
        <v>108</v>
      </c>
      <c r="AA205" s="35" t="s">
        <v>109</v>
      </c>
      <c r="AB205" s="9" t="s">
        <v>110</v>
      </c>
      <c r="AC205" s="7" t="s">
        <v>111</v>
      </c>
      <c r="AD205" s="7" t="s">
        <v>112</v>
      </c>
      <c r="AE205" s="5" t="s">
        <v>41</v>
      </c>
      <c r="AF205" s="7" t="s">
        <v>113</v>
      </c>
      <c r="AG205" s="41"/>
      <c r="AH205" s="41"/>
      <c r="AI205" s="41" t="s">
        <v>42</v>
      </c>
      <c r="AJ205" s="41" t="s">
        <v>43</v>
      </c>
      <c r="AK205" s="11"/>
      <c r="AL205" s="5" t="s">
        <v>44</v>
      </c>
      <c r="AM205" s="41" t="s">
        <v>45</v>
      </c>
      <c r="AN205" s="41" t="s">
        <v>46</v>
      </c>
      <c r="AO205" s="41" t="s">
        <v>47</v>
      </c>
      <c r="AP205" s="53"/>
      <c r="AQ205" s="15" t="s">
        <v>62</v>
      </c>
      <c r="AR205" s="16" t="s">
        <v>63</v>
      </c>
      <c r="AS205" s="16" t="s">
        <v>64</v>
      </c>
      <c r="AT205" s="17" t="s">
        <v>65</v>
      </c>
      <c r="AU205" s="18" t="s">
        <v>66</v>
      </c>
      <c r="AV205" s="18" t="s">
        <v>67</v>
      </c>
      <c r="AW205" s="19" t="s">
        <v>68</v>
      </c>
      <c r="AX205" s="7" t="s">
        <v>207</v>
      </c>
      <c r="AY205" s="7" t="s">
        <v>208</v>
      </c>
      <c r="AZ205" s="7" t="s">
        <v>209</v>
      </c>
    </row>
    <row r="206" spans="1:52" ht="14.5">
      <c r="A206" s="41" t="s">
        <v>18</v>
      </c>
      <c r="B206" s="41" t="s">
        <v>21</v>
      </c>
      <c r="C206" s="41" t="s">
        <v>48</v>
      </c>
      <c r="D206" s="41" t="s">
        <v>8</v>
      </c>
      <c r="E206" s="41" t="s">
        <v>49</v>
      </c>
      <c r="F206" s="41" t="s">
        <v>49</v>
      </c>
      <c r="G206" s="41"/>
      <c r="H206" s="41" t="s">
        <v>9</v>
      </c>
      <c r="I206" s="5" t="s">
        <v>50</v>
      </c>
      <c r="J206" s="41"/>
      <c r="K206" s="41" t="s">
        <v>51</v>
      </c>
      <c r="L206" s="5" t="s">
        <v>52</v>
      </c>
      <c r="M206" s="41" t="s">
        <v>52</v>
      </c>
      <c r="N206" s="41" t="s">
        <v>53</v>
      </c>
      <c r="O206" s="41" t="s">
        <v>54</v>
      </c>
      <c r="P206" s="41"/>
      <c r="Q206" s="41"/>
      <c r="R206" s="41"/>
      <c r="S206" s="24" t="s">
        <v>55</v>
      </c>
      <c r="T206" s="10" t="s">
        <v>55</v>
      </c>
      <c r="U206" s="41"/>
      <c r="V206" s="41"/>
      <c r="W206" s="41"/>
      <c r="X206" s="41"/>
      <c r="Y206" s="41"/>
      <c r="Z206" s="41"/>
      <c r="AA206" s="9" t="s">
        <v>118</v>
      </c>
      <c r="AB206" s="9" t="s">
        <v>118</v>
      </c>
      <c r="AC206" s="7" t="s">
        <v>119</v>
      </c>
      <c r="AD206" s="7" t="s">
        <v>119</v>
      </c>
      <c r="AE206" s="5" t="s">
        <v>20</v>
      </c>
      <c r="AF206" s="7" t="s">
        <v>118</v>
      </c>
      <c r="AG206" s="41"/>
      <c r="AH206" s="41"/>
      <c r="AI206" s="41" t="s">
        <v>56</v>
      </c>
      <c r="AJ206" s="41" t="s">
        <v>57</v>
      </c>
      <c r="AK206" s="11"/>
      <c r="AL206" s="5" t="s">
        <v>9</v>
      </c>
      <c r="AM206" s="41" t="s">
        <v>18</v>
      </c>
      <c r="AN206" s="41" t="s">
        <v>8</v>
      </c>
      <c r="AO206" s="41" t="s">
        <v>49</v>
      </c>
      <c r="AP206" s="53"/>
      <c r="AQ206" s="11"/>
      <c r="AR206" s="11"/>
      <c r="AS206" s="11"/>
      <c r="AT206" s="11"/>
      <c r="AU206" s="11"/>
      <c r="AV206" s="11"/>
      <c r="AW206" s="11"/>
      <c r="AX206" s="41"/>
      <c r="AY206" s="41"/>
      <c r="AZ206" s="41"/>
    </row>
    <row r="207" spans="1:52" ht="14.5">
      <c r="A207" s="41">
        <f ca="1">H207/(K207*SIN(RADIANS(T207)))</f>
        <v>0</v>
      </c>
      <c r="B207" s="41">
        <v>0</v>
      </c>
      <c r="C207" s="41">
        <v>0</v>
      </c>
      <c r="D207" s="41">
        <f ca="1">C198+C199+C200</f>
        <v>10719.77527752133</v>
      </c>
      <c r="E207" s="7">
        <v>0</v>
      </c>
      <c r="F207" s="7">
        <v>0</v>
      </c>
      <c r="G207" s="41"/>
      <c r="H207" s="41">
        <v>0</v>
      </c>
      <c r="I207" s="6">
        <v>15</v>
      </c>
      <c r="J207" s="41">
        <f t="shared" ref="J207:J227" si="232">SQRT((((((((L207^2)*(0.2))/(661.477)^2) + 1)^(3.5) - 1)*(1/AR207) + 1)^(1/3.5) - 1)*(5))</f>
        <v>0.12850031066839707</v>
      </c>
      <c r="K207" s="41">
        <f t="shared" ref="K207:K227" si="233">SQRT((1.4*2116.22*AR207*(J207)^2)/AV207)</f>
        <v>147.15079803755594</v>
      </c>
      <c r="L207" s="120">
        <v>85</v>
      </c>
      <c r="M207" s="41">
        <f t="shared" ref="M207:M227" si="234">K207*0.592484</f>
        <v>87.184493424483293</v>
      </c>
      <c r="N207" s="41">
        <f t="shared" ref="N207:N227" si="235">0.5*AV207*K207^2</f>
        <v>24.460605860580245</v>
      </c>
      <c r="O207" s="41">
        <f t="shared" ref="O207:O227" si="236">P207/$B$7</f>
        <v>855404.51816293225</v>
      </c>
      <c r="P207" s="41">
        <f t="shared" ref="P207:P227" si="237">(AV207*K207*$B$7)/(AW207)</f>
        <v>5492298.0858170334</v>
      </c>
      <c r="Q207" s="41">
        <f t="shared" ref="Q207:Q227" si="238">0.455/(LOG10(P207)^2.58 * (1+0.144*J207*J207)^0.65)</f>
        <v>3.3070389858677954E-3</v>
      </c>
      <c r="R207" s="41">
        <f t="shared" ref="R207:R227" si="239">(((Q207*$B$4)+$B$17)+(0.1*(Q207*$B$4)))</f>
        <v>2.1873371586756101E-2</v>
      </c>
      <c r="S207" s="24">
        <f ca="1">T207</f>
        <v>28.813994412697383</v>
      </c>
      <c r="T207" s="10">
        <f t="shared" ref="T207:T227" ca="1" si="240">DEGREES(ASIN(((AF207-X207)/(D207))))</f>
        <v>28.813994412697383</v>
      </c>
      <c r="U207" s="41">
        <f t="shared" ref="U207:U227" ca="1" si="241">(D207*COS(RADIANS(S207)))/(N207*$B$3)</f>
        <v>1.669507695057632</v>
      </c>
      <c r="V207" s="41">
        <f t="shared" ref="V207:V227" ca="1" si="242">(X207)/(N207*$B$3)</f>
        <v>0.19790732441495121</v>
      </c>
      <c r="W207" s="41">
        <f t="shared" ref="W207:W227" ca="1" si="243">U207/V207</f>
        <v>8.4358054962997944</v>
      </c>
      <c r="X207" s="20">
        <f t="shared" ref="X207:X227" ca="1" si="244">(N207*$B$3*R207)+((N207*$B$3)*((U207^2)/(PI()*$B$6*$B$5)))</f>
        <v>1113.4146036703055</v>
      </c>
      <c r="Y207" s="41">
        <f t="shared" ref="Y207:Y227" si="245">SQRT(PI()*$B$6*$B$5*R207)</f>
        <v>0.58850217193346965</v>
      </c>
      <c r="Z207" s="41">
        <f t="shared" ref="Z207:Z227" ca="1" si="246">SQRT((2*((U207*N207*$B$3)/(D207))*D207)/(AV207*$B$3*$B$18))</f>
        <v>122.73013542849286</v>
      </c>
      <c r="AA207" s="14">
        <f t="shared" ref="AA207:AA227" ca="1" si="247">D207/W207</f>
        <v>1270.7470889677761</v>
      </c>
      <c r="AB207" s="14">
        <f t="shared" ref="AB207:AB227" si="248">$B$15*AR207</f>
        <v>6280</v>
      </c>
      <c r="AC207" s="25">
        <f t="shared" ref="AC207:AC227" ca="1" si="249">AA207*K207</f>
        <v>186991.44824550935</v>
      </c>
      <c r="AD207" s="41">
        <f t="shared" ref="AD207:AD227" si="250">AB207*K207</f>
        <v>924107.0116758513</v>
      </c>
      <c r="AE207" s="6">
        <v>100</v>
      </c>
      <c r="AF207" s="41">
        <f t="shared" ref="AF207:AF227" si="251">AB207*(AE207/100)</f>
        <v>6280</v>
      </c>
      <c r="AG207" s="41"/>
      <c r="AH207" s="41"/>
      <c r="AI207" s="41">
        <f t="shared" ref="AI207:AI227" si="252">(AP207*AF207)</f>
        <v>4985.2972204089865</v>
      </c>
      <c r="AJ207" s="13">
        <f t="shared" ref="AJ207:AJ227" ca="1" si="253">K207*SIN(RADIANS(T207))</f>
        <v>70.921931152169535</v>
      </c>
      <c r="AK207" s="11"/>
      <c r="AL207" s="6">
        <v>150</v>
      </c>
      <c r="AM207" s="41">
        <f t="shared" ref="AM207:AM227" ca="1" si="254">AL207/AJ207</f>
        <v>2.1150016301468328</v>
      </c>
      <c r="AN207" s="41">
        <f t="shared" ref="AN207:AN227" ca="1" si="255">AI207*(AM207/3600)</f>
        <v>2.9288643744254115</v>
      </c>
      <c r="AO207" s="41">
        <f t="shared" ref="AO207:AO227" ca="1" si="256">M207*COS(RADIANS(T207))*(AM207/3600)</f>
        <v>4.4879214175965888E-2</v>
      </c>
      <c r="AP207" s="67">
        <f t="shared" ref="AP207:AP227" si="257">-18.066*(AZ207^6) + 34.325*(AZ207^5) - 25.292*(AZ207^4) + 8.7618*(AZ207^3) - 1.317*(AZ207^2) + 0.358*(AZ207^1) + 0.7659</f>
        <v>0.79383713700780034</v>
      </c>
      <c r="AQ207" s="11">
        <f t="shared" ref="AQ207:AQ227" si="258">IF(H207 &lt;= 36089, ((1 - 6.87535*10^(-6)*H207) + ((I207*1.8)/518.67)), 0.75187 + ((I207*1.8)/518.67))</f>
        <v>1.0520562207183759</v>
      </c>
      <c r="AR207" s="11">
        <f t="shared" ref="AR207:AR227" si="259">IF(H207 &lt;= 36089, (1 - 6.87535*10^(-6)*H207)^5.2561, 0.22336*EXP((36089 - H207)/(20806.7)))</f>
        <v>1</v>
      </c>
      <c r="AS207" s="11">
        <f t="shared" ref="AS207:AS227" si="260">(AR207/AQ207)</f>
        <v>0.95051954477981193</v>
      </c>
      <c r="AT207" s="11">
        <f t="shared" ref="AT207:AT227" si="261">(518.67*AQ207)</f>
        <v>545.66999999999996</v>
      </c>
      <c r="AU207" s="11">
        <f t="shared" ref="AU207:AU227" si="262">2116.22*AR207</f>
        <v>2116.2199999999998</v>
      </c>
      <c r="AV207" s="11">
        <f t="shared" ref="AV207:AV227" si="263">(0.0023769*AS207)</f>
        <v>2.259289905987135E-3</v>
      </c>
      <c r="AW207" s="11">
        <f t="shared" ref="AW207:AW227" si="264">((2.2697*10^-8)*(AT207^1.5))/(AT207+198.72)</f>
        <v>3.8865391239478742E-7</v>
      </c>
      <c r="AX207" s="41">
        <f t="shared" ref="AX207:AX227" ca="1" si="265">(1/U207)*(((1 + 0.2*(U207)^2)/1.2)^3)</f>
        <v>1.3095170893612036</v>
      </c>
      <c r="AY207" s="41">
        <f t="shared" ref="AY207:AY227" ca="1" si="266">($H$4/$H$3)*AX207</f>
        <v>1.7639455362653564</v>
      </c>
      <c r="AZ207" s="41">
        <f t="shared" ref="AZ207:AZ227" si="267">-6.6*10^(-3) + 0.825*J207 - 0.243*(J207^2)</f>
        <v>9.5400260149852062E-2</v>
      </c>
    </row>
    <row r="208" spans="1:52" ht="14.5">
      <c r="A208" s="41">
        <f t="shared" ref="A208:A227" ca="1" si="268">A207+AM207</f>
        <v>2.1150016301468328</v>
      </c>
      <c r="B208" s="41">
        <f t="shared" ref="B208:C223" ca="1" si="269">A208/60</f>
        <v>3.5250027169113879E-2</v>
      </c>
      <c r="C208" s="41">
        <f t="shared" ca="1" si="269"/>
        <v>5.8750045281856468E-4</v>
      </c>
      <c r="D208" s="41">
        <f t="shared" ref="D208:D227" ca="1" si="270">D207-AN207</f>
        <v>10716.846413146905</v>
      </c>
      <c r="E208" s="41">
        <f t="shared" ref="E208:E227" ca="1" si="271">E207+AO207</f>
        <v>4.4879214175965888E-2</v>
      </c>
      <c r="F208" s="41">
        <f t="shared" ref="F208:F227" ca="1" si="272">F207+AO207</f>
        <v>4.4879214175965888E-2</v>
      </c>
      <c r="G208" s="41"/>
      <c r="H208" s="7">
        <f t="shared" ref="H208:H227" si="273">H207+AL207</f>
        <v>150</v>
      </c>
      <c r="I208" s="6">
        <v>15</v>
      </c>
      <c r="J208" s="41">
        <f t="shared" si="232"/>
        <v>0.13415317282732284</v>
      </c>
      <c r="K208" s="41">
        <f t="shared" si="233"/>
        <v>153.54879924916679</v>
      </c>
      <c r="L208" s="6">
        <f>L207+($L$232-$L$207)/20</f>
        <v>88.5</v>
      </c>
      <c r="M208" s="41">
        <f t="shared" si="234"/>
        <v>90.975206774343334</v>
      </c>
      <c r="N208" s="41">
        <f t="shared" si="235"/>
        <v>26.515839864074255</v>
      </c>
      <c r="O208" s="41">
        <f t="shared" si="236"/>
        <v>889308.88252731704</v>
      </c>
      <c r="P208" s="41">
        <f t="shared" si="237"/>
        <v>5709987.9290964035</v>
      </c>
      <c r="Q208" s="41">
        <f t="shared" si="238"/>
        <v>3.2853084296077819E-3</v>
      </c>
      <c r="R208" s="41">
        <f t="shared" si="239"/>
        <v>2.1749354644459755E-2</v>
      </c>
      <c r="S208" s="24">
        <f t="shared" ref="S208:S227" ca="1" si="274">T208</f>
        <v>29.054367555479736</v>
      </c>
      <c r="T208" s="10">
        <f t="shared" ca="1" si="240"/>
        <v>29.054367555479736</v>
      </c>
      <c r="U208" s="41">
        <f t="shared" ca="1" si="241"/>
        <v>1.5361172143859263</v>
      </c>
      <c r="V208" s="41">
        <f t="shared" ca="1" si="242"/>
        <v>0.17077750215568485</v>
      </c>
      <c r="W208" s="41">
        <f t="shared" ca="1" si="243"/>
        <v>8.9948453103943695</v>
      </c>
      <c r="X208" s="20">
        <f t="shared" ca="1" si="244"/>
        <v>1041.5110468957491</v>
      </c>
      <c r="Y208" s="41">
        <f t="shared" si="245"/>
        <v>0.58683146504564943</v>
      </c>
      <c r="Z208" s="41">
        <f t="shared" ca="1" si="246"/>
        <v>122.84372632247432</v>
      </c>
      <c r="AA208" s="14">
        <f t="shared" ca="1" si="247"/>
        <v>1191.4431036143117</v>
      </c>
      <c r="AB208" s="14">
        <f t="shared" si="248"/>
        <v>6246.0330756029416</v>
      </c>
      <c r="AC208" s="25">
        <f t="shared" ca="1" si="249"/>
        <v>182944.65793367816</v>
      </c>
      <c r="AD208" s="41">
        <f t="shared" si="250"/>
        <v>959070.87882941193</v>
      </c>
      <c r="AE208" s="6">
        <v>100</v>
      </c>
      <c r="AF208" s="41">
        <f t="shared" si="251"/>
        <v>6246.0330756029416</v>
      </c>
      <c r="AG208" s="41"/>
      <c r="AH208" s="41"/>
      <c r="AI208" s="41">
        <f t="shared" si="252"/>
        <v>4965.6395352802938</v>
      </c>
      <c r="AJ208" s="13">
        <f t="shared" ca="1" si="253"/>
        <v>74.569334799225174</v>
      </c>
      <c r="AK208" s="11"/>
      <c r="AL208" s="6">
        <v>150</v>
      </c>
      <c r="AM208" s="41">
        <f t="shared" ca="1" si="254"/>
        <v>2.0115507319981969</v>
      </c>
      <c r="AN208" s="41">
        <f t="shared" ca="1" si="255"/>
        <v>2.7746210672311835</v>
      </c>
      <c r="AO208" s="41">
        <f t="shared" ca="1" si="256"/>
        <v>4.4436732138573472E-2</v>
      </c>
      <c r="AP208" s="67">
        <f t="shared" si="257"/>
        <v>0.79500692282212282</v>
      </c>
      <c r="AQ208" s="11">
        <f t="shared" si="258"/>
        <v>1.0510249182183757</v>
      </c>
      <c r="AR208" s="11">
        <f t="shared" si="259"/>
        <v>0.99459125407690152</v>
      </c>
      <c r="AS208" s="11">
        <f t="shared" si="260"/>
        <v>0.94630606452496235</v>
      </c>
      <c r="AT208" s="11">
        <f t="shared" si="261"/>
        <v>545.13509433232491</v>
      </c>
      <c r="AU208" s="11">
        <f t="shared" si="262"/>
        <v>2104.7739037026204</v>
      </c>
      <c r="AV208" s="11">
        <f t="shared" si="263"/>
        <v>2.2492748847693831E-3</v>
      </c>
      <c r="AW208" s="11">
        <f t="shared" si="264"/>
        <v>3.8836164185848879E-7</v>
      </c>
      <c r="AX208" s="41">
        <f t="shared" ca="1" si="265"/>
        <v>1.2014188890889548</v>
      </c>
      <c r="AY208" s="41">
        <f t="shared" ca="1" si="266"/>
        <v>1.6183351128522743</v>
      </c>
      <c r="AZ208" s="41">
        <f t="shared" si="267"/>
        <v>9.9703078654089408E-2</v>
      </c>
    </row>
    <row r="209" spans="1:52" ht="14.5">
      <c r="A209" s="41">
        <f t="shared" ca="1" si="268"/>
        <v>4.1265523621450297</v>
      </c>
      <c r="B209" s="41">
        <f t="shared" ca="1" si="269"/>
        <v>6.8775872702417168E-2</v>
      </c>
      <c r="C209" s="41">
        <f t="shared" ca="1" si="269"/>
        <v>1.146264545040286E-3</v>
      </c>
      <c r="D209" s="41">
        <f t="shared" ca="1" si="270"/>
        <v>10714.071792079674</v>
      </c>
      <c r="E209" s="41">
        <f t="shared" ca="1" si="271"/>
        <v>8.931594631453936E-2</v>
      </c>
      <c r="F209" s="41">
        <f t="shared" ca="1" si="272"/>
        <v>8.931594631453936E-2</v>
      </c>
      <c r="G209" s="41"/>
      <c r="H209" s="7">
        <f t="shared" si="273"/>
        <v>300</v>
      </c>
      <c r="I209" s="6">
        <v>15</v>
      </c>
      <c r="J209" s="41">
        <f t="shared" si="232"/>
        <v>0.13983576674268838</v>
      </c>
      <c r="K209" s="41">
        <f t="shared" si="233"/>
        <v>159.97442838968141</v>
      </c>
      <c r="L209" s="6">
        <f t="shared" ref="L209:L227" si="275">L208+($L$232-$L$207)/20</f>
        <v>92</v>
      </c>
      <c r="M209" s="41">
        <f t="shared" si="234"/>
        <v>94.782289230032006</v>
      </c>
      <c r="N209" s="41">
        <f t="shared" si="235"/>
        <v>28.653800293742965</v>
      </c>
      <c r="O209" s="41">
        <f t="shared" si="236"/>
        <v>923107.8579739175</v>
      </c>
      <c r="P209" s="41">
        <f t="shared" si="237"/>
        <v>5927001.1014684746</v>
      </c>
      <c r="Q209" s="41">
        <f t="shared" si="238"/>
        <v>3.2645983968564714E-3</v>
      </c>
      <c r="R209" s="41">
        <f t="shared" si="239"/>
        <v>2.1631161860715838E-2</v>
      </c>
      <c r="S209" s="24">
        <f t="shared" ca="1" si="274"/>
        <v>29.23031580158117</v>
      </c>
      <c r="T209" s="10">
        <f t="shared" ca="1" si="240"/>
        <v>29.23031580158117</v>
      </c>
      <c r="U209" s="41">
        <f t="shared" ca="1" si="241"/>
        <v>1.41870290796521</v>
      </c>
      <c r="V209" s="41">
        <f t="shared" ca="1" si="242"/>
        <v>0.14874783224597951</v>
      </c>
      <c r="W209" s="41">
        <f t="shared" ca="1" si="243"/>
        <v>9.53763753423409</v>
      </c>
      <c r="X209" s="20">
        <f t="shared" ca="1" si="244"/>
        <v>980.30385623979964</v>
      </c>
      <c r="Y209" s="41">
        <f t="shared" si="245"/>
        <v>0.58523478016843156</v>
      </c>
      <c r="Z209" s="41">
        <f t="shared" ca="1" si="246"/>
        <v>122.99591159512002</v>
      </c>
      <c r="AA209" s="14">
        <f t="shared" ca="1" si="247"/>
        <v>1123.3465052139934</v>
      </c>
      <c r="AB209" s="14">
        <f t="shared" si="248"/>
        <v>6212.2150696146691</v>
      </c>
      <c r="AC209" s="25">
        <f t="shared" ca="1" si="249"/>
        <v>179706.71505515487</v>
      </c>
      <c r="AD209" s="41">
        <f t="shared" si="250"/>
        <v>993795.5547953716</v>
      </c>
      <c r="AE209" s="6">
        <v>100</v>
      </c>
      <c r="AF209" s="41">
        <f t="shared" si="251"/>
        <v>6212.2150696146691</v>
      </c>
      <c r="AG209" s="41"/>
      <c r="AH209" s="41"/>
      <c r="AI209" s="41">
        <f t="shared" si="252"/>
        <v>4946.0577396346052</v>
      </c>
      <c r="AJ209" s="13">
        <f t="shared" ca="1" si="253"/>
        <v>78.11894693144923</v>
      </c>
      <c r="AK209" s="11"/>
      <c r="AL209" s="6">
        <v>150</v>
      </c>
      <c r="AM209" s="41">
        <f t="shared" ca="1" si="254"/>
        <v>1.9201487717394305</v>
      </c>
      <c r="AN209" s="41">
        <f t="shared" ca="1" si="255"/>
        <v>2.6381018593643586</v>
      </c>
      <c r="AO209" s="41">
        <f t="shared" ca="1" si="256"/>
        <v>4.4117058109683319E-2</v>
      </c>
      <c r="AP209" s="67">
        <f t="shared" si="257"/>
        <v>0.79618263118849153</v>
      </c>
      <c r="AQ209" s="11">
        <f t="shared" si="258"/>
        <v>1.0499936157183758</v>
      </c>
      <c r="AR209" s="11">
        <f t="shared" si="259"/>
        <v>0.98920622127622115</v>
      </c>
      <c r="AS209" s="11">
        <f t="shared" si="260"/>
        <v>0.94210689138279602</v>
      </c>
      <c r="AT209" s="11">
        <f t="shared" si="261"/>
        <v>544.60018866464998</v>
      </c>
      <c r="AU209" s="11">
        <f t="shared" si="262"/>
        <v>2093.3779895891644</v>
      </c>
      <c r="AV209" s="11">
        <f t="shared" si="263"/>
        <v>2.2392938701277679E-3</v>
      </c>
      <c r="AW209" s="11">
        <f t="shared" si="264"/>
        <v>3.8806923132088533E-7</v>
      </c>
      <c r="AX209" s="41">
        <f t="shared" ca="1" si="265"/>
        <v>1.1254181226245186</v>
      </c>
      <c r="AY209" s="41">
        <f t="shared" ca="1" si="266"/>
        <v>1.515960570475676</v>
      </c>
      <c r="AZ209" s="41">
        <f t="shared" si="267"/>
        <v>0.10401287543921263</v>
      </c>
    </row>
    <row r="210" spans="1:52" ht="14.5">
      <c r="A210" s="41">
        <f t="shared" ca="1" si="268"/>
        <v>6.0467011338844605</v>
      </c>
      <c r="B210" s="41">
        <f t="shared" ca="1" si="269"/>
        <v>0.10077835223140767</v>
      </c>
      <c r="C210" s="41">
        <f t="shared" ca="1" si="269"/>
        <v>1.6796392038567946E-3</v>
      </c>
      <c r="D210" s="41">
        <f t="shared" ca="1" si="270"/>
        <v>10711.43369022031</v>
      </c>
      <c r="E210" s="41">
        <f t="shared" ca="1" si="271"/>
        <v>0.13343300442422268</v>
      </c>
      <c r="F210" s="41">
        <f t="shared" ca="1" si="272"/>
        <v>0.13343300442422268</v>
      </c>
      <c r="G210" s="41"/>
      <c r="H210" s="7">
        <f t="shared" si="273"/>
        <v>450</v>
      </c>
      <c r="I210" s="6">
        <v>15</v>
      </c>
      <c r="J210" s="41">
        <f t="shared" si="232"/>
        <v>0.14554820646379638</v>
      </c>
      <c r="K210" s="41">
        <f t="shared" si="233"/>
        <v>166.42776101352038</v>
      </c>
      <c r="L210" s="6">
        <f t="shared" si="275"/>
        <v>95.5</v>
      </c>
      <c r="M210" s="41">
        <f t="shared" si="234"/>
        <v>98.60578555633461</v>
      </c>
      <c r="N210" s="41">
        <f t="shared" si="235"/>
        <v>30.874446112165643</v>
      </c>
      <c r="O210" s="41">
        <f t="shared" si="236"/>
        <v>956801.2002482774</v>
      </c>
      <c r="P210" s="41">
        <f t="shared" si="237"/>
        <v>6143336.0346480031</v>
      </c>
      <c r="Q210" s="41">
        <f t="shared" si="238"/>
        <v>3.2448222120849864E-3</v>
      </c>
      <c r="R210" s="41">
        <f t="shared" si="239"/>
        <v>2.1518298575657638E-2</v>
      </c>
      <c r="S210" s="24">
        <f t="shared" ca="1" si="274"/>
        <v>29.352128590030485</v>
      </c>
      <c r="T210" s="10">
        <f t="shared" ca="1" si="240"/>
        <v>29.352128590030485</v>
      </c>
      <c r="U210" s="41">
        <f t="shared" ca="1" si="241"/>
        <v>1.3147694520931279</v>
      </c>
      <c r="V210" s="41">
        <f t="shared" ca="1" si="242"/>
        <v>0.1306921925284254</v>
      </c>
      <c r="W210" s="41">
        <f t="shared" ca="1" si="243"/>
        <v>10.060045873108809</v>
      </c>
      <c r="X210" s="20">
        <f t="shared" ca="1" si="244"/>
        <v>928.06128276491881</v>
      </c>
      <c r="Y210" s="41">
        <f t="shared" si="245"/>
        <v>0.58370601569977865</v>
      </c>
      <c r="Z210" s="41">
        <f t="shared" ca="1" si="246"/>
        <v>123.18134795115913</v>
      </c>
      <c r="AA210" s="14">
        <f t="shared" ca="1" si="247"/>
        <v>1064.7499847741954</v>
      </c>
      <c r="AB210" s="14">
        <f t="shared" si="248"/>
        <v>6178.5454820302302</v>
      </c>
      <c r="AC210" s="25">
        <f t="shared" ca="1" si="249"/>
        <v>177203.95600514926</v>
      </c>
      <c r="AD210" s="41">
        <f t="shared" si="250"/>
        <v>1028281.4908944933</v>
      </c>
      <c r="AE210" s="6">
        <v>100</v>
      </c>
      <c r="AF210" s="41">
        <f t="shared" si="251"/>
        <v>6178.5454820302302</v>
      </c>
      <c r="AG210" s="41"/>
      <c r="AH210" s="41"/>
      <c r="AI210" s="41">
        <f t="shared" si="252"/>
        <v>4926.5560790381796</v>
      </c>
      <c r="AJ210" s="13">
        <f t="shared" ca="1" si="253"/>
        <v>81.578839471172557</v>
      </c>
      <c r="AK210" s="11"/>
      <c r="AL210" s="6">
        <v>150</v>
      </c>
      <c r="AM210" s="41">
        <f t="shared" ca="1" si="254"/>
        <v>1.838712109321013</v>
      </c>
      <c r="AN210" s="41">
        <f t="shared" ca="1" si="255"/>
        <v>2.5162550888268198</v>
      </c>
      <c r="AO210" s="41">
        <f t="shared" ca="1" si="256"/>
        <v>4.3897788852732753E-2</v>
      </c>
      <c r="AP210" s="67">
        <f t="shared" si="257"/>
        <v>0.79736502601893045</v>
      </c>
      <c r="AQ210" s="11">
        <f t="shared" si="258"/>
        <v>1.0489623132183759</v>
      </c>
      <c r="AR210" s="11">
        <f t="shared" si="259"/>
        <v>0.98384482197933598</v>
      </c>
      <c r="AS210" s="11">
        <f t="shared" si="260"/>
        <v>0.93792199164977674</v>
      </c>
      <c r="AT210" s="11">
        <f t="shared" si="261"/>
        <v>544.06528299697493</v>
      </c>
      <c r="AU210" s="11">
        <f t="shared" si="262"/>
        <v>2082.0320891691103</v>
      </c>
      <c r="AV210" s="11">
        <f t="shared" si="263"/>
        <v>2.2293467819523541E-3</v>
      </c>
      <c r="AW210" s="11">
        <f t="shared" si="264"/>
        <v>3.8777668061740615E-7</v>
      </c>
      <c r="AX210" s="41">
        <f t="shared" ca="1" si="265"/>
        <v>1.0726904173115588</v>
      </c>
      <c r="AY210" s="41">
        <f t="shared" ca="1" si="266"/>
        <v>1.4449353038488151</v>
      </c>
      <c r="AZ210" s="41">
        <f t="shared" si="267"/>
        <v>0.10832949019425883</v>
      </c>
    </row>
    <row r="211" spans="1:52" ht="14.5">
      <c r="A211" s="41">
        <f t="shared" ca="1" si="268"/>
        <v>7.8854132432054733</v>
      </c>
      <c r="B211" s="41">
        <f t="shared" ca="1" si="269"/>
        <v>0.13142355405342457</v>
      </c>
      <c r="C211" s="41">
        <f t="shared" ca="1" si="269"/>
        <v>2.1903925675570762E-3</v>
      </c>
      <c r="D211" s="41">
        <f t="shared" ca="1" si="270"/>
        <v>10708.917435131483</v>
      </c>
      <c r="E211" s="41">
        <f t="shared" ca="1" si="271"/>
        <v>0.17733079327695545</v>
      </c>
      <c r="F211" s="41">
        <f t="shared" ca="1" si="272"/>
        <v>0.17733079327695545</v>
      </c>
      <c r="G211" s="41"/>
      <c r="H211" s="7">
        <f t="shared" si="273"/>
        <v>600</v>
      </c>
      <c r="I211" s="6">
        <v>15</v>
      </c>
      <c r="J211" s="41">
        <f t="shared" si="232"/>
        <v>0.15129060357974145</v>
      </c>
      <c r="K211" s="41">
        <f t="shared" si="233"/>
        <v>172.90886954823506</v>
      </c>
      <c r="L211" s="6">
        <f t="shared" si="275"/>
        <v>99</v>
      </c>
      <c r="M211" s="41">
        <f t="shared" si="234"/>
        <v>102.4457386654165</v>
      </c>
      <c r="N211" s="41">
        <f t="shared" si="235"/>
        <v>33.177731798083506</v>
      </c>
      <c r="O211" s="41">
        <f t="shared" si="236"/>
        <v>990388.64778089244</v>
      </c>
      <c r="P211" s="41">
        <f t="shared" si="237"/>
        <v>6358991.0491749719</v>
      </c>
      <c r="Q211" s="41">
        <f t="shared" si="238"/>
        <v>3.2259032818358112E-3</v>
      </c>
      <c r="R211" s="41">
        <f t="shared" si="239"/>
        <v>2.1410327668104846E-2</v>
      </c>
      <c r="S211" s="24">
        <f t="shared" ca="1" si="274"/>
        <v>29.428098612132054</v>
      </c>
      <c r="T211" s="10">
        <f t="shared" ca="1" si="240"/>
        <v>29.428098612132054</v>
      </c>
      <c r="U211" s="41">
        <f t="shared" ca="1" si="241"/>
        <v>1.2222940977983754</v>
      </c>
      <c r="V211" s="41">
        <f t="shared" ca="1" si="242"/>
        <v>0.11576665322492613</v>
      </c>
      <c r="W211" s="41">
        <f t="shared" ca="1" si="243"/>
        <v>10.558257181569786</v>
      </c>
      <c r="X211" s="20">
        <f t="shared" ca="1" si="244"/>
        <v>883.40124352741782</v>
      </c>
      <c r="Y211" s="41">
        <f t="shared" si="245"/>
        <v>0.58223976306145997</v>
      </c>
      <c r="Z211" s="41">
        <f t="shared" ca="1" si="246"/>
        <v>123.395552800159</v>
      </c>
      <c r="AA211" s="14">
        <f t="shared" ca="1" si="247"/>
        <v>1014.2694244865228</v>
      </c>
      <c r="AB211" s="14">
        <f t="shared" si="248"/>
        <v>6145.0238140091051</v>
      </c>
      <c r="AC211" s="25">
        <f t="shared" ca="1" si="249"/>
        <v>175376.17960530362</v>
      </c>
      <c r="AD211" s="41">
        <f t="shared" si="250"/>
        <v>1062529.1210272983</v>
      </c>
      <c r="AE211" s="6">
        <v>100</v>
      </c>
      <c r="AF211" s="41">
        <f t="shared" si="251"/>
        <v>6145.0238140091051</v>
      </c>
      <c r="AG211" s="41"/>
      <c r="AH211" s="41"/>
      <c r="AI211" s="41">
        <f t="shared" si="252"/>
        <v>4907.1382027947557</v>
      </c>
      <c r="AJ211" s="13">
        <f t="shared" ca="1" si="253"/>
        <v>84.955479035336964</v>
      </c>
      <c r="AK211" s="11"/>
      <c r="AL211" s="6">
        <v>150</v>
      </c>
      <c r="AM211" s="41">
        <f t="shared" ca="1" si="254"/>
        <v>1.7656306774235004</v>
      </c>
      <c r="AN211" s="41">
        <f t="shared" ca="1" si="255"/>
        <v>2.4067204858920119</v>
      </c>
      <c r="AO211" s="41">
        <f t="shared" ca="1" si="256"/>
        <v>4.3761876476907199E-2</v>
      </c>
      <c r="AP211" s="67">
        <f t="shared" si="257"/>
        <v>0.79855479023656795</v>
      </c>
      <c r="AQ211" s="11">
        <f t="shared" si="258"/>
        <v>1.0479310107183759</v>
      </c>
      <c r="AR211" s="11">
        <f t="shared" si="259"/>
        <v>0.97850697675304221</v>
      </c>
      <c r="AS211" s="11">
        <f t="shared" si="260"/>
        <v>0.93375133166663116</v>
      </c>
      <c r="AT211" s="11">
        <f t="shared" si="261"/>
        <v>543.53037732929999</v>
      </c>
      <c r="AU211" s="11">
        <f t="shared" si="262"/>
        <v>2070.7360343443229</v>
      </c>
      <c r="AV211" s="11">
        <f t="shared" si="263"/>
        <v>2.2194335402384155E-3</v>
      </c>
      <c r="AW211" s="11">
        <f t="shared" si="264"/>
        <v>3.8748398958321087E-7</v>
      </c>
      <c r="AX211" s="41">
        <f t="shared" ca="1" si="265"/>
        <v>1.0373085585876922</v>
      </c>
      <c r="AY211" s="41">
        <f t="shared" ca="1" si="266"/>
        <v>1.3972752371969313</v>
      </c>
      <c r="AZ211" s="41">
        <f t="shared" si="267"/>
        <v>0.11265275819752674</v>
      </c>
    </row>
    <row r="212" spans="1:52" ht="14.5">
      <c r="A212" s="41">
        <f t="shared" ca="1" si="268"/>
        <v>9.6510439206289735</v>
      </c>
      <c r="B212" s="41">
        <f t="shared" ca="1" si="269"/>
        <v>0.16085073201048289</v>
      </c>
      <c r="C212" s="41">
        <f t="shared" ca="1" si="269"/>
        <v>2.6808455335080483E-3</v>
      </c>
      <c r="D212" s="41">
        <f t="shared" ca="1" si="270"/>
        <v>10706.510714645592</v>
      </c>
      <c r="E212" s="41">
        <f t="shared" ca="1" si="271"/>
        <v>0.22109266975386266</v>
      </c>
      <c r="F212" s="41">
        <f t="shared" ca="1" si="272"/>
        <v>0.22109266975386266</v>
      </c>
      <c r="G212" s="41"/>
      <c r="H212" s="7">
        <f t="shared" si="273"/>
        <v>750</v>
      </c>
      <c r="I212" s="6">
        <v>15</v>
      </c>
      <c r="J212" s="41">
        <f t="shared" si="232"/>
        <v>0.15706306715479662</v>
      </c>
      <c r="K212" s="41">
        <f t="shared" si="233"/>
        <v>179.41782322715147</v>
      </c>
      <c r="L212" s="6">
        <f t="shared" si="275"/>
        <v>102.5</v>
      </c>
      <c r="M212" s="41">
        <f t="shared" si="234"/>
        <v>106.30218957691561</v>
      </c>
      <c r="N212" s="41">
        <f t="shared" si="235"/>
        <v>35.563607106344286</v>
      </c>
      <c r="O212" s="41">
        <f t="shared" si="236"/>
        <v>1023869.9216526221</v>
      </c>
      <c r="P212" s="41">
        <f t="shared" si="237"/>
        <v>6573964.3541925056</v>
      </c>
      <c r="Q212" s="41">
        <f t="shared" si="238"/>
        <v>3.2077736102405921E-3</v>
      </c>
      <c r="R212" s="41">
        <f t="shared" si="239"/>
        <v>2.1306861083578738E-2</v>
      </c>
      <c r="S212" s="24">
        <f t="shared" ca="1" si="274"/>
        <v>29.464968780852814</v>
      </c>
      <c r="T212" s="10">
        <f t="shared" ca="1" si="240"/>
        <v>29.464968780852814</v>
      </c>
      <c r="U212" s="41">
        <f t="shared" ca="1" si="241"/>
        <v>1.1396230266358032</v>
      </c>
      <c r="V212" s="41">
        <f t="shared" ca="1" si="242"/>
        <v>0.1033310646955235</v>
      </c>
      <c r="W212" s="41">
        <f t="shared" ca="1" si="243"/>
        <v>11.028852068773601</v>
      </c>
      <c r="X212" s="20">
        <f t="shared" ca="1" si="244"/>
        <v>845.2098389437233</v>
      </c>
      <c r="Y212" s="41">
        <f t="shared" si="245"/>
        <v>0.58083120645002817</v>
      </c>
      <c r="Z212" s="41">
        <f t="shared" ca="1" si="246"/>
        <v>123.63475437599585</v>
      </c>
      <c r="AA212" s="14">
        <f t="shared" ca="1" si="247"/>
        <v>970.77290074089706</v>
      </c>
      <c r="AB212" s="14">
        <f t="shared" si="248"/>
        <v>6111.6495678736692</v>
      </c>
      <c r="AC212" s="25">
        <f t="shared" ca="1" si="249"/>
        <v>174173.96069883934</v>
      </c>
      <c r="AD212" s="41">
        <f t="shared" si="250"/>
        <v>1096538.8617950547</v>
      </c>
      <c r="AE212" s="6">
        <v>100</v>
      </c>
      <c r="AF212" s="41">
        <f t="shared" si="251"/>
        <v>6111.6495678736692</v>
      </c>
      <c r="AG212" s="41"/>
      <c r="AH212" s="41"/>
      <c r="AI212" s="41">
        <f t="shared" si="252"/>
        <v>4887.8071938740914</v>
      </c>
      <c r="AJ212" s="13">
        <f t="shared" ca="1" si="253"/>
        <v>88.25407058427237</v>
      </c>
      <c r="AK212" s="11"/>
      <c r="AL212" s="6">
        <v>150</v>
      </c>
      <c r="AM212" s="41">
        <f t="shared" ca="1" si="254"/>
        <v>1.6996383170424694</v>
      </c>
      <c r="AN212" s="41">
        <f t="shared" ca="1" si="255"/>
        <v>2.3076401091733985</v>
      </c>
      <c r="AO212" s="41">
        <f t="shared" ca="1" si="256"/>
        <v>4.3696144822437E-2</v>
      </c>
      <c r="AP212" s="67">
        <f t="shared" si="257"/>
        <v>0.79975252828094157</v>
      </c>
      <c r="AQ212" s="11">
        <f t="shared" si="258"/>
        <v>1.0468997082183757</v>
      </c>
      <c r="AR212" s="11">
        <f t="shared" si="259"/>
        <v>0.97319260634931037</v>
      </c>
      <c r="AS212" s="11">
        <f t="shared" si="260"/>
        <v>0.92959487781833383</v>
      </c>
      <c r="AT212" s="11">
        <f t="shared" si="261"/>
        <v>542.99547166162495</v>
      </c>
      <c r="AU212" s="11">
        <f t="shared" si="262"/>
        <v>2059.4896574085374</v>
      </c>
      <c r="AV212" s="11">
        <f t="shared" si="263"/>
        <v>2.2095540650863975E-3</v>
      </c>
      <c r="AW212" s="11">
        <f t="shared" si="264"/>
        <v>3.8719115805318761E-7</v>
      </c>
      <c r="AX212" s="41">
        <f t="shared" ca="1" si="265"/>
        <v>1.0151873830981495</v>
      </c>
      <c r="AY212" s="41">
        <f t="shared" ca="1" si="266"/>
        <v>1.3674775743189644</v>
      </c>
      <c r="AZ212" s="41">
        <f t="shared" si="267"/>
        <v>0.11698251028613768</v>
      </c>
    </row>
    <row r="213" spans="1:52" ht="14.5">
      <c r="A213" s="41">
        <f t="shared" ca="1" si="268"/>
        <v>11.350682237671442</v>
      </c>
      <c r="B213" s="41">
        <f t="shared" ca="1" si="269"/>
        <v>0.18917803729452404</v>
      </c>
      <c r="C213" s="41">
        <f t="shared" ca="1" si="269"/>
        <v>3.1529672882420674E-3</v>
      </c>
      <c r="D213" s="41">
        <f t="shared" ca="1" si="270"/>
        <v>10704.203074536419</v>
      </c>
      <c r="E213" s="41">
        <f t="shared" ca="1" si="271"/>
        <v>0.26478881457629966</v>
      </c>
      <c r="F213" s="41">
        <f t="shared" ca="1" si="272"/>
        <v>0.26478881457629966</v>
      </c>
      <c r="G213" s="41"/>
      <c r="H213" s="7">
        <f t="shared" si="273"/>
        <v>900</v>
      </c>
      <c r="I213" s="6">
        <v>15</v>
      </c>
      <c r="J213" s="41">
        <f t="shared" si="232"/>
        <v>0.16286570366370945</v>
      </c>
      <c r="K213" s="41">
        <f t="shared" si="233"/>
        <v>185.95468802213801</v>
      </c>
      <c r="L213" s="6">
        <f t="shared" si="275"/>
        <v>106</v>
      </c>
      <c r="M213" s="41">
        <f t="shared" si="234"/>
        <v>110.17517737810842</v>
      </c>
      <c r="N213" s="41">
        <f t="shared" si="235"/>
        <v>38.032016825893791</v>
      </c>
      <c r="O213" s="41">
        <f t="shared" si="236"/>
        <v>1057244.7255665495</v>
      </c>
      <c r="P213" s="41">
        <f t="shared" si="237"/>
        <v>6788254.0472661955</v>
      </c>
      <c r="Q213" s="41">
        <f t="shared" si="238"/>
        <v>3.190372575623338E-3</v>
      </c>
      <c r="R213" s="41">
        <f t="shared" si="239"/>
        <v>2.1207552852339589E-2</v>
      </c>
      <c r="S213" s="24">
        <f t="shared" ca="1" si="274"/>
        <v>29.468267650664224</v>
      </c>
      <c r="T213" s="10">
        <f t="shared" ca="1" si="240"/>
        <v>29.468267650664224</v>
      </c>
      <c r="U213" s="41">
        <f t="shared" ca="1" si="241"/>
        <v>1.065393195694522</v>
      </c>
      <c r="V213" s="41">
        <f t="shared" ca="1" si="242"/>
        <v>9.2894391457885153E-2</v>
      </c>
      <c r="W213" s="41">
        <f t="shared" ca="1" si="243"/>
        <v>11.468864578089534</v>
      </c>
      <c r="X213" s="20">
        <f t="shared" ca="1" si="244"/>
        <v>812.58104356021408</v>
      </c>
      <c r="Y213" s="41">
        <f t="shared" si="245"/>
        <v>0.57947603996826103</v>
      </c>
      <c r="Z213" s="41">
        <f t="shared" ca="1" si="246"/>
        <v>123.89576744614939</v>
      </c>
      <c r="AA213" s="14">
        <f t="shared" ca="1" si="247"/>
        <v>933.32718349347795</v>
      </c>
      <c r="AB213" s="14">
        <f t="shared" si="248"/>
        <v>6078.4222471077064</v>
      </c>
      <c r="AC213" s="25">
        <f t="shared" ca="1" si="249"/>
        <v>173556.56522911045</v>
      </c>
      <c r="AD213" s="41">
        <f t="shared" si="250"/>
        <v>1130311.1126277368</v>
      </c>
      <c r="AE213" s="6">
        <v>100</v>
      </c>
      <c r="AF213" s="41">
        <f t="shared" si="251"/>
        <v>6078.4222471077064</v>
      </c>
      <c r="AG213" s="41"/>
      <c r="AH213" s="41"/>
      <c r="AI213" s="41">
        <f t="shared" si="252"/>
        <v>4868.5655984722825</v>
      </c>
      <c r="AJ213" s="13">
        <f t="shared" ca="1" si="253"/>
        <v>91.478819241497007</v>
      </c>
      <c r="AK213" s="11"/>
      <c r="AL213" s="6">
        <v>150</v>
      </c>
      <c r="AM213" s="41">
        <f t="shared" ca="1" si="254"/>
        <v>1.6397238316337643</v>
      </c>
      <c r="AN213" s="41">
        <f t="shared" ca="1" si="255"/>
        <v>2.217528621579806</v>
      </c>
      <c r="AO213" s="41">
        <f t="shared" ca="1" si="256"/>
        <v>4.3690270938676286E-2</v>
      </c>
      <c r="AP213" s="67">
        <f t="shared" si="257"/>
        <v>0.80095876866548554</v>
      </c>
      <c r="AQ213" s="11">
        <f t="shared" si="258"/>
        <v>1.0458684057183758</v>
      </c>
      <c r="AR213" s="11">
        <f t="shared" si="259"/>
        <v>0.96790163170504873</v>
      </c>
      <c r="AS213" s="11">
        <f t="shared" si="260"/>
        <v>0.92545259653409839</v>
      </c>
      <c r="AT213" s="11">
        <f t="shared" si="261"/>
        <v>542.4605659939499</v>
      </c>
      <c r="AU213" s="11">
        <f t="shared" si="262"/>
        <v>2048.2927910468579</v>
      </c>
      <c r="AV213" s="11">
        <f t="shared" si="263"/>
        <v>2.1997082767018982E-3</v>
      </c>
      <c r="AW213" s="11">
        <f t="shared" si="264"/>
        <v>3.8689818586195294E-7</v>
      </c>
      <c r="AX213" s="41">
        <f t="shared" ca="1" si="265"/>
        <v>1.0034444576325134</v>
      </c>
      <c r="AY213" s="41">
        <f t="shared" ca="1" si="266"/>
        <v>1.3516596204135978</v>
      </c>
      <c r="AZ213" s="41">
        <f t="shared" si="267"/>
        <v>0.12131857282710061</v>
      </c>
    </row>
    <row r="214" spans="1:52" ht="14.5">
      <c r="A214" s="41">
        <f t="shared" ca="1" si="268"/>
        <v>12.990406069305207</v>
      </c>
      <c r="B214" s="41">
        <f t="shared" ca="1" si="269"/>
        <v>0.21650676782175346</v>
      </c>
      <c r="C214" s="41">
        <f t="shared" ca="1" si="269"/>
        <v>3.6084461303625575E-3</v>
      </c>
      <c r="D214" s="41">
        <f t="shared" ca="1" si="270"/>
        <v>10701.985545914838</v>
      </c>
      <c r="E214" s="41">
        <f t="shared" ca="1" si="271"/>
        <v>0.30847908551497594</v>
      </c>
      <c r="F214" s="41">
        <f t="shared" ca="1" si="272"/>
        <v>0.30847908551497594</v>
      </c>
      <c r="G214" s="41"/>
      <c r="H214" s="7">
        <f t="shared" si="273"/>
        <v>1050</v>
      </c>
      <c r="I214" s="6">
        <v>15</v>
      </c>
      <c r="J214" s="41">
        <f t="shared" si="232"/>
        <v>0.16869861692705138</v>
      </c>
      <c r="K214" s="41">
        <f t="shared" si="233"/>
        <v>192.51952657666146</v>
      </c>
      <c r="L214" s="6">
        <f t="shared" si="275"/>
        <v>109.5</v>
      </c>
      <c r="M214" s="41">
        <f t="shared" si="234"/>
        <v>114.06473918424669</v>
      </c>
      <c r="N214" s="41">
        <f t="shared" si="235"/>
        <v>40.582900535984422</v>
      </c>
      <c r="O214" s="41">
        <f t="shared" si="236"/>
        <v>1090512.7458271373</v>
      </c>
      <c r="P214" s="41">
        <f t="shared" si="237"/>
        <v>7001858.1142502623</v>
      </c>
      <c r="Q214" s="41">
        <f t="shared" si="238"/>
        <v>3.1736459152849044E-3</v>
      </c>
      <c r="R214" s="41">
        <f t="shared" si="239"/>
        <v>2.1112093295521009E-2</v>
      </c>
      <c r="S214" s="24">
        <f t="shared" ca="1" si="274"/>
        <v>29.442563541945514</v>
      </c>
      <c r="T214" s="10">
        <f t="shared" ca="1" si="240"/>
        <v>29.442563541945514</v>
      </c>
      <c r="U214" s="41">
        <f t="shared" ca="1" si="241"/>
        <v>0.99847281176230385</v>
      </c>
      <c r="V214" s="41">
        <f t="shared" ca="1" si="242"/>
        <v>8.4076059634993094E-2</v>
      </c>
      <c r="W214" s="41">
        <f t="shared" ca="1" si="243"/>
        <v>11.875827864639032</v>
      </c>
      <c r="X214" s="20">
        <f t="shared" ca="1" si="244"/>
        <v>784.77158409361641</v>
      </c>
      <c r="Y214" s="41">
        <f t="shared" si="245"/>
        <v>0.5781703986572817</v>
      </c>
      <c r="Z214" s="41">
        <f t="shared" ca="1" si="246"/>
        <v>124.1758913171731</v>
      </c>
      <c r="AA214" s="14">
        <f t="shared" ca="1" si="247"/>
        <v>901.1570113592353</v>
      </c>
      <c r="AB214" s="14">
        <f t="shared" si="248"/>
        <v>6045.3413563548711</v>
      </c>
      <c r="AC214" s="25">
        <f t="shared" ca="1" si="249"/>
        <v>173490.32119811911</v>
      </c>
      <c r="AD214" s="41">
        <f t="shared" si="250"/>
        <v>1163846.2559197522</v>
      </c>
      <c r="AE214" s="6">
        <v>100</v>
      </c>
      <c r="AF214" s="41">
        <f t="shared" si="251"/>
        <v>6045.3413563548711</v>
      </c>
      <c r="AG214" s="41"/>
      <c r="AH214" s="41"/>
      <c r="AI214" s="41">
        <f t="shared" si="252"/>
        <v>4849.4154551799757</v>
      </c>
      <c r="AJ214" s="13">
        <f t="shared" ca="1" si="253"/>
        <v>94.633131182449063</v>
      </c>
      <c r="AK214" s="11"/>
      <c r="AL214" s="6">
        <v>150</v>
      </c>
      <c r="AM214" s="41">
        <f t="shared" ca="1" si="254"/>
        <v>1.5850685497323949</v>
      </c>
      <c r="AN214" s="41">
        <f t="shared" ca="1" si="255"/>
        <v>2.1351822007199961</v>
      </c>
      <c r="AO214" s="41">
        <f t="shared" ca="1" si="256"/>
        <v>4.3736070724148216E-2</v>
      </c>
      <c r="AP214" s="67">
        <f t="shared" si="257"/>
        <v>0.80217396658375018</v>
      </c>
      <c r="AQ214" s="11">
        <f t="shared" si="258"/>
        <v>1.0448371032183759</v>
      </c>
      <c r="AR214" s="11">
        <f t="shared" si="259"/>
        <v>0.96263397394185846</v>
      </c>
      <c r="AS214" s="11">
        <f t="shared" si="260"/>
        <v>0.9213244542873622</v>
      </c>
      <c r="AT214" s="11">
        <f t="shared" si="261"/>
        <v>541.92566032627496</v>
      </c>
      <c r="AU214" s="11">
        <f t="shared" si="262"/>
        <v>2037.1452683352395</v>
      </c>
      <c r="AV214" s="11">
        <f t="shared" si="263"/>
        <v>2.1898960953956313E-3</v>
      </c>
      <c r="AW214" s="11">
        <f t="shared" si="264"/>
        <v>3.8660507284384917E-7</v>
      </c>
      <c r="AX214" s="41">
        <f t="shared" ca="1" si="265"/>
        <v>1.0000019452388857</v>
      </c>
      <c r="AY214" s="41">
        <f t="shared" ca="1" si="266"/>
        <v>1.3470224878250951</v>
      </c>
      <c r="AZ214" s="41">
        <f t="shared" si="267"/>
        <v>0.12566076769001405</v>
      </c>
    </row>
    <row r="215" spans="1:52" ht="14.5">
      <c r="A215" s="41">
        <f t="shared" ca="1" si="268"/>
        <v>14.575474619037601</v>
      </c>
      <c r="B215" s="41">
        <f t="shared" ca="1" si="269"/>
        <v>0.24292457698396003</v>
      </c>
      <c r="C215" s="41">
        <f t="shared" ca="1" si="269"/>
        <v>4.0487429497326668E-3</v>
      </c>
      <c r="D215" s="41">
        <f t="shared" ca="1" si="270"/>
        <v>10699.850363714118</v>
      </c>
      <c r="E215" s="41">
        <f t="shared" ca="1" si="271"/>
        <v>0.35221515623912414</v>
      </c>
      <c r="F215" s="41">
        <f t="shared" ca="1" si="272"/>
        <v>0.35221515623912414</v>
      </c>
      <c r="G215" s="41"/>
      <c r="H215" s="7">
        <f t="shared" si="273"/>
        <v>1200</v>
      </c>
      <c r="I215" s="6">
        <v>15</v>
      </c>
      <c r="J215" s="41">
        <f t="shared" si="232"/>
        <v>0.17456190804661811</v>
      </c>
      <c r="K215" s="41">
        <f t="shared" si="233"/>
        <v>199.11239813912914</v>
      </c>
      <c r="L215" s="6">
        <f t="shared" si="275"/>
        <v>113</v>
      </c>
      <c r="M215" s="41">
        <f t="shared" si="234"/>
        <v>117.97091009906379</v>
      </c>
      <c r="N215" s="41">
        <f t="shared" si="235"/>
        <v>43.216192360716391</v>
      </c>
      <c r="O215" s="41">
        <f t="shared" si="236"/>
        <v>1123673.6513265397</v>
      </c>
      <c r="P215" s="41">
        <f t="shared" si="237"/>
        <v>7214774.4291996732</v>
      </c>
      <c r="Q215" s="41">
        <f t="shared" si="238"/>
        <v>3.1575448776116409E-3</v>
      </c>
      <c r="R215" s="41">
        <f t="shared" si="239"/>
        <v>2.1020204186188319E-2</v>
      </c>
      <c r="S215" s="24">
        <f t="shared" ca="1" si="274"/>
        <v>29.391658894647637</v>
      </c>
      <c r="T215" s="10">
        <f t="shared" ca="1" si="240"/>
        <v>29.391658894647637</v>
      </c>
      <c r="U215" s="41">
        <f t="shared" ca="1" si="241"/>
        <v>0.93791555568815155</v>
      </c>
      <c r="V215" s="41">
        <f t="shared" ca="1" si="242"/>
        <v>7.6578263690885592E-2</v>
      </c>
      <c r="W215" s="41">
        <f t="shared" ca="1" si="243"/>
        <v>12.247803886937476</v>
      </c>
      <c r="X215" s="20">
        <f t="shared" ca="1" si="244"/>
        <v>761.16682409244436</v>
      </c>
      <c r="Y215" s="41">
        <f t="shared" si="245"/>
        <v>0.57691080073384371</v>
      </c>
      <c r="Z215" s="41">
        <f t="shared" ca="1" si="246"/>
        <v>124.47282654448416</v>
      </c>
      <c r="AA215" s="14">
        <f t="shared" ca="1" si="247"/>
        <v>873.61378925455529</v>
      </c>
      <c r="AB215" s="14">
        <f t="shared" si="248"/>
        <v>6012.4064014172109</v>
      </c>
      <c r="AC215" s="25">
        <f t="shared" ca="1" si="249"/>
        <v>173947.33662588627</v>
      </c>
      <c r="AD215" s="41">
        <f t="shared" si="250"/>
        <v>1197144.6571732324</v>
      </c>
      <c r="AE215" s="6">
        <v>100</v>
      </c>
      <c r="AF215" s="41">
        <f t="shared" si="251"/>
        <v>6012.4064014172109</v>
      </c>
      <c r="AG215" s="41"/>
      <c r="AH215" s="41"/>
      <c r="AI215" s="41">
        <f t="shared" si="252"/>
        <v>4830.3583237343901</v>
      </c>
      <c r="AJ215" s="13">
        <f t="shared" ca="1" si="253"/>
        <v>97.719768959581828</v>
      </c>
      <c r="AK215" s="11"/>
      <c r="AL215" s="6">
        <v>150</v>
      </c>
      <c r="AM215" s="41">
        <f t="shared" ca="1" si="254"/>
        <v>1.5350015825563603</v>
      </c>
      <c r="AN215" s="41">
        <f t="shared" ca="1" si="255"/>
        <v>2.0596132420129378</v>
      </c>
      <c r="AO215" s="41">
        <f t="shared" ca="1" si="256"/>
        <v>4.3826988242888928E-2</v>
      </c>
      <c r="AP215" s="67">
        <f t="shared" si="257"/>
        <v>0.80339850656066847</v>
      </c>
      <c r="AQ215" s="11">
        <f t="shared" si="258"/>
        <v>1.0438058007183759</v>
      </c>
      <c r="AR215" s="11">
        <f t="shared" si="259"/>
        <v>0.95738955436579787</v>
      </c>
      <c r="AS215" s="11">
        <f t="shared" si="260"/>
        <v>0.91721041759577882</v>
      </c>
      <c r="AT215" s="11">
        <f t="shared" si="261"/>
        <v>541.39075465860003</v>
      </c>
      <c r="AU215" s="11">
        <f t="shared" si="262"/>
        <v>2026.0469227399885</v>
      </c>
      <c r="AV215" s="11">
        <f t="shared" si="263"/>
        <v>2.1801174415834066E-3</v>
      </c>
      <c r="AW215" s="11">
        <f t="shared" si="264"/>
        <v>3.8631181883294748E-7</v>
      </c>
      <c r="AX215" s="41">
        <f t="shared" ca="1" si="265"/>
        <v>1.0033323602456632</v>
      </c>
      <c r="AY215" s="41">
        <f t="shared" ca="1" si="266"/>
        <v>1.3515086230064099</v>
      </c>
      <c r="AZ215" s="41">
        <f t="shared" si="267"/>
        <v>0.1300089122214271</v>
      </c>
    </row>
    <row r="216" spans="1:52" ht="14.5">
      <c r="A216" s="41">
        <f t="shared" ca="1" si="268"/>
        <v>16.110476201593961</v>
      </c>
      <c r="B216" s="41">
        <f t="shared" ca="1" si="269"/>
        <v>0.2685079366932327</v>
      </c>
      <c r="C216" s="41">
        <f t="shared" ca="1" si="269"/>
        <v>4.4751322782205453E-3</v>
      </c>
      <c r="D216" s="41">
        <f t="shared" ca="1" si="270"/>
        <v>10697.790750472106</v>
      </c>
      <c r="E216" s="41">
        <f t="shared" ca="1" si="271"/>
        <v>0.39604214448201308</v>
      </c>
      <c r="F216" s="41">
        <f t="shared" ca="1" si="272"/>
        <v>0.39604214448201308</v>
      </c>
      <c r="G216" s="41"/>
      <c r="H216" s="7">
        <f t="shared" si="273"/>
        <v>1350</v>
      </c>
      <c r="I216" s="6">
        <v>15</v>
      </c>
      <c r="J216" s="41">
        <f t="shared" si="232"/>
        <v>0.18045567534095744</v>
      </c>
      <c r="K216" s="41">
        <f t="shared" si="233"/>
        <v>205.7333584966043</v>
      </c>
      <c r="L216" s="6">
        <f t="shared" si="275"/>
        <v>116.5</v>
      </c>
      <c r="M216" s="41">
        <f t="shared" si="234"/>
        <v>121.8937231755021</v>
      </c>
      <c r="N216" s="41">
        <f t="shared" si="235"/>
        <v>45.931820722066064</v>
      </c>
      <c r="O216" s="41">
        <f t="shared" si="236"/>
        <v>1156727.0935384731</v>
      </c>
      <c r="P216" s="41">
        <f t="shared" si="237"/>
        <v>7427000.7543307813</v>
      </c>
      <c r="Q216" s="41">
        <f t="shared" si="238"/>
        <v>3.1420255096708013E-3</v>
      </c>
      <c r="R216" s="41">
        <f t="shared" si="239"/>
        <v>2.0931634683624023E-2</v>
      </c>
      <c r="S216" s="24">
        <f t="shared" ca="1" si="274"/>
        <v>29.318740273531539</v>
      </c>
      <c r="T216" s="10">
        <f t="shared" ca="1" si="240"/>
        <v>29.318740273531539</v>
      </c>
      <c r="U216" s="41">
        <f t="shared" ca="1" si="241"/>
        <v>0.88292505566523605</v>
      </c>
      <c r="V216" s="41">
        <f t="shared" ca="1" si="242"/>
        <v>7.0165878688297961E-2</v>
      </c>
      <c r="W216" s="41">
        <f t="shared" ca="1" si="243"/>
        <v>12.583396262840322</v>
      </c>
      <c r="X216" s="20">
        <f t="shared" ca="1" si="244"/>
        <v>741.25470896494176</v>
      </c>
      <c r="Y216" s="41">
        <f t="shared" si="245"/>
        <v>0.57569409892622725</v>
      </c>
      <c r="Z216" s="41">
        <f t="shared" ca="1" si="246"/>
        <v>124.78460701825529</v>
      </c>
      <c r="AA216" s="14">
        <f t="shared" ca="1" si="247"/>
        <v>850.15130470487168</v>
      </c>
      <c r="AB216" s="14">
        <f t="shared" si="248"/>
        <v>5979.6168892536216</v>
      </c>
      <c r="AC216" s="25">
        <f t="shared" ca="1" si="249"/>
        <v>174904.48314720325</v>
      </c>
      <c r="AD216" s="41">
        <f t="shared" si="250"/>
        <v>1230206.6651491651</v>
      </c>
      <c r="AE216" s="6">
        <v>100</v>
      </c>
      <c r="AF216" s="41">
        <f t="shared" si="251"/>
        <v>5979.6168892536216</v>
      </c>
      <c r="AG216" s="41"/>
      <c r="AH216" s="41"/>
      <c r="AI216" s="41">
        <f t="shared" si="252"/>
        <v>4811.3953133308523</v>
      </c>
      <c r="AJ216" s="13">
        <f t="shared" ca="1" si="253"/>
        <v>100.74097255312496</v>
      </c>
      <c r="AK216" s="11"/>
      <c r="AL216" s="6">
        <v>150</v>
      </c>
      <c r="AM216" s="41">
        <f t="shared" ca="1" si="254"/>
        <v>1.4889671620045029</v>
      </c>
      <c r="AN216" s="41">
        <f t="shared" ca="1" si="255"/>
        <v>1.9900026736033347</v>
      </c>
      <c r="AO216" s="41">
        <f t="shared" ca="1" si="256"/>
        <v>4.3957724344637308E-2</v>
      </c>
      <c r="AP216" s="67">
        <f t="shared" si="257"/>
        <v>0.80463270514499674</v>
      </c>
      <c r="AQ216" s="11">
        <f t="shared" si="258"/>
        <v>1.0427744982183758</v>
      </c>
      <c r="AR216" s="11">
        <f t="shared" si="259"/>
        <v>0.95216829446713724</v>
      </c>
      <c r="AS216" s="11">
        <f t="shared" si="260"/>
        <v>0.91311045302120153</v>
      </c>
      <c r="AT216" s="11">
        <f t="shared" si="261"/>
        <v>540.85584899092487</v>
      </c>
      <c r="AU216" s="11">
        <f t="shared" si="262"/>
        <v>2014.997588117245</v>
      </c>
      <c r="AV216" s="11">
        <f t="shared" si="263"/>
        <v>2.170372235786094E-3</v>
      </c>
      <c r="AW216" s="11">
        <f t="shared" si="264"/>
        <v>3.8601842366304506E-7</v>
      </c>
      <c r="AX216" s="41">
        <f t="shared" ca="1" si="265"/>
        <v>1.0122924160293565</v>
      </c>
      <c r="AY216" s="41">
        <f t="shared" ca="1" si="266"/>
        <v>1.3635779961613981</v>
      </c>
      <c r="AZ216" s="41">
        <f t="shared" si="267"/>
        <v>0.13436281922093896</v>
      </c>
    </row>
    <row r="217" spans="1:52" ht="14.5">
      <c r="A217" s="41">
        <f t="shared" ca="1" si="268"/>
        <v>17.599443363598464</v>
      </c>
      <c r="B217" s="41">
        <f t="shared" ca="1" si="269"/>
        <v>0.29332405605997441</v>
      </c>
      <c r="C217" s="41">
        <f t="shared" ca="1" si="269"/>
        <v>4.8887342676662403E-3</v>
      </c>
      <c r="D217" s="41">
        <f t="shared" ca="1" si="270"/>
        <v>10695.800747798503</v>
      </c>
      <c r="E217" s="41">
        <f t="shared" ca="1" si="271"/>
        <v>0.43999986882665038</v>
      </c>
      <c r="F217" s="41">
        <f t="shared" ca="1" si="272"/>
        <v>0.43999986882665038</v>
      </c>
      <c r="G217" s="41"/>
      <c r="H217" s="7">
        <f t="shared" si="273"/>
        <v>1500</v>
      </c>
      <c r="I217" s="6">
        <v>15</v>
      </c>
      <c r="J217" s="41">
        <f t="shared" si="232"/>
        <v>0.18638001428108988</v>
      </c>
      <c r="K217" s="41">
        <f t="shared" si="233"/>
        <v>212.38245990896937</v>
      </c>
      <c r="L217" s="6">
        <f t="shared" si="275"/>
        <v>120</v>
      </c>
      <c r="M217" s="41">
        <f t="shared" si="234"/>
        <v>125.83320937670581</v>
      </c>
      <c r="N217" s="41">
        <f t="shared" si="235"/>
        <v>48.729708091560227</v>
      </c>
      <c r="O217" s="41">
        <f t="shared" si="236"/>
        <v>1189672.7065199257</v>
      </c>
      <c r="P217" s="41">
        <f t="shared" si="237"/>
        <v>7638534.7400323106</v>
      </c>
      <c r="Q217" s="41">
        <f t="shared" si="238"/>
        <v>3.127048055276025E-3</v>
      </c>
      <c r="R217" s="41">
        <f t="shared" si="239"/>
        <v>2.0846157898069241E-2</v>
      </c>
      <c r="S217" s="24">
        <f t="shared" ca="1" si="274"/>
        <v>29.226495165067586</v>
      </c>
      <c r="T217" s="10">
        <f t="shared" ca="1" si="240"/>
        <v>29.226495165067586</v>
      </c>
      <c r="U217" s="41">
        <f t="shared" ca="1" si="241"/>
        <v>0.83282707306335257</v>
      </c>
      <c r="V217" s="41">
        <f t="shared" ca="1" si="242"/>
        <v>6.46517202472493E-2</v>
      </c>
      <c r="W217" s="41">
        <f t="shared" ca="1" si="243"/>
        <v>12.881746531698612</v>
      </c>
      <c r="X217" s="20">
        <f t="shared" ca="1" si="244"/>
        <v>724.60567471110471</v>
      </c>
      <c r="Y217" s="41">
        <f t="shared" si="245"/>
        <v>0.57451743924885501</v>
      </c>
      <c r="Z217" s="41">
        <f t="shared" ca="1" si="246"/>
        <v>125.1095445530332</v>
      </c>
      <c r="AA217" s="14">
        <f t="shared" ca="1" si="247"/>
        <v>830.30672288722121</v>
      </c>
      <c r="AB217" s="14">
        <f t="shared" si="248"/>
        <v>5946.972327978373</v>
      </c>
      <c r="AC217" s="25">
        <f t="shared" ca="1" si="249"/>
        <v>176342.58428574301</v>
      </c>
      <c r="AD217" s="41">
        <f t="shared" si="250"/>
        <v>1263032.6120266169</v>
      </c>
      <c r="AE217" s="6">
        <v>100</v>
      </c>
      <c r="AF217" s="41">
        <f t="shared" si="251"/>
        <v>5946.972327978373</v>
      </c>
      <c r="AG217" s="41"/>
      <c r="AH217" s="41"/>
      <c r="AI217" s="41">
        <f t="shared" si="252"/>
        <v>4792.5271104697094</v>
      </c>
      <c r="AJ217" s="13">
        <f t="shared" ca="1" si="253"/>
        <v>103.69855446267231</v>
      </c>
      <c r="AK217" s="11"/>
      <c r="AL217" s="6">
        <v>150</v>
      </c>
      <c r="AM217" s="41">
        <f t="shared" ca="1" si="254"/>
        <v>1.4465003950850108</v>
      </c>
      <c r="AN217" s="41">
        <f t="shared" ca="1" si="255"/>
        <v>1.9256645440972391</v>
      </c>
      <c r="AO217" s="41">
        <f t="shared" ca="1" si="256"/>
        <v>4.4123962393014964E-2</v>
      </c>
      <c r="AP217" s="67">
        <f t="shared" si="257"/>
        <v>0.80587681363886421</v>
      </c>
      <c r="AQ217" s="11">
        <f t="shared" si="258"/>
        <v>1.0417431957183758</v>
      </c>
      <c r="AR217" s="11">
        <f t="shared" si="259"/>
        <v>0.94697011592012315</v>
      </c>
      <c r="AS217" s="11">
        <f t="shared" si="260"/>
        <v>0.9090245271696753</v>
      </c>
      <c r="AT217" s="11">
        <f t="shared" si="261"/>
        <v>540.32094332324994</v>
      </c>
      <c r="AU217" s="11">
        <f t="shared" si="262"/>
        <v>2003.9970987124827</v>
      </c>
      <c r="AV217" s="11">
        <f t="shared" si="263"/>
        <v>2.1606603986296011E-3</v>
      </c>
      <c r="AW217" s="11">
        <f t="shared" si="264"/>
        <v>3.8572488716766502E-7</v>
      </c>
      <c r="AX217" s="41">
        <f t="shared" ca="1" si="265"/>
        <v>1.026012109169111</v>
      </c>
      <c r="AY217" s="41">
        <f t="shared" ca="1" si="266"/>
        <v>1.3820586953973324</v>
      </c>
      <c r="AZ217" s="41">
        <f t="shared" si="267"/>
        <v>0.13872229691910826</v>
      </c>
    </row>
    <row r="218" spans="1:52" ht="14.5">
      <c r="A218" s="41">
        <f t="shared" ca="1" si="268"/>
        <v>19.045943758683475</v>
      </c>
      <c r="B218" s="41">
        <f t="shared" ca="1" si="269"/>
        <v>0.31743239597805789</v>
      </c>
      <c r="C218" s="41">
        <f t="shared" ca="1" si="269"/>
        <v>5.2905399329676315E-3</v>
      </c>
      <c r="D218" s="41">
        <f t="shared" ca="1" si="270"/>
        <v>10693.875083254406</v>
      </c>
      <c r="E218" s="41">
        <f t="shared" ca="1" si="271"/>
        <v>0.48412383121966535</v>
      </c>
      <c r="F218" s="41">
        <f t="shared" ca="1" si="272"/>
        <v>0.48412383121966535</v>
      </c>
      <c r="G218" s="41"/>
      <c r="H218" s="7">
        <f t="shared" si="273"/>
        <v>1650</v>
      </c>
      <c r="I218" s="6">
        <v>15</v>
      </c>
      <c r="J218" s="41">
        <f t="shared" si="232"/>
        <v>0.19233501742643172</v>
      </c>
      <c r="K218" s="41">
        <f t="shared" si="233"/>
        <v>219.05975104354766</v>
      </c>
      <c r="L218" s="6">
        <f t="shared" si="275"/>
        <v>123.5</v>
      </c>
      <c r="M218" s="41">
        <f t="shared" si="234"/>
        <v>129.78939753728528</v>
      </c>
      <c r="N218" s="41">
        <f t="shared" si="235"/>
        <v>51.609770740731186</v>
      </c>
      <c r="O218" s="41">
        <f t="shared" si="236"/>
        <v>1222510.1069206307</v>
      </c>
      <c r="P218" s="41">
        <f t="shared" si="237"/>
        <v>7849373.924926172</v>
      </c>
      <c r="Q218" s="41">
        <f t="shared" si="238"/>
        <v>3.1125764437117194E-3</v>
      </c>
      <c r="R218" s="41">
        <f t="shared" si="239"/>
        <v>2.076356797285835E-2</v>
      </c>
      <c r="S218" s="24">
        <f t="shared" ca="1" si="274"/>
        <v>29.117203682711498</v>
      </c>
      <c r="T218" s="10">
        <f t="shared" ca="1" si="240"/>
        <v>29.117203682711498</v>
      </c>
      <c r="U218" s="41">
        <f t="shared" ca="1" si="241"/>
        <v>0.78704754589427162</v>
      </c>
      <c r="V218" s="41">
        <f t="shared" ca="1" si="242"/>
        <v>5.9885611236334735E-2</v>
      </c>
      <c r="W218" s="41">
        <f t="shared" ca="1" si="243"/>
        <v>13.142515032337881</v>
      </c>
      <c r="X218" s="20">
        <f t="shared" ca="1" si="244"/>
        <v>710.85701331243195</v>
      </c>
      <c r="Y218" s="41">
        <f t="shared" si="245"/>
        <v>0.57337822589757825</v>
      </c>
      <c r="Z218" s="41">
        <f t="shared" ca="1" si="246"/>
        <v>125.44618359094756</v>
      </c>
      <c r="AA218" s="14">
        <f t="shared" ca="1" si="247"/>
        <v>813.68558886495759</v>
      </c>
      <c r="AB218" s="14">
        <f t="shared" si="248"/>
        <v>5914.4722268595669</v>
      </c>
      <c r="AC218" s="25">
        <f t="shared" ca="1" si="249"/>
        <v>178245.76252448009</v>
      </c>
      <c r="AD218" s="41">
        <f t="shared" si="250"/>
        <v>1295622.8135698338</v>
      </c>
      <c r="AE218" s="6">
        <v>100</v>
      </c>
      <c r="AF218" s="41">
        <f t="shared" si="251"/>
        <v>5914.4722268595669</v>
      </c>
      <c r="AG218" s="41"/>
      <c r="AH218" s="41"/>
      <c r="AI218" s="41">
        <f t="shared" si="252"/>
        <v>4773.7540063142378</v>
      </c>
      <c r="AJ218" s="13">
        <f t="shared" ca="1" si="253"/>
        <v>106.5939749933148</v>
      </c>
      <c r="AK218" s="11"/>
      <c r="AL218" s="6">
        <v>150</v>
      </c>
      <c r="AM218" s="41">
        <f t="shared" ca="1" si="254"/>
        <v>1.4072089910279402</v>
      </c>
      <c r="AN218" s="41">
        <f t="shared" ca="1" si="255"/>
        <v>1.866019321844735</v>
      </c>
      <c r="AO218" s="41">
        <f t="shared" ca="1" si="256"/>
        <v>4.4322162863905459E-2</v>
      </c>
      <c r="AP218" s="67">
        <f t="shared" si="257"/>
        <v>0.80713102086016197</v>
      </c>
      <c r="AQ218" s="11">
        <f t="shared" si="258"/>
        <v>1.0407118932183759</v>
      </c>
      <c r="AR218" s="11">
        <f t="shared" si="259"/>
        <v>0.94179494058273361</v>
      </c>
      <c r="AS218" s="11">
        <f t="shared" si="260"/>
        <v>0.90495260669142152</v>
      </c>
      <c r="AT218" s="11">
        <f t="shared" si="261"/>
        <v>539.786037655575</v>
      </c>
      <c r="AU218" s="11">
        <f t="shared" si="262"/>
        <v>1993.0452891599923</v>
      </c>
      <c r="AV218" s="11">
        <f t="shared" si="263"/>
        <v>2.1509818508448396E-3</v>
      </c>
      <c r="AW218" s="11">
        <f t="shared" si="264"/>
        <v>3.8543120918005736E-7</v>
      </c>
      <c r="AX218" s="41">
        <f t="shared" ca="1" si="265"/>
        <v>1.0438192108743811</v>
      </c>
      <c r="AY218" s="41">
        <f t="shared" ca="1" si="266"/>
        <v>1.4060452151778089</v>
      </c>
      <c r="AZ218" s="41">
        <f t="shared" si="267"/>
        <v>0.14308714895719871</v>
      </c>
    </row>
    <row r="219" spans="1:52" ht="14.5">
      <c r="A219" s="41">
        <f t="shared" ca="1" si="268"/>
        <v>20.453152749711414</v>
      </c>
      <c r="B219" s="41">
        <f t="shared" ca="1" si="269"/>
        <v>0.34088587916185692</v>
      </c>
      <c r="C219" s="41">
        <f t="shared" ca="1" si="269"/>
        <v>5.6814313193642822E-3</v>
      </c>
      <c r="D219" s="41">
        <f t="shared" ca="1" si="270"/>
        <v>10692.009063932563</v>
      </c>
      <c r="E219" s="41">
        <f t="shared" ca="1" si="271"/>
        <v>0.52844599408357085</v>
      </c>
      <c r="F219" s="41">
        <f t="shared" ca="1" si="272"/>
        <v>0.52844599408357085</v>
      </c>
      <c r="G219" s="41"/>
      <c r="H219" s="7">
        <f t="shared" si="273"/>
        <v>1800</v>
      </c>
      <c r="I219" s="6">
        <v>15</v>
      </c>
      <c r="J219" s="41">
        <f t="shared" si="232"/>
        <v>0.19832077436106657</v>
      </c>
      <c r="K219" s="41">
        <f t="shared" si="233"/>
        <v>225.76527691034926</v>
      </c>
      <c r="L219" s="6">
        <f t="shared" si="275"/>
        <v>127</v>
      </c>
      <c r="M219" s="41">
        <f t="shared" si="234"/>
        <v>133.76231432495138</v>
      </c>
      <c r="N219" s="41">
        <f t="shared" si="235"/>
        <v>54.571918490564997</v>
      </c>
      <c r="O219" s="41">
        <f t="shared" si="236"/>
        <v>1255238.8940011119</v>
      </c>
      <c r="P219" s="41">
        <f t="shared" si="237"/>
        <v>8059515.7359833363</v>
      </c>
      <c r="Q219" s="41">
        <f t="shared" si="238"/>
        <v>3.0985778533120082E-3</v>
      </c>
      <c r="R219" s="41">
        <f t="shared" si="239"/>
        <v>2.0683677593750761E-2</v>
      </c>
      <c r="S219" s="24">
        <f t="shared" ca="1" si="274"/>
        <v>28.992811146827858</v>
      </c>
      <c r="T219" s="10">
        <f t="shared" ca="1" si="240"/>
        <v>28.992811146827858</v>
      </c>
      <c r="U219" s="41">
        <f t="shared" ca="1" si="241"/>
        <v>0.74509512057221428</v>
      </c>
      <c r="V219" s="41">
        <f t="shared" ca="1" si="242"/>
        <v>5.5746189778034416E-2</v>
      </c>
      <c r="W219" s="41">
        <f t="shared" ca="1" si="243"/>
        <v>13.365848384238863</v>
      </c>
      <c r="X219" s="20">
        <f t="shared" ca="1" si="244"/>
        <v>699.70060068708619</v>
      </c>
      <c r="Y219" s="41">
        <f t="shared" si="245"/>
        <v>0.5722740912114106</v>
      </c>
      <c r="Z219" s="41">
        <f t="shared" ca="1" si="246"/>
        <v>125.79326406896506</v>
      </c>
      <c r="AA219" s="14">
        <f t="shared" ca="1" si="247"/>
        <v>799.94989891855141</v>
      </c>
      <c r="AB219" s="14">
        <f t="shared" si="248"/>
        <v>5882.116096317658</v>
      </c>
      <c r="AC219" s="25">
        <f t="shared" ca="1" si="249"/>
        <v>180600.91044375265</v>
      </c>
      <c r="AD219" s="41">
        <f t="shared" si="250"/>
        <v>1327977.5693039787</v>
      </c>
      <c r="AE219" s="6">
        <v>100</v>
      </c>
      <c r="AF219" s="41">
        <f t="shared" si="251"/>
        <v>5882.116096317658</v>
      </c>
      <c r="AG219" s="41"/>
      <c r="AH219" s="41"/>
      <c r="AI219" s="41">
        <f t="shared" si="252"/>
        <v>4755.0759235356436</v>
      </c>
      <c r="AJ219" s="13">
        <f t="shared" ca="1" si="253"/>
        <v>109.42840231798185</v>
      </c>
      <c r="AK219" s="11"/>
      <c r="AL219" s="6">
        <v>150</v>
      </c>
      <c r="AM219" s="41">
        <f t="shared" ca="1" si="254"/>
        <v>1.3707592985240105</v>
      </c>
      <c r="AN219" s="41">
        <f t="shared" ca="1" si="255"/>
        <v>1.810573482603925</v>
      </c>
      <c r="AO219" s="41">
        <f t="shared" ca="1" si="256"/>
        <v>4.4549407559165935E-2</v>
      </c>
      <c r="AP219" s="67">
        <f t="shared" si="257"/>
        <v>0.80839545593335571</v>
      </c>
      <c r="AQ219" s="11">
        <f t="shared" si="258"/>
        <v>1.0396805907183759</v>
      </c>
      <c r="AR219" s="11">
        <f t="shared" si="259"/>
        <v>0.93664269049644233</v>
      </c>
      <c r="AS219" s="11">
        <f t="shared" si="260"/>
        <v>0.9008946582808296</v>
      </c>
      <c r="AT219" s="11">
        <f t="shared" si="261"/>
        <v>539.25113198789995</v>
      </c>
      <c r="AU219" s="11">
        <f t="shared" si="262"/>
        <v>1982.1419944823811</v>
      </c>
      <c r="AV219" s="11">
        <f t="shared" si="263"/>
        <v>2.1413365132677037E-3</v>
      </c>
      <c r="AW219" s="11">
        <f t="shared" si="264"/>
        <v>3.8513738953319646E-7</v>
      </c>
      <c r="AX219" s="41">
        <f t="shared" ca="1" si="265"/>
        <v>1.0651869229575546</v>
      </c>
      <c r="AY219" s="41">
        <f t="shared" ca="1" si="266"/>
        <v>1.4348279478779247</v>
      </c>
      <c r="AZ219" s="41">
        <f t="shared" si="267"/>
        <v>0.14745717436888886</v>
      </c>
    </row>
    <row r="220" spans="1:52" ht="14.5">
      <c r="A220" s="41">
        <f t="shared" ca="1" si="268"/>
        <v>21.823912048235425</v>
      </c>
      <c r="B220" s="41">
        <f t="shared" ca="1" si="269"/>
        <v>0.36373186747059039</v>
      </c>
      <c r="C220" s="41">
        <f t="shared" ca="1" si="269"/>
        <v>6.0621977911765063E-3</v>
      </c>
      <c r="D220" s="41">
        <f t="shared" ca="1" si="270"/>
        <v>10690.198490449959</v>
      </c>
      <c r="E220" s="41">
        <f t="shared" ca="1" si="271"/>
        <v>0.57299540164273677</v>
      </c>
      <c r="F220" s="41">
        <f t="shared" ca="1" si="272"/>
        <v>0.57299540164273677</v>
      </c>
      <c r="G220" s="41"/>
      <c r="H220" s="7">
        <f t="shared" si="273"/>
        <v>1950</v>
      </c>
      <c r="I220" s="6">
        <v>15</v>
      </c>
      <c r="J220" s="41">
        <f t="shared" si="232"/>
        <v>0.20433737163034901</v>
      </c>
      <c r="K220" s="41">
        <f t="shared" si="233"/>
        <v>232.49907879792141</v>
      </c>
      <c r="L220" s="6">
        <f t="shared" si="275"/>
        <v>130.5</v>
      </c>
      <c r="M220" s="41">
        <f t="shared" si="234"/>
        <v>137.75198420250769</v>
      </c>
      <c r="N220" s="41">
        <f t="shared" si="235"/>
        <v>57.61605446007772</v>
      </c>
      <c r="O220" s="41">
        <f t="shared" si="236"/>
        <v>1287858.6496590048</v>
      </c>
      <c r="P220" s="41">
        <f t="shared" si="237"/>
        <v>8268957.4886928312</v>
      </c>
      <c r="Q220" s="41">
        <f t="shared" si="238"/>
        <v>3.0850223372001231E-3</v>
      </c>
      <c r="R220" s="41">
        <f t="shared" si="239"/>
        <v>2.0606315853014364E-2</v>
      </c>
      <c r="S220" s="24">
        <f t="shared" ca="1" si="274"/>
        <v>28.854985963517116</v>
      </c>
      <c r="T220" s="10">
        <f t="shared" ca="1" si="240"/>
        <v>28.854985963517116</v>
      </c>
      <c r="U220" s="41">
        <f t="shared" ca="1" si="241"/>
        <v>0.70654715181900163</v>
      </c>
      <c r="V220" s="41">
        <f t="shared" ca="1" si="242"/>
        <v>5.2134712888031266E-2</v>
      </c>
      <c r="W220" s="41">
        <f t="shared" ca="1" si="243"/>
        <v>13.552336105435922</v>
      </c>
      <c r="X220" s="20">
        <f t="shared" ca="1" si="244"/>
        <v>690.87318511398485</v>
      </c>
      <c r="Y220" s="41">
        <f t="shared" si="245"/>
        <v>0.57120286985182356</v>
      </c>
      <c r="Z220" s="41">
        <f t="shared" ca="1" si="246"/>
        <v>126.14969087739198</v>
      </c>
      <c r="AA220" s="14">
        <f t="shared" ca="1" si="247"/>
        <v>788.80854247424224</v>
      </c>
      <c r="AB220" s="14">
        <f t="shared" si="248"/>
        <v>5849.9034479239172</v>
      </c>
      <c r="AC220" s="25">
        <f t="shared" ca="1" si="249"/>
        <v>183397.25947319239</v>
      </c>
      <c r="AD220" s="41">
        <f t="shared" si="250"/>
        <v>1360097.162699095</v>
      </c>
      <c r="AE220" s="6">
        <v>100</v>
      </c>
      <c r="AF220" s="41">
        <f t="shared" si="251"/>
        <v>5849.9034479239172</v>
      </c>
      <c r="AG220" s="41"/>
      <c r="AH220" s="41"/>
      <c r="AI220" s="41">
        <f t="shared" si="252"/>
        <v>4736.4924426210564</v>
      </c>
      <c r="AJ220" s="13">
        <f t="shared" ca="1" si="253"/>
        <v>112.20276074999435</v>
      </c>
      <c r="AK220" s="11"/>
      <c r="AL220" s="6">
        <v>150</v>
      </c>
      <c r="AM220" s="41">
        <f t="shared" ca="1" si="254"/>
        <v>1.3368655013241957</v>
      </c>
      <c r="AN220" s="41">
        <f t="shared" ca="1" si="255"/>
        <v>1.7589037066174618</v>
      </c>
      <c r="AO220" s="41">
        <f t="shared" ca="1" si="256"/>
        <v>4.480328007988927E-2</v>
      </c>
      <c r="AP220" s="67">
        <f t="shared" si="257"/>
        <v>0.80967019110409399</v>
      </c>
      <c r="AQ220" s="11">
        <f t="shared" si="258"/>
        <v>1.0386492882183758</v>
      </c>
      <c r="AR220" s="11">
        <f t="shared" si="259"/>
        <v>0.9315132878859741</v>
      </c>
      <c r="AS220" s="11">
        <f t="shared" si="260"/>
        <v>0.89685064867644104</v>
      </c>
      <c r="AT220" s="11">
        <f t="shared" si="261"/>
        <v>538.71622632022491</v>
      </c>
      <c r="AU220" s="11">
        <f t="shared" si="262"/>
        <v>1971.2870500900558</v>
      </c>
      <c r="AV220" s="11">
        <f t="shared" si="263"/>
        <v>2.1317243068390327E-3</v>
      </c>
      <c r="AW220" s="11">
        <f t="shared" si="264"/>
        <v>3.8484342805978156E-7</v>
      </c>
      <c r="AX220" s="41">
        <f t="shared" ca="1" si="265"/>
        <v>1.0896969780845138</v>
      </c>
      <c r="AY220" s="41">
        <f t="shared" ca="1" si="266"/>
        <v>1.4678434790886763</v>
      </c>
      <c r="AZ220" s="41">
        <f t="shared" si="267"/>
        <v>0.15183216756395168</v>
      </c>
    </row>
    <row r="221" spans="1:52" ht="14.5">
      <c r="A221" s="41">
        <f t="shared" ca="1" si="268"/>
        <v>23.160777549559619</v>
      </c>
      <c r="B221" s="41">
        <f t="shared" ca="1" si="269"/>
        <v>0.38601295915932698</v>
      </c>
      <c r="C221" s="41">
        <f t="shared" ca="1" si="269"/>
        <v>6.4335493193221167E-3</v>
      </c>
      <c r="D221" s="41">
        <f t="shared" ca="1" si="270"/>
        <v>10688.439586743341</v>
      </c>
      <c r="E221" s="41">
        <f t="shared" ca="1" si="271"/>
        <v>0.61779868172262609</v>
      </c>
      <c r="F221" s="41">
        <f t="shared" ca="1" si="272"/>
        <v>0.61779868172262609</v>
      </c>
      <c r="G221" s="41"/>
      <c r="H221" s="7">
        <f t="shared" si="273"/>
        <v>2100</v>
      </c>
      <c r="I221" s="6">
        <v>15</v>
      </c>
      <c r="J221" s="41">
        <f t="shared" si="232"/>
        <v>0.2103848926779319</v>
      </c>
      <c r="K221" s="41">
        <f t="shared" si="233"/>
        <v>239.26119420990707</v>
      </c>
      <c r="L221" s="6">
        <f t="shared" si="275"/>
        <v>134</v>
      </c>
      <c r="M221" s="41">
        <f t="shared" si="234"/>
        <v>141.75842939026259</v>
      </c>
      <c r="N221" s="41">
        <f t="shared" si="235"/>
        <v>60.742074814217197</v>
      </c>
      <c r="O221" s="41">
        <f t="shared" si="236"/>
        <v>1320368.9384641079</v>
      </c>
      <c r="P221" s="41">
        <f t="shared" si="237"/>
        <v>8477696.3872867897</v>
      </c>
      <c r="Q221" s="41">
        <f t="shared" si="238"/>
        <v>3.0718825009255278E-3</v>
      </c>
      <c r="R221" s="41">
        <f t="shared" si="239"/>
        <v>2.0531326409690791E-2</v>
      </c>
      <c r="S221" s="24">
        <f t="shared" ca="1" si="274"/>
        <v>28.70516611153931</v>
      </c>
      <c r="T221" s="10">
        <f t="shared" ca="1" si="240"/>
        <v>28.70516611153931</v>
      </c>
      <c r="U221" s="41">
        <f t="shared" ca="1" si="241"/>
        <v>0.67103840396887349</v>
      </c>
      <c r="V221" s="41">
        <f t="shared" ca="1" si="242"/>
        <v>4.8970327804499128E-2</v>
      </c>
      <c r="W221" s="41">
        <f t="shared" ca="1" si="243"/>
        <v>13.702959201086298</v>
      </c>
      <c r="X221" s="20">
        <f t="shared" ca="1" si="244"/>
        <v>684.14864249085406</v>
      </c>
      <c r="Y221" s="41">
        <f t="shared" si="245"/>
        <v>0.57016257651162883</v>
      </c>
      <c r="Z221" s="41">
        <f t="shared" ca="1" si="246"/>
        <v>126.51450864794016</v>
      </c>
      <c r="AA221" s="14">
        <f t="shared" ca="1" si="247"/>
        <v>780.0095898917964</v>
      </c>
      <c r="AB221" s="14">
        <f t="shared" si="248"/>
        <v>5817.8337943989563</v>
      </c>
      <c r="AC221" s="25">
        <f t="shared" ca="1" si="249"/>
        <v>186626.02597269107</v>
      </c>
      <c r="AD221" s="41">
        <f t="shared" si="250"/>
        <v>1391981.8613626494</v>
      </c>
      <c r="AE221" s="6">
        <v>100</v>
      </c>
      <c r="AF221" s="41">
        <f t="shared" si="251"/>
        <v>5817.8337943989563</v>
      </c>
      <c r="AG221" s="41"/>
      <c r="AH221" s="41"/>
      <c r="AI221" s="41">
        <f t="shared" si="252"/>
        <v>4718.0028276210123</v>
      </c>
      <c r="AJ221" s="13">
        <f t="shared" ca="1" si="253"/>
        <v>114.91776981802155</v>
      </c>
      <c r="AK221" s="11"/>
      <c r="AL221" s="6">
        <v>150</v>
      </c>
      <c r="AM221" s="41">
        <f t="shared" ca="1" si="254"/>
        <v>1.3052811609338837</v>
      </c>
      <c r="AN221" s="41">
        <f t="shared" ca="1" si="255"/>
        <v>1.7106445022573613</v>
      </c>
      <c r="AO221" s="41">
        <f t="shared" ca="1" si="256"/>
        <v>4.5081773149372895E-2</v>
      </c>
      <c r="AP221" s="67">
        <f t="shared" si="257"/>
        <v>0.81095524457285251</v>
      </c>
      <c r="AQ221" s="11">
        <f t="shared" si="258"/>
        <v>1.0376179857183758</v>
      </c>
      <c r="AR221" s="11">
        <f t="shared" si="259"/>
        <v>0.9264066551590695</v>
      </c>
      <c r="AS221" s="11">
        <f t="shared" si="260"/>
        <v>0.89282054466094163</v>
      </c>
      <c r="AT221" s="11">
        <f t="shared" si="261"/>
        <v>538.18132065254997</v>
      </c>
      <c r="AU221" s="11">
        <f t="shared" si="262"/>
        <v>1960.4802917807258</v>
      </c>
      <c r="AV221" s="11">
        <f t="shared" si="263"/>
        <v>2.1221451526045919E-3</v>
      </c>
      <c r="AW221" s="11">
        <f t="shared" si="264"/>
        <v>3.8454932459223593E-7</v>
      </c>
      <c r="AX221" s="41">
        <f t="shared" ca="1" si="265"/>
        <v>1.1170132193500368</v>
      </c>
      <c r="AY221" s="41">
        <f t="shared" ca="1" si="266"/>
        <v>1.5046389987801159</v>
      </c>
      <c r="AZ221" s="41">
        <f t="shared" si="267"/>
        <v>0.15621191831398731</v>
      </c>
    </row>
    <row r="222" spans="1:52" ht="14.5">
      <c r="A222" s="41">
        <f t="shared" ca="1" si="268"/>
        <v>24.466058710493503</v>
      </c>
      <c r="B222" s="41">
        <f t="shared" ca="1" si="269"/>
        <v>0.40776764517489172</v>
      </c>
      <c r="C222" s="41">
        <f t="shared" ca="1" si="269"/>
        <v>6.7961274195815291E-3</v>
      </c>
      <c r="D222" s="41">
        <f t="shared" ca="1" si="270"/>
        <v>10686.728942241083</v>
      </c>
      <c r="E222" s="41">
        <f t="shared" ca="1" si="271"/>
        <v>0.66288045487199898</v>
      </c>
      <c r="F222" s="41">
        <f t="shared" ca="1" si="272"/>
        <v>0.66288045487199898</v>
      </c>
      <c r="G222" s="41"/>
      <c r="H222" s="7">
        <f t="shared" si="273"/>
        <v>2250</v>
      </c>
      <c r="I222" s="6">
        <v>15</v>
      </c>
      <c r="J222" s="41">
        <f t="shared" si="232"/>
        <v>0.21646341778330219</v>
      </c>
      <c r="K222" s="41">
        <f t="shared" si="233"/>
        <v>246.05165680240643</v>
      </c>
      <c r="L222" s="6">
        <f t="shared" si="275"/>
        <v>137.5</v>
      </c>
      <c r="M222" s="41">
        <f t="shared" si="234"/>
        <v>145.78166982891696</v>
      </c>
      <c r="N222" s="41">
        <f t="shared" si="235"/>
        <v>63.949868511290681</v>
      </c>
      <c r="O222" s="41">
        <f t="shared" si="236"/>
        <v>1352769.3077024852</v>
      </c>
      <c r="P222" s="41">
        <f t="shared" si="237"/>
        <v>8685729.5250236299</v>
      </c>
      <c r="Q222" s="41">
        <f t="shared" si="238"/>
        <v>3.0591332236514363E-3</v>
      </c>
      <c r="R222" s="41">
        <f t="shared" si="239"/>
        <v>2.0458565898404175E-2</v>
      </c>
      <c r="S222" s="24">
        <f t="shared" ca="1" si="274"/>
        <v>28.544596733306939</v>
      </c>
      <c r="T222" s="10">
        <f t="shared" ca="1" si="240"/>
        <v>28.544596733306939</v>
      </c>
      <c r="U222" s="41">
        <f t="shared" ca="1" si="241"/>
        <v>0.63825187248599879</v>
      </c>
      <c r="V222" s="41">
        <f t="shared" ca="1" si="242"/>
        <v>4.6186433139335577E-2</v>
      </c>
      <c r="W222" s="41">
        <f t="shared" ca="1" si="243"/>
        <v>13.81903362315327</v>
      </c>
      <c r="X222" s="20">
        <f t="shared" ca="1" si="244"/>
        <v>679.33175504118663</v>
      </c>
      <c r="Y222" s="41">
        <f t="shared" si="245"/>
        <v>0.56915138659255016</v>
      </c>
      <c r="Z222" s="41">
        <f t="shared" ca="1" si="246"/>
        <v>126.88688086164662</v>
      </c>
      <c r="AA222" s="14">
        <f t="shared" ca="1" si="247"/>
        <v>773.33402853408438</v>
      </c>
      <c r="AB222" s="14">
        <f t="shared" si="248"/>
        <v>5785.9066496111864</v>
      </c>
      <c r="AC222" s="25">
        <f t="shared" ca="1" si="249"/>
        <v>190280.11898249091</v>
      </c>
      <c r="AD222" s="41">
        <f t="shared" si="250"/>
        <v>1423631.9172408928</v>
      </c>
      <c r="AE222" s="6">
        <v>100</v>
      </c>
      <c r="AF222" s="41">
        <f t="shared" si="251"/>
        <v>5785.9066496111864</v>
      </c>
      <c r="AG222" s="41"/>
      <c r="AH222" s="41"/>
      <c r="AI222" s="41">
        <f t="shared" si="252"/>
        <v>4699.606051313066</v>
      </c>
      <c r="AJ222" s="13">
        <f t="shared" ca="1" si="253"/>
        <v>117.57397611425046</v>
      </c>
      <c r="AK222" s="11"/>
      <c r="AL222" s="6">
        <v>150</v>
      </c>
      <c r="AM222" s="41">
        <f t="shared" ca="1" si="254"/>
        <v>1.2757925261814751</v>
      </c>
      <c r="AN222" s="41">
        <f t="shared" ca="1" si="255"/>
        <v>1.665478410072901</v>
      </c>
      <c r="AO222" s="41">
        <f t="shared" ca="1" si="256"/>
        <v>4.5383216060362837E-2</v>
      </c>
      <c r="AP222" s="67">
        <f t="shared" si="257"/>
        <v>0.81225058334269529</v>
      </c>
      <c r="AQ222" s="11">
        <f t="shared" si="258"/>
        <v>1.0365866832183759</v>
      </c>
      <c r="AR222" s="11">
        <f t="shared" si="259"/>
        <v>0.92132271490623985</v>
      </c>
      <c r="AS222" s="11">
        <f t="shared" si="260"/>
        <v>0.88880431306114549</v>
      </c>
      <c r="AT222" s="11">
        <f t="shared" si="261"/>
        <v>537.64641498487492</v>
      </c>
      <c r="AU222" s="11">
        <f t="shared" si="262"/>
        <v>1949.7215557388827</v>
      </c>
      <c r="AV222" s="11">
        <f t="shared" si="263"/>
        <v>2.1125989717150368E-3</v>
      </c>
      <c r="AW222" s="11">
        <f t="shared" si="264"/>
        <v>3.8425507896270701E-7</v>
      </c>
      <c r="AX222" s="41">
        <f t="shared" ca="1" si="265"/>
        <v>1.1468624073083322</v>
      </c>
      <c r="AY222" s="41">
        <f t="shared" ca="1" si="266"/>
        <v>1.5448464479901642</v>
      </c>
      <c r="AZ222" s="41">
        <f t="shared" si="267"/>
        <v>0.16059621174028618</v>
      </c>
    </row>
    <row r="223" spans="1:52" ht="14.5">
      <c r="A223" s="41">
        <f t="shared" ca="1" si="268"/>
        <v>25.741851236674979</v>
      </c>
      <c r="B223" s="41">
        <f t="shared" ca="1" si="269"/>
        <v>0.42903085394458296</v>
      </c>
      <c r="C223" s="41">
        <f t="shared" ca="1" si="269"/>
        <v>7.1505142324097158E-3</v>
      </c>
      <c r="D223" s="41">
        <f t="shared" ca="1" si="270"/>
        <v>10685.063463831009</v>
      </c>
      <c r="E223" s="41">
        <f t="shared" ca="1" si="271"/>
        <v>0.70826367093236187</v>
      </c>
      <c r="F223" s="41">
        <f t="shared" ca="1" si="272"/>
        <v>0.70826367093236187</v>
      </c>
      <c r="G223" s="41"/>
      <c r="H223" s="7">
        <f t="shared" si="273"/>
        <v>2400</v>
      </c>
      <c r="I223" s="6">
        <v>15</v>
      </c>
      <c r="J223" s="41">
        <f t="shared" si="232"/>
        <v>0.22257302399986512</v>
      </c>
      <c r="K223" s="41">
        <f t="shared" si="233"/>
        <v>252.87049632218481</v>
      </c>
      <c r="L223" s="6">
        <f t="shared" si="275"/>
        <v>141</v>
      </c>
      <c r="M223" s="41">
        <f t="shared" si="234"/>
        <v>149.82172314295335</v>
      </c>
      <c r="N223" s="41">
        <f t="shared" si="235"/>
        <v>67.239317050102073</v>
      </c>
      <c r="O223" s="41">
        <f t="shared" si="236"/>
        <v>1385059.2874297139</v>
      </c>
      <c r="P223" s="41">
        <f t="shared" si="237"/>
        <v>8893053.8845299352</v>
      </c>
      <c r="Q223" s="41">
        <f t="shared" si="238"/>
        <v>3.0467514160641283E-3</v>
      </c>
      <c r="R223" s="41">
        <f t="shared" si="239"/>
        <v>2.0387902547742268E-2</v>
      </c>
      <c r="S223" s="24">
        <f t="shared" ca="1" si="274"/>
        <v>28.374360727827415</v>
      </c>
      <c r="T223" s="10">
        <f t="shared" ca="1" si="240"/>
        <v>28.374360727827415</v>
      </c>
      <c r="U223" s="41">
        <f t="shared" ca="1" si="241"/>
        <v>0.60791128157545204</v>
      </c>
      <c r="V223" s="41">
        <f t="shared" ca="1" si="242"/>
        <v>4.3727856613313416E-2</v>
      </c>
      <c r="W223" s="41">
        <f t="shared" ca="1" si="243"/>
        <v>13.902151366604301</v>
      </c>
      <c r="X223" s="20">
        <f t="shared" ca="1" si="244"/>
        <v>676.25317939111619</v>
      </c>
      <c r="Y223" s="41">
        <f t="shared" si="245"/>
        <v>0.56816761939158611</v>
      </c>
      <c r="Z223" s="41">
        <f t="shared" ca="1" si="246"/>
        <v>127.26607246878351</v>
      </c>
      <c r="AA223" s="14">
        <f t="shared" ca="1" si="247"/>
        <v>768.59064342362376</v>
      </c>
      <c r="AB223" s="14">
        <f t="shared" si="248"/>
        <v>5754.1215285753406</v>
      </c>
      <c r="AC223" s="25">
        <f t="shared" ca="1" si="249"/>
        <v>194353.8974711191</v>
      </c>
      <c r="AD223" s="41">
        <f t="shared" si="250"/>
        <v>1455047.566829015</v>
      </c>
      <c r="AE223" s="6">
        <v>100</v>
      </c>
      <c r="AF223" s="41">
        <f t="shared" si="251"/>
        <v>5754.1215285753406</v>
      </c>
      <c r="AG223" s="41"/>
      <c r="AH223" s="41"/>
      <c r="AI223" s="41">
        <f t="shared" si="252"/>
        <v>4681.3008197587797</v>
      </c>
      <c r="AJ223" s="13">
        <f t="shared" ca="1" si="253"/>
        <v>120.17177942493463</v>
      </c>
      <c r="AK223" s="11"/>
      <c r="AL223" s="6">
        <v>150</v>
      </c>
      <c r="AM223" s="41">
        <f t="shared" ca="1" si="254"/>
        <v>1.2482131888019317</v>
      </c>
      <c r="AN223" s="41">
        <f t="shared" ca="1" si="255"/>
        <v>1.623128173325612</v>
      </c>
      <c r="AO223" s="41">
        <f t="shared" ca="1" si="256"/>
        <v>4.5706217375891083E-2</v>
      </c>
      <c r="AP223" s="67">
        <f t="shared" si="257"/>
        <v>0.81355612607608929</v>
      </c>
      <c r="AQ223" s="11">
        <f t="shared" si="258"/>
        <v>1.0355553807183759</v>
      </c>
      <c r="AR223" s="11">
        <f t="shared" si="259"/>
        <v>0.91626138990053196</v>
      </c>
      <c r="AS223" s="11">
        <f t="shared" si="260"/>
        <v>0.88480192074798703</v>
      </c>
      <c r="AT223" s="11">
        <f t="shared" si="261"/>
        <v>537.11150931719999</v>
      </c>
      <c r="AU223" s="11">
        <f t="shared" si="262"/>
        <v>1939.0106785353037</v>
      </c>
      <c r="AV223" s="11">
        <f t="shared" si="263"/>
        <v>2.1030856854258903E-3</v>
      </c>
      <c r="AW223" s="11">
        <f t="shared" si="264"/>
        <v>3.8396069100306597E-7</v>
      </c>
      <c r="AX223" s="41">
        <f t="shared" ca="1" si="265"/>
        <v>1.1790200880269883</v>
      </c>
      <c r="AY223" s="41">
        <f t="shared" ca="1" si="266"/>
        <v>1.5881634828125129</v>
      </c>
      <c r="AZ223" s="41">
        <f t="shared" si="267"/>
        <v>0.16498482830386471</v>
      </c>
    </row>
    <row r="224" spans="1:52" ht="14.5">
      <c r="A224" s="41">
        <f t="shared" ca="1" si="268"/>
        <v>26.990064425476909</v>
      </c>
      <c r="B224" s="41">
        <f t="shared" ref="B224:C227" ca="1" si="276">A224/60</f>
        <v>0.44983440709128181</v>
      </c>
      <c r="C224" s="41">
        <f t="shared" ca="1" si="276"/>
        <v>7.4972401181880302E-3</v>
      </c>
      <c r="D224" s="41">
        <f t="shared" ca="1" si="270"/>
        <v>10683.440335657684</v>
      </c>
      <c r="E224" s="41">
        <f t="shared" ca="1" si="271"/>
        <v>0.75396988830825296</v>
      </c>
      <c r="F224" s="41">
        <f t="shared" ca="1" si="272"/>
        <v>0.75396988830825296</v>
      </c>
      <c r="G224" s="41"/>
      <c r="H224" s="7">
        <f t="shared" si="273"/>
        <v>2550</v>
      </c>
      <c r="I224" s="6">
        <v>15</v>
      </c>
      <c r="J224" s="41">
        <f t="shared" si="232"/>
        <v>0.22871378509363183</v>
      </c>
      <c r="K224" s="41">
        <f t="shared" si="233"/>
        <v>259.71773854578868</v>
      </c>
      <c r="L224" s="6">
        <f t="shared" si="275"/>
        <v>144.5</v>
      </c>
      <c r="M224" s="41">
        <f t="shared" si="234"/>
        <v>153.87860460456307</v>
      </c>
      <c r="N224" s="41">
        <f t="shared" si="235"/>
        <v>70.610294216994575</v>
      </c>
      <c r="O224" s="41">
        <f t="shared" si="236"/>
        <v>1417238.3905334126</v>
      </c>
      <c r="P224" s="41">
        <f t="shared" si="237"/>
        <v>9099666.3382019289</v>
      </c>
      <c r="Q224" s="41">
        <f t="shared" si="238"/>
        <v>3.0347158093873296E-3</v>
      </c>
      <c r="R224" s="41">
        <f t="shared" si="239"/>
        <v>2.0319214976155124E-2</v>
      </c>
      <c r="S224" s="24">
        <f t="shared" ca="1" si="274"/>
        <v>28.195403799951038</v>
      </c>
      <c r="T224" s="10">
        <f t="shared" ca="1" si="240"/>
        <v>28.195403799951038</v>
      </c>
      <c r="U224" s="41">
        <f t="shared" ca="1" si="241"/>
        <v>0.57977491587550734</v>
      </c>
      <c r="V224" s="41">
        <f t="shared" ca="1" si="242"/>
        <v>4.1548649876222685E-2</v>
      </c>
      <c r="W224" s="41">
        <f t="shared" ca="1" si="243"/>
        <v>13.954121676702156</v>
      </c>
      <c r="X224" s="20">
        <f t="shared" ca="1" si="244"/>
        <v>674.76535017816514</v>
      </c>
      <c r="Y224" s="41">
        <f t="shared" si="245"/>
        <v>0.56720972341704023</v>
      </c>
      <c r="Z224" s="41">
        <f t="shared" ca="1" si="246"/>
        <v>127.65143537364668</v>
      </c>
      <c r="AA224" s="14">
        <f t="shared" ca="1" si="247"/>
        <v>765.61180869554755</v>
      </c>
      <c r="AB224" s="14">
        <f t="shared" si="248"/>
        <v>5722.4779474509442</v>
      </c>
      <c r="AC224" s="25">
        <f t="shared" ca="1" si="249"/>
        <v>198842.96755835859</v>
      </c>
      <c r="AD224" s="41">
        <f t="shared" si="250"/>
        <v>1486229.0313901058</v>
      </c>
      <c r="AE224" s="6">
        <v>100</v>
      </c>
      <c r="AF224" s="41">
        <f t="shared" si="251"/>
        <v>5722.4779474509442</v>
      </c>
      <c r="AG224" s="41"/>
      <c r="AH224" s="41"/>
      <c r="AI224" s="41">
        <f t="shared" si="252"/>
        <v>4663.0855962316609</v>
      </c>
      <c r="AJ224" s="13">
        <f t="shared" ca="1" si="253"/>
        <v>122.71145430720189</v>
      </c>
      <c r="AK224" s="11"/>
      <c r="AL224" s="6">
        <v>150</v>
      </c>
      <c r="AM224" s="41">
        <f t="shared" ca="1" si="254"/>
        <v>1.2223797757663488</v>
      </c>
      <c r="AN224" s="41">
        <f t="shared" ca="1" si="255"/>
        <v>1.5833504237502634</v>
      </c>
      <c r="AO224" s="41">
        <f t="shared" ca="1" si="256"/>
        <v>4.6049619313025036E-2</v>
      </c>
      <c r="AP224" s="67">
        <f t="shared" si="257"/>
        <v>0.81487174595558109</v>
      </c>
      <c r="AQ224" s="11">
        <f t="shared" si="258"/>
        <v>1.0345240782183758</v>
      </c>
      <c r="AR224" s="11">
        <f t="shared" si="259"/>
        <v>0.91122260309728409</v>
      </c>
      <c r="AS224" s="11">
        <f t="shared" si="260"/>
        <v>0.88081333463650502</v>
      </c>
      <c r="AT224" s="11">
        <f t="shared" si="261"/>
        <v>536.57660364952494</v>
      </c>
      <c r="AU224" s="11">
        <f t="shared" si="262"/>
        <v>1928.3474971265343</v>
      </c>
      <c r="AV224" s="11">
        <f t="shared" si="263"/>
        <v>2.0936052150975089E-3</v>
      </c>
      <c r="AW224" s="11">
        <f t="shared" si="264"/>
        <v>3.8366616054490459E-7</v>
      </c>
      <c r="AX224" s="41">
        <f t="shared" ca="1" si="265"/>
        <v>1.2133000557486522</v>
      </c>
      <c r="AY224" s="41">
        <f t="shared" ca="1" si="266"/>
        <v>1.6343392803925554</v>
      </c>
      <c r="AZ224" s="41">
        <f t="shared" si="267"/>
        <v>0.16937754379772524</v>
      </c>
    </row>
    <row r="225" spans="1:52" ht="14.5">
      <c r="A225" s="41">
        <f t="shared" ca="1" si="268"/>
        <v>28.212444201243258</v>
      </c>
      <c r="B225" s="41">
        <f t="shared" ca="1" si="276"/>
        <v>0.47020740335405431</v>
      </c>
      <c r="C225" s="41">
        <f t="shared" ca="1" si="276"/>
        <v>7.8367900559009052E-3</v>
      </c>
      <c r="D225" s="41">
        <f t="shared" ca="1" si="270"/>
        <v>10681.856985233933</v>
      </c>
      <c r="E225" s="41">
        <f t="shared" ca="1" si="271"/>
        <v>0.80001950762127794</v>
      </c>
      <c r="F225" s="41">
        <f t="shared" ca="1" si="272"/>
        <v>0.80001950762127794</v>
      </c>
      <c r="G225" s="41"/>
      <c r="H225" s="7">
        <f t="shared" si="273"/>
        <v>2700</v>
      </c>
      <c r="I225" s="6">
        <v>15</v>
      </c>
      <c r="J225" s="41">
        <f t="shared" si="232"/>
        <v>0.23488577148263731</v>
      </c>
      <c r="K225" s="41">
        <f t="shared" si="233"/>
        <v>266.59340521971086</v>
      </c>
      <c r="L225" s="6">
        <f t="shared" si="275"/>
        <v>148</v>
      </c>
      <c r="M225" s="41">
        <f t="shared" si="234"/>
        <v>157.95232709819518</v>
      </c>
      <c r="N225" s="41">
        <f t="shared" si="235"/>
        <v>74.062665833045017</v>
      </c>
      <c r="O225" s="41">
        <f t="shared" si="236"/>
        <v>1449306.1128056096</v>
      </c>
      <c r="P225" s="41">
        <f t="shared" si="237"/>
        <v>9305563.6486701351</v>
      </c>
      <c r="Q225" s="41">
        <f t="shared" si="238"/>
        <v>3.0230067708578159E-3</v>
      </c>
      <c r="R225" s="41">
        <f t="shared" si="239"/>
        <v>2.0252391138868803E-2</v>
      </c>
      <c r="S225" s="24">
        <f t="shared" ca="1" si="274"/>
        <v>28.008555088735633</v>
      </c>
      <c r="T225" s="10">
        <f t="shared" ca="1" si="240"/>
        <v>28.008555088735633</v>
      </c>
      <c r="U225" s="41">
        <f t="shared" ca="1" si="241"/>
        <v>0.55363052090302578</v>
      </c>
      <c r="V225" s="41">
        <f t="shared" ca="1" si="242"/>
        <v>3.9610353416044533E-2</v>
      </c>
      <c r="W225" s="41">
        <f t="shared" ca="1" si="243"/>
        <v>13.976914446786347</v>
      </c>
      <c r="X225" s="20">
        <f t="shared" ca="1" si="244"/>
        <v>674.73912477370345</v>
      </c>
      <c r="Y225" s="41">
        <f t="shared" si="245"/>
        <v>0.56627626352008276</v>
      </c>
      <c r="Z225" s="41">
        <f t="shared" ca="1" si="246"/>
        <v>128.04239626478906</v>
      </c>
      <c r="AA225" s="14">
        <f t="shared" ca="1" si="247"/>
        <v>764.25000853389122</v>
      </c>
      <c r="AB225" s="14">
        <f t="shared" si="248"/>
        <v>5690.97542354083</v>
      </c>
      <c r="AC225" s="25">
        <f t="shared" ca="1" si="249"/>
        <v>203744.01221424315</v>
      </c>
      <c r="AD225" s="41">
        <f t="shared" si="250"/>
        <v>1517176.5171834361</v>
      </c>
      <c r="AE225" s="6">
        <v>100</v>
      </c>
      <c r="AF225" s="41">
        <f t="shared" si="251"/>
        <v>5690.97542354083</v>
      </c>
      <c r="AG225" s="41"/>
      <c r="AH225" s="41"/>
      <c r="AI225" s="41">
        <f t="shared" si="252"/>
        <v>4644.9586244945194</v>
      </c>
      <c r="AJ225" s="13">
        <f t="shared" ca="1" si="253"/>
        <v>125.19316801597867</v>
      </c>
      <c r="AK225" s="11"/>
      <c r="AL225" s="6">
        <v>150</v>
      </c>
      <c r="AM225" s="41">
        <f t="shared" ca="1" si="254"/>
        <v>1.1981484483311036</v>
      </c>
      <c r="AN225" s="41">
        <f t="shared" ca="1" si="255"/>
        <v>1.5459305468056348</v>
      </c>
      <c r="AO225" s="41">
        <f t="shared" ca="1" si="256"/>
        <v>4.6412461162178439E-2</v>
      </c>
      <c r="AP225" s="67">
        <f t="shared" si="257"/>
        <v>0.81619727354304827</v>
      </c>
      <c r="AQ225" s="11">
        <f t="shared" si="258"/>
        <v>1.0334927757183758</v>
      </c>
      <c r="AR225" s="11">
        <f t="shared" si="259"/>
        <v>0.90620627763389017</v>
      </c>
      <c r="AS225" s="11">
        <f t="shared" si="260"/>
        <v>0.87683852168583432</v>
      </c>
      <c r="AT225" s="11">
        <f t="shared" si="261"/>
        <v>536.04169798185001</v>
      </c>
      <c r="AU225" s="11">
        <f t="shared" si="262"/>
        <v>1917.7318488543908</v>
      </c>
      <c r="AV225" s="11">
        <f t="shared" si="263"/>
        <v>2.0841574821950596E-3</v>
      </c>
      <c r="AW225" s="11">
        <f t="shared" si="264"/>
        <v>3.8337148741954121E-7</v>
      </c>
      <c r="AX225" s="41">
        <f t="shared" ca="1" si="265"/>
        <v>1.2495464027204424</v>
      </c>
      <c r="AY225" s="41">
        <f t="shared" ca="1" si="266"/>
        <v>1.6831638298896556</v>
      </c>
      <c r="AZ225" s="41">
        <f t="shared" si="267"/>
        <v>0.17377412934144232</v>
      </c>
    </row>
    <row r="226" spans="1:52" ht="14.5">
      <c r="A226" s="41">
        <f t="shared" ca="1" si="268"/>
        <v>29.410592649574362</v>
      </c>
      <c r="B226" s="41">
        <f t="shared" ca="1" si="276"/>
        <v>0.49017654415957268</v>
      </c>
      <c r="C226" s="41">
        <f t="shared" ca="1" si="276"/>
        <v>8.169609069326211E-3</v>
      </c>
      <c r="D226" s="41">
        <f t="shared" ca="1" si="270"/>
        <v>10680.311054687128</v>
      </c>
      <c r="E226" s="41">
        <f t="shared" ca="1" si="271"/>
        <v>0.84643196878345639</v>
      </c>
      <c r="F226" s="41">
        <f t="shared" ca="1" si="272"/>
        <v>0.84643196878345639</v>
      </c>
      <c r="G226" s="41"/>
      <c r="H226" s="7">
        <f t="shared" si="273"/>
        <v>2850</v>
      </c>
      <c r="I226" s="6">
        <v>15</v>
      </c>
      <c r="J226" s="41">
        <f t="shared" si="232"/>
        <v>0.24108905017708762</v>
      </c>
      <c r="K226" s="41">
        <f t="shared" si="233"/>
        <v>273.49751400160147</v>
      </c>
      <c r="L226" s="6">
        <f t="shared" si="275"/>
        <v>151.5</v>
      </c>
      <c r="M226" s="41">
        <f t="shared" si="234"/>
        <v>162.04290108572485</v>
      </c>
      <c r="N226" s="41">
        <f t="shared" si="235"/>
        <v>77.596289501585574</v>
      </c>
      <c r="O226" s="41">
        <f t="shared" si="236"/>
        <v>1481261.933024789</v>
      </c>
      <c r="P226" s="41">
        <f t="shared" si="237"/>
        <v>9510742.4693261683</v>
      </c>
      <c r="Q226" s="41">
        <f t="shared" si="238"/>
        <v>3.0116061418042168E-3</v>
      </c>
      <c r="R226" s="41">
        <f t="shared" si="239"/>
        <v>2.0187327403796175E-2</v>
      </c>
      <c r="S226" s="24">
        <f t="shared" ca="1" si="274"/>
        <v>27.814544247965777</v>
      </c>
      <c r="T226" s="10">
        <f t="shared" ca="1" si="240"/>
        <v>27.814544247965777</v>
      </c>
      <c r="U226" s="41">
        <f t="shared" ca="1" si="241"/>
        <v>0.52929106496606448</v>
      </c>
      <c r="V226" s="41">
        <f t="shared" ca="1" si="242"/>
        <v>3.788062230781903E-2</v>
      </c>
      <c r="W226" s="41">
        <f t="shared" ca="1" si="243"/>
        <v>13.972607436726621</v>
      </c>
      <c r="X226" s="20">
        <f t="shared" ca="1" si="244"/>
        <v>676.0610190724816</v>
      </c>
      <c r="Y226" s="41">
        <f t="shared" si="245"/>
        <v>0.56536590958032218</v>
      </c>
      <c r="Z226" s="41">
        <f t="shared" ca="1" si="246"/>
        <v>128.43844637262404</v>
      </c>
      <c r="AA226" s="14">
        <f t="shared" ca="1" si="247"/>
        <v>764.3749459828249</v>
      </c>
      <c r="AB226" s="14">
        <f t="shared" si="248"/>
        <v>5659.6134752896087</v>
      </c>
      <c r="AC226" s="25">
        <f t="shared" ca="1" si="249"/>
        <v>209054.64749141101</v>
      </c>
      <c r="AD226" s="41">
        <f t="shared" si="250"/>
        <v>1547890.215701672</v>
      </c>
      <c r="AE226" s="6">
        <v>100</v>
      </c>
      <c r="AF226" s="41">
        <f t="shared" si="251"/>
        <v>5659.6134752896087</v>
      </c>
      <c r="AG226" s="41"/>
      <c r="AH226" s="41"/>
      <c r="AI226" s="41">
        <f t="shared" si="252"/>
        <v>4626.9179514050884</v>
      </c>
      <c r="AJ226" s="13">
        <f t="shared" ca="1" si="253"/>
        <v>127.61699548758008</v>
      </c>
      <c r="AK226" s="11"/>
      <c r="AL226" s="6">
        <v>150</v>
      </c>
      <c r="AM226" s="41">
        <f t="shared" ca="1" si="254"/>
        <v>1.1753920347905249</v>
      </c>
      <c r="AN226" s="41">
        <f t="shared" ca="1" si="255"/>
        <v>1.510678473808565</v>
      </c>
      <c r="AO226" s="41">
        <f t="shared" ca="1" si="256"/>
        <v>4.6793949758564823E-2</v>
      </c>
      <c r="AP226" s="67">
        <f t="shared" si="257"/>
        <v>0.81753249963211028</v>
      </c>
      <c r="AQ226" s="11">
        <f t="shared" si="258"/>
        <v>1.0324614732183759</v>
      </c>
      <c r="AR226" s="11">
        <f t="shared" si="259"/>
        <v>0.90121233682955559</v>
      </c>
      <c r="AS226" s="11">
        <f t="shared" si="260"/>
        <v>0.87287744889919028</v>
      </c>
      <c r="AT226" s="11">
        <f t="shared" si="261"/>
        <v>535.50679231417496</v>
      </c>
      <c r="AU226" s="11">
        <f t="shared" si="262"/>
        <v>1907.1635714454419</v>
      </c>
      <c r="AV226" s="11">
        <f t="shared" si="263"/>
        <v>2.0747424082884851E-3</v>
      </c>
      <c r="AW226" s="11">
        <f t="shared" si="264"/>
        <v>3.8307667145801163E-7</v>
      </c>
      <c r="AX226" s="41">
        <f t="shared" ca="1" si="265"/>
        <v>1.2876274543781305</v>
      </c>
      <c r="AY226" s="41">
        <f t="shared" ca="1" si="266"/>
        <v>1.7344597630497467</v>
      </c>
      <c r="AZ226" s="41">
        <f t="shared" si="267"/>
        <v>0.17817435137808177</v>
      </c>
    </row>
    <row r="227" spans="1:52" ht="14.5">
      <c r="A227" s="41">
        <f t="shared" ca="1" si="268"/>
        <v>30.585984684364888</v>
      </c>
      <c r="B227" s="41">
        <f t="shared" ca="1" si="276"/>
        <v>0.50976641140608148</v>
      </c>
      <c r="C227" s="41">
        <f t="shared" ca="1" si="276"/>
        <v>8.4961068567680244E-3</v>
      </c>
      <c r="D227" s="41">
        <f t="shared" ca="1" si="270"/>
        <v>10678.800376213319</v>
      </c>
      <c r="E227" s="41">
        <f t="shared" ca="1" si="271"/>
        <v>0.89322591854202127</v>
      </c>
      <c r="F227" s="41">
        <f t="shared" ca="1" si="272"/>
        <v>0.89322591854202127</v>
      </c>
      <c r="G227" s="41"/>
      <c r="H227" s="7">
        <f t="shared" si="273"/>
        <v>3000</v>
      </c>
      <c r="I227" s="6">
        <v>15</v>
      </c>
      <c r="J227" s="41">
        <f t="shared" si="232"/>
        <v>0.24732368472035268</v>
      </c>
      <c r="K227" s="41">
        <f t="shared" si="233"/>
        <v>280.43007840265443</v>
      </c>
      <c r="L227" s="6">
        <f t="shared" si="275"/>
        <v>155</v>
      </c>
      <c r="M227" s="41">
        <f t="shared" si="234"/>
        <v>166.15033457231831</v>
      </c>
      <c r="N227" s="41">
        <f t="shared" si="235"/>
        <v>81.211014356305881</v>
      </c>
      <c r="O227" s="41">
        <f t="shared" si="236"/>
        <v>1513105.3130480214</v>
      </c>
      <c r="P227" s="41">
        <f t="shared" si="237"/>
        <v>9715199.3449142762</v>
      </c>
      <c r="Q227" s="41">
        <f t="shared" si="238"/>
        <v>3.0004970951086601E-3</v>
      </c>
      <c r="R227" s="41">
        <f t="shared" si="239"/>
        <v>2.0123927738066247E-2</v>
      </c>
      <c r="S227" s="24">
        <f t="shared" ca="1" si="274"/>
        <v>27.614015662290782</v>
      </c>
      <c r="T227" s="10">
        <f t="shared" ca="1" si="240"/>
        <v>27.614015662290782</v>
      </c>
      <c r="U227" s="41">
        <f t="shared" ca="1" si="241"/>
        <v>0.50659119951714815</v>
      </c>
      <c r="V227" s="41">
        <f t="shared" ca="1" si="242"/>
        <v>3.6332130940537555E-2</v>
      </c>
      <c r="W227" s="41">
        <f t="shared" ca="1" si="243"/>
        <v>13.943338483125395</v>
      </c>
      <c r="X227" s="20">
        <f t="shared" ca="1" si="244"/>
        <v>678.63091770365145</v>
      </c>
      <c r="Y227" s="41">
        <f t="shared" si="245"/>
        <v>0.56447742652663724</v>
      </c>
      <c r="Z227" s="41">
        <f t="shared" ca="1" si="246"/>
        <v>128.83913281684946</v>
      </c>
      <c r="AA227" s="14">
        <f t="shared" ca="1" si="247"/>
        <v>765.87112829091052</v>
      </c>
      <c r="AB227" s="14">
        <f t="shared" si="248"/>
        <v>5628.3916222821908</v>
      </c>
      <c r="AC227" s="25">
        <f t="shared" ca="1" si="249"/>
        <v>214773.30055294945</v>
      </c>
      <c r="AD227" s="41">
        <f t="shared" si="250"/>
        <v>1578370.303917438</v>
      </c>
      <c r="AE227" s="6">
        <v>100</v>
      </c>
      <c r="AF227" s="41">
        <f t="shared" si="251"/>
        <v>5628.3916222821908</v>
      </c>
      <c r="AG227" s="41"/>
      <c r="AH227" s="41"/>
      <c r="AI227" s="41">
        <f t="shared" si="252"/>
        <v>4608.9614488298275</v>
      </c>
      <c r="AJ227" s="13">
        <f t="shared" ca="1" si="253"/>
        <v>129.98293193598789</v>
      </c>
      <c r="AK227" s="11"/>
      <c r="AL227" s="6">
        <v>0</v>
      </c>
      <c r="AM227" s="41">
        <f t="shared" ca="1" si="254"/>
        <v>0</v>
      </c>
      <c r="AN227" s="41">
        <f t="shared" ca="1" si="255"/>
        <v>0</v>
      </c>
      <c r="AO227" s="41">
        <f t="shared" ca="1" si="256"/>
        <v>0</v>
      </c>
      <c r="AP227" s="67">
        <f t="shared" si="257"/>
        <v>0.81887717808822158</v>
      </c>
      <c r="AQ227" s="11">
        <f t="shared" si="258"/>
        <v>1.0314301707183759</v>
      </c>
      <c r="AR227" s="11">
        <f t="shared" si="259"/>
        <v>0.8962407041850623</v>
      </c>
      <c r="AS227" s="11">
        <f t="shared" si="260"/>
        <v>0.86893008332386068</v>
      </c>
      <c r="AT227" s="11">
        <f t="shared" si="261"/>
        <v>534.97188664650002</v>
      </c>
      <c r="AU227" s="11">
        <f t="shared" si="262"/>
        <v>1896.6425030105124</v>
      </c>
      <c r="AV227" s="11">
        <f t="shared" si="263"/>
        <v>2.0653599150524844E-3</v>
      </c>
      <c r="AW227" s="11">
        <f t="shared" si="264"/>
        <v>3.8278171249107636E-7</v>
      </c>
      <c r="AX227" s="41">
        <f t="shared" ca="1" si="265"/>
        <v>1.3274310945634284</v>
      </c>
      <c r="AY227" s="41">
        <f t="shared" ca="1" si="266"/>
        <v>1.7880760571801415</v>
      </c>
      <c r="AZ227" s="41">
        <f t="shared" si="267"/>
        <v>0.18257797167354342</v>
      </c>
    </row>
    <row r="228" spans="1:52" ht="14.5">
      <c r="AC228" s="3"/>
      <c r="AD228" s="3"/>
      <c r="AP228" s="53"/>
    </row>
    <row r="229" spans="1:52" s="89" customFormat="1" ht="14.5">
      <c r="A229" s="123" t="s">
        <v>5</v>
      </c>
      <c r="B229" s="81" t="s">
        <v>122</v>
      </c>
      <c r="C229" s="81">
        <v>45</v>
      </c>
      <c r="D229" s="81" t="s">
        <v>21</v>
      </c>
      <c r="E229" s="82"/>
      <c r="F229" s="82"/>
      <c r="G229" s="82"/>
      <c r="H229" s="82"/>
      <c r="I229" s="83"/>
      <c r="J229" s="82"/>
      <c r="K229" s="82"/>
      <c r="L229" s="84" t="s">
        <v>60</v>
      </c>
      <c r="M229" s="82"/>
      <c r="N229" s="82"/>
      <c r="O229" s="82"/>
      <c r="P229" s="82"/>
      <c r="Q229" s="81"/>
      <c r="R229" s="82"/>
      <c r="S229" s="85"/>
      <c r="T229" s="86"/>
      <c r="U229" s="81"/>
      <c r="V229" s="81"/>
      <c r="W229" s="81"/>
      <c r="X229" s="81"/>
      <c r="Y229" s="82"/>
      <c r="Z229" s="82"/>
      <c r="AA229" s="87"/>
      <c r="AB229" s="87"/>
      <c r="AC229" s="82"/>
      <c r="AD229" s="82"/>
      <c r="AE229" s="83"/>
      <c r="AF229" s="81"/>
      <c r="AG229" s="82"/>
      <c r="AH229" s="82"/>
      <c r="AI229" s="82"/>
      <c r="AJ229" s="81" t="s">
        <v>61</v>
      </c>
      <c r="AK229" s="88"/>
      <c r="AL229" s="83"/>
      <c r="AM229" s="83"/>
      <c r="AN229" s="82"/>
      <c r="AO229" s="82"/>
      <c r="AP229" s="53"/>
      <c r="AQ229" s="88"/>
      <c r="AR229" s="88"/>
      <c r="AS229" s="88"/>
      <c r="AT229" s="88"/>
      <c r="AU229" s="88"/>
      <c r="AV229" s="88"/>
      <c r="AW229" s="88"/>
      <c r="AX229" s="82"/>
      <c r="AY229" s="82"/>
      <c r="AZ229" s="82"/>
    </row>
    <row r="230" spans="1:52" ht="14.5">
      <c r="A230" s="41" t="s">
        <v>2</v>
      </c>
      <c r="B230" s="41" t="s">
        <v>2</v>
      </c>
      <c r="C230" s="41" t="s">
        <v>2</v>
      </c>
      <c r="D230" s="41" t="s">
        <v>23</v>
      </c>
      <c r="E230" s="41" t="s">
        <v>24</v>
      </c>
      <c r="F230" s="41" t="s">
        <v>25</v>
      </c>
      <c r="G230" s="41"/>
      <c r="H230" s="41" t="s">
        <v>0</v>
      </c>
      <c r="I230" s="5" t="s">
        <v>26</v>
      </c>
      <c r="J230" s="41" t="s">
        <v>27</v>
      </c>
      <c r="K230" s="41" t="s">
        <v>28</v>
      </c>
      <c r="L230" s="12" t="s">
        <v>29</v>
      </c>
      <c r="M230" s="13" t="s">
        <v>30</v>
      </c>
      <c r="N230" s="41" t="s">
        <v>31</v>
      </c>
      <c r="O230" s="41" t="s">
        <v>32</v>
      </c>
      <c r="P230" s="41" t="s">
        <v>33</v>
      </c>
      <c r="Q230" s="41" t="s">
        <v>34</v>
      </c>
      <c r="R230" s="41" t="s">
        <v>13</v>
      </c>
      <c r="S230" s="24" t="s">
        <v>35</v>
      </c>
      <c r="T230" s="10" t="s">
        <v>35</v>
      </c>
      <c r="U230" s="41" t="s">
        <v>36</v>
      </c>
      <c r="V230" s="41" t="s">
        <v>37</v>
      </c>
      <c r="W230" s="41" t="s">
        <v>38</v>
      </c>
      <c r="X230" s="41" t="s">
        <v>39</v>
      </c>
      <c r="Y230" s="41" t="s">
        <v>40</v>
      </c>
      <c r="Z230" s="35" t="s">
        <v>108</v>
      </c>
      <c r="AA230" s="35" t="s">
        <v>109</v>
      </c>
      <c r="AB230" s="9" t="s">
        <v>110</v>
      </c>
      <c r="AC230" s="7" t="s">
        <v>111</v>
      </c>
      <c r="AD230" s="7" t="s">
        <v>112</v>
      </c>
      <c r="AE230" s="5" t="s">
        <v>41</v>
      </c>
      <c r="AF230" s="7" t="s">
        <v>113</v>
      </c>
      <c r="AG230" s="41"/>
      <c r="AH230" s="41"/>
      <c r="AI230" s="41" t="s">
        <v>42</v>
      </c>
      <c r="AJ230" s="41" t="s">
        <v>43</v>
      </c>
      <c r="AK230" s="11"/>
      <c r="AL230" s="5" t="s">
        <v>44</v>
      </c>
      <c r="AM230" s="5" t="s">
        <v>45</v>
      </c>
      <c r="AN230" s="41" t="s">
        <v>46</v>
      </c>
      <c r="AO230" s="41" t="s">
        <v>47</v>
      </c>
      <c r="AP230" s="53"/>
      <c r="AQ230" s="15" t="s">
        <v>62</v>
      </c>
      <c r="AR230" s="16" t="s">
        <v>63</v>
      </c>
      <c r="AS230" s="16" t="s">
        <v>64</v>
      </c>
      <c r="AT230" s="17" t="s">
        <v>65</v>
      </c>
      <c r="AU230" s="18" t="s">
        <v>66</v>
      </c>
      <c r="AV230" s="18" t="s">
        <v>67</v>
      </c>
      <c r="AW230" s="19" t="s">
        <v>68</v>
      </c>
      <c r="AX230" s="7" t="s">
        <v>207</v>
      </c>
      <c r="AY230" s="7" t="s">
        <v>208</v>
      </c>
      <c r="AZ230" s="7" t="s">
        <v>209</v>
      </c>
    </row>
    <row r="231" spans="1:52" ht="14.5">
      <c r="A231" s="41" t="s">
        <v>18</v>
      </c>
      <c r="B231" s="41" t="s">
        <v>21</v>
      </c>
      <c r="C231" s="41" t="s">
        <v>48</v>
      </c>
      <c r="D231" s="41" t="s">
        <v>8</v>
      </c>
      <c r="E231" s="41" t="s">
        <v>49</v>
      </c>
      <c r="F231" s="41" t="s">
        <v>49</v>
      </c>
      <c r="G231" s="41"/>
      <c r="H231" s="41" t="s">
        <v>9</v>
      </c>
      <c r="I231" s="5" t="s">
        <v>50</v>
      </c>
      <c r="J231" s="41"/>
      <c r="K231" s="41" t="s">
        <v>51</v>
      </c>
      <c r="L231" s="5" t="s">
        <v>52</v>
      </c>
      <c r="M231" s="41" t="s">
        <v>52</v>
      </c>
      <c r="N231" s="41" t="s">
        <v>53</v>
      </c>
      <c r="O231" s="41" t="s">
        <v>54</v>
      </c>
      <c r="P231" s="41"/>
      <c r="Q231" s="41"/>
      <c r="R231" s="41"/>
      <c r="S231" s="24" t="s">
        <v>55</v>
      </c>
      <c r="T231" s="10" t="s">
        <v>55</v>
      </c>
      <c r="U231" s="41"/>
      <c r="V231" s="41"/>
      <c r="W231" s="41"/>
      <c r="X231" s="41"/>
      <c r="Y231" s="41"/>
      <c r="Z231" s="41"/>
      <c r="AA231" s="9" t="s">
        <v>118</v>
      </c>
      <c r="AB231" s="9" t="s">
        <v>118</v>
      </c>
      <c r="AC231" s="7" t="s">
        <v>119</v>
      </c>
      <c r="AD231" s="7" t="s">
        <v>119</v>
      </c>
      <c r="AE231" s="5" t="s">
        <v>20</v>
      </c>
      <c r="AF231" s="7" t="s">
        <v>118</v>
      </c>
      <c r="AG231" s="41"/>
      <c r="AH231" s="41"/>
      <c r="AI231" s="41" t="s">
        <v>56</v>
      </c>
      <c r="AJ231" s="41" t="s">
        <v>57</v>
      </c>
      <c r="AK231" s="11"/>
      <c r="AL231" s="5" t="s">
        <v>9</v>
      </c>
      <c r="AM231" s="5" t="s">
        <v>18</v>
      </c>
      <c r="AN231" s="41" t="s">
        <v>8</v>
      </c>
      <c r="AO231" s="41" t="s">
        <v>49</v>
      </c>
      <c r="AP231" s="53"/>
      <c r="AQ231" s="11"/>
      <c r="AR231" s="11"/>
      <c r="AS231" s="11"/>
      <c r="AT231" s="11"/>
      <c r="AU231" s="11"/>
      <c r="AV231" s="11"/>
      <c r="AW231" s="11"/>
      <c r="AX231" s="41"/>
      <c r="AY231" s="41"/>
      <c r="AZ231" s="41"/>
    </row>
    <row r="232" spans="1:52" ht="14.5">
      <c r="A232" s="41">
        <f ca="1">A227</f>
        <v>30.585984684364888</v>
      </c>
      <c r="B232" s="41">
        <f t="shared" ref="B232:C232" ca="1" si="277">(A232/60)</f>
        <v>0.50976641140608148</v>
      </c>
      <c r="C232" s="41">
        <f t="shared" ca="1" si="277"/>
        <v>8.4961068567680244E-3</v>
      </c>
      <c r="D232" s="41">
        <f t="shared" ref="D232:E232" ca="1" si="278">D217</f>
        <v>10695.800747798503</v>
      </c>
      <c r="E232" s="41">
        <f t="shared" ca="1" si="278"/>
        <v>0.43999986882665038</v>
      </c>
      <c r="F232" s="7">
        <v>0</v>
      </c>
      <c r="G232" s="41"/>
      <c r="H232" s="7">
        <f>H227</f>
        <v>3000</v>
      </c>
      <c r="I232" s="6">
        <v>15</v>
      </c>
      <c r="J232" s="41">
        <f t="shared" ref="J232:J252" si="279">SQRT((((((((L232^2)*(0.2))/(661.477)^2) + 1)^(3.5) - 1)*(1/AR232) + 1)^(1/3.5) - 1)*(5))</f>
        <v>0.24732368472035268</v>
      </c>
      <c r="K232" s="41">
        <f t="shared" ref="K232:K252" si="280">SQRT((1.4*2116.22*AR232*(J232)^2)/AV232)</f>
        <v>280.43007840265443</v>
      </c>
      <c r="L232" s="120">
        <v>155</v>
      </c>
      <c r="M232" s="41">
        <f t="shared" ref="M232:M252" si="281">K232*0.592484</f>
        <v>166.15033457231831</v>
      </c>
      <c r="N232" s="41">
        <f t="shared" ref="N232:N252" si="282">0.5*AV232*K232^2</f>
        <v>81.211014356305881</v>
      </c>
      <c r="O232" s="41">
        <f t="shared" ref="O232:O252" si="283">P232/$B$7</f>
        <v>1513105.3130480214</v>
      </c>
      <c r="P232" s="41">
        <f t="shared" ref="P232:P252" si="284">(AV232*K232*$B$7)/(AW232)</f>
        <v>9715199.3449142762</v>
      </c>
      <c r="Q232" s="41">
        <f t="shared" ref="Q232:Q252" si="285">0.455/(LOG10(P232)^2.58 * (1+0.144*J232*J232)^0.65)</f>
        <v>3.0004970951086601E-3</v>
      </c>
      <c r="R232" s="41">
        <f t="shared" ref="R232:R252" si="286">(((Q232*$B$4)+$B$17)+(0.1*(Q232*$B$4)))</f>
        <v>2.0123927738066247E-2</v>
      </c>
      <c r="S232" s="24">
        <f ca="1">T232</f>
        <v>0</v>
      </c>
      <c r="T232" s="10">
        <f t="shared" ref="T232:T252" ca="1" si="287">DEGREES(ASIN(((AF232-X232)/(D232))))</f>
        <v>0</v>
      </c>
      <c r="U232" s="41">
        <f t="shared" ref="U232:U252" ca="1" si="288">(D232*COS(RADIANS(S232)))/(N232*$B$3)</f>
        <v>0.57262530065364836</v>
      </c>
      <c r="V232" s="41">
        <f t="shared" ref="V232:V252" ca="1" si="289">(X232)/(N232*$B$3)</f>
        <v>4.0833000617274552E-2</v>
      </c>
      <c r="W232" s="41">
        <f t="shared" ref="W232:W252" ca="1" si="290">U232/V232</f>
        <v>14.023591017001996</v>
      </c>
      <c r="X232" s="20">
        <f t="shared" ref="X232:X252" ca="1" si="291">(N232*$B$3*R232)+((N232*$B$3)*((U232^2)/(PI()*$B$6*$B$5)))</f>
        <v>762.70056184832197</v>
      </c>
      <c r="Y232" s="41">
        <f t="shared" ref="Y232:Y252" si="292">SQRT(PI()*$B$6*$B$5*R232)</f>
        <v>0.56447742652663724</v>
      </c>
      <c r="Z232" s="41">
        <f t="shared" ref="Z232:Z252" ca="1" si="293">SQRT((2*((U232*N232*$B$3)/(D232))*D232)/(AV232*$B$3*$B$18))</f>
        <v>136.9790780893008</v>
      </c>
      <c r="AA232" s="14">
        <f t="shared" ref="AA232:AA252" ca="1" si="294">D232/W232</f>
        <v>762.70056184832197</v>
      </c>
      <c r="AB232" s="14">
        <f t="shared" ref="AB232:AB252" si="295">$B$15*AR232</f>
        <v>5628.3916222821908</v>
      </c>
      <c r="AC232" s="25">
        <f t="shared" ref="AC232:AC252" ca="1" si="296">AA232*K232</f>
        <v>213884.17835687351</v>
      </c>
      <c r="AD232" s="41">
        <f t="shared" ref="AD232:AD252" si="297">AB232*K232</f>
        <v>1578370.303917438</v>
      </c>
      <c r="AE232" s="5">
        <f t="shared" ref="AE232:AE252" ca="1" si="298">(AA232/AB232)*100</f>
        <v>13.550950485194976</v>
      </c>
      <c r="AF232" s="7">
        <f t="shared" ref="AF232:AF252" ca="1" si="299">(AB232)*(AE232/100)</f>
        <v>762.70056184832197</v>
      </c>
      <c r="AG232" s="41"/>
      <c r="AH232" s="41"/>
      <c r="AI232" s="41">
        <f t="shared" ref="AI232:AI252" ca="1" si="300">(AP232*AF232)</f>
        <v>624.55808381265501</v>
      </c>
      <c r="AJ232" s="13">
        <f t="shared" ref="AJ232:AJ252" ca="1" si="301">K232*SIN(RADIANS(T232))</f>
        <v>0</v>
      </c>
      <c r="AK232" s="11"/>
      <c r="AL232" s="6">
        <v>0</v>
      </c>
      <c r="AM232" s="6">
        <v>135</v>
      </c>
      <c r="AN232" s="41">
        <f t="shared" ref="AN232:AN252" ca="1" si="302">AI232*(AM232/3600)</f>
        <v>23.420928142974564</v>
      </c>
      <c r="AO232" s="41">
        <f t="shared" ref="AO232:AO252" ca="1" si="303">M232*COS(RADIANS(T232))*(AM232/3600)</f>
        <v>6.2306375464619368</v>
      </c>
      <c r="AP232" s="67">
        <f t="shared" ref="AP232:AP252" si="304">-18.066*(AZ232^6) + 34.325*(AZ232^5) - 25.292*(AZ232^4) + 8.7618*(AZ232^3) - 1.317*(AZ232^2) + 0.358*(AZ232^1) + 0.7659</f>
        <v>0.81887717808822158</v>
      </c>
      <c r="AQ232" s="11">
        <f t="shared" ref="AQ232:AQ252" si="305">IF(H232 &lt;= 36089, ((1 - 6.87535*10^(-6)*H232) + ((I232*1.8)/518.67)), 0.75187 + ((I232*1.8)/518.67))</f>
        <v>1.0314301707183759</v>
      </c>
      <c r="AR232" s="11">
        <f t="shared" ref="AR232:AR252" si="306">IF(H232 &lt;= 36089, (1 - 6.87535*10^(-6)*H232)^5.2561, 0.22336*EXP((36089 - H232)/(20806.7)))</f>
        <v>0.8962407041850623</v>
      </c>
      <c r="AS232" s="11">
        <f t="shared" ref="AS232:AS252" si="307">(AR232/AQ232)</f>
        <v>0.86893008332386068</v>
      </c>
      <c r="AT232" s="11">
        <f t="shared" ref="AT232:AT252" si="308">(518.67*AQ232)</f>
        <v>534.97188664650002</v>
      </c>
      <c r="AU232" s="11">
        <f t="shared" ref="AU232:AU252" si="309">2116.22*AR232</f>
        <v>1896.6425030105124</v>
      </c>
      <c r="AV232" s="11">
        <f t="shared" ref="AV232:AV252" si="310">(0.0023769*AS232)</f>
        <v>2.0653599150524844E-3</v>
      </c>
      <c r="AW232" s="11">
        <f t="shared" ref="AW232:AW252" si="311">((2.2697*10^-8)*(AT232^1.5))/(AT232+198.72)</f>
        <v>3.8278171249107636E-7</v>
      </c>
      <c r="AX232" s="41">
        <f t="shared" ref="AX232:AX252" ca="1" si="312">(1/U232)*(((1 + 0.2*(U232)^2)/1.2)^3)</f>
        <v>1.2227673842604403</v>
      </c>
      <c r="AY232" s="41">
        <f t="shared" ref="AY232:AY252" ca="1" si="313">($H$4/$H$3)*AX232</f>
        <v>1.6470919599905534</v>
      </c>
      <c r="AZ232" s="41">
        <f t="shared" ref="AZ232:AZ252" si="314">-6.6*10^(-3) + 0.825*J232 - 0.243*(J232^2)</f>
        <v>0.18257797167354342</v>
      </c>
    </row>
    <row r="233" spans="1:52" ht="14.5">
      <c r="A233" s="41">
        <f t="shared" ref="A233:A252" ca="1" si="315">A232+AM232</f>
        <v>165.58598468436489</v>
      </c>
      <c r="B233" s="41">
        <f t="shared" ref="B233:C248" ca="1" si="316">A233/60</f>
        <v>2.7597664114060816</v>
      </c>
      <c r="C233" s="41">
        <f t="shared" ca="1" si="316"/>
        <v>4.5996106856768026E-2</v>
      </c>
      <c r="D233" s="41">
        <f t="shared" ref="D233:D252" ca="1" si="317">D232-AN232</f>
        <v>10672.379819655529</v>
      </c>
      <c r="E233" s="41">
        <f t="shared" ref="E233:E252" ca="1" si="318">E232+AO232</f>
        <v>6.6706374152885868</v>
      </c>
      <c r="F233" s="41">
        <f t="shared" ref="F233:F252" ca="1" si="319">F232+AO232</f>
        <v>6.2306375464619368</v>
      </c>
      <c r="G233" s="41"/>
      <c r="H233" s="7">
        <f t="shared" ref="H233:H252" si="320">H232+AL232</f>
        <v>3000</v>
      </c>
      <c r="I233" s="6">
        <v>15</v>
      </c>
      <c r="J233" s="41">
        <f t="shared" si="279"/>
        <v>0.24732368472035268</v>
      </c>
      <c r="K233" s="41">
        <f t="shared" si="280"/>
        <v>280.43007840265443</v>
      </c>
      <c r="L233" s="6">
        <f t="shared" ref="L233:L252" si="321">L232</f>
        <v>155</v>
      </c>
      <c r="M233" s="41">
        <f t="shared" si="281"/>
        <v>166.15033457231831</v>
      </c>
      <c r="N233" s="41">
        <f t="shared" si="282"/>
        <v>81.211014356305881</v>
      </c>
      <c r="O233" s="41">
        <f t="shared" si="283"/>
        <v>1513105.3130480214</v>
      </c>
      <c r="P233" s="41">
        <f t="shared" si="284"/>
        <v>9715199.3449142762</v>
      </c>
      <c r="Q233" s="41">
        <f t="shared" si="285"/>
        <v>3.0004970951086601E-3</v>
      </c>
      <c r="R233" s="41">
        <f t="shared" si="286"/>
        <v>2.0123927738066247E-2</v>
      </c>
      <c r="S233" s="24">
        <f t="shared" ref="S233:S252" ca="1" si="322">T233</f>
        <v>6.1033959601407127E-16</v>
      </c>
      <c r="T233" s="10">
        <f t="shared" ca="1" si="287"/>
        <v>6.1033959601407127E-16</v>
      </c>
      <c r="U233" s="41">
        <f t="shared" ca="1" si="288"/>
        <v>0.57137140519171026</v>
      </c>
      <c r="V233" s="41">
        <f t="shared" ca="1" si="289"/>
        <v>4.0742405311456197E-2</v>
      </c>
      <c r="W233" s="41">
        <f t="shared" ca="1" si="290"/>
        <v>14.023997867181606</v>
      </c>
      <c r="X233" s="20">
        <f t="shared" ca="1" si="291"/>
        <v>761.00837441159342</v>
      </c>
      <c r="Y233" s="41">
        <f t="shared" si="292"/>
        <v>0.56447742652663724</v>
      </c>
      <c r="Z233" s="41">
        <f t="shared" ca="1" si="293"/>
        <v>136.829022221228</v>
      </c>
      <c r="AA233" s="14">
        <f t="shared" ca="1" si="294"/>
        <v>761.00837441159354</v>
      </c>
      <c r="AB233" s="14">
        <f t="shared" si="295"/>
        <v>5628.3916222821908</v>
      </c>
      <c r="AC233" s="25">
        <f t="shared" ca="1" si="296"/>
        <v>213409.63810131978</v>
      </c>
      <c r="AD233" s="41">
        <f t="shared" si="297"/>
        <v>1578370.303917438</v>
      </c>
      <c r="AE233" s="5">
        <f t="shared" ca="1" si="298"/>
        <v>13.52088528095387</v>
      </c>
      <c r="AF233" s="7">
        <f t="shared" ca="1" si="299"/>
        <v>761.00837441159354</v>
      </c>
      <c r="AG233" s="41"/>
      <c r="AH233" s="41"/>
      <c r="AI233" s="41">
        <f t="shared" ca="1" si="300"/>
        <v>623.17239013967048</v>
      </c>
      <c r="AJ233" s="13">
        <f t="shared" ca="1" si="301"/>
        <v>2.987263324053216E-15</v>
      </c>
      <c r="AK233" s="11"/>
      <c r="AL233" s="6">
        <v>0</v>
      </c>
      <c r="AM233" s="6">
        <v>135</v>
      </c>
      <c r="AN233" s="41">
        <f t="shared" ca="1" si="302"/>
        <v>23.368964630237642</v>
      </c>
      <c r="AO233" s="41">
        <f t="shared" ca="1" si="303"/>
        <v>6.2306375464619368</v>
      </c>
      <c r="AP233" s="67">
        <f t="shared" si="304"/>
        <v>0.81887717808822158</v>
      </c>
      <c r="AQ233" s="11">
        <f t="shared" si="305"/>
        <v>1.0314301707183759</v>
      </c>
      <c r="AR233" s="11">
        <f t="shared" si="306"/>
        <v>0.8962407041850623</v>
      </c>
      <c r="AS233" s="11">
        <f t="shared" si="307"/>
        <v>0.86893008332386068</v>
      </c>
      <c r="AT233" s="11">
        <f t="shared" si="308"/>
        <v>534.97188664650002</v>
      </c>
      <c r="AU233" s="11">
        <f t="shared" si="309"/>
        <v>1896.6425030105124</v>
      </c>
      <c r="AV233" s="11">
        <f t="shared" si="310"/>
        <v>2.0653599150524844E-3</v>
      </c>
      <c r="AW233" s="11">
        <f t="shared" si="311"/>
        <v>3.8278171249107636E-7</v>
      </c>
      <c r="AX233" s="41">
        <f t="shared" ca="1" si="312"/>
        <v>1.2244612590896522</v>
      </c>
      <c r="AY233" s="41">
        <f t="shared" ca="1" si="313"/>
        <v>1.6493736430386441</v>
      </c>
      <c r="AZ233" s="41">
        <f t="shared" si="314"/>
        <v>0.18257797167354342</v>
      </c>
    </row>
    <row r="234" spans="1:52" ht="14.5">
      <c r="A234" s="41">
        <f t="shared" ca="1" si="315"/>
        <v>300.58598468436492</v>
      </c>
      <c r="B234" s="41">
        <f t="shared" ca="1" si="316"/>
        <v>5.0097664114060816</v>
      </c>
      <c r="C234" s="41">
        <f t="shared" ca="1" si="316"/>
        <v>8.3496106856768032E-2</v>
      </c>
      <c r="D234" s="41">
        <f t="shared" ca="1" si="317"/>
        <v>10649.010855025292</v>
      </c>
      <c r="E234" s="41">
        <f t="shared" ca="1" si="318"/>
        <v>12.901274961750524</v>
      </c>
      <c r="F234" s="41">
        <f t="shared" ca="1" si="319"/>
        <v>12.461275092923874</v>
      </c>
      <c r="G234" s="41"/>
      <c r="H234" s="7">
        <f t="shared" si="320"/>
        <v>3000</v>
      </c>
      <c r="I234" s="6">
        <v>15</v>
      </c>
      <c r="J234" s="41">
        <f t="shared" si="279"/>
        <v>0.24732368472035268</v>
      </c>
      <c r="K234" s="41">
        <f t="shared" si="280"/>
        <v>280.43007840265443</v>
      </c>
      <c r="L234" s="6">
        <f t="shared" si="321"/>
        <v>155</v>
      </c>
      <c r="M234" s="41">
        <f t="shared" si="281"/>
        <v>166.15033457231831</v>
      </c>
      <c r="N234" s="41">
        <f t="shared" si="282"/>
        <v>81.211014356305881</v>
      </c>
      <c r="O234" s="41">
        <f t="shared" si="283"/>
        <v>1513105.3130480214</v>
      </c>
      <c r="P234" s="41">
        <f t="shared" si="284"/>
        <v>9715199.3449142762</v>
      </c>
      <c r="Q234" s="41">
        <f t="shared" si="285"/>
        <v>3.0004970951086601E-3</v>
      </c>
      <c r="R234" s="41">
        <f t="shared" si="286"/>
        <v>2.0123927738066247E-2</v>
      </c>
      <c r="S234" s="24">
        <f t="shared" ca="1" si="322"/>
        <v>6.1167896965410806E-16</v>
      </c>
      <c r="T234" s="10">
        <f t="shared" ca="1" si="287"/>
        <v>6.1167896965410806E-16</v>
      </c>
      <c r="U234" s="41">
        <f t="shared" ca="1" si="288"/>
        <v>0.57012029172083634</v>
      </c>
      <c r="V234" s="41">
        <f t="shared" ca="1" si="289"/>
        <v>4.0652208943862421E-2</v>
      </c>
      <c r="W234" s="41">
        <f t="shared" ca="1" si="290"/>
        <v>14.024337336948372</v>
      </c>
      <c r="X234" s="20">
        <f t="shared" ca="1" si="291"/>
        <v>759.32363855577819</v>
      </c>
      <c r="Y234" s="41">
        <f t="shared" si="292"/>
        <v>0.56447742652663724</v>
      </c>
      <c r="Z234" s="41">
        <f t="shared" ca="1" si="293"/>
        <v>136.67913508508295</v>
      </c>
      <c r="AA234" s="14">
        <f t="shared" ca="1" si="294"/>
        <v>759.3236385557783</v>
      </c>
      <c r="AB234" s="14">
        <f t="shared" si="295"/>
        <v>5628.3916222821908</v>
      </c>
      <c r="AC234" s="25">
        <f t="shared" ca="1" si="296"/>
        <v>212937.18749318575</v>
      </c>
      <c r="AD234" s="41">
        <f t="shared" si="297"/>
        <v>1578370.303917438</v>
      </c>
      <c r="AE234" s="5">
        <f t="shared" ca="1" si="298"/>
        <v>13.490952469435468</v>
      </c>
      <c r="AF234" s="7">
        <f t="shared" ca="1" si="299"/>
        <v>759.3236385557783</v>
      </c>
      <c r="AG234" s="41"/>
      <c r="AH234" s="41"/>
      <c r="AI234" s="41">
        <f t="shared" ca="1" si="300"/>
        <v>621.79279839623644</v>
      </c>
      <c r="AJ234" s="13">
        <f t="shared" ca="1" si="301"/>
        <v>2.993818792153623E-15</v>
      </c>
      <c r="AK234" s="11"/>
      <c r="AL234" s="6">
        <v>0</v>
      </c>
      <c r="AM234" s="6">
        <v>135</v>
      </c>
      <c r="AN234" s="41">
        <f t="shared" ca="1" si="302"/>
        <v>23.317229939858866</v>
      </c>
      <c r="AO234" s="41">
        <f t="shared" ca="1" si="303"/>
        <v>6.2306375464619368</v>
      </c>
      <c r="AP234" s="67">
        <f t="shared" si="304"/>
        <v>0.81887717808822158</v>
      </c>
      <c r="AQ234" s="11">
        <f t="shared" si="305"/>
        <v>1.0314301707183759</v>
      </c>
      <c r="AR234" s="11">
        <f t="shared" si="306"/>
        <v>0.8962407041850623</v>
      </c>
      <c r="AS234" s="11">
        <f t="shared" si="307"/>
        <v>0.86893008332386068</v>
      </c>
      <c r="AT234" s="11">
        <f t="shared" si="308"/>
        <v>534.97188664650002</v>
      </c>
      <c r="AU234" s="11">
        <f t="shared" si="309"/>
        <v>1896.6425030105124</v>
      </c>
      <c r="AV234" s="11">
        <f t="shared" si="310"/>
        <v>2.0653599150524844E-3</v>
      </c>
      <c r="AW234" s="11">
        <f t="shared" si="311"/>
        <v>3.8278171249107636E-7</v>
      </c>
      <c r="AX234" s="41">
        <f t="shared" ca="1" si="312"/>
        <v>1.226161499028452</v>
      </c>
      <c r="AY234" s="41">
        <f t="shared" ca="1" si="313"/>
        <v>1.6516639000158089</v>
      </c>
      <c r="AZ234" s="41">
        <f t="shared" si="314"/>
        <v>0.18257797167354342</v>
      </c>
    </row>
    <row r="235" spans="1:52" ht="14.5">
      <c r="A235" s="41">
        <f t="shared" ca="1" si="315"/>
        <v>435.58598468436492</v>
      </c>
      <c r="B235" s="41">
        <f t="shared" ca="1" si="316"/>
        <v>7.2597664114060816</v>
      </c>
      <c r="C235" s="41">
        <f t="shared" ca="1" si="316"/>
        <v>0.12099610685676802</v>
      </c>
      <c r="D235" s="41">
        <f t="shared" ca="1" si="317"/>
        <v>10625.693625085432</v>
      </c>
      <c r="E235" s="41">
        <f t="shared" ca="1" si="318"/>
        <v>19.131912508212459</v>
      </c>
      <c r="F235" s="41">
        <f t="shared" ca="1" si="319"/>
        <v>18.691912639385812</v>
      </c>
      <c r="G235" s="41"/>
      <c r="H235" s="7">
        <f t="shared" si="320"/>
        <v>3000</v>
      </c>
      <c r="I235" s="6">
        <v>15</v>
      </c>
      <c r="J235" s="41">
        <f t="shared" si="279"/>
        <v>0.24732368472035268</v>
      </c>
      <c r="K235" s="41">
        <f t="shared" si="280"/>
        <v>280.43007840265443</v>
      </c>
      <c r="L235" s="6">
        <f t="shared" si="321"/>
        <v>155</v>
      </c>
      <c r="M235" s="41">
        <f t="shared" si="281"/>
        <v>166.15033457231831</v>
      </c>
      <c r="N235" s="41">
        <f t="shared" si="282"/>
        <v>81.211014356305881</v>
      </c>
      <c r="O235" s="41">
        <f t="shared" si="283"/>
        <v>1513105.3130480214</v>
      </c>
      <c r="P235" s="41">
        <f t="shared" si="284"/>
        <v>9715199.3449142762</v>
      </c>
      <c r="Q235" s="41">
        <f t="shared" si="285"/>
        <v>3.0004970951086601E-3</v>
      </c>
      <c r="R235" s="41">
        <f t="shared" si="286"/>
        <v>2.0123927738066247E-2</v>
      </c>
      <c r="S235" s="24">
        <f t="shared" ca="1" si="322"/>
        <v>0</v>
      </c>
      <c r="T235" s="10">
        <f t="shared" ca="1" si="287"/>
        <v>0</v>
      </c>
      <c r="U235" s="41">
        <f t="shared" ca="1" si="288"/>
        <v>0.56887194799047369</v>
      </c>
      <c r="V235" s="41">
        <f t="shared" ca="1" si="289"/>
        <v>4.0562409315280677E-2</v>
      </c>
      <c r="W235" s="41">
        <f t="shared" ca="1" si="290"/>
        <v>14.024609425164696</v>
      </c>
      <c r="X235" s="20">
        <f t="shared" ca="1" si="291"/>
        <v>757.64631320281137</v>
      </c>
      <c r="Y235" s="41">
        <f t="shared" si="292"/>
        <v>0.56447742652663724</v>
      </c>
      <c r="Z235" s="41">
        <f t="shared" ca="1" si="293"/>
        <v>136.52941576651844</v>
      </c>
      <c r="AA235" s="14">
        <f t="shared" ca="1" si="294"/>
        <v>757.64631320281137</v>
      </c>
      <c r="AB235" s="14">
        <f t="shared" si="295"/>
        <v>5628.3916222821908</v>
      </c>
      <c r="AC235" s="25">
        <f t="shared" ca="1" si="296"/>
        <v>212466.81501294646</v>
      </c>
      <c r="AD235" s="41">
        <f t="shared" si="297"/>
        <v>1578370.303917438</v>
      </c>
      <c r="AE235" s="5">
        <f t="shared" ca="1" si="298"/>
        <v>13.461151320803122</v>
      </c>
      <c r="AF235" s="7">
        <f t="shared" ca="1" si="299"/>
        <v>757.64631320281137</v>
      </c>
      <c r="AG235" s="41"/>
      <c r="AH235" s="41"/>
      <c r="AI235" s="41">
        <f t="shared" ca="1" si="300"/>
        <v>620.41927494446304</v>
      </c>
      <c r="AJ235" s="13">
        <f t="shared" ca="1" si="301"/>
        <v>0</v>
      </c>
      <c r="AK235" s="11"/>
      <c r="AL235" s="6">
        <v>0</v>
      </c>
      <c r="AM235" s="6">
        <v>135</v>
      </c>
      <c r="AN235" s="41">
        <f t="shared" ca="1" si="302"/>
        <v>23.265722810417362</v>
      </c>
      <c r="AO235" s="41">
        <f t="shared" ca="1" si="303"/>
        <v>6.2306375464619368</v>
      </c>
      <c r="AP235" s="67">
        <f t="shared" si="304"/>
        <v>0.81887717808822158</v>
      </c>
      <c r="AQ235" s="11">
        <f t="shared" si="305"/>
        <v>1.0314301707183759</v>
      </c>
      <c r="AR235" s="11">
        <f t="shared" si="306"/>
        <v>0.8962407041850623</v>
      </c>
      <c r="AS235" s="11">
        <f t="shared" si="307"/>
        <v>0.86893008332386068</v>
      </c>
      <c r="AT235" s="11">
        <f t="shared" si="308"/>
        <v>534.97188664650002</v>
      </c>
      <c r="AU235" s="11">
        <f t="shared" si="309"/>
        <v>1896.6425030105124</v>
      </c>
      <c r="AV235" s="11">
        <f t="shared" si="310"/>
        <v>2.0653599150524844E-3</v>
      </c>
      <c r="AW235" s="11">
        <f t="shared" si="311"/>
        <v>3.8278171249107636E-7</v>
      </c>
      <c r="AX235" s="41">
        <f t="shared" ca="1" si="312"/>
        <v>1.2278681162961373</v>
      </c>
      <c r="AY235" s="41">
        <f t="shared" ca="1" si="313"/>
        <v>1.6539627473816845</v>
      </c>
      <c r="AZ235" s="41">
        <f t="shared" si="314"/>
        <v>0.18257797167354342</v>
      </c>
    </row>
    <row r="236" spans="1:52" ht="14.5">
      <c r="A236" s="41">
        <f t="shared" ca="1" si="315"/>
        <v>570.58598468436492</v>
      </c>
      <c r="B236" s="41">
        <f t="shared" ca="1" si="316"/>
        <v>9.5097664114060816</v>
      </c>
      <c r="C236" s="41">
        <f t="shared" ca="1" si="316"/>
        <v>0.15849610685676802</v>
      </c>
      <c r="D236" s="41">
        <f t="shared" ca="1" si="317"/>
        <v>10602.427902275014</v>
      </c>
      <c r="E236" s="41">
        <f t="shared" ca="1" si="318"/>
        <v>25.362550054674394</v>
      </c>
      <c r="F236" s="41">
        <f t="shared" ca="1" si="319"/>
        <v>24.922550185847747</v>
      </c>
      <c r="G236" s="41"/>
      <c r="H236" s="7">
        <f t="shared" si="320"/>
        <v>3000</v>
      </c>
      <c r="I236" s="6">
        <v>15</v>
      </c>
      <c r="J236" s="41">
        <f t="shared" si="279"/>
        <v>0.24732368472035268</v>
      </c>
      <c r="K236" s="41">
        <f t="shared" si="280"/>
        <v>280.43007840265443</v>
      </c>
      <c r="L236" s="6">
        <f t="shared" si="321"/>
        <v>155</v>
      </c>
      <c r="M236" s="41">
        <f t="shared" si="281"/>
        <v>166.15033457231831</v>
      </c>
      <c r="N236" s="41">
        <f t="shared" si="282"/>
        <v>81.211014356305881</v>
      </c>
      <c r="O236" s="41">
        <f t="shared" si="283"/>
        <v>1513105.3130480214</v>
      </c>
      <c r="P236" s="41">
        <f t="shared" si="284"/>
        <v>9715199.3449142762</v>
      </c>
      <c r="Q236" s="41">
        <f t="shared" si="285"/>
        <v>3.0004970951086601E-3</v>
      </c>
      <c r="R236" s="41">
        <f t="shared" si="286"/>
        <v>2.0123927738066247E-2</v>
      </c>
      <c r="S236" s="24">
        <f t="shared" ca="1" si="322"/>
        <v>-6.143664496166571E-16</v>
      </c>
      <c r="T236" s="10">
        <f t="shared" ca="1" si="287"/>
        <v>-6.143664496166571E-16</v>
      </c>
      <c r="U236" s="41">
        <f t="shared" ca="1" si="288"/>
        <v>0.56762636181760284</v>
      </c>
      <c r="V236" s="41">
        <f t="shared" ca="1" si="289"/>
        <v>4.0473004241982927E-2</v>
      </c>
      <c r="W236" s="41">
        <f t="shared" ca="1" si="290"/>
        <v>14.024814131015264</v>
      </c>
      <c r="X236" s="20">
        <f t="shared" ca="1" si="291"/>
        <v>755.97635756385603</v>
      </c>
      <c r="Y236" s="41">
        <f t="shared" si="292"/>
        <v>0.56447742652663724</v>
      </c>
      <c r="Z236" s="41">
        <f t="shared" ca="1" si="293"/>
        <v>136.37986335466343</v>
      </c>
      <c r="AA236" s="14">
        <f t="shared" ca="1" si="294"/>
        <v>755.97635756385591</v>
      </c>
      <c r="AB236" s="14">
        <f t="shared" si="295"/>
        <v>5628.3916222821908</v>
      </c>
      <c r="AC236" s="25">
        <f t="shared" ca="1" si="296"/>
        <v>211998.50922218524</v>
      </c>
      <c r="AD236" s="41">
        <f t="shared" si="297"/>
        <v>1578370.303917438</v>
      </c>
      <c r="AE236" s="5">
        <f t="shared" ca="1" si="298"/>
        <v>13.431481110358911</v>
      </c>
      <c r="AF236" s="7">
        <f t="shared" ca="1" si="299"/>
        <v>755.97635756385591</v>
      </c>
      <c r="AG236" s="41"/>
      <c r="AH236" s="41"/>
      <c r="AI236" s="41">
        <f t="shared" ca="1" si="300"/>
        <v>619.05178638330267</v>
      </c>
      <c r="AJ236" s="13">
        <f t="shared" ca="1" si="301"/>
        <v>-3.006972469841717E-15</v>
      </c>
      <c r="AK236" s="11"/>
      <c r="AL236" s="6">
        <v>0</v>
      </c>
      <c r="AM236" s="6">
        <v>135</v>
      </c>
      <c r="AN236" s="41">
        <f t="shared" ca="1" si="302"/>
        <v>23.214441989373849</v>
      </c>
      <c r="AO236" s="41">
        <f t="shared" ca="1" si="303"/>
        <v>6.2306375464619368</v>
      </c>
      <c r="AP236" s="67">
        <f t="shared" si="304"/>
        <v>0.81887717808822158</v>
      </c>
      <c r="AQ236" s="11">
        <f t="shared" si="305"/>
        <v>1.0314301707183759</v>
      </c>
      <c r="AR236" s="11">
        <f t="shared" si="306"/>
        <v>0.8962407041850623</v>
      </c>
      <c r="AS236" s="11">
        <f t="shared" si="307"/>
        <v>0.86893008332386068</v>
      </c>
      <c r="AT236" s="11">
        <f t="shared" si="308"/>
        <v>534.97188664650002</v>
      </c>
      <c r="AU236" s="11">
        <f t="shared" si="309"/>
        <v>1896.6425030105124</v>
      </c>
      <c r="AV236" s="11">
        <f t="shared" si="310"/>
        <v>2.0653599150524844E-3</v>
      </c>
      <c r="AW236" s="11">
        <f t="shared" si="311"/>
        <v>3.8278171249107636E-7</v>
      </c>
      <c r="AX236" s="41">
        <f t="shared" ca="1" si="312"/>
        <v>1.2295811232899188</v>
      </c>
      <c r="AY236" s="41">
        <f t="shared" ca="1" si="313"/>
        <v>1.6562702018355595</v>
      </c>
      <c r="AZ236" s="41">
        <f t="shared" si="314"/>
        <v>0.18257797167354342</v>
      </c>
    </row>
    <row r="237" spans="1:52" ht="14.5">
      <c r="A237" s="41">
        <f t="shared" ca="1" si="315"/>
        <v>705.58598468436492</v>
      </c>
      <c r="B237" s="41">
        <f t="shared" ca="1" si="316"/>
        <v>11.759766411406082</v>
      </c>
      <c r="C237" s="41">
        <f t="shared" ca="1" si="316"/>
        <v>0.19599610685676802</v>
      </c>
      <c r="D237" s="41">
        <f t="shared" ca="1" si="317"/>
        <v>10579.21346028564</v>
      </c>
      <c r="E237" s="41">
        <f t="shared" ca="1" si="318"/>
        <v>31.593187601136329</v>
      </c>
      <c r="F237" s="41">
        <f t="shared" ca="1" si="319"/>
        <v>31.153187732309682</v>
      </c>
      <c r="G237" s="41"/>
      <c r="H237" s="7">
        <f t="shared" si="320"/>
        <v>3000</v>
      </c>
      <c r="I237" s="6">
        <v>15</v>
      </c>
      <c r="J237" s="41">
        <f t="shared" si="279"/>
        <v>0.24732368472035268</v>
      </c>
      <c r="K237" s="41">
        <f t="shared" si="280"/>
        <v>280.43007840265443</v>
      </c>
      <c r="L237" s="6">
        <f t="shared" si="321"/>
        <v>155</v>
      </c>
      <c r="M237" s="41">
        <f t="shared" si="281"/>
        <v>166.15033457231831</v>
      </c>
      <c r="N237" s="41">
        <f t="shared" si="282"/>
        <v>81.211014356305881</v>
      </c>
      <c r="O237" s="41">
        <f t="shared" si="283"/>
        <v>1513105.3130480214</v>
      </c>
      <c r="P237" s="41">
        <f t="shared" si="284"/>
        <v>9715199.3449142762</v>
      </c>
      <c r="Q237" s="41">
        <f t="shared" si="285"/>
        <v>3.0004970951086601E-3</v>
      </c>
      <c r="R237" s="41">
        <f t="shared" si="286"/>
        <v>2.0123927738066247E-2</v>
      </c>
      <c r="S237" s="24">
        <f t="shared" ca="1" si="322"/>
        <v>0</v>
      </c>
      <c r="T237" s="10">
        <f t="shared" ca="1" si="287"/>
        <v>0</v>
      </c>
      <c r="U237" s="41">
        <f t="shared" ca="1" si="288"/>
        <v>0.56638352108626178</v>
      </c>
      <c r="V237" s="41">
        <f t="shared" ca="1" si="289"/>
        <v>4.0383991555595758E-2</v>
      </c>
      <c r="W237" s="41">
        <f t="shared" ca="1" si="290"/>
        <v>14.024951454007065</v>
      </c>
      <c r="X237" s="20">
        <f t="shared" ca="1" si="291"/>
        <v>754.31373113687721</v>
      </c>
      <c r="Y237" s="41">
        <f t="shared" si="292"/>
        <v>0.56447742652663724</v>
      </c>
      <c r="Z237" s="41">
        <f t="shared" ca="1" si="293"/>
        <v>136.23047694209586</v>
      </c>
      <c r="AA237" s="14">
        <f t="shared" ca="1" si="294"/>
        <v>754.31373113687721</v>
      </c>
      <c r="AB237" s="14">
        <f t="shared" si="295"/>
        <v>5628.3916222821908</v>
      </c>
      <c r="AC237" s="25">
        <f t="shared" ca="1" si="296"/>
        <v>211532.25876291326</v>
      </c>
      <c r="AD237" s="41">
        <f t="shared" si="297"/>
        <v>1578370.303917438</v>
      </c>
      <c r="AE237" s="5">
        <f t="shared" ca="1" si="298"/>
        <v>13.401941118500552</v>
      </c>
      <c r="AF237" s="7">
        <f t="shared" ca="1" si="299"/>
        <v>754.31373113687721</v>
      </c>
      <c r="AG237" s="41"/>
      <c r="AH237" s="41"/>
      <c r="AI237" s="41">
        <f t="shared" ca="1" si="300"/>
        <v>617.69029954656344</v>
      </c>
      <c r="AJ237" s="13">
        <f t="shared" ca="1" si="301"/>
        <v>0</v>
      </c>
      <c r="AK237" s="11"/>
      <c r="AL237" s="6">
        <v>0</v>
      </c>
      <c r="AM237" s="6">
        <v>135</v>
      </c>
      <c r="AN237" s="41">
        <f t="shared" ca="1" si="302"/>
        <v>23.163386232996128</v>
      </c>
      <c r="AO237" s="41">
        <f t="shared" ca="1" si="303"/>
        <v>6.2306375464619368</v>
      </c>
      <c r="AP237" s="67">
        <f t="shared" si="304"/>
        <v>0.81887717808822158</v>
      </c>
      <c r="AQ237" s="11">
        <f t="shared" si="305"/>
        <v>1.0314301707183759</v>
      </c>
      <c r="AR237" s="11">
        <f t="shared" si="306"/>
        <v>0.8962407041850623</v>
      </c>
      <c r="AS237" s="11">
        <f t="shared" si="307"/>
        <v>0.86893008332386068</v>
      </c>
      <c r="AT237" s="11">
        <f t="shared" si="308"/>
        <v>534.97188664650002</v>
      </c>
      <c r="AU237" s="11">
        <f t="shared" si="309"/>
        <v>1896.6425030105124</v>
      </c>
      <c r="AV237" s="11">
        <f t="shared" si="310"/>
        <v>2.0653599150524844E-3</v>
      </c>
      <c r="AW237" s="11">
        <f t="shared" si="311"/>
        <v>3.8278171249107636E-7</v>
      </c>
      <c r="AX237" s="41">
        <f t="shared" ca="1" si="312"/>
        <v>1.2313005325851436</v>
      </c>
      <c r="AY237" s="41">
        <f t="shared" ca="1" si="313"/>
        <v>1.6585862803166769</v>
      </c>
      <c r="AZ237" s="41">
        <f t="shared" si="314"/>
        <v>0.18257797167354342</v>
      </c>
    </row>
    <row r="238" spans="1:52" ht="14.5">
      <c r="A238" s="41">
        <f t="shared" ca="1" si="315"/>
        <v>840.58598468436492</v>
      </c>
      <c r="B238" s="41">
        <f t="shared" ca="1" si="316"/>
        <v>14.009766411406082</v>
      </c>
      <c r="C238" s="41">
        <f t="shared" ca="1" si="316"/>
        <v>0.23349610685676803</v>
      </c>
      <c r="D238" s="41">
        <f t="shared" ca="1" si="317"/>
        <v>10556.050074052644</v>
      </c>
      <c r="E238" s="41">
        <f t="shared" ca="1" si="318"/>
        <v>37.823825147598264</v>
      </c>
      <c r="F238" s="41">
        <f t="shared" ca="1" si="319"/>
        <v>37.383825278771617</v>
      </c>
      <c r="G238" s="41"/>
      <c r="H238" s="7">
        <f t="shared" si="320"/>
        <v>3000</v>
      </c>
      <c r="I238" s="6">
        <v>15</v>
      </c>
      <c r="J238" s="41">
        <f t="shared" si="279"/>
        <v>0.24732368472035268</v>
      </c>
      <c r="K238" s="41">
        <f t="shared" si="280"/>
        <v>280.43007840265443</v>
      </c>
      <c r="L238" s="6">
        <f t="shared" si="321"/>
        <v>155</v>
      </c>
      <c r="M238" s="41">
        <f t="shared" si="281"/>
        <v>166.15033457231831</v>
      </c>
      <c r="N238" s="41">
        <f t="shared" si="282"/>
        <v>81.211014356305881</v>
      </c>
      <c r="O238" s="41">
        <f t="shared" si="283"/>
        <v>1513105.3130480214</v>
      </c>
      <c r="P238" s="41">
        <f t="shared" si="284"/>
        <v>9715199.3449142762</v>
      </c>
      <c r="Q238" s="41">
        <f t="shared" si="285"/>
        <v>3.0004970951086601E-3</v>
      </c>
      <c r="R238" s="41">
        <f t="shared" si="286"/>
        <v>2.0123927738066247E-2</v>
      </c>
      <c r="S238" s="24">
        <f t="shared" ca="1" si="322"/>
        <v>0</v>
      </c>
      <c r="T238" s="10">
        <f t="shared" ca="1" si="287"/>
        <v>0</v>
      </c>
      <c r="U238" s="41">
        <f t="shared" ca="1" si="288"/>
        <v>0.56514341374707489</v>
      </c>
      <c r="V238" s="41">
        <f t="shared" ca="1" si="289"/>
        <v>4.0295369102971962E-2</v>
      </c>
      <c r="W238" s="41">
        <f t="shared" ca="1" si="290"/>
        <v>14.025021393969389</v>
      </c>
      <c r="X238" s="20">
        <f t="shared" ca="1" si="291"/>
        <v>752.65839370424305</v>
      </c>
      <c r="Y238" s="41">
        <f t="shared" si="292"/>
        <v>0.56447742652663724</v>
      </c>
      <c r="Z238" s="41">
        <f t="shared" ca="1" si="293"/>
        <v>136.08125562481604</v>
      </c>
      <c r="AA238" s="14">
        <f t="shared" ca="1" si="294"/>
        <v>752.65839370424305</v>
      </c>
      <c r="AB238" s="14">
        <f t="shared" si="295"/>
        <v>5628.3916222821908</v>
      </c>
      <c r="AC238" s="25">
        <f t="shared" ca="1" si="296"/>
        <v>211068.05235689683</v>
      </c>
      <c r="AD238" s="41">
        <f t="shared" si="297"/>
        <v>1578370.303917438</v>
      </c>
      <c r="AE238" s="5">
        <f t="shared" ca="1" si="298"/>
        <v>13.372530630678758</v>
      </c>
      <c r="AF238" s="7">
        <f t="shared" ca="1" si="299"/>
        <v>752.65839370424305</v>
      </c>
      <c r="AG238" s="41"/>
      <c r="AH238" s="41"/>
      <c r="AI238" s="41">
        <f t="shared" ca="1" si="300"/>
        <v>616.33478150094425</v>
      </c>
      <c r="AJ238" s="13">
        <f t="shared" ca="1" si="301"/>
        <v>0</v>
      </c>
      <c r="AK238" s="11"/>
      <c r="AL238" s="6">
        <v>0</v>
      </c>
      <c r="AM238" s="6">
        <v>135</v>
      </c>
      <c r="AN238" s="41">
        <f t="shared" ca="1" si="302"/>
        <v>23.112554306285407</v>
      </c>
      <c r="AO238" s="41">
        <f t="shared" ca="1" si="303"/>
        <v>6.2306375464619368</v>
      </c>
      <c r="AP238" s="67">
        <f t="shared" si="304"/>
        <v>0.81887717808822158</v>
      </c>
      <c r="AQ238" s="11">
        <f t="shared" si="305"/>
        <v>1.0314301707183759</v>
      </c>
      <c r="AR238" s="11">
        <f t="shared" si="306"/>
        <v>0.8962407041850623</v>
      </c>
      <c r="AS238" s="11">
        <f t="shared" si="307"/>
        <v>0.86893008332386068</v>
      </c>
      <c r="AT238" s="11">
        <f t="shared" si="308"/>
        <v>534.97188664650002</v>
      </c>
      <c r="AU238" s="11">
        <f t="shared" si="309"/>
        <v>1896.6425030105124</v>
      </c>
      <c r="AV238" s="11">
        <f t="shared" si="310"/>
        <v>2.0653599150524844E-3</v>
      </c>
      <c r="AW238" s="11">
        <f t="shared" si="311"/>
        <v>3.8278171249107636E-7</v>
      </c>
      <c r="AX238" s="41">
        <f t="shared" ca="1" si="312"/>
        <v>1.233026356935528</v>
      </c>
      <c r="AY238" s="41">
        <f t="shared" ca="1" si="313"/>
        <v>1.6609110000045457</v>
      </c>
      <c r="AZ238" s="41">
        <f t="shared" si="314"/>
        <v>0.18257797167354342</v>
      </c>
    </row>
    <row r="239" spans="1:52" ht="14.5">
      <c r="A239" s="41">
        <f t="shared" ca="1" si="315"/>
        <v>975.58598468436492</v>
      </c>
      <c r="B239" s="41">
        <f t="shared" ca="1" si="316"/>
        <v>16.259766411406083</v>
      </c>
      <c r="C239" s="41">
        <f t="shared" ca="1" si="316"/>
        <v>0.27099610685676806</v>
      </c>
      <c r="D239" s="41">
        <f t="shared" ca="1" si="317"/>
        <v>10532.937519746358</v>
      </c>
      <c r="E239" s="41">
        <f t="shared" ca="1" si="318"/>
        <v>44.054462694060199</v>
      </c>
      <c r="F239" s="41">
        <f t="shared" ca="1" si="319"/>
        <v>43.614462825233552</v>
      </c>
      <c r="G239" s="41"/>
      <c r="H239" s="7">
        <f t="shared" si="320"/>
        <v>3000</v>
      </c>
      <c r="I239" s="6">
        <v>15</v>
      </c>
      <c r="J239" s="41">
        <f t="shared" si="279"/>
        <v>0.24732368472035268</v>
      </c>
      <c r="K239" s="41">
        <f t="shared" si="280"/>
        <v>280.43007840265443</v>
      </c>
      <c r="L239" s="6">
        <f t="shared" si="321"/>
        <v>155</v>
      </c>
      <c r="M239" s="41">
        <f t="shared" si="281"/>
        <v>166.15033457231831</v>
      </c>
      <c r="N239" s="41">
        <f t="shared" si="282"/>
        <v>81.211014356305881</v>
      </c>
      <c r="O239" s="41">
        <f t="shared" si="283"/>
        <v>1513105.3130480214</v>
      </c>
      <c r="P239" s="41">
        <f t="shared" si="284"/>
        <v>9715199.3449142762</v>
      </c>
      <c r="Q239" s="41">
        <f t="shared" si="285"/>
        <v>3.0004970951086601E-3</v>
      </c>
      <c r="R239" s="41">
        <f t="shared" si="286"/>
        <v>2.0123927738066247E-2</v>
      </c>
      <c r="S239" s="24">
        <f t="shared" ca="1" si="322"/>
        <v>-6.1841969302730091E-16</v>
      </c>
      <c r="T239" s="10">
        <f t="shared" ca="1" si="287"/>
        <v>-6.1841969302730091E-16</v>
      </c>
      <c r="U239" s="41">
        <f t="shared" ca="1" si="288"/>
        <v>0.56390602781678489</v>
      </c>
      <c r="V239" s="41">
        <f t="shared" ca="1" si="289"/>
        <v>4.0207134746063154E-2</v>
      </c>
      <c r="W239" s="41">
        <f t="shared" ca="1" si="290"/>
        <v>14.025023951053843</v>
      </c>
      <c r="X239" s="20">
        <f t="shared" ca="1" si="291"/>
        <v>751.01030533034577</v>
      </c>
      <c r="Y239" s="41">
        <f t="shared" si="292"/>
        <v>0.56447742652663724</v>
      </c>
      <c r="Z239" s="41">
        <f t="shared" ca="1" si="293"/>
        <v>135.93219850222022</v>
      </c>
      <c r="AA239" s="14">
        <f t="shared" ca="1" si="294"/>
        <v>751.01030533034566</v>
      </c>
      <c r="AB239" s="14">
        <f t="shared" si="295"/>
        <v>5628.3916222821908</v>
      </c>
      <c r="AC239" s="25">
        <f t="shared" ca="1" si="296"/>
        <v>210605.87880499027</v>
      </c>
      <c r="AD239" s="41">
        <f t="shared" si="297"/>
        <v>1578370.303917438</v>
      </c>
      <c r="AE239" s="5">
        <f t="shared" ca="1" si="298"/>
        <v>13.343248937354989</v>
      </c>
      <c r="AF239" s="7">
        <f t="shared" ca="1" si="299"/>
        <v>751.01030533034566</v>
      </c>
      <c r="AG239" s="41"/>
      <c r="AH239" s="41"/>
      <c r="AI239" s="41">
        <f t="shared" ca="1" si="300"/>
        <v>614.9851995440871</v>
      </c>
      <c r="AJ239" s="13">
        <f t="shared" ca="1" si="301"/>
        <v>-3.026810778650699E-15</v>
      </c>
      <c r="AK239" s="11"/>
      <c r="AL239" s="6">
        <v>0</v>
      </c>
      <c r="AM239" s="6">
        <v>135</v>
      </c>
      <c r="AN239" s="41">
        <f t="shared" ca="1" si="302"/>
        <v>23.061944982903267</v>
      </c>
      <c r="AO239" s="41">
        <f t="shared" ca="1" si="303"/>
        <v>6.2306375464619368</v>
      </c>
      <c r="AP239" s="67">
        <f t="shared" si="304"/>
        <v>0.81887717808822158</v>
      </c>
      <c r="AQ239" s="11">
        <f t="shared" si="305"/>
        <v>1.0314301707183759</v>
      </c>
      <c r="AR239" s="11">
        <f t="shared" si="306"/>
        <v>0.8962407041850623</v>
      </c>
      <c r="AS239" s="11">
        <f t="shared" si="307"/>
        <v>0.86893008332386068</v>
      </c>
      <c r="AT239" s="11">
        <f t="shared" si="308"/>
        <v>534.97188664650002</v>
      </c>
      <c r="AU239" s="11">
        <f t="shared" si="309"/>
        <v>1896.6425030105124</v>
      </c>
      <c r="AV239" s="11">
        <f t="shared" si="310"/>
        <v>2.0653599150524844E-3</v>
      </c>
      <c r="AW239" s="11">
        <f t="shared" si="311"/>
        <v>3.8278171249107636E-7</v>
      </c>
      <c r="AX239" s="41">
        <f t="shared" ca="1" si="312"/>
        <v>1.2347586092734075</v>
      </c>
      <c r="AY239" s="41">
        <f t="shared" ca="1" si="313"/>
        <v>1.663244378319279</v>
      </c>
      <c r="AZ239" s="41">
        <f t="shared" si="314"/>
        <v>0.18257797167354342</v>
      </c>
    </row>
    <row r="240" spans="1:52" ht="14.5">
      <c r="A240" s="41">
        <f t="shared" ca="1" si="315"/>
        <v>1110.585984684365</v>
      </c>
      <c r="B240" s="41">
        <f t="shared" ca="1" si="316"/>
        <v>18.509766411406083</v>
      </c>
      <c r="C240" s="41">
        <f t="shared" ca="1" si="316"/>
        <v>0.30849610685676804</v>
      </c>
      <c r="D240" s="41">
        <f t="shared" ca="1" si="317"/>
        <v>10509.875574763455</v>
      </c>
      <c r="E240" s="41">
        <f t="shared" ca="1" si="318"/>
        <v>50.285100240522134</v>
      </c>
      <c r="F240" s="41">
        <f t="shared" ca="1" si="319"/>
        <v>49.845100371695487</v>
      </c>
      <c r="G240" s="41"/>
      <c r="H240" s="7">
        <f t="shared" si="320"/>
        <v>3000</v>
      </c>
      <c r="I240" s="6">
        <v>15</v>
      </c>
      <c r="J240" s="41">
        <f t="shared" si="279"/>
        <v>0.24732368472035268</v>
      </c>
      <c r="K240" s="41">
        <f t="shared" si="280"/>
        <v>280.43007840265443</v>
      </c>
      <c r="L240" s="6">
        <f t="shared" si="321"/>
        <v>155</v>
      </c>
      <c r="M240" s="41">
        <f t="shared" si="281"/>
        <v>166.15033457231831</v>
      </c>
      <c r="N240" s="41">
        <f t="shared" si="282"/>
        <v>81.211014356305881</v>
      </c>
      <c r="O240" s="41">
        <f t="shared" si="283"/>
        <v>1513105.3130480214</v>
      </c>
      <c r="P240" s="41">
        <f t="shared" si="284"/>
        <v>9715199.3449142762</v>
      </c>
      <c r="Q240" s="41">
        <f t="shared" si="285"/>
        <v>3.0004970951086601E-3</v>
      </c>
      <c r="R240" s="41">
        <f t="shared" si="286"/>
        <v>2.0123927738066247E-2</v>
      </c>
      <c r="S240" s="24">
        <f t="shared" ca="1" si="322"/>
        <v>6.1977669871547342E-16</v>
      </c>
      <c r="T240" s="10">
        <f t="shared" ca="1" si="287"/>
        <v>6.1977669871547342E-16</v>
      </c>
      <c r="U240" s="41">
        <f t="shared" ca="1" si="288"/>
        <v>0.56267135137778979</v>
      </c>
      <c r="V240" s="41">
        <f t="shared" ca="1" si="289"/>
        <v>4.0119286361793884E-2</v>
      </c>
      <c r="W240" s="41">
        <f t="shared" ca="1" si="290"/>
        <v>14.024959125734325</v>
      </c>
      <c r="X240" s="20">
        <f t="shared" ca="1" si="291"/>
        <v>749.3694263592497</v>
      </c>
      <c r="Y240" s="41">
        <f t="shared" si="292"/>
        <v>0.56447742652663724</v>
      </c>
      <c r="Z240" s="41">
        <f t="shared" ca="1" si="293"/>
        <v>135.78330467707403</v>
      </c>
      <c r="AA240" s="14">
        <f t="shared" ca="1" si="294"/>
        <v>749.3694263592497</v>
      </c>
      <c r="AB240" s="14">
        <f t="shared" si="295"/>
        <v>5628.3916222821908</v>
      </c>
      <c r="AC240" s="25">
        <f t="shared" ca="1" si="296"/>
        <v>210145.72698647657</v>
      </c>
      <c r="AD240" s="41">
        <f t="shared" si="297"/>
        <v>1578370.303917438</v>
      </c>
      <c r="AE240" s="5">
        <f t="shared" ca="1" si="298"/>
        <v>13.314095333959663</v>
      </c>
      <c r="AF240" s="7">
        <f t="shared" ca="1" si="299"/>
        <v>749.36942635924981</v>
      </c>
      <c r="AG240" s="41"/>
      <c r="AH240" s="41"/>
      <c r="AI240" s="41">
        <f t="shared" ca="1" si="300"/>
        <v>613.6415212026518</v>
      </c>
      <c r="AJ240" s="13">
        <f t="shared" ca="1" si="301"/>
        <v>3.0334525455445447E-15</v>
      </c>
      <c r="AK240" s="11"/>
      <c r="AL240" s="6">
        <v>0</v>
      </c>
      <c r="AM240" s="6">
        <v>135</v>
      </c>
      <c r="AN240" s="41">
        <f t="shared" ca="1" si="302"/>
        <v>23.01155704509944</v>
      </c>
      <c r="AO240" s="41">
        <f t="shared" ca="1" si="303"/>
        <v>6.2306375464619368</v>
      </c>
      <c r="AP240" s="67">
        <f t="shared" si="304"/>
        <v>0.81887717808822158</v>
      </c>
      <c r="AQ240" s="11">
        <f t="shared" si="305"/>
        <v>1.0314301707183759</v>
      </c>
      <c r="AR240" s="11">
        <f t="shared" si="306"/>
        <v>0.8962407041850623</v>
      </c>
      <c r="AS240" s="11">
        <f t="shared" si="307"/>
        <v>0.86893008332386068</v>
      </c>
      <c r="AT240" s="11">
        <f t="shared" si="308"/>
        <v>534.97188664650002</v>
      </c>
      <c r="AU240" s="11">
        <f t="shared" si="309"/>
        <v>1896.6425030105124</v>
      </c>
      <c r="AV240" s="11">
        <f t="shared" si="310"/>
        <v>2.0653599150524844E-3</v>
      </c>
      <c r="AW240" s="11">
        <f t="shared" si="311"/>
        <v>3.8278171249107636E-7</v>
      </c>
      <c r="AX240" s="41">
        <f t="shared" ca="1" si="312"/>
        <v>1.2364973027099972</v>
      </c>
      <c r="AY240" s="41">
        <f t="shared" ca="1" si="313"/>
        <v>1.6655864329219434</v>
      </c>
      <c r="AZ240" s="41">
        <f t="shared" si="314"/>
        <v>0.18257797167354342</v>
      </c>
    </row>
    <row r="241" spans="1:52" ht="14.5">
      <c r="A241" s="41">
        <f t="shared" ca="1" si="315"/>
        <v>1245.585984684365</v>
      </c>
      <c r="B241" s="41">
        <f t="shared" ca="1" si="316"/>
        <v>20.759766411406083</v>
      </c>
      <c r="C241" s="41">
        <f t="shared" ca="1" si="316"/>
        <v>0.34599610685676807</v>
      </c>
      <c r="D241" s="41">
        <f t="shared" ca="1" si="317"/>
        <v>10486.864017718355</v>
      </c>
      <c r="E241" s="41">
        <f t="shared" ca="1" si="318"/>
        <v>56.515737786984069</v>
      </c>
      <c r="F241" s="41">
        <f t="shared" ca="1" si="319"/>
        <v>56.075737918157422</v>
      </c>
      <c r="G241" s="41"/>
      <c r="H241" s="7">
        <f t="shared" si="320"/>
        <v>3000</v>
      </c>
      <c r="I241" s="6">
        <v>15</v>
      </c>
      <c r="J241" s="41">
        <f t="shared" si="279"/>
        <v>0.24732368472035268</v>
      </c>
      <c r="K241" s="41">
        <f t="shared" si="280"/>
        <v>280.43007840265443</v>
      </c>
      <c r="L241" s="6">
        <f t="shared" si="321"/>
        <v>155</v>
      </c>
      <c r="M241" s="41">
        <f t="shared" si="281"/>
        <v>166.15033457231831</v>
      </c>
      <c r="N241" s="41">
        <f t="shared" si="282"/>
        <v>81.211014356305881</v>
      </c>
      <c r="O241" s="41">
        <f t="shared" si="283"/>
        <v>1513105.3130480214</v>
      </c>
      <c r="P241" s="41">
        <f t="shared" si="284"/>
        <v>9715199.3449142762</v>
      </c>
      <c r="Q241" s="41">
        <f t="shared" si="285"/>
        <v>3.0004970951086601E-3</v>
      </c>
      <c r="R241" s="41">
        <f t="shared" si="286"/>
        <v>2.0123927738066247E-2</v>
      </c>
      <c r="S241" s="24">
        <f t="shared" ca="1" si="322"/>
        <v>-6.2113668839719505E-16</v>
      </c>
      <c r="T241" s="10">
        <f t="shared" ca="1" si="287"/>
        <v>-6.2113668839719505E-16</v>
      </c>
      <c r="U241" s="41">
        <f t="shared" ca="1" si="288"/>
        <v>0.56143937257768262</v>
      </c>
      <c r="V241" s="41">
        <f t="shared" ca="1" si="289"/>
        <v>4.0031821841936731E-2</v>
      </c>
      <c r="W241" s="41">
        <f t="shared" ca="1" si="290"/>
        <v>14.024826918807058</v>
      </c>
      <c r="X241" s="20">
        <f t="shared" ca="1" si="291"/>
        <v>747.73571741235878</v>
      </c>
      <c r="Y241" s="41">
        <f t="shared" si="292"/>
        <v>0.56447742652663724</v>
      </c>
      <c r="Z241" s="41">
        <f t="shared" ca="1" si="293"/>
        <v>135.63457325548646</v>
      </c>
      <c r="AA241" s="14">
        <f t="shared" ca="1" si="294"/>
        <v>747.73571741235867</v>
      </c>
      <c r="AB241" s="14">
        <f t="shared" si="295"/>
        <v>5628.3916222821908</v>
      </c>
      <c r="AC241" s="25">
        <f t="shared" ca="1" si="296"/>
        <v>209687.58585841279</v>
      </c>
      <c r="AD241" s="41">
        <f t="shared" si="297"/>
        <v>1578370.303917438</v>
      </c>
      <c r="AE241" s="5">
        <f t="shared" ca="1" si="298"/>
        <v>13.285069120850693</v>
      </c>
      <c r="AF241" s="7">
        <f t="shared" ca="1" si="299"/>
        <v>747.73571741235867</v>
      </c>
      <c r="AG241" s="41"/>
      <c r="AH241" s="41"/>
      <c r="AI241" s="41">
        <f t="shared" ca="1" si="300"/>
        <v>612.30371423040413</v>
      </c>
      <c r="AJ241" s="13">
        <f t="shared" ca="1" si="301"/>
        <v>-3.0401089173805351E-15</v>
      </c>
      <c r="AK241" s="11"/>
      <c r="AL241" s="6">
        <v>0</v>
      </c>
      <c r="AM241" s="6">
        <v>135</v>
      </c>
      <c r="AN241" s="41">
        <f t="shared" ca="1" si="302"/>
        <v>22.961389283640155</v>
      </c>
      <c r="AO241" s="41">
        <f t="shared" ca="1" si="303"/>
        <v>6.2306375464619368</v>
      </c>
      <c r="AP241" s="67">
        <f t="shared" si="304"/>
        <v>0.81887717808822158</v>
      </c>
      <c r="AQ241" s="11">
        <f t="shared" si="305"/>
        <v>1.0314301707183759</v>
      </c>
      <c r="AR241" s="11">
        <f t="shared" si="306"/>
        <v>0.8962407041850623</v>
      </c>
      <c r="AS241" s="11">
        <f t="shared" si="307"/>
        <v>0.86893008332386068</v>
      </c>
      <c r="AT241" s="11">
        <f t="shared" si="308"/>
        <v>534.97188664650002</v>
      </c>
      <c r="AU241" s="11">
        <f t="shared" si="309"/>
        <v>1896.6425030105124</v>
      </c>
      <c r="AV241" s="11">
        <f t="shared" si="310"/>
        <v>2.0653599150524844E-3</v>
      </c>
      <c r="AW241" s="11">
        <f t="shared" si="311"/>
        <v>3.8278171249107636E-7</v>
      </c>
      <c r="AX241" s="41">
        <f t="shared" ca="1" si="312"/>
        <v>1.2382424505356662</v>
      </c>
      <c r="AY241" s="41">
        <f t="shared" ca="1" si="313"/>
        <v>1.6679371817149307</v>
      </c>
      <c r="AZ241" s="41">
        <f t="shared" si="314"/>
        <v>0.18257797167354342</v>
      </c>
    </row>
    <row r="242" spans="1:52" ht="14.5">
      <c r="A242" s="41">
        <f t="shared" ca="1" si="315"/>
        <v>1380.585984684365</v>
      </c>
      <c r="B242" s="41">
        <f t="shared" ca="1" si="316"/>
        <v>23.009766411406083</v>
      </c>
      <c r="C242" s="41">
        <f t="shared" ca="1" si="316"/>
        <v>0.38349610685676805</v>
      </c>
      <c r="D242" s="41">
        <f t="shared" ca="1" si="317"/>
        <v>10463.902628434715</v>
      </c>
      <c r="E242" s="41">
        <f t="shared" ca="1" si="318"/>
        <v>62.746375333446004</v>
      </c>
      <c r="F242" s="41">
        <f t="shared" ca="1" si="319"/>
        <v>62.306375464619357</v>
      </c>
      <c r="G242" s="41"/>
      <c r="H242" s="7">
        <f t="shared" si="320"/>
        <v>3000</v>
      </c>
      <c r="I242" s="6">
        <v>15</v>
      </c>
      <c r="J242" s="41">
        <f t="shared" si="279"/>
        <v>0.24732368472035268</v>
      </c>
      <c r="K242" s="41">
        <f t="shared" si="280"/>
        <v>280.43007840265443</v>
      </c>
      <c r="L242" s="6">
        <f t="shared" si="321"/>
        <v>155</v>
      </c>
      <c r="M242" s="41">
        <f t="shared" si="281"/>
        <v>166.15033457231831</v>
      </c>
      <c r="N242" s="41">
        <f t="shared" si="282"/>
        <v>81.211014356305881</v>
      </c>
      <c r="O242" s="41">
        <f t="shared" si="283"/>
        <v>1513105.3130480214</v>
      </c>
      <c r="P242" s="41">
        <f t="shared" si="284"/>
        <v>9715199.3449142762</v>
      </c>
      <c r="Q242" s="41">
        <f t="shared" si="285"/>
        <v>3.0004970951086601E-3</v>
      </c>
      <c r="R242" s="41">
        <f t="shared" si="286"/>
        <v>2.0123927738066247E-2</v>
      </c>
      <c r="S242" s="24">
        <f t="shared" ca="1" si="322"/>
        <v>6.2249967521072695E-16</v>
      </c>
      <c r="T242" s="10">
        <f t="shared" ca="1" si="287"/>
        <v>6.2249967521072695E-16</v>
      </c>
      <c r="U242" s="41">
        <f t="shared" ca="1" si="288"/>
        <v>0.56021007962879543</v>
      </c>
      <c r="V242" s="41">
        <f t="shared" ca="1" si="289"/>
        <v>3.9944739092988769E-2</v>
      </c>
      <c r="W242" s="41">
        <f t="shared" ca="1" si="290"/>
        <v>14.024627331390564</v>
      </c>
      <c r="X242" s="20">
        <f t="shared" ca="1" si="291"/>
        <v>746.10913938610884</v>
      </c>
      <c r="Y242" s="41">
        <f t="shared" si="292"/>
        <v>0.56447742652663724</v>
      </c>
      <c r="Z242" s="41">
        <f t="shared" ca="1" si="293"/>
        <v>135.48600334688373</v>
      </c>
      <c r="AA242" s="14">
        <f t="shared" ca="1" si="294"/>
        <v>746.10913938610895</v>
      </c>
      <c r="AB242" s="14">
        <f t="shared" si="295"/>
        <v>5628.3916222821908</v>
      </c>
      <c r="AC242" s="25">
        <f t="shared" ca="1" si="296"/>
        <v>209231.44445498355</v>
      </c>
      <c r="AD242" s="41">
        <f t="shared" si="297"/>
        <v>1578370.303917438</v>
      </c>
      <c r="AE242" s="5">
        <f t="shared" ca="1" si="298"/>
        <v>13.256169603272522</v>
      </c>
      <c r="AF242" s="7">
        <f t="shared" ca="1" si="299"/>
        <v>746.10913938610895</v>
      </c>
      <c r="AG242" s="41"/>
      <c r="AH242" s="41"/>
      <c r="AI242" s="41">
        <f t="shared" ca="1" si="300"/>
        <v>610.97174660632845</v>
      </c>
      <c r="AJ242" s="13">
        <f t="shared" ca="1" si="301"/>
        <v>3.0467799584629461E-15</v>
      </c>
      <c r="AK242" s="11"/>
      <c r="AL242" s="6">
        <v>0</v>
      </c>
      <c r="AM242" s="6">
        <v>135</v>
      </c>
      <c r="AN242" s="41">
        <f t="shared" ca="1" si="302"/>
        <v>22.911440497737317</v>
      </c>
      <c r="AO242" s="41">
        <f t="shared" ca="1" si="303"/>
        <v>6.2306375464619368</v>
      </c>
      <c r="AP242" s="67">
        <f t="shared" si="304"/>
        <v>0.81887717808822158</v>
      </c>
      <c r="AQ242" s="11">
        <f t="shared" si="305"/>
        <v>1.0314301707183759</v>
      </c>
      <c r="AR242" s="11">
        <f t="shared" si="306"/>
        <v>0.8962407041850623</v>
      </c>
      <c r="AS242" s="11">
        <f t="shared" si="307"/>
        <v>0.86893008332386068</v>
      </c>
      <c r="AT242" s="11">
        <f t="shared" si="308"/>
        <v>534.97188664650002</v>
      </c>
      <c r="AU242" s="11">
        <f t="shared" si="309"/>
        <v>1896.6425030105124</v>
      </c>
      <c r="AV242" s="11">
        <f t="shared" si="310"/>
        <v>2.0653599150524844E-3</v>
      </c>
      <c r="AW242" s="11">
        <f t="shared" si="311"/>
        <v>3.8278171249107636E-7</v>
      </c>
      <c r="AX242" s="41">
        <f t="shared" ca="1" si="312"/>
        <v>1.2399940662202231</v>
      </c>
      <c r="AY242" s="41">
        <f t="shared" ca="1" si="313"/>
        <v>1.6702966428423405</v>
      </c>
      <c r="AZ242" s="41">
        <f t="shared" si="314"/>
        <v>0.18257797167354342</v>
      </c>
    </row>
    <row r="243" spans="1:52" ht="14.5">
      <c r="A243" s="41">
        <f t="shared" ca="1" si="315"/>
        <v>1515.585984684365</v>
      </c>
      <c r="B243" s="41">
        <f t="shared" ca="1" si="316"/>
        <v>25.259766411406083</v>
      </c>
      <c r="C243" s="41">
        <f t="shared" ca="1" si="316"/>
        <v>0.42099610685676808</v>
      </c>
      <c r="D243" s="41">
        <f t="shared" ca="1" si="317"/>
        <v>10440.991187936977</v>
      </c>
      <c r="E243" s="41">
        <f t="shared" ca="1" si="318"/>
        <v>68.977012879907946</v>
      </c>
      <c r="F243" s="41">
        <f t="shared" ca="1" si="319"/>
        <v>68.537013011081299</v>
      </c>
      <c r="G243" s="41"/>
      <c r="H243" s="7">
        <f t="shared" si="320"/>
        <v>3000</v>
      </c>
      <c r="I243" s="6">
        <v>15</v>
      </c>
      <c r="J243" s="41">
        <f t="shared" si="279"/>
        <v>0.24732368472035268</v>
      </c>
      <c r="K243" s="41">
        <f t="shared" si="280"/>
        <v>280.43007840265443</v>
      </c>
      <c r="L243" s="6">
        <f t="shared" si="321"/>
        <v>155</v>
      </c>
      <c r="M243" s="41">
        <f t="shared" si="281"/>
        <v>166.15033457231831</v>
      </c>
      <c r="N243" s="41">
        <f t="shared" si="282"/>
        <v>81.211014356305881</v>
      </c>
      <c r="O243" s="41">
        <f t="shared" si="283"/>
        <v>1513105.3130480214</v>
      </c>
      <c r="P243" s="41">
        <f t="shared" si="284"/>
        <v>9715199.3449142762</v>
      </c>
      <c r="Q243" s="41">
        <f t="shared" si="285"/>
        <v>3.0004970951086601E-3</v>
      </c>
      <c r="R243" s="41">
        <f t="shared" si="286"/>
        <v>2.0123927738066247E-2</v>
      </c>
      <c r="S243" s="24">
        <f t="shared" ca="1" si="322"/>
        <v>-6.2386567236671821E-16</v>
      </c>
      <c r="T243" s="10">
        <f t="shared" ca="1" si="287"/>
        <v>-6.2386567236671821E-16</v>
      </c>
      <c r="U243" s="41">
        <f t="shared" ca="1" si="288"/>
        <v>0.55898346080774786</v>
      </c>
      <c r="V243" s="41">
        <f t="shared" ca="1" si="289"/>
        <v>3.9858036036049219E-2</v>
      </c>
      <c r="W243" s="41">
        <f t="shared" ca="1" si="290"/>
        <v>14.024360364925673</v>
      </c>
      <c r="X243" s="20">
        <f t="shared" ca="1" si="291"/>
        <v>744.48965344968258</v>
      </c>
      <c r="Y243" s="41">
        <f t="shared" si="292"/>
        <v>0.56447742652663724</v>
      </c>
      <c r="Z243" s="41">
        <f t="shared" ca="1" si="293"/>
        <v>135.33759406398354</v>
      </c>
      <c r="AA243" s="14">
        <f t="shared" ca="1" si="294"/>
        <v>744.48965344968246</v>
      </c>
      <c r="AB243" s="14">
        <f t="shared" si="295"/>
        <v>5628.3916222821908</v>
      </c>
      <c r="AC243" s="25">
        <f t="shared" ca="1" si="296"/>
        <v>208777.29188685949</v>
      </c>
      <c r="AD243" s="41">
        <f t="shared" si="297"/>
        <v>1578370.303917438</v>
      </c>
      <c r="AE243" s="5">
        <f t="shared" ca="1" si="298"/>
        <v>13.22739609131548</v>
      </c>
      <c r="AF243" s="7">
        <f t="shared" ca="1" si="299"/>
        <v>744.48965344968246</v>
      </c>
      <c r="AG243" s="41"/>
      <c r="AH243" s="41"/>
      <c r="AI243" s="41">
        <f t="shared" ca="1" si="300"/>
        <v>609.64558653275401</v>
      </c>
      <c r="AJ243" s="13">
        <f t="shared" ca="1" si="301"/>
        <v>-3.0534657334503513E-15</v>
      </c>
      <c r="AK243" s="11"/>
      <c r="AL243" s="6">
        <v>0</v>
      </c>
      <c r="AM243" s="6">
        <v>135</v>
      </c>
      <c r="AN243" s="41">
        <f t="shared" ca="1" si="302"/>
        <v>22.861709494978275</v>
      </c>
      <c r="AO243" s="41">
        <f t="shared" ca="1" si="303"/>
        <v>6.2306375464619368</v>
      </c>
      <c r="AP243" s="67">
        <f t="shared" si="304"/>
        <v>0.81887717808822158</v>
      </c>
      <c r="AQ243" s="11">
        <f t="shared" si="305"/>
        <v>1.0314301707183759</v>
      </c>
      <c r="AR243" s="11">
        <f t="shared" si="306"/>
        <v>0.8962407041850623</v>
      </c>
      <c r="AS243" s="11">
        <f t="shared" si="307"/>
        <v>0.86893008332386068</v>
      </c>
      <c r="AT243" s="11">
        <f t="shared" si="308"/>
        <v>534.97188664650002</v>
      </c>
      <c r="AU243" s="11">
        <f t="shared" si="309"/>
        <v>1896.6425030105124</v>
      </c>
      <c r="AV243" s="11">
        <f t="shared" si="310"/>
        <v>2.0653599150524844E-3</v>
      </c>
      <c r="AW243" s="11">
        <f t="shared" si="311"/>
        <v>3.8278171249107636E-7</v>
      </c>
      <c r="AX243" s="41">
        <f t="shared" ca="1" si="312"/>
        <v>1.241752163413218</v>
      </c>
      <c r="AY243" s="41">
        <f t="shared" ca="1" si="313"/>
        <v>1.6726648346903878</v>
      </c>
      <c r="AZ243" s="41">
        <f t="shared" si="314"/>
        <v>0.18257797167354342</v>
      </c>
    </row>
    <row r="244" spans="1:52" ht="14.5">
      <c r="A244" s="41">
        <f t="shared" ca="1" si="315"/>
        <v>1650.585984684365</v>
      </c>
      <c r="B244" s="41">
        <f t="shared" ca="1" si="316"/>
        <v>27.509766411406083</v>
      </c>
      <c r="C244" s="41">
        <f t="shared" ca="1" si="316"/>
        <v>0.45849610685676806</v>
      </c>
      <c r="D244" s="41">
        <f t="shared" ca="1" si="317"/>
        <v>10418.129478441999</v>
      </c>
      <c r="E244" s="41">
        <f t="shared" ca="1" si="318"/>
        <v>75.207650426369881</v>
      </c>
      <c r="F244" s="41">
        <f t="shared" ca="1" si="319"/>
        <v>74.767650557543234</v>
      </c>
      <c r="G244" s="41"/>
      <c r="H244" s="7">
        <f t="shared" si="320"/>
        <v>3000</v>
      </c>
      <c r="I244" s="6">
        <v>15</v>
      </c>
      <c r="J244" s="41">
        <f t="shared" si="279"/>
        <v>0.24732368472035268</v>
      </c>
      <c r="K244" s="41">
        <f t="shared" si="280"/>
        <v>280.43007840265443</v>
      </c>
      <c r="L244" s="6">
        <f t="shared" si="321"/>
        <v>155</v>
      </c>
      <c r="M244" s="41">
        <f t="shared" si="281"/>
        <v>166.15033457231831</v>
      </c>
      <c r="N244" s="41">
        <f t="shared" si="282"/>
        <v>81.211014356305881</v>
      </c>
      <c r="O244" s="41">
        <f t="shared" si="283"/>
        <v>1513105.3130480214</v>
      </c>
      <c r="P244" s="41">
        <f t="shared" si="284"/>
        <v>9715199.3449142762</v>
      </c>
      <c r="Q244" s="41">
        <f t="shared" si="285"/>
        <v>3.0004970951086601E-3</v>
      </c>
      <c r="R244" s="41">
        <f t="shared" si="286"/>
        <v>2.0123927738066247E-2</v>
      </c>
      <c r="S244" s="24">
        <f t="shared" ca="1" si="322"/>
        <v>-6.2523469314871666E-16</v>
      </c>
      <c r="T244" s="10">
        <f t="shared" ca="1" si="287"/>
        <v>-6.2523469314871666E-16</v>
      </c>
      <c r="U244" s="41">
        <f t="shared" ca="1" si="288"/>
        <v>0.55775950445499767</v>
      </c>
      <c r="V244" s="41">
        <f t="shared" ca="1" si="289"/>
        <v>3.97717106066982E-2</v>
      </c>
      <c r="W244" s="41">
        <f t="shared" ca="1" si="290"/>
        <v>14.024026021175512</v>
      </c>
      <c r="X244" s="20">
        <f t="shared" ca="1" si="291"/>
        <v>742.8772210427444</v>
      </c>
      <c r="Y244" s="41">
        <f t="shared" si="292"/>
        <v>0.56447742652663724</v>
      </c>
      <c r="Z244" s="41">
        <f t="shared" ca="1" si="293"/>
        <v>135.18934452276926</v>
      </c>
      <c r="AA244" s="14">
        <f t="shared" ca="1" si="294"/>
        <v>742.87722104274428</v>
      </c>
      <c r="AB244" s="14">
        <f t="shared" si="295"/>
        <v>5628.3916222821908</v>
      </c>
      <c r="AC244" s="25">
        <f t="shared" ca="1" si="296"/>
        <v>208325.11734056284</v>
      </c>
      <c r="AD244" s="41">
        <f t="shared" si="297"/>
        <v>1578370.303917438</v>
      </c>
      <c r="AE244" s="5">
        <f t="shared" ca="1" si="298"/>
        <v>13.19874789987559</v>
      </c>
      <c r="AF244" s="7">
        <f t="shared" ca="1" si="299"/>
        <v>742.87722104274428</v>
      </c>
      <c r="AG244" s="41"/>
      <c r="AH244" s="41"/>
      <c r="AI244" s="41">
        <f t="shared" ca="1" si="300"/>
        <v>608.32520243350245</v>
      </c>
      <c r="AJ244" s="13">
        <f t="shared" ca="1" si="301"/>
        <v>-3.0601663073581211E-15</v>
      </c>
      <c r="AK244" s="11"/>
      <c r="AL244" s="6">
        <v>0</v>
      </c>
      <c r="AM244" s="6">
        <v>135</v>
      </c>
      <c r="AN244" s="41">
        <f t="shared" ca="1" si="302"/>
        <v>22.812195091256342</v>
      </c>
      <c r="AO244" s="41">
        <f t="shared" ca="1" si="303"/>
        <v>6.2306375464619368</v>
      </c>
      <c r="AP244" s="67">
        <f t="shared" si="304"/>
        <v>0.81887717808822158</v>
      </c>
      <c r="AQ244" s="11">
        <f t="shared" si="305"/>
        <v>1.0314301707183759</v>
      </c>
      <c r="AR244" s="11">
        <f t="shared" si="306"/>
        <v>0.8962407041850623</v>
      </c>
      <c r="AS244" s="11">
        <f t="shared" si="307"/>
        <v>0.86893008332386068</v>
      </c>
      <c r="AT244" s="11">
        <f t="shared" si="308"/>
        <v>534.97188664650002</v>
      </c>
      <c r="AU244" s="11">
        <f t="shared" si="309"/>
        <v>1896.6425030105124</v>
      </c>
      <c r="AV244" s="11">
        <f t="shared" si="310"/>
        <v>2.0653599150524844E-3</v>
      </c>
      <c r="AW244" s="11">
        <f t="shared" si="311"/>
        <v>3.8278171249107636E-7</v>
      </c>
      <c r="AX244" s="41">
        <f t="shared" ca="1" si="312"/>
        <v>1.2435167559442515</v>
      </c>
      <c r="AY244" s="41">
        <f t="shared" ca="1" si="313"/>
        <v>1.6750417758878196</v>
      </c>
      <c r="AZ244" s="41">
        <f t="shared" si="314"/>
        <v>0.18257797167354342</v>
      </c>
    </row>
    <row r="245" spans="1:52" ht="14.5">
      <c r="A245" s="41">
        <f t="shared" ca="1" si="315"/>
        <v>1785.585984684365</v>
      </c>
      <c r="B245" s="41">
        <f t="shared" ca="1" si="316"/>
        <v>29.759766411406083</v>
      </c>
      <c r="C245" s="41">
        <f t="shared" ca="1" si="316"/>
        <v>0.49599610685676804</v>
      </c>
      <c r="D245" s="41">
        <f t="shared" ca="1" si="317"/>
        <v>10395.317283350743</v>
      </c>
      <c r="E245" s="41">
        <f t="shared" ca="1" si="318"/>
        <v>81.438287972831816</v>
      </c>
      <c r="F245" s="41">
        <f t="shared" ca="1" si="319"/>
        <v>80.998288104005169</v>
      </c>
      <c r="G245" s="41"/>
      <c r="H245" s="7">
        <f t="shared" si="320"/>
        <v>3000</v>
      </c>
      <c r="I245" s="6">
        <v>15</v>
      </c>
      <c r="J245" s="41">
        <f t="shared" si="279"/>
        <v>0.24732368472035268</v>
      </c>
      <c r="K245" s="41">
        <f t="shared" si="280"/>
        <v>280.43007840265443</v>
      </c>
      <c r="L245" s="6">
        <f t="shared" si="321"/>
        <v>155</v>
      </c>
      <c r="M245" s="41">
        <f t="shared" si="281"/>
        <v>166.15033457231831</v>
      </c>
      <c r="N245" s="41">
        <f t="shared" si="282"/>
        <v>81.211014356305881</v>
      </c>
      <c r="O245" s="41">
        <f t="shared" si="283"/>
        <v>1513105.3130480214</v>
      </c>
      <c r="P245" s="41">
        <f t="shared" si="284"/>
        <v>9715199.3449142762</v>
      </c>
      <c r="Q245" s="41">
        <f t="shared" si="285"/>
        <v>3.0004970951086601E-3</v>
      </c>
      <c r="R245" s="41">
        <f t="shared" si="286"/>
        <v>2.0123927738066247E-2</v>
      </c>
      <c r="S245" s="24">
        <f t="shared" ca="1" si="322"/>
        <v>6.2660675091368486E-16</v>
      </c>
      <c r="T245" s="10">
        <f t="shared" ca="1" si="287"/>
        <v>6.2660675091368486E-16</v>
      </c>
      <c r="U245" s="41">
        <f t="shared" ca="1" si="288"/>
        <v>0.55653819897439682</v>
      </c>
      <c r="V245" s="41">
        <f t="shared" ca="1" si="289"/>
        <v>3.9685760754876759E-2</v>
      </c>
      <c r="W245" s="41">
        <f t="shared" ca="1" si="290"/>
        <v>14.023624302225503</v>
      </c>
      <c r="X245" s="20">
        <f t="shared" ca="1" si="291"/>
        <v>741.27180387319993</v>
      </c>
      <c r="Y245" s="41">
        <f t="shared" si="292"/>
        <v>0.56447742652663724</v>
      </c>
      <c r="Z245" s="41">
        <f t="shared" ca="1" si="293"/>
        <v>135.04125384246447</v>
      </c>
      <c r="AA245" s="14">
        <f t="shared" ca="1" si="294"/>
        <v>741.27180387319993</v>
      </c>
      <c r="AB245" s="14">
        <f t="shared" si="295"/>
        <v>5628.3916222821908</v>
      </c>
      <c r="AC245" s="25">
        <f t="shared" ca="1" si="296"/>
        <v>207874.91007783855</v>
      </c>
      <c r="AD245" s="41">
        <f t="shared" si="297"/>
        <v>1578370.303917438</v>
      </c>
      <c r="AE245" s="5">
        <f t="shared" ca="1" si="298"/>
        <v>13.170224348614717</v>
      </c>
      <c r="AF245" s="7">
        <f t="shared" ca="1" si="299"/>
        <v>741.27180387320004</v>
      </c>
      <c r="AG245" s="41"/>
      <c r="AH245" s="41"/>
      <c r="AI245" s="41">
        <f t="shared" ca="1" si="300"/>
        <v>607.01056295205171</v>
      </c>
      <c r="AJ245" s="13">
        <f t="shared" ca="1" si="301"/>
        <v>3.0668817455609495E-15</v>
      </c>
      <c r="AK245" s="11"/>
      <c r="AL245" s="6">
        <v>0</v>
      </c>
      <c r="AM245" s="6">
        <v>135</v>
      </c>
      <c r="AN245" s="41">
        <f t="shared" ca="1" si="302"/>
        <v>22.762896110701938</v>
      </c>
      <c r="AO245" s="41">
        <f t="shared" ca="1" si="303"/>
        <v>6.2306375464619368</v>
      </c>
      <c r="AP245" s="67">
        <f t="shared" si="304"/>
        <v>0.81887717808822158</v>
      </c>
      <c r="AQ245" s="11">
        <f t="shared" si="305"/>
        <v>1.0314301707183759</v>
      </c>
      <c r="AR245" s="11">
        <f t="shared" si="306"/>
        <v>0.8962407041850623</v>
      </c>
      <c r="AS245" s="11">
        <f t="shared" si="307"/>
        <v>0.86893008332386068</v>
      </c>
      <c r="AT245" s="11">
        <f t="shared" si="308"/>
        <v>534.97188664650002</v>
      </c>
      <c r="AU245" s="11">
        <f t="shared" si="309"/>
        <v>1896.6425030105124</v>
      </c>
      <c r="AV245" s="11">
        <f t="shared" si="310"/>
        <v>2.0653599150524844E-3</v>
      </c>
      <c r="AW245" s="11">
        <f t="shared" si="311"/>
        <v>3.8278171249107636E-7</v>
      </c>
      <c r="AX245" s="41">
        <f t="shared" ca="1" si="312"/>
        <v>1.2452878578233038</v>
      </c>
      <c r="AY245" s="41">
        <f t="shared" ca="1" si="313"/>
        <v>1.6774274853063575</v>
      </c>
      <c r="AZ245" s="41">
        <f t="shared" si="314"/>
        <v>0.18257797167354342</v>
      </c>
    </row>
    <row r="246" spans="1:52" ht="14.5">
      <c r="A246" s="41">
        <f t="shared" ca="1" si="315"/>
        <v>1920.585984684365</v>
      </c>
      <c r="B246" s="41">
        <f t="shared" ca="1" si="316"/>
        <v>32.009766411406083</v>
      </c>
      <c r="C246" s="41">
        <f t="shared" ca="1" si="316"/>
        <v>0.53349610685676807</v>
      </c>
      <c r="D246" s="41">
        <f t="shared" ca="1" si="317"/>
        <v>10372.554387240041</v>
      </c>
      <c r="E246" s="41">
        <f t="shared" ca="1" si="318"/>
        <v>87.668925519293751</v>
      </c>
      <c r="F246" s="41">
        <f t="shared" ca="1" si="319"/>
        <v>87.228925650467104</v>
      </c>
      <c r="G246" s="41"/>
      <c r="H246" s="7">
        <f t="shared" si="320"/>
        <v>3000</v>
      </c>
      <c r="I246" s="6">
        <v>15</v>
      </c>
      <c r="J246" s="41">
        <f t="shared" si="279"/>
        <v>0.24732368472035268</v>
      </c>
      <c r="K246" s="41">
        <f t="shared" si="280"/>
        <v>280.43007840265443</v>
      </c>
      <c r="L246" s="6">
        <f t="shared" si="321"/>
        <v>155</v>
      </c>
      <c r="M246" s="41">
        <f t="shared" si="281"/>
        <v>166.15033457231831</v>
      </c>
      <c r="N246" s="41">
        <f t="shared" si="282"/>
        <v>81.211014356305881</v>
      </c>
      <c r="O246" s="41">
        <f t="shared" si="283"/>
        <v>1513105.3130480214</v>
      </c>
      <c r="P246" s="41">
        <f t="shared" si="284"/>
        <v>9715199.3449142762</v>
      </c>
      <c r="Q246" s="41">
        <f t="shared" si="285"/>
        <v>3.0004970951086601E-3</v>
      </c>
      <c r="R246" s="41">
        <f t="shared" si="286"/>
        <v>2.0123927738066247E-2</v>
      </c>
      <c r="S246" s="24">
        <f t="shared" ca="1" si="322"/>
        <v>0</v>
      </c>
      <c r="T246" s="10">
        <f t="shared" ca="1" si="287"/>
        <v>0</v>
      </c>
      <c r="U246" s="41">
        <f t="shared" ca="1" si="288"/>
        <v>0.55531953283275048</v>
      </c>
      <c r="V246" s="41">
        <f t="shared" ca="1" si="289"/>
        <v>3.9600184444768018E-2</v>
      </c>
      <c r="W246" s="41">
        <f t="shared" ca="1" si="290"/>
        <v>14.023155210483354</v>
      </c>
      <c r="X246" s="20">
        <f t="shared" ca="1" si="291"/>
        <v>739.67336391497577</v>
      </c>
      <c r="Y246" s="41">
        <f t="shared" si="292"/>
        <v>0.56447742652663724</v>
      </c>
      <c r="Z246" s="41">
        <f t="shared" ca="1" si="293"/>
        <v>134.89332114550768</v>
      </c>
      <c r="AA246" s="14">
        <f t="shared" ca="1" si="294"/>
        <v>739.67336391497565</v>
      </c>
      <c r="AB246" s="14">
        <f t="shared" si="295"/>
        <v>5628.3916222821908</v>
      </c>
      <c r="AC246" s="25">
        <f t="shared" ca="1" si="296"/>
        <v>207426.65943503176</v>
      </c>
      <c r="AD246" s="41">
        <f t="shared" si="297"/>
        <v>1578370.303917438</v>
      </c>
      <c r="AE246" s="5">
        <f t="shared" ca="1" si="298"/>
        <v>13.141824761921136</v>
      </c>
      <c r="AF246" s="7">
        <f t="shared" ca="1" si="299"/>
        <v>739.67336391497577</v>
      </c>
      <c r="AG246" s="41"/>
      <c r="AH246" s="41"/>
      <c r="AI246" s="41">
        <f t="shared" ca="1" si="300"/>
        <v>605.70163694971757</v>
      </c>
      <c r="AJ246" s="13">
        <f t="shared" ca="1" si="301"/>
        <v>0</v>
      </c>
      <c r="AK246" s="11"/>
      <c r="AL246" s="6">
        <v>0</v>
      </c>
      <c r="AM246" s="6">
        <v>135</v>
      </c>
      <c r="AN246" s="41">
        <f t="shared" ca="1" si="302"/>
        <v>22.713811385614409</v>
      </c>
      <c r="AO246" s="41">
        <f t="shared" ca="1" si="303"/>
        <v>6.2306375464619368</v>
      </c>
      <c r="AP246" s="67">
        <f t="shared" si="304"/>
        <v>0.81887717808822158</v>
      </c>
      <c r="AQ246" s="11">
        <f t="shared" si="305"/>
        <v>1.0314301707183759</v>
      </c>
      <c r="AR246" s="11">
        <f t="shared" si="306"/>
        <v>0.8962407041850623</v>
      </c>
      <c r="AS246" s="11">
        <f t="shared" si="307"/>
        <v>0.86893008332386068</v>
      </c>
      <c r="AT246" s="11">
        <f t="shared" si="308"/>
        <v>534.97188664650002</v>
      </c>
      <c r="AU246" s="11">
        <f t="shared" si="309"/>
        <v>1896.6425030105124</v>
      </c>
      <c r="AV246" s="11">
        <f t="shared" si="310"/>
        <v>2.0653599150524844E-3</v>
      </c>
      <c r="AW246" s="11">
        <f t="shared" si="311"/>
        <v>3.8278171249107636E-7</v>
      </c>
      <c r="AX246" s="41">
        <f t="shared" ca="1" si="312"/>
        <v>1.247065483241071</v>
      </c>
      <c r="AY246" s="41">
        <f t="shared" ca="1" si="313"/>
        <v>1.6798219820611515</v>
      </c>
      <c r="AZ246" s="41">
        <f t="shared" si="314"/>
        <v>0.18257797167354342</v>
      </c>
    </row>
    <row r="247" spans="1:52" ht="14.5">
      <c r="A247" s="41">
        <f t="shared" ca="1" si="315"/>
        <v>2055.585984684365</v>
      </c>
      <c r="B247" s="41">
        <f t="shared" ca="1" si="316"/>
        <v>34.259766411406083</v>
      </c>
      <c r="C247" s="41">
        <f t="shared" ca="1" si="316"/>
        <v>0.57099610685676805</v>
      </c>
      <c r="D247" s="41">
        <f t="shared" ca="1" si="317"/>
        <v>10349.840575854427</v>
      </c>
      <c r="E247" s="41">
        <f t="shared" ca="1" si="318"/>
        <v>93.899563065755686</v>
      </c>
      <c r="F247" s="41">
        <f t="shared" ca="1" si="319"/>
        <v>93.459563196929039</v>
      </c>
      <c r="G247" s="41"/>
      <c r="H247" s="7">
        <f t="shared" si="320"/>
        <v>3000</v>
      </c>
      <c r="I247" s="6">
        <v>15</v>
      </c>
      <c r="J247" s="41">
        <f t="shared" si="279"/>
        <v>0.24732368472035268</v>
      </c>
      <c r="K247" s="41">
        <f t="shared" si="280"/>
        <v>280.43007840265443</v>
      </c>
      <c r="L247" s="6">
        <f t="shared" si="321"/>
        <v>155</v>
      </c>
      <c r="M247" s="41">
        <f t="shared" si="281"/>
        <v>166.15033457231831</v>
      </c>
      <c r="N247" s="41">
        <f t="shared" si="282"/>
        <v>81.211014356305881</v>
      </c>
      <c r="O247" s="41">
        <f t="shared" si="283"/>
        <v>1513105.3130480214</v>
      </c>
      <c r="P247" s="41">
        <f t="shared" si="284"/>
        <v>9715199.3449142762</v>
      </c>
      <c r="Q247" s="41">
        <f t="shared" si="285"/>
        <v>3.0004970951086601E-3</v>
      </c>
      <c r="R247" s="41">
        <f t="shared" si="286"/>
        <v>2.0123927738066247E-2</v>
      </c>
      <c r="S247" s="24">
        <f t="shared" ca="1" si="322"/>
        <v>0</v>
      </c>
      <c r="T247" s="10">
        <f t="shared" ca="1" si="287"/>
        <v>0</v>
      </c>
      <c r="U247" s="41">
        <f t="shared" ca="1" si="288"/>
        <v>0.55410349455937902</v>
      </c>
      <c r="V247" s="41">
        <f t="shared" ca="1" si="289"/>
        <v>3.9514979654679441E-2</v>
      </c>
      <c r="W247" s="41">
        <f t="shared" ca="1" si="290"/>
        <v>14.022618748679047</v>
      </c>
      <c r="X247" s="20">
        <f t="shared" ca="1" si="291"/>
        <v>738.08186340582051</v>
      </c>
      <c r="Y247" s="41">
        <f t="shared" si="292"/>
        <v>0.56447742652663724</v>
      </c>
      <c r="Z247" s="41">
        <f t="shared" ca="1" si="293"/>
        <v>134.74554555752698</v>
      </c>
      <c r="AA247" s="14">
        <f t="shared" ca="1" si="294"/>
        <v>738.08186340582051</v>
      </c>
      <c r="AB247" s="14">
        <f t="shared" si="295"/>
        <v>5628.3916222821908</v>
      </c>
      <c r="AC247" s="25">
        <f t="shared" ca="1" si="296"/>
        <v>206980.35482247153</v>
      </c>
      <c r="AD247" s="41">
        <f t="shared" si="297"/>
        <v>1578370.303917438</v>
      </c>
      <c r="AE247" s="5">
        <f t="shared" ca="1" si="298"/>
        <v>13.113548468870478</v>
      </c>
      <c r="AF247" s="7">
        <f t="shared" ca="1" si="299"/>
        <v>738.08186340582051</v>
      </c>
      <c r="AG247" s="41"/>
      <c r="AH247" s="41"/>
      <c r="AI247" s="41">
        <f t="shared" ca="1" si="300"/>
        <v>604.39839350385455</v>
      </c>
      <c r="AJ247" s="13">
        <f t="shared" ca="1" si="301"/>
        <v>0</v>
      </c>
      <c r="AK247" s="11"/>
      <c r="AL247" s="6">
        <v>0</v>
      </c>
      <c r="AM247" s="6">
        <v>135</v>
      </c>
      <c r="AN247" s="41">
        <f t="shared" ca="1" si="302"/>
        <v>22.664939756394546</v>
      </c>
      <c r="AO247" s="41">
        <f t="shared" ca="1" si="303"/>
        <v>6.2306375464619368</v>
      </c>
      <c r="AP247" s="67">
        <f t="shared" si="304"/>
        <v>0.81887717808822158</v>
      </c>
      <c r="AQ247" s="11">
        <f t="shared" si="305"/>
        <v>1.0314301707183759</v>
      </c>
      <c r="AR247" s="11">
        <f t="shared" si="306"/>
        <v>0.8962407041850623</v>
      </c>
      <c r="AS247" s="11">
        <f t="shared" si="307"/>
        <v>0.86893008332386068</v>
      </c>
      <c r="AT247" s="11">
        <f t="shared" si="308"/>
        <v>534.97188664650002</v>
      </c>
      <c r="AU247" s="11">
        <f t="shared" si="309"/>
        <v>1896.6425030105124</v>
      </c>
      <c r="AV247" s="11">
        <f t="shared" si="310"/>
        <v>2.0653599150524844E-3</v>
      </c>
      <c r="AW247" s="11">
        <f t="shared" si="311"/>
        <v>3.8278171249107636E-7</v>
      </c>
      <c r="AX247" s="41">
        <f t="shared" ca="1" si="312"/>
        <v>1.2488496465693149</v>
      </c>
      <c r="AY247" s="41">
        <f t="shared" ca="1" si="313"/>
        <v>1.6822252855112494</v>
      </c>
      <c r="AZ247" s="41">
        <f t="shared" si="314"/>
        <v>0.18257797167354342</v>
      </c>
    </row>
    <row r="248" spans="1:52" ht="14.5">
      <c r="A248" s="41">
        <f t="shared" ca="1" si="315"/>
        <v>2190.585984684365</v>
      </c>
      <c r="B248" s="41">
        <f t="shared" ca="1" si="316"/>
        <v>36.509766411406083</v>
      </c>
      <c r="C248" s="41">
        <f t="shared" ca="1" si="316"/>
        <v>0.60849610685676803</v>
      </c>
      <c r="D248" s="41">
        <f t="shared" ca="1" si="317"/>
        <v>10327.175636098033</v>
      </c>
      <c r="E248" s="41">
        <f t="shared" ca="1" si="318"/>
        <v>100.13020061221762</v>
      </c>
      <c r="F248" s="41">
        <f t="shared" ca="1" si="319"/>
        <v>99.690200743390974</v>
      </c>
      <c r="G248" s="41"/>
      <c r="H248" s="7">
        <f t="shared" si="320"/>
        <v>3000</v>
      </c>
      <c r="I248" s="6">
        <v>15</v>
      </c>
      <c r="J248" s="41">
        <f t="shared" si="279"/>
        <v>0.24732368472035268</v>
      </c>
      <c r="K248" s="41">
        <f t="shared" si="280"/>
        <v>280.43007840265443</v>
      </c>
      <c r="L248" s="6">
        <f t="shared" si="321"/>
        <v>155</v>
      </c>
      <c r="M248" s="41">
        <f t="shared" si="281"/>
        <v>166.15033457231831</v>
      </c>
      <c r="N248" s="41">
        <f t="shared" si="282"/>
        <v>81.211014356305881</v>
      </c>
      <c r="O248" s="41">
        <f t="shared" si="283"/>
        <v>1513105.3130480214</v>
      </c>
      <c r="P248" s="41">
        <f t="shared" si="284"/>
        <v>9715199.3449142762</v>
      </c>
      <c r="Q248" s="41">
        <f t="shared" si="285"/>
        <v>3.0004970951086601E-3</v>
      </c>
      <c r="R248" s="41">
        <f t="shared" si="286"/>
        <v>2.0123927738066247E-2</v>
      </c>
      <c r="S248" s="24">
        <f t="shared" ca="1" si="322"/>
        <v>-6.3074128078821122E-16</v>
      </c>
      <c r="T248" s="10">
        <f t="shared" ca="1" si="287"/>
        <v>-6.3074128078821122E-16</v>
      </c>
      <c r="U248" s="41">
        <f t="shared" ca="1" si="288"/>
        <v>0.55289007274568513</v>
      </c>
      <c r="V248" s="41">
        <f t="shared" ca="1" si="289"/>
        <v>3.9430144376926296E-2</v>
      </c>
      <c r="W248" s="41">
        <f t="shared" ca="1" si="290"/>
        <v>14.022014919864837</v>
      </c>
      <c r="X248" s="20">
        <f t="shared" ca="1" si="291"/>
        <v>736.49726484512826</v>
      </c>
      <c r="Y248" s="41">
        <f t="shared" si="292"/>
        <v>0.56447742652663724</v>
      </c>
      <c r="Z248" s="41">
        <f t="shared" ca="1" si="293"/>
        <v>134.59792620731517</v>
      </c>
      <c r="AA248" s="14">
        <f t="shared" ca="1" si="294"/>
        <v>736.49726484512826</v>
      </c>
      <c r="AB248" s="14">
        <f t="shared" si="295"/>
        <v>5628.3916222821908</v>
      </c>
      <c r="AC248" s="25">
        <f t="shared" ca="1" si="296"/>
        <v>206535.98572385986</v>
      </c>
      <c r="AD248" s="41">
        <f t="shared" si="297"/>
        <v>1578370.303917438</v>
      </c>
      <c r="AE248" s="5">
        <f t="shared" ca="1" si="298"/>
        <v>13.085394803187034</v>
      </c>
      <c r="AF248" s="7">
        <f t="shared" ca="1" si="299"/>
        <v>736.49726484512814</v>
      </c>
      <c r="AG248" s="41"/>
      <c r="AH248" s="41"/>
      <c r="AI248" s="41">
        <f t="shared" ca="1" si="300"/>
        <v>603.10080190607209</v>
      </c>
      <c r="AJ248" s="13">
        <f t="shared" ca="1" si="301"/>
        <v>-3.0871179051302034E-15</v>
      </c>
      <c r="AK248" s="11"/>
      <c r="AL248" s="6">
        <v>0</v>
      </c>
      <c r="AM248" s="6">
        <v>135</v>
      </c>
      <c r="AN248" s="41">
        <f t="shared" ca="1" si="302"/>
        <v>22.616280071477703</v>
      </c>
      <c r="AO248" s="41">
        <f t="shared" ca="1" si="303"/>
        <v>6.2306375464619368</v>
      </c>
      <c r="AP248" s="67">
        <f t="shared" si="304"/>
        <v>0.81887717808822158</v>
      </c>
      <c r="AQ248" s="11">
        <f t="shared" si="305"/>
        <v>1.0314301707183759</v>
      </c>
      <c r="AR248" s="11">
        <f t="shared" si="306"/>
        <v>0.8962407041850623</v>
      </c>
      <c r="AS248" s="11">
        <f t="shared" si="307"/>
        <v>0.86893008332386068</v>
      </c>
      <c r="AT248" s="11">
        <f t="shared" si="308"/>
        <v>534.97188664650002</v>
      </c>
      <c r="AU248" s="11">
        <f t="shared" si="309"/>
        <v>1896.6425030105124</v>
      </c>
      <c r="AV248" s="11">
        <f t="shared" si="310"/>
        <v>2.0653599150524844E-3</v>
      </c>
      <c r="AW248" s="11">
        <f t="shared" si="311"/>
        <v>3.8278171249107636E-7</v>
      </c>
      <c r="AX248" s="41">
        <f t="shared" ca="1" si="312"/>
        <v>1.2506403623612306</v>
      </c>
      <c r="AY248" s="41">
        <f t="shared" ca="1" si="313"/>
        <v>1.6846374152600947</v>
      </c>
      <c r="AZ248" s="41">
        <f t="shared" si="314"/>
        <v>0.18257797167354342</v>
      </c>
    </row>
    <row r="249" spans="1:52" ht="14.5">
      <c r="A249" s="41">
        <f t="shared" ca="1" si="315"/>
        <v>2325.585984684365</v>
      </c>
      <c r="B249" s="41">
        <f t="shared" ref="B249:C252" ca="1" si="323">A249/60</f>
        <v>38.759766411406083</v>
      </c>
      <c r="C249" s="41">
        <f t="shared" ca="1" si="323"/>
        <v>0.645996106856768</v>
      </c>
      <c r="D249" s="41">
        <f t="shared" ca="1" si="317"/>
        <v>10304.559356026555</v>
      </c>
      <c r="E249" s="41">
        <f t="shared" ca="1" si="318"/>
        <v>106.36083815867956</v>
      </c>
      <c r="F249" s="41">
        <f t="shared" ca="1" si="319"/>
        <v>105.92083828985291</v>
      </c>
      <c r="G249" s="41"/>
      <c r="H249" s="7">
        <f t="shared" si="320"/>
        <v>3000</v>
      </c>
      <c r="I249" s="6">
        <v>15</v>
      </c>
      <c r="J249" s="41">
        <f t="shared" si="279"/>
        <v>0.24732368472035268</v>
      </c>
      <c r="K249" s="41">
        <f t="shared" si="280"/>
        <v>280.43007840265443</v>
      </c>
      <c r="L249" s="6">
        <f t="shared" si="321"/>
        <v>155</v>
      </c>
      <c r="M249" s="41">
        <f t="shared" si="281"/>
        <v>166.15033457231831</v>
      </c>
      <c r="N249" s="41">
        <f t="shared" si="282"/>
        <v>81.211014356305881</v>
      </c>
      <c r="O249" s="41">
        <f t="shared" si="283"/>
        <v>1513105.3130480214</v>
      </c>
      <c r="P249" s="41">
        <f t="shared" si="284"/>
        <v>9715199.3449142762</v>
      </c>
      <c r="Q249" s="41">
        <f t="shared" si="285"/>
        <v>3.0004970951086601E-3</v>
      </c>
      <c r="R249" s="41">
        <f t="shared" si="286"/>
        <v>2.0123927738066247E-2</v>
      </c>
      <c r="S249" s="24">
        <f t="shared" ca="1" si="322"/>
        <v>0</v>
      </c>
      <c r="T249" s="10">
        <f t="shared" ca="1" si="287"/>
        <v>0</v>
      </c>
      <c r="U249" s="41">
        <f t="shared" ca="1" si="288"/>
        <v>0.55167925604472312</v>
      </c>
      <c r="V249" s="41">
        <f t="shared" ca="1" si="289"/>
        <v>3.9345676617716215E-2</v>
      </c>
      <c r="W249" s="41">
        <f t="shared" ca="1" si="290"/>
        <v>14.021343727415225</v>
      </c>
      <c r="X249" s="20">
        <f t="shared" ca="1" si="291"/>
        <v>734.91953099178158</v>
      </c>
      <c r="Y249" s="41">
        <f t="shared" si="292"/>
        <v>0.56447742652663724</v>
      </c>
      <c r="Z249" s="41">
        <f t="shared" ca="1" si="293"/>
        <v>134.45046222680477</v>
      </c>
      <c r="AA249" s="14">
        <f t="shared" ca="1" si="294"/>
        <v>734.91953099178158</v>
      </c>
      <c r="AB249" s="14">
        <f t="shared" si="295"/>
        <v>5628.3916222821908</v>
      </c>
      <c r="AC249" s="25">
        <f t="shared" ca="1" si="296"/>
        <v>206093.54169566734</v>
      </c>
      <c r="AD249" s="41">
        <f t="shared" si="297"/>
        <v>1578370.303917438</v>
      </c>
      <c r="AE249" s="5">
        <f t="shared" ca="1" si="298"/>
        <v>13.057363103205452</v>
      </c>
      <c r="AF249" s="7">
        <f t="shared" ca="1" si="299"/>
        <v>734.91953099178158</v>
      </c>
      <c r="AG249" s="41"/>
      <c r="AH249" s="41"/>
      <c r="AI249" s="41">
        <f t="shared" ca="1" si="300"/>
        <v>601.80883166046942</v>
      </c>
      <c r="AJ249" s="13">
        <f t="shared" ca="1" si="301"/>
        <v>0</v>
      </c>
      <c r="AK249" s="11"/>
      <c r="AL249" s="6">
        <v>0</v>
      </c>
      <c r="AM249" s="6">
        <v>135</v>
      </c>
      <c r="AN249" s="41">
        <f t="shared" ca="1" si="302"/>
        <v>22.567831187267604</v>
      </c>
      <c r="AO249" s="41">
        <f t="shared" ca="1" si="303"/>
        <v>6.2306375464619368</v>
      </c>
      <c r="AP249" s="67">
        <f t="shared" si="304"/>
        <v>0.81887717808822158</v>
      </c>
      <c r="AQ249" s="11">
        <f t="shared" si="305"/>
        <v>1.0314301707183759</v>
      </c>
      <c r="AR249" s="11">
        <f t="shared" si="306"/>
        <v>0.8962407041850623</v>
      </c>
      <c r="AS249" s="11">
        <f t="shared" si="307"/>
        <v>0.86893008332386068</v>
      </c>
      <c r="AT249" s="11">
        <f t="shared" si="308"/>
        <v>534.97188664650002</v>
      </c>
      <c r="AU249" s="11">
        <f t="shared" si="309"/>
        <v>1896.6425030105124</v>
      </c>
      <c r="AV249" s="11">
        <f t="shared" si="310"/>
        <v>2.0653599150524844E-3</v>
      </c>
      <c r="AW249" s="11">
        <f t="shared" si="311"/>
        <v>3.8278171249107636E-7</v>
      </c>
      <c r="AX249" s="41">
        <f t="shared" ca="1" si="312"/>
        <v>1.2524376453518196</v>
      </c>
      <c r="AY249" s="41">
        <f t="shared" ca="1" si="313"/>
        <v>1.6870583911560273</v>
      </c>
      <c r="AZ249" s="41">
        <f t="shared" si="314"/>
        <v>0.18257797167354342</v>
      </c>
    </row>
    <row r="250" spans="1:52" ht="14.5">
      <c r="A250" s="41">
        <f t="shared" ca="1" si="315"/>
        <v>2460.585984684365</v>
      </c>
      <c r="B250" s="41">
        <f t="shared" ca="1" si="323"/>
        <v>41.009766411406083</v>
      </c>
      <c r="C250" s="41">
        <f t="shared" ca="1" si="323"/>
        <v>0.68349610685676809</v>
      </c>
      <c r="D250" s="41">
        <f t="shared" ca="1" si="317"/>
        <v>10281.991524839288</v>
      </c>
      <c r="E250" s="41">
        <f t="shared" ca="1" si="318"/>
        <v>112.59147570514149</v>
      </c>
      <c r="F250" s="41">
        <f t="shared" ca="1" si="319"/>
        <v>112.15147583631484</v>
      </c>
      <c r="G250" s="41"/>
      <c r="H250" s="7">
        <f t="shared" si="320"/>
        <v>3000</v>
      </c>
      <c r="I250" s="6">
        <v>15</v>
      </c>
      <c r="J250" s="41">
        <f t="shared" si="279"/>
        <v>0.24732368472035268</v>
      </c>
      <c r="K250" s="41">
        <f t="shared" si="280"/>
        <v>280.43007840265443</v>
      </c>
      <c r="L250" s="6">
        <f t="shared" si="321"/>
        <v>155</v>
      </c>
      <c r="M250" s="41">
        <f t="shared" si="281"/>
        <v>166.15033457231831</v>
      </c>
      <c r="N250" s="41">
        <f t="shared" si="282"/>
        <v>81.211014356305881</v>
      </c>
      <c r="O250" s="41">
        <f t="shared" si="283"/>
        <v>1513105.3130480214</v>
      </c>
      <c r="P250" s="41">
        <f t="shared" si="284"/>
        <v>9715199.3449142762</v>
      </c>
      <c r="Q250" s="41">
        <f t="shared" si="285"/>
        <v>3.0004970951086601E-3</v>
      </c>
      <c r="R250" s="41">
        <f t="shared" si="286"/>
        <v>2.0123927738066247E-2</v>
      </c>
      <c r="S250" s="24">
        <f t="shared" ca="1" si="322"/>
        <v>0</v>
      </c>
      <c r="T250" s="10">
        <f t="shared" ca="1" si="287"/>
        <v>0</v>
      </c>
      <c r="U250" s="41">
        <f t="shared" ca="1" si="288"/>
        <v>0.55047103317077228</v>
      </c>
      <c r="V250" s="41">
        <f t="shared" ca="1" si="289"/>
        <v>3.9261574397034843E-2</v>
      </c>
      <c r="W250" s="41">
        <f t="shared" ca="1" si="290"/>
        <v>14.020605175026949</v>
      </c>
      <c r="X250" s="20">
        <f t="shared" ca="1" si="291"/>
        <v>733.34862486201666</v>
      </c>
      <c r="Y250" s="41">
        <f t="shared" si="292"/>
        <v>0.56447742652663724</v>
      </c>
      <c r="Z250" s="41">
        <f t="shared" ca="1" si="293"/>
        <v>134.30315275104334</v>
      </c>
      <c r="AA250" s="14">
        <f t="shared" ca="1" si="294"/>
        <v>733.34862486201666</v>
      </c>
      <c r="AB250" s="14">
        <f t="shared" si="295"/>
        <v>5628.3916222821908</v>
      </c>
      <c r="AC250" s="25">
        <f t="shared" ca="1" si="296"/>
        <v>205653.01236653415</v>
      </c>
      <c r="AD250" s="41">
        <f t="shared" si="297"/>
        <v>1578370.303917438</v>
      </c>
      <c r="AE250" s="5">
        <f t="shared" ca="1" si="298"/>
        <v>13.029452711832793</v>
      </c>
      <c r="AF250" s="7">
        <f t="shared" ca="1" si="299"/>
        <v>733.34862486201666</v>
      </c>
      <c r="AG250" s="41"/>
      <c r="AH250" s="41"/>
      <c r="AI250" s="41">
        <f t="shared" ca="1" si="300"/>
        <v>600.52245248188603</v>
      </c>
      <c r="AJ250" s="13">
        <f t="shared" ca="1" si="301"/>
        <v>0</v>
      </c>
      <c r="AK250" s="11"/>
      <c r="AL250" s="6">
        <v>0</v>
      </c>
      <c r="AM250" s="6">
        <v>135</v>
      </c>
      <c r="AN250" s="41">
        <f t="shared" ca="1" si="302"/>
        <v>22.519591968070724</v>
      </c>
      <c r="AO250" s="41">
        <f t="shared" ca="1" si="303"/>
        <v>6.2306375464619368</v>
      </c>
      <c r="AP250" s="67">
        <f t="shared" si="304"/>
        <v>0.81887717808822158</v>
      </c>
      <c r="AQ250" s="11">
        <f t="shared" si="305"/>
        <v>1.0314301707183759</v>
      </c>
      <c r="AR250" s="11">
        <f t="shared" si="306"/>
        <v>0.8962407041850623</v>
      </c>
      <c r="AS250" s="11">
        <f t="shared" si="307"/>
        <v>0.86893008332386068</v>
      </c>
      <c r="AT250" s="11">
        <f t="shared" si="308"/>
        <v>534.97188664650002</v>
      </c>
      <c r="AU250" s="11">
        <f t="shared" si="309"/>
        <v>1896.6425030105124</v>
      </c>
      <c r="AV250" s="11">
        <f t="shared" si="310"/>
        <v>2.0653599150524844E-3</v>
      </c>
      <c r="AW250" s="11">
        <f t="shared" si="311"/>
        <v>3.8278171249107636E-7</v>
      </c>
      <c r="AX250" s="41">
        <f t="shared" ca="1" si="312"/>
        <v>1.2542415104582829</v>
      </c>
      <c r="AY250" s="41">
        <f t="shared" ca="1" si="313"/>
        <v>1.6894882332928129</v>
      </c>
      <c r="AZ250" s="41">
        <f t="shared" si="314"/>
        <v>0.18257797167354342</v>
      </c>
    </row>
    <row r="251" spans="1:52" ht="14.5">
      <c r="A251" s="41">
        <f t="shared" ca="1" si="315"/>
        <v>2595.585984684365</v>
      </c>
      <c r="B251" s="41">
        <f t="shared" ca="1" si="323"/>
        <v>43.259766411406083</v>
      </c>
      <c r="C251" s="41">
        <f t="shared" ca="1" si="323"/>
        <v>0.72099610685676807</v>
      </c>
      <c r="D251" s="41">
        <f t="shared" ca="1" si="317"/>
        <v>10259.471932871218</v>
      </c>
      <c r="E251" s="41">
        <f t="shared" ca="1" si="318"/>
        <v>118.82211325160343</v>
      </c>
      <c r="F251" s="41">
        <f t="shared" ca="1" si="319"/>
        <v>118.38211338277678</v>
      </c>
      <c r="G251" s="41"/>
      <c r="H251" s="7">
        <f t="shared" si="320"/>
        <v>3000</v>
      </c>
      <c r="I251" s="6">
        <v>15</v>
      </c>
      <c r="J251" s="41">
        <f t="shared" si="279"/>
        <v>0.24732368472035268</v>
      </c>
      <c r="K251" s="41">
        <f t="shared" si="280"/>
        <v>280.43007840265443</v>
      </c>
      <c r="L251" s="6">
        <f t="shared" si="321"/>
        <v>155</v>
      </c>
      <c r="M251" s="41">
        <f t="shared" si="281"/>
        <v>166.15033457231831</v>
      </c>
      <c r="N251" s="41">
        <f t="shared" si="282"/>
        <v>81.211014356305881</v>
      </c>
      <c r="O251" s="41">
        <f t="shared" si="283"/>
        <v>1513105.3130480214</v>
      </c>
      <c r="P251" s="41">
        <f t="shared" si="284"/>
        <v>9715199.3449142762</v>
      </c>
      <c r="Q251" s="41">
        <f t="shared" si="285"/>
        <v>3.0004970951086601E-3</v>
      </c>
      <c r="R251" s="41">
        <f t="shared" si="286"/>
        <v>2.0123927738066247E-2</v>
      </c>
      <c r="S251" s="24">
        <f t="shared" ca="1" si="322"/>
        <v>0</v>
      </c>
      <c r="T251" s="10">
        <f t="shared" ca="1" si="287"/>
        <v>0</v>
      </c>
      <c r="U251" s="41">
        <f t="shared" ca="1" si="288"/>
        <v>0.54926539289891441</v>
      </c>
      <c r="V251" s="41">
        <f t="shared" ca="1" si="289"/>
        <v>3.9177835748532633E-2</v>
      </c>
      <c r="W251" s="41">
        <f t="shared" ca="1" si="290"/>
        <v>14.019799266718978</v>
      </c>
      <c r="X251" s="20">
        <f t="shared" ca="1" si="291"/>
        <v>731.78450972730775</v>
      </c>
      <c r="Y251" s="41">
        <f t="shared" si="292"/>
        <v>0.56447742652663724</v>
      </c>
      <c r="Z251" s="41">
        <f t="shared" ca="1" si="293"/>
        <v>134.15599691816902</v>
      </c>
      <c r="AA251" s="14">
        <f t="shared" ca="1" si="294"/>
        <v>731.78450972730786</v>
      </c>
      <c r="AB251" s="14">
        <f t="shared" si="295"/>
        <v>5628.3916222821908</v>
      </c>
      <c r="AC251" s="25">
        <f t="shared" ca="1" si="296"/>
        <v>205214.38743667697</v>
      </c>
      <c r="AD251" s="41">
        <f t="shared" si="297"/>
        <v>1578370.303917438</v>
      </c>
      <c r="AE251" s="5">
        <f t="shared" ca="1" si="298"/>
        <v>13.001662976510953</v>
      </c>
      <c r="AF251" s="7">
        <f t="shared" ca="1" si="299"/>
        <v>731.78450972730775</v>
      </c>
      <c r="AG251" s="41"/>
      <c r="AH251" s="41"/>
      <c r="AI251" s="41">
        <f t="shared" ca="1" si="300"/>
        <v>599.24163429417047</v>
      </c>
      <c r="AJ251" s="13">
        <f t="shared" ca="1" si="301"/>
        <v>0</v>
      </c>
      <c r="AK251" s="11"/>
      <c r="AL251" s="6">
        <v>0</v>
      </c>
      <c r="AM251" s="6">
        <v>135</v>
      </c>
      <c r="AN251" s="41">
        <f t="shared" ca="1" si="302"/>
        <v>22.471561286031392</v>
      </c>
      <c r="AO251" s="41">
        <f t="shared" ca="1" si="303"/>
        <v>6.2306375464619368</v>
      </c>
      <c r="AP251" s="67">
        <f t="shared" si="304"/>
        <v>0.81887717808822158</v>
      </c>
      <c r="AQ251" s="11">
        <f t="shared" si="305"/>
        <v>1.0314301707183759</v>
      </c>
      <c r="AR251" s="11">
        <f t="shared" si="306"/>
        <v>0.8962407041850623</v>
      </c>
      <c r="AS251" s="11">
        <f t="shared" si="307"/>
        <v>0.86893008332386068</v>
      </c>
      <c r="AT251" s="11">
        <f t="shared" si="308"/>
        <v>534.97188664650002</v>
      </c>
      <c r="AU251" s="11">
        <f t="shared" si="309"/>
        <v>1896.6425030105124</v>
      </c>
      <c r="AV251" s="11">
        <f t="shared" si="310"/>
        <v>2.0653599150524844E-3</v>
      </c>
      <c r="AW251" s="11">
        <f t="shared" si="311"/>
        <v>3.8278171249107636E-7</v>
      </c>
      <c r="AX251" s="41">
        <f t="shared" ca="1" si="312"/>
        <v>1.2560519727804205</v>
      </c>
      <c r="AY251" s="41">
        <f t="shared" ca="1" si="313"/>
        <v>1.6919269620101824</v>
      </c>
      <c r="AZ251" s="41">
        <f t="shared" si="314"/>
        <v>0.18257797167354342</v>
      </c>
    </row>
    <row r="252" spans="1:52" ht="14.5">
      <c r="A252" s="41">
        <f t="shared" ca="1" si="315"/>
        <v>2730.585984684365</v>
      </c>
      <c r="B252" s="41">
        <f t="shared" ca="1" si="323"/>
        <v>45.509766411406083</v>
      </c>
      <c r="C252" s="41">
        <f t="shared" ca="1" si="323"/>
        <v>0.75849610685676805</v>
      </c>
      <c r="D252" s="41">
        <f t="shared" ca="1" si="317"/>
        <v>10237.000371585187</v>
      </c>
      <c r="E252" s="41">
        <f t="shared" ca="1" si="318"/>
        <v>125.05275079806536</v>
      </c>
      <c r="F252" s="41">
        <f t="shared" ca="1" si="319"/>
        <v>124.61275092923871</v>
      </c>
      <c r="G252" s="41"/>
      <c r="H252" s="7">
        <f t="shared" si="320"/>
        <v>3000</v>
      </c>
      <c r="I252" s="6">
        <v>15</v>
      </c>
      <c r="J252" s="41">
        <f t="shared" si="279"/>
        <v>0.24732368472035268</v>
      </c>
      <c r="K252" s="41">
        <f t="shared" si="280"/>
        <v>280.43007840265443</v>
      </c>
      <c r="L252" s="6">
        <f t="shared" si="321"/>
        <v>155</v>
      </c>
      <c r="M252" s="41">
        <f t="shared" si="281"/>
        <v>166.15033457231831</v>
      </c>
      <c r="N252" s="41">
        <f t="shared" si="282"/>
        <v>81.211014356305881</v>
      </c>
      <c r="O252" s="41">
        <f t="shared" si="283"/>
        <v>1513105.3130480214</v>
      </c>
      <c r="P252" s="41">
        <f t="shared" si="284"/>
        <v>9715199.3449142762</v>
      </c>
      <c r="Q252" s="41">
        <f t="shared" si="285"/>
        <v>3.0004970951086601E-3</v>
      </c>
      <c r="R252" s="41">
        <f t="shared" si="286"/>
        <v>2.0123927738066247E-2</v>
      </c>
      <c r="S252" s="24">
        <f t="shared" ca="1" si="322"/>
        <v>0</v>
      </c>
      <c r="T252" s="10">
        <f t="shared" ca="1" si="287"/>
        <v>0</v>
      </c>
      <c r="U252" s="41">
        <f t="shared" ca="1" si="288"/>
        <v>0.54806232406461342</v>
      </c>
      <c r="V252" s="41">
        <f t="shared" ca="1" si="289"/>
        <v>3.9094458719412674E-2</v>
      </c>
      <c r="W252" s="41">
        <f t="shared" ca="1" si="290"/>
        <v>14.018926006832487</v>
      </c>
      <c r="X252" s="20">
        <f t="shared" ca="1" si="291"/>
        <v>730.22714911227297</v>
      </c>
      <c r="Y252" s="41">
        <f t="shared" si="292"/>
        <v>0.56447742652663724</v>
      </c>
      <c r="Z252" s="41">
        <f t="shared" ca="1" si="293"/>
        <v>134.00899386938596</v>
      </c>
      <c r="AA252" s="14">
        <f t="shared" ca="1" si="294"/>
        <v>730.22714911227297</v>
      </c>
      <c r="AB252" s="14">
        <f t="shared" si="295"/>
        <v>5628.3916222821908</v>
      </c>
      <c r="AC252" s="25">
        <f t="shared" ca="1" si="296"/>
        <v>204777.65667730154</v>
      </c>
      <c r="AD252" s="41">
        <f t="shared" si="297"/>
        <v>1578370.303917438</v>
      </c>
      <c r="AE252" s="5">
        <f t="shared" ca="1" si="298"/>
        <v>12.973993249179447</v>
      </c>
      <c r="AF252" s="7">
        <f t="shared" ca="1" si="299"/>
        <v>730.22714911227297</v>
      </c>
      <c r="AG252" s="41"/>
      <c r="AH252" s="41"/>
      <c r="AI252" s="41">
        <f t="shared" ca="1" si="300"/>
        <v>597.96634722846511</v>
      </c>
      <c r="AJ252" s="13">
        <f t="shared" ca="1" si="301"/>
        <v>0</v>
      </c>
      <c r="AK252" s="11"/>
      <c r="AL252" s="6">
        <v>0</v>
      </c>
      <c r="AM252" s="6">
        <v>0</v>
      </c>
      <c r="AN252" s="41">
        <f t="shared" ca="1" si="302"/>
        <v>0</v>
      </c>
      <c r="AO252" s="41">
        <f t="shared" ca="1" si="303"/>
        <v>0</v>
      </c>
      <c r="AP252" s="67">
        <f t="shared" si="304"/>
        <v>0.81887717808822158</v>
      </c>
      <c r="AQ252" s="11">
        <f t="shared" si="305"/>
        <v>1.0314301707183759</v>
      </c>
      <c r="AR252" s="11">
        <f t="shared" si="306"/>
        <v>0.8962407041850623</v>
      </c>
      <c r="AS252" s="11">
        <f t="shared" si="307"/>
        <v>0.86893008332386068</v>
      </c>
      <c r="AT252" s="11">
        <f t="shared" si="308"/>
        <v>534.97188664650002</v>
      </c>
      <c r="AU252" s="11">
        <f t="shared" si="309"/>
        <v>1896.6425030105124</v>
      </c>
      <c r="AV252" s="11">
        <f t="shared" si="310"/>
        <v>2.0653599150524844E-3</v>
      </c>
      <c r="AW252" s="11">
        <f t="shared" si="311"/>
        <v>3.8278171249107636E-7</v>
      </c>
      <c r="AX252" s="41">
        <f t="shared" ca="1" si="312"/>
        <v>1.2578690476010481</v>
      </c>
      <c r="AY252" s="41">
        <f t="shared" ca="1" si="313"/>
        <v>1.694374597894392</v>
      </c>
      <c r="AZ252" s="41">
        <f t="shared" si="314"/>
        <v>0.18257797167354342</v>
      </c>
    </row>
    <row r="253" spans="1:52" ht="14.5">
      <c r="AC253" s="3"/>
      <c r="AD253" s="3"/>
      <c r="AP253" s="53"/>
    </row>
    <row r="254" spans="1:52" ht="14.5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5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</row>
    <row r="255" spans="1:52" thickBot="1">
      <c r="A255" s="26" t="s">
        <v>186</v>
      </c>
      <c r="B255" s="29"/>
      <c r="H255" s="21"/>
      <c r="K255" s="26" t="s">
        <v>127</v>
      </c>
      <c r="L255" s="26"/>
      <c r="S255" s="32"/>
      <c r="AC255" s="38"/>
      <c r="AJ255" s="2"/>
      <c r="AL255" s="21"/>
      <c r="AN255" s="48"/>
      <c r="AP255" s="53"/>
    </row>
    <row r="256" spans="1:52" ht="26.5" thickBot="1">
      <c r="D256" s="39" t="s">
        <v>131</v>
      </c>
      <c r="E256" s="39" t="s">
        <v>132</v>
      </c>
      <c r="F256" s="39" t="s">
        <v>133</v>
      </c>
      <c r="G256" s="39" t="s">
        <v>134</v>
      </c>
      <c r="H256" s="39" t="s">
        <v>135</v>
      </c>
      <c r="I256" s="7" t="s">
        <v>170</v>
      </c>
      <c r="J256" s="21" t="s">
        <v>197</v>
      </c>
      <c r="K256" s="7" t="s">
        <v>138</v>
      </c>
      <c r="N256" s="152" t="s">
        <v>297</v>
      </c>
      <c r="O256" s="152" t="s">
        <v>27</v>
      </c>
      <c r="P256" s="152" t="s">
        <v>298</v>
      </c>
      <c r="Q256" s="152" t="s">
        <v>299</v>
      </c>
      <c r="R256" s="152" t="s">
        <v>300</v>
      </c>
      <c r="S256" s="152" t="s">
        <v>301</v>
      </c>
      <c r="T256" s="152" t="s">
        <v>302</v>
      </c>
      <c r="U256" s="152" t="s">
        <v>303</v>
      </c>
      <c r="V256" s="152" t="s">
        <v>304</v>
      </c>
      <c r="W256" s="152"/>
      <c r="X256" s="158" t="s">
        <v>305</v>
      </c>
      <c r="Y256" s="158" t="s">
        <v>300</v>
      </c>
      <c r="Z256" s="158" t="s">
        <v>305</v>
      </c>
      <c r="AA256" s="158" t="s">
        <v>301</v>
      </c>
      <c r="AB256" s="158" t="s">
        <v>302</v>
      </c>
      <c r="AC256" s="158" t="s">
        <v>303</v>
      </c>
      <c r="AD256" s="158" t="s">
        <v>304</v>
      </c>
      <c r="AF256" s="159" t="s">
        <v>27</v>
      </c>
      <c r="AG256" s="165" t="s">
        <v>307</v>
      </c>
      <c r="AH256" s="160" t="s">
        <v>306</v>
      </c>
      <c r="AP256" s="53"/>
    </row>
    <row r="257" spans="1:40" thickBot="1">
      <c r="A257" s="46" t="s">
        <v>128</v>
      </c>
      <c r="B257" s="46" t="s">
        <v>129</v>
      </c>
      <c r="C257" s="46" t="s">
        <v>130</v>
      </c>
      <c r="D257" s="21">
        <v>0</v>
      </c>
      <c r="E257" s="32">
        <f>D257*1125.33</f>
        <v>0</v>
      </c>
      <c r="F257" s="21">
        <f>AH257*0.93</f>
        <v>4758.5540937599999</v>
      </c>
      <c r="G257" s="32">
        <f t="shared" ref="G257:G283" ca="1" si="324">(F257/$B$10)-$B$258</f>
        <v>0.31575447674298079</v>
      </c>
      <c r="H257" s="32">
        <f t="shared" ref="H257:H283" ca="1" si="325">((($B$260)/(2*($B$10/$B$3)))*(($B$258*$B$18)-$B$261-($B$268*$B$18^2)))</f>
        <v>-2.3255373381696651E-6</v>
      </c>
      <c r="I257" s="21">
        <v>0</v>
      </c>
      <c r="J257" s="21">
        <v>0</v>
      </c>
      <c r="K257" s="32">
        <f ca="1">SQRT(B266^2-(B266-50)^2)</f>
        <v>701.15099760817225</v>
      </c>
      <c r="L257" s="21" t="s">
        <v>9</v>
      </c>
      <c r="N257" s="153">
        <v>0</v>
      </c>
      <c r="O257" s="153">
        <v>0</v>
      </c>
      <c r="P257" s="153">
        <v>70</v>
      </c>
      <c r="Q257" s="153">
        <v>298</v>
      </c>
      <c r="R257" s="153">
        <v>20244.56522</v>
      </c>
      <c r="S257" s="153">
        <v>13994.56522</v>
      </c>
      <c r="T257" s="153">
        <v>9442.9347830000006</v>
      </c>
      <c r="U257" s="153">
        <v>6046.1956520000003</v>
      </c>
      <c r="V257" s="153">
        <v>4687.5</v>
      </c>
      <c r="W257" s="153"/>
      <c r="X257" s="153">
        <v>5116.7248319999999</v>
      </c>
      <c r="Y257" s="153">
        <v>6279.9999989999997</v>
      </c>
      <c r="Z257" s="153">
        <v>5116.7248319999999</v>
      </c>
      <c r="AA257" s="153">
        <v>4341.2080530000003</v>
      </c>
      <c r="AB257" s="153">
        <v>2929.2617449999998</v>
      </c>
      <c r="AC257" s="153">
        <v>1875.5704699999999</v>
      </c>
      <c r="AD257" s="153">
        <v>1454.0939599999999</v>
      </c>
      <c r="AF257" s="161">
        <v>0</v>
      </c>
      <c r="AG257" s="141">
        <f t="shared" ref="AG257:AG262" si="326">$Y$257+(AF257-$O$257)*(($Y$258-$Y$257)/($O$258-$O$257))</f>
        <v>6279.9999989999997</v>
      </c>
      <c r="AH257" s="141">
        <f t="shared" ref="AH257:AH262" si="327">$Z$257+(AF257-$O$257)*(($Z$258-$Z$257)/($O$258-$O$257))</f>
        <v>5116.7248319999999</v>
      </c>
      <c r="AN257" s="53"/>
    </row>
    <row r="258" spans="1:40" thickBot="1">
      <c r="A258" s="46" t="s">
        <v>141</v>
      </c>
      <c r="B258" s="46">
        <v>0.04</v>
      </c>
      <c r="C258" s="46">
        <v>0.3</v>
      </c>
      <c r="D258" s="32">
        <v>0.01</v>
      </c>
      <c r="E258" s="32">
        <f t="shared" ref="E258:E283" si="328">D258*1125.33</f>
        <v>11.253299999999999</v>
      </c>
      <c r="F258" s="21">
        <f t="shared" ref="F258:F277" si="329">AH258*0.93</f>
        <v>4746.794899038</v>
      </c>
      <c r="G258" s="32">
        <f t="shared" ca="1" si="324"/>
        <v>0.31487534705719461</v>
      </c>
      <c r="H258" s="32">
        <f t="shared" ca="1" si="325"/>
        <v>-2.3255373381696651E-6</v>
      </c>
      <c r="I258" s="32">
        <f ca="1">(((1)/(2*$B$262*$H$257))*LN(($G$257+($H$257*$E$258^2))/($G$257+($H$257*$E$257^2))))</f>
        <v>6.2363693504388165</v>
      </c>
      <c r="J258" s="32">
        <f t="shared" ref="J258:J283" ca="1" si="330">I258/E258</f>
        <v>0.55418138238906067</v>
      </c>
      <c r="N258" s="153">
        <v>0</v>
      </c>
      <c r="O258" s="153">
        <v>0.05</v>
      </c>
      <c r="P258" s="153">
        <v>73</v>
      </c>
      <c r="Q258" s="153">
        <v>295</v>
      </c>
      <c r="R258" s="153">
        <v>20040.760869999998</v>
      </c>
      <c r="S258" s="153">
        <v>13790.76087</v>
      </c>
      <c r="T258" s="153">
        <v>9307.0652169999994</v>
      </c>
      <c r="U258" s="153">
        <v>5978.2608700000001</v>
      </c>
      <c r="V258" s="153">
        <v>4619.5652170000003</v>
      </c>
      <c r="W258" s="153"/>
      <c r="X258" s="153">
        <v>5053.5033549999998</v>
      </c>
      <c r="Y258" s="153">
        <v>6216.778523</v>
      </c>
      <c r="Z258" s="153">
        <v>5053.5033549999998</v>
      </c>
      <c r="AA258" s="153">
        <v>4277.9865769999997</v>
      </c>
      <c r="AB258" s="153">
        <v>2887.114094</v>
      </c>
      <c r="AC258" s="153">
        <v>1854.4966440000001</v>
      </c>
      <c r="AD258" s="153">
        <v>1433.0201340000001</v>
      </c>
      <c r="AF258" s="161">
        <v>0.01</v>
      </c>
      <c r="AG258" s="141">
        <f t="shared" si="326"/>
        <v>6267.3557037999999</v>
      </c>
      <c r="AH258" s="141">
        <f t="shared" si="327"/>
        <v>5104.0805365999995</v>
      </c>
      <c r="AN258" s="53"/>
    </row>
    <row r="259" spans="1:40" thickBot="1">
      <c r="A259" s="46" t="s">
        <v>145</v>
      </c>
      <c r="B259" s="46">
        <v>0.08</v>
      </c>
      <c r="C259" s="46">
        <v>0.2</v>
      </c>
      <c r="D259" s="21">
        <v>0.02</v>
      </c>
      <c r="E259" s="32">
        <f t="shared" si="328"/>
        <v>22.506599999999999</v>
      </c>
      <c r="F259" s="21">
        <f t="shared" si="329"/>
        <v>4735.0357043160002</v>
      </c>
      <c r="G259" s="32">
        <f t="shared" ca="1" si="324"/>
        <v>0.31399621737140837</v>
      </c>
      <c r="H259" s="32">
        <f t="shared" ca="1" si="325"/>
        <v>-2.3255373381696651E-6</v>
      </c>
      <c r="I259" s="32">
        <f ca="1">(((1)/(2*$B$262*$H$258))*LN(($G$258+($H$258*$E$259^2))/($G$258+($H$258*$E$258^2))))</f>
        <v>18.796555952521125</v>
      </c>
      <c r="J259" s="32">
        <f t="shared" ca="1" si="330"/>
        <v>0.83515750724325866</v>
      </c>
      <c r="K259" s="7" t="s">
        <v>148</v>
      </c>
      <c r="N259" s="153">
        <v>0</v>
      </c>
      <c r="O259" s="153">
        <v>0.1</v>
      </c>
      <c r="P259" s="153">
        <v>76</v>
      </c>
      <c r="Q259" s="153">
        <v>292</v>
      </c>
      <c r="R259" s="153">
        <v>19836.95652</v>
      </c>
      <c r="S259" s="153">
        <v>13586.95652</v>
      </c>
      <c r="T259" s="153">
        <v>9103.2608700000001</v>
      </c>
      <c r="U259" s="153">
        <v>5978.2608700000001</v>
      </c>
      <c r="V259" s="153">
        <v>4619.5652170000003</v>
      </c>
      <c r="W259" s="153"/>
      <c r="X259" s="153">
        <v>4990.2818790000001</v>
      </c>
      <c r="Y259" s="153">
        <v>6153.5570459999999</v>
      </c>
      <c r="Z259" s="153">
        <v>4990.2818790000001</v>
      </c>
      <c r="AA259" s="153">
        <v>4214.7650999999996</v>
      </c>
      <c r="AB259" s="153">
        <v>2823.892617</v>
      </c>
      <c r="AC259" s="153">
        <v>1854.4966440000001</v>
      </c>
      <c r="AD259" s="153">
        <v>1433.0201340000001</v>
      </c>
      <c r="AF259" s="161">
        <v>0.02</v>
      </c>
      <c r="AG259" s="141">
        <f t="shared" si="326"/>
        <v>6254.7114086000001</v>
      </c>
      <c r="AH259" s="141">
        <f t="shared" si="327"/>
        <v>5091.4362412</v>
      </c>
      <c r="AN259" s="53"/>
    </row>
    <row r="260" spans="1:40" thickBot="1">
      <c r="A260" s="47" t="s">
        <v>147</v>
      </c>
      <c r="B260" s="46">
        <f>$AV$292</f>
        <v>1.8844322965351538E-3</v>
      </c>
      <c r="D260" s="32">
        <v>0.03</v>
      </c>
      <c r="E260" s="32">
        <f t="shared" si="328"/>
        <v>33.759899999999995</v>
      </c>
      <c r="F260" s="21">
        <f t="shared" si="329"/>
        <v>4723.2765095940003</v>
      </c>
      <c r="G260" s="32">
        <f t="shared" ca="1" si="324"/>
        <v>0.31311708768562219</v>
      </c>
      <c r="H260" s="32">
        <f t="shared" ca="1" si="325"/>
        <v>-2.3255373381696651E-6</v>
      </c>
      <c r="I260" s="32">
        <f ca="1">(((1)/(2*$B$262*$H$259))*LN(($G$259+($H$259*$E$260^2))/($G$259+($H$259*$E$259^2))))</f>
        <v>31.534130354553401</v>
      </c>
      <c r="J260" s="32">
        <f t="shared" ca="1" si="330"/>
        <v>0.93407060905255657</v>
      </c>
      <c r="K260" s="32">
        <f ca="1">(50-K263)/TAN(RADIANS(B267))</f>
        <v>-647.43701014986277</v>
      </c>
      <c r="N260" s="153">
        <v>0</v>
      </c>
      <c r="O260" s="153">
        <v>0.15</v>
      </c>
      <c r="P260" s="153">
        <v>79</v>
      </c>
      <c r="Q260" s="153">
        <v>289</v>
      </c>
      <c r="R260" s="153">
        <v>19633.152170000001</v>
      </c>
      <c r="S260" s="153">
        <v>13451.086960000001</v>
      </c>
      <c r="T260" s="153">
        <v>9035.3260869999995</v>
      </c>
      <c r="U260" s="153">
        <v>5978.2608700000001</v>
      </c>
      <c r="V260" s="153">
        <v>4619.5652170000003</v>
      </c>
      <c r="W260" s="153"/>
      <c r="X260" s="153">
        <v>4939.7046970000001</v>
      </c>
      <c r="Y260" s="153">
        <v>6090.3355700000002</v>
      </c>
      <c r="Z260" s="153">
        <v>4939.7046970000001</v>
      </c>
      <c r="AA260" s="153">
        <v>4172.6174490000003</v>
      </c>
      <c r="AB260" s="153">
        <v>2802.818792</v>
      </c>
      <c r="AC260" s="153">
        <v>1854.4966440000001</v>
      </c>
      <c r="AD260" s="153">
        <v>1433.0201340000001</v>
      </c>
      <c r="AF260" s="161">
        <v>0.03</v>
      </c>
      <c r="AG260" s="141">
        <f t="shared" si="326"/>
        <v>6242.0671133999995</v>
      </c>
      <c r="AH260" s="141">
        <f t="shared" si="327"/>
        <v>5078.7919457999997</v>
      </c>
      <c r="AN260" s="53"/>
    </row>
    <row r="261" spans="1:40" thickBot="1">
      <c r="A261" s="47" t="s">
        <v>150</v>
      </c>
      <c r="B261" s="46">
        <f>$R$292</f>
        <v>2.0754921046665799E-2</v>
      </c>
      <c r="D261" s="21">
        <v>0.04</v>
      </c>
      <c r="E261" s="32">
        <f t="shared" si="328"/>
        <v>45.013199999999998</v>
      </c>
      <c r="F261" s="21">
        <f t="shared" si="329"/>
        <v>4711.5173148720005</v>
      </c>
      <c r="G261" s="32">
        <f t="shared" ca="1" si="324"/>
        <v>0.312237957999836</v>
      </c>
      <c r="H261" s="32">
        <f t="shared" ca="1" si="325"/>
        <v>-2.3255373381696651E-6</v>
      </c>
      <c r="I261" s="32">
        <f ca="1">(((1)/(2*$B$262*$H$260))*LN(($G$260+($H$260*$E$261^2))/($G$260+($H$260*$E$260^2))))</f>
        <v>44.525391493105403</v>
      </c>
      <c r="J261" s="32">
        <f t="shared" ca="1" si="330"/>
        <v>0.98916298981421902</v>
      </c>
      <c r="N261" s="153">
        <v>0</v>
      </c>
      <c r="O261" s="153">
        <v>0.2</v>
      </c>
      <c r="P261" s="153">
        <v>81</v>
      </c>
      <c r="Q261" s="153">
        <v>287</v>
      </c>
      <c r="R261" s="153">
        <v>19497.282609999998</v>
      </c>
      <c r="S261" s="153">
        <v>13383.152169999999</v>
      </c>
      <c r="T261" s="153">
        <v>9035.3260869999995</v>
      </c>
      <c r="U261" s="153">
        <v>5978.2608700000001</v>
      </c>
      <c r="V261" s="153">
        <v>4619.5652170000003</v>
      </c>
      <c r="W261" s="153"/>
      <c r="X261" s="153">
        <v>4910.2013420000003</v>
      </c>
      <c r="Y261" s="153">
        <v>6048.187919</v>
      </c>
      <c r="Z261" s="153">
        <v>4910.2013420000003</v>
      </c>
      <c r="AA261" s="153">
        <v>4151.5436239999999</v>
      </c>
      <c r="AB261" s="153">
        <v>2802.818792</v>
      </c>
      <c r="AC261" s="153">
        <v>1854.4966440000001</v>
      </c>
      <c r="AD261" s="153">
        <v>1433.0201340000001</v>
      </c>
      <c r="AF261" s="161">
        <v>0.04</v>
      </c>
      <c r="AG261" s="141">
        <f t="shared" si="326"/>
        <v>6229.4228181999997</v>
      </c>
      <c r="AH261" s="141">
        <f t="shared" si="327"/>
        <v>5066.1476504000002</v>
      </c>
      <c r="AN261" s="53"/>
    </row>
    <row r="262" spans="1:40" thickBot="1">
      <c r="A262" s="47" t="s">
        <v>152</v>
      </c>
      <c r="B262" s="47">
        <v>32.17</v>
      </c>
      <c r="D262" s="32">
        <v>0.05</v>
      </c>
      <c r="E262" s="32">
        <f t="shared" si="328"/>
        <v>56.266500000000001</v>
      </c>
      <c r="F262" s="21">
        <f t="shared" si="329"/>
        <v>4699.7581201499997</v>
      </c>
      <c r="G262" s="32">
        <f t="shared" ca="1" si="324"/>
        <v>0.31135882831404971</v>
      </c>
      <c r="H262" s="32">
        <f t="shared" ca="1" si="325"/>
        <v>-2.3255373381696651E-6</v>
      </c>
      <c r="I262" s="32">
        <f ca="1">(((1)/(2*$B$262*$H$261))*LN(($G$261+($H$261*$E$262^2))/($G$261+($H$261*$E$261^2))))</f>
        <v>57.851913014409263</v>
      </c>
      <c r="J262" s="32">
        <f t="shared" ca="1" si="330"/>
        <v>1.0281768550453514</v>
      </c>
      <c r="K262" s="21" t="s">
        <v>139</v>
      </c>
      <c r="N262" s="153">
        <v>0</v>
      </c>
      <c r="O262" s="153">
        <v>0.25</v>
      </c>
      <c r="P262" s="153">
        <v>82</v>
      </c>
      <c r="Q262" s="153">
        <v>286</v>
      </c>
      <c r="R262" s="153">
        <v>19429.347829999999</v>
      </c>
      <c r="S262" s="153">
        <v>13349.18478</v>
      </c>
      <c r="T262" s="153">
        <v>8967.3913040000007</v>
      </c>
      <c r="U262" s="153">
        <v>5910.3260870000004</v>
      </c>
      <c r="V262" s="153">
        <v>4619.5652170000003</v>
      </c>
      <c r="W262" s="153"/>
      <c r="X262" s="153">
        <v>4895.4496639999998</v>
      </c>
      <c r="Y262" s="153">
        <v>6027.1140930000001</v>
      </c>
      <c r="Z262" s="153">
        <v>4895.4496639999998</v>
      </c>
      <c r="AA262" s="153">
        <v>4141.006711</v>
      </c>
      <c r="AB262" s="153">
        <v>2781.7449660000002</v>
      </c>
      <c r="AC262" s="153">
        <v>1833.4228189999999</v>
      </c>
      <c r="AD262" s="153">
        <v>1433.0201340000001</v>
      </c>
      <c r="AF262" s="161">
        <v>0.05</v>
      </c>
      <c r="AG262" s="141">
        <f t="shared" si="326"/>
        <v>6216.778523</v>
      </c>
      <c r="AH262" s="141">
        <f t="shared" si="327"/>
        <v>5053.5033549999998</v>
      </c>
      <c r="AN262" s="53"/>
    </row>
    <row r="263" spans="1:40" thickBot="1">
      <c r="A263" s="7" t="s">
        <v>154</v>
      </c>
      <c r="B263" s="32">
        <f ca="1">$E$1</f>
        <v>170.54869113313165</v>
      </c>
      <c r="C263" s="21" t="s">
        <v>9</v>
      </c>
      <c r="D263" s="21">
        <v>0.06</v>
      </c>
      <c r="E263" s="32">
        <f t="shared" si="328"/>
        <v>67.519799999999989</v>
      </c>
      <c r="F263" s="21">
        <f t="shared" si="329"/>
        <v>4687.9989256140007</v>
      </c>
      <c r="G263" s="32">
        <f t="shared" ca="1" si="324"/>
        <v>0.31047969864216912</v>
      </c>
      <c r="H263" s="32">
        <f t="shared" ca="1" si="325"/>
        <v>-2.3255373381696651E-6</v>
      </c>
      <c r="I263" s="32">
        <f ca="1">(((1)/(2*$B$262*$H$262))*LN(($G$262+($H$262*$E$263^2))/($G$262+($H$262*$E$262^2))))</f>
        <v>71.602364304943862</v>
      </c>
      <c r="J263" s="32">
        <f t="shared" ca="1" si="330"/>
        <v>1.0604646978359513</v>
      </c>
      <c r="K263" s="32">
        <f ca="1">B266*(1-COS(RADIANS(B267)))</f>
        <v>275.95977059192512</v>
      </c>
      <c r="L263" s="176" t="s">
        <v>9</v>
      </c>
      <c r="N263" s="153">
        <v>0</v>
      </c>
      <c r="O263" s="153">
        <v>0.3</v>
      </c>
      <c r="P263" s="153">
        <v>82</v>
      </c>
      <c r="Q263" s="153">
        <v>286</v>
      </c>
      <c r="R263" s="153">
        <v>19429.347829999999</v>
      </c>
      <c r="S263" s="153">
        <v>13349.18478</v>
      </c>
      <c r="T263" s="153">
        <v>8967.3913040000007</v>
      </c>
      <c r="U263" s="153">
        <v>5910.3260870000004</v>
      </c>
      <c r="V263" s="153">
        <v>4619.5652170000003</v>
      </c>
      <c r="W263" s="153"/>
      <c r="X263" s="153">
        <v>4895.4496639999998</v>
      </c>
      <c r="Y263" s="153">
        <v>6027.1140930000001</v>
      </c>
      <c r="Z263" s="153">
        <v>4895.4496639999998</v>
      </c>
      <c r="AA263" s="153">
        <v>4141.006711</v>
      </c>
      <c r="AB263" s="153">
        <v>2781.7449660000002</v>
      </c>
      <c r="AC263" s="153">
        <v>1833.4228189999999</v>
      </c>
      <c r="AD263" s="153">
        <v>1433.0201340000001</v>
      </c>
      <c r="AF263" s="161">
        <v>0.06</v>
      </c>
      <c r="AG263" s="141">
        <f>$Y$258+(AF263-$O$258)*(($Y$259-$Y$258)/($O$259-$O$258))</f>
        <v>6204.1342275999996</v>
      </c>
      <c r="AH263" s="141">
        <f>$Z$258+(AF263-$O$258)*(($Z$259-$Z$258)/($O$259-$O$258))</f>
        <v>5040.8590598000001</v>
      </c>
      <c r="AN263" s="53"/>
    </row>
    <row r="264" spans="1:40" thickBot="1">
      <c r="A264" s="21" t="s">
        <v>155</v>
      </c>
      <c r="B264" s="32">
        <f>0.9*B18</f>
        <v>2.16</v>
      </c>
      <c r="D264" s="32">
        <v>7.0000000000000007E-2</v>
      </c>
      <c r="E264" s="32">
        <f t="shared" si="328"/>
        <v>78.773099999999999</v>
      </c>
      <c r="F264" s="21">
        <f t="shared" si="329"/>
        <v>4676.2397310780007</v>
      </c>
      <c r="G264" s="32">
        <f t="shared" ca="1" si="324"/>
        <v>0.30960056897028848</v>
      </c>
      <c r="H264" s="32">
        <f t="shared" ca="1" si="325"/>
        <v>-2.3255373381696651E-6</v>
      </c>
      <c r="I264" s="32">
        <f ca="1">(((1)/(2*$B$262*$H$263))*LN(($G$263+($H$263*$E$264^2))/($G$263+($H$263*$E$263^2))))</f>
        <v>85.874650047443851</v>
      </c>
      <c r="J264" s="32">
        <f t="shared" ca="1" si="330"/>
        <v>1.090151968723382</v>
      </c>
      <c r="N264" s="153">
        <v>0</v>
      </c>
      <c r="O264" s="153">
        <v>0.35</v>
      </c>
      <c r="P264" s="153">
        <v>81</v>
      </c>
      <c r="Q264" s="153">
        <v>287</v>
      </c>
      <c r="R264" s="153">
        <v>19497.282609999998</v>
      </c>
      <c r="S264" s="153">
        <v>13383.152169999999</v>
      </c>
      <c r="T264" s="153">
        <v>9035.3260869999995</v>
      </c>
      <c r="U264" s="153">
        <v>5978.2608700000001</v>
      </c>
      <c r="V264" s="153">
        <v>4619.5652170000003</v>
      </c>
      <c r="W264" s="153"/>
      <c r="X264" s="153">
        <v>4910.2013420000003</v>
      </c>
      <c r="Y264" s="153">
        <v>6048.187919</v>
      </c>
      <c r="Z264" s="153">
        <v>4910.2013420000003</v>
      </c>
      <c r="AA264" s="153">
        <v>4151.5436239999999</v>
      </c>
      <c r="AB264" s="153">
        <v>2802.818792</v>
      </c>
      <c r="AC264" s="153">
        <v>1854.4966440000001</v>
      </c>
      <c r="AD264" s="153">
        <v>1433.0201340000001</v>
      </c>
      <c r="AF264" s="161">
        <v>7.0000000000000007E-2</v>
      </c>
      <c r="AG264" s="141">
        <f>$Y$258+(AF264-$O$258)*(($Y$259-$Y$258)/($O$259-$O$258))</f>
        <v>6191.4899322000001</v>
      </c>
      <c r="AH264" s="141">
        <f>$Z$258+(AF264-$O$258)*(($Z$259-$Z$258)/($O$259-$O$258))</f>
        <v>5028.2147646000003</v>
      </c>
      <c r="AN264" s="53"/>
    </row>
    <row r="265" spans="1:40" thickBot="1">
      <c r="A265" s="21" t="s">
        <v>156</v>
      </c>
      <c r="B265" s="32">
        <v>1.2</v>
      </c>
      <c r="D265" s="21">
        <v>0.08</v>
      </c>
      <c r="E265" s="32">
        <f t="shared" si="328"/>
        <v>90.026399999999995</v>
      </c>
      <c r="F265" s="21">
        <f t="shared" si="329"/>
        <v>4664.4805365419998</v>
      </c>
      <c r="G265" s="32">
        <f t="shared" ca="1" si="324"/>
        <v>0.30872143929840773</v>
      </c>
      <c r="H265" s="32">
        <f t="shared" ca="1" si="325"/>
        <v>-2.3255373381696651E-6</v>
      </c>
      <c r="I265" s="32">
        <f ca="1">(((1)/(2*$B$262*$H$264))*LN(($G$264+($H$264*$E$265^2))/($G$264+($H$264*$E$264^2))))</f>
        <v>100.77848340644374</v>
      </c>
      <c r="J265" s="32">
        <f t="shared" ca="1" si="330"/>
        <v>1.11943255985404</v>
      </c>
      <c r="N265" s="153">
        <v>0</v>
      </c>
      <c r="O265" s="153">
        <v>0.4</v>
      </c>
      <c r="P265" s="153">
        <v>78</v>
      </c>
      <c r="Q265" s="153">
        <v>290</v>
      </c>
      <c r="R265" s="153">
        <v>19701.086960000001</v>
      </c>
      <c r="S265" s="153">
        <v>13519.02174</v>
      </c>
      <c r="T265" s="153">
        <v>9171.1956520000003</v>
      </c>
      <c r="U265" s="153">
        <v>5978.2608700000001</v>
      </c>
      <c r="V265" s="153">
        <v>4619.5652170000003</v>
      </c>
      <c r="W265" s="153"/>
      <c r="X265" s="153">
        <v>4960.778523</v>
      </c>
      <c r="Y265" s="153">
        <v>6111.4093949999997</v>
      </c>
      <c r="Z265" s="153">
        <v>4960.778523</v>
      </c>
      <c r="AA265" s="153">
        <v>4193.6912750000001</v>
      </c>
      <c r="AB265" s="153">
        <v>2844.9664429999998</v>
      </c>
      <c r="AC265" s="153">
        <v>1854.4966440000001</v>
      </c>
      <c r="AD265" s="153">
        <v>1433.0201340000001</v>
      </c>
      <c r="AF265" s="161">
        <v>0.08</v>
      </c>
      <c r="AG265" s="141">
        <f>$Y$258+(AF265-$O$258)*(($Y$259-$Y$258)/($O$259-$O$258))</f>
        <v>6178.8456367999997</v>
      </c>
      <c r="AH265" s="141">
        <f>$Z$258+(AF265-$O$258)*(($Z$259-$Z$258)/($O$259-$O$258))</f>
        <v>5015.5704693999996</v>
      </c>
      <c r="AN265" s="53"/>
    </row>
    <row r="266" spans="1:40" thickBot="1">
      <c r="A266" s="21" t="s">
        <v>157</v>
      </c>
      <c r="B266" s="32">
        <f ca="1">((H1)^2)/((B262)*((B265-1)))</f>
        <v>4941.1272144693849</v>
      </c>
      <c r="C266" s="21" t="s">
        <v>9</v>
      </c>
      <c r="D266" s="32">
        <v>0.09</v>
      </c>
      <c r="E266" s="32">
        <f t="shared" si="328"/>
        <v>101.27969999999999</v>
      </c>
      <c r="F266" s="21">
        <f t="shared" si="329"/>
        <v>4652.7213420059998</v>
      </c>
      <c r="G266" s="32">
        <f t="shared" ca="1" si="324"/>
        <v>0.30784230962652709</v>
      </c>
      <c r="H266" s="32">
        <f t="shared" ca="1" si="325"/>
        <v>-2.3255373381696651E-6</v>
      </c>
      <c r="I266" s="32">
        <f ca="1">(((1)/(2*$B$262*$H$265))*LN(($G$265+($H$265*$E$266^2))/($G$265+($H$265*$E$265^2))))</f>
        <v>116.43854413888151</v>
      </c>
      <c r="J266" s="32">
        <f t="shared" ca="1" si="330"/>
        <v>1.1496730750474331</v>
      </c>
      <c r="N266" s="153">
        <v>0</v>
      </c>
      <c r="O266" s="153">
        <v>0.45</v>
      </c>
      <c r="P266" s="153">
        <v>74</v>
      </c>
      <c r="Q266" s="153">
        <v>294</v>
      </c>
      <c r="R266" s="153">
        <v>19972.826089999999</v>
      </c>
      <c r="S266" s="153">
        <v>13790.76087</v>
      </c>
      <c r="T266" s="153">
        <v>9307.0652169999994</v>
      </c>
      <c r="U266" s="153">
        <v>5978.2608700000001</v>
      </c>
      <c r="V266" s="153">
        <v>4687.5</v>
      </c>
      <c r="W266" s="153"/>
      <c r="X266" s="153">
        <v>5045.0738250000004</v>
      </c>
      <c r="Y266" s="153">
        <v>6195.7046970000001</v>
      </c>
      <c r="Z266" s="153">
        <v>5045.0738250000004</v>
      </c>
      <c r="AA266" s="153">
        <v>4277.9865769999997</v>
      </c>
      <c r="AB266" s="153">
        <v>2887.114094</v>
      </c>
      <c r="AC266" s="153">
        <v>1854.4966440000001</v>
      </c>
      <c r="AD266" s="153">
        <v>1454.0939599999999</v>
      </c>
      <c r="AF266" s="161">
        <v>0.09</v>
      </c>
      <c r="AG266" s="141">
        <f>$Y$258+(AF266-$O$258)*(($Y$259-$Y$258)/($O$259-$O$258))</f>
        <v>6166.2013414000003</v>
      </c>
      <c r="AH266" s="141">
        <f>$Z$258+(AF266-$O$258)*(($Z$259-$Z$258)/($O$259-$O$258))</f>
        <v>5002.9261741999999</v>
      </c>
      <c r="AN266" s="53"/>
    </row>
    <row r="267" spans="1:40" thickBot="1">
      <c r="A267" s="21" t="s">
        <v>158</v>
      </c>
      <c r="B267" s="32">
        <f ca="1">$T$23</f>
        <v>19.239322893122711</v>
      </c>
      <c r="D267" s="21">
        <v>0.1</v>
      </c>
      <c r="E267" s="32">
        <f t="shared" si="328"/>
        <v>112.533</v>
      </c>
      <c r="F267" s="21">
        <f t="shared" si="329"/>
        <v>4640.9621474700007</v>
      </c>
      <c r="G267" s="32">
        <f t="shared" ca="1" si="324"/>
        <v>0.3069631799546465</v>
      </c>
      <c r="H267" s="32">
        <f t="shared" ca="1" si="325"/>
        <v>-2.3255373381696651E-6</v>
      </c>
      <c r="I267" s="32">
        <f ca="1">(((1)/(2*$B$262*$H$266))*LN(($G$266+($H$266*$E$267^2))/($G$266+($H$266*$E$266^2))))</f>
        <v>132.99842510864883</v>
      </c>
      <c r="J267" s="32">
        <f t="shared" ca="1" si="330"/>
        <v>1.1818615438018076</v>
      </c>
      <c r="N267" s="153">
        <v>0</v>
      </c>
      <c r="O267" s="153">
        <v>0.5</v>
      </c>
      <c r="P267" s="153">
        <v>70</v>
      </c>
      <c r="Q267" s="153">
        <v>298</v>
      </c>
      <c r="R267" s="153">
        <v>20244.56522</v>
      </c>
      <c r="S267" s="153">
        <v>14062.5</v>
      </c>
      <c r="T267" s="153">
        <v>9510.8695650000009</v>
      </c>
      <c r="U267" s="153">
        <v>6046.1956520000003</v>
      </c>
      <c r="V267" s="153">
        <v>4755.4347829999997</v>
      </c>
      <c r="W267" s="153"/>
      <c r="X267" s="153">
        <v>5129.3691269999999</v>
      </c>
      <c r="Y267" s="153">
        <v>6279.9999989999997</v>
      </c>
      <c r="Z267" s="153">
        <v>5129.3691269999999</v>
      </c>
      <c r="AA267" s="153">
        <v>4362.2818790000001</v>
      </c>
      <c r="AB267" s="153">
        <v>2950.3355700000002</v>
      </c>
      <c r="AC267" s="153">
        <v>1875.5704699999999</v>
      </c>
      <c r="AD267" s="153">
        <v>1475.1677850000001</v>
      </c>
      <c r="AF267" s="161">
        <v>0.1</v>
      </c>
      <c r="AG267" s="141">
        <f>$Y$258+(AF267-$O$258)*(($Y$259-$Y$258)/($O$259-$O$258))</f>
        <v>6153.5570459999999</v>
      </c>
      <c r="AH267" s="141">
        <f>$Z$258+(AF267-$O$258)*(($Z$259-$Z$258)/($O$259-$O$258))</f>
        <v>4990.2818790000001</v>
      </c>
      <c r="AN267" s="53"/>
    </row>
    <row r="268" spans="1:40" thickBot="1">
      <c r="A268" s="21" t="s">
        <v>159</v>
      </c>
      <c r="B268" s="32">
        <f>($B$8*((33*($B$269/$B$270)^1.5)))/(1+33*($B$269/$B$270)^1.5)</f>
        <v>3.7983327420844509E-2</v>
      </c>
      <c r="D268" s="32">
        <v>0.11</v>
      </c>
      <c r="E268" s="32">
        <f t="shared" si="328"/>
        <v>123.7863</v>
      </c>
      <c r="F268" s="21">
        <f t="shared" si="329"/>
        <v>4631.5547916180003</v>
      </c>
      <c r="G268" s="32">
        <f t="shared" ca="1" si="324"/>
        <v>0.30625987620045525</v>
      </c>
      <c r="H268" s="32">
        <f t="shared" ca="1" si="325"/>
        <v>-2.3255373381696651E-6</v>
      </c>
      <c r="I268" s="32">
        <f ca="1">(((1)/(2*$B$262*$H$267))*LN(($G$267+($H$267*$E$268^2))/($G$267+($H$267*$E$267^2))))</f>
        <v>150.62564606073005</v>
      </c>
      <c r="J268" s="32">
        <f t="shared" ca="1" si="330"/>
        <v>1.2168200039966464</v>
      </c>
      <c r="N268" s="153">
        <v>0</v>
      </c>
      <c r="O268" s="153">
        <v>0.55000000000000004</v>
      </c>
      <c r="P268" s="153">
        <v>67</v>
      </c>
      <c r="Q268" s="153">
        <v>301</v>
      </c>
      <c r="R268" s="153">
        <v>20448.369569999999</v>
      </c>
      <c r="S268" s="153">
        <v>14402.17391</v>
      </c>
      <c r="T268" s="153">
        <v>9714.6739130000005</v>
      </c>
      <c r="U268" s="153">
        <v>6250</v>
      </c>
      <c r="V268" s="153">
        <v>4891.3043479999997</v>
      </c>
      <c r="W268" s="153"/>
      <c r="X268" s="153">
        <v>5217.8791940000001</v>
      </c>
      <c r="Y268" s="153">
        <v>6343.2214759999997</v>
      </c>
      <c r="Z268" s="153">
        <v>5217.8791940000001</v>
      </c>
      <c r="AA268" s="153">
        <v>4467.6510060000001</v>
      </c>
      <c r="AB268" s="153">
        <v>3013.5570469999998</v>
      </c>
      <c r="AC268" s="153">
        <v>1938.7919460000001</v>
      </c>
      <c r="AD268" s="153">
        <v>1517.3154360000001</v>
      </c>
      <c r="AF268" s="161">
        <v>0.11</v>
      </c>
      <c r="AG268" s="141">
        <f>$Y$259+(AF268-$O$259)*(($Y$260-$Y$259)/($O$260-$O$259))</f>
        <v>6140.9127508000001</v>
      </c>
      <c r="AH268" s="141">
        <f>$Z$259+(AF268-$O$259)*(($Z$260-$Z$259)/($O$260-$O$259))</f>
        <v>4980.1664425999998</v>
      </c>
      <c r="AN268" s="53"/>
    </row>
    <row r="269" spans="1:40" thickBot="1">
      <c r="A269" s="67" t="s">
        <v>210</v>
      </c>
      <c r="B269" s="67">
        <v>4.75</v>
      </c>
      <c r="C269" s="21" t="s">
        <v>9</v>
      </c>
      <c r="D269" s="21">
        <v>0.12</v>
      </c>
      <c r="E269" s="32">
        <f t="shared" si="328"/>
        <v>135.03959999999998</v>
      </c>
      <c r="F269" s="21">
        <f t="shared" si="329"/>
        <v>4622.1474357660009</v>
      </c>
      <c r="G269" s="32">
        <f t="shared" ca="1" si="324"/>
        <v>0.30555657244626411</v>
      </c>
      <c r="H269" s="32">
        <f t="shared" ca="1" si="325"/>
        <v>-2.3255373381696651E-6</v>
      </c>
      <c r="I269" s="32">
        <f ca="1">(((1)/(2*$B$262*$H$268))*LN(($G$268+($H$268*$E$269^2))/($G$268+($H$268*$E$268^2))))</f>
        <v>169.40657992789309</v>
      </c>
      <c r="J269" s="32">
        <f t="shared" ca="1" si="330"/>
        <v>1.2544955696543318</v>
      </c>
      <c r="N269" s="153">
        <v>0</v>
      </c>
      <c r="O269" s="153">
        <v>0.6</v>
      </c>
      <c r="P269" s="153">
        <v>68</v>
      </c>
      <c r="Q269" s="153">
        <v>300</v>
      </c>
      <c r="R269" s="153">
        <v>20380.43478</v>
      </c>
      <c r="S269" s="153">
        <v>14809.78261</v>
      </c>
      <c r="T269" s="153">
        <v>9918.4782610000002</v>
      </c>
      <c r="U269" s="153">
        <v>6453.8043479999997</v>
      </c>
      <c r="V269" s="153">
        <v>5027.1739129999996</v>
      </c>
      <c r="W269" s="153"/>
      <c r="X269" s="153">
        <v>5285.3154359999999</v>
      </c>
      <c r="Y269" s="153">
        <v>6322.1476499999999</v>
      </c>
      <c r="Z269" s="153">
        <v>5285.3154359999999</v>
      </c>
      <c r="AA269" s="153">
        <v>4594.0939589999998</v>
      </c>
      <c r="AB269" s="153">
        <v>3076.778523</v>
      </c>
      <c r="AC269" s="153">
        <v>2002.0134230000001</v>
      </c>
      <c r="AD269" s="153">
        <v>1559.4630870000001</v>
      </c>
      <c r="AF269" s="161">
        <v>0.12</v>
      </c>
      <c r="AG269" s="141">
        <f>$Y$259+(AF269-$O$259)*(($Y$260-$Y$259)/($O$260-$O$259))</f>
        <v>6128.2684556000004</v>
      </c>
      <c r="AH269" s="141">
        <f>$Z$259+(AF269-$O$259)*(($Z$260-$Z$259)/($O$260-$O$259))</f>
        <v>4970.0510062000003</v>
      </c>
      <c r="AN269" s="53"/>
    </row>
    <row r="270" spans="1:40" thickBot="1">
      <c r="A270" s="67" t="s">
        <v>211</v>
      </c>
      <c r="B270" s="67">
        <v>37.148000000000003</v>
      </c>
      <c r="C270" s="21" t="s">
        <v>9</v>
      </c>
      <c r="D270" s="32">
        <v>0.13</v>
      </c>
      <c r="E270" s="32">
        <f t="shared" si="328"/>
        <v>146.2929</v>
      </c>
      <c r="F270" s="21">
        <f t="shared" si="329"/>
        <v>4612.7400799140005</v>
      </c>
      <c r="G270" s="32">
        <f t="shared" ca="1" si="324"/>
        <v>0.30485326869207291</v>
      </c>
      <c r="H270" s="32">
        <f t="shared" ca="1" si="325"/>
        <v>-2.3255373381696651E-6</v>
      </c>
      <c r="I270" s="32">
        <f ca="1">(((1)/(2*$B$262*$H$269))*LN(($G$269+($H$269*$E$270^2))/($G$269+($H$269*$E$269^2))))</f>
        <v>189.65523237214899</v>
      </c>
      <c r="J270" s="32">
        <f t="shared" ca="1" si="330"/>
        <v>1.2964076340830553</v>
      </c>
      <c r="N270" s="153">
        <v>0</v>
      </c>
      <c r="O270" s="153">
        <v>0.65</v>
      </c>
      <c r="P270" s="153">
        <v>70</v>
      </c>
      <c r="Q270" s="153">
        <v>298</v>
      </c>
      <c r="R270" s="153">
        <v>20244.56522</v>
      </c>
      <c r="S270" s="153">
        <v>15285.32609</v>
      </c>
      <c r="T270" s="153">
        <v>10258.152169999999</v>
      </c>
      <c r="U270" s="153">
        <v>6657.6086960000002</v>
      </c>
      <c r="V270" s="153">
        <v>5163.0434779999996</v>
      </c>
      <c r="W270" s="153"/>
      <c r="X270" s="153">
        <v>5356.9664419999999</v>
      </c>
      <c r="Y270" s="153">
        <v>6279.9999989999997</v>
      </c>
      <c r="Z270" s="153">
        <v>5356.9664419999999</v>
      </c>
      <c r="AA270" s="153">
        <v>4741.6107380000003</v>
      </c>
      <c r="AB270" s="153">
        <v>3182.1476510000002</v>
      </c>
      <c r="AC270" s="153">
        <v>2065.234899</v>
      </c>
      <c r="AD270" s="153">
        <v>1601.6107380000001</v>
      </c>
      <c r="AF270" s="161">
        <v>0.13</v>
      </c>
      <c r="AG270" s="141">
        <f>$Y$259+(AF270-$O$259)*(($Y$260-$Y$259)/($O$260-$O$259))</f>
        <v>6115.6241603999997</v>
      </c>
      <c r="AH270" s="141">
        <f>$Z$259+(AF270-$O$259)*(($Z$260-$Z$259)/($O$260-$O$259))</f>
        <v>4959.9355697999999</v>
      </c>
      <c r="AN270" s="53"/>
    </row>
    <row r="271" spans="1:40" thickBot="1">
      <c r="D271" s="21">
        <v>0.14000000000000001</v>
      </c>
      <c r="E271" s="32">
        <f t="shared" si="328"/>
        <v>157.5462</v>
      </c>
      <c r="F271" s="21">
        <f t="shared" si="329"/>
        <v>4603.332724062001</v>
      </c>
      <c r="G271" s="32">
        <f t="shared" ca="1" si="324"/>
        <v>0.30414996493788171</v>
      </c>
      <c r="H271" s="32">
        <f t="shared" ca="1" si="325"/>
        <v>-2.3255373381696651E-6</v>
      </c>
      <c r="I271" s="32">
        <f ca="1">(((1)/(2*$B$262*$H$270))*LN(($G$270+($H$270*$E$271^2))/($G$270+($H$270*$E$270^2))))</f>
        <v>211.65058545233757</v>
      </c>
      <c r="J271" s="32">
        <f t="shared" ca="1" si="330"/>
        <v>1.3434191713436285</v>
      </c>
      <c r="N271" s="153">
        <v>0</v>
      </c>
      <c r="O271" s="153">
        <v>0.7</v>
      </c>
      <c r="P271" s="153">
        <v>71</v>
      </c>
      <c r="Q271" s="153">
        <v>297</v>
      </c>
      <c r="R271" s="153">
        <v>20176.630430000001</v>
      </c>
      <c r="S271" s="153">
        <v>15760.869570000001</v>
      </c>
      <c r="T271" s="153">
        <v>10597.82609</v>
      </c>
      <c r="U271" s="153">
        <v>6929.3478260000002</v>
      </c>
      <c r="V271" s="153">
        <v>5366.8478260000002</v>
      </c>
      <c r="W271" s="153"/>
      <c r="X271" s="153">
        <v>5437.0469789999997</v>
      </c>
      <c r="Y271" s="153">
        <v>6258.9261740000002</v>
      </c>
      <c r="Z271" s="153">
        <v>5437.0469789999997</v>
      </c>
      <c r="AA271" s="153">
        <v>4889.1275159999996</v>
      </c>
      <c r="AB271" s="153">
        <v>3287.5167780000002</v>
      </c>
      <c r="AC271" s="153">
        <v>2149.530201</v>
      </c>
      <c r="AD271" s="153">
        <v>1664.8322149999999</v>
      </c>
      <c r="AF271" s="161">
        <v>0.14000000000000001</v>
      </c>
      <c r="AG271" s="141">
        <f>$Y$259+(AF271-$O$259)*(($Y$260-$Y$259)/($O$260-$O$259))</f>
        <v>6102.9798651999999</v>
      </c>
      <c r="AH271" s="141">
        <f>$Z$259+(AF271-$O$259)*(($Z$260-$Z$259)/($O$260-$O$259))</f>
        <v>4949.8201334000005</v>
      </c>
      <c r="AN271" s="53"/>
    </row>
    <row r="272" spans="1:40" thickBot="1">
      <c r="D272" s="32">
        <v>0.15</v>
      </c>
      <c r="E272" s="32">
        <f t="shared" si="328"/>
        <v>168.79949999999999</v>
      </c>
      <c r="F272" s="21">
        <f t="shared" si="329"/>
        <v>4593.9253682100007</v>
      </c>
      <c r="G272" s="32">
        <f t="shared" ca="1" si="324"/>
        <v>0.30344666118369051</v>
      </c>
      <c r="H272" s="32">
        <f t="shared" ca="1" si="325"/>
        <v>-2.3255373381696651E-6</v>
      </c>
      <c r="I272" s="32">
        <f ca="1">(((1)/(2*$B$262*$H$271))*LN(($G$271+($H$271*$E$272^2))/($G$271+($H$271*$E$271^2))))</f>
        <v>235.73435903395031</v>
      </c>
      <c r="J272" s="32">
        <f t="shared" ca="1" si="330"/>
        <v>1.3965346996522521</v>
      </c>
      <c r="N272" s="153">
        <v>0</v>
      </c>
      <c r="O272" s="153">
        <v>0.75</v>
      </c>
      <c r="P272" s="153">
        <v>71</v>
      </c>
      <c r="Q272" s="153">
        <v>297</v>
      </c>
      <c r="R272" s="153">
        <v>20176.630430000001</v>
      </c>
      <c r="S272" s="153">
        <v>16372.28261</v>
      </c>
      <c r="T272" s="153">
        <v>10937.5</v>
      </c>
      <c r="U272" s="153">
        <v>7201.0869570000004</v>
      </c>
      <c r="V272" s="153">
        <v>5502.7173910000001</v>
      </c>
      <c r="W272" s="153"/>
      <c r="X272" s="153">
        <v>5550.8456370000004</v>
      </c>
      <c r="Y272" s="153">
        <v>6258.9261740000002</v>
      </c>
      <c r="Z272" s="153">
        <v>5550.8456370000004</v>
      </c>
      <c r="AA272" s="153">
        <v>5078.7919460000003</v>
      </c>
      <c r="AB272" s="153">
        <v>3392.885906</v>
      </c>
      <c r="AC272" s="153">
        <v>2233.825503</v>
      </c>
      <c r="AD272" s="153">
        <v>1706.9798659999999</v>
      </c>
      <c r="AF272" s="161">
        <v>0.15</v>
      </c>
      <c r="AG272" s="141">
        <f>$Y$259+(AF272-$O$259)*(($Y$260-$Y$259)/($O$260-$O$259))</f>
        <v>6090.3355700000002</v>
      </c>
      <c r="AH272" s="141">
        <f>$Z$259+(AF272-$O$259)*(($Z$260-$Z$259)/($O$260-$O$259))</f>
        <v>4939.7046970000001</v>
      </c>
      <c r="AN272" s="53"/>
    </row>
    <row r="273" spans="3:42" thickBot="1">
      <c r="D273" s="21">
        <v>0.16</v>
      </c>
      <c r="E273" s="32">
        <f t="shared" si="328"/>
        <v>180.05279999999999</v>
      </c>
      <c r="F273" s="21">
        <f t="shared" si="329"/>
        <v>4588.4377441799998</v>
      </c>
      <c r="G273" s="32">
        <f t="shared" ca="1" si="324"/>
        <v>0.3030364006766354</v>
      </c>
      <c r="H273" s="32">
        <f t="shared" ca="1" si="325"/>
        <v>-2.3255373381696651E-6</v>
      </c>
      <c r="I273" s="32">
        <f ca="1">(((1)/(2*$B$262*$H$272))*LN(($G$272+($H$272*$E$273^2))/($G$272+($H$272*$E$272^2))))</f>
        <v>262.33097046689085</v>
      </c>
      <c r="J273" s="32">
        <f t="shared" ca="1" si="330"/>
        <v>1.4569669034132813</v>
      </c>
      <c r="N273" s="153">
        <v>0</v>
      </c>
      <c r="O273" s="153">
        <v>0.8</v>
      </c>
      <c r="P273" s="153">
        <v>71</v>
      </c>
      <c r="Q273" s="153">
        <v>297</v>
      </c>
      <c r="R273" s="153">
        <v>20176.630430000001</v>
      </c>
      <c r="S273" s="153">
        <v>17119.56522</v>
      </c>
      <c r="T273" s="153">
        <v>11480.97826</v>
      </c>
      <c r="U273" s="153">
        <v>7472.8260870000004</v>
      </c>
      <c r="V273" s="153">
        <v>5706.5217389999998</v>
      </c>
      <c r="W273" s="153"/>
      <c r="X273" s="153">
        <v>5689.9328850000002</v>
      </c>
      <c r="Y273" s="153">
        <v>6258.9261740000002</v>
      </c>
      <c r="Z273" s="153">
        <v>5689.9328850000002</v>
      </c>
      <c r="AA273" s="153">
        <v>5310.604026</v>
      </c>
      <c r="AB273" s="153">
        <v>3561.47651</v>
      </c>
      <c r="AC273" s="153">
        <v>2318.120805</v>
      </c>
      <c r="AD273" s="153">
        <v>1770.2013420000001</v>
      </c>
      <c r="AF273" s="161">
        <v>0.16</v>
      </c>
      <c r="AG273" s="141">
        <f>$Y$260+(AF273-$O$260)*(($Y$261-$Y$260)/($O$261-$O$260))</f>
        <v>6081.9060398000001</v>
      </c>
      <c r="AH273" s="141">
        <f>$Z$260+(AF273-$O$260)*(($Z$261-$Z$260)/($O$261-$O$260))</f>
        <v>4933.8040259999998</v>
      </c>
      <c r="AN273" s="53"/>
    </row>
    <row r="274" spans="3:42" thickBot="1">
      <c r="D274" s="32">
        <v>0.17</v>
      </c>
      <c r="E274" s="32">
        <f t="shared" si="328"/>
        <v>191.30610000000001</v>
      </c>
      <c r="F274" s="21">
        <f t="shared" si="329"/>
        <v>4582.9501201500007</v>
      </c>
      <c r="G274" s="32">
        <f t="shared" ca="1" si="324"/>
        <v>0.30262614016958039</v>
      </c>
      <c r="H274" s="32">
        <f t="shared" ca="1" si="325"/>
        <v>-2.3255373381696651E-6</v>
      </c>
      <c r="I274" s="32">
        <f ca="1">(((1)/(2*$B$262*$H$273))*LN(($G$273+($H$273*$E$274^2))/($G$273+($H$273*$E$273^2))))</f>
        <v>291.59127928150343</v>
      </c>
      <c r="J274" s="32">
        <f t="shared" ca="1" si="330"/>
        <v>1.5242131812916755</v>
      </c>
      <c r="N274" s="153">
        <v>0</v>
      </c>
      <c r="O274" s="153">
        <v>0.85</v>
      </c>
      <c r="P274" s="153">
        <v>71</v>
      </c>
      <c r="Q274" s="153">
        <v>297</v>
      </c>
      <c r="R274" s="153">
        <v>20176.630430000001</v>
      </c>
      <c r="S274" s="153">
        <v>17187.5</v>
      </c>
      <c r="T274" s="153">
        <v>11956.52174</v>
      </c>
      <c r="U274" s="153">
        <v>7812.5</v>
      </c>
      <c r="V274" s="153">
        <v>5978.2608700000001</v>
      </c>
      <c r="W274" s="153"/>
      <c r="X274" s="153">
        <v>5702.5771800000002</v>
      </c>
      <c r="Y274" s="153">
        <v>6258.9261740000002</v>
      </c>
      <c r="Z274" s="153">
        <v>5702.5771800000002</v>
      </c>
      <c r="AA274" s="153">
        <v>5331.6778519999998</v>
      </c>
      <c r="AB274" s="153">
        <v>3708.9932880000001</v>
      </c>
      <c r="AC274" s="153">
        <v>2423.4899329999998</v>
      </c>
      <c r="AD274" s="153">
        <v>1854.4966440000001</v>
      </c>
      <c r="AF274" s="161">
        <v>0.17</v>
      </c>
      <c r="AG274" s="141">
        <f>$Y$260+(AF274-$O$260)*(($Y$261-$Y$260)/($O$261-$O$260))</f>
        <v>6073.4765096000001</v>
      </c>
      <c r="AH274" s="141">
        <f>$Z$260+(AF274-$O$260)*(($Z$261-$Z$260)/($O$261-$O$260))</f>
        <v>4927.9033550000004</v>
      </c>
      <c r="AN274" s="53"/>
    </row>
    <row r="275" spans="3:42" thickBot="1">
      <c r="D275" s="21">
        <v>0.18</v>
      </c>
      <c r="E275" s="32">
        <f t="shared" si="328"/>
        <v>202.55939999999998</v>
      </c>
      <c r="F275" s="21">
        <f t="shared" si="329"/>
        <v>4577.4624961200007</v>
      </c>
      <c r="G275" s="32">
        <f t="shared" ca="1" si="324"/>
        <v>0.30221587966252539</v>
      </c>
      <c r="H275" s="32">
        <f t="shared" ca="1" si="325"/>
        <v>-2.3255373381696651E-6</v>
      </c>
      <c r="I275" s="32">
        <f ca="1">(((1)/(2*$B$262*$H$274))*LN(($G$274+($H$274*$E$275^2))/($G$274+($H$274*$E$274^2))))</f>
        <v>324.45506009512445</v>
      </c>
      <c r="J275" s="32">
        <f t="shared" ca="1" si="330"/>
        <v>1.6017773556553014</v>
      </c>
      <c r="N275" s="153">
        <v>0</v>
      </c>
      <c r="O275" s="153">
        <v>0.9</v>
      </c>
      <c r="P275" s="153">
        <v>71</v>
      </c>
      <c r="Q275" s="153">
        <v>297</v>
      </c>
      <c r="R275" s="153">
        <v>20176.630430000001</v>
      </c>
      <c r="S275" s="153">
        <v>17255.43478</v>
      </c>
      <c r="T275" s="153">
        <v>12567.93478</v>
      </c>
      <c r="U275" s="153">
        <v>8152.1739129999996</v>
      </c>
      <c r="V275" s="153">
        <v>6250</v>
      </c>
      <c r="W275" s="153"/>
      <c r="X275" s="153">
        <v>5715.2214759999997</v>
      </c>
      <c r="Y275" s="153">
        <v>6258.9261740000002</v>
      </c>
      <c r="Z275" s="153">
        <v>5715.2214759999997</v>
      </c>
      <c r="AA275" s="153">
        <v>5352.7516770000002</v>
      </c>
      <c r="AB275" s="153">
        <v>3898.6577179999999</v>
      </c>
      <c r="AC275" s="153">
        <v>2528.8590600000002</v>
      </c>
      <c r="AD275" s="153">
        <v>1938.7919460000001</v>
      </c>
      <c r="AF275" s="161">
        <v>0.18</v>
      </c>
      <c r="AG275" s="141">
        <f>$Y$260+(AF275-$O$260)*(($Y$261-$Y$260)/($O$261-$O$260))</f>
        <v>6065.0469794000001</v>
      </c>
      <c r="AH275" s="141">
        <f>$Z$260+(AF275-$O$260)*(($Z$261-$Z$260)/($O$261-$O$260))</f>
        <v>4922.002684</v>
      </c>
      <c r="AN275" s="53"/>
    </row>
    <row r="276" spans="3:42" thickBot="1">
      <c r="D276" s="32">
        <v>0.19</v>
      </c>
      <c r="E276" s="32">
        <f t="shared" si="328"/>
        <v>213.81269999999998</v>
      </c>
      <c r="F276" s="21">
        <f t="shared" si="329"/>
        <v>4571.9748720900006</v>
      </c>
      <c r="G276" s="32">
        <f t="shared" ca="1" si="324"/>
        <v>0.30180561915547033</v>
      </c>
      <c r="H276" s="32">
        <f t="shared" ca="1" si="325"/>
        <v>-2.3255373381696651E-6</v>
      </c>
      <c r="I276" s="32">
        <f ca="1">(((1)/(2*$B$262*$H$275))*LN(($G$275+($H$275*$E$276^2))/($G$275+($H$275*$E$275^2))))</f>
        <v>361.77166959043325</v>
      </c>
      <c r="J276" s="32">
        <f t="shared" ca="1" si="330"/>
        <v>1.6920027182222257</v>
      </c>
      <c r="N276" s="153">
        <v>0</v>
      </c>
      <c r="O276" s="153">
        <v>0.95</v>
      </c>
      <c r="P276" s="153">
        <v>70</v>
      </c>
      <c r="Q276" s="153">
        <v>298</v>
      </c>
      <c r="R276" s="153">
        <v>20244.56522</v>
      </c>
      <c r="S276" s="153">
        <v>17255.43478</v>
      </c>
      <c r="T276" s="153">
        <v>13179.347830000001</v>
      </c>
      <c r="U276" s="153">
        <v>8559.7826089999999</v>
      </c>
      <c r="V276" s="153">
        <v>6589.6739129999996</v>
      </c>
      <c r="W276" s="153"/>
      <c r="X276" s="153">
        <v>5723.6510060000001</v>
      </c>
      <c r="Y276" s="153">
        <v>6279.9999989999997</v>
      </c>
      <c r="Z276" s="153">
        <v>5723.6510060000001</v>
      </c>
      <c r="AA276" s="153">
        <v>5352.7516770000002</v>
      </c>
      <c r="AB276" s="153">
        <v>4088.3221469999999</v>
      </c>
      <c r="AC276" s="153">
        <v>2655.302013</v>
      </c>
      <c r="AD276" s="153">
        <v>2044.1610740000001</v>
      </c>
      <c r="AF276" s="161">
        <v>0.19</v>
      </c>
      <c r="AG276" s="141">
        <f>$Y$260+(AF276-$O$260)*(($Y$261-$Y$260)/($O$261-$O$260))</f>
        <v>6056.6174492</v>
      </c>
      <c r="AH276" s="141">
        <f>$Z$260+(AF276-$O$260)*(($Z$261-$Z$260)/($O$261-$O$260))</f>
        <v>4916.1020130000006</v>
      </c>
      <c r="AN276" s="53"/>
    </row>
    <row r="277" spans="3:42" thickBot="1">
      <c r="D277" s="135">
        <v>0.2</v>
      </c>
      <c r="E277" s="145">
        <f t="shared" si="328"/>
        <v>225.066</v>
      </c>
      <c r="F277" s="135">
        <f t="shared" si="329"/>
        <v>4566.4872480600006</v>
      </c>
      <c r="G277" s="145">
        <f t="shared" ca="1" si="324"/>
        <v>0.30139535864841527</v>
      </c>
      <c r="H277" s="145">
        <f t="shared" ca="1" si="325"/>
        <v>-2.3255373381696651E-6</v>
      </c>
      <c r="I277" s="145">
        <f ca="1">(((1)/(2*$B$262*$H$276))*LN(($G$276+($H$276*$E$277^2))/($G$276+($H$276*$E$276^2))))</f>
        <v>404.66593907898982</v>
      </c>
      <c r="J277" s="145">
        <f t="shared" ca="1" si="330"/>
        <v>1.7979878750188381</v>
      </c>
      <c r="N277" s="153">
        <v>0</v>
      </c>
      <c r="O277" s="153">
        <v>1</v>
      </c>
      <c r="P277" s="153">
        <v>68</v>
      </c>
      <c r="Q277" s="153">
        <v>300</v>
      </c>
      <c r="R277" s="153">
        <v>20380.43478</v>
      </c>
      <c r="S277" s="153">
        <v>17323.369569999999</v>
      </c>
      <c r="T277" s="153">
        <v>13926.630429999999</v>
      </c>
      <c r="U277" s="153">
        <v>9103.2608700000001</v>
      </c>
      <c r="V277" s="153">
        <v>6929.3478260000002</v>
      </c>
      <c r="W277" s="153"/>
      <c r="X277" s="153">
        <v>5753.1543620000002</v>
      </c>
      <c r="Y277" s="153">
        <v>6322.1476499999999</v>
      </c>
      <c r="Z277" s="153">
        <v>5753.1543620000002</v>
      </c>
      <c r="AA277" s="153">
        <v>5373.825503</v>
      </c>
      <c r="AB277" s="153">
        <v>4320.1342279999999</v>
      </c>
      <c r="AC277" s="153">
        <v>2823.892617</v>
      </c>
      <c r="AD277" s="153">
        <v>2149.530201</v>
      </c>
      <c r="AF277" s="161">
        <v>0.2</v>
      </c>
      <c r="AG277" s="141">
        <f>$Y$260+(AF277-$O$260)*(($Y$261-$Y$260)/($O$261-$O$260))</f>
        <v>6048.187919</v>
      </c>
      <c r="AH277" s="141">
        <f>$Z$260+(AF277-$O$260)*(($Z$261-$Z$260)/($O$261-$O$260))</f>
        <v>4910.2013420000003</v>
      </c>
      <c r="AN277" s="53"/>
    </row>
    <row r="278" spans="3:42" ht="14.5">
      <c r="D278" s="163">
        <v>0.21</v>
      </c>
      <c r="E278" s="163">
        <f t="shared" si="328"/>
        <v>236.31929999999997</v>
      </c>
      <c r="F278" s="162">
        <f t="shared" ref="F278:F283" si="331">AG278</f>
        <v>0</v>
      </c>
      <c r="G278" s="163">
        <f t="shared" ca="1" si="324"/>
        <v>-0.04</v>
      </c>
      <c r="H278" s="163">
        <f t="shared" ca="1" si="325"/>
        <v>-2.3255373381696651E-6</v>
      </c>
      <c r="I278" s="163">
        <f ca="1">(((1)/(2*$B$262*$H$277))*LN(($G$277+($H$277*$E$278^2))/($G$277+($H$277*$E$277^2))))</f>
        <v>454.66131262092551</v>
      </c>
      <c r="J278" s="163">
        <f t="shared" ca="1" si="330"/>
        <v>1.923927976347787</v>
      </c>
      <c r="AN278" s="53"/>
    </row>
    <row r="279" spans="3:42" ht="14.5">
      <c r="D279" s="162">
        <v>0.22</v>
      </c>
      <c r="E279" s="163">
        <f t="shared" si="328"/>
        <v>247.57259999999999</v>
      </c>
      <c r="F279" s="162">
        <f t="shared" si="331"/>
        <v>0</v>
      </c>
      <c r="G279" s="177">
        <f t="shared" ca="1" si="324"/>
        <v>-0.04</v>
      </c>
      <c r="H279" s="177">
        <f t="shared" ca="1" si="325"/>
        <v>-2.3255373381696651E-6</v>
      </c>
      <c r="I279" s="177">
        <f ca="1">(((1)/(2*$B$262*$H$278))*LN(($G$278+($H$278*$E$279^2))/($G$278+($H$278*$E$278^2))))</f>
        <v>-480.52347077598432</v>
      </c>
      <c r="J279" s="177">
        <f t="shared" ca="1" si="330"/>
        <v>-1.9409396305406348</v>
      </c>
      <c r="AN279" s="53"/>
    </row>
    <row r="280" spans="3:42" ht="14.5">
      <c r="D280" s="163">
        <v>0.23</v>
      </c>
      <c r="E280" s="163">
        <f t="shared" si="328"/>
        <v>258.82589999999999</v>
      </c>
      <c r="F280" s="162">
        <f t="shared" si="331"/>
        <v>0</v>
      </c>
      <c r="G280" s="177">
        <f t="shared" ca="1" si="324"/>
        <v>-0.04</v>
      </c>
      <c r="H280" s="177">
        <f t="shared" ca="1" si="325"/>
        <v>-2.3255373381696651E-6</v>
      </c>
      <c r="I280" s="177">
        <f ca="1">(((1)/(2*$B$262*$H$279))*LN(($G$279+($H$279*$E$280^2))/($G$279+($H$279*$E$279^2))))</f>
        <v>-468.41591219517244</v>
      </c>
      <c r="J280" s="177">
        <f t="shared" ca="1" si="330"/>
        <v>-1.8097721757952834</v>
      </c>
      <c r="AN280" s="53"/>
    </row>
    <row r="281" spans="3:42" ht="14.5">
      <c r="D281" s="162">
        <v>0.24</v>
      </c>
      <c r="E281" s="163">
        <f t="shared" si="328"/>
        <v>270.07919999999996</v>
      </c>
      <c r="F281" s="162">
        <f t="shared" si="331"/>
        <v>0</v>
      </c>
      <c r="G281" s="177">
        <f t="shared" ca="1" si="324"/>
        <v>-0.04</v>
      </c>
      <c r="H281" s="177">
        <f t="shared" ca="1" si="325"/>
        <v>-2.3255373381696651E-6</v>
      </c>
      <c r="I281" s="177">
        <f ca="1">(((1)/(2*$B$262*$H$280))*LN(($G$280+($H$280*$E$281^2))/($G$280+($H$280*$E$280^2))))</f>
        <v>-456.53000180962914</v>
      </c>
      <c r="J281" s="177">
        <f t="shared" ca="1" si="330"/>
        <v>-1.6903560207880843</v>
      </c>
      <c r="L281" s="21"/>
      <c r="Q281" s="32"/>
      <c r="AA281" s="38"/>
      <c r="AH281" s="2"/>
      <c r="AJ281" s="21"/>
      <c r="AN281" s="53"/>
    </row>
    <row r="282" spans="3:42" ht="14.5">
      <c r="D282" s="163">
        <v>0.25</v>
      </c>
      <c r="E282" s="163">
        <f t="shared" si="328"/>
        <v>281.33249999999998</v>
      </c>
      <c r="F282" s="162">
        <f t="shared" si="331"/>
        <v>0</v>
      </c>
      <c r="G282" s="177">
        <f t="shared" ca="1" si="324"/>
        <v>-0.04</v>
      </c>
      <c r="H282" s="177">
        <f t="shared" ca="1" si="325"/>
        <v>-2.3255373381696651E-6</v>
      </c>
      <c r="I282" s="177">
        <f ca="1">(((1)/(2*$B$262*$H$281))*LN(($G$281+($H$281*$E$282^2))/($G$281+($H$281*$E$281^2))))</f>
        <v>-444.92113034641795</v>
      </c>
      <c r="J282" s="177">
        <f t="shared" ca="1" si="330"/>
        <v>-1.58147789660426</v>
      </c>
      <c r="L282" s="21"/>
      <c r="Q282" s="32"/>
      <c r="AA282" s="38"/>
      <c r="AH282" s="2"/>
      <c r="AJ282" s="21"/>
      <c r="AN282" s="53"/>
    </row>
    <row r="283" spans="3:42" ht="14.5">
      <c r="C283" s="21" t="s">
        <v>212</v>
      </c>
      <c r="D283" s="162">
        <v>0.26</v>
      </c>
      <c r="E283" s="163">
        <f t="shared" si="328"/>
        <v>292.58580000000001</v>
      </c>
      <c r="F283" s="162">
        <f t="shared" si="331"/>
        <v>0</v>
      </c>
      <c r="G283" s="177">
        <f t="shared" ca="1" si="324"/>
        <v>-0.04</v>
      </c>
      <c r="H283" s="177">
        <f t="shared" ca="1" si="325"/>
        <v>-2.3255373381696651E-6</v>
      </c>
      <c r="I283" s="177">
        <f ca="1">(((1)/(2*$B$262*$H$282))*LN(($G$282+($H$282*$E$283^2))/($G$282+($H$282*$E$282^2))))</f>
        <v>-433.6272056186001</v>
      </c>
      <c r="J283" s="177">
        <f t="shared" ca="1" si="330"/>
        <v>-1.4820514379665728</v>
      </c>
      <c r="L283" s="21"/>
      <c r="Q283" s="32"/>
      <c r="AA283" s="38"/>
      <c r="AH283" s="2"/>
      <c r="AJ283" s="21"/>
      <c r="AN283" s="53"/>
    </row>
    <row r="284" spans="3:42" ht="14.5">
      <c r="H284" s="21"/>
      <c r="L284" s="21"/>
      <c r="S284" s="32"/>
      <c r="AC284" s="38"/>
      <c r="AJ284" s="2"/>
      <c r="AL284" s="21"/>
      <c r="AP284" s="53"/>
    </row>
    <row r="285" spans="3:42" ht="14.5">
      <c r="H285" s="34" t="s">
        <v>160</v>
      </c>
      <c r="I285" s="32">
        <f ca="1">SUM(I257:I274)</f>
        <v>2177.6314797668442</v>
      </c>
      <c r="J285" s="21" t="s">
        <v>9</v>
      </c>
      <c r="K285" s="21" t="s">
        <v>161</v>
      </c>
      <c r="L285" s="32">
        <f ca="1">SUM(J257:J272)</f>
        <v>16.450010267536975</v>
      </c>
      <c r="M285" s="21" t="s">
        <v>18</v>
      </c>
      <c r="S285" s="32"/>
      <c r="AC285" s="38"/>
      <c r="AJ285" s="2"/>
      <c r="AL285" s="21"/>
      <c r="AP285" s="53"/>
    </row>
    <row r="286" spans="3:42" ht="14.5">
      <c r="H286" s="7" t="s">
        <v>154</v>
      </c>
      <c r="I286" s="32">
        <f ca="1">B263</f>
        <v>170.54869113313165</v>
      </c>
      <c r="K286" s="21" t="s">
        <v>162</v>
      </c>
      <c r="L286" s="21">
        <v>1</v>
      </c>
      <c r="M286" s="21" t="s">
        <v>18</v>
      </c>
      <c r="S286" s="32"/>
      <c r="AC286" s="38"/>
      <c r="AJ286" s="2"/>
      <c r="AL286" s="21"/>
      <c r="AP286" s="53"/>
    </row>
    <row r="287" spans="3:42" ht="14.5">
      <c r="H287" s="7" t="s">
        <v>138</v>
      </c>
      <c r="I287" s="32">
        <f ca="1">K257</f>
        <v>701.15099760817225</v>
      </c>
      <c r="K287" s="21" t="s">
        <v>163</v>
      </c>
      <c r="L287" s="21">
        <f ca="1">(K257/H1)</f>
        <v>3.9324029235831603</v>
      </c>
      <c r="M287" s="21" t="s">
        <v>18</v>
      </c>
      <c r="S287" s="32"/>
      <c r="AC287" s="38"/>
      <c r="AJ287" s="2"/>
      <c r="AL287" s="21"/>
      <c r="AP287" s="53"/>
    </row>
    <row r="288" spans="3:42" ht="14.5">
      <c r="H288" s="7" t="s">
        <v>148</v>
      </c>
      <c r="I288" s="68">
        <f ca="1">K260</f>
        <v>-647.43701014986277</v>
      </c>
      <c r="K288" s="21" t="s">
        <v>164</v>
      </c>
      <c r="L288" s="49">
        <f ca="1">I288/K1</f>
        <v>-3.4798503701645496</v>
      </c>
      <c r="M288" s="21" t="s">
        <v>18</v>
      </c>
      <c r="S288" s="32"/>
      <c r="AC288" s="38"/>
      <c r="AJ288" s="2"/>
      <c r="AL288" s="21"/>
      <c r="AP288" s="53"/>
    </row>
    <row r="289" spans="1:56" ht="14.5">
      <c r="H289" s="6" t="s">
        <v>165</v>
      </c>
      <c r="I289" s="5">
        <f ca="1">SUM(I285:I287)</f>
        <v>3049.331168508148</v>
      </c>
      <c r="J289" s="6" t="s">
        <v>9</v>
      </c>
      <c r="K289" s="51" t="s">
        <v>166</v>
      </c>
      <c r="L289" s="51">
        <f ca="1">SUM(L285:L287)</f>
        <v>21.382413191120136</v>
      </c>
      <c r="M289" s="51" t="s">
        <v>18</v>
      </c>
      <c r="S289" s="32"/>
      <c r="AC289" s="38"/>
      <c r="AJ289" s="2"/>
      <c r="AL289" s="21"/>
      <c r="AP289" s="53"/>
    </row>
    <row r="290" spans="1:56" thickBot="1">
      <c r="H290" s="21"/>
      <c r="L290" s="21"/>
      <c r="S290" s="32"/>
      <c r="AC290" s="38"/>
      <c r="AJ290" s="2"/>
      <c r="AL290" s="21"/>
      <c r="AP290" s="53"/>
    </row>
    <row r="291" spans="1:56" ht="26.5" thickBot="1">
      <c r="A291" s="41" t="s">
        <v>2</v>
      </c>
      <c r="B291" s="41" t="s">
        <v>2</v>
      </c>
      <c r="C291" s="41" t="s">
        <v>2</v>
      </c>
      <c r="D291" s="41" t="s">
        <v>23</v>
      </c>
      <c r="E291" s="41" t="s">
        <v>24</v>
      </c>
      <c r="F291" s="41" t="s">
        <v>25</v>
      </c>
      <c r="G291" s="41"/>
      <c r="H291" s="41" t="s">
        <v>0</v>
      </c>
      <c r="I291" s="5" t="s">
        <v>26</v>
      </c>
      <c r="J291" s="41" t="s">
        <v>27</v>
      </c>
      <c r="K291" s="41" t="s">
        <v>28</v>
      </c>
      <c r="L291" s="12" t="s">
        <v>29</v>
      </c>
      <c r="M291" s="13" t="s">
        <v>30</v>
      </c>
      <c r="N291" s="41" t="s">
        <v>31</v>
      </c>
      <c r="O291" s="41" t="s">
        <v>32</v>
      </c>
      <c r="P291" s="41" t="s">
        <v>33</v>
      </c>
      <c r="Q291" s="41" t="s">
        <v>34</v>
      </c>
      <c r="R291" s="41" t="s">
        <v>13</v>
      </c>
      <c r="S291" s="24" t="s">
        <v>35</v>
      </c>
      <c r="T291" s="10" t="s">
        <v>35</v>
      </c>
      <c r="U291" s="41" t="s">
        <v>36</v>
      </c>
      <c r="V291" s="41" t="s">
        <v>37</v>
      </c>
      <c r="W291" s="41" t="s">
        <v>38</v>
      </c>
      <c r="X291" s="41" t="s">
        <v>39</v>
      </c>
      <c r="Y291" s="41" t="s">
        <v>40</v>
      </c>
      <c r="Z291" s="35" t="s">
        <v>108</v>
      </c>
      <c r="AA291" s="35" t="s">
        <v>109</v>
      </c>
      <c r="AB291" s="9" t="s">
        <v>110</v>
      </c>
      <c r="AC291" s="7" t="s">
        <v>111</v>
      </c>
      <c r="AD291" s="7" t="s">
        <v>112</v>
      </c>
      <c r="AE291" s="5" t="s">
        <v>41</v>
      </c>
      <c r="AF291" s="7" t="s">
        <v>113</v>
      </c>
      <c r="AG291" s="7" t="s">
        <v>114</v>
      </c>
      <c r="AH291" s="7" t="s">
        <v>115</v>
      </c>
      <c r="AI291" s="41" t="s">
        <v>42</v>
      </c>
      <c r="AJ291" s="41" t="s">
        <v>43</v>
      </c>
      <c r="AK291" s="36" t="s">
        <v>116</v>
      </c>
      <c r="AL291" s="5" t="s">
        <v>44</v>
      </c>
      <c r="AM291" s="41" t="s">
        <v>45</v>
      </c>
      <c r="AN291" s="41" t="s">
        <v>46</v>
      </c>
      <c r="AO291" s="41" t="s">
        <v>47</v>
      </c>
      <c r="AP291" s="67" t="s">
        <v>85</v>
      </c>
      <c r="AQ291" s="15" t="s">
        <v>62</v>
      </c>
      <c r="AR291" s="16" t="s">
        <v>63</v>
      </c>
      <c r="AS291" s="16" t="s">
        <v>64</v>
      </c>
      <c r="AT291" s="17" t="s">
        <v>65</v>
      </c>
      <c r="AU291" s="18" t="s">
        <v>66</v>
      </c>
      <c r="AV291" s="18" t="s">
        <v>67</v>
      </c>
      <c r="AW291" s="19" t="s">
        <v>68</v>
      </c>
      <c r="AX291" s="7" t="s">
        <v>207</v>
      </c>
      <c r="AY291" s="7" t="s">
        <v>208</v>
      </c>
      <c r="AZ291" s="7" t="s">
        <v>209</v>
      </c>
      <c r="BA291" s="152" t="s">
        <v>293</v>
      </c>
      <c r="BB291" s="152" t="s">
        <v>294</v>
      </c>
      <c r="BC291" s="152" t="s">
        <v>295</v>
      </c>
      <c r="BD291" s="152" t="s">
        <v>296</v>
      </c>
    </row>
    <row r="292" spans="1:56" ht="14.5">
      <c r="A292" s="41">
        <f ca="1">H292/(K292*SIN(RADIANS(T292)))</f>
        <v>88.425051295343849</v>
      </c>
      <c r="B292" s="41">
        <v>0</v>
      </c>
      <c r="C292" s="41">
        <v>0</v>
      </c>
      <c r="D292" s="41">
        <f ca="1">$B$12</f>
        <v>13242.190501585445</v>
      </c>
      <c r="E292" s="7">
        <v>0</v>
      </c>
      <c r="F292" s="7">
        <v>0</v>
      </c>
      <c r="G292" s="41"/>
      <c r="H292" s="65">
        <v>6000</v>
      </c>
      <c r="I292" s="6">
        <v>15</v>
      </c>
      <c r="J292" s="41">
        <f t="shared" ref="J292" si="332">SQRT((((((((L292^2)*(0.2))/(661.477)^2) + 1)^(3.5) - 1)*(1/AR292) + 1)^(1/3.5) - 1)*(5))</f>
        <v>0.165386496203281</v>
      </c>
      <c r="K292" s="41">
        <f t="shared" ref="K292" si="333">SQRT((1.4*2116.22*AR292*(J292)^2)/AV292)</f>
        <v>185.64040968496013</v>
      </c>
      <c r="L292" s="120">
        <v>98</v>
      </c>
      <c r="M292" s="41">
        <f t="shared" ref="M292" si="334">K292*0.592484</f>
        <v>109.98897249178393</v>
      </c>
      <c r="N292" s="41">
        <f>0.5*AV292*K292^2</f>
        <v>32.470993708715639</v>
      </c>
      <c r="O292" s="41">
        <f t="shared" ref="O292" si="335">P292/$B$7</f>
        <v>928286.33465123235</v>
      </c>
      <c r="P292" s="41">
        <f>(AV292*K292*$B$7)/(AW292)</f>
        <v>5960250.5605704039</v>
      </c>
      <c r="Q292" s="41">
        <f>0.455/(LOG10(P292)^2.58 * (1+0.144*J292*J292)^0.65)</f>
        <v>3.2592070844196124E-3</v>
      </c>
      <c r="R292" s="41">
        <f>(((Q292*$B$4)+$B$17)+(0.05*(Q292*$B$4)))</f>
        <v>2.0754921046665799E-2</v>
      </c>
      <c r="S292" s="24">
        <f ca="1">T292</f>
        <v>21.439187254748457</v>
      </c>
      <c r="T292" s="10">
        <f ca="1">DEGREES(ASIN(((AF292-X292)/(D292))))</f>
        <v>21.439187254748457</v>
      </c>
      <c r="U292" s="41">
        <f ca="1">(D292*COS(RADIANS(S292)))/(N292*$B$3)</f>
        <v>1.6504243002999552</v>
      </c>
      <c r="V292" s="41">
        <f ca="1">(X292)/(N292*$B$3)</f>
        <v>0.19278754348229107</v>
      </c>
      <c r="W292" s="41">
        <f ca="1">U292/V292</f>
        <v>8.560845117317232</v>
      </c>
      <c r="X292" s="20">
        <f ca="1">(N292*$B$3*R292)+((N292*$B$3)*((U292^2)/(PI()*$B$6*$B$5)))</f>
        <v>1439.8007156524097</v>
      </c>
      <c r="Y292" s="41">
        <f>SQRT(PI()*$B$6*$B$5*R292)</f>
        <v>0.57325882263568251</v>
      </c>
      <c r="Z292" s="41">
        <f ca="1">SQRT((2*((U292*N292*$B$3)/(D292))*D292)/(AV292*$B$3*$B$18))</f>
        <v>153.94468596518902</v>
      </c>
      <c r="AA292" s="14">
        <f t="shared" ref="AA292" ca="1" si="336">D292/W292</f>
        <v>1546.8321550168678</v>
      </c>
      <c r="AB292" s="9">
        <v>6280</v>
      </c>
      <c r="AC292" s="25">
        <f t="shared" ref="AC292" ca="1" si="337">AA292*K292</f>
        <v>287154.55497120111</v>
      </c>
      <c r="AD292" s="41">
        <f t="shared" ref="AD292" si="338">AB292*K292</f>
        <v>1165821.7728215496</v>
      </c>
      <c r="AE292" s="6">
        <v>100</v>
      </c>
      <c r="AF292" s="41">
        <f t="shared" ref="AF292" si="339">AB292*(AE292/100)</f>
        <v>6280</v>
      </c>
      <c r="AG292" s="41">
        <f t="shared" ref="AG292" ca="1" si="340">AB292-AA292</f>
        <v>4733.1678449831325</v>
      </c>
      <c r="AH292" s="41">
        <f t="shared" ref="AH292" ca="1" si="341">AD292-AC292</f>
        <v>878667.21785034845</v>
      </c>
      <c r="AI292" s="41">
        <f t="shared" ref="AI292" si="342">(AP292*AF292)</f>
        <v>5033.316938617616</v>
      </c>
      <c r="AJ292" s="13">
        <f ca="1">K292*SIN(RADIANS(T292))</f>
        <v>67.854074293490839</v>
      </c>
      <c r="AK292" s="11">
        <f t="shared" ref="AK292" ca="1" si="343">(AH292/D292)*60</f>
        <v>3981.2169342155976</v>
      </c>
      <c r="AL292" s="6">
        <v>500</v>
      </c>
      <c r="AM292" s="41">
        <f t="shared" ref="AM292" ca="1" si="344">AL292/AJ292</f>
        <v>7.3687542746119874</v>
      </c>
      <c r="AN292" s="41">
        <f t="shared" ref="AN292" ca="1" si="345">AI292*(AM292/3600)</f>
        <v>10.3025765852543</v>
      </c>
      <c r="AO292" s="41">
        <f ca="1">M292*COS(RADIANS(T292))*(AM292/3600)</f>
        <v>0.20955590933903839</v>
      </c>
      <c r="AP292" s="67">
        <f t="shared" ref="AP292" si="346">-18.066*(AZ292^6) + 34.325*(AZ292^5) - 25.292*(AZ292^4) + 8.7618*(AZ292^3) - 1.317*(AZ292^2) + 0.358*(AZ292^1) + 0.7659</f>
        <v>0.80148358895184968</v>
      </c>
      <c r="AQ292" s="11">
        <f t="shared" ref="AQ292" si="347">IF(H292 &lt;= 36089, ((1 - 6.87535*10^(-6)*H292) + ((I292*1.8)/518.67)), 0.75187 + ((I292*1.8)/518.67))</f>
        <v>1.0108041207183758</v>
      </c>
      <c r="AR292" s="11">
        <f t="shared" ref="AR292" si="348">IF(H292 &lt;= 36089, (1 - 6.87535*10^(-6)*H292)^5.2561, 0.22336*EXP((36089 - H292)/(20806.7)))</f>
        <v>0.80137655372650329</v>
      </c>
      <c r="AS292" s="11">
        <f t="shared" ref="AS292" si="349">(AR292/AQ292)</f>
        <v>0.79281092874548942</v>
      </c>
      <c r="AT292" s="11">
        <f t="shared" ref="AT292" si="350">(518.67*AQ292)</f>
        <v>524.27377329299998</v>
      </c>
      <c r="AU292" s="11">
        <f t="shared" ref="AU292" si="351">2116.22*AR292</f>
        <v>1695.8890905271007</v>
      </c>
      <c r="AV292" s="11">
        <f t="shared" ref="AV292" si="352">(0.0023769*AS292)</f>
        <v>1.8844322965351538E-3</v>
      </c>
      <c r="AW292" s="11">
        <f t="shared" ref="AW292" si="353">((2.2697*10^-8)*(AT292^1.5))/(AT292+198.72)</f>
        <v>3.7685223889866925E-7</v>
      </c>
      <c r="AX292" s="41">
        <f ca="1">(1/U292)*(((1 + 0.2*(U292)^2)/1.2)^3)</f>
        <v>1.2925895163996839</v>
      </c>
      <c r="AY292" s="41">
        <f t="shared" ref="AY292" ca="1" si="354">($H$4/$H$3)*AX292</f>
        <v>1.7411437591767929</v>
      </c>
      <c r="AZ292" s="41">
        <f t="shared" ref="AZ292" si="355">-6.6*10^(-3) + 0.825*J292 - 0.243*(J292^2)</f>
        <v>0.12319715493799213</v>
      </c>
      <c r="BA292" s="176">
        <f>2.12-0.00251*AF292+1.94*10^-6*AF292^2-7.84*10^-10*AF292^3+1.7*10^-13*AF292^4-1.89*10^-17*AF292^5+8.37*10^-22*AF292^6</f>
        <v>-0.16099291242367997</v>
      </c>
      <c r="BB292" s="156">
        <f>2.18-0.00461*AF292+6.03*10^-6*AF292^2-4.1*10^-9*AF292^3+1.5*10^-12*AF292^4-2.81*10^-16*AF292^5+2.1*10^-20*AF292^6</f>
        <v>72.084687861777184</v>
      </c>
    </row>
    <row r="293" spans="1:56" ht="14.5">
      <c r="H293" s="21"/>
      <c r="L293" s="21"/>
      <c r="S293" s="32"/>
      <c r="AC293" s="38"/>
      <c r="AJ293" s="2"/>
      <c r="AL293" s="21"/>
      <c r="AP293" s="53"/>
    </row>
    <row r="294" spans="1:56" ht="14.5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2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5"/>
      <c r="AD294" s="43"/>
      <c r="AE294" s="42"/>
      <c r="AF294" s="43"/>
      <c r="AG294" s="43"/>
      <c r="AH294" s="43"/>
      <c r="AI294" s="43"/>
      <c r="AJ294" s="45"/>
      <c r="AK294" s="43"/>
      <c r="AL294" s="42"/>
      <c r="AM294" s="43"/>
      <c r="AN294" s="43"/>
      <c r="AO294" s="43"/>
      <c r="AP294" s="5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</row>
    <row r="295" spans="1:56" ht="14.5">
      <c r="A295" s="26" t="s">
        <v>167</v>
      </c>
      <c r="D295" s="181" t="s">
        <v>141</v>
      </c>
      <c r="E295" s="182"/>
      <c r="F295" s="182"/>
      <c r="G295" s="182"/>
      <c r="H295" s="182"/>
      <c r="I295" s="182"/>
      <c r="K295" s="26"/>
      <c r="N295" s="181"/>
      <c r="O295" s="182"/>
      <c r="P295" s="182"/>
      <c r="Q295" s="182"/>
      <c r="R295" s="182"/>
      <c r="S295" s="182"/>
      <c r="AB295" s="38"/>
      <c r="AI295" s="2"/>
      <c r="AL295" s="21"/>
    </row>
    <row r="296" spans="1:56" ht="14.5">
      <c r="A296" s="70" t="s">
        <v>168</v>
      </c>
      <c r="B296" s="32">
        <f ca="1">1.2*($Z$195)</f>
        <v>176.14880370675851</v>
      </c>
      <c r="C296" s="21" t="s">
        <v>51</v>
      </c>
      <c r="D296" s="39" t="s">
        <v>131</v>
      </c>
      <c r="E296" s="39" t="s">
        <v>132</v>
      </c>
      <c r="F296" s="39" t="s">
        <v>133</v>
      </c>
      <c r="G296" s="39" t="s">
        <v>134</v>
      </c>
      <c r="H296" s="39" t="s">
        <v>135</v>
      </c>
      <c r="I296" s="6" t="s">
        <v>170</v>
      </c>
      <c r="J296" s="21" t="s">
        <v>2</v>
      </c>
      <c r="L296" s="75" t="s">
        <v>217</v>
      </c>
      <c r="M296" s="176">
        <f ca="1">0.85*B12</f>
        <v>11255.861926347627</v>
      </c>
      <c r="N296" s="21"/>
      <c r="O296" s="21"/>
      <c r="P296" s="21"/>
      <c r="Q296" s="21"/>
      <c r="R296" s="21"/>
      <c r="S296" s="21"/>
      <c r="AB296" s="38"/>
      <c r="AI296" s="2"/>
      <c r="AL296" s="21"/>
    </row>
    <row r="297" spans="1:56" ht="14.5">
      <c r="A297" s="70" t="s">
        <v>169</v>
      </c>
      <c r="B297" s="32">
        <f ca="1">$T$195</f>
        <v>-5.3446196497253045</v>
      </c>
      <c r="C297" s="21" t="s">
        <v>55</v>
      </c>
      <c r="D297" s="21">
        <v>100</v>
      </c>
      <c r="E297" s="32">
        <f ca="1">$B$298</f>
        <v>161.46973673119533</v>
      </c>
      <c r="F297" s="21">
        <f>F$257*0.05</f>
        <v>237.92770468800001</v>
      </c>
      <c r="G297" s="32">
        <f ca="1">(F297/$M$296)-$C$307</f>
        <v>-0.27886188492317404</v>
      </c>
      <c r="H297" s="32">
        <f t="shared" ref="H297:H317" ca="1" si="356">((($B$309)/(2*($M$296/$B$3)))*(($C$307*$B$313)-$B$310-($B$311*$B$313^2)))</f>
        <v>7.0815711145482928E-7</v>
      </c>
      <c r="I297" s="32">
        <f t="shared" ref="I297:I315" ca="1" si="357">((1)/(2*$B$312*H297))*LN((G297+(H297*(E298^2)))/(G297+(H297*(E297^2))))</f>
        <v>23.122874190079823</v>
      </c>
      <c r="J297" s="21">
        <v>0</v>
      </c>
      <c r="AB297" s="38"/>
      <c r="AI297" s="2"/>
      <c r="AL297" s="21"/>
    </row>
    <row r="298" spans="1:56" ht="14.5">
      <c r="A298" s="70" t="s">
        <v>171</v>
      </c>
      <c r="B298" s="32">
        <f ca="1">1.1*$Z$195</f>
        <v>161.46973673119533</v>
      </c>
      <c r="C298" s="21" t="s">
        <v>51</v>
      </c>
      <c r="D298" s="21">
        <f t="shared" ref="D298:D317" si="358">D297-5</f>
        <v>95</v>
      </c>
      <c r="E298" s="32">
        <f>$D$298*1.687</f>
        <v>160.26500000000001</v>
      </c>
      <c r="F298" s="21">
        <f>F$257*0.05</f>
        <v>237.92770468800001</v>
      </c>
      <c r="G298" s="32">
        <f ca="1">(F298/$M$296)-$C$307</f>
        <v>-0.27886188492317404</v>
      </c>
      <c r="H298" s="32">
        <f t="shared" ca="1" si="356"/>
        <v>7.0815711145482928E-7</v>
      </c>
      <c r="I298" s="32">
        <f t="shared" ca="1" si="357"/>
        <v>156.40351345372071</v>
      </c>
      <c r="J298" s="32">
        <f t="shared" ref="J298:J317" ca="1" si="359">I298/E298</f>
        <v>0.97590561541023113</v>
      </c>
      <c r="AB298" s="38"/>
      <c r="AI298" s="2"/>
      <c r="AL298" s="21"/>
    </row>
    <row r="299" spans="1:56" ht="14.5">
      <c r="A299" s="70" t="s">
        <v>172</v>
      </c>
      <c r="B299" s="32">
        <f ca="1">1.15*$Z$195</f>
        <v>168.80927021897691</v>
      </c>
      <c r="C299" s="21" t="s">
        <v>51</v>
      </c>
      <c r="D299" s="21">
        <f t="shared" si="358"/>
        <v>90</v>
      </c>
      <c r="E299" s="32">
        <f>$D$299*1.687</f>
        <v>151.83000000000001</v>
      </c>
      <c r="F299" s="21">
        <f t="shared" ref="F299:F317" si="360">F$257*0.05</f>
        <v>237.92770468800001</v>
      </c>
      <c r="G299" s="32">
        <f t="shared" ref="G299:G317" ca="1" si="361">(F299/$M$296)-$C$307</f>
        <v>-0.27886188492317404</v>
      </c>
      <c r="H299" s="32">
        <f t="shared" ca="1" si="356"/>
        <v>7.0815711145482928E-7</v>
      </c>
      <c r="I299" s="32">
        <f t="shared" ca="1" si="357"/>
        <v>146.93044524728157</v>
      </c>
      <c r="J299" s="32">
        <f t="shared" ca="1" si="359"/>
        <v>0.96772999570099161</v>
      </c>
      <c r="AB299" s="38"/>
      <c r="AI299" s="2"/>
      <c r="AL299" s="21"/>
    </row>
    <row r="300" spans="1:56" ht="14.5">
      <c r="A300" s="70" t="s">
        <v>156</v>
      </c>
      <c r="B300" s="32">
        <f ca="1">(((0.5*$AV$195*$B$3)*($B$264)*($H$1)^2)/(0.5*$AV$195*$B$3*$B$18*Z$195^2))</f>
        <v>1.3278612499057234</v>
      </c>
      <c r="D300" s="21">
        <f t="shared" si="358"/>
        <v>85</v>
      </c>
      <c r="E300" s="32">
        <f>$D$300*1.687</f>
        <v>143.39500000000001</v>
      </c>
      <c r="F300" s="21">
        <f t="shared" si="360"/>
        <v>237.92770468800001</v>
      </c>
      <c r="G300" s="32">
        <f t="shared" ca="1" si="361"/>
        <v>-0.27886188492317404</v>
      </c>
      <c r="H300" s="32">
        <f t="shared" ca="1" si="356"/>
        <v>7.0815711145482928E-7</v>
      </c>
      <c r="I300" s="32">
        <f t="shared" ca="1" si="357"/>
        <v>137.63925135338428</v>
      </c>
      <c r="J300" s="32">
        <f t="shared" ca="1" si="359"/>
        <v>0.95986088324826024</v>
      </c>
      <c r="AB300" s="38"/>
      <c r="AI300" s="2"/>
      <c r="AL300" s="21"/>
    </row>
    <row r="301" spans="1:56" ht="14.5">
      <c r="A301" s="70" t="s">
        <v>173</v>
      </c>
      <c r="B301" s="32">
        <f ca="1">($B$299^2)/(($B$300-1)*$B$262)</f>
        <v>2701.7890277820761</v>
      </c>
      <c r="C301" s="21" t="s">
        <v>9</v>
      </c>
      <c r="D301" s="21">
        <f t="shared" si="358"/>
        <v>80</v>
      </c>
      <c r="E301" s="32">
        <f>$D$301*1.687</f>
        <v>134.96</v>
      </c>
      <c r="F301" s="21">
        <f t="shared" si="360"/>
        <v>237.92770468800001</v>
      </c>
      <c r="G301" s="32">
        <f t="shared" ca="1" si="361"/>
        <v>-0.27886188492317404</v>
      </c>
      <c r="H301" s="32">
        <f t="shared" ca="1" si="356"/>
        <v>7.0815711145482928E-7</v>
      </c>
      <c r="I301" s="32">
        <f t="shared" ca="1" si="357"/>
        <v>128.51589640610078</v>
      </c>
      <c r="J301" s="32">
        <f t="shared" ca="1" si="359"/>
        <v>0.95225175167531695</v>
      </c>
      <c r="AB301" s="38"/>
      <c r="AI301" s="2"/>
      <c r="AL301" s="21"/>
    </row>
    <row r="302" spans="1:56" ht="14.5">
      <c r="A302" s="70" t="s">
        <v>174</v>
      </c>
      <c r="B302" s="32">
        <f ca="1">$B$301*(1-COS(RADIANS($B$297)))</f>
        <v>11.746131128808372</v>
      </c>
      <c r="C302" s="21" t="s">
        <v>9</v>
      </c>
      <c r="D302" s="21">
        <f t="shared" si="358"/>
        <v>75</v>
      </c>
      <c r="E302" s="32">
        <f>$D$302*1.687</f>
        <v>126.52500000000001</v>
      </c>
      <c r="F302" s="21">
        <f t="shared" si="360"/>
        <v>237.92770468800001</v>
      </c>
      <c r="G302" s="32">
        <f t="shared" ca="1" si="361"/>
        <v>-0.27886188492317404</v>
      </c>
      <c r="H302" s="32">
        <f t="shared" ca="1" si="356"/>
        <v>7.0815711145482928E-7</v>
      </c>
      <c r="I302" s="32">
        <f t="shared" ca="1" si="357"/>
        <v>119.54707141122914</v>
      </c>
      <c r="J302" s="32">
        <f t="shared" ca="1" si="359"/>
        <v>0.94484940850605914</v>
      </c>
      <c r="AB302" s="38"/>
      <c r="AI302" s="2"/>
      <c r="AL302" s="21"/>
    </row>
    <row r="303" spans="1:56" ht="14.5">
      <c r="A303" s="71" t="s">
        <v>175</v>
      </c>
      <c r="B303" s="32">
        <f ca="1">ABS($B$301*SIN(RADIANS($B$297)))</f>
        <v>251.66081301806307</v>
      </c>
      <c r="C303" s="21" t="s">
        <v>9</v>
      </c>
      <c r="D303" s="21">
        <f t="shared" si="358"/>
        <v>70</v>
      </c>
      <c r="E303" s="32">
        <f>$D$303*1.687</f>
        <v>118.09</v>
      </c>
      <c r="F303" s="21">
        <f t="shared" si="360"/>
        <v>237.92770468800001</v>
      </c>
      <c r="G303" s="32">
        <f t="shared" ca="1" si="361"/>
        <v>-0.27886188492317404</v>
      </c>
      <c r="H303" s="32">
        <f t="shared" ca="1" si="356"/>
        <v>7.0815711145482928E-7</v>
      </c>
      <c r="I303" s="32">
        <f t="shared" ca="1" si="357"/>
        <v>110.72012228626122</v>
      </c>
      <c r="J303" s="32">
        <f t="shared" ca="1" si="359"/>
        <v>0.93759100928326877</v>
      </c>
      <c r="K303" s="21"/>
      <c r="AB303" s="38"/>
      <c r="AI303" s="2"/>
      <c r="AL303" s="21"/>
    </row>
    <row r="304" spans="1:56" ht="14.5">
      <c r="A304" s="70" t="s">
        <v>176</v>
      </c>
      <c r="B304" s="21">
        <v>2</v>
      </c>
      <c r="C304" s="21" t="s">
        <v>18</v>
      </c>
      <c r="D304" s="21">
        <f t="shared" si="358"/>
        <v>65</v>
      </c>
      <c r="E304" s="32">
        <f>$D$304*1.687</f>
        <v>109.655</v>
      </c>
      <c r="F304" s="21">
        <f t="shared" si="360"/>
        <v>237.92770468800001</v>
      </c>
      <c r="G304" s="32">
        <f t="shared" ca="1" si="361"/>
        <v>-0.27886188492317404</v>
      </c>
      <c r="H304" s="32">
        <f t="shared" ca="1" si="356"/>
        <v>7.0815711145482928E-7</v>
      </c>
      <c r="I304" s="32">
        <f t="shared" ca="1" si="357"/>
        <v>102.02298452615034</v>
      </c>
      <c r="J304" s="32">
        <f t="shared" ca="1" si="359"/>
        <v>0.9303997494519205</v>
      </c>
      <c r="AB304" s="38"/>
      <c r="AI304" s="2"/>
      <c r="AL304" s="21"/>
    </row>
    <row r="305" spans="1:51" ht="14.5">
      <c r="A305" s="71" t="s">
        <v>177</v>
      </c>
      <c r="B305" s="32">
        <f ca="1">$B$298*$B$304</f>
        <v>322.93947346239065</v>
      </c>
      <c r="C305" s="21" t="s">
        <v>9</v>
      </c>
      <c r="D305" s="21">
        <f t="shared" si="358"/>
        <v>60</v>
      </c>
      <c r="E305" s="32">
        <f>$D$305*1.687</f>
        <v>101.22</v>
      </c>
      <c r="F305" s="21">
        <f t="shared" si="360"/>
        <v>237.92770468800001</v>
      </c>
      <c r="G305" s="32">
        <f t="shared" ca="1" si="361"/>
        <v>-0.27886188492317404</v>
      </c>
      <c r="H305" s="32">
        <f t="shared" ca="1" si="356"/>
        <v>7.0815711145482928E-7</v>
      </c>
      <c r="I305" s="32">
        <f t="shared" ca="1" si="357"/>
        <v>93.444123248811223</v>
      </c>
      <c r="J305" s="32">
        <f t="shared" ca="1" si="359"/>
        <v>0.9231784553330491</v>
      </c>
      <c r="K305" s="21"/>
      <c r="AB305" s="38"/>
      <c r="AI305" s="2"/>
      <c r="AL305" s="21"/>
    </row>
    <row r="306" spans="1:51" ht="14.5">
      <c r="A306" s="73" t="s">
        <v>128</v>
      </c>
      <c r="B306" s="46" t="s">
        <v>129</v>
      </c>
      <c r="C306" s="46" t="s">
        <v>130</v>
      </c>
      <c r="D306" s="21">
        <f t="shared" si="358"/>
        <v>55</v>
      </c>
      <c r="E306" s="32">
        <f>$D$306*1.687</f>
        <v>92.784999999999997</v>
      </c>
      <c r="F306" s="21">
        <f t="shared" si="360"/>
        <v>237.92770468800001</v>
      </c>
      <c r="G306" s="32">
        <f t="shared" ca="1" si="361"/>
        <v>-0.27886188492317404</v>
      </c>
      <c r="H306" s="32">
        <f t="shared" ca="1" si="356"/>
        <v>7.0815711145482928E-7</v>
      </c>
      <c r="I306" s="32">
        <f t="shared" ca="1" si="357"/>
        <v>84.972477961469551</v>
      </c>
      <c r="J306" s="32">
        <f t="shared" ca="1" si="359"/>
        <v>0.91579973014463067</v>
      </c>
      <c r="K306" s="46"/>
      <c r="L306" s="46"/>
      <c r="M306" s="46"/>
      <c r="AB306" s="38"/>
      <c r="AI306" s="2"/>
      <c r="AL306" s="21"/>
    </row>
    <row r="307" spans="1:51" ht="14.5">
      <c r="A307" s="73" t="s">
        <v>141</v>
      </c>
      <c r="B307" s="46">
        <v>0.04</v>
      </c>
      <c r="C307" s="46">
        <v>0.3</v>
      </c>
      <c r="D307" s="21">
        <f t="shared" si="358"/>
        <v>50</v>
      </c>
      <c r="E307" s="32">
        <f>$D$307*1.687</f>
        <v>84.350000000000009</v>
      </c>
      <c r="F307" s="21">
        <f t="shared" si="360"/>
        <v>237.92770468800001</v>
      </c>
      <c r="G307" s="32">
        <f t="shared" ca="1" si="361"/>
        <v>-0.27886188492317404</v>
      </c>
      <c r="H307" s="32">
        <f t="shared" ca="1" si="356"/>
        <v>7.0815711145482928E-7</v>
      </c>
      <c r="I307" s="32">
        <f t="shared" ca="1" si="357"/>
        <v>76.597411463823278</v>
      </c>
      <c r="J307" s="32">
        <f t="shared" ca="1" si="359"/>
        <v>0.90809023667840272</v>
      </c>
      <c r="K307" s="46"/>
      <c r="L307" s="46"/>
      <c r="M307" s="46"/>
      <c r="AB307" s="38"/>
      <c r="AI307" s="2"/>
      <c r="AL307" s="21"/>
    </row>
    <row r="308" spans="1:51" ht="14.5">
      <c r="A308" s="73" t="s">
        <v>145</v>
      </c>
      <c r="B308" s="46">
        <v>0.08</v>
      </c>
      <c r="C308" s="46">
        <v>0.2</v>
      </c>
      <c r="D308" s="21">
        <f t="shared" si="358"/>
        <v>45</v>
      </c>
      <c r="E308" s="32">
        <f>$D$308*1.687</f>
        <v>75.915000000000006</v>
      </c>
      <c r="F308" s="21">
        <f t="shared" si="360"/>
        <v>237.92770468800001</v>
      </c>
      <c r="G308" s="32">
        <f t="shared" ca="1" si="361"/>
        <v>-0.27886188492317404</v>
      </c>
      <c r="H308" s="32">
        <f t="shared" ca="1" si="356"/>
        <v>7.0815711145482928E-7</v>
      </c>
      <c r="I308" s="32">
        <f t="shared" ca="1" si="357"/>
        <v>68.308662367694737</v>
      </c>
      <c r="J308" s="32">
        <f t="shared" ca="1" si="359"/>
        <v>0.89980454939991739</v>
      </c>
      <c r="K308" s="46"/>
      <c r="L308" s="46"/>
      <c r="M308" s="46"/>
      <c r="AB308" s="38"/>
      <c r="AI308" s="2"/>
      <c r="AL308" s="21"/>
    </row>
    <row r="309" spans="1:51" ht="14.5">
      <c r="A309" s="74" t="s">
        <v>147</v>
      </c>
      <c r="B309" s="46">
        <f>$AV$195</f>
        <v>1.8844323138238683E-3</v>
      </c>
      <c r="D309" s="21">
        <f t="shared" si="358"/>
        <v>40</v>
      </c>
      <c r="E309" s="32">
        <f>$D$309*1.687</f>
        <v>67.48</v>
      </c>
      <c r="F309" s="21">
        <f t="shared" si="360"/>
        <v>237.92770468800001</v>
      </c>
      <c r="G309" s="32">
        <f t="shared" ca="1" si="361"/>
        <v>-0.27886188492317404</v>
      </c>
      <c r="H309" s="32">
        <f t="shared" ca="1" si="356"/>
        <v>7.0815711145482928E-7</v>
      </c>
      <c r="I309" s="32">
        <f t="shared" ca="1" si="357"/>
        <v>60.096300767548293</v>
      </c>
      <c r="J309" s="32">
        <f t="shared" ca="1" si="359"/>
        <v>0.8905794423169574</v>
      </c>
      <c r="K309" s="47"/>
      <c r="L309" s="46"/>
      <c r="AB309" s="38"/>
      <c r="AI309" s="2"/>
      <c r="AL309" s="21"/>
    </row>
    <row r="310" spans="1:51" ht="14.5">
      <c r="A310" s="74" t="s">
        <v>150</v>
      </c>
      <c r="B310" s="46">
        <f>$R$195</f>
        <v>2.1699119621752347E-2</v>
      </c>
      <c r="D310" s="21">
        <f t="shared" si="358"/>
        <v>35</v>
      </c>
      <c r="E310" s="32">
        <f>$D$310*1.687</f>
        <v>59.045000000000002</v>
      </c>
      <c r="F310" s="21">
        <f t="shared" si="360"/>
        <v>237.92770468800001</v>
      </c>
      <c r="G310" s="32">
        <f t="shared" ca="1" si="361"/>
        <v>-0.27886188492317404</v>
      </c>
      <c r="H310" s="32">
        <f t="shared" ca="1" si="356"/>
        <v>7.0815711145482928E-7</v>
      </c>
      <c r="I310" s="32">
        <f t="shared" ca="1" si="357"/>
        <v>51.950686642254972</v>
      </c>
      <c r="J310" s="32">
        <f t="shared" ca="1" si="359"/>
        <v>0.87984904127792307</v>
      </c>
      <c r="K310" s="47"/>
      <c r="L310" s="46"/>
      <c r="AB310" s="38"/>
      <c r="AI310" s="2"/>
      <c r="AL310" s="21"/>
    </row>
    <row r="311" spans="1:51" ht="14.5">
      <c r="A311" s="74" t="s">
        <v>159</v>
      </c>
      <c r="B311" s="46">
        <f>($B$8*((33*($B$269/$B$270)^1.5)))/(1+33*($B$269/$B$270)^1.5)</f>
        <v>3.7983327420844509E-2</v>
      </c>
      <c r="D311" s="21">
        <f t="shared" si="358"/>
        <v>30</v>
      </c>
      <c r="E311" s="32">
        <f>$D$311*1.687</f>
        <v>50.61</v>
      </c>
      <c r="F311" s="21">
        <f t="shared" si="360"/>
        <v>237.92770468800001</v>
      </c>
      <c r="G311" s="32">
        <f t="shared" ca="1" si="361"/>
        <v>-0.27886188492317404</v>
      </c>
      <c r="H311" s="32">
        <f t="shared" ca="1" si="356"/>
        <v>7.0815711145482928E-7</v>
      </c>
      <c r="I311" s="32">
        <f t="shared" ca="1" si="357"/>
        <v>43.862430608229772</v>
      </c>
      <c r="J311" s="32">
        <f t="shared" ca="1" si="359"/>
        <v>0.86667517502923874</v>
      </c>
      <c r="K311" s="47"/>
      <c r="L311" s="46"/>
      <c r="AB311" s="38"/>
      <c r="AI311" s="2"/>
      <c r="AL311" s="21"/>
    </row>
    <row r="312" spans="1:51" ht="14.5">
      <c r="A312" s="74" t="s">
        <v>152</v>
      </c>
      <c r="B312" s="47">
        <v>32.17</v>
      </c>
      <c r="C312" s="21"/>
      <c r="D312" s="21">
        <f t="shared" si="358"/>
        <v>25</v>
      </c>
      <c r="E312" s="32">
        <f>$D$312*1.687</f>
        <v>42.175000000000004</v>
      </c>
      <c r="F312" s="21">
        <f t="shared" si="360"/>
        <v>237.92770468800001</v>
      </c>
      <c r="G312" s="32">
        <f t="shared" ca="1" si="361"/>
        <v>-0.27886188492317404</v>
      </c>
      <c r="H312" s="32">
        <f t="shared" ca="1" si="356"/>
        <v>7.0815711145482928E-7</v>
      </c>
      <c r="I312" s="32">
        <f t="shared" ca="1" si="357"/>
        <v>35.8223566771333</v>
      </c>
      <c r="J312" s="32">
        <f t="shared" ca="1" si="359"/>
        <v>0.84937419507132894</v>
      </c>
      <c r="K312" s="47"/>
      <c r="L312" s="47"/>
      <c r="U312" s="21"/>
      <c r="V312" s="21"/>
      <c r="W312" s="21"/>
      <c r="Z312" s="21"/>
      <c r="AA312" s="21"/>
      <c r="AB312" s="21"/>
      <c r="AC312" s="21"/>
      <c r="AE312" s="21"/>
      <c r="AI312" s="21"/>
    </row>
    <row r="313" spans="1:51" ht="14.5">
      <c r="A313" s="70" t="s">
        <v>178</v>
      </c>
      <c r="B313" s="62">
        <v>0.2</v>
      </c>
      <c r="D313" s="21">
        <f t="shared" si="358"/>
        <v>20</v>
      </c>
      <c r="E313" s="32">
        <f>$D$313*1.687</f>
        <v>33.74</v>
      </c>
      <c r="F313" s="21">
        <f t="shared" si="360"/>
        <v>237.92770468800001</v>
      </c>
      <c r="G313" s="32">
        <f t="shared" ca="1" si="361"/>
        <v>-0.27886188492317404</v>
      </c>
      <c r="H313" s="32">
        <f t="shared" ca="1" si="356"/>
        <v>7.0815711145482928E-7</v>
      </c>
      <c r="I313" s="32">
        <f t="shared" ca="1" si="357"/>
        <v>27.821466699217986</v>
      </c>
      <c r="J313" s="32">
        <f t="shared" ca="1" si="359"/>
        <v>0.82458407525838717</v>
      </c>
      <c r="Y313" s="21"/>
      <c r="Z313" s="21"/>
      <c r="AA313" s="21"/>
      <c r="AB313" s="21"/>
      <c r="AC313" s="21"/>
      <c r="AE313" s="21"/>
      <c r="AF313" s="21"/>
      <c r="AG313" s="21"/>
      <c r="AQ313" s="15"/>
      <c r="AR313" s="16"/>
      <c r="AS313" s="16"/>
      <c r="AT313" s="17"/>
      <c r="AU313" s="18"/>
      <c r="AV313" s="18"/>
      <c r="AW313" s="19"/>
      <c r="AX313" s="19"/>
      <c r="AY313" s="19"/>
    </row>
    <row r="314" spans="1:51" ht="14.5">
      <c r="A314" s="72" t="s">
        <v>179</v>
      </c>
      <c r="B314" s="32">
        <f ca="1">ABS((50-$B$302)/(TAN(RADIANS($B$297))))</f>
        <v>408.90175547143525</v>
      </c>
      <c r="C314" s="21" t="s">
        <v>9</v>
      </c>
      <c r="D314" s="21">
        <f t="shared" si="358"/>
        <v>15</v>
      </c>
      <c r="E314" s="32">
        <f>$D$314*1.687</f>
        <v>25.305</v>
      </c>
      <c r="F314" s="21">
        <f t="shared" si="360"/>
        <v>237.92770468800001</v>
      </c>
      <c r="G314" s="32">
        <f t="shared" ca="1" si="361"/>
        <v>-0.27886188492317404</v>
      </c>
      <c r="H314" s="32">
        <f t="shared" ca="1" si="356"/>
        <v>7.0815711145482928E-7</v>
      </c>
      <c r="I314" s="32">
        <f t="shared" ca="1" si="357"/>
        <v>19.850906196575028</v>
      </c>
      <c r="J314" s="32">
        <f t="shared" ca="1" si="359"/>
        <v>0.78446576552361302</v>
      </c>
      <c r="K314" s="49"/>
      <c r="Z314" s="21"/>
      <c r="AA314" s="21"/>
      <c r="AB314" s="21"/>
      <c r="AC314" s="21"/>
      <c r="AE314" s="21"/>
      <c r="AF314" s="21"/>
      <c r="AG314" s="21"/>
    </row>
    <row r="315" spans="1:51" ht="14.5">
      <c r="D315" s="21">
        <f t="shared" si="358"/>
        <v>10</v>
      </c>
      <c r="E315" s="32">
        <f>$D$315*1.687</f>
        <v>16.87</v>
      </c>
      <c r="F315" s="21">
        <f t="shared" si="360"/>
        <v>237.92770468800001</v>
      </c>
      <c r="G315" s="32">
        <f t="shared" ca="1" si="361"/>
        <v>-0.27886188492317404</v>
      </c>
      <c r="H315" s="32">
        <f t="shared" ca="1" si="356"/>
        <v>7.0815711145482928E-7</v>
      </c>
      <c r="I315" s="32">
        <f t="shared" ca="1" si="357"/>
        <v>11.901931309110358</v>
      </c>
      <c r="J315" s="32">
        <f t="shared" ca="1" si="359"/>
        <v>0.70550867273920315</v>
      </c>
      <c r="AB315" s="38"/>
      <c r="AE315" s="21"/>
      <c r="AI315" s="2"/>
      <c r="AL315" s="21"/>
      <c r="AO315" s="21"/>
    </row>
    <row r="316" spans="1:51" ht="14.5">
      <c r="D316" s="21">
        <f t="shared" si="358"/>
        <v>5</v>
      </c>
      <c r="E316" s="32">
        <f>$D$316*1.687</f>
        <v>8.4350000000000005</v>
      </c>
      <c r="F316" s="21">
        <f t="shared" si="360"/>
        <v>237.92770468800001</v>
      </c>
      <c r="G316" s="32">
        <f t="shared" ca="1" si="361"/>
        <v>-0.27886188492317404</v>
      </c>
      <c r="H316" s="32">
        <f t="shared" ca="1" si="356"/>
        <v>7.0815711145482928E-7</v>
      </c>
      <c r="I316" s="32">
        <f ca="1">((1)/(2*$B$312*H316))*LN((G316+(H316*(E319^2)))/(G316+(H316*(E316^2))))</f>
        <v>3.9658765913179028</v>
      </c>
      <c r="J316" s="32">
        <f t="shared" ca="1" si="359"/>
        <v>0.47016912760141111</v>
      </c>
      <c r="AB316" s="38"/>
      <c r="AE316" s="21"/>
      <c r="AI316" s="2"/>
      <c r="AL316" s="21"/>
      <c r="AO316" s="21"/>
    </row>
    <row r="317" spans="1:51" ht="14.5">
      <c r="D317" s="21">
        <f t="shared" si="358"/>
        <v>0</v>
      </c>
      <c r="E317" s="32">
        <f>$D$317*1.687</f>
        <v>0</v>
      </c>
      <c r="F317" s="21">
        <f t="shared" si="360"/>
        <v>237.92770468800001</v>
      </c>
      <c r="G317" s="32">
        <f t="shared" ca="1" si="361"/>
        <v>-0.27886188492317404</v>
      </c>
      <c r="H317" s="32">
        <f t="shared" ca="1" si="356"/>
        <v>7.0815711145482928E-7</v>
      </c>
      <c r="I317" s="32">
        <f ca="1">((1)/(2*$B$312*H317))*LN((G317+(H317*(E320^2)))/(G317+(H317*(E317^2))))</f>
        <v>0</v>
      </c>
      <c r="J317" s="32" t="e">
        <f t="shared" ca="1" si="359"/>
        <v>#DIV/0!</v>
      </c>
      <c r="K317" s="21"/>
      <c r="AB317" s="38"/>
      <c r="AE317" s="21"/>
      <c r="AI317" s="2"/>
      <c r="AL317" s="21"/>
      <c r="AO317" s="21"/>
    </row>
    <row r="318" spans="1:51" ht="14.5">
      <c r="K318" s="21"/>
      <c r="AB318" s="38"/>
      <c r="AE318" s="21"/>
      <c r="AI318" s="2"/>
      <c r="AL318" s="21"/>
      <c r="AO318" s="21"/>
    </row>
    <row r="319" spans="1:51" ht="14.5">
      <c r="H319" s="62" t="s">
        <v>180</v>
      </c>
      <c r="I319" s="32">
        <f ca="1">SUM(I297:I316)</f>
        <v>1503.4967894073943</v>
      </c>
      <c r="K319" s="21" t="s">
        <v>161</v>
      </c>
      <c r="L319" s="32">
        <f ca="1">SUM(J297:J316)</f>
        <v>16.586666879650114</v>
      </c>
      <c r="AB319" s="38"/>
      <c r="AE319" s="21"/>
      <c r="AI319" s="2"/>
      <c r="AL319" s="21"/>
      <c r="AO319" s="21"/>
    </row>
    <row r="320" spans="1:51" ht="14.5">
      <c r="H320" s="21" t="s">
        <v>175</v>
      </c>
      <c r="I320" s="32">
        <f ca="1">B303</f>
        <v>251.66081301806307</v>
      </c>
      <c r="K320" s="62" t="s">
        <v>213</v>
      </c>
      <c r="L320" s="21">
        <v>1</v>
      </c>
      <c r="AB320" s="38"/>
      <c r="AE320" s="21"/>
      <c r="AI320" s="2"/>
      <c r="AL320" s="21"/>
      <c r="AO320" s="21"/>
    </row>
    <row r="321" spans="1:52" ht="14.5">
      <c r="H321" s="21" t="s">
        <v>177</v>
      </c>
      <c r="I321" s="32">
        <f ca="1">B305</f>
        <v>322.93947346239065</v>
      </c>
      <c r="K321" s="62" t="s">
        <v>214</v>
      </c>
      <c r="L321" s="21">
        <f ca="1">I321/B299</f>
        <v>1.9130434782608698</v>
      </c>
      <c r="R321" s="26"/>
      <c r="S321" s="29"/>
    </row>
    <row r="322" spans="1:52" ht="14.5">
      <c r="H322" s="21" t="s">
        <v>215</v>
      </c>
      <c r="I322" s="32">
        <f ca="1">B314</f>
        <v>408.90175547143525</v>
      </c>
      <c r="J322" s="62" t="s">
        <v>198</v>
      </c>
      <c r="K322" s="62" t="s">
        <v>216</v>
      </c>
      <c r="L322" s="49">
        <f ca="1">I322/B296</f>
        <v>2.3213427901114176</v>
      </c>
      <c r="R322" s="26"/>
      <c r="S322" s="29"/>
      <c r="T322" s="26"/>
    </row>
    <row r="323" spans="1:52" ht="14.5">
      <c r="H323" s="34" t="s">
        <v>181</v>
      </c>
      <c r="I323" s="60">
        <f ca="1">SUM(I319:I322)</f>
        <v>2486.998831359283</v>
      </c>
      <c r="J323" s="34" t="s">
        <v>198</v>
      </c>
      <c r="K323" s="51" t="s">
        <v>166</v>
      </c>
      <c r="L323" s="51">
        <f ca="1">SUM(L319:L322)</f>
        <v>21.821053148022401</v>
      </c>
      <c r="AC323" s="3"/>
      <c r="AD323" s="3"/>
      <c r="AP323" s="53"/>
    </row>
    <row r="324" spans="1:52" ht="14.5">
      <c r="AC324" s="3"/>
      <c r="AD324" s="3"/>
      <c r="AP324" s="53"/>
    </row>
    <row r="325" spans="1:52" ht="14.5">
      <c r="AC325" s="3"/>
      <c r="AD325" s="3"/>
      <c r="AP325" s="53"/>
    </row>
    <row r="326" spans="1:52" ht="14.5">
      <c r="A326" s="41" t="s">
        <v>2</v>
      </c>
      <c r="B326" s="41" t="s">
        <v>2</v>
      </c>
      <c r="C326" s="41" t="s">
        <v>2</v>
      </c>
      <c r="D326" s="41" t="s">
        <v>23</v>
      </c>
      <c r="E326" s="41" t="s">
        <v>24</v>
      </c>
      <c r="F326" s="41" t="s">
        <v>25</v>
      </c>
      <c r="G326" s="41"/>
      <c r="H326" s="41" t="s">
        <v>0</v>
      </c>
      <c r="I326" s="5" t="s">
        <v>26</v>
      </c>
      <c r="J326" s="41" t="s">
        <v>27</v>
      </c>
      <c r="K326" s="41" t="s">
        <v>28</v>
      </c>
      <c r="L326" s="12" t="s">
        <v>29</v>
      </c>
      <c r="M326" s="13" t="s">
        <v>30</v>
      </c>
      <c r="N326" s="41" t="s">
        <v>31</v>
      </c>
      <c r="O326" s="41" t="s">
        <v>32</v>
      </c>
      <c r="P326" s="41" t="s">
        <v>33</v>
      </c>
      <c r="Q326" s="41" t="s">
        <v>34</v>
      </c>
      <c r="R326" s="41" t="s">
        <v>13</v>
      </c>
      <c r="S326" s="24" t="s">
        <v>35</v>
      </c>
      <c r="T326" s="10" t="s">
        <v>35</v>
      </c>
      <c r="U326" s="41" t="s">
        <v>36</v>
      </c>
      <c r="V326" s="41" t="s">
        <v>37</v>
      </c>
      <c r="W326" s="41" t="s">
        <v>38</v>
      </c>
      <c r="X326" s="41" t="s">
        <v>39</v>
      </c>
      <c r="Y326" s="41" t="s">
        <v>40</v>
      </c>
      <c r="Z326" s="35" t="s">
        <v>108</v>
      </c>
      <c r="AA326" s="35" t="s">
        <v>109</v>
      </c>
      <c r="AB326" s="9" t="s">
        <v>110</v>
      </c>
      <c r="AC326" s="7" t="s">
        <v>111</v>
      </c>
      <c r="AD326" s="7" t="s">
        <v>112</v>
      </c>
      <c r="AE326" s="5" t="s">
        <v>41</v>
      </c>
      <c r="AF326" s="7" t="s">
        <v>113</v>
      </c>
      <c r="AG326" s="41"/>
      <c r="AH326" s="41"/>
      <c r="AI326" s="41" t="s">
        <v>42</v>
      </c>
      <c r="AJ326" s="41" t="s">
        <v>43</v>
      </c>
      <c r="AK326" s="11"/>
      <c r="AL326" s="5" t="s">
        <v>44</v>
      </c>
      <c r="AM326" s="5" t="s">
        <v>45</v>
      </c>
      <c r="AN326" s="41" t="s">
        <v>46</v>
      </c>
      <c r="AO326" s="41" t="s">
        <v>47</v>
      </c>
      <c r="AP326" s="53"/>
      <c r="AQ326" s="15" t="s">
        <v>62</v>
      </c>
      <c r="AR326" s="16" t="s">
        <v>63</v>
      </c>
      <c r="AS326" s="16" t="s">
        <v>64</v>
      </c>
      <c r="AT326" s="17" t="s">
        <v>65</v>
      </c>
      <c r="AU326" s="18" t="s">
        <v>66</v>
      </c>
      <c r="AV326" s="18" t="s">
        <v>67</v>
      </c>
      <c r="AW326" s="19" t="s">
        <v>68</v>
      </c>
      <c r="AX326" s="7" t="s">
        <v>207</v>
      </c>
      <c r="AY326" s="7" t="s">
        <v>208</v>
      </c>
      <c r="AZ326" s="7" t="s">
        <v>209</v>
      </c>
    </row>
    <row r="327" spans="1:52" ht="14.5">
      <c r="A327" s="41">
        <v>2734.8400265034697</v>
      </c>
      <c r="B327" s="41">
        <f t="shared" ref="B327:C327" si="362">A327/60</f>
        <v>45.580667108391161</v>
      </c>
      <c r="C327" s="41">
        <f t="shared" si="362"/>
        <v>0.75967778513985273</v>
      </c>
      <c r="D327" s="41">
        <f ca="1">0.85*B12</f>
        <v>11255.861926347627</v>
      </c>
      <c r="E327" s="41">
        <v>109.07347533454404</v>
      </c>
      <c r="F327" s="41">
        <v>108.55385609252657</v>
      </c>
      <c r="G327" s="41"/>
      <c r="H327" s="7">
        <v>6000</v>
      </c>
      <c r="I327" s="6">
        <v>15</v>
      </c>
      <c r="J327" s="41">
        <f t="shared" ref="J327" si="363">SQRT((((((((L327^2)*(0.2))/(661.477)^2) + 1)^(3.5) - 1)*(1/AR327) + 1)^(1/3.5) - 1)*(5))</f>
        <v>0.16875707598129183</v>
      </c>
      <c r="K327" s="41">
        <f t="shared" ref="K327" si="364">SQRT((1.4*2116.22*AR327*(J327)^2)/AV327)</f>
        <v>189.42376458533053</v>
      </c>
      <c r="L327" s="6">
        <v>100</v>
      </c>
      <c r="M327" s="41">
        <f t="shared" ref="M327" si="365">K327*0.592484</f>
        <v>112.23054973657497</v>
      </c>
      <c r="N327" s="41">
        <f t="shared" ref="N327" si="366">0.5*AV327*K327^2</f>
        <v>33.807999253839412</v>
      </c>
      <c r="O327" s="41">
        <f t="shared" ref="O327" si="367">P327/$B$7</f>
        <v>947204.82690790039</v>
      </c>
      <c r="P327" s="41">
        <f t="shared" ref="P327" si="368">(AV327*K327*$B$7)/(AW327)</f>
        <v>6081720.5745831793</v>
      </c>
      <c r="Q327" s="41">
        <f t="shared" ref="Q327" si="369">0.455/(LOG10(P327)^2.58 * (1+0.144*J327*J327)^0.65)</f>
        <v>3.2480167461938396E-3</v>
      </c>
      <c r="R327" s="41">
        <f t="shared" ref="R327" si="370">(((Q327*$B$4)+$B$17)+(0.1*(Q327*$B$4)))</f>
        <v>2.1536529878506079E-2</v>
      </c>
      <c r="S327" s="24" t="e">
        <f t="shared" ref="S327" ca="1" si="371">T327</f>
        <v>#VALUE!</v>
      </c>
      <c r="T327" s="10" t="e">
        <f t="shared" ref="T327" ca="1" si="372">DEGREES(ASIN(((AF327-X327)/(D327))))</f>
        <v>#VALUE!</v>
      </c>
      <c r="U327" s="41" t="e">
        <f t="shared" ref="U327" ca="1" si="373">(D327*COS(RADIANS(S327)))/(N327*$B$3)</f>
        <v>#VALUE!</v>
      </c>
      <c r="V327" s="41" t="e">
        <f t="shared" ref="V327" ca="1" si="374">(X327)/(N327*$B$3)</f>
        <v>#VALUE!</v>
      </c>
      <c r="W327" s="41" t="e">
        <f t="shared" ref="W327" ca="1" si="375">U327/V327</f>
        <v>#VALUE!</v>
      </c>
      <c r="X327" s="20" t="e">
        <f t="shared" ref="X327" ca="1" si="376">(N327*$B$3*R327)+((N327*$B$3)*((U327^2)/(PI()*$B$6*$B$5)))</f>
        <v>#VALUE!</v>
      </c>
      <c r="Y327" s="41">
        <f t="shared" ref="Y327" si="377">SQRT(PI()*$B$6*$B$5*R327)</f>
        <v>0.58395323478225902</v>
      </c>
      <c r="Z327" s="41" t="e">
        <f t="shared" ref="Z327" ca="1" si="378">SQRT((2*((U327*N327*$B$3)/(D327))*D327)/(AV327*$B$3*$B$18))</f>
        <v>#VALUE!</v>
      </c>
      <c r="AA327" s="14" t="e">
        <f t="shared" ref="AA327" ca="1" si="379">D327/W327</f>
        <v>#VALUE!</v>
      </c>
      <c r="AB327" s="14">
        <f t="shared" ref="AB327" si="380">$B$15*AR327</f>
        <v>5032.6447574024405</v>
      </c>
      <c r="AC327" s="25" t="e">
        <f t="shared" ref="AC327" ca="1" si="381">AA327*K327</f>
        <v>#VALUE!</v>
      </c>
      <c r="AD327" s="41">
        <f t="shared" ref="AD327" si="382">AB327*K327</f>
        <v>953302.51576779783</v>
      </c>
      <c r="AE327" s="5" t="e">
        <f t="shared" ref="AE327" ca="1" si="383">(AA327/AB327)*100</f>
        <v>#VALUE!</v>
      </c>
      <c r="AF327" s="7" t="e">
        <f t="shared" ref="AF327" ca="1" si="384">(AB327)*(AE327/100)</f>
        <v>#VALUE!</v>
      </c>
      <c r="AG327" s="41"/>
      <c r="AH327" s="41"/>
      <c r="AI327" s="41" t="e">
        <f t="shared" ref="AI327" ca="1" si="385">(AP327*AF327)</f>
        <v>#VALUE!</v>
      </c>
      <c r="AJ327" s="13" t="e">
        <f t="shared" ref="AJ327" ca="1" si="386">K327*SIN(RADIANS(T327))</f>
        <v>#VALUE!</v>
      </c>
      <c r="AK327" s="11"/>
      <c r="AL327" s="6">
        <v>0</v>
      </c>
      <c r="AM327" s="6">
        <v>0</v>
      </c>
      <c r="AN327" s="41" t="e">
        <f t="shared" ref="AN327" ca="1" si="387">AI327*(AM327/3600)</f>
        <v>#VALUE!</v>
      </c>
      <c r="AO327" s="41" t="e">
        <f t="shared" ref="AO327" ca="1" si="388">M327*COS(RADIANS(T327))*(AM327/3600)</f>
        <v>#VALUE!</v>
      </c>
      <c r="AP327" s="67">
        <f t="shared" ref="AP327" si="389">-18.066*(AZ327^6) + 34.325*(AZ327^5) - 25.292*(AZ327^4) + 8.7618*(AZ327^3) - 1.317*(AZ327^2) + 0.358*(AZ327^1) + 0.7659</f>
        <v>0.80218616029299183</v>
      </c>
      <c r="AQ327" s="11">
        <f t="shared" ref="AQ327" si="390">IF(H327 &lt;= 36089, ((1 - 6.87535*10^(-6)*H327) + ((I327*1.8)/518.67)), 0.75187 + ((I327*1.8)/518.67))</f>
        <v>1.0108041207183758</v>
      </c>
      <c r="AR327" s="11">
        <f t="shared" ref="AR327" si="391">IF(H327 &lt;= 36089, (1 - 6.87535*10^(-6)*H327)^5.2561, 0.22336*EXP((36089 - H327)/(20806.7)))</f>
        <v>0.80137655372650329</v>
      </c>
      <c r="AS327" s="11">
        <f t="shared" ref="AS327" si="392">(AR327/AQ327)</f>
        <v>0.79281092874548942</v>
      </c>
      <c r="AT327" s="11">
        <f t="shared" ref="AT327" si="393">(518.67*AQ327)</f>
        <v>524.27377329299998</v>
      </c>
      <c r="AU327" s="11">
        <f t="shared" ref="AU327" si="394">2116.22*AR327</f>
        <v>1695.8890905271007</v>
      </c>
      <c r="AV327" s="11">
        <f t="shared" ref="AV327" si="395">(0.0023769*AS327)</f>
        <v>1.8844322965351538E-3</v>
      </c>
      <c r="AW327" s="11">
        <f t="shared" ref="AW327" si="396">((2.2697*10^-8)*(AT327^1.5))/(AT327+198.72)</f>
        <v>3.7685223889866925E-7</v>
      </c>
      <c r="AX327" s="41" t="e">
        <f t="shared" ref="AX327" ca="1" si="397">(1/U327)*(((1 + 0.2*(U327)^2)/1.2)^3)</f>
        <v>#VALUE!</v>
      </c>
      <c r="AY327" s="41" t="e">
        <f t="shared" ref="AY327" ca="1" si="398">($H$4/$H$3)*AX327</f>
        <v>#VALUE!</v>
      </c>
      <c r="AZ327" s="41">
        <f t="shared" ref="AZ327" si="399">-6.6*10^(-3) + 0.825*J327 - 0.243*(J327^2)</f>
        <v>0.12570420266598317</v>
      </c>
    </row>
    <row r="328" spans="1:52" ht="14.5">
      <c r="AC328" s="3"/>
      <c r="AD328" s="3"/>
      <c r="AP328" s="53"/>
    </row>
    <row r="329" spans="1:52" ht="14.5">
      <c r="AC329" s="3"/>
      <c r="AD329" s="3"/>
      <c r="AP329" s="53"/>
    </row>
    <row r="330" spans="1:52" ht="14.5">
      <c r="AC330" s="3"/>
      <c r="AD330" s="3"/>
      <c r="AP330" s="53"/>
    </row>
    <row r="331" spans="1:52" ht="14.5">
      <c r="AC331" s="3"/>
      <c r="AD331" s="3"/>
      <c r="AP331" s="53"/>
    </row>
    <row r="332" spans="1:52" ht="14.5">
      <c r="AC332" s="3"/>
      <c r="AD332" s="3"/>
      <c r="AP332" s="53"/>
    </row>
    <row r="333" spans="1:52" ht="14.5">
      <c r="AC333" s="3"/>
      <c r="AD333" s="3"/>
      <c r="AP333" s="53"/>
    </row>
    <row r="334" spans="1:52" ht="14.5">
      <c r="AC334" s="3"/>
      <c r="AD334" s="3"/>
      <c r="AP334" s="53"/>
    </row>
    <row r="335" spans="1:52" ht="14.5">
      <c r="AC335" s="3"/>
      <c r="AD335" s="3"/>
      <c r="AP335" s="53"/>
    </row>
    <row r="336" spans="1:52" ht="14.5">
      <c r="AC336" s="3"/>
      <c r="AD336" s="3"/>
      <c r="AP336" s="53"/>
    </row>
    <row r="337" spans="29:42" ht="14.5">
      <c r="AC337" s="3"/>
      <c r="AD337" s="3"/>
      <c r="AP337" s="53"/>
    </row>
    <row r="338" spans="29:42" ht="14.5">
      <c r="AC338" s="3"/>
      <c r="AD338" s="3"/>
      <c r="AP338" s="53"/>
    </row>
    <row r="339" spans="29:42" ht="14.5">
      <c r="AC339" s="3"/>
      <c r="AD339" s="3"/>
      <c r="AP339" s="53"/>
    </row>
    <row r="340" spans="29:42" ht="14.5">
      <c r="AC340" s="3"/>
      <c r="AD340" s="3"/>
      <c r="AP340" s="53"/>
    </row>
    <row r="341" spans="29:42" ht="14.5">
      <c r="AC341" s="3"/>
      <c r="AD341" s="3"/>
      <c r="AP341" s="53"/>
    </row>
    <row r="342" spans="29:42" ht="14.5">
      <c r="AC342" s="3"/>
      <c r="AD342" s="3"/>
      <c r="AP342" s="53"/>
    </row>
    <row r="343" spans="29:42" ht="14.5">
      <c r="AC343" s="3"/>
      <c r="AD343" s="3"/>
      <c r="AP343" s="53"/>
    </row>
    <row r="344" spans="29:42" ht="14.5">
      <c r="AC344" s="3"/>
      <c r="AD344" s="3"/>
      <c r="AP344" s="53"/>
    </row>
    <row r="345" spans="29:42" ht="14.5">
      <c r="AC345" s="3"/>
      <c r="AD345" s="3"/>
      <c r="AP345" s="53"/>
    </row>
    <row r="346" spans="29:42" ht="14.5">
      <c r="AC346" s="3"/>
      <c r="AD346" s="3"/>
      <c r="AP346" s="53"/>
    </row>
    <row r="347" spans="29:42" ht="14.5">
      <c r="AC347" s="3"/>
      <c r="AD347" s="3"/>
      <c r="AP347" s="53"/>
    </row>
    <row r="348" spans="29:42" ht="14.5">
      <c r="AC348" s="3"/>
      <c r="AD348" s="3"/>
      <c r="AP348" s="53"/>
    </row>
    <row r="349" spans="29:42" ht="14.5">
      <c r="AC349" s="3"/>
      <c r="AD349" s="3"/>
      <c r="AP349" s="53"/>
    </row>
    <row r="350" spans="29:42" ht="14.5">
      <c r="AC350" s="3"/>
      <c r="AD350" s="3"/>
      <c r="AP350" s="53"/>
    </row>
    <row r="351" spans="29:42" ht="14.5">
      <c r="AC351" s="3"/>
      <c r="AD351" s="3"/>
      <c r="AP351" s="53"/>
    </row>
    <row r="352" spans="29:42" ht="14.5">
      <c r="AC352" s="3"/>
      <c r="AD352" s="3"/>
      <c r="AP352" s="53"/>
    </row>
    <row r="353" spans="29:42" ht="14.5">
      <c r="AC353" s="3"/>
      <c r="AD353" s="3"/>
      <c r="AP353" s="53"/>
    </row>
    <row r="354" spans="29:42" ht="14.5">
      <c r="AC354" s="3"/>
      <c r="AD354" s="3"/>
      <c r="AP354" s="53"/>
    </row>
    <row r="355" spans="29:42" ht="14.5">
      <c r="AC355" s="3"/>
      <c r="AD355" s="3"/>
      <c r="AP355" s="53"/>
    </row>
    <row r="356" spans="29:42" ht="14.5">
      <c r="AC356" s="3"/>
      <c r="AD356" s="3"/>
      <c r="AP356" s="53"/>
    </row>
    <row r="357" spans="29:42" ht="14.5">
      <c r="AC357" s="3"/>
      <c r="AD357" s="3"/>
      <c r="AP357" s="53"/>
    </row>
    <row r="358" spans="29:42" ht="14.5">
      <c r="AC358" s="3"/>
      <c r="AD358" s="3"/>
      <c r="AP358" s="53"/>
    </row>
    <row r="359" spans="29:42" ht="14.5">
      <c r="AC359" s="3"/>
      <c r="AD359" s="3"/>
      <c r="AP359" s="53"/>
    </row>
    <row r="360" spans="29:42" ht="14.5">
      <c r="AC360" s="3"/>
      <c r="AD360" s="3"/>
      <c r="AP360" s="53"/>
    </row>
    <row r="361" spans="29:42" ht="14.5">
      <c r="AC361" s="3"/>
      <c r="AD361" s="3"/>
      <c r="AP361" s="53"/>
    </row>
    <row r="362" spans="29:42" ht="14.5">
      <c r="AC362" s="3"/>
      <c r="AD362" s="3"/>
      <c r="AP362" s="53"/>
    </row>
    <row r="363" spans="29:42" ht="14.5">
      <c r="AC363" s="3"/>
      <c r="AD363" s="3"/>
      <c r="AP363" s="53"/>
    </row>
    <row r="364" spans="29:42" ht="14.5">
      <c r="AC364" s="3"/>
      <c r="AD364" s="3"/>
      <c r="AP364" s="53"/>
    </row>
    <row r="365" spans="29:42" ht="14.5">
      <c r="AC365" s="3"/>
      <c r="AD365" s="3"/>
      <c r="AP365" s="53"/>
    </row>
    <row r="366" spans="29:42" ht="14.5">
      <c r="AC366" s="3"/>
      <c r="AD366" s="3"/>
      <c r="AP366" s="53"/>
    </row>
    <row r="367" spans="29:42" ht="14.5">
      <c r="AC367" s="3"/>
      <c r="AD367" s="3"/>
      <c r="AP367" s="53"/>
    </row>
    <row r="368" spans="29:42" ht="14.5">
      <c r="AC368" s="3"/>
      <c r="AD368" s="3"/>
      <c r="AP368" s="53"/>
    </row>
    <row r="369" spans="29:42" ht="14.5">
      <c r="AC369" s="3"/>
      <c r="AD369" s="3"/>
      <c r="AP369" s="53"/>
    </row>
    <row r="370" spans="29:42" ht="14.5">
      <c r="AC370" s="3"/>
      <c r="AD370" s="3"/>
      <c r="AP370" s="53"/>
    </row>
    <row r="371" spans="29:42" ht="14.5">
      <c r="AC371" s="3"/>
      <c r="AD371" s="3"/>
      <c r="AP371" s="53"/>
    </row>
    <row r="372" spans="29:42" ht="14.5">
      <c r="AC372" s="3"/>
      <c r="AD372" s="3"/>
      <c r="AP372" s="53"/>
    </row>
    <row r="373" spans="29:42" ht="14.5">
      <c r="AC373" s="3"/>
      <c r="AD373" s="3"/>
      <c r="AP373" s="53"/>
    </row>
    <row r="374" spans="29:42" ht="14.5">
      <c r="AC374" s="3"/>
      <c r="AD374" s="3"/>
      <c r="AP374" s="53"/>
    </row>
    <row r="375" spans="29:42" ht="14.5">
      <c r="AC375" s="3"/>
      <c r="AD375" s="3"/>
      <c r="AP375" s="53"/>
    </row>
    <row r="376" spans="29:42" ht="14.5">
      <c r="AC376" s="3"/>
      <c r="AD376" s="3"/>
      <c r="AP376" s="53"/>
    </row>
    <row r="377" spans="29:42" ht="14.5">
      <c r="AC377" s="3"/>
      <c r="AD377" s="3"/>
      <c r="AP377" s="53"/>
    </row>
    <row r="378" spans="29:42" ht="14.5">
      <c r="AC378" s="3"/>
      <c r="AD378" s="3"/>
      <c r="AP378" s="53"/>
    </row>
    <row r="379" spans="29:42" ht="14.5">
      <c r="AC379" s="3"/>
      <c r="AD379" s="3"/>
      <c r="AP379" s="53"/>
    </row>
    <row r="380" spans="29:42" ht="14.5">
      <c r="AC380" s="3"/>
      <c r="AD380" s="3"/>
      <c r="AP380" s="53"/>
    </row>
    <row r="381" spans="29:42" ht="14.5">
      <c r="AC381" s="3"/>
      <c r="AD381" s="3"/>
      <c r="AP381" s="53"/>
    </row>
    <row r="382" spans="29:42" ht="14.5">
      <c r="AC382" s="3"/>
      <c r="AD382" s="3"/>
      <c r="AP382" s="53"/>
    </row>
    <row r="383" spans="29:42" ht="14.5">
      <c r="AC383" s="3"/>
      <c r="AD383" s="3"/>
      <c r="AP383" s="53"/>
    </row>
    <row r="384" spans="29:42" ht="14.5">
      <c r="AC384" s="3"/>
      <c r="AD384" s="3"/>
      <c r="AP384" s="53"/>
    </row>
    <row r="385" spans="29:42" ht="14.5">
      <c r="AC385" s="3"/>
      <c r="AD385" s="3"/>
      <c r="AP385" s="53"/>
    </row>
    <row r="386" spans="29:42" ht="14.5">
      <c r="AC386" s="3"/>
      <c r="AD386" s="3"/>
      <c r="AP386" s="53"/>
    </row>
    <row r="387" spans="29:42" ht="14.5">
      <c r="AC387" s="3"/>
      <c r="AD387" s="3"/>
      <c r="AP387" s="53"/>
    </row>
    <row r="388" spans="29:42" ht="14.5">
      <c r="AC388" s="3"/>
      <c r="AD388" s="3"/>
      <c r="AP388" s="53"/>
    </row>
    <row r="389" spans="29:42" ht="14.5">
      <c r="AC389" s="3"/>
      <c r="AD389" s="3"/>
      <c r="AP389" s="53"/>
    </row>
    <row r="390" spans="29:42" ht="14.5">
      <c r="AC390" s="3"/>
      <c r="AD390" s="3"/>
      <c r="AP390" s="53"/>
    </row>
    <row r="391" spans="29:42" ht="14.5">
      <c r="AC391" s="3"/>
      <c r="AD391" s="3"/>
      <c r="AP391" s="53"/>
    </row>
    <row r="392" spans="29:42" ht="14.5">
      <c r="AC392" s="3"/>
      <c r="AD392" s="3"/>
      <c r="AP392" s="53"/>
    </row>
    <row r="393" spans="29:42" ht="14.5">
      <c r="AC393" s="3"/>
      <c r="AD393" s="3"/>
      <c r="AP393" s="53"/>
    </row>
    <row r="394" spans="29:42" ht="14.5">
      <c r="AC394" s="3"/>
      <c r="AD394" s="3"/>
      <c r="AP394" s="53"/>
    </row>
    <row r="395" spans="29:42" ht="14.5">
      <c r="AC395" s="3"/>
      <c r="AD395" s="3"/>
      <c r="AP395" s="53"/>
    </row>
    <row r="396" spans="29:42" ht="14.5">
      <c r="AC396" s="3"/>
      <c r="AD396" s="3"/>
      <c r="AP396" s="53"/>
    </row>
    <row r="397" spans="29:42" ht="14.5">
      <c r="AC397" s="3"/>
      <c r="AD397" s="3"/>
      <c r="AP397" s="53"/>
    </row>
    <row r="398" spans="29:42" ht="14.5">
      <c r="AC398" s="3"/>
      <c r="AD398" s="3"/>
      <c r="AP398" s="53"/>
    </row>
    <row r="399" spans="29:42" ht="14.5">
      <c r="AC399" s="3"/>
      <c r="AD399" s="3"/>
      <c r="AP399" s="53"/>
    </row>
    <row r="400" spans="29:42" ht="14.5">
      <c r="AC400" s="3"/>
      <c r="AD400" s="3"/>
      <c r="AP400" s="53"/>
    </row>
    <row r="401" spans="29:42" ht="14.5">
      <c r="AC401" s="3"/>
      <c r="AD401" s="3"/>
      <c r="AP401" s="53"/>
    </row>
    <row r="402" spans="29:42" ht="14.5">
      <c r="AC402" s="3"/>
      <c r="AD402" s="3"/>
      <c r="AP402" s="53"/>
    </row>
    <row r="403" spans="29:42" ht="14.5">
      <c r="AC403" s="3"/>
      <c r="AD403" s="3"/>
      <c r="AP403" s="53"/>
    </row>
    <row r="404" spans="29:42" ht="14.5">
      <c r="AC404" s="3"/>
      <c r="AD404" s="3"/>
      <c r="AP404" s="53"/>
    </row>
    <row r="405" spans="29:42" ht="14.5">
      <c r="AC405" s="3"/>
      <c r="AD405" s="3"/>
      <c r="AP405" s="53"/>
    </row>
    <row r="406" spans="29:42" ht="14.5">
      <c r="AC406" s="3"/>
      <c r="AD406" s="3"/>
      <c r="AP406" s="53"/>
    </row>
    <row r="407" spans="29:42" ht="14.5">
      <c r="AC407" s="3"/>
      <c r="AD407" s="3"/>
      <c r="AP407" s="53"/>
    </row>
    <row r="408" spans="29:42" ht="14.5">
      <c r="AC408" s="3"/>
      <c r="AD408" s="3"/>
      <c r="AP408" s="53"/>
    </row>
    <row r="409" spans="29:42" ht="14.5">
      <c r="AC409" s="3"/>
      <c r="AD409" s="3"/>
      <c r="AP409" s="53"/>
    </row>
    <row r="410" spans="29:42" ht="14.5">
      <c r="AC410" s="3"/>
      <c r="AD410" s="3"/>
      <c r="AP410" s="53"/>
    </row>
    <row r="411" spans="29:42" ht="14.5">
      <c r="AC411" s="3"/>
      <c r="AD411" s="3"/>
      <c r="AP411" s="53"/>
    </row>
    <row r="412" spans="29:42" ht="14.5">
      <c r="AC412" s="3"/>
      <c r="AD412" s="3"/>
      <c r="AP412" s="53"/>
    </row>
    <row r="413" spans="29:42" ht="14.5">
      <c r="AC413" s="3"/>
      <c r="AD413" s="3"/>
      <c r="AP413" s="53"/>
    </row>
    <row r="414" spans="29:42" ht="14.5">
      <c r="AC414" s="3"/>
      <c r="AD414" s="3"/>
      <c r="AP414" s="53"/>
    </row>
    <row r="415" spans="29:42" ht="14.5">
      <c r="AC415" s="3"/>
      <c r="AD415" s="3"/>
      <c r="AP415" s="53"/>
    </row>
    <row r="416" spans="29:42" ht="14.5">
      <c r="AC416" s="3"/>
      <c r="AD416" s="3"/>
      <c r="AP416" s="53"/>
    </row>
    <row r="417" spans="29:42" ht="14.5">
      <c r="AC417" s="3"/>
      <c r="AD417" s="3"/>
      <c r="AP417" s="53"/>
    </row>
    <row r="418" spans="29:42" ht="14.5">
      <c r="AC418" s="3"/>
      <c r="AD418" s="3"/>
      <c r="AP418" s="53"/>
    </row>
    <row r="419" spans="29:42" ht="14.5">
      <c r="AC419" s="3"/>
      <c r="AD419" s="3"/>
      <c r="AP419" s="53"/>
    </row>
    <row r="420" spans="29:42" ht="14.5">
      <c r="AC420" s="3"/>
      <c r="AD420" s="3"/>
      <c r="AP420" s="53"/>
    </row>
    <row r="421" spans="29:42" ht="14.5">
      <c r="AC421" s="3"/>
      <c r="AD421" s="3"/>
      <c r="AP421" s="53"/>
    </row>
    <row r="422" spans="29:42" ht="14.5">
      <c r="AC422" s="3"/>
      <c r="AD422" s="3"/>
      <c r="AP422" s="53"/>
    </row>
    <row r="423" spans="29:42" ht="14.5">
      <c r="AC423" s="3"/>
      <c r="AD423" s="3"/>
      <c r="AP423" s="53"/>
    </row>
    <row r="424" spans="29:42" ht="14.5">
      <c r="AC424" s="3"/>
      <c r="AD424" s="3"/>
      <c r="AP424" s="53"/>
    </row>
    <row r="425" spans="29:42" ht="14.5">
      <c r="AC425" s="3"/>
      <c r="AD425" s="3"/>
      <c r="AP425" s="53"/>
    </row>
    <row r="426" spans="29:42" ht="14.5">
      <c r="AC426" s="3"/>
      <c r="AD426" s="3"/>
      <c r="AP426" s="53"/>
    </row>
    <row r="427" spans="29:42" ht="14.5">
      <c r="AC427" s="3"/>
      <c r="AD427" s="3"/>
      <c r="AP427" s="53"/>
    </row>
    <row r="428" spans="29:42" ht="14.5">
      <c r="AC428" s="3"/>
      <c r="AD428" s="3"/>
      <c r="AP428" s="53"/>
    </row>
    <row r="429" spans="29:42" ht="14.5">
      <c r="AC429" s="3"/>
      <c r="AD429" s="3"/>
      <c r="AP429" s="53"/>
    </row>
    <row r="430" spans="29:42" ht="14.5">
      <c r="AC430" s="3"/>
      <c r="AD430" s="3"/>
      <c r="AP430" s="53"/>
    </row>
    <row r="431" spans="29:42" ht="14.5">
      <c r="AC431" s="3"/>
      <c r="AD431" s="3"/>
      <c r="AP431" s="53"/>
    </row>
    <row r="432" spans="29:42" ht="14.5">
      <c r="AC432" s="3"/>
      <c r="AD432" s="3"/>
      <c r="AP432" s="53"/>
    </row>
    <row r="433" spans="29:42" ht="14.5">
      <c r="AC433" s="3"/>
      <c r="AD433" s="3"/>
      <c r="AP433" s="53"/>
    </row>
    <row r="434" spans="29:42" ht="14.5">
      <c r="AC434" s="3"/>
      <c r="AD434" s="3"/>
      <c r="AP434" s="53"/>
    </row>
    <row r="435" spans="29:42" ht="14.5">
      <c r="AC435" s="3"/>
      <c r="AD435" s="3"/>
      <c r="AP435" s="53"/>
    </row>
    <row r="436" spans="29:42" ht="14.5">
      <c r="AC436" s="3"/>
      <c r="AD436" s="3"/>
      <c r="AP436" s="53"/>
    </row>
    <row r="437" spans="29:42" ht="14.5">
      <c r="AC437" s="3"/>
      <c r="AD437" s="3"/>
      <c r="AP437" s="53"/>
    </row>
    <row r="438" spans="29:42" ht="14.5">
      <c r="AC438" s="3"/>
      <c r="AD438" s="3"/>
      <c r="AP438" s="53"/>
    </row>
    <row r="439" spans="29:42" ht="14.5">
      <c r="AC439" s="3"/>
      <c r="AD439" s="3"/>
      <c r="AP439" s="53"/>
    </row>
    <row r="440" spans="29:42" ht="14.5">
      <c r="AC440" s="3"/>
      <c r="AD440" s="3"/>
      <c r="AP440" s="53"/>
    </row>
    <row r="441" spans="29:42" ht="14.5">
      <c r="AC441" s="3"/>
      <c r="AD441" s="3"/>
      <c r="AP441" s="53"/>
    </row>
    <row r="442" spans="29:42" ht="14.5">
      <c r="AC442" s="3"/>
      <c r="AD442" s="3"/>
      <c r="AP442" s="53"/>
    </row>
    <row r="443" spans="29:42" ht="14.5">
      <c r="AC443" s="3"/>
      <c r="AD443" s="3"/>
      <c r="AP443" s="53"/>
    </row>
    <row r="444" spans="29:42" ht="14.5">
      <c r="AC444" s="3"/>
      <c r="AD444" s="3"/>
      <c r="AP444" s="53"/>
    </row>
    <row r="445" spans="29:42" ht="14.5">
      <c r="AC445" s="3"/>
      <c r="AD445" s="3"/>
      <c r="AP445" s="53"/>
    </row>
    <row r="446" spans="29:42" ht="14.5">
      <c r="AC446" s="3"/>
      <c r="AD446" s="3"/>
      <c r="AP446" s="53"/>
    </row>
    <row r="447" spans="29:42" ht="14.5">
      <c r="AC447" s="3"/>
      <c r="AD447" s="3"/>
      <c r="AP447" s="53"/>
    </row>
    <row r="448" spans="29:42" ht="14.5">
      <c r="AC448" s="3"/>
      <c r="AD448" s="3"/>
      <c r="AP448" s="53"/>
    </row>
    <row r="449" spans="29:42" ht="14.5">
      <c r="AC449" s="3"/>
      <c r="AD449" s="3"/>
      <c r="AP449" s="53"/>
    </row>
    <row r="450" spans="29:42" ht="14.5">
      <c r="AC450" s="3"/>
      <c r="AD450" s="3"/>
      <c r="AP450" s="53"/>
    </row>
    <row r="451" spans="29:42" ht="14.5">
      <c r="AC451" s="3"/>
      <c r="AD451" s="3"/>
      <c r="AP451" s="53"/>
    </row>
    <row r="452" spans="29:42" ht="14.5">
      <c r="AC452" s="3"/>
      <c r="AD452" s="3"/>
      <c r="AP452" s="53"/>
    </row>
    <row r="453" spans="29:42" ht="14.5">
      <c r="AC453" s="3"/>
      <c r="AD453" s="3"/>
      <c r="AP453" s="53"/>
    </row>
    <row r="454" spans="29:42" ht="14.5">
      <c r="AC454" s="3"/>
      <c r="AD454" s="3"/>
      <c r="AP454" s="53"/>
    </row>
    <row r="455" spans="29:42" ht="14.5">
      <c r="AC455" s="3"/>
      <c r="AD455" s="3"/>
      <c r="AP455" s="53"/>
    </row>
    <row r="456" spans="29:42" ht="14.5">
      <c r="AC456" s="3"/>
      <c r="AD456" s="3"/>
      <c r="AP456" s="53"/>
    </row>
    <row r="457" spans="29:42" ht="14.5">
      <c r="AC457" s="3"/>
      <c r="AD457" s="3"/>
      <c r="AP457" s="53"/>
    </row>
    <row r="458" spans="29:42" ht="14.5">
      <c r="AC458" s="3"/>
      <c r="AD458" s="3"/>
      <c r="AP458" s="53"/>
    </row>
    <row r="459" spans="29:42" ht="14.5">
      <c r="AC459" s="3"/>
      <c r="AD459" s="3"/>
      <c r="AP459" s="53"/>
    </row>
    <row r="460" spans="29:42" ht="14.5">
      <c r="AC460" s="3"/>
      <c r="AD460" s="3"/>
      <c r="AP460" s="53"/>
    </row>
    <row r="461" spans="29:42" ht="14.5">
      <c r="AC461" s="3"/>
      <c r="AD461" s="3"/>
      <c r="AP461" s="53"/>
    </row>
    <row r="462" spans="29:42" ht="14.5">
      <c r="AC462" s="3"/>
      <c r="AD462" s="3"/>
      <c r="AP462" s="53"/>
    </row>
    <row r="463" spans="29:42" ht="14.5">
      <c r="AC463" s="3"/>
      <c r="AD463" s="3"/>
      <c r="AP463" s="53"/>
    </row>
    <row r="464" spans="29:42" ht="14.5">
      <c r="AC464" s="3"/>
      <c r="AD464" s="3"/>
      <c r="AP464" s="53"/>
    </row>
    <row r="465" spans="29:42" ht="14.5">
      <c r="AC465" s="3"/>
      <c r="AD465" s="3"/>
      <c r="AP465" s="53"/>
    </row>
    <row r="466" spans="29:42" ht="14.5">
      <c r="AC466" s="3"/>
      <c r="AD466" s="3"/>
      <c r="AP466" s="53"/>
    </row>
    <row r="467" spans="29:42" ht="14.5">
      <c r="AC467" s="3"/>
      <c r="AD467" s="3"/>
      <c r="AP467" s="53"/>
    </row>
    <row r="468" spans="29:42" ht="14.5">
      <c r="AC468" s="3"/>
      <c r="AD468" s="3"/>
      <c r="AP468" s="53"/>
    </row>
    <row r="469" spans="29:42" ht="14.5">
      <c r="AC469" s="3"/>
      <c r="AD469" s="3"/>
      <c r="AP469" s="53"/>
    </row>
    <row r="470" spans="29:42" ht="14.5">
      <c r="AC470" s="3"/>
      <c r="AD470" s="3"/>
      <c r="AP470" s="53"/>
    </row>
    <row r="471" spans="29:42" ht="14.5">
      <c r="AC471" s="3"/>
      <c r="AD471" s="3"/>
      <c r="AP471" s="53"/>
    </row>
    <row r="472" spans="29:42" ht="14.5">
      <c r="AC472" s="3"/>
      <c r="AD472" s="3"/>
      <c r="AP472" s="53"/>
    </row>
    <row r="473" spans="29:42" ht="14.5">
      <c r="AC473" s="3"/>
      <c r="AD473" s="3"/>
      <c r="AP473" s="53"/>
    </row>
    <row r="474" spans="29:42" ht="14.5">
      <c r="AC474" s="3"/>
      <c r="AD474" s="3"/>
      <c r="AP474" s="53"/>
    </row>
    <row r="475" spans="29:42" ht="14.5">
      <c r="AC475" s="3"/>
      <c r="AD475" s="3"/>
      <c r="AP475" s="53"/>
    </row>
    <row r="476" spans="29:42" ht="14.5">
      <c r="AC476" s="3"/>
      <c r="AD476" s="3"/>
      <c r="AP476" s="53"/>
    </row>
    <row r="477" spans="29:42" ht="14.5">
      <c r="AC477" s="3"/>
      <c r="AD477" s="3"/>
      <c r="AP477" s="53"/>
    </row>
    <row r="478" spans="29:42" ht="14.5">
      <c r="AC478" s="3"/>
      <c r="AD478" s="3"/>
      <c r="AP478" s="53"/>
    </row>
    <row r="479" spans="29:42" ht="14.5">
      <c r="AC479" s="3"/>
      <c r="AD479" s="3"/>
      <c r="AP479" s="53"/>
    </row>
    <row r="480" spans="29:42" ht="14.5">
      <c r="AC480" s="3"/>
      <c r="AD480" s="3"/>
      <c r="AP480" s="53"/>
    </row>
    <row r="481" spans="29:42" ht="14.5">
      <c r="AC481" s="3"/>
      <c r="AD481" s="3"/>
      <c r="AP481" s="53"/>
    </row>
    <row r="482" spans="29:42" ht="14.5">
      <c r="AC482" s="3"/>
      <c r="AD482" s="3"/>
      <c r="AP482" s="53"/>
    </row>
    <row r="483" spans="29:42" ht="14.5">
      <c r="AC483" s="3"/>
      <c r="AD483" s="3"/>
      <c r="AP483" s="53"/>
    </row>
    <row r="484" spans="29:42" ht="14.5">
      <c r="AC484" s="3"/>
      <c r="AD484" s="3"/>
      <c r="AP484" s="53"/>
    </row>
    <row r="485" spans="29:42" ht="14.5">
      <c r="AC485" s="3"/>
      <c r="AD485" s="3"/>
      <c r="AP485" s="53"/>
    </row>
    <row r="486" spans="29:42" ht="14.5">
      <c r="AC486" s="3"/>
      <c r="AD486" s="3"/>
      <c r="AP486" s="53"/>
    </row>
    <row r="487" spans="29:42" ht="14.5">
      <c r="AC487" s="3"/>
      <c r="AD487" s="3"/>
      <c r="AP487" s="53"/>
    </row>
    <row r="488" spans="29:42" ht="14.5">
      <c r="AC488" s="3"/>
      <c r="AD488" s="3"/>
      <c r="AP488" s="53"/>
    </row>
    <row r="489" spans="29:42" ht="14.5">
      <c r="AC489" s="3"/>
      <c r="AD489" s="3"/>
      <c r="AP489" s="53"/>
    </row>
    <row r="490" spans="29:42" ht="14.5">
      <c r="AC490" s="3"/>
      <c r="AD490" s="3"/>
      <c r="AP490" s="53"/>
    </row>
    <row r="491" spans="29:42" ht="14.5">
      <c r="AC491" s="3"/>
      <c r="AD491" s="3"/>
      <c r="AP491" s="53"/>
    </row>
    <row r="492" spans="29:42" ht="14.5">
      <c r="AC492" s="3"/>
      <c r="AD492" s="3"/>
      <c r="AP492" s="53"/>
    </row>
    <row r="493" spans="29:42" ht="14.5">
      <c r="AC493" s="3"/>
      <c r="AD493" s="3"/>
      <c r="AP493" s="53"/>
    </row>
    <row r="494" spans="29:42" ht="14.5">
      <c r="AC494" s="3"/>
      <c r="AD494" s="3"/>
      <c r="AP494" s="53"/>
    </row>
    <row r="495" spans="29:42" ht="14.5">
      <c r="AC495" s="3"/>
      <c r="AD495" s="3"/>
      <c r="AP495" s="53"/>
    </row>
    <row r="496" spans="29:42" ht="14.5">
      <c r="AC496" s="3"/>
      <c r="AD496" s="3"/>
      <c r="AP496" s="53"/>
    </row>
    <row r="497" spans="29:42" ht="14.5">
      <c r="AC497" s="3"/>
      <c r="AD497" s="3"/>
      <c r="AP497" s="53"/>
    </row>
    <row r="498" spans="29:42" ht="14.5">
      <c r="AC498" s="3"/>
      <c r="AD498" s="3"/>
      <c r="AP498" s="53"/>
    </row>
    <row r="499" spans="29:42" ht="14.5">
      <c r="AC499" s="3"/>
      <c r="AD499" s="3"/>
      <c r="AP499" s="53"/>
    </row>
    <row r="500" spans="29:42" ht="14.5">
      <c r="AC500" s="3"/>
      <c r="AD500" s="3"/>
      <c r="AP500" s="53"/>
    </row>
    <row r="501" spans="29:42" ht="14.5">
      <c r="AC501" s="3"/>
      <c r="AD501" s="3"/>
      <c r="AP501" s="53"/>
    </row>
    <row r="502" spans="29:42" ht="14.5">
      <c r="AC502" s="3"/>
      <c r="AD502" s="3"/>
      <c r="AP502" s="53"/>
    </row>
    <row r="503" spans="29:42" ht="14.5">
      <c r="AC503" s="3"/>
      <c r="AD503" s="3"/>
      <c r="AP503" s="53"/>
    </row>
    <row r="504" spans="29:42" ht="14.5">
      <c r="AC504" s="3"/>
      <c r="AD504" s="3"/>
      <c r="AP504" s="53"/>
    </row>
    <row r="505" spans="29:42" ht="14.5">
      <c r="AC505" s="3"/>
      <c r="AD505" s="3"/>
      <c r="AP505" s="53"/>
    </row>
    <row r="506" spans="29:42" ht="14.5">
      <c r="AC506" s="3"/>
      <c r="AD506" s="3"/>
      <c r="AP506" s="53"/>
    </row>
    <row r="507" spans="29:42" ht="14.5">
      <c r="AC507" s="3"/>
      <c r="AD507" s="3"/>
      <c r="AP507" s="53"/>
    </row>
    <row r="508" spans="29:42" ht="14.5">
      <c r="AC508" s="3"/>
      <c r="AD508" s="3"/>
      <c r="AP508" s="53"/>
    </row>
    <row r="509" spans="29:42" ht="14.5">
      <c r="AC509" s="3"/>
      <c r="AD509" s="3"/>
      <c r="AP509" s="53"/>
    </row>
    <row r="510" spans="29:42" ht="14.5">
      <c r="AC510" s="3"/>
      <c r="AD510" s="3"/>
      <c r="AP510" s="53"/>
    </row>
    <row r="511" spans="29:42" ht="14.5">
      <c r="AC511" s="3"/>
      <c r="AD511" s="3"/>
      <c r="AP511" s="53"/>
    </row>
    <row r="512" spans="29:42" ht="14.5">
      <c r="AC512" s="3"/>
      <c r="AD512" s="3"/>
      <c r="AP512" s="53"/>
    </row>
    <row r="513" spans="29:42" ht="14.5">
      <c r="AC513" s="3"/>
      <c r="AD513" s="3"/>
      <c r="AP513" s="53"/>
    </row>
    <row r="514" spans="29:42" ht="14.5">
      <c r="AC514" s="3"/>
      <c r="AD514" s="3"/>
      <c r="AP514" s="53"/>
    </row>
    <row r="515" spans="29:42" ht="14.5">
      <c r="AC515" s="3"/>
      <c r="AD515" s="3"/>
      <c r="AP515" s="53"/>
    </row>
    <row r="516" spans="29:42" ht="14.5">
      <c r="AC516" s="3"/>
      <c r="AD516" s="3"/>
      <c r="AP516" s="53"/>
    </row>
    <row r="517" spans="29:42" ht="14.5">
      <c r="AC517" s="3"/>
      <c r="AD517" s="3"/>
      <c r="AP517" s="53"/>
    </row>
    <row r="518" spans="29:42" ht="14.5">
      <c r="AC518" s="3"/>
      <c r="AD518" s="3"/>
      <c r="AP518" s="53"/>
    </row>
    <row r="519" spans="29:42" ht="14.5">
      <c r="AC519" s="3"/>
      <c r="AD519" s="3"/>
      <c r="AP519" s="53"/>
    </row>
    <row r="520" spans="29:42" ht="14.5">
      <c r="AC520" s="3"/>
      <c r="AD520" s="3"/>
      <c r="AP520" s="53"/>
    </row>
    <row r="521" spans="29:42" ht="14.5">
      <c r="AC521" s="3"/>
      <c r="AD521" s="3"/>
      <c r="AP521" s="53"/>
    </row>
    <row r="522" spans="29:42" ht="14.5">
      <c r="AC522" s="3"/>
      <c r="AD522" s="3"/>
      <c r="AP522" s="53"/>
    </row>
    <row r="523" spans="29:42" ht="14.5">
      <c r="AC523" s="3"/>
      <c r="AD523" s="3"/>
      <c r="AP523" s="53"/>
    </row>
    <row r="524" spans="29:42" ht="14.5">
      <c r="AC524" s="3"/>
      <c r="AD524" s="3"/>
      <c r="AP524" s="53"/>
    </row>
    <row r="525" spans="29:42" ht="14.5">
      <c r="AC525" s="3"/>
      <c r="AD525" s="3"/>
      <c r="AP525" s="53"/>
    </row>
    <row r="526" spans="29:42" ht="14.5">
      <c r="AC526" s="3"/>
      <c r="AD526" s="3"/>
      <c r="AP526" s="53"/>
    </row>
    <row r="527" spans="29:42" ht="14.5">
      <c r="AC527" s="3"/>
      <c r="AD527" s="3"/>
      <c r="AP527" s="53"/>
    </row>
    <row r="528" spans="29:42" ht="14.5">
      <c r="AC528" s="3"/>
      <c r="AD528" s="3"/>
      <c r="AP528" s="53"/>
    </row>
    <row r="529" spans="29:42" ht="14.5">
      <c r="AC529" s="3"/>
      <c r="AD529" s="3"/>
      <c r="AP529" s="53"/>
    </row>
    <row r="530" spans="29:42" ht="14.5">
      <c r="AC530" s="3"/>
      <c r="AD530" s="3"/>
      <c r="AP530" s="53"/>
    </row>
    <row r="531" spans="29:42" ht="14.5">
      <c r="AC531" s="3"/>
      <c r="AD531" s="3"/>
      <c r="AP531" s="53"/>
    </row>
    <row r="532" spans="29:42" ht="14.5">
      <c r="AC532" s="3"/>
      <c r="AD532" s="3"/>
      <c r="AP532" s="53"/>
    </row>
    <row r="533" spans="29:42" ht="14.5">
      <c r="AC533" s="3"/>
      <c r="AD533" s="3"/>
      <c r="AP533" s="53"/>
    </row>
    <row r="534" spans="29:42" ht="14.5">
      <c r="AC534" s="3"/>
      <c r="AD534" s="3"/>
      <c r="AP534" s="53"/>
    </row>
    <row r="535" spans="29:42" ht="14.5">
      <c r="AC535" s="3"/>
      <c r="AD535" s="3"/>
      <c r="AP535" s="53"/>
    </row>
    <row r="536" spans="29:42" ht="14.5">
      <c r="AC536" s="3"/>
      <c r="AD536" s="3"/>
      <c r="AP536" s="53"/>
    </row>
    <row r="537" spans="29:42" ht="14.5">
      <c r="AC537" s="3"/>
      <c r="AD537" s="3"/>
      <c r="AP537" s="53"/>
    </row>
    <row r="538" spans="29:42" ht="14.5">
      <c r="AC538" s="3"/>
      <c r="AD538" s="3"/>
      <c r="AP538" s="53"/>
    </row>
    <row r="539" spans="29:42" ht="14.5">
      <c r="AC539" s="3"/>
      <c r="AD539" s="3"/>
      <c r="AP539" s="53"/>
    </row>
    <row r="540" spans="29:42" ht="14.5">
      <c r="AC540" s="3"/>
      <c r="AD540" s="3"/>
      <c r="AP540" s="53"/>
    </row>
    <row r="541" spans="29:42" ht="14.5">
      <c r="AC541" s="3"/>
      <c r="AD541" s="3"/>
      <c r="AP541" s="53"/>
    </row>
    <row r="542" spans="29:42" ht="14.5">
      <c r="AC542" s="3"/>
      <c r="AD542" s="3"/>
      <c r="AP542" s="53"/>
    </row>
    <row r="543" spans="29:42" ht="14.5">
      <c r="AC543" s="3"/>
      <c r="AD543" s="3"/>
      <c r="AP543" s="53"/>
    </row>
    <row r="544" spans="29:42" ht="14.5">
      <c r="AC544" s="3"/>
      <c r="AD544" s="3"/>
      <c r="AP544" s="53"/>
    </row>
    <row r="545" spans="29:42" ht="14.5">
      <c r="AC545" s="3"/>
      <c r="AD545" s="3"/>
      <c r="AP545" s="53"/>
    </row>
    <row r="546" spans="29:42" ht="14.5">
      <c r="AC546" s="3"/>
      <c r="AD546" s="3"/>
      <c r="AP546" s="53"/>
    </row>
    <row r="547" spans="29:42" ht="14.5">
      <c r="AC547" s="3"/>
      <c r="AD547" s="3"/>
      <c r="AP547" s="53"/>
    </row>
    <row r="548" spans="29:42" ht="14.5">
      <c r="AC548" s="3"/>
      <c r="AD548" s="3"/>
      <c r="AP548" s="53"/>
    </row>
    <row r="549" spans="29:42" ht="14.5">
      <c r="AC549" s="3"/>
      <c r="AD549" s="3"/>
      <c r="AP549" s="53"/>
    </row>
    <row r="550" spans="29:42" ht="14.5">
      <c r="AC550" s="3"/>
      <c r="AD550" s="3"/>
      <c r="AP550" s="53"/>
    </row>
    <row r="551" spans="29:42" ht="14.5">
      <c r="AC551" s="3"/>
      <c r="AD551" s="3"/>
      <c r="AP551" s="53"/>
    </row>
    <row r="552" spans="29:42" ht="14.5">
      <c r="AC552" s="3"/>
      <c r="AD552" s="3"/>
      <c r="AP552" s="53"/>
    </row>
    <row r="553" spans="29:42" ht="14.5">
      <c r="AC553" s="3"/>
      <c r="AD553" s="3"/>
      <c r="AP553" s="53"/>
    </row>
    <row r="554" spans="29:42" ht="14.5">
      <c r="AC554" s="3"/>
      <c r="AD554" s="3"/>
      <c r="AP554" s="53"/>
    </row>
    <row r="555" spans="29:42" ht="14.5">
      <c r="AC555" s="3"/>
      <c r="AD555" s="3"/>
      <c r="AP555" s="53"/>
    </row>
    <row r="556" spans="29:42" ht="14.5">
      <c r="AC556" s="3"/>
      <c r="AD556" s="3"/>
      <c r="AP556" s="53"/>
    </row>
    <row r="557" spans="29:42" ht="14.5">
      <c r="AC557" s="3"/>
      <c r="AD557" s="3"/>
      <c r="AP557" s="53"/>
    </row>
    <row r="558" spans="29:42" ht="14.5">
      <c r="AC558" s="3"/>
      <c r="AD558" s="3"/>
      <c r="AP558" s="53"/>
    </row>
    <row r="559" spans="29:42" ht="14.5">
      <c r="AC559" s="3"/>
      <c r="AD559" s="3"/>
      <c r="AP559" s="53"/>
    </row>
    <row r="560" spans="29:42" ht="14.5">
      <c r="AC560" s="3"/>
      <c r="AD560" s="3"/>
      <c r="AP560" s="53"/>
    </row>
    <row r="561" spans="29:42" ht="14.5">
      <c r="AC561" s="3"/>
      <c r="AD561" s="3"/>
      <c r="AP561" s="53"/>
    </row>
    <row r="562" spans="29:42" ht="14.5">
      <c r="AC562" s="3"/>
      <c r="AD562" s="3"/>
      <c r="AP562" s="53"/>
    </row>
    <row r="563" spans="29:42" ht="14.5">
      <c r="AC563" s="3"/>
      <c r="AD563" s="3"/>
      <c r="AP563" s="53"/>
    </row>
    <row r="564" spans="29:42" ht="14.5">
      <c r="AC564" s="3"/>
      <c r="AD564" s="3"/>
      <c r="AP564" s="53"/>
    </row>
    <row r="565" spans="29:42" ht="14.5">
      <c r="AC565" s="3"/>
      <c r="AD565" s="3"/>
      <c r="AP565" s="53"/>
    </row>
    <row r="566" spans="29:42" ht="14.5">
      <c r="AC566" s="3"/>
      <c r="AD566" s="3"/>
      <c r="AP566" s="53"/>
    </row>
    <row r="567" spans="29:42" ht="14.5">
      <c r="AC567" s="3"/>
      <c r="AD567" s="3"/>
      <c r="AP567" s="53"/>
    </row>
    <row r="568" spans="29:42" ht="14.5">
      <c r="AC568" s="3"/>
      <c r="AD568" s="3"/>
      <c r="AP568" s="53"/>
    </row>
    <row r="569" spans="29:42" ht="14.5">
      <c r="AC569" s="3"/>
      <c r="AD569" s="3"/>
      <c r="AP569" s="53"/>
    </row>
    <row r="570" spans="29:42" ht="14.5">
      <c r="AC570" s="3"/>
      <c r="AD570" s="3"/>
      <c r="AP570" s="53"/>
    </row>
    <row r="571" spans="29:42" ht="14.5">
      <c r="AC571" s="3"/>
      <c r="AD571" s="3"/>
      <c r="AP571" s="53"/>
    </row>
    <row r="572" spans="29:42" ht="14.5">
      <c r="AC572" s="3"/>
      <c r="AD572" s="3"/>
      <c r="AP572" s="53"/>
    </row>
    <row r="573" spans="29:42" ht="14.5">
      <c r="AC573" s="3"/>
      <c r="AD573" s="3"/>
      <c r="AP573" s="53"/>
    </row>
    <row r="574" spans="29:42" ht="14.5">
      <c r="AC574" s="3"/>
      <c r="AD574" s="3"/>
      <c r="AP574" s="53"/>
    </row>
    <row r="575" spans="29:42" ht="14.5">
      <c r="AC575" s="3"/>
      <c r="AD575" s="3"/>
      <c r="AP575" s="53"/>
    </row>
    <row r="576" spans="29:42" ht="14.5">
      <c r="AC576" s="3"/>
      <c r="AD576" s="3"/>
      <c r="AP576" s="53"/>
    </row>
    <row r="577" spans="29:42" ht="14.5">
      <c r="AC577" s="3"/>
      <c r="AD577" s="3"/>
      <c r="AP577" s="53"/>
    </row>
    <row r="578" spans="29:42" ht="14.5">
      <c r="AC578" s="3"/>
      <c r="AD578" s="3"/>
      <c r="AP578" s="53"/>
    </row>
    <row r="579" spans="29:42" ht="14.5">
      <c r="AC579" s="3"/>
      <c r="AD579" s="3"/>
      <c r="AP579" s="53"/>
    </row>
    <row r="580" spans="29:42" ht="14.5">
      <c r="AC580" s="3"/>
      <c r="AD580" s="3"/>
      <c r="AP580" s="53"/>
    </row>
    <row r="581" spans="29:42" ht="14.5">
      <c r="AC581" s="3"/>
      <c r="AD581" s="3"/>
      <c r="AP581" s="53"/>
    </row>
    <row r="582" spans="29:42" ht="14.5">
      <c r="AC582" s="3"/>
      <c r="AD582" s="3"/>
      <c r="AP582" s="53"/>
    </row>
    <row r="583" spans="29:42" ht="14.5">
      <c r="AC583" s="3"/>
      <c r="AD583" s="3"/>
      <c r="AP583" s="53"/>
    </row>
    <row r="584" spans="29:42" ht="14.5">
      <c r="AC584" s="3"/>
      <c r="AD584" s="3"/>
      <c r="AP584" s="53"/>
    </row>
    <row r="585" spans="29:42" ht="14.5">
      <c r="AC585" s="3"/>
      <c r="AD585" s="3"/>
      <c r="AP585" s="53"/>
    </row>
    <row r="586" spans="29:42" ht="14.5">
      <c r="AC586" s="3"/>
      <c r="AD586" s="3"/>
      <c r="AP586" s="53"/>
    </row>
    <row r="587" spans="29:42" ht="14.5">
      <c r="AC587" s="3"/>
      <c r="AD587" s="3"/>
      <c r="AP587" s="53"/>
    </row>
    <row r="588" spans="29:42" ht="14.5">
      <c r="AC588" s="3"/>
      <c r="AD588" s="3"/>
      <c r="AP588" s="53"/>
    </row>
    <row r="589" spans="29:42" ht="14.5">
      <c r="AC589" s="3"/>
      <c r="AD589" s="3"/>
      <c r="AP589" s="53"/>
    </row>
    <row r="590" spans="29:42" ht="14.5">
      <c r="AC590" s="3"/>
      <c r="AD590" s="3"/>
      <c r="AP590" s="53"/>
    </row>
    <row r="591" spans="29:42" ht="14.5">
      <c r="AC591" s="3"/>
      <c r="AD591" s="3"/>
      <c r="AP591" s="53"/>
    </row>
    <row r="592" spans="29:42" ht="14.5">
      <c r="AC592" s="3"/>
      <c r="AD592" s="3"/>
      <c r="AP592" s="53"/>
    </row>
    <row r="593" spans="29:42" ht="14.5">
      <c r="AC593" s="3"/>
      <c r="AD593" s="3"/>
      <c r="AP593" s="53"/>
    </row>
    <row r="594" spans="29:42" ht="14.5">
      <c r="AC594" s="3"/>
      <c r="AD594" s="3"/>
      <c r="AP594" s="53"/>
    </row>
    <row r="595" spans="29:42" ht="14.5">
      <c r="AC595" s="3"/>
      <c r="AD595" s="3"/>
      <c r="AP595" s="53"/>
    </row>
    <row r="596" spans="29:42" ht="14.5">
      <c r="AC596" s="3"/>
      <c r="AD596" s="3"/>
      <c r="AP596" s="53"/>
    </row>
    <row r="597" spans="29:42" ht="14.5">
      <c r="AC597" s="3"/>
      <c r="AD597" s="3"/>
      <c r="AP597" s="53"/>
    </row>
    <row r="598" spans="29:42" ht="14.5">
      <c r="AC598" s="3"/>
      <c r="AD598" s="3"/>
      <c r="AP598" s="53"/>
    </row>
    <row r="599" spans="29:42" ht="14.5">
      <c r="AC599" s="3"/>
      <c r="AD599" s="3"/>
      <c r="AP599" s="53"/>
    </row>
    <row r="600" spans="29:42" ht="14.5">
      <c r="AC600" s="3"/>
      <c r="AD600" s="3"/>
      <c r="AP600" s="53"/>
    </row>
    <row r="601" spans="29:42" ht="14.5">
      <c r="AC601" s="3"/>
      <c r="AD601" s="3"/>
      <c r="AP601" s="53"/>
    </row>
    <row r="602" spans="29:42" ht="14.5">
      <c r="AC602" s="3"/>
      <c r="AD602" s="3"/>
      <c r="AP602" s="53"/>
    </row>
    <row r="603" spans="29:42" ht="14.5">
      <c r="AC603" s="3"/>
      <c r="AD603" s="3"/>
      <c r="AP603" s="53"/>
    </row>
    <row r="604" spans="29:42" ht="14.5">
      <c r="AC604" s="3"/>
      <c r="AD604" s="3"/>
      <c r="AP604" s="53"/>
    </row>
    <row r="605" spans="29:42" ht="14.5">
      <c r="AC605" s="3"/>
      <c r="AD605" s="3"/>
      <c r="AP605" s="53"/>
    </row>
    <row r="606" spans="29:42" ht="14.5">
      <c r="AC606" s="3"/>
      <c r="AD606" s="3"/>
      <c r="AP606" s="53"/>
    </row>
    <row r="607" spans="29:42" ht="14.5">
      <c r="AC607" s="3"/>
      <c r="AD607" s="3"/>
      <c r="AP607" s="53"/>
    </row>
    <row r="608" spans="29:42" ht="14.5">
      <c r="AC608" s="3"/>
      <c r="AD608" s="3"/>
      <c r="AP608" s="53"/>
    </row>
    <row r="609" spans="29:42" ht="14.5">
      <c r="AC609" s="3"/>
      <c r="AD609" s="3"/>
      <c r="AP609" s="53"/>
    </row>
    <row r="610" spans="29:42" ht="14.5">
      <c r="AC610" s="3"/>
      <c r="AD610" s="3"/>
      <c r="AP610" s="53"/>
    </row>
    <row r="611" spans="29:42" ht="14.5">
      <c r="AC611" s="3"/>
      <c r="AD611" s="3"/>
      <c r="AP611" s="53"/>
    </row>
    <row r="612" spans="29:42" ht="14.5">
      <c r="AC612" s="3"/>
      <c r="AD612" s="3"/>
      <c r="AP612" s="53"/>
    </row>
    <row r="613" spans="29:42" ht="14.5">
      <c r="AC613" s="3"/>
      <c r="AD613" s="3"/>
      <c r="AP613" s="53"/>
    </row>
    <row r="614" spans="29:42" ht="14.5">
      <c r="AC614" s="3"/>
      <c r="AD614" s="3"/>
      <c r="AP614" s="53"/>
    </row>
    <row r="615" spans="29:42" ht="14.5">
      <c r="AC615" s="3"/>
      <c r="AD615" s="3"/>
      <c r="AP615" s="53"/>
    </row>
    <row r="616" spans="29:42" ht="14.5">
      <c r="AC616" s="3"/>
      <c r="AD616" s="3"/>
      <c r="AP616" s="53"/>
    </row>
    <row r="617" spans="29:42" ht="14.5">
      <c r="AC617" s="3"/>
      <c r="AD617" s="3"/>
      <c r="AP617" s="53"/>
    </row>
    <row r="618" spans="29:42" ht="14.5">
      <c r="AC618" s="3"/>
      <c r="AD618" s="3"/>
      <c r="AP618" s="53"/>
    </row>
    <row r="619" spans="29:42" ht="14.5">
      <c r="AC619" s="3"/>
      <c r="AD619" s="3"/>
      <c r="AP619" s="53"/>
    </row>
    <row r="620" spans="29:42" ht="14.5">
      <c r="AC620" s="3"/>
      <c r="AD620" s="3"/>
      <c r="AP620" s="53"/>
    </row>
    <row r="621" spans="29:42" ht="14.5">
      <c r="AC621" s="3"/>
      <c r="AD621" s="3"/>
      <c r="AP621" s="53"/>
    </row>
    <row r="622" spans="29:42" ht="14.5">
      <c r="AC622" s="3"/>
      <c r="AD622" s="3"/>
      <c r="AP622" s="53"/>
    </row>
    <row r="623" spans="29:42" ht="14.5">
      <c r="AC623" s="3"/>
      <c r="AD623" s="3"/>
      <c r="AP623" s="53"/>
    </row>
    <row r="624" spans="29:42" ht="14.5">
      <c r="AC624" s="3"/>
      <c r="AD624" s="3"/>
      <c r="AP624" s="53"/>
    </row>
    <row r="625" spans="29:42" ht="14.5">
      <c r="AC625" s="3"/>
      <c r="AD625" s="3"/>
      <c r="AP625" s="53"/>
    </row>
    <row r="626" spans="29:42" ht="14.5">
      <c r="AC626" s="3"/>
      <c r="AD626" s="3"/>
      <c r="AP626" s="53"/>
    </row>
    <row r="627" spans="29:42" ht="14.5">
      <c r="AC627" s="3"/>
      <c r="AD627" s="3"/>
      <c r="AP627" s="53"/>
    </row>
    <row r="628" spans="29:42" ht="14.5">
      <c r="AC628" s="3"/>
      <c r="AD628" s="3"/>
      <c r="AP628" s="53"/>
    </row>
    <row r="629" spans="29:42" ht="14.5">
      <c r="AC629" s="3"/>
      <c r="AD629" s="3"/>
      <c r="AP629" s="53"/>
    </row>
    <row r="630" spans="29:42" ht="14.5">
      <c r="AC630" s="3"/>
      <c r="AD630" s="3"/>
      <c r="AP630" s="53"/>
    </row>
    <row r="631" spans="29:42" ht="14.5">
      <c r="AC631" s="3"/>
      <c r="AD631" s="3"/>
      <c r="AP631" s="53"/>
    </row>
    <row r="632" spans="29:42" ht="14.5">
      <c r="AC632" s="3"/>
      <c r="AD632" s="3"/>
      <c r="AP632" s="53"/>
    </row>
    <row r="633" spans="29:42" ht="14.5">
      <c r="AC633" s="3"/>
      <c r="AD633" s="3"/>
      <c r="AP633" s="53"/>
    </row>
    <row r="634" spans="29:42" ht="14.5">
      <c r="AC634" s="3"/>
      <c r="AD634" s="3"/>
      <c r="AP634" s="53"/>
    </row>
    <row r="635" spans="29:42" ht="14.5">
      <c r="AC635" s="3"/>
      <c r="AD635" s="3"/>
      <c r="AP635" s="53"/>
    </row>
    <row r="636" spans="29:42" ht="14.5">
      <c r="AC636" s="3"/>
      <c r="AD636" s="3"/>
      <c r="AP636" s="53"/>
    </row>
    <row r="637" spans="29:42" ht="14.5">
      <c r="AC637" s="3"/>
      <c r="AD637" s="3"/>
      <c r="AP637" s="53"/>
    </row>
    <row r="638" spans="29:42" ht="14.5">
      <c r="AC638" s="3"/>
      <c r="AD638" s="3"/>
      <c r="AP638" s="53"/>
    </row>
    <row r="639" spans="29:42" ht="14.5">
      <c r="AC639" s="3"/>
      <c r="AD639" s="3"/>
      <c r="AP639" s="53"/>
    </row>
    <row r="640" spans="29:42" ht="14.5">
      <c r="AC640" s="3"/>
      <c r="AD640" s="3"/>
      <c r="AP640" s="53"/>
    </row>
    <row r="641" spans="29:42" ht="14.5">
      <c r="AC641" s="3"/>
      <c r="AD641" s="3"/>
      <c r="AP641" s="53"/>
    </row>
    <row r="642" spans="29:42" ht="14.5">
      <c r="AC642" s="3"/>
      <c r="AD642" s="3"/>
      <c r="AP642" s="53"/>
    </row>
    <row r="643" spans="29:42" ht="14.5">
      <c r="AC643" s="3"/>
      <c r="AD643" s="3"/>
      <c r="AP643" s="53"/>
    </row>
    <row r="644" spans="29:42" ht="14.5">
      <c r="AC644" s="3"/>
      <c r="AD644" s="3"/>
      <c r="AP644" s="53"/>
    </row>
    <row r="645" spans="29:42" ht="14.5">
      <c r="AC645" s="3"/>
      <c r="AD645" s="3"/>
      <c r="AP645" s="53"/>
    </row>
    <row r="646" spans="29:42" ht="14.5">
      <c r="AC646" s="3"/>
      <c r="AD646" s="3"/>
      <c r="AP646" s="53"/>
    </row>
    <row r="647" spans="29:42" ht="14.5">
      <c r="AC647" s="3"/>
      <c r="AD647" s="3"/>
      <c r="AP647" s="53"/>
    </row>
    <row r="648" spans="29:42" ht="14.5">
      <c r="AC648" s="3"/>
      <c r="AD648" s="3"/>
      <c r="AP648" s="53"/>
    </row>
    <row r="649" spans="29:42" ht="14.5">
      <c r="AC649" s="3"/>
      <c r="AD649" s="3"/>
      <c r="AP649" s="53"/>
    </row>
    <row r="650" spans="29:42" ht="14.5">
      <c r="AC650" s="3"/>
      <c r="AD650" s="3"/>
      <c r="AP650" s="53"/>
    </row>
    <row r="651" spans="29:42" ht="14.5">
      <c r="AC651" s="3"/>
      <c r="AD651" s="3"/>
      <c r="AP651" s="53"/>
    </row>
    <row r="652" spans="29:42" ht="14.5">
      <c r="AC652" s="3"/>
      <c r="AD652" s="3"/>
      <c r="AP652" s="53"/>
    </row>
    <row r="653" spans="29:42" ht="14.5">
      <c r="AC653" s="3"/>
      <c r="AD653" s="3"/>
      <c r="AP653" s="53"/>
    </row>
    <row r="654" spans="29:42" ht="14.5">
      <c r="AC654" s="3"/>
      <c r="AD654" s="3"/>
      <c r="AP654" s="53"/>
    </row>
    <row r="655" spans="29:42" ht="14.5">
      <c r="AC655" s="3"/>
      <c r="AD655" s="3"/>
      <c r="AP655" s="53"/>
    </row>
    <row r="656" spans="29:42" ht="14.5">
      <c r="AC656" s="3"/>
      <c r="AD656" s="3"/>
      <c r="AP656" s="53"/>
    </row>
    <row r="657" spans="29:42" ht="14.5">
      <c r="AC657" s="3"/>
      <c r="AD657" s="3"/>
      <c r="AP657" s="53"/>
    </row>
    <row r="658" spans="29:42" ht="14.5">
      <c r="AC658" s="3"/>
      <c r="AD658" s="3"/>
      <c r="AP658" s="53"/>
    </row>
    <row r="659" spans="29:42" ht="14.5">
      <c r="AC659" s="3"/>
      <c r="AD659" s="3"/>
      <c r="AP659" s="53"/>
    </row>
    <row r="660" spans="29:42" ht="14.5">
      <c r="AC660" s="3"/>
      <c r="AD660" s="3"/>
      <c r="AP660" s="53"/>
    </row>
    <row r="661" spans="29:42" ht="14.5">
      <c r="AC661" s="3"/>
      <c r="AD661" s="3"/>
      <c r="AP661" s="53"/>
    </row>
    <row r="662" spans="29:42" ht="14.5">
      <c r="AC662" s="3"/>
      <c r="AD662" s="3"/>
      <c r="AP662" s="53"/>
    </row>
    <row r="663" spans="29:42" ht="14.5">
      <c r="AC663" s="3"/>
      <c r="AD663" s="3"/>
      <c r="AP663" s="53"/>
    </row>
    <row r="664" spans="29:42" ht="14.5">
      <c r="AC664" s="3"/>
      <c r="AD664" s="3"/>
      <c r="AP664" s="53"/>
    </row>
    <row r="665" spans="29:42" ht="14.5">
      <c r="AC665" s="3"/>
      <c r="AD665" s="3"/>
      <c r="AP665" s="53"/>
    </row>
    <row r="666" spans="29:42" ht="14.5">
      <c r="AC666" s="3"/>
      <c r="AD666" s="3"/>
      <c r="AP666" s="53"/>
    </row>
    <row r="667" spans="29:42" ht="14.5">
      <c r="AC667" s="3"/>
      <c r="AD667" s="3"/>
      <c r="AP667" s="53"/>
    </row>
    <row r="668" spans="29:42" ht="14.5">
      <c r="AC668" s="3"/>
      <c r="AD668" s="3"/>
      <c r="AP668" s="53"/>
    </row>
    <row r="669" spans="29:42" ht="14.5">
      <c r="AC669" s="3"/>
      <c r="AD669" s="3"/>
      <c r="AP669" s="53"/>
    </row>
    <row r="670" spans="29:42" ht="14.5">
      <c r="AC670" s="3"/>
      <c r="AD670" s="3"/>
      <c r="AP670" s="53"/>
    </row>
    <row r="671" spans="29:42" ht="14.5">
      <c r="AC671" s="3"/>
      <c r="AD671" s="3"/>
      <c r="AP671" s="53"/>
    </row>
    <row r="672" spans="29:42" ht="14.5">
      <c r="AC672" s="3"/>
      <c r="AD672" s="3"/>
      <c r="AP672" s="53"/>
    </row>
    <row r="673" spans="29:42" ht="14.5">
      <c r="AC673" s="3"/>
      <c r="AD673" s="3"/>
      <c r="AP673" s="53"/>
    </row>
    <row r="674" spans="29:42" ht="14.5">
      <c r="AC674" s="3"/>
      <c r="AD674" s="3"/>
      <c r="AP674" s="53"/>
    </row>
    <row r="675" spans="29:42" ht="14.5">
      <c r="AC675" s="3"/>
      <c r="AD675" s="3"/>
      <c r="AP675" s="53"/>
    </row>
    <row r="676" spans="29:42" ht="14.5">
      <c r="AC676" s="3"/>
      <c r="AD676" s="3"/>
      <c r="AP676" s="53"/>
    </row>
    <row r="677" spans="29:42" ht="14.5">
      <c r="AC677" s="3"/>
      <c r="AD677" s="3"/>
      <c r="AP677" s="53"/>
    </row>
    <row r="678" spans="29:42" ht="14.5">
      <c r="AC678" s="3"/>
      <c r="AD678" s="3"/>
      <c r="AP678" s="53"/>
    </row>
    <row r="679" spans="29:42" ht="14.5">
      <c r="AC679" s="3"/>
      <c r="AD679" s="3"/>
      <c r="AP679" s="53"/>
    </row>
    <row r="680" spans="29:42" ht="14.5">
      <c r="AC680" s="3"/>
      <c r="AD680" s="3"/>
      <c r="AP680" s="53"/>
    </row>
    <row r="681" spans="29:42" ht="14.5">
      <c r="AC681" s="3"/>
      <c r="AD681" s="3"/>
      <c r="AP681" s="53"/>
    </row>
    <row r="682" spans="29:42" ht="14.5">
      <c r="AC682" s="3"/>
      <c r="AD682" s="3"/>
      <c r="AP682" s="53"/>
    </row>
    <row r="683" spans="29:42" ht="14.5">
      <c r="AC683" s="3"/>
      <c r="AD683" s="3"/>
      <c r="AP683" s="53"/>
    </row>
    <row r="684" spans="29:42" ht="14.5">
      <c r="AC684" s="3"/>
      <c r="AD684" s="3"/>
      <c r="AP684" s="53"/>
    </row>
    <row r="685" spans="29:42" ht="14.5">
      <c r="AC685" s="3"/>
      <c r="AD685" s="3"/>
      <c r="AP685" s="53"/>
    </row>
    <row r="686" spans="29:42" ht="14.5">
      <c r="AC686" s="3"/>
      <c r="AD686" s="3"/>
      <c r="AP686" s="53"/>
    </row>
    <row r="687" spans="29:42" ht="14.5">
      <c r="AC687" s="3"/>
      <c r="AD687" s="3"/>
      <c r="AP687" s="53"/>
    </row>
    <row r="688" spans="29:42" ht="14.5">
      <c r="AC688" s="3"/>
      <c r="AD688" s="3"/>
      <c r="AP688" s="53"/>
    </row>
    <row r="689" spans="29:42" ht="14.5">
      <c r="AC689" s="3"/>
      <c r="AD689" s="3"/>
      <c r="AP689" s="53"/>
    </row>
    <row r="690" spans="29:42" ht="14.5">
      <c r="AC690" s="3"/>
      <c r="AD690" s="3"/>
      <c r="AP690" s="53"/>
    </row>
    <row r="691" spans="29:42" ht="14.5">
      <c r="AC691" s="3"/>
      <c r="AD691" s="3"/>
      <c r="AP691" s="53"/>
    </row>
    <row r="692" spans="29:42" ht="14.5">
      <c r="AC692" s="3"/>
      <c r="AD692" s="3"/>
      <c r="AP692" s="53"/>
    </row>
    <row r="693" spans="29:42" ht="14.5">
      <c r="AC693" s="3"/>
      <c r="AD693" s="3"/>
      <c r="AP693" s="53"/>
    </row>
    <row r="694" spans="29:42" ht="14.5">
      <c r="AC694" s="3"/>
      <c r="AD694" s="3"/>
      <c r="AP694" s="53"/>
    </row>
    <row r="695" spans="29:42" ht="14.5">
      <c r="AC695" s="3"/>
      <c r="AD695" s="3"/>
      <c r="AP695" s="53"/>
    </row>
    <row r="696" spans="29:42" ht="14.5">
      <c r="AC696" s="3"/>
      <c r="AD696" s="3"/>
      <c r="AP696" s="53"/>
    </row>
    <row r="697" spans="29:42" ht="14.5">
      <c r="AC697" s="3"/>
      <c r="AD697" s="3"/>
      <c r="AP697" s="53"/>
    </row>
    <row r="698" spans="29:42" ht="14.5">
      <c r="AC698" s="3"/>
      <c r="AD698" s="3"/>
      <c r="AP698" s="53"/>
    </row>
    <row r="699" spans="29:42" ht="14.5">
      <c r="AC699" s="3"/>
      <c r="AD699" s="3"/>
      <c r="AP699" s="53"/>
    </row>
    <row r="700" spans="29:42" ht="14.5">
      <c r="AC700" s="3"/>
      <c r="AD700" s="3"/>
      <c r="AP700" s="53"/>
    </row>
    <row r="701" spans="29:42" ht="14.5">
      <c r="AC701" s="3"/>
      <c r="AD701" s="3"/>
      <c r="AP701" s="53"/>
    </row>
    <row r="702" spans="29:42" ht="14.5">
      <c r="AC702" s="3"/>
      <c r="AD702" s="3"/>
      <c r="AP702" s="53"/>
    </row>
    <row r="703" spans="29:42" ht="14.5">
      <c r="AC703" s="3"/>
      <c r="AD703" s="3"/>
      <c r="AP703" s="53"/>
    </row>
    <row r="704" spans="29:42" ht="14.5">
      <c r="AC704" s="3"/>
      <c r="AD704" s="3"/>
      <c r="AP704" s="53"/>
    </row>
    <row r="705" spans="29:42" ht="14.5">
      <c r="AC705" s="3"/>
      <c r="AD705" s="3"/>
      <c r="AP705" s="53"/>
    </row>
    <row r="706" spans="29:42" ht="14.5">
      <c r="AC706" s="3"/>
      <c r="AD706" s="3"/>
      <c r="AP706" s="53"/>
    </row>
    <row r="707" spans="29:42" ht="14.5">
      <c r="AC707" s="3"/>
      <c r="AD707" s="3"/>
      <c r="AP707" s="53"/>
    </row>
    <row r="708" spans="29:42" ht="14.5">
      <c r="AC708" s="3"/>
      <c r="AD708" s="3"/>
      <c r="AP708" s="53"/>
    </row>
    <row r="709" spans="29:42" ht="14.5">
      <c r="AC709" s="3"/>
      <c r="AD709" s="3"/>
      <c r="AP709" s="53"/>
    </row>
    <row r="710" spans="29:42" ht="14.5">
      <c r="AC710" s="3"/>
      <c r="AD710" s="3"/>
      <c r="AP710" s="53"/>
    </row>
    <row r="711" spans="29:42" ht="14.5">
      <c r="AC711" s="3"/>
      <c r="AD711" s="3"/>
      <c r="AP711" s="53"/>
    </row>
    <row r="712" spans="29:42" ht="14.5">
      <c r="AC712" s="3"/>
      <c r="AD712" s="3"/>
      <c r="AP712" s="53"/>
    </row>
    <row r="713" spans="29:42" ht="14.5">
      <c r="AC713" s="3"/>
      <c r="AD713" s="3"/>
      <c r="AP713" s="53"/>
    </row>
    <row r="714" spans="29:42" ht="14.5">
      <c r="AC714" s="3"/>
      <c r="AD714" s="3"/>
      <c r="AP714" s="53"/>
    </row>
    <row r="715" spans="29:42" ht="14.5">
      <c r="AC715" s="3"/>
      <c r="AD715" s="3"/>
      <c r="AP715" s="53"/>
    </row>
    <row r="716" spans="29:42" ht="14.5">
      <c r="AC716" s="3"/>
      <c r="AD716" s="3"/>
      <c r="AP716" s="53"/>
    </row>
    <row r="717" spans="29:42" ht="14.5">
      <c r="AC717" s="3"/>
      <c r="AD717" s="3"/>
      <c r="AP717" s="53"/>
    </row>
    <row r="718" spans="29:42" ht="14.5">
      <c r="AC718" s="3"/>
      <c r="AD718" s="3"/>
      <c r="AP718" s="53"/>
    </row>
    <row r="719" spans="29:42" ht="14.5">
      <c r="AC719" s="3"/>
      <c r="AD719" s="3"/>
      <c r="AP719" s="53"/>
    </row>
    <row r="720" spans="29:42" ht="14.5">
      <c r="AC720" s="3"/>
      <c r="AD720" s="3"/>
      <c r="AP720" s="53"/>
    </row>
    <row r="721" spans="29:42" ht="14.5">
      <c r="AC721" s="3"/>
      <c r="AD721" s="3"/>
      <c r="AP721" s="53"/>
    </row>
    <row r="722" spans="29:42" ht="14.5">
      <c r="AC722" s="3"/>
      <c r="AD722" s="3"/>
      <c r="AP722" s="53"/>
    </row>
    <row r="723" spans="29:42" ht="14.5">
      <c r="AC723" s="3"/>
      <c r="AD723" s="3"/>
      <c r="AP723" s="53"/>
    </row>
    <row r="724" spans="29:42" ht="14.5">
      <c r="AC724" s="3"/>
      <c r="AD724" s="3"/>
      <c r="AP724" s="53"/>
    </row>
    <row r="725" spans="29:42" ht="14.5">
      <c r="AC725" s="3"/>
      <c r="AD725" s="3"/>
      <c r="AP725" s="53"/>
    </row>
    <row r="726" spans="29:42" ht="14.5">
      <c r="AC726" s="3"/>
      <c r="AD726" s="3"/>
      <c r="AP726" s="53"/>
    </row>
    <row r="727" spans="29:42" ht="14.5">
      <c r="AC727" s="3"/>
      <c r="AD727" s="3"/>
      <c r="AP727" s="53"/>
    </row>
    <row r="728" spans="29:42" ht="14.5">
      <c r="AC728" s="3"/>
      <c r="AD728" s="3"/>
      <c r="AP728" s="53"/>
    </row>
    <row r="729" spans="29:42" ht="14.5">
      <c r="AC729" s="3"/>
      <c r="AD729" s="3"/>
      <c r="AP729" s="53"/>
    </row>
    <row r="730" spans="29:42" ht="14.5">
      <c r="AC730" s="3"/>
      <c r="AD730" s="3"/>
      <c r="AP730" s="53"/>
    </row>
    <row r="731" spans="29:42" ht="14.5">
      <c r="AC731" s="3"/>
      <c r="AD731" s="3"/>
      <c r="AP731" s="53"/>
    </row>
    <row r="732" spans="29:42" ht="14.5">
      <c r="AC732" s="3"/>
      <c r="AD732" s="3"/>
      <c r="AP732" s="53"/>
    </row>
    <row r="733" spans="29:42" ht="14.5">
      <c r="AC733" s="3"/>
      <c r="AD733" s="3"/>
      <c r="AP733" s="53"/>
    </row>
    <row r="734" spans="29:42" ht="14.5">
      <c r="AC734" s="3"/>
      <c r="AD734" s="3"/>
      <c r="AP734" s="53"/>
    </row>
    <row r="735" spans="29:42" ht="14.5">
      <c r="AC735" s="3"/>
      <c r="AD735" s="3"/>
      <c r="AP735" s="53"/>
    </row>
    <row r="736" spans="29:42" ht="14.5">
      <c r="AC736" s="3"/>
      <c r="AD736" s="3"/>
      <c r="AP736" s="53"/>
    </row>
    <row r="737" spans="29:42" ht="14.5">
      <c r="AC737" s="3"/>
      <c r="AD737" s="3"/>
      <c r="AP737" s="53"/>
    </row>
    <row r="738" spans="29:42" ht="14.5">
      <c r="AC738" s="3"/>
      <c r="AD738" s="3"/>
      <c r="AP738" s="53"/>
    </row>
    <row r="739" spans="29:42" ht="14.5">
      <c r="AC739" s="3"/>
      <c r="AD739" s="3"/>
      <c r="AP739" s="53"/>
    </row>
    <row r="740" spans="29:42" ht="14.5">
      <c r="AC740" s="3"/>
      <c r="AD740" s="3"/>
      <c r="AP740" s="53"/>
    </row>
    <row r="741" spans="29:42" ht="14.5">
      <c r="AC741" s="3"/>
      <c r="AD741" s="3"/>
      <c r="AP741" s="53"/>
    </row>
    <row r="742" spans="29:42" ht="14.5">
      <c r="AC742" s="3"/>
      <c r="AD742" s="3"/>
      <c r="AP742" s="53"/>
    </row>
    <row r="743" spans="29:42" ht="14.5">
      <c r="AC743" s="3"/>
      <c r="AD743" s="3"/>
      <c r="AP743" s="53"/>
    </row>
    <row r="744" spans="29:42" ht="14.5">
      <c r="AC744" s="3"/>
      <c r="AD744" s="3"/>
      <c r="AP744" s="53"/>
    </row>
    <row r="745" spans="29:42" ht="14.5">
      <c r="AC745" s="3"/>
      <c r="AD745" s="3"/>
      <c r="AP745" s="53"/>
    </row>
    <row r="746" spans="29:42" ht="14.5">
      <c r="AC746" s="3"/>
      <c r="AD746" s="3"/>
      <c r="AP746" s="53"/>
    </row>
    <row r="747" spans="29:42" ht="14.5">
      <c r="AC747" s="3"/>
      <c r="AD747" s="3"/>
      <c r="AP747" s="53"/>
    </row>
    <row r="748" spans="29:42" ht="14.5">
      <c r="AC748" s="3"/>
      <c r="AD748" s="3"/>
      <c r="AP748" s="53"/>
    </row>
    <row r="749" spans="29:42" ht="14.5">
      <c r="AC749" s="3"/>
      <c r="AD749" s="3"/>
      <c r="AP749" s="53"/>
    </row>
    <row r="750" spans="29:42" ht="14.5">
      <c r="AC750" s="3"/>
      <c r="AD750" s="3"/>
      <c r="AP750" s="53"/>
    </row>
    <row r="751" spans="29:42" ht="14.5">
      <c r="AC751" s="3"/>
      <c r="AD751" s="3"/>
      <c r="AP751" s="53"/>
    </row>
    <row r="752" spans="29:42" ht="14.5">
      <c r="AC752" s="3"/>
      <c r="AD752" s="3"/>
      <c r="AP752" s="53"/>
    </row>
    <row r="753" spans="29:42" ht="14.5">
      <c r="AC753" s="3"/>
      <c r="AD753" s="3"/>
      <c r="AP753" s="53"/>
    </row>
    <row r="754" spans="29:42" ht="14.5">
      <c r="AC754" s="3"/>
      <c r="AD754" s="3"/>
      <c r="AP754" s="53"/>
    </row>
    <row r="755" spans="29:42" ht="14.5">
      <c r="AC755" s="3"/>
      <c r="AD755" s="3"/>
      <c r="AP755" s="53"/>
    </row>
    <row r="756" spans="29:42" ht="14.5">
      <c r="AC756" s="3"/>
      <c r="AD756" s="3"/>
      <c r="AP756" s="53"/>
    </row>
    <row r="757" spans="29:42" ht="14.5">
      <c r="AC757" s="3"/>
      <c r="AD757" s="3"/>
      <c r="AP757" s="53"/>
    </row>
    <row r="758" spans="29:42" ht="14.5">
      <c r="AC758" s="3"/>
      <c r="AD758" s="3"/>
      <c r="AP758" s="53"/>
    </row>
    <row r="759" spans="29:42" ht="14.5">
      <c r="AC759" s="3"/>
      <c r="AD759" s="3"/>
      <c r="AP759" s="53"/>
    </row>
    <row r="760" spans="29:42" ht="14.5">
      <c r="AC760" s="3"/>
      <c r="AD760" s="3"/>
      <c r="AP760" s="53"/>
    </row>
    <row r="761" spans="29:42" ht="14.5">
      <c r="AC761" s="3"/>
      <c r="AD761" s="3"/>
      <c r="AP761" s="53"/>
    </row>
    <row r="762" spans="29:42" ht="14.5">
      <c r="AC762" s="3"/>
      <c r="AD762" s="3"/>
      <c r="AP762" s="53"/>
    </row>
    <row r="763" spans="29:42" ht="14.5">
      <c r="AC763" s="3"/>
      <c r="AD763" s="3"/>
      <c r="AP763" s="53"/>
    </row>
    <row r="764" spans="29:42" ht="14.5">
      <c r="AC764" s="3"/>
      <c r="AD764" s="3"/>
      <c r="AP764" s="53"/>
    </row>
    <row r="765" spans="29:42" ht="14.5">
      <c r="AC765" s="3"/>
      <c r="AD765" s="3"/>
      <c r="AP765" s="53"/>
    </row>
    <row r="766" spans="29:42" ht="14.5">
      <c r="AC766" s="3"/>
      <c r="AD766" s="3"/>
      <c r="AP766" s="53"/>
    </row>
    <row r="767" spans="29:42" ht="14.5">
      <c r="AC767" s="3"/>
      <c r="AD767" s="3"/>
      <c r="AP767" s="53"/>
    </row>
    <row r="768" spans="29:42" ht="14.5">
      <c r="AC768" s="3"/>
      <c r="AD768" s="3"/>
      <c r="AP768" s="53"/>
    </row>
    <row r="769" spans="29:42" ht="14.5">
      <c r="AC769" s="3"/>
      <c r="AD769" s="3"/>
      <c r="AP769" s="53"/>
    </row>
    <row r="770" spans="29:42" ht="14.5">
      <c r="AC770" s="3"/>
      <c r="AD770" s="3"/>
      <c r="AP770" s="53"/>
    </row>
    <row r="771" spans="29:42" ht="14.5">
      <c r="AC771" s="3"/>
      <c r="AD771" s="3"/>
      <c r="AP771" s="53"/>
    </row>
    <row r="772" spans="29:42" ht="14.5">
      <c r="AC772" s="3"/>
      <c r="AD772" s="3"/>
      <c r="AP772" s="53"/>
    </row>
    <row r="773" spans="29:42" ht="14.5">
      <c r="AC773" s="3"/>
      <c r="AD773" s="3"/>
      <c r="AP773" s="53"/>
    </row>
    <row r="774" spans="29:42" ht="14.5">
      <c r="AC774" s="3"/>
      <c r="AD774" s="3"/>
      <c r="AP774" s="53"/>
    </row>
    <row r="775" spans="29:42" ht="14.5">
      <c r="AC775" s="3"/>
      <c r="AD775" s="3"/>
      <c r="AP775" s="53"/>
    </row>
    <row r="776" spans="29:42" ht="14.5">
      <c r="AC776" s="3"/>
      <c r="AD776" s="3"/>
      <c r="AP776" s="53"/>
    </row>
    <row r="777" spans="29:42" ht="14.5">
      <c r="AC777" s="3"/>
      <c r="AD777" s="3"/>
      <c r="AP777" s="53"/>
    </row>
    <row r="778" spans="29:42" ht="14.5">
      <c r="AC778" s="3"/>
      <c r="AD778" s="3"/>
      <c r="AP778" s="53"/>
    </row>
    <row r="779" spans="29:42" ht="14.5">
      <c r="AC779" s="3"/>
      <c r="AD779" s="3"/>
      <c r="AP779" s="53"/>
    </row>
    <row r="780" spans="29:42" ht="14.5">
      <c r="AC780" s="3"/>
      <c r="AD780" s="3"/>
      <c r="AP780" s="53"/>
    </row>
    <row r="781" spans="29:42" ht="14.5">
      <c r="AC781" s="3"/>
      <c r="AD781" s="3"/>
      <c r="AP781" s="53"/>
    </row>
    <row r="782" spans="29:42" ht="14.5">
      <c r="AC782" s="3"/>
      <c r="AD782" s="3"/>
      <c r="AP782" s="53"/>
    </row>
    <row r="783" spans="29:42" ht="14.5">
      <c r="AC783" s="3"/>
      <c r="AD783" s="3"/>
      <c r="AP783" s="53"/>
    </row>
    <row r="784" spans="29:42" ht="14.5">
      <c r="AC784" s="3"/>
      <c r="AD784" s="3"/>
      <c r="AP784" s="53"/>
    </row>
    <row r="785" spans="29:42" ht="14.5">
      <c r="AC785" s="3"/>
      <c r="AD785" s="3"/>
      <c r="AP785" s="53"/>
    </row>
    <row r="786" spans="29:42" ht="14.5">
      <c r="AC786" s="3"/>
      <c r="AD786" s="3"/>
      <c r="AP786" s="53"/>
    </row>
    <row r="787" spans="29:42" ht="14.5">
      <c r="AC787" s="3"/>
      <c r="AD787" s="3"/>
      <c r="AP787" s="53"/>
    </row>
    <row r="788" spans="29:42" ht="14.5">
      <c r="AC788" s="3"/>
      <c r="AD788" s="3"/>
      <c r="AP788" s="53"/>
    </row>
    <row r="789" spans="29:42" ht="14.5">
      <c r="AC789" s="3"/>
      <c r="AD789" s="3"/>
      <c r="AP789" s="53"/>
    </row>
    <row r="790" spans="29:42" ht="14.5">
      <c r="AC790" s="3"/>
      <c r="AD790" s="3"/>
      <c r="AP790" s="53"/>
    </row>
    <row r="791" spans="29:42" ht="14.5">
      <c r="AC791" s="3"/>
      <c r="AD791" s="3"/>
      <c r="AP791" s="53"/>
    </row>
    <row r="792" spans="29:42" ht="14.5">
      <c r="AC792" s="3"/>
      <c r="AD792" s="3"/>
      <c r="AP792" s="53"/>
    </row>
    <row r="793" spans="29:42" ht="14.5">
      <c r="AC793" s="3"/>
      <c r="AD793" s="3"/>
      <c r="AP793" s="53"/>
    </row>
    <row r="794" spans="29:42" ht="14.5">
      <c r="AC794" s="3"/>
      <c r="AD794" s="3"/>
      <c r="AP794" s="53"/>
    </row>
    <row r="795" spans="29:42" ht="14.5">
      <c r="AC795" s="3"/>
      <c r="AD795" s="3"/>
      <c r="AP795" s="53"/>
    </row>
    <row r="796" spans="29:42" ht="14.5">
      <c r="AC796" s="3"/>
      <c r="AD796" s="3"/>
      <c r="AP796" s="53"/>
    </row>
    <row r="797" spans="29:42" ht="14.5">
      <c r="AC797" s="3"/>
      <c r="AD797" s="3"/>
      <c r="AP797" s="53"/>
    </row>
    <row r="798" spans="29:42" ht="14.5">
      <c r="AC798" s="3"/>
      <c r="AD798" s="3"/>
      <c r="AP798" s="53"/>
    </row>
    <row r="799" spans="29:42" ht="14.5">
      <c r="AC799" s="3"/>
      <c r="AD799" s="3"/>
      <c r="AP799" s="53"/>
    </row>
    <row r="800" spans="29:42" ht="14.5">
      <c r="AC800" s="3"/>
      <c r="AD800" s="3"/>
      <c r="AP800" s="53"/>
    </row>
    <row r="801" spans="29:42" ht="14.5">
      <c r="AC801" s="3"/>
      <c r="AD801" s="3"/>
      <c r="AP801" s="53"/>
    </row>
    <row r="802" spans="29:42" ht="14.5">
      <c r="AC802" s="3"/>
      <c r="AD802" s="3"/>
      <c r="AP802" s="53"/>
    </row>
    <row r="803" spans="29:42" ht="14.5">
      <c r="AC803" s="3"/>
      <c r="AD803" s="3"/>
      <c r="AP803" s="53"/>
    </row>
    <row r="804" spans="29:42" ht="14.5">
      <c r="AC804" s="3"/>
      <c r="AD804" s="3"/>
      <c r="AP804" s="53"/>
    </row>
    <row r="805" spans="29:42" ht="14.5">
      <c r="AC805" s="3"/>
      <c r="AD805" s="3"/>
      <c r="AP805" s="53"/>
    </row>
    <row r="806" spans="29:42" ht="14.5">
      <c r="AC806" s="3"/>
      <c r="AD806" s="3"/>
      <c r="AP806" s="53"/>
    </row>
    <row r="807" spans="29:42" ht="14.5">
      <c r="AC807" s="3"/>
      <c r="AD807" s="3"/>
      <c r="AP807" s="53"/>
    </row>
    <row r="808" spans="29:42" ht="14.5">
      <c r="AC808" s="3"/>
      <c r="AD808" s="3"/>
      <c r="AP808" s="53"/>
    </row>
    <row r="809" spans="29:42" ht="14.5">
      <c r="AC809" s="3"/>
      <c r="AD809" s="3"/>
      <c r="AP809" s="53"/>
    </row>
    <row r="810" spans="29:42" ht="14.5">
      <c r="AC810" s="3"/>
      <c r="AD810" s="3"/>
      <c r="AP810" s="53"/>
    </row>
    <row r="811" spans="29:42" ht="14.5">
      <c r="AC811" s="3"/>
      <c r="AD811" s="3"/>
      <c r="AP811" s="53"/>
    </row>
    <row r="812" spans="29:42" ht="14.5">
      <c r="AC812" s="3"/>
      <c r="AD812" s="3"/>
      <c r="AP812" s="53"/>
    </row>
    <row r="813" spans="29:42" ht="14.5">
      <c r="AC813" s="3"/>
      <c r="AD813" s="3"/>
      <c r="AP813" s="53"/>
    </row>
    <row r="814" spans="29:42" ht="14.5">
      <c r="AC814" s="3"/>
      <c r="AD814" s="3"/>
      <c r="AP814" s="53"/>
    </row>
    <row r="815" spans="29:42" ht="14.5">
      <c r="AC815" s="3"/>
      <c r="AD815" s="3"/>
      <c r="AP815" s="53"/>
    </row>
    <row r="816" spans="29:42" ht="14.5">
      <c r="AC816" s="3"/>
      <c r="AD816" s="3"/>
      <c r="AP816" s="53"/>
    </row>
    <row r="817" spans="29:42" ht="14.5">
      <c r="AC817" s="3"/>
      <c r="AD817" s="3"/>
      <c r="AP817" s="53"/>
    </row>
    <row r="818" spans="29:42" ht="14.5">
      <c r="AC818" s="3"/>
      <c r="AD818" s="3"/>
      <c r="AP818" s="53"/>
    </row>
    <row r="819" spans="29:42" ht="14.5">
      <c r="AC819" s="3"/>
      <c r="AD819" s="3"/>
      <c r="AP819" s="53"/>
    </row>
    <row r="820" spans="29:42" ht="14.5">
      <c r="AC820" s="3"/>
      <c r="AD820" s="3"/>
      <c r="AP820" s="53"/>
    </row>
    <row r="821" spans="29:42" ht="14.5">
      <c r="AC821" s="3"/>
      <c r="AD821" s="3"/>
      <c r="AP821" s="53"/>
    </row>
    <row r="822" spans="29:42" ht="14.5">
      <c r="AC822" s="3"/>
      <c r="AD822" s="3"/>
      <c r="AP822" s="53"/>
    </row>
    <row r="823" spans="29:42" ht="14.5">
      <c r="AC823" s="3"/>
      <c r="AD823" s="3"/>
      <c r="AP823" s="53"/>
    </row>
    <row r="824" spans="29:42" ht="14.5">
      <c r="AC824" s="3"/>
      <c r="AD824" s="3"/>
      <c r="AP824" s="53"/>
    </row>
    <row r="825" spans="29:42" ht="14.5">
      <c r="AC825" s="3"/>
      <c r="AD825" s="3"/>
      <c r="AP825" s="53"/>
    </row>
    <row r="826" spans="29:42" ht="14.5">
      <c r="AC826" s="3"/>
      <c r="AD826" s="3"/>
      <c r="AP826" s="53"/>
    </row>
    <row r="827" spans="29:42" ht="14.5">
      <c r="AC827" s="3"/>
      <c r="AD827" s="3"/>
      <c r="AP827" s="53"/>
    </row>
    <row r="828" spans="29:42" ht="14.5">
      <c r="AC828" s="3"/>
      <c r="AD828" s="3"/>
      <c r="AP828" s="53"/>
    </row>
    <row r="829" spans="29:42" ht="14.5">
      <c r="AC829" s="3"/>
      <c r="AD829" s="3"/>
      <c r="AP829" s="53"/>
    </row>
    <row r="830" spans="29:42" ht="14.5">
      <c r="AC830" s="3"/>
      <c r="AD830" s="3"/>
      <c r="AP830" s="53"/>
    </row>
    <row r="831" spans="29:42" ht="14.5">
      <c r="AC831" s="3"/>
      <c r="AD831" s="3"/>
      <c r="AP831" s="53"/>
    </row>
    <row r="832" spans="29:42" ht="14.5">
      <c r="AC832" s="3"/>
      <c r="AD832" s="3"/>
      <c r="AP832" s="53"/>
    </row>
    <row r="833" spans="29:42" ht="14.5">
      <c r="AC833" s="3"/>
      <c r="AD833" s="3"/>
      <c r="AP833" s="53"/>
    </row>
    <row r="834" spans="29:42" ht="14.5">
      <c r="AC834" s="3"/>
      <c r="AD834" s="3"/>
      <c r="AP834" s="53"/>
    </row>
    <row r="835" spans="29:42" ht="14.5">
      <c r="AC835" s="3"/>
      <c r="AD835" s="3"/>
      <c r="AP835" s="53"/>
    </row>
    <row r="836" spans="29:42" ht="14.5">
      <c r="AC836" s="3"/>
      <c r="AD836" s="3"/>
      <c r="AP836" s="53"/>
    </row>
    <row r="837" spans="29:42" ht="14.5">
      <c r="AC837" s="3"/>
      <c r="AD837" s="3"/>
      <c r="AP837" s="53"/>
    </row>
    <row r="838" spans="29:42" ht="14.5">
      <c r="AC838" s="3"/>
      <c r="AD838" s="3"/>
      <c r="AP838" s="53"/>
    </row>
    <row r="839" spans="29:42" ht="14.5">
      <c r="AC839" s="3"/>
      <c r="AD839" s="3"/>
      <c r="AP839" s="53"/>
    </row>
    <row r="840" spans="29:42" ht="14.5">
      <c r="AC840" s="3"/>
      <c r="AD840" s="3"/>
      <c r="AP840" s="53"/>
    </row>
    <row r="841" spans="29:42" ht="14.5">
      <c r="AC841" s="3"/>
      <c r="AD841" s="3"/>
      <c r="AP841" s="53"/>
    </row>
    <row r="842" spans="29:42" ht="14.5">
      <c r="AC842" s="3"/>
      <c r="AD842" s="3"/>
      <c r="AP842" s="53"/>
    </row>
    <row r="843" spans="29:42" ht="14.5">
      <c r="AC843" s="3"/>
      <c r="AD843" s="3"/>
      <c r="AP843" s="53"/>
    </row>
    <row r="844" spans="29:42" ht="14.5">
      <c r="AC844" s="3"/>
      <c r="AD844" s="3"/>
      <c r="AP844" s="53"/>
    </row>
    <row r="845" spans="29:42" ht="14.5">
      <c r="AC845" s="3"/>
      <c r="AD845" s="3"/>
      <c r="AP845" s="53"/>
    </row>
    <row r="846" spans="29:42" ht="14.5">
      <c r="AC846" s="3"/>
      <c r="AD846" s="3"/>
      <c r="AP846" s="53"/>
    </row>
    <row r="847" spans="29:42" ht="14.5">
      <c r="AC847" s="3"/>
      <c r="AD847" s="3"/>
      <c r="AP847" s="53"/>
    </row>
    <row r="848" spans="29:42" ht="14.5">
      <c r="AC848" s="3"/>
      <c r="AD848" s="3"/>
      <c r="AP848" s="53"/>
    </row>
    <row r="849" spans="29:42" ht="14.5">
      <c r="AC849" s="3"/>
      <c r="AD849" s="3"/>
      <c r="AP849" s="53"/>
    </row>
    <row r="850" spans="29:42" ht="14.5">
      <c r="AC850" s="3"/>
      <c r="AD850" s="3"/>
      <c r="AP850" s="53"/>
    </row>
    <row r="851" spans="29:42" ht="14.5">
      <c r="AC851" s="3"/>
      <c r="AD851" s="3"/>
      <c r="AP851" s="53"/>
    </row>
    <row r="852" spans="29:42" ht="14.5">
      <c r="AC852" s="3"/>
      <c r="AD852" s="3"/>
      <c r="AP852" s="53"/>
    </row>
    <row r="853" spans="29:42" ht="14.5">
      <c r="AC853" s="3"/>
      <c r="AD853" s="3"/>
      <c r="AP853" s="53"/>
    </row>
    <row r="854" spans="29:42" ht="14.5">
      <c r="AC854" s="3"/>
      <c r="AD854" s="3"/>
      <c r="AP854" s="53"/>
    </row>
    <row r="855" spans="29:42" ht="14.5">
      <c r="AC855" s="3"/>
      <c r="AD855" s="3"/>
      <c r="AP855" s="53"/>
    </row>
    <row r="856" spans="29:42" ht="14.5">
      <c r="AC856" s="3"/>
      <c r="AD856" s="3"/>
      <c r="AP856" s="53"/>
    </row>
    <row r="857" spans="29:42" ht="14.5">
      <c r="AC857" s="3"/>
      <c r="AD857" s="3"/>
      <c r="AP857" s="53"/>
    </row>
    <row r="858" spans="29:42" ht="14.5">
      <c r="AC858" s="3"/>
      <c r="AD858" s="3"/>
      <c r="AP858" s="53"/>
    </row>
    <row r="859" spans="29:42" ht="14.5">
      <c r="AC859" s="3"/>
      <c r="AD859" s="3"/>
      <c r="AP859" s="53"/>
    </row>
    <row r="860" spans="29:42" ht="14.5">
      <c r="AC860" s="3"/>
      <c r="AD860" s="3"/>
      <c r="AP860" s="53"/>
    </row>
    <row r="861" spans="29:42" ht="14.5">
      <c r="AC861" s="3"/>
      <c r="AD861" s="3"/>
      <c r="AP861" s="53"/>
    </row>
    <row r="862" spans="29:42" ht="14.5">
      <c r="AC862" s="3"/>
      <c r="AD862" s="3"/>
      <c r="AP862" s="53"/>
    </row>
    <row r="863" spans="29:42" ht="14.5">
      <c r="AC863" s="3"/>
      <c r="AD863" s="3"/>
      <c r="AP863" s="53"/>
    </row>
    <row r="864" spans="29:42" ht="14.5">
      <c r="AC864" s="3"/>
      <c r="AD864" s="3"/>
      <c r="AP864" s="53"/>
    </row>
    <row r="865" spans="29:42" ht="14.5">
      <c r="AC865" s="3"/>
      <c r="AD865" s="3"/>
      <c r="AP865" s="53"/>
    </row>
    <row r="866" spans="29:42" ht="14.5">
      <c r="AC866" s="3"/>
      <c r="AD866" s="3"/>
      <c r="AP866" s="53"/>
    </row>
    <row r="867" spans="29:42" ht="14.5">
      <c r="AC867" s="3"/>
      <c r="AD867" s="3"/>
      <c r="AP867" s="53"/>
    </row>
    <row r="868" spans="29:42" ht="14.5">
      <c r="AC868" s="3"/>
      <c r="AD868" s="3"/>
      <c r="AP868" s="53"/>
    </row>
    <row r="869" spans="29:42" ht="14.5">
      <c r="AC869" s="3"/>
      <c r="AD869" s="3"/>
      <c r="AP869" s="53"/>
    </row>
    <row r="870" spans="29:42" ht="14.5">
      <c r="AC870" s="3"/>
      <c r="AD870" s="3"/>
      <c r="AP870" s="53"/>
    </row>
    <row r="871" spans="29:42" ht="14.5">
      <c r="AC871" s="3"/>
      <c r="AD871" s="3"/>
      <c r="AP871" s="53"/>
    </row>
    <row r="872" spans="29:42" ht="14.5">
      <c r="AC872" s="3"/>
      <c r="AD872" s="3"/>
      <c r="AP872" s="53"/>
    </row>
    <row r="873" spans="29:42" ht="14.5">
      <c r="AC873" s="3"/>
      <c r="AD873" s="3"/>
      <c r="AP873" s="53"/>
    </row>
    <row r="874" spans="29:42" ht="14.5">
      <c r="AC874" s="3"/>
      <c r="AD874" s="3"/>
      <c r="AP874" s="53"/>
    </row>
    <row r="875" spans="29:42" ht="14.5">
      <c r="AC875" s="3"/>
      <c r="AD875" s="3"/>
      <c r="AP875" s="53"/>
    </row>
    <row r="876" spans="29:42" ht="14.5">
      <c r="AC876" s="3"/>
      <c r="AD876" s="3"/>
      <c r="AP876" s="53"/>
    </row>
    <row r="877" spans="29:42" ht="14.5">
      <c r="AC877" s="3"/>
      <c r="AD877" s="3"/>
      <c r="AP877" s="53"/>
    </row>
    <row r="878" spans="29:42" ht="14.5">
      <c r="AC878" s="3"/>
      <c r="AD878" s="3"/>
      <c r="AP878" s="53"/>
    </row>
    <row r="879" spans="29:42" ht="14.5">
      <c r="AC879" s="3"/>
      <c r="AD879" s="3"/>
      <c r="AP879" s="53"/>
    </row>
    <row r="880" spans="29:42" ht="14.5">
      <c r="AC880" s="3"/>
      <c r="AD880" s="3"/>
      <c r="AP880" s="53"/>
    </row>
    <row r="881" spans="29:42" ht="14.5">
      <c r="AC881" s="3"/>
      <c r="AD881" s="3"/>
      <c r="AP881" s="53"/>
    </row>
    <row r="882" spans="29:42" ht="14.5">
      <c r="AC882" s="3"/>
      <c r="AD882" s="3"/>
      <c r="AP882" s="53"/>
    </row>
    <row r="883" spans="29:42" ht="14.5">
      <c r="AC883" s="3"/>
      <c r="AD883" s="3"/>
      <c r="AP883" s="53"/>
    </row>
    <row r="884" spans="29:42" ht="14.5">
      <c r="AC884" s="3"/>
      <c r="AD884" s="3"/>
      <c r="AP884" s="53"/>
    </row>
    <row r="885" spans="29:42" ht="14.5">
      <c r="AC885" s="3"/>
      <c r="AD885" s="3"/>
      <c r="AP885" s="53"/>
    </row>
    <row r="886" spans="29:42" ht="14.5">
      <c r="AC886" s="3"/>
      <c r="AD886" s="3"/>
      <c r="AP886" s="53"/>
    </row>
    <row r="887" spans="29:42" ht="14.5">
      <c r="AC887" s="3"/>
      <c r="AD887" s="3"/>
      <c r="AP887" s="53"/>
    </row>
    <row r="888" spans="29:42" ht="14.5">
      <c r="AC888" s="3"/>
      <c r="AD888" s="3"/>
      <c r="AP888" s="53"/>
    </row>
    <row r="889" spans="29:42" ht="14.5">
      <c r="AC889" s="3"/>
      <c r="AD889" s="3"/>
      <c r="AP889" s="53"/>
    </row>
    <row r="890" spans="29:42" ht="14.5">
      <c r="AC890" s="3"/>
      <c r="AD890" s="3"/>
      <c r="AP890" s="53"/>
    </row>
    <row r="891" spans="29:42" ht="14.5">
      <c r="AC891" s="3"/>
      <c r="AD891" s="3"/>
      <c r="AP891" s="53"/>
    </row>
    <row r="892" spans="29:42" ht="14.5">
      <c r="AC892" s="3"/>
      <c r="AD892" s="3"/>
      <c r="AP892" s="53"/>
    </row>
    <row r="893" spans="29:42" ht="14.5">
      <c r="AC893" s="3"/>
      <c r="AD893" s="3"/>
      <c r="AP893" s="53"/>
    </row>
    <row r="894" spans="29:42" ht="14.5">
      <c r="AC894" s="3"/>
      <c r="AD894" s="3"/>
      <c r="AP894" s="53"/>
    </row>
    <row r="895" spans="29:42" ht="14.5">
      <c r="AC895" s="3"/>
      <c r="AD895" s="3"/>
      <c r="AP895" s="53"/>
    </row>
    <row r="896" spans="29:42" ht="14.5">
      <c r="AC896" s="3"/>
      <c r="AD896" s="3"/>
      <c r="AP896" s="53"/>
    </row>
    <row r="897" spans="29:42" ht="14.5">
      <c r="AC897" s="3"/>
      <c r="AD897" s="3"/>
      <c r="AP897" s="53"/>
    </row>
    <row r="898" spans="29:42" ht="14.5">
      <c r="AC898" s="3"/>
      <c r="AD898" s="3"/>
      <c r="AP898" s="53"/>
    </row>
    <row r="899" spans="29:42" ht="14.5">
      <c r="AC899" s="3"/>
      <c r="AD899" s="3"/>
      <c r="AP899" s="53"/>
    </row>
    <row r="900" spans="29:42" ht="14.5">
      <c r="AC900" s="3"/>
      <c r="AD900" s="3"/>
      <c r="AP900" s="53"/>
    </row>
    <row r="901" spans="29:42" ht="14.5">
      <c r="AC901" s="3"/>
      <c r="AD901" s="3"/>
      <c r="AP901" s="53"/>
    </row>
    <row r="902" spans="29:42" ht="14.5">
      <c r="AC902" s="3"/>
      <c r="AD902" s="3"/>
      <c r="AP902" s="53"/>
    </row>
    <row r="903" spans="29:42" ht="14.5">
      <c r="AC903" s="3"/>
      <c r="AD903" s="3"/>
      <c r="AP903" s="53"/>
    </row>
    <row r="904" spans="29:42" ht="14.5">
      <c r="AC904" s="3"/>
      <c r="AD904" s="3"/>
      <c r="AP904" s="53"/>
    </row>
    <row r="905" spans="29:42" ht="14.5">
      <c r="AC905" s="3"/>
      <c r="AD905" s="3"/>
      <c r="AP905" s="53"/>
    </row>
    <row r="906" spans="29:42" ht="14.5">
      <c r="AC906" s="3"/>
      <c r="AD906" s="3"/>
      <c r="AP906" s="53"/>
    </row>
    <row r="907" spans="29:42" ht="14.5">
      <c r="AC907" s="3"/>
      <c r="AD907" s="3"/>
      <c r="AP907" s="53"/>
    </row>
    <row r="908" spans="29:42" ht="14.5">
      <c r="AC908" s="3"/>
      <c r="AD908" s="3"/>
      <c r="AP908" s="53"/>
    </row>
    <row r="909" spans="29:42" ht="14.5">
      <c r="AC909" s="3"/>
      <c r="AD909" s="3"/>
      <c r="AP909" s="53"/>
    </row>
    <row r="910" spans="29:42" ht="14.5">
      <c r="AC910" s="3"/>
      <c r="AD910" s="3"/>
      <c r="AP910" s="53"/>
    </row>
    <row r="911" spans="29:42" ht="14.5">
      <c r="AC911" s="3"/>
      <c r="AD911" s="3"/>
      <c r="AP911" s="53"/>
    </row>
    <row r="912" spans="29:42" ht="14.5">
      <c r="AC912" s="3"/>
      <c r="AD912" s="3"/>
      <c r="AP912" s="53"/>
    </row>
    <row r="913" spans="29:42" ht="14.5">
      <c r="AC913" s="3"/>
      <c r="AD913" s="3"/>
      <c r="AP913" s="53"/>
    </row>
    <row r="914" spans="29:42" ht="14.5">
      <c r="AC914" s="3"/>
      <c r="AD914" s="3"/>
      <c r="AP914" s="53"/>
    </row>
    <row r="915" spans="29:42" ht="14.5">
      <c r="AC915" s="3"/>
      <c r="AD915" s="3"/>
      <c r="AP915" s="53"/>
    </row>
    <row r="916" spans="29:42" ht="14.5">
      <c r="AC916" s="3"/>
      <c r="AD916" s="3"/>
      <c r="AP916" s="53"/>
    </row>
    <row r="917" spans="29:42" ht="14.5">
      <c r="AC917" s="3"/>
      <c r="AD917" s="3"/>
      <c r="AP917" s="53"/>
    </row>
    <row r="918" spans="29:42" ht="14.5">
      <c r="AC918" s="3"/>
      <c r="AD918" s="3"/>
      <c r="AP918" s="53"/>
    </row>
    <row r="919" spans="29:42" ht="14.5">
      <c r="AC919" s="3"/>
      <c r="AD919" s="3"/>
      <c r="AP919" s="53"/>
    </row>
    <row r="920" spans="29:42" ht="14.5">
      <c r="AC920" s="3"/>
      <c r="AD920" s="3"/>
      <c r="AP920" s="53"/>
    </row>
    <row r="921" spans="29:42" ht="14.5">
      <c r="AC921" s="3"/>
      <c r="AD921" s="3"/>
      <c r="AP921" s="53"/>
    </row>
    <row r="922" spans="29:42" ht="14.5">
      <c r="AC922" s="3"/>
      <c r="AD922" s="3"/>
      <c r="AP922" s="53"/>
    </row>
    <row r="923" spans="29:42" ht="14.5">
      <c r="AC923" s="3"/>
      <c r="AD923" s="3"/>
      <c r="AP923" s="53"/>
    </row>
    <row r="924" spans="29:42" ht="14.5">
      <c r="AC924" s="3"/>
      <c r="AD924" s="3"/>
      <c r="AP924" s="53"/>
    </row>
    <row r="925" spans="29:42" ht="14.5">
      <c r="AC925" s="3"/>
      <c r="AD925" s="3"/>
      <c r="AP925" s="53"/>
    </row>
    <row r="926" spans="29:42" ht="14.5">
      <c r="AC926" s="3"/>
      <c r="AD926" s="3"/>
      <c r="AP926" s="53"/>
    </row>
    <row r="927" spans="29:42" ht="14.5">
      <c r="AC927" s="3"/>
      <c r="AD927" s="3"/>
      <c r="AP927" s="53"/>
    </row>
    <row r="928" spans="29:42" ht="14.5">
      <c r="AC928" s="3"/>
      <c r="AD928" s="3"/>
      <c r="AP928" s="53"/>
    </row>
    <row r="929" spans="29:42" ht="14.5">
      <c r="AC929" s="3"/>
      <c r="AD929" s="3"/>
      <c r="AP929" s="53"/>
    </row>
    <row r="930" spans="29:42" ht="14.5">
      <c r="AC930" s="3"/>
      <c r="AD930" s="3"/>
      <c r="AP930" s="53"/>
    </row>
    <row r="931" spans="29:42" ht="14.5">
      <c r="AC931" s="3"/>
      <c r="AD931" s="3"/>
      <c r="AP931" s="53"/>
    </row>
    <row r="932" spans="29:42" ht="14.5">
      <c r="AC932" s="3"/>
      <c r="AD932" s="3"/>
      <c r="AP932" s="53"/>
    </row>
    <row r="933" spans="29:42" ht="14.5">
      <c r="AC933" s="3"/>
      <c r="AD933" s="3"/>
      <c r="AP933" s="53"/>
    </row>
    <row r="934" spans="29:42" ht="14.5">
      <c r="AC934" s="3"/>
      <c r="AD934" s="3"/>
      <c r="AP934" s="53"/>
    </row>
    <row r="935" spans="29:42" ht="14.5">
      <c r="AC935" s="3"/>
      <c r="AD935" s="3"/>
      <c r="AP935" s="53"/>
    </row>
    <row r="936" spans="29:42" ht="14.5">
      <c r="AC936" s="3"/>
      <c r="AD936" s="3"/>
      <c r="AP936" s="53"/>
    </row>
    <row r="937" spans="29:42" ht="14.5">
      <c r="AC937" s="3"/>
      <c r="AD937" s="3"/>
      <c r="AP937" s="53"/>
    </row>
    <row r="938" spans="29:42" ht="14.5">
      <c r="AC938" s="3"/>
      <c r="AD938" s="3"/>
      <c r="AP938" s="53"/>
    </row>
    <row r="939" spans="29:42" ht="14.5">
      <c r="AC939" s="3"/>
      <c r="AD939" s="3"/>
      <c r="AP939" s="53"/>
    </row>
    <row r="940" spans="29:42" ht="14.5">
      <c r="AC940" s="3"/>
      <c r="AD940" s="3"/>
      <c r="AP940" s="53"/>
    </row>
    <row r="941" spans="29:42" ht="14.5">
      <c r="AC941" s="3"/>
      <c r="AD941" s="3"/>
      <c r="AP941" s="53"/>
    </row>
    <row r="942" spans="29:42" ht="14.5">
      <c r="AC942" s="3"/>
      <c r="AD942" s="3"/>
      <c r="AP942" s="53"/>
    </row>
    <row r="943" spans="29:42" ht="14.5">
      <c r="AC943" s="3"/>
      <c r="AD943" s="3"/>
      <c r="AP943" s="53"/>
    </row>
    <row r="944" spans="29:42" ht="14.5">
      <c r="AC944" s="3"/>
      <c r="AD944" s="3"/>
      <c r="AP944" s="53"/>
    </row>
    <row r="945" spans="29:42" ht="14.5">
      <c r="AC945" s="3"/>
      <c r="AD945" s="3"/>
      <c r="AP945" s="53"/>
    </row>
    <row r="946" spans="29:42" ht="14.5">
      <c r="AC946" s="3"/>
      <c r="AD946" s="3"/>
      <c r="AP946" s="53"/>
    </row>
    <row r="947" spans="29:42" ht="14.5">
      <c r="AC947" s="3"/>
      <c r="AD947" s="3"/>
      <c r="AP947" s="53"/>
    </row>
    <row r="948" spans="29:42" ht="14.5">
      <c r="AC948" s="3"/>
      <c r="AD948" s="3"/>
      <c r="AP948" s="53"/>
    </row>
    <row r="949" spans="29:42" ht="14.5">
      <c r="AC949" s="3"/>
      <c r="AD949" s="3"/>
      <c r="AP949" s="53"/>
    </row>
    <row r="950" spans="29:42" ht="14.5">
      <c r="AC950" s="3"/>
      <c r="AD950" s="3"/>
      <c r="AP950" s="53"/>
    </row>
    <row r="951" spans="29:42" ht="14.5">
      <c r="AC951" s="3"/>
      <c r="AD951" s="3"/>
      <c r="AP951" s="53"/>
    </row>
    <row r="952" spans="29:42" ht="14.5">
      <c r="AC952" s="3"/>
      <c r="AD952" s="3"/>
      <c r="AP952" s="53"/>
    </row>
    <row r="953" spans="29:42" ht="14.5">
      <c r="AC953" s="3"/>
      <c r="AD953" s="3"/>
      <c r="AP953" s="53"/>
    </row>
    <row r="954" spans="29:42" ht="14.5">
      <c r="AC954" s="3"/>
      <c r="AD954" s="3"/>
      <c r="AP954" s="53"/>
    </row>
    <row r="955" spans="29:42" ht="14.5">
      <c r="AC955" s="3"/>
      <c r="AD955" s="3"/>
      <c r="AP955" s="53"/>
    </row>
    <row r="956" spans="29:42" ht="14.5">
      <c r="AC956" s="3"/>
      <c r="AD956" s="3"/>
      <c r="AP956" s="53"/>
    </row>
    <row r="957" spans="29:42" ht="14.5">
      <c r="AC957" s="3"/>
      <c r="AD957" s="3"/>
      <c r="AP957" s="53"/>
    </row>
    <row r="958" spans="29:42" ht="14.5">
      <c r="AC958" s="3"/>
      <c r="AD958" s="3"/>
      <c r="AP958" s="53"/>
    </row>
    <row r="959" spans="29:42" ht="14.5">
      <c r="AC959" s="3"/>
      <c r="AD959" s="3"/>
      <c r="AP959" s="53"/>
    </row>
    <row r="960" spans="29:42" ht="14.5">
      <c r="AC960" s="3"/>
      <c r="AD960" s="3"/>
      <c r="AP960" s="53"/>
    </row>
    <row r="961" spans="29:42" ht="14.5">
      <c r="AC961" s="3"/>
      <c r="AD961" s="3"/>
      <c r="AP961" s="53"/>
    </row>
    <row r="962" spans="29:42" ht="14.5">
      <c r="AC962" s="3"/>
      <c r="AD962" s="3"/>
      <c r="AP962" s="53"/>
    </row>
    <row r="963" spans="29:42" ht="14.5">
      <c r="AC963" s="3"/>
      <c r="AD963" s="3"/>
      <c r="AP963" s="53"/>
    </row>
    <row r="964" spans="29:42" ht="14.5">
      <c r="AC964" s="3"/>
      <c r="AD964" s="3"/>
      <c r="AP964" s="53"/>
    </row>
    <row r="965" spans="29:42" ht="14.5">
      <c r="AC965" s="3"/>
      <c r="AD965" s="3"/>
      <c r="AP965" s="53"/>
    </row>
    <row r="966" spans="29:42" ht="14.5">
      <c r="AC966" s="3"/>
      <c r="AD966" s="3"/>
      <c r="AP966" s="53"/>
    </row>
    <row r="967" spans="29:42" ht="14.5">
      <c r="AC967" s="3"/>
      <c r="AD967" s="3"/>
      <c r="AP967" s="53"/>
    </row>
    <row r="968" spans="29:42" ht="14.5">
      <c r="AC968" s="3"/>
      <c r="AD968" s="3"/>
      <c r="AP968" s="53"/>
    </row>
    <row r="969" spans="29:42" ht="14.5">
      <c r="AC969" s="3"/>
      <c r="AD969" s="3"/>
      <c r="AP969" s="53"/>
    </row>
    <row r="970" spans="29:42" ht="14.5">
      <c r="AC970" s="3"/>
      <c r="AD970" s="3"/>
      <c r="AP970" s="53"/>
    </row>
    <row r="971" spans="29:42" ht="14.5">
      <c r="AC971" s="3"/>
      <c r="AD971" s="3"/>
      <c r="AP971" s="53"/>
    </row>
    <row r="972" spans="29:42" ht="14.5">
      <c r="AC972" s="3"/>
      <c r="AD972" s="3"/>
      <c r="AP972" s="53"/>
    </row>
    <row r="973" spans="29:42" ht="14.5">
      <c r="AC973" s="3"/>
      <c r="AD973" s="3"/>
      <c r="AP973" s="53"/>
    </row>
    <row r="974" spans="29:42" ht="14.5">
      <c r="AC974" s="3"/>
      <c r="AD974" s="3"/>
      <c r="AP974" s="53"/>
    </row>
    <row r="975" spans="29:42" ht="14.5">
      <c r="AC975" s="3"/>
      <c r="AD975" s="3"/>
      <c r="AP975" s="53"/>
    </row>
    <row r="976" spans="29:42" ht="14.5">
      <c r="AC976" s="3"/>
      <c r="AD976" s="3"/>
      <c r="AP976" s="53"/>
    </row>
    <row r="977" spans="29:42" ht="14.5">
      <c r="AC977" s="3"/>
      <c r="AD977" s="3"/>
      <c r="AP977" s="53"/>
    </row>
    <row r="978" spans="29:42" ht="14.5">
      <c r="AC978" s="3"/>
      <c r="AD978" s="3"/>
      <c r="AP978" s="53"/>
    </row>
    <row r="979" spans="29:42" ht="14.5">
      <c r="AC979" s="3"/>
      <c r="AD979" s="3"/>
      <c r="AP979" s="53"/>
    </row>
    <row r="980" spans="29:42" ht="14.5">
      <c r="AC980" s="3"/>
      <c r="AD980" s="3"/>
      <c r="AP980" s="53"/>
    </row>
    <row r="981" spans="29:42" ht="14.5">
      <c r="AC981" s="3"/>
      <c r="AD981" s="3"/>
      <c r="AP981" s="53"/>
    </row>
    <row r="982" spans="29:42" ht="14.5">
      <c r="AC982" s="3"/>
      <c r="AD982" s="3"/>
      <c r="AP982" s="53"/>
    </row>
    <row r="983" spans="29:42" ht="14.5">
      <c r="AC983" s="3"/>
      <c r="AD983" s="3"/>
      <c r="AP983" s="53"/>
    </row>
    <row r="984" spans="29:42" ht="14.5">
      <c r="AC984" s="3"/>
      <c r="AD984" s="3"/>
      <c r="AP984" s="53"/>
    </row>
    <row r="985" spans="29:42" ht="14.5">
      <c r="AC985" s="3"/>
      <c r="AD985" s="3"/>
      <c r="AP985" s="53"/>
    </row>
    <row r="986" spans="29:42" ht="14.5">
      <c r="AC986" s="3"/>
      <c r="AD986" s="3"/>
      <c r="AP986" s="53"/>
    </row>
    <row r="987" spans="29:42" ht="14.5">
      <c r="AC987" s="3"/>
      <c r="AD987" s="3"/>
      <c r="AP987" s="53"/>
    </row>
    <row r="988" spans="29:42" ht="14.5">
      <c r="AC988" s="3"/>
      <c r="AD988" s="3"/>
      <c r="AP988" s="53"/>
    </row>
    <row r="989" spans="29:42" ht="14.5">
      <c r="AC989" s="3"/>
      <c r="AD989" s="3"/>
      <c r="AP989" s="53"/>
    </row>
    <row r="990" spans="29:42" ht="14.5">
      <c r="AC990" s="3"/>
      <c r="AD990" s="3"/>
      <c r="AP990" s="53"/>
    </row>
    <row r="991" spans="29:42" ht="14.5">
      <c r="AC991" s="3"/>
      <c r="AD991" s="3"/>
      <c r="AP991" s="53"/>
    </row>
    <row r="992" spans="29:42" ht="14.5">
      <c r="AC992" s="3"/>
      <c r="AD992" s="3"/>
      <c r="AP992" s="53"/>
    </row>
    <row r="993" spans="29:42" ht="14.5">
      <c r="AC993" s="3"/>
      <c r="AD993" s="3"/>
      <c r="AP993" s="53"/>
    </row>
    <row r="994" spans="29:42" ht="14.5">
      <c r="AC994" s="3"/>
      <c r="AD994" s="3"/>
      <c r="AP994" s="53"/>
    </row>
    <row r="995" spans="29:42" ht="14.5">
      <c r="AC995" s="3"/>
      <c r="AD995" s="3"/>
      <c r="AP995" s="53"/>
    </row>
    <row r="996" spans="29:42" ht="14.5">
      <c r="AC996" s="3"/>
      <c r="AD996" s="3"/>
      <c r="AP996" s="53"/>
    </row>
    <row r="997" spans="29:42" ht="14.5">
      <c r="AC997" s="3"/>
      <c r="AD997" s="3"/>
      <c r="AP997" s="53"/>
    </row>
    <row r="998" spans="29:42" ht="14.5">
      <c r="AC998" s="3"/>
      <c r="AD998" s="3"/>
      <c r="AP998" s="53"/>
    </row>
    <row r="999" spans="29:42" ht="14.5">
      <c r="AC999" s="3"/>
      <c r="AD999" s="3"/>
      <c r="AP999" s="53"/>
    </row>
    <row r="1000" spans="29:42" ht="14.5">
      <c r="AC1000" s="3"/>
      <c r="AD1000" s="3"/>
      <c r="AP1000" s="53"/>
    </row>
    <row r="1001" spans="29:42" ht="14.5">
      <c r="AC1001" s="3"/>
      <c r="AD1001" s="3"/>
      <c r="AP1001" s="53"/>
    </row>
    <row r="1002" spans="29:42" ht="14.5">
      <c r="AC1002" s="3"/>
      <c r="AD1002" s="3"/>
      <c r="AP1002" s="53"/>
    </row>
    <row r="1003" spans="29:42" ht="14.5">
      <c r="AC1003" s="3"/>
      <c r="AD1003" s="3"/>
      <c r="AP1003" s="53"/>
    </row>
    <row r="1004" spans="29:42" ht="14.5">
      <c r="AC1004" s="3"/>
      <c r="AD1004" s="3"/>
      <c r="AP1004" s="53"/>
    </row>
    <row r="1005" spans="29:42" ht="14.5">
      <c r="AC1005" s="3"/>
      <c r="AD1005" s="3"/>
      <c r="AP1005" s="53"/>
    </row>
    <row r="1006" spans="29:42" ht="14.5">
      <c r="AC1006" s="3"/>
      <c r="AD1006" s="3"/>
      <c r="AP1006" s="53"/>
    </row>
    <row r="1007" spans="29:42" ht="14.5">
      <c r="AC1007" s="3"/>
      <c r="AD1007" s="3"/>
      <c r="AP1007" s="53"/>
    </row>
    <row r="1008" spans="29:42" ht="14.5">
      <c r="AC1008" s="3"/>
      <c r="AD1008" s="3"/>
      <c r="AP1008" s="53"/>
    </row>
    <row r="1009" spans="29:42" ht="14.5">
      <c r="AC1009" s="3"/>
      <c r="AD1009" s="3"/>
      <c r="AP1009" s="53"/>
    </row>
    <row r="1010" spans="29:42" ht="14.5">
      <c r="AC1010" s="3"/>
      <c r="AD1010" s="3"/>
      <c r="AP1010" s="53"/>
    </row>
    <row r="1011" spans="29:42" ht="14.5">
      <c r="AC1011" s="3"/>
      <c r="AD1011" s="3"/>
      <c r="AP1011" s="53"/>
    </row>
    <row r="1012" spans="29:42" ht="14.5">
      <c r="AC1012" s="3"/>
      <c r="AD1012" s="3"/>
      <c r="AP1012" s="53"/>
    </row>
    <row r="1013" spans="29:42" ht="14.5">
      <c r="AC1013" s="3"/>
      <c r="AD1013" s="3"/>
      <c r="AP1013" s="53"/>
    </row>
    <row r="1014" spans="29:42" ht="14.5">
      <c r="AC1014" s="3"/>
      <c r="AD1014" s="3"/>
      <c r="AP1014" s="53"/>
    </row>
    <row r="1015" spans="29:42" ht="14.5">
      <c r="AC1015" s="3"/>
      <c r="AD1015" s="3"/>
      <c r="AP1015" s="53"/>
    </row>
    <row r="1016" spans="29:42" ht="14.5">
      <c r="AC1016" s="3"/>
      <c r="AD1016" s="3"/>
      <c r="AP1016" s="53"/>
    </row>
    <row r="1017" spans="29:42" ht="14.5">
      <c r="AC1017" s="3"/>
      <c r="AD1017" s="3"/>
      <c r="AP1017" s="53"/>
    </row>
    <row r="1018" spans="29:42" ht="14.5">
      <c r="AC1018" s="3"/>
      <c r="AD1018" s="3"/>
      <c r="AP1018" s="53"/>
    </row>
    <row r="1019" spans="29:42" ht="14.5">
      <c r="AC1019" s="3"/>
      <c r="AD1019" s="3"/>
      <c r="AP1019" s="53"/>
    </row>
    <row r="1020" spans="29:42" ht="14.5">
      <c r="AC1020" s="3"/>
      <c r="AD1020" s="3"/>
      <c r="AP1020" s="53"/>
    </row>
    <row r="1021" spans="29:42" ht="14.5">
      <c r="AC1021" s="3"/>
      <c r="AD1021" s="3"/>
      <c r="AP1021" s="53"/>
    </row>
    <row r="1022" spans="29:42" ht="14.5">
      <c r="AC1022" s="3"/>
      <c r="AD1022" s="3"/>
      <c r="AP1022" s="53"/>
    </row>
    <row r="1023" spans="29:42" ht="14.5">
      <c r="AC1023" s="3"/>
      <c r="AD1023" s="3"/>
      <c r="AP1023" s="53"/>
    </row>
    <row r="1024" spans="29:42" ht="14.5">
      <c r="AC1024" s="3"/>
      <c r="AD1024" s="3"/>
      <c r="AP1024" s="53"/>
    </row>
    <row r="1025" spans="29:42" ht="14.5">
      <c r="AC1025" s="3"/>
      <c r="AD1025" s="3"/>
      <c r="AP1025" s="53"/>
    </row>
    <row r="1026" spans="29:42" ht="14.5">
      <c r="AC1026" s="3"/>
      <c r="AD1026" s="3"/>
      <c r="AP1026" s="53"/>
    </row>
    <row r="1027" spans="29:42" ht="14.5">
      <c r="AC1027" s="3"/>
      <c r="AD1027" s="3"/>
      <c r="AP1027" s="53"/>
    </row>
    <row r="1028" spans="29:42" ht="14.5">
      <c r="AC1028" s="3"/>
      <c r="AD1028" s="3"/>
      <c r="AP1028" s="53"/>
    </row>
    <row r="1029" spans="29:42" ht="14.5">
      <c r="AC1029" s="3"/>
      <c r="AD1029" s="3"/>
      <c r="AP1029" s="53"/>
    </row>
    <row r="1030" spans="29:42" ht="14.5">
      <c r="AC1030" s="3"/>
      <c r="AD1030" s="3"/>
      <c r="AP1030" s="53"/>
    </row>
    <row r="1031" spans="29:42" ht="14.5">
      <c r="AC1031" s="3"/>
      <c r="AD1031" s="3"/>
      <c r="AP1031" s="53"/>
    </row>
    <row r="1032" spans="29:42" ht="14.5">
      <c r="AC1032" s="3"/>
      <c r="AD1032" s="3"/>
      <c r="AP1032" s="53"/>
    </row>
    <row r="1033" spans="29:42" ht="14.5">
      <c r="AC1033" s="3"/>
      <c r="AD1033" s="3"/>
      <c r="AP1033" s="53"/>
    </row>
    <row r="1034" spans="29:42" ht="14.5">
      <c r="AC1034" s="3"/>
      <c r="AD1034" s="3"/>
      <c r="AP1034" s="53"/>
    </row>
    <row r="1035" spans="29:42" ht="14.5">
      <c r="AC1035" s="3"/>
      <c r="AD1035" s="3"/>
      <c r="AP1035" s="53"/>
    </row>
    <row r="1036" spans="29:42" ht="14.5">
      <c r="AC1036" s="3"/>
      <c r="AD1036" s="3"/>
      <c r="AP1036" s="53"/>
    </row>
    <row r="1037" spans="29:42" ht="14.5">
      <c r="AC1037" s="3"/>
      <c r="AD1037" s="3"/>
      <c r="AP1037" s="53"/>
    </row>
    <row r="1038" spans="29:42" ht="14.5">
      <c r="AC1038" s="3"/>
      <c r="AD1038" s="3"/>
      <c r="AP1038" s="53"/>
    </row>
    <row r="1039" spans="29:42" ht="14.5">
      <c r="AC1039" s="3"/>
      <c r="AD1039" s="3"/>
      <c r="AP1039" s="53"/>
    </row>
    <row r="1040" spans="29:42" ht="14.5">
      <c r="AC1040" s="3"/>
      <c r="AD1040" s="3"/>
      <c r="AP1040" s="53"/>
    </row>
    <row r="1041" spans="29:42" ht="14.5">
      <c r="AC1041" s="3"/>
      <c r="AD1041" s="3"/>
      <c r="AP1041" s="53"/>
    </row>
    <row r="1042" spans="29:42" ht="14.5">
      <c r="AC1042" s="3"/>
      <c r="AD1042" s="3"/>
      <c r="AP1042" s="53"/>
    </row>
    <row r="1043" spans="29:42" ht="14.5">
      <c r="AC1043" s="3"/>
      <c r="AD1043" s="3"/>
      <c r="AP1043" s="53"/>
    </row>
    <row r="1044" spans="29:42" ht="14.5">
      <c r="AC1044" s="3"/>
      <c r="AD1044" s="3"/>
      <c r="AP1044" s="53"/>
    </row>
    <row r="1045" spans="29:42" ht="14.5">
      <c r="AC1045" s="3"/>
      <c r="AD1045" s="3"/>
      <c r="AP1045" s="53"/>
    </row>
    <row r="1046" spans="29:42" ht="14.5">
      <c r="AC1046" s="3"/>
      <c r="AD1046" s="3"/>
      <c r="AP1046" s="53"/>
    </row>
    <row r="1047" spans="29:42" ht="14.5">
      <c r="AC1047" s="3"/>
      <c r="AD1047" s="3"/>
      <c r="AP1047" s="53"/>
    </row>
    <row r="1048" spans="29:42" ht="14.5">
      <c r="AC1048" s="3"/>
      <c r="AD1048" s="3"/>
      <c r="AP1048" s="53"/>
    </row>
    <row r="1049" spans="29:42" ht="14.5">
      <c r="AC1049" s="3"/>
      <c r="AD1049" s="3"/>
      <c r="AP1049" s="53"/>
    </row>
    <row r="1050" spans="29:42" ht="14.5">
      <c r="AC1050" s="3"/>
      <c r="AD1050" s="3"/>
      <c r="AP1050" s="53"/>
    </row>
    <row r="1051" spans="29:42" ht="14.5">
      <c r="AC1051" s="3"/>
      <c r="AD1051" s="3"/>
      <c r="AP1051" s="53"/>
    </row>
    <row r="1052" spans="29:42" ht="14.5">
      <c r="AC1052" s="3"/>
      <c r="AD1052" s="3"/>
      <c r="AP1052" s="53"/>
    </row>
    <row r="1053" spans="29:42" ht="14.5">
      <c r="AC1053" s="3"/>
      <c r="AD1053" s="3"/>
      <c r="AP1053" s="53"/>
    </row>
    <row r="1054" spans="29:42" ht="14.5">
      <c r="AC1054" s="3"/>
      <c r="AD1054" s="3"/>
      <c r="AP1054" s="53"/>
    </row>
    <row r="1055" spans="29:42" ht="14.5">
      <c r="AC1055" s="3"/>
      <c r="AD1055" s="3"/>
      <c r="AP1055" s="53"/>
    </row>
    <row r="1056" spans="29:42" ht="14.5">
      <c r="AC1056" s="3"/>
      <c r="AD1056" s="3"/>
      <c r="AP1056" s="53"/>
    </row>
    <row r="1057" spans="29:42" ht="14.5">
      <c r="AC1057" s="3"/>
      <c r="AD1057" s="3"/>
      <c r="AP1057" s="53"/>
    </row>
    <row r="1058" spans="29:42" ht="14.5">
      <c r="AC1058" s="3"/>
      <c r="AD1058" s="3"/>
      <c r="AP1058" s="53"/>
    </row>
    <row r="1059" spans="29:42" ht="14.5">
      <c r="AC1059" s="3"/>
      <c r="AD1059" s="3"/>
      <c r="AP1059" s="53"/>
    </row>
    <row r="1060" spans="29:42" ht="14.5">
      <c r="AC1060" s="3"/>
      <c r="AD1060" s="3"/>
      <c r="AP1060" s="53"/>
    </row>
    <row r="1061" spans="29:42" ht="14.5">
      <c r="AC1061" s="3"/>
      <c r="AD1061" s="3"/>
      <c r="AP1061" s="53"/>
    </row>
    <row r="1062" spans="29:42" ht="14.5">
      <c r="AC1062" s="3"/>
      <c r="AD1062" s="3"/>
      <c r="AP1062" s="53"/>
    </row>
    <row r="1063" spans="29:42" ht="14.5">
      <c r="AC1063" s="3"/>
      <c r="AD1063" s="3"/>
      <c r="AP1063" s="53"/>
    </row>
    <row r="1064" spans="29:42" ht="14.5">
      <c r="AC1064" s="3"/>
      <c r="AD1064" s="3"/>
      <c r="AP1064" s="53"/>
    </row>
    <row r="1065" spans="29:42" ht="14.5">
      <c r="AC1065" s="3"/>
      <c r="AD1065" s="3"/>
      <c r="AP1065" s="53"/>
    </row>
    <row r="1066" spans="29:42" ht="14.5">
      <c r="AC1066" s="3"/>
      <c r="AD1066" s="3"/>
      <c r="AP1066" s="53"/>
    </row>
    <row r="1067" spans="29:42" ht="14.5">
      <c r="AC1067" s="3"/>
      <c r="AD1067" s="3"/>
      <c r="AP1067" s="53"/>
    </row>
    <row r="1068" spans="29:42" ht="14.5">
      <c r="AC1068" s="3"/>
      <c r="AD1068" s="3"/>
      <c r="AP1068" s="53"/>
    </row>
    <row r="1069" spans="29:42" ht="14.5">
      <c r="AC1069" s="3"/>
      <c r="AD1069" s="3"/>
      <c r="AP1069" s="53"/>
    </row>
    <row r="1070" spans="29:42" ht="14.5">
      <c r="AC1070" s="3"/>
      <c r="AD1070" s="3"/>
      <c r="AP1070" s="53"/>
    </row>
    <row r="1071" spans="29:42" ht="14.5">
      <c r="AC1071" s="3"/>
      <c r="AD1071" s="3"/>
      <c r="AP1071" s="53"/>
    </row>
    <row r="1072" spans="29:42" ht="14.5">
      <c r="AC1072" s="3"/>
      <c r="AD1072" s="3"/>
      <c r="AP1072" s="53"/>
    </row>
    <row r="1073" spans="29:42" ht="14.5">
      <c r="AC1073" s="3"/>
      <c r="AD1073" s="3"/>
      <c r="AP1073" s="53"/>
    </row>
    <row r="1074" spans="29:42" ht="14.5">
      <c r="AC1074" s="3"/>
      <c r="AD1074" s="3"/>
      <c r="AP1074" s="53"/>
    </row>
    <row r="1075" spans="29:42" ht="14.5">
      <c r="AC1075" s="3"/>
      <c r="AD1075" s="3"/>
      <c r="AP1075" s="53"/>
    </row>
    <row r="1076" spans="29:42" ht="14.5">
      <c r="AC1076" s="3"/>
      <c r="AD1076" s="3"/>
      <c r="AP1076" s="53"/>
    </row>
    <row r="1077" spans="29:42" ht="14.5">
      <c r="AC1077" s="3"/>
      <c r="AD1077" s="3"/>
      <c r="AP1077" s="53"/>
    </row>
    <row r="1078" spans="29:42" ht="14.5">
      <c r="AC1078" s="3"/>
      <c r="AD1078" s="3"/>
      <c r="AP1078" s="53"/>
    </row>
    <row r="1079" spans="29:42" ht="14.5">
      <c r="AC1079" s="3"/>
      <c r="AD1079" s="3"/>
      <c r="AP1079" s="53"/>
    </row>
    <row r="1080" spans="29:42" ht="14.5">
      <c r="AC1080" s="3"/>
      <c r="AD1080" s="3"/>
      <c r="AP1080" s="53"/>
    </row>
    <row r="1081" spans="29:42" ht="14.5">
      <c r="AC1081" s="3"/>
      <c r="AD1081" s="3"/>
      <c r="AP1081" s="53"/>
    </row>
    <row r="1082" spans="29:42" ht="14.5">
      <c r="AC1082" s="3"/>
      <c r="AD1082" s="3"/>
      <c r="AP1082" s="53"/>
    </row>
    <row r="1083" spans="29:42" ht="14.5">
      <c r="AC1083" s="3"/>
      <c r="AD1083" s="3"/>
      <c r="AP1083" s="53"/>
    </row>
  </sheetData>
  <mergeCells count="3">
    <mergeCell ref="A1:B1"/>
    <mergeCell ref="D295:I295"/>
    <mergeCell ref="N295:S295"/>
  </mergeCells>
  <conditionalFormatting sqref="AC1:AF19 AC69:AF69 AC144:AF144 AC196:AF203 AC228:AF228 AG295:AG320 AC328:AF1083 AC253:AF255 AG255:AH255 AC284:AH290 AA278:AF283 AG293:AH293 AC293:AF325">
    <cfRule type="notContainsBlanks" dxfId="8" priority="2">
      <formula>LEN(TRIM(AA1))&gt;0</formula>
    </cfRule>
  </conditionalFormatting>
  <conditionalFormatting sqref="AE256:AH277">
    <cfRule type="notContainsBlanks" dxfId="7" priority="1">
      <formula>LEN(TRIM(AE256))&gt;0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69D74-863C-4C06-AA11-7B74EE456D9B}">
  <sheetPr>
    <outlinePr summaryBelow="0" summaryRight="0"/>
  </sheetPr>
  <dimension ref="A1:BO189"/>
  <sheetViews>
    <sheetView topLeftCell="A19" zoomScale="60" zoomScaleNormal="60" workbookViewId="0">
      <selection activeCell="I25" sqref="I25:I104"/>
    </sheetView>
  </sheetViews>
  <sheetFormatPr defaultColWidth="12.6640625" defaultRowHeight="15" customHeight="1"/>
  <cols>
    <col min="1" max="1" width="14" style="121" customWidth="1"/>
    <col min="2" max="49" width="12.6640625" style="121"/>
    <col min="50" max="52" width="12.6640625" style="128"/>
    <col min="53" max="53" width="17.25" style="121" customWidth="1"/>
    <col min="54" max="16384" width="12.6640625" style="121"/>
  </cols>
  <sheetData>
    <row r="1" spans="1:12">
      <c r="A1" s="181" t="s">
        <v>70</v>
      </c>
      <c r="B1" s="182"/>
      <c r="C1" s="26"/>
      <c r="D1" s="121" t="s">
        <v>245</v>
      </c>
      <c r="E1" s="121" t="s">
        <v>224</v>
      </c>
      <c r="F1" s="121" t="s">
        <v>225</v>
      </c>
      <c r="G1" s="121" t="s">
        <v>226</v>
      </c>
      <c r="H1" s="121" t="s">
        <v>29</v>
      </c>
    </row>
    <row r="2" spans="1:12">
      <c r="A2" s="26" t="s">
        <v>74</v>
      </c>
      <c r="D2" s="121" t="s">
        <v>227</v>
      </c>
      <c r="E2" s="121">
        <f ca="1">MAX(V25:V105)</f>
        <v>13.182459595657532</v>
      </c>
      <c r="F2" s="121">
        <f ca="1">MATCH(E2, V25:V105, 0)</f>
        <v>35</v>
      </c>
      <c r="G2" s="121">
        <f ca="1">24+F2</f>
        <v>59</v>
      </c>
      <c r="H2" s="121" cm="1">
        <f t="array" aca="1" ref="H2" ca="1">INDEX(L25:L105,F2)</f>
        <v>195</v>
      </c>
    </row>
    <row r="3" spans="1:12">
      <c r="A3" s="21" t="s">
        <v>76</v>
      </c>
      <c r="B3" s="21">
        <v>230</v>
      </c>
      <c r="D3" s="121" t="s">
        <v>243</v>
      </c>
      <c r="E3" s="121">
        <f ca="1">MAX(BA25:BA105)</f>
        <v>20.031684004921807</v>
      </c>
      <c r="F3" s="121">
        <f ca="1">MATCH(E3, BA25:BA105, 0)</f>
        <v>50</v>
      </c>
      <c r="G3" s="121">
        <f ca="1">F3+24</f>
        <v>74</v>
      </c>
      <c r="H3" s="121" cm="1">
        <f t="array" aca="1" ref="H3" ca="1">INDEX(L25:L105,F3)</f>
        <v>270</v>
      </c>
      <c r="J3" s="121" t="s">
        <v>246</v>
      </c>
    </row>
    <row r="4" spans="1:12">
      <c r="A4" s="21" t="s">
        <v>12</v>
      </c>
      <c r="B4" s="21">
        <v>5.55</v>
      </c>
      <c r="D4" s="121" t="s">
        <v>242</v>
      </c>
      <c r="E4" s="121">
        <f ca="1">MAX(BB25:BB105)</f>
        <v>11.526008440479234</v>
      </c>
      <c r="F4" s="121">
        <f ca="1">MATCH(E4, BB25:BB105, 0)</f>
        <v>25</v>
      </c>
      <c r="G4" s="121">
        <f ca="1">F4+24</f>
        <v>49</v>
      </c>
      <c r="H4" s="121" cm="1">
        <f t="array" aca="1" ref="H4" ca="1">INDEX(L25:L105,F4)</f>
        <v>145</v>
      </c>
      <c r="J4" s="121" t="s">
        <v>282</v>
      </c>
    </row>
    <row r="5" spans="1:12">
      <c r="A5" s="21" t="s">
        <v>11</v>
      </c>
      <c r="B5" s="21">
        <v>0.84</v>
      </c>
      <c r="D5" s="121" t="s">
        <v>244</v>
      </c>
      <c r="E5" s="121">
        <f ca="1">MAX(BC25:BC105)</f>
        <v>11.416010009839422</v>
      </c>
      <c r="F5" s="121">
        <f ca="1">MATCH(E5, BC25:BC105, 0)</f>
        <v>35</v>
      </c>
      <c r="G5" s="121">
        <f ca="1">F5+24</f>
        <v>59</v>
      </c>
      <c r="H5" s="121" cm="1">
        <f t="array" aca="1" ref="H5" ca="1">INDEX(L25:L105,F5)</f>
        <v>195</v>
      </c>
    </row>
    <row r="6" spans="1:12">
      <c r="A6" s="21" t="s">
        <v>10</v>
      </c>
      <c r="B6" s="30">
        <v>6</v>
      </c>
    </row>
    <row r="7" spans="1:12">
      <c r="A7" s="21" t="s">
        <v>84</v>
      </c>
      <c r="B7" s="76">
        <f>77.04843221/12</f>
        <v>6.4207026841666668</v>
      </c>
      <c r="D7" s="131" t="s">
        <v>318</v>
      </c>
      <c r="E7" s="176" t="s">
        <v>224</v>
      </c>
      <c r="F7" s="176" t="s">
        <v>225</v>
      </c>
      <c r="G7" s="176" t="s">
        <v>226</v>
      </c>
      <c r="H7" s="176" t="s">
        <v>29</v>
      </c>
      <c r="K7" s="121">
        <v>25</v>
      </c>
    </row>
    <row r="8" spans="1:12">
      <c r="A8" s="21" t="s">
        <v>15</v>
      </c>
      <c r="B8" s="21">
        <v>6.3156723449164801E-2</v>
      </c>
      <c r="D8" s="176" t="s">
        <v>227</v>
      </c>
      <c r="E8" s="176">
        <f ca="1">MAX(V109:V189)</f>
        <v>13.267390637269692</v>
      </c>
      <c r="F8" s="176">
        <f ca="1">MATCH(E8, V109:V189, 0)</f>
        <v>35</v>
      </c>
      <c r="G8" s="176">
        <f ca="1">24+F8</f>
        <v>59</v>
      </c>
      <c r="H8" s="176" cm="1">
        <f t="array" aca="1" ref="H8" ca="1">INDEX(L109:L189,F8)</f>
        <v>195</v>
      </c>
      <c r="K8" s="121">
        <v>100</v>
      </c>
    </row>
    <row r="9" spans="1:12">
      <c r="A9" s="26" t="s">
        <v>89</v>
      </c>
      <c r="D9" s="176" t="s">
        <v>243</v>
      </c>
      <c r="E9" s="176">
        <f ca="1">MAX(BA109:BA189)</f>
        <v>20.189583492714913</v>
      </c>
      <c r="F9" s="176">
        <f ca="1">MATCH(E9, BA109:BA189, 0)</f>
        <v>49</v>
      </c>
      <c r="G9" s="176">
        <f ca="1">F9+24</f>
        <v>73</v>
      </c>
      <c r="H9" s="176" cm="1">
        <f t="array" aca="1" ref="H9" ca="1">INDEX(L109:L189,F9)</f>
        <v>265</v>
      </c>
      <c r="K9" s="121">
        <v>200</v>
      </c>
    </row>
    <row r="10" spans="1:12">
      <c r="A10" s="21" t="s">
        <v>91</v>
      </c>
      <c r="B10" s="32">
        <f ca="1">Ashvat_Design_0!B10</f>
        <v>17400.351958329771</v>
      </c>
      <c r="D10" s="176" t="s">
        <v>242</v>
      </c>
      <c r="E10" s="176">
        <f ca="1">MAX(BB109:BB189)</f>
        <v>11.569215326889037</v>
      </c>
      <c r="F10" s="176">
        <f ca="1">MATCH(E10, BB109:BB189, 0)</f>
        <v>25</v>
      </c>
      <c r="G10" s="176">
        <f ca="1">F10+24</f>
        <v>49</v>
      </c>
      <c r="H10" s="176" cm="1">
        <f t="array" aca="1" ref="H10" ca="1">INDEX(L109:L189,F10)</f>
        <v>145</v>
      </c>
      <c r="K10" s="176">
        <v>235</v>
      </c>
      <c r="L10" s="121">
        <f ca="1">E3</f>
        <v>20.031684004921807</v>
      </c>
    </row>
    <row r="11" spans="1:12">
      <c r="A11" s="21" t="s">
        <v>94</v>
      </c>
      <c r="B11" s="21">
        <v>0.99</v>
      </c>
      <c r="D11" s="176" t="s">
        <v>244</v>
      </c>
      <c r="E11" s="176">
        <f ca="1">MAX(BC109:BC189)</f>
        <v>11.489560291875554</v>
      </c>
      <c r="F11" s="176">
        <f ca="1">MATCH(E11, BC109:BC189, 0)</f>
        <v>35</v>
      </c>
      <c r="G11" s="176">
        <f ca="1">F11+24</f>
        <v>59</v>
      </c>
      <c r="H11" s="176" cm="1">
        <f t="array" aca="1" ref="H11" ca="1">INDEX(L109:L189,F11)</f>
        <v>195</v>
      </c>
      <c r="K11" s="176">
        <v>420</v>
      </c>
    </row>
    <row r="12" spans="1:12">
      <c r="A12" s="21" t="s">
        <v>96</v>
      </c>
      <c r="B12" s="32">
        <f ca="1">B10*B11</f>
        <v>17226.348438746474</v>
      </c>
    </row>
    <row r="13" spans="1:12">
      <c r="A13" s="26" t="s">
        <v>98</v>
      </c>
    </row>
    <row r="14" spans="1:12">
      <c r="A14" s="21" t="s">
        <v>100</v>
      </c>
      <c r="B14" s="21">
        <v>0.78</v>
      </c>
    </row>
    <row r="15" spans="1:12">
      <c r="A15" s="21" t="s">
        <v>102</v>
      </c>
      <c r="B15" s="21">
        <v>6280</v>
      </c>
      <c r="D15" s="121" t="s">
        <v>230</v>
      </c>
      <c r="E15" s="121">
        <f ca="1">Ashvat_Design_0!D98</f>
        <v>16664.578262874267</v>
      </c>
      <c r="G15" s="121" t="s">
        <v>231</v>
      </c>
      <c r="H15" s="121">
        <f ca="1">Ashvat_Design_0!D148</f>
        <v>13090.87887600724</v>
      </c>
    </row>
    <row r="16" spans="1:12">
      <c r="A16" s="26" t="s">
        <v>104</v>
      </c>
    </row>
    <row r="17" spans="1:67">
      <c r="A17" s="6" t="s">
        <v>105</v>
      </c>
      <c r="B17" s="6">
        <v>5.0000000000000001E-3</v>
      </c>
    </row>
    <row r="18" spans="1:67">
      <c r="A18" s="33" t="s">
        <v>106</v>
      </c>
      <c r="B18" s="33">
        <v>2.1</v>
      </c>
    </row>
    <row r="20" spans="1:67">
      <c r="J20" s="21"/>
      <c r="S20" s="38"/>
      <c r="Z20" s="2"/>
      <c r="AC20" s="21"/>
    </row>
    <row r="21" spans="1:67">
      <c r="A21" s="21" t="s">
        <v>190</v>
      </c>
      <c r="B21" s="21" t="s">
        <v>191</v>
      </c>
      <c r="C21" s="21">
        <v>16100</v>
      </c>
      <c r="L21" s="21"/>
      <c r="S21" s="21"/>
      <c r="AB21" s="38"/>
      <c r="AI21" s="2"/>
      <c r="AL21" s="21"/>
    </row>
    <row r="22" spans="1:67" s="89" customFormat="1">
      <c r="A22" s="123" t="s">
        <v>192</v>
      </c>
      <c r="B22" s="81" t="s">
        <v>120</v>
      </c>
      <c r="C22" s="81">
        <v>100</v>
      </c>
      <c r="D22" s="81" t="s">
        <v>49</v>
      </c>
      <c r="E22" s="82"/>
      <c r="F22" s="82"/>
      <c r="G22" s="82"/>
      <c r="H22" s="83"/>
      <c r="I22" s="83"/>
      <c r="J22" s="82"/>
      <c r="K22" s="82"/>
      <c r="L22" s="84" t="s">
        <v>60</v>
      </c>
      <c r="M22" s="82"/>
      <c r="N22" s="82"/>
      <c r="O22" s="82"/>
      <c r="P22" s="82"/>
      <c r="Q22" s="81"/>
      <c r="R22" s="82"/>
      <c r="S22" s="85"/>
      <c r="T22" s="81"/>
      <c r="U22" s="81"/>
      <c r="V22" s="81"/>
      <c r="W22" s="81"/>
      <c r="X22" s="82"/>
      <c r="Y22" s="82"/>
      <c r="Z22" s="87"/>
      <c r="AA22" s="87"/>
      <c r="AB22" s="81"/>
      <c r="AC22" s="81"/>
      <c r="AD22" s="83"/>
      <c r="AE22" s="81"/>
      <c r="AF22" s="82"/>
      <c r="AG22" s="82"/>
      <c r="AH22" s="82"/>
      <c r="AI22" s="81" t="s">
        <v>61</v>
      </c>
      <c r="AJ22" s="86"/>
      <c r="AK22" s="88"/>
      <c r="AL22" s="82"/>
      <c r="AM22" s="82"/>
      <c r="AN22" s="82"/>
      <c r="AO22" s="83"/>
      <c r="AP22" s="82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</row>
    <row r="23" spans="1:67">
      <c r="A23" s="41" t="s">
        <v>2</v>
      </c>
      <c r="B23" s="41" t="s">
        <v>2</v>
      </c>
      <c r="C23" s="41" t="s">
        <v>2</v>
      </c>
      <c r="D23" s="23" t="s">
        <v>23</v>
      </c>
      <c r="E23" s="41" t="s">
        <v>24</v>
      </c>
      <c r="F23" s="41" t="s">
        <v>25</v>
      </c>
      <c r="G23" s="41"/>
      <c r="H23" s="5" t="s">
        <v>0</v>
      </c>
      <c r="I23" s="5" t="s">
        <v>26</v>
      </c>
      <c r="J23" s="41" t="s">
        <v>27</v>
      </c>
      <c r="K23" s="41" t="s">
        <v>28</v>
      </c>
      <c r="L23" s="12" t="s">
        <v>29</v>
      </c>
      <c r="M23" s="13" t="s">
        <v>30</v>
      </c>
      <c r="N23" s="41" t="s">
        <v>31</v>
      </c>
      <c r="O23" s="41" t="s">
        <v>32</v>
      </c>
      <c r="P23" s="41" t="s">
        <v>33</v>
      </c>
      <c r="Q23" s="41" t="s">
        <v>34</v>
      </c>
      <c r="R23" s="41" t="s">
        <v>13</v>
      </c>
      <c r="S23" s="24" t="s">
        <v>35</v>
      </c>
      <c r="T23" s="41" t="s">
        <v>36</v>
      </c>
      <c r="U23" s="41" t="s">
        <v>37</v>
      </c>
      <c r="V23" s="41" t="s">
        <v>38</v>
      </c>
      <c r="W23" s="41" t="s">
        <v>39</v>
      </c>
      <c r="X23" s="41" t="s">
        <v>40</v>
      </c>
      <c r="Y23" s="6" t="s">
        <v>108</v>
      </c>
      <c r="Z23" s="35" t="s">
        <v>109</v>
      </c>
      <c r="AA23" s="9" t="s">
        <v>110</v>
      </c>
      <c r="AB23" s="7" t="s">
        <v>111</v>
      </c>
      <c r="AC23" s="7" t="s">
        <v>112</v>
      </c>
      <c r="AD23" s="5" t="s">
        <v>41</v>
      </c>
      <c r="AE23" s="7" t="s">
        <v>113</v>
      </c>
      <c r="AF23" s="7" t="s">
        <v>114</v>
      </c>
      <c r="AG23" s="7" t="s">
        <v>187</v>
      </c>
      <c r="AH23" s="41" t="s">
        <v>42</v>
      </c>
      <c r="AI23" s="41" t="s">
        <v>43</v>
      </c>
      <c r="AJ23" s="10" t="s">
        <v>35</v>
      </c>
      <c r="AK23" s="36" t="s">
        <v>116</v>
      </c>
      <c r="AL23" s="41" t="s">
        <v>44</v>
      </c>
      <c r="AM23" s="41" t="s">
        <v>45</v>
      </c>
      <c r="AN23" s="41" t="s">
        <v>46</v>
      </c>
      <c r="AO23" s="5" t="s">
        <v>47</v>
      </c>
      <c r="AP23" s="7" t="s">
        <v>85</v>
      </c>
      <c r="AQ23" s="15" t="s">
        <v>62</v>
      </c>
      <c r="AR23" s="16" t="s">
        <v>63</v>
      </c>
      <c r="AS23" s="16" t="s">
        <v>64</v>
      </c>
      <c r="AT23" s="17" t="s">
        <v>65</v>
      </c>
      <c r="AU23" s="18" t="s">
        <v>66</v>
      </c>
      <c r="AV23" s="18" t="s">
        <v>67</v>
      </c>
      <c r="AW23" s="19" t="s">
        <v>68</v>
      </c>
      <c r="AX23" s="7" t="s">
        <v>207</v>
      </c>
      <c r="AY23" s="7" t="s">
        <v>208</v>
      </c>
      <c r="AZ23" s="7" t="s">
        <v>209</v>
      </c>
      <c r="BA23" s="37" t="s">
        <v>188</v>
      </c>
      <c r="BB23" s="37" t="s">
        <v>189</v>
      </c>
      <c r="BC23" s="127" t="s">
        <v>244</v>
      </c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</row>
    <row r="24" spans="1:67">
      <c r="A24" s="41" t="s">
        <v>18</v>
      </c>
      <c r="B24" s="41" t="s">
        <v>21</v>
      </c>
      <c r="C24" s="41" t="s">
        <v>48</v>
      </c>
      <c r="D24" s="23" t="s">
        <v>8</v>
      </c>
      <c r="E24" s="41" t="s">
        <v>49</v>
      </c>
      <c r="F24" s="41" t="s">
        <v>49</v>
      </c>
      <c r="G24" s="41"/>
      <c r="H24" s="5" t="s">
        <v>9</v>
      </c>
      <c r="I24" s="5" t="s">
        <v>50</v>
      </c>
      <c r="J24" s="41"/>
      <c r="K24" s="41" t="s">
        <v>51</v>
      </c>
      <c r="L24" s="5" t="s">
        <v>52</v>
      </c>
      <c r="M24" s="41" t="s">
        <v>52</v>
      </c>
      <c r="N24" s="41" t="s">
        <v>53</v>
      </c>
      <c r="O24" s="41" t="s">
        <v>54</v>
      </c>
      <c r="P24" s="41"/>
      <c r="Q24" s="41"/>
      <c r="R24" s="41"/>
      <c r="S24" s="24" t="s">
        <v>55</v>
      </c>
      <c r="T24" s="41"/>
      <c r="U24" s="41"/>
      <c r="V24" s="41"/>
      <c r="W24" s="41"/>
      <c r="X24" s="41"/>
      <c r="Y24" s="41"/>
      <c r="Z24" s="9" t="s">
        <v>118</v>
      </c>
      <c r="AA24" s="9" t="s">
        <v>118</v>
      </c>
      <c r="AB24" s="7" t="s">
        <v>119</v>
      </c>
      <c r="AC24" s="7" t="s">
        <v>119</v>
      </c>
      <c r="AD24" s="5" t="s">
        <v>20</v>
      </c>
      <c r="AE24" s="7" t="s">
        <v>118</v>
      </c>
      <c r="AF24" s="7" t="s">
        <v>118</v>
      </c>
      <c r="AG24" s="7" t="s">
        <v>119</v>
      </c>
      <c r="AH24" s="41" t="s">
        <v>56</v>
      </c>
      <c r="AI24" s="41" t="s">
        <v>57</v>
      </c>
      <c r="AJ24" s="10" t="s">
        <v>55</v>
      </c>
      <c r="AK24" s="36" t="s">
        <v>121</v>
      </c>
      <c r="AL24" s="41" t="s">
        <v>9</v>
      </c>
      <c r="AM24" s="41" t="s">
        <v>18</v>
      </c>
      <c r="AN24" s="41" t="s">
        <v>8</v>
      </c>
      <c r="AO24" s="5" t="s">
        <v>49</v>
      </c>
      <c r="AP24" s="41"/>
      <c r="AQ24" s="11"/>
      <c r="AR24" s="11"/>
      <c r="AS24" s="11"/>
      <c r="AT24" s="11"/>
      <c r="AU24" s="11"/>
      <c r="AV24" s="11"/>
      <c r="AW24" s="1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</row>
    <row r="25" spans="1:67">
      <c r="A25" s="41">
        <f>AM25</f>
        <v>12043.523885540922</v>
      </c>
      <c r="B25" s="41">
        <f>(A25/60)</f>
        <v>200.72539809234871</v>
      </c>
      <c r="C25" s="41">
        <f>(B25/60)</f>
        <v>3.345423301539145</v>
      </c>
      <c r="D25" s="23">
        <f ca="1">$B$12</f>
        <v>17226.348438746474</v>
      </c>
      <c r="E25" s="41">
        <f>AO25</f>
        <v>100</v>
      </c>
      <c r="F25" s="41">
        <f>AO25</f>
        <v>100</v>
      </c>
      <c r="G25" s="41"/>
      <c r="H25" s="6">
        <v>10000</v>
      </c>
      <c r="I25" s="5">
        <v>15</v>
      </c>
      <c r="J25" s="41">
        <f t="shared" ref="J25:J104" si="0">SQRT((((((((L25^2)*(0.2))/(661.477)^2) + 1)^(3.5) - 1)*(1/AR25) + 1)^(1/3.5) - 1)*(5))</f>
        <v>4.5571120335455857E-2</v>
      </c>
      <c r="K25" s="41">
        <f t="shared" ref="K25:K104" si="1">SQRT((1.4*2116.22*AR25*(J25)^2)/AV25)</f>
        <v>50.451292375349531</v>
      </c>
      <c r="L25" s="6">
        <v>25</v>
      </c>
      <c r="M25" s="41">
        <f t="shared" ref="M25:M104" si="2">K25*0.592484</f>
        <v>29.891583511716593</v>
      </c>
      <c r="N25" s="41">
        <f t="shared" ref="N25:N104" si="3">0.5*AV25*K25^2</f>
        <v>2.1156264641075899</v>
      </c>
      <c r="O25" s="41">
        <f t="shared" ref="O25:O104" si="4">P25/$B$7</f>
        <v>227374.24154932573</v>
      </c>
      <c r="P25" s="41">
        <f t="shared" ref="P25:P104" si="5">(AV25*K25*$B$7)/(AW25)</f>
        <v>1459902.4030261158</v>
      </c>
      <c r="Q25" s="41">
        <f t="shared" ref="Q25:Q104" si="6">0.455/(LOG10(P25)^2.58 * (1+0.144*J25*J25)^0.65)</f>
        <v>4.1689102200960539E-3</v>
      </c>
      <c r="R25" s="41">
        <f t="shared" ref="R25:R104" si="7">(((Q25*$B$4)+$B$17)+(0.1*(Q25*$B$4)))</f>
        <v>3.0451196893686409E-2</v>
      </c>
      <c r="S25" s="27">
        <v>0</v>
      </c>
      <c r="T25" s="41">
        <f t="shared" ref="T25:T104" ca="1" si="8">(D25*COS(RADIANS(S25)))/(N25*$B$3)</f>
        <v>35.401886105909377</v>
      </c>
      <c r="U25" s="41">
        <f t="shared" ref="U25:U104" ca="1" si="9">(W25)/(N25*$B$3)</f>
        <v>79.184364694189981</v>
      </c>
      <c r="V25" s="41">
        <f t="shared" ref="V25:V104" ca="1" si="10">T25/U25</f>
        <v>0.44708177229976476</v>
      </c>
      <c r="W25" s="20">
        <f t="shared" ref="W25:W104" ca="1" si="11">(N25*$B$3*R25)+((N25*$B$3)*((T25^2)/(PI()*$B$6*$B$5)))</f>
        <v>38530.643622832256</v>
      </c>
      <c r="X25" s="41">
        <f t="shared" ref="X25:X104" si="12">SQRT(PI()*$B$6*$B$5*R25)</f>
        <v>0.69437230109594428</v>
      </c>
      <c r="Y25" s="41">
        <f t="shared" ref="Y25:Y104" ca="1" si="13">SQRT((2*((T25*N25*$B$3)/(D25))*D25)/(AV25*$B$3*$B$18))</f>
        <v>207.14566477121807</v>
      </c>
      <c r="Z25" s="14">
        <f t="shared" ref="Z25:Z104" ca="1" si="14">W25+(D25*(SIN(RADIANS(S25))))</f>
        <v>38530.643622832256</v>
      </c>
      <c r="AA25" s="14">
        <f t="shared" ref="AA25:AA104" si="15">$B$15*AR25</f>
        <v>4318.772914781468</v>
      </c>
      <c r="AB25" s="25">
        <f t="shared" ref="AB25:AB104" ca="1" si="16">Z25*K25</f>
        <v>1943920.7668259072</v>
      </c>
      <c r="AC25" s="41">
        <f t="shared" ref="AC25:AC104" si="17">AA25*K25</f>
        <v>217887.67502638034</v>
      </c>
      <c r="AD25" s="5">
        <f t="shared" ref="AD25:AD104" ca="1" si="18">(Z25/AA25)*100</f>
        <v>892.16646448246809</v>
      </c>
      <c r="AE25" s="7">
        <f t="shared" ref="AE25:AE104" ca="1" si="19">(AA25)*(AD25/100)</f>
        <v>38530.643622832256</v>
      </c>
      <c r="AF25" s="41">
        <f ca="1">AA25-Z25</f>
        <v>-34211.870708050788</v>
      </c>
      <c r="AG25" s="41">
        <f t="shared" ref="AG25:AG104" ca="1" si="20">(AC25-AB25)/D25</f>
        <v>-100.19727035807752</v>
      </c>
      <c r="AH25" s="41">
        <f t="shared" ref="AH25:AH104" ca="1" si="21">(AP25*AE25)</f>
        <v>27012.127400032736</v>
      </c>
      <c r="AI25" s="13">
        <f t="shared" ref="AI25:AI104" ca="1" si="22">K25*SIN(RADIANS(AJ25))</f>
        <v>0</v>
      </c>
      <c r="AJ25" s="10">
        <f t="shared" ref="AJ25:AJ104" ca="1" si="23">DEGREES(ASIN(((AE25-W25)/(D25))))</f>
        <v>0</v>
      </c>
      <c r="AK25" s="11">
        <f t="shared" ref="AK25:AK104" ca="1" si="24">(AG25/D25)*60</f>
        <v>-0.34899074768292104</v>
      </c>
      <c r="AL25" s="7">
        <v>0</v>
      </c>
      <c r="AM25" s="41">
        <f t="shared" ref="AM25:AM104" si="25">(AO25/M25)*3600</f>
        <v>12043.523885540922</v>
      </c>
      <c r="AN25" s="41">
        <f t="shared" ref="AN25:AN104" ca="1" si="26">AH25*(AM25/3600)</f>
        <v>90367.00042821352</v>
      </c>
      <c r="AO25" s="6">
        <v>100</v>
      </c>
      <c r="AP25" s="67">
        <f t="shared" ref="AP25:AP88" si="27">0.692 + 0.298*AZ25 + -0.0331*AZ25^2</f>
        <v>0.70105570165005116</v>
      </c>
      <c r="AQ25" s="11">
        <f t="shared" ref="AQ25:AQ104" si="28">IF(H25 &lt;= 36089, ((1 - 6.87535*10^(-6)*H25) + ((I25*1.8)/518.67)), 0.75187 + ((I25*1.8)/518.67))</f>
        <v>0.98330272071837588</v>
      </c>
      <c r="AR25" s="11">
        <f t="shared" ref="AR25:AR104" si="29">IF(H25 &lt;= 36089, (1 - 6.87535*10^(-6)*H25)^5.2561, 0.22336*EXP((36089 - H25)/(20806.7)))</f>
        <v>0.68770269343653956</v>
      </c>
      <c r="AS25" s="11">
        <f t="shared" ref="AS25:AS104" si="30">(AR25/AQ25)</f>
        <v>0.69938044403469313</v>
      </c>
      <c r="AT25" s="11">
        <f t="shared" ref="AT25:AT104" si="31">(518.67*AQ25)</f>
        <v>510.00962215499999</v>
      </c>
      <c r="AU25" s="11">
        <f t="shared" ref="AU25:AU104" si="32">2116.22*AR25</f>
        <v>1455.3301939042735</v>
      </c>
      <c r="AV25" s="11">
        <f t="shared" ref="AV25:AV104" si="33">(0.0023769*AS25)</f>
        <v>1.6623573774260621E-3</v>
      </c>
      <c r="AW25" s="11">
        <f t="shared" ref="AW25:AW104" si="34">((2.2697*10^-8)*(AT25^1.5))/(AT25+198.72)</f>
        <v>3.6885478983619832E-7</v>
      </c>
      <c r="AX25" s="41">
        <f ca="1">(1/T25)*(((1 + 0.2*(T25)^2)/1.2)^3)</f>
        <v>260534.80493468948</v>
      </c>
      <c r="AY25" s="41">
        <f t="shared" ref="AY25" ca="1" si="35">($H$4/$H$3)*AX25</f>
        <v>139916.83968714808</v>
      </c>
      <c r="AZ25" s="41">
        <f t="shared" ref="AZ25" si="36">-6.6*10^(-3) + 0.825*J25 - 0.243*(J25^2)</f>
        <v>3.0491529613654332E-2</v>
      </c>
      <c r="BA25" s="41">
        <f t="shared" ref="BA25:BA104" ca="1" si="37">(T25^(0.5))/(U25)</f>
        <v>7.5140445149952939E-2</v>
      </c>
      <c r="BB25" s="41">
        <f t="shared" ref="BB25:BB104" ca="1" si="38">(T25^(3/2))/(U25)</f>
        <v>2.6601134811459648</v>
      </c>
      <c r="BC25" s="41">
        <f ca="1">0.866*V25</f>
        <v>0.38717281481159627</v>
      </c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</row>
    <row r="26" spans="1:67">
      <c r="A26" s="41">
        <f t="shared" ref="A26:A89" si="39">AM26</f>
        <v>10036.627439128284</v>
      </c>
      <c r="B26" s="41">
        <f t="shared" ref="B26:C41" si="40">(A26/60)</f>
        <v>167.27712398547141</v>
      </c>
      <c r="C26" s="41">
        <f t="shared" si="40"/>
        <v>2.7879520664245234</v>
      </c>
      <c r="D26" s="23">
        <f ca="1">D25</f>
        <v>17226.348438746474</v>
      </c>
      <c r="E26" s="41">
        <f t="shared" ref="E26:E89" si="41">AO26</f>
        <v>100</v>
      </c>
      <c r="F26" s="41">
        <f t="shared" ref="F26:F89" si="42">AO26</f>
        <v>100</v>
      </c>
      <c r="G26" s="41"/>
      <c r="H26" s="6">
        <f>H25</f>
        <v>10000</v>
      </c>
      <c r="I26" s="5">
        <v>15</v>
      </c>
      <c r="J26" s="41">
        <f t="shared" si="0"/>
        <v>5.4683396347985865E-2</v>
      </c>
      <c r="K26" s="41">
        <f t="shared" si="1"/>
        <v>60.539394180372597</v>
      </c>
      <c r="L26" s="6">
        <f t="shared" ref="L26:L89" si="43">L25+5</f>
        <v>30</v>
      </c>
      <c r="M26" s="41">
        <f t="shared" si="2"/>
        <v>35.868622421563877</v>
      </c>
      <c r="N26" s="41">
        <f t="shared" si="3"/>
        <v>3.0462850612546695</v>
      </c>
      <c r="O26" s="41">
        <f t="shared" si="4"/>
        <v>272839.3701633598</v>
      </c>
      <c r="P26" s="41">
        <f t="shared" si="5"/>
        <v>1751820.4763542269</v>
      </c>
      <c r="Q26" s="41">
        <f t="shared" si="6"/>
        <v>4.0335476851645806E-3</v>
      </c>
      <c r="R26" s="41">
        <f t="shared" si="7"/>
        <v>2.9624808617929765E-2</v>
      </c>
      <c r="S26" s="27">
        <v>0</v>
      </c>
      <c r="T26" s="41">
        <f t="shared" ca="1" si="8"/>
        <v>24.586394778871046</v>
      </c>
      <c r="U26" s="41">
        <f t="shared" ca="1" si="9"/>
        <v>38.207283611088329</v>
      </c>
      <c r="V26" s="41">
        <f t="shared" ca="1" si="10"/>
        <v>0.64350020349878279</v>
      </c>
      <c r="W26" s="20">
        <f t="shared" ca="1" si="11"/>
        <v>26769.763777983113</v>
      </c>
      <c r="X26" s="41">
        <f t="shared" si="12"/>
        <v>0.68488551513021678</v>
      </c>
      <c r="Y26" s="41">
        <f t="shared" ca="1" si="13"/>
        <v>207.14566477121807</v>
      </c>
      <c r="Z26" s="14">
        <f t="shared" ca="1" si="14"/>
        <v>26769.763777983113</v>
      </c>
      <c r="AA26" s="14">
        <f t="shared" si="15"/>
        <v>4318.772914781468</v>
      </c>
      <c r="AB26" s="25">
        <f t="shared" ca="1" si="16"/>
        <v>1620625.28147078</v>
      </c>
      <c r="AC26" s="41">
        <f t="shared" si="17"/>
        <v>261455.89586347199</v>
      </c>
      <c r="AD26" s="5">
        <f t="shared" ca="1" si="18"/>
        <v>619.84652368177763</v>
      </c>
      <c r="AE26" s="7">
        <f t="shared" ca="1" si="19"/>
        <v>26769.763777983113</v>
      </c>
      <c r="AF26" s="41">
        <f t="shared" ref="AF26:AF89" ca="1" si="44">AA26-Z26</f>
        <v>-22450.990863201645</v>
      </c>
      <c r="AG26" s="41">
        <f t="shared" ca="1" si="20"/>
        <v>-78.900609170901689</v>
      </c>
      <c r="AH26" s="41">
        <f t="shared" ca="1" si="21"/>
        <v>18824.854269451458</v>
      </c>
      <c r="AI26" s="13">
        <f t="shared" ca="1" si="22"/>
        <v>0</v>
      </c>
      <c r="AJ26" s="10">
        <f t="shared" ca="1" si="23"/>
        <v>0</v>
      </c>
      <c r="AK26" s="11">
        <f t="shared" ca="1" si="24"/>
        <v>-0.27481369990206628</v>
      </c>
      <c r="AL26" s="7">
        <v>0</v>
      </c>
      <c r="AM26" s="41">
        <f t="shared" si="25"/>
        <v>10036.627439128284</v>
      </c>
      <c r="AN26" s="41">
        <f t="shared" ca="1" si="26"/>
        <v>52482.791360657706</v>
      </c>
      <c r="AO26" s="6">
        <v>100</v>
      </c>
      <c r="AP26" s="67">
        <f t="shared" si="27"/>
        <v>0.70321331280980615</v>
      </c>
      <c r="AQ26" s="11">
        <f t="shared" si="28"/>
        <v>0.98330272071837588</v>
      </c>
      <c r="AR26" s="11">
        <f t="shared" si="29"/>
        <v>0.68770269343653956</v>
      </c>
      <c r="AS26" s="11">
        <f t="shared" si="30"/>
        <v>0.69938044403469313</v>
      </c>
      <c r="AT26" s="11">
        <f t="shared" si="31"/>
        <v>510.00962215499999</v>
      </c>
      <c r="AU26" s="11">
        <f t="shared" si="32"/>
        <v>1455.3301939042735</v>
      </c>
      <c r="AV26" s="11">
        <f t="shared" si="33"/>
        <v>1.6623573774260621E-3</v>
      </c>
      <c r="AW26" s="11">
        <f t="shared" si="34"/>
        <v>3.6885478983619832E-7</v>
      </c>
      <c r="AX26" s="41">
        <f t="shared" ref="AX26:AX89" ca="1" si="45">(1/T26)*(((1 + 0.2*(T26)^2)/1.2)^3)</f>
        <v>42633.68570426348</v>
      </c>
      <c r="AY26" s="41">
        <f t="shared" ref="AY26:AY89" ca="1" si="46">($H$4/$H$3)*AX26</f>
        <v>22895.868248585946</v>
      </c>
      <c r="AZ26" s="41">
        <f t="shared" ref="AZ26:AZ89" si="47">-6.6*10^(-3) + 0.825*J26 - 0.243*(J26^2)</f>
        <v>3.778716544490366E-2</v>
      </c>
      <c r="BA26" s="41">
        <f t="shared" ca="1" si="37"/>
        <v>0.12977805564963701</v>
      </c>
      <c r="BB26" s="41">
        <f t="shared" ca="1" si="38"/>
        <v>3.1907745098362712</v>
      </c>
      <c r="BC26" s="41">
        <f t="shared" ref="BC26:BC89" ca="1" si="48">0.866*V26</f>
        <v>0.55727117622994593</v>
      </c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</row>
    <row r="27" spans="1:67">
      <c r="A27" s="41">
        <f t="shared" si="39"/>
        <v>8603.1855004111239</v>
      </c>
      <c r="B27" s="41">
        <f t="shared" si="40"/>
        <v>143.38642500685208</v>
      </c>
      <c r="C27" s="41">
        <f t="shared" si="40"/>
        <v>2.3897737501142013</v>
      </c>
      <c r="D27" s="23">
        <f t="shared" ref="D27:D90" ca="1" si="49">D26</f>
        <v>17226.348438746474</v>
      </c>
      <c r="E27" s="41">
        <f t="shared" si="41"/>
        <v>100</v>
      </c>
      <c r="F27" s="41">
        <f t="shared" si="42"/>
        <v>100</v>
      </c>
      <c r="G27" s="41"/>
      <c r="H27" s="6">
        <f t="shared" ref="H27:H90" si="50">H26</f>
        <v>10000</v>
      </c>
      <c r="I27" s="5">
        <v>15</v>
      </c>
      <c r="J27" s="41">
        <f t="shared" si="0"/>
        <v>6.3794611452315506E-2</v>
      </c>
      <c r="K27" s="41">
        <f t="shared" si="1"/>
        <v>70.626321465449564</v>
      </c>
      <c r="L27" s="6">
        <f t="shared" si="43"/>
        <v>35</v>
      </c>
      <c r="M27" s="41">
        <f t="shared" si="2"/>
        <v>41.844965447135422</v>
      </c>
      <c r="N27" s="41">
        <f t="shared" si="3"/>
        <v>4.1459835358991208</v>
      </c>
      <c r="O27" s="41">
        <f t="shared" si="4"/>
        <v>318299.20544258808</v>
      </c>
      <c r="P27" s="41">
        <f t="shared" si="5"/>
        <v>2043704.5627533426</v>
      </c>
      <c r="Q27" s="41">
        <f t="shared" si="6"/>
        <v>3.9237020370929505E-3</v>
      </c>
      <c r="R27" s="41">
        <f t="shared" si="7"/>
        <v>2.8954200936452464E-2</v>
      </c>
      <c r="S27" s="27">
        <v>0</v>
      </c>
      <c r="T27" s="41">
        <f t="shared" ca="1" si="8"/>
        <v>18.064993861279785</v>
      </c>
      <c r="U27" s="41">
        <f t="shared" ca="1" si="9"/>
        <v>20.639772160842284</v>
      </c>
      <c r="V27" s="41">
        <f t="shared" ca="1" si="10"/>
        <v>0.87525161229989923</v>
      </c>
      <c r="W27" s="20">
        <f t="shared" ca="1" si="11"/>
        <v>19681.59577961906</v>
      </c>
      <c r="X27" s="41">
        <f t="shared" si="12"/>
        <v>0.67708937147226711</v>
      </c>
      <c r="Y27" s="41">
        <f t="shared" ca="1" si="13"/>
        <v>207.14566477121807</v>
      </c>
      <c r="Z27" s="14">
        <f t="shared" ca="1" si="14"/>
        <v>19681.59577961906</v>
      </c>
      <c r="AA27" s="14">
        <f t="shared" si="15"/>
        <v>4318.772914781468</v>
      </c>
      <c r="AB27" s="25">
        <f t="shared" ca="1" si="16"/>
        <v>1390038.7104844111</v>
      </c>
      <c r="AC27" s="41">
        <f t="shared" si="17"/>
        <v>305019.0442156326</v>
      </c>
      <c r="AD27" s="5">
        <f t="shared" ca="1" si="18"/>
        <v>455.72194157874486</v>
      </c>
      <c r="AE27" s="7">
        <f t="shared" ca="1" si="19"/>
        <v>19681.59577961906</v>
      </c>
      <c r="AF27" s="41">
        <f t="shared" ca="1" si="44"/>
        <v>-15362.822864837592</v>
      </c>
      <c r="AG27" s="41">
        <f t="shared" ca="1" si="20"/>
        <v>-62.986051288054242</v>
      </c>
      <c r="AH27" s="41">
        <f t="shared" ca="1" si="21"/>
        <v>13882.516846075216</v>
      </c>
      <c r="AI27" s="13">
        <f t="shared" ca="1" si="22"/>
        <v>0</v>
      </c>
      <c r="AJ27" s="10">
        <f t="shared" ca="1" si="23"/>
        <v>0</v>
      </c>
      <c r="AK27" s="11">
        <f t="shared" ca="1" si="24"/>
        <v>-0.21938271426014744</v>
      </c>
      <c r="AL27" s="7">
        <v>0</v>
      </c>
      <c r="AM27" s="41">
        <f t="shared" si="25"/>
        <v>8603.1855004111239</v>
      </c>
      <c r="AN27" s="41">
        <f t="shared" ca="1" si="26"/>
        <v>33176.074344268738</v>
      </c>
      <c r="AO27" s="6">
        <v>100</v>
      </c>
      <c r="AP27" s="67">
        <f t="shared" si="27"/>
        <v>0.70535524667420613</v>
      </c>
      <c r="AQ27" s="11">
        <f t="shared" si="28"/>
        <v>0.98330272071837588</v>
      </c>
      <c r="AR27" s="11">
        <f t="shared" si="29"/>
        <v>0.68770269343653956</v>
      </c>
      <c r="AS27" s="11">
        <f t="shared" si="30"/>
        <v>0.69938044403469313</v>
      </c>
      <c r="AT27" s="11">
        <f t="shared" si="31"/>
        <v>510.00962215499999</v>
      </c>
      <c r="AU27" s="11">
        <f t="shared" si="32"/>
        <v>1455.3301939042735</v>
      </c>
      <c r="AV27" s="11">
        <f t="shared" si="33"/>
        <v>1.6623573774260621E-3</v>
      </c>
      <c r="AW27" s="11">
        <f t="shared" si="34"/>
        <v>3.6885478983619832E-7</v>
      </c>
      <c r="AX27" s="41">
        <f t="shared" ca="1" si="45"/>
        <v>9322.787290408316</v>
      </c>
      <c r="AY27" s="41">
        <f t="shared" ca="1" si="46"/>
        <v>5006.6820633674297</v>
      </c>
      <c r="AZ27" s="41">
        <f t="shared" si="47"/>
        <v>4.5041604602724772E-2</v>
      </c>
      <c r="BA27" s="41">
        <f t="shared" ca="1" si="37"/>
        <v>0.20592734029215015</v>
      </c>
      <c r="BB27" s="41">
        <f t="shared" ca="1" si="38"/>
        <v>3.7200761382473684</v>
      </c>
      <c r="BC27" s="41">
        <f t="shared" ca="1" si="48"/>
        <v>0.75796789625171268</v>
      </c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</row>
    <row r="28" spans="1:67">
      <c r="A28" s="41">
        <f t="shared" si="39"/>
        <v>7528.1525431844366</v>
      </c>
      <c r="B28" s="41">
        <f t="shared" si="40"/>
        <v>125.46920905307394</v>
      </c>
      <c r="C28" s="41">
        <f t="shared" si="40"/>
        <v>2.0911534842178989</v>
      </c>
      <c r="D28" s="23">
        <f t="shared" ca="1" si="49"/>
        <v>17226.348438746474</v>
      </c>
      <c r="E28" s="41">
        <f t="shared" si="41"/>
        <v>100</v>
      </c>
      <c r="F28" s="41">
        <f t="shared" si="42"/>
        <v>100</v>
      </c>
      <c r="G28" s="41"/>
      <c r="H28" s="6">
        <f t="shared" si="50"/>
        <v>10000</v>
      </c>
      <c r="I28" s="5">
        <v>15</v>
      </c>
      <c r="J28" s="41">
        <f t="shared" si="0"/>
        <v>7.2904590216866433E-2</v>
      </c>
      <c r="K28" s="41">
        <f t="shared" si="1"/>
        <v>80.711880012185418</v>
      </c>
      <c r="L28" s="6">
        <f t="shared" si="43"/>
        <v>40</v>
      </c>
      <c r="M28" s="41">
        <f t="shared" si="2"/>
        <v>47.820497517139664</v>
      </c>
      <c r="N28" s="41">
        <f t="shared" si="3"/>
        <v>5.4146367460150318</v>
      </c>
      <c r="O28" s="41">
        <f t="shared" si="4"/>
        <v>363752.87208217324</v>
      </c>
      <c r="P28" s="41">
        <f t="shared" si="5"/>
        <v>2335549.042151344</v>
      </c>
      <c r="Q28" s="41">
        <f t="shared" si="6"/>
        <v>3.8317670415980048E-3</v>
      </c>
      <c r="R28" s="41">
        <f t="shared" si="7"/>
        <v>2.8392937788955817E-2</v>
      </c>
      <c r="S28" s="27">
        <v>0</v>
      </c>
      <c r="T28" s="41">
        <f t="shared" ca="1" si="8"/>
        <v>13.832353053066054</v>
      </c>
      <c r="U28" s="41">
        <f t="shared" ca="1" si="9"/>
        <v>12.112420892832487</v>
      </c>
      <c r="V28" s="41">
        <f t="shared" ca="1" si="10"/>
        <v>1.1419973905671768</v>
      </c>
      <c r="W28" s="20">
        <f t="shared" ca="1" si="11"/>
        <v>15084.402627392126</v>
      </c>
      <c r="X28" s="41">
        <f t="shared" si="12"/>
        <v>0.67049473200685383</v>
      </c>
      <c r="Y28" s="41">
        <f t="shared" ca="1" si="13"/>
        <v>207.14566477121807</v>
      </c>
      <c r="Z28" s="14">
        <f t="shared" ca="1" si="14"/>
        <v>15084.402627392126</v>
      </c>
      <c r="AA28" s="14">
        <f t="shared" si="15"/>
        <v>4318.772914781468</v>
      </c>
      <c r="AB28" s="25">
        <f t="shared" ca="1" si="16"/>
        <v>1217490.4949175678</v>
      </c>
      <c r="AC28" s="41">
        <f t="shared" si="17"/>
        <v>348576.28129771812</v>
      </c>
      <c r="AD28" s="5">
        <f t="shared" ca="1" si="18"/>
        <v>349.27519749334641</v>
      </c>
      <c r="AE28" s="7">
        <f t="shared" ca="1" si="19"/>
        <v>15084.402627392124</v>
      </c>
      <c r="AF28" s="41">
        <f t="shared" ca="1" si="44"/>
        <v>-10765.629712610658</v>
      </c>
      <c r="AG28" s="41">
        <f t="shared" ca="1" si="20"/>
        <v>-50.440998375804291</v>
      </c>
      <c r="AH28" s="41">
        <f t="shared" ca="1" si="21"/>
        <v>10671.936188860533</v>
      </c>
      <c r="AI28" s="13">
        <f t="shared" ca="1" si="22"/>
        <v>-8.522645121481894E-15</v>
      </c>
      <c r="AJ28" s="10">
        <f t="shared" ca="1" si="23"/>
        <v>-6.0500585003713316E-15</v>
      </c>
      <c r="AK28" s="11">
        <f t="shared" ca="1" si="24"/>
        <v>-0.17568783734462104</v>
      </c>
      <c r="AL28" s="7">
        <v>0</v>
      </c>
      <c r="AM28" s="41">
        <f t="shared" si="25"/>
        <v>7528.1525431844366</v>
      </c>
      <c r="AN28" s="41">
        <f t="shared" ca="1" si="26"/>
        <v>22316.65654468679</v>
      </c>
      <c r="AO28" s="6">
        <v>100</v>
      </c>
      <c r="AP28" s="67">
        <f t="shared" si="27"/>
        <v>0.70748152594926839</v>
      </c>
      <c r="AQ28" s="11">
        <f t="shared" si="28"/>
        <v>0.98330272071837588</v>
      </c>
      <c r="AR28" s="11">
        <f t="shared" si="29"/>
        <v>0.68770269343653956</v>
      </c>
      <c r="AS28" s="11">
        <f t="shared" si="30"/>
        <v>0.69938044403469313</v>
      </c>
      <c r="AT28" s="11">
        <f t="shared" si="31"/>
        <v>510.00962215499999</v>
      </c>
      <c r="AU28" s="11">
        <f t="shared" si="32"/>
        <v>1455.3301939042735</v>
      </c>
      <c r="AV28" s="11">
        <f t="shared" si="33"/>
        <v>1.6623573774260621E-3</v>
      </c>
      <c r="AW28" s="11">
        <f t="shared" si="34"/>
        <v>3.6885478983619832E-7</v>
      </c>
      <c r="AX28" s="41">
        <f t="shared" ca="1" si="45"/>
        <v>2533.0086219049876</v>
      </c>
      <c r="AY28" s="41">
        <f t="shared" ca="1" si="46"/>
        <v>1360.3194450971232</v>
      </c>
      <c r="AZ28" s="41">
        <f t="shared" si="47"/>
        <v>5.2254722665165322E-2</v>
      </c>
      <c r="BA28" s="41">
        <f t="shared" ca="1" si="37"/>
        <v>0.30705564002559615</v>
      </c>
      <c r="BB28" s="41">
        <f t="shared" ca="1" si="38"/>
        <v>4.2473020197692062</v>
      </c>
      <c r="BC28" s="41">
        <f t="shared" ca="1" si="48"/>
        <v>0.98896974023117501</v>
      </c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</row>
    <row r="29" spans="1:67">
      <c r="A29" s="41">
        <f t="shared" si="39"/>
        <v>6692.0588190856515</v>
      </c>
      <c r="B29" s="41">
        <f t="shared" si="40"/>
        <v>111.53431365142752</v>
      </c>
      <c r="C29" s="41">
        <f t="shared" si="40"/>
        <v>1.8589052275237921</v>
      </c>
      <c r="D29" s="23">
        <f t="shared" ca="1" si="49"/>
        <v>17226.348438746474</v>
      </c>
      <c r="E29" s="41">
        <f t="shared" si="41"/>
        <v>100</v>
      </c>
      <c r="F29" s="41">
        <f t="shared" si="42"/>
        <v>100</v>
      </c>
      <c r="G29" s="41"/>
      <c r="H29" s="6">
        <f t="shared" si="50"/>
        <v>10000</v>
      </c>
      <c r="I29" s="5">
        <v>15</v>
      </c>
      <c r="J29" s="41">
        <f t="shared" si="0"/>
        <v>8.2013157846976437E-2</v>
      </c>
      <c r="K29" s="41">
        <f t="shared" si="1"/>
        <v>90.795876307308035</v>
      </c>
      <c r="L29" s="6">
        <f t="shared" si="43"/>
        <v>45</v>
      </c>
      <c r="M29" s="41">
        <f t="shared" si="2"/>
        <v>53.795103978059096</v>
      </c>
      <c r="N29" s="41">
        <f t="shared" si="3"/>
        <v>6.8521466396171054</v>
      </c>
      <c r="O29" s="41">
        <f t="shared" si="4"/>
        <v>409199.49795513105</v>
      </c>
      <c r="P29" s="41">
        <f t="shared" si="5"/>
        <v>2627348.3148801625</v>
      </c>
      <c r="Q29" s="41">
        <f t="shared" si="6"/>
        <v>3.7530290460801095E-3</v>
      </c>
      <c r="R29" s="41">
        <f t="shared" si="7"/>
        <v>2.7912242326319069E-2</v>
      </c>
      <c r="S29" s="27">
        <v>0</v>
      </c>
      <c r="T29" s="41">
        <f t="shared" ca="1" si="8"/>
        <v>10.930467642351841</v>
      </c>
      <c r="U29" s="41">
        <f t="shared" ca="1" si="9"/>
        <v>7.5735695371450804</v>
      </c>
      <c r="V29" s="41">
        <f t="shared" ca="1" si="10"/>
        <v>1.4432385665362453</v>
      </c>
      <c r="W29" s="20">
        <f t="shared" ca="1" si="11"/>
        <v>11935.898082386682</v>
      </c>
      <c r="X29" s="41">
        <f t="shared" si="12"/>
        <v>0.66479472997716638</v>
      </c>
      <c r="Y29" s="41">
        <f t="shared" ca="1" si="13"/>
        <v>207.14566477121807</v>
      </c>
      <c r="Z29" s="14">
        <f t="shared" ca="1" si="14"/>
        <v>11935.898082386682</v>
      </c>
      <c r="AA29" s="14">
        <f t="shared" si="15"/>
        <v>4318.772914781468</v>
      </c>
      <c r="AB29" s="25">
        <f t="shared" ca="1" si="16"/>
        <v>1083730.3259050164</v>
      </c>
      <c r="AC29" s="41">
        <f t="shared" si="17"/>
        <v>392126.77136985038</v>
      </c>
      <c r="AD29" s="5">
        <f t="shared" ca="1" si="18"/>
        <v>276.37243999411913</v>
      </c>
      <c r="AE29" s="7">
        <f t="shared" ca="1" si="19"/>
        <v>11935.898082386682</v>
      </c>
      <c r="AF29" s="41">
        <f t="shared" ca="1" si="44"/>
        <v>-7617.1251676052143</v>
      </c>
      <c r="AG29" s="41">
        <f t="shared" ca="1" si="20"/>
        <v>-40.148006816091815</v>
      </c>
      <c r="AH29" s="41">
        <f t="shared" ca="1" si="21"/>
        <v>8469.6198725077829</v>
      </c>
      <c r="AI29" s="13">
        <f t="shared" ca="1" si="22"/>
        <v>0</v>
      </c>
      <c r="AJ29" s="10">
        <f t="shared" ca="1" si="23"/>
        <v>0</v>
      </c>
      <c r="AK29" s="11">
        <f t="shared" ca="1" si="24"/>
        <v>-0.13983697227134448</v>
      </c>
      <c r="AL29" s="7">
        <v>0</v>
      </c>
      <c r="AM29" s="41">
        <f t="shared" si="25"/>
        <v>6692.0588190856515</v>
      </c>
      <c r="AN29" s="41">
        <f t="shared" ca="1" si="26"/>
        <v>15744.220656144111</v>
      </c>
      <c r="AO29" s="6">
        <v>100</v>
      </c>
      <c r="AP29" s="67">
        <f t="shared" si="27"/>
        <v>0.70959217430031973</v>
      </c>
      <c r="AQ29" s="11">
        <f t="shared" si="28"/>
        <v>0.98330272071837588</v>
      </c>
      <c r="AR29" s="11">
        <f t="shared" si="29"/>
        <v>0.68770269343653956</v>
      </c>
      <c r="AS29" s="11">
        <f t="shared" si="30"/>
        <v>0.69938044403469313</v>
      </c>
      <c r="AT29" s="11">
        <f t="shared" si="31"/>
        <v>510.00962215499999</v>
      </c>
      <c r="AU29" s="11">
        <f t="shared" si="32"/>
        <v>1455.3301939042735</v>
      </c>
      <c r="AV29" s="11">
        <f t="shared" si="33"/>
        <v>1.6623573774260621E-3</v>
      </c>
      <c r="AW29" s="11">
        <f t="shared" si="34"/>
        <v>3.6885478983619832E-7</v>
      </c>
      <c r="AX29" s="41">
        <f t="shared" ca="1" si="45"/>
        <v>816.87423263407379</v>
      </c>
      <c r="AY29" s="41">
        <f t="shared" ca="1" si="46"/>
        <v>438.69171752570634</v>
      </c>
      <c r="AZ29" s="41">
        <f t="shared" si="47"/>
        <v>5.9426398815167522E-2</v>
      </c>
      <c r="BA29" s="41">
        <f t="shared" ca="1" si="37"/>
        <v>0.43653468277045765</v>
      </c>
      <c r="BB29" s="41">
        <f t="shared" ca="1" si="38"/>
        <v>4.771528224786814</v>
      </c>
      <c r="BC29" s="41">
        <f t="shared" ca="1" si="48"/>
        <v>1.2498445986203883</v>
      </c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</row>
    <row r="30" spans="1:67">
      <c r="A30" s="41">
        <f t="shared" si="39"/>
        <v>6023.2224687275047</v>
      </c>
      <c r="B30" s="41">
        <f t="shared" si="40"/>
        <v>100.38704114545841</v>
      </c>
      <c r="C30" s="41">
        <f t="shared" si="40"/>
        <v>1.6731173524243068</v>
      </c>
      <c r="D30" s="23">
        <f t="shared" ca="1" si="49"/>
        <v>17226.348438746474</v>
      </c>
      <c r="E30" s="41">
        <f t="shared" si="41"/>
        <v>100</v>
      </c>
      <c r="F30" s="41">
        <f t="shared" si="42"/>
        <v>100</v>
      </c>
      <c r="G30" s="41"/>
      <c r="H30" s="6">
        <f t="shared" si="50"/>
        <v>10000</v>
      </c>
      <c r="I30" s="5">
        <v>15</v>
      </c>
      <c r="J30" s="41">
        <f t="shared" si="0"/>
        <v>9.1120140273827935E-2</v>
      </c>
      <c r="K30" s="41">
        <f t="shared" si="1"/>
        <v>100.87811764112006</v>
      </c>
      <c r="L30" s="6">
        <f t="shared" si="43"/>
        <v>50</v>
      </c>
      <c r="M30" s="41">
        <f t="shared" si="2"/>
        <v>59.768670652481376</v>
      </c>
      <c r="N30" s="41">
        <f t="shared" si="3"/>
        <v>8.4584023350935436</v>
      </c>
      <c r="O30" s="41">
        <f t="shared" si="4"/>
        <v>454638.21455603337</v>
      </c>
      <c r="P30" s="41">
        <f t="shared" si="5"/>
        <v>2919096.8045246643</v>
      </c>
      <c r="Q30" s="41">
        <f t="shared" si="6"/>
        <v>3.6843782822099064E-3</v>
      </c>
      <c r="R30" s="41">
        <f t="shared" si="7"/>
        <v>2.749312941289148E-2</v>
      </c>
      <c r="S30" s="27">
        <v>0</v>
      </c>
      <c r="T30" s="41">
        <f t="shared" ca="1" si="8"/>
        <v>8.8547652568191957</v>
      </c>
      <c r="U30" s="41">
        <f t="shared" ca="1" si="9"/>
        <v>4.9794139926278653</v>
      </c>
      <c r="V30" s="41">
        <f t="shared" ca="1" si="10"/>
        <v>1.7782745660290298</v>
      </c>
      <c r="W30" s="20">
        <f t="shared" ca="1" si="11"/>
        <v>9687.1139968074312</v>
      </c>
      <c r="X30" s="41">
        <f t="shared" si="12"/>
        <v>0.65978477966241078</v>
      </c>
      <c r="Y30" s="41">
        <f t="shared" ca="1" si="13"/>
        <v>207.14566477121807</v>
      </c>
      <c r="Z30" s="14">
        <f t="shared" ca="1" si="14"/>
        <v>9687.1139968074312</v>
      </c>
      <c r="AA30" s="14">
        <f t="shared" si="15"/>
        <v>4318.772914781468</v>
      </c>
      <c r="AB30" s="25">
        <f t="shared" ca="1" si="16"/>
        <v>977217.82537288079</v>
      </c>
      <c r="AC30" s="41">
        <f t="shared" si="17"/>
        <v>435669.6821626079</v>
      </c>
      <c r="AD30" s="5">
        <f t="shared" ca="1" si="18"/>
        <v>224.30246248077168</v>
      </c>
      <c r="AE30" s="7">
        <f t="shared" ca="1" si="19"/>
        <v>9687.1139968074312</v>
      </c>
      <c r="AF30" s="41">
        <f t="shared" ca="1" si="44"/>
        <v>-5368.3410820259633</v>
      </c>
      <c r="AG30" s="41">
        <f t="shared" ca="1" si="20"/>
        <v>-31.437198959251994</v>
      </c>
      <c r="AH30" s="41">
        <f t="shared" ca="1" si="21"/>
        <v>6894.1951949110835</v>
      </c>
      <c r="AI30" s="13">
        <f t="shared" ca="1" si="22"/>
        <v>0</v>
      </c>
      <c r="AJ30" s="10">
        <f t="shared" ca="1" si="23"/>
        <v>0</v>
      </c>
      <c r="AK30" s="11">
        <f t="shared" ca="1" si="24"/>
        <v>-0.10949691075053959</v>
      </c>
      <c r="AL30" s="7">
        <v>0</v>
      </c>
      <c r="AM30" s="41">
        <f t="shared" si="25"/>
        <v>6023.2224687275047</v>
      </c>
      <c r="AN30" s="41">
        <f t="shared" ca="1" si="26"/>
        <v>11534.797611606009</v>
      </c>
      <c r="AO30" s="6">
        <v>100</v>
      </c>
      <c r="AP30" s="67">
        <f t="shared" si="27"/>
        <v>0.71168721635599563</v>
      </c>
      <c r="AQ30" s="11">
        <f t="shared" si="28"/>
        <v>0.98330272071837588</v>
      </c>
      <c r="AR30" s="11">
        <f t="shared" si="29"/>
        <v>0.68770269343653956</v>
      </c>
      <c r="AS30" s="11">
        <f t="shared" si="30"/>
        <v>0.69938044403469313</v>
      </c>
      <c r="AT30" s="11">
        <f t="shared" si="31"/>
        <v>510.00962215499999</v>
      </c>
      <c r="AU30" s="11">
        <f t="shared" si="32"/>
        <v>1455.3301939042735</v>
      </c>
      <c r="AV30" s="11">
        <f t="shared" si="33"/>
        <v>1.6623573774260621E-3</v>
      </c>
      <c r="AW30" s="11">
        <f t="shared" si="34"/>
        <v>3.6885478983619832E-7</v>
      </c>
      <c r="AX30" s="41">
        <f t="shared" ca="1" si="45"/>
        <v>303.37139789011076</v>
      </c>
      <c r="AY30" s="41">
        <f t="shared" ca="1" si="46"/>
        <v>162.92167664468911</v>
      </c>
      <c r="AZ30" s="41">
        <f t="shared" si="47"/>
        <v>6.6556515894772184E-2</v>
      </c>
      <c r="BA30" s="41">
        <f t="shared" ca="1" si="37"/>
        <v>0.59759958993758255</v>
      </c>
      <c r="BB30" s="41">
        <f t="shared" ca="1" si="38"/>
        <v>5.2916040864687064</v>
      </c>
      <c r="BC30" s="41">
        <f t="shared" ca="1" si="48"/>
        <v>1.5399857741811398</v>
      </c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</row>
    <row r="31" spans="1:67">
      <c r="A31" s="41">
        <f t="shared" si="39"/>
        <v>5476.0277540427687</v>
      </c>
      <c r="B31" s="41">
        <f t="shared" si="40"/>
        <v>91.267129234046152</v>
      </c>
      <c r="C31" s="41">
        <f t="shared" si="40"/>
        <v>1.521118820567436</v>
      </c>
      <c r="D31" s="23">
        <f t="shared" ca="1" si="49"/>
        <v>17226.348438746474</v>
      </c>
      <c r="E31" s="41">
        <f t="shared" si="41"/>
        <v>100</v>
      </c>
      <c r="F31" s="41">
        <f t="shared" si="42"/>
        <v>100</v>
      </c>
      <c r="G31" s="41"/>
      <c r="H31" s="6">
        <f t="shared" si="50"/>
        <v>10000</v>
      </c>
      <c r="I31" s="5">
        <v>15</v>
      </c>
      <c r="J31" s="41">
        <f t="shared" si="0"/>
        <v>0.10022536424249025</v>
      </c>
      <c r="K31" s="41">
        <f t="shared" si="1"/>
        <v>110.95841220496948</v>
      </c>
      <c r="L31" s="6">
        <f t="shared" si="43"/>
        <v>55</v>
      </c>
      <c r="M31" s="41">
        <f t="shared" si="2"/>
        <v>65.741083896849133</v>
      </c>
      <c r="N31" s="41">
        <f t="shared" si="3"/>
        <v>10.233280211849282</v>
      </c>
      <c r="O31" s="41">
        <f t="shared" si="4"/>
        <v>500068.1574402898</v>
      </c>
      <c r="P31" s="41">
        <f t="shared" si="5"/>
        <v>3210788.9607431479</v>
      </c>
      <c r="Q31" s="41">
        <f t="shared" si="6"/>
        <v>3.6236624162767003E-3</v>
      </c>
      <c r="R31" s="41">
        <f t="shared" si="7"/>
        <v>2.7122459051369258E-2</v>
      </c>
      <c r="S31" s="27">
        <v>0</v>
      </c>
      <c r="T31" s="41">
        <f t="shared" ca="1" si="8"/>
        <v>7.3189794058663633</v>
      </c>
      <c r="U31" s="41">
        <f t="shared" ca="1" si="9"/>
        <v>3.4102676873142674</v>
      </c>
      <c r="V31" s="41">
        <f t="shared" ca="1" si="10"/>
        <v>2.1461597965145001</v>
      </c>
      <c r="W31" s="20">
        <f t="shared" ca="1" si="11"/>
        <v>8026.5917135914851</v>
      </c>
      <c r="X31" s="41">
        <f t="shared" si="12"/>
        <v>0.65532198134923036</v>
      </c>
      <c r="Y31" s="41">
        <f t="shared" ca="1" si="13"/>
        <v>207.14566477121807</v>
      </c>
      <c r="Z31" s="14">
        <f t="shared" ca="1" si="14"/>
        <v>8026.5917135914851</v>
      </c>
      <c r="AA31" s="14">
        <f t="shared" si="15"/>
        <v>4318.772914781468</v>
      </c>
      <c r="AB31" s="25">
        <f t="shared" ca="1" si="16"/>
        <v>890617.87195767637</v>
      </c>
      <c r="AC31" s="41">
        <f t="shared" si="17"/>
        <v>479204.18529797962</v>
      </c>
      <c r="AD31" s="5">
        <f t="shared" ca="1" si="18"/>
        <v>185.85352534095057</v>
      </c>
      <c r="AE31" s="7">
        <f t="shared" ca="1" si="19"/>
        <v>8026.5917135914851</v>
      </c>
      <c r="AF31" s="41">
        <f t="shared" ca="1" si="44"/>
        <v>-3707.8187988100171</v>
      </c>
      <c r="AG31" s="41">
        <f t="shared" ca="1" si="20"/>
        <v>-23.882814638436194</v>
      </c>
      <c r="AH31" s="41">
        <f t="shared" ca="1" si="21"/>
        <v>5729.1137007551497</v>
      </c>
      <c r="AI31" s="13">
        <f t="shared" ca="1" si="22"/>
        <v>0</v>
      </c>
      <c r="AJ31" s="10">
        <f t="shared" ca="1" si="23"/>
        <v>0</v>
      </c>
      <c r="AK31" s="11">
        <f t="shared" ca="1" si="24"/>
        <v>-8.3184714590066988E-2</v>
      </c>
      <c r="AL31" s="7">
        <v>0</v>
      </c>
      <c r="AM31" s="41">
        <f t="shared" si="25"/>
        <v>5476.0277540427687</v>
      </c>
      <c r="AN31" s="41">
        <f t="shared" ca="1" si="26"/>
        <v>8714.6626753894107</v>
      </c>
      <c r="AO31" s="6">
        <v>100</v>
      </c>
      <c r="AP31" s="67">
        <f t="shared" si="27"/>
        <v>0.7137666777112881</v>
      </c>
      <c r="AQ31" s="11">
        <f t="shared" si="28"/>
        <v>0.98330272071837588</v>
      </c>
      <c r="AR31" s="11">
        <f t="shared" si="29"/>
        <v>0.68770269343653956</v>
      </c>
      <c r="AS31" s="11">
        <f t="shared" si="30"/>
        <v>0.69938044403469313</v>
      </c>
      <c r="AT31" s="11">
        <f t="shared" si="31"/>
        <v>510.00962215499999</v>
      </c>
      <c r="AU31" s="11">
        <f t="shared" si="32"/>
        <v>1455.3301939042735</v>
      </c>
      <c r="AV31" s="11">
        <f t="shared" si="33"/>
        <v>1.6623573774260621E-3</v>
      </c>
      <c r="AW31" s="11">
        <f t="shared" si="34"/>
        <v>3.6885478983619832E-7</v>
      </c>
      <c r="AX31" s="41">
        <f t="shared" ca="1" si="45"/>
        <v>127.0763939599922</v>
      </c>
      <c r="AY31" s="41">
        <f t="shared" ca="1" si="46"/>
        <v>68.244730089625449</v>
      </c>
      <c r="AZ31" s="41">
        <f t="shared" si="47"/>
        <v>7.364496045613228E-2</v>
      </c>
      <c r="BA31" s="41">
        <f t="shared" ca="1" si="37"/>
        <v>0.79329879116510582</v>
      </c>
      <c r="BB31" s="41">
        <f t="shared" ca="1" si="38"/>
        <v>5.8061375152360908</v>
      </c>
      <c r="BC31" s="41">
        <f t="shared" ca="1" si="48"/>
        <v>1.8585743837815569</v>
      </c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</row>
    <row r="32" spans="1:67">
      <c r="A32" s="41">
        <f t="shared" si="39"/>
        <v>5020.0641744605255</v>
      </c>
      <c r="B32" s="41">
        <f t="shared" si="40"/>
        <v>83.667736241008754</v>
      </c>
      <c r="C32" s="41">
        <f t="shared" si="40"/>
        <v>1.3944622706834793</v>
      </c>
      <c r="D32" s="23">
        <f t="shared" ca="1" si="49"/>
        <v>17226.348438746474</v>
      </c>
      <c r="E32" s="41">
        <f t="shared" si="41"/>
        <v>100</v>
      </c>
      <c r="F32" s="41">
        <f t="shared" si="42"/>
        <v>100</v>
      </c>
      <c r="G32" s="41"/>
      <c r="H32" s="6">
        <f t="shared" si="50"/>
        <v>10000</v>
      </c>
      <c r="I32" s="5">
        <v>15</v>
      </c>
      <c r="J32" s="41">
        <f t="shared" si="0"/>
        <v>0.10932865739906647</v>
      </c>
      <c r="K32" s="41">
        <f t="shared" si="1"/>
        <v>121.03656918772893</v>
      </c>
      <c r="L32" s="6">
        <f t="shared" si="43"/>
        <v>60</v>
      </c>
      <c r="M32" s="41">
        <f t="shared" si="2"/>
        <v>71.712230658622389</v>
      </c>
      <c r="N32" s="41">
        <f t="shared" si="3"/>
        <v>12.176644011127241</v>
      </c>
      <c r="O32" s="41">
        <f t="shared" si="4"/>
        <v>545488.46665896114</v>
      </c>
      <c r="P32" s="41">
        <f t="shared" si="5"/>
        <v>3502419.2620591512</v>
      </c>
      <c r="Q32" s="41">
        <f t="shared" si="6"/>
        <v>3.5693342105827578E-3</v>
      </c>
      <c r="R32" s="41">
        <f t="shared" si="7"/>
        <v>2.6790785355607735E-2</v>
      </c>
      <c r="S32" s="27">
        <v>0</v>
      </c>
      <c r="T32" s="41">
        <f t="shared" ca="1" si="8"/>
        <v>6.150887474130168</v>
      </c>
      <c r="U32" s="41">
        <f t="shared" ca="1" si="9"/>
        <v>2.416225422240482</v>
      </c>
      <c r="V32" s="41">
        <f t="shared" ca="1" si="10"/>
        <v>2.5456596133429734</v>
      </c>
      <c r="W32" s="20">
        <f t="shared" ca="1" si="11"/>
        <v>6766.9488679693286</v>
      </c>
      <c r="X32" s="41">
        <f t="shared" si="12"/>
        <v>0.65130277265160974</v>
      </c>
      <c r="Y32" s="41">
        <f t="shared" ca="1" si="13"/>
        <v>207.14566477121807</v>
      </c>
      <c r="Z32" s="14">
        <f t="shared" ca="1" si="14"/>
        <v>6766.9488679693286</v>
      </c>
      <c r="AA32" s="14">
        <f t="shared" si="15"/>
        <v>4318.772914781468</v>
      </c>
      <c r="AB32" s="25">
        <f t="shared" ca="1" si="16"/>
        <v>819048.27484779363</v>
      </c>
      <c r="AC32" s="41">
        <f t="shared" si="17"/>
        <v>522729.45670603687</v>
      </c>
      <c r="AD32" s="5">
        <f t="shared" ca="1" si="18"/>
        <v>156.68684141295583</v>
      </c>
      <c r="AE32" s="7">
        <f t="shared" ca="1" si="19"/>
        <v>6766.9488679693286</v>
      </c>
      <c r="AF32" s="41">
        <f t="shared" ca="1" si="44"/>
        <v>-2448.1759531878606</v>
      </c>
      <c r="AG32" s="41">
        <f t="shared" ca="1" si="20"/>
        <v>-17.201487546557445</v>
      </c>
      <c r="AH32" s="41">
        <f t="shared" ca="1" si="21"/>
        <v>4843.9889663476324</v>
      </c>
      <c r="AI32" s="13">
        <f t="shared" ca="1" si="22"/>
        <v>0</v>
      </c>
      <c r="AJ32" s="10">
        <f t="shared" ca="1" si="23"/>
        <v>0</v>
      </c>
      <c r="AK32" s="11">
        <f t="shared" ca="1" si="24"/>
        <v>-5.9913408605622616E-2</v>
      </c>
      <c r="AL32" s="7">
        <v>0</v>
      </c>
      <c r="AM32" s="41">
        <f t="shared" si="25"/>
        <v>5020.0641744605255</v>
      </c>
      <c r="AN32" s="41">
        <f t="shared" ca="1" si="26"/>
        <v>6754.759853178839</v>
      </c>
      <c r="AO32" s="6">
        <v>100</v>
      </c>
      <c r="AP32" s="67">
        <f t="shared" si="27"/>
        <v>0.715830584929667</v>
      </c>
      <c r="AQ32" s="11">
        <f t="shared" si="28"/>
        <v>0.98330272071837588</v>
      </c>
      <c r="AR32" s="11">
        <f t="shared" si="29"/>
        <v>0.68770269343653956</v>
      </c>
      <c r="AS32" s="11">
        <f t="shared" si="30"/>
        <v>0.69938044403469313</v>
      </c>
      <c r="AT32" s="11">
        <f t="shared" si="31"/>
        <v>510.00962215499999</v>
      </c>
      <c r="AU32" s="11">
        <f t="shared" si="32"/>
        <v>1455.3301939042735</v>
      </c>
      <c r="AV32" s="11">
        <f t="shared" si="33"/>
        <v>1.6623573774260621E-3</v>
      </c>
      <c r="AW32" s="11">
        <f t="shared" si="34"/>
        <v>3.6885478983619832E-7</v>
      </c>
      <c r="AX32" s="41">
        <f t="shared" ca="1" si="45"/>
        <v>59.150255115280657</v>
      </c>
      <c r="AY32" s="41">
        <f t="shared" ca="1" si="46"/>
        <v>31.765877747095171</v>
      </c>
      <c r="AZ32" s="41">
        <f t="shared" si="47"/>
        <v>8.069162280936E-2</v>
      </c>
      <c r="BA32" s="41">
        <f t="shared" ca="1" si="37"/>
        <v>1.0264349742780148</v>
      </c>
      <c r="BB32" s="41">
        <f t="shared" ca="1" si="38"/>
        <v>6.3134860262957622</v>
      </c>
      <c r="BC32" s="41">
        <f t="shared" ca="1" si="48"/>
        <v>2.2045412251550149</v>
      </c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</row>
    <row r="33" spans="1:67">
      <c r="A33" s="41">
        <f t="shared" si="39"/>
        <v>4634.2782987003156</v>
      </c>
      <c r="B33" s="41">
        <f t="shared" si="40"/>
        <v>77.23797164500526</v>
      </c>
      <c r="C33" s="41">
        <f t="shared" si="40"/>
        <v>1.2872995274167542</v>
      </c>
      <c r="D33" s="23">
        <f t="shared" ca="1" si="49"/>
        <v>17226.348438746474</v>
      </c>
      <c r="E33" s="41">
        <f t="shared" si="41"/>
        <v>100</v>
      </c>
      <c r="F33" s="41">
        <f t="shared" si="42"/>
        <v>100</v>
      </c>
      <c r="G33" s="41"/>
      <c r="H33" s="6">
        <f t="shared" si="50"/>
        <v>10000</v>
      </c>
      <c r="I33" s="5">
        <v>15</v>
      </c>
      <c r="J33" s="41">
        <f t="shared" si="0"/>
        <v>0.11842984837678905</v>
      </c>
      <c r="K33" s="41">
        <f t="shared" si="1"/>
        <v>131.11239887111128</v>
      </c>
      <c r="L33" s="6">
        <f t="shared" si="43"/>
        <v>65</v>
      </c>
      <c r="M33" s="41">
        <f t="shared" si="2"/>
        <v>77.681998532751493</v>
      </c>
      <c r="N33" s="41">
        <f t="shared" si="3"/>
        <v>14.28834494683688</v>
      </c>
      <c r="O33" s="41">
        <f t="shared" si="4"/>
        <v>590898.28718832822</v>
      </c>
      <c r="P33" s="41">
        <f t="shared" si="5"/>
        <v>3793982.218619585</v>
      </c>
      <c r="Q33" s="41">
        <f t="shared" si="6"/>
        <v>3.5202466539826795E-3</v>
      </c>
      <c r="R33" s="41">
        <f t="shared" si="7"/>
        <v>2.6491105822564261E-2</v>
      </c>
      <c r="S33" s="27">
        <v>0</v>
      </c>
      <c r="T33" s="41">
        <f t="shared" ca="1" si="8"/>
        <v>5.2418364340766583</v>
      </c>
      <c r="U33" s="41">
        <f t="shared" ca="1" si="9"/>
        <v>1.7618388721032732</v>
      </c>
      <c r="V33" s="41">
        <f t="shared" ca="1" si="10"/>
        <v>2.9752076180604323</v>
      </c>
      <c r="W33" s="20">
        <f t="shared" ca="1" si="11"/>
        <v>5789.9651554322463</v>
      </c>
      <c r="X33" s="41">
        <f t="shared" si="12"/>
        <v>0.6476498187490628</v>
      </c>
      <c r="Y33" s="41">
        <f t="shared" ca="1" si="13"/>
        <v>207.14566477121807</v>
      </c>
      <c r="Z33" s="14">
        <f t="shared" ca="1" si="14"/>
        <v>5789.9651554322463</v>
      </c>
      <c r="AA33" s="14">
        <f t="shared" si="15"/>
        <v>4318.772914781468</v>
      </c>
      <c r="AB33" s="25">
        <f t="shared" ca="1" si="16"/>
        <v>759136.22090886848</v>
      </c>
      <c r="AC33" s="41">
        <f t="shared" si="17"/>
        <v>566244.6770365797</v>
      </c>
      <c r="AD33" s="5">
        <f t="shared" ca="1" si="18"/>
        <v>134.065052034004</v>
      </c>
      <c r="AE33" s="7">
        <f t="shared" ca="1" si="19"/>
        <v>5789.9651554322463</v>
      </c>
      <c r="AF33" s="41">
        <f t="shared" ca="1" si="44"/>
        <v>-1471.1922406507783</v>
      </c>
      <c r="AG33" s="41">
        <f t="shared" ca="1" si="20"/>
        <v>-11.197471394368538</v>
      </c>
      <c r="AH33" s="41">
        <f t="shared" ca="1" si="21"/>
        <v>4156.4941963190313</v>
      </c>
      <c r="AI33" s="13">
        <f t="shared" ca="1" si="22"/>
        <v>0</v>
      </c>
      <c r="AJ33" s="10">
        <f t="shared" ca="1" si="23"/>
        <v>0</v>
      </c>
      <c r="AK33" s="11">
        <f t="shared" ca="1" si="24"/>
        <v>-3.9001201331267235E-2</v>
      </c>
      <c r="AL33" s="7">
        <v>0</v>
      </c>
      <c r="AM33" s="41">
        <f t="shared" si="25"/>
        <v>4634.2782987003156</v>
      </c>
      <c r="AN33" s="41">
        <f t="shared" ca="1" si="26"/>
        <v>5350.653014631971</v>
      </c>
      <c r="AO33" s="6">
        <v>100</v>
      </c>
      <c r="AP33" s="67">
        <f t="shared" si="27"/>
        <v>0.71787896554426345</v>
      </c>
      <c r="AQ33" s="11">
        <f t="shared" si="28"/>
        <v>0.98330272071837588</v>
      </c>
      <c r="AR33" s="11">
        <f t="shared" si="29"/>
        <v>0.68770269343653956</v>
      </c>
      <c r="AS33" s="11">
        <f t="shared" si="30"/>
        <v>0.69938044403469313</v>
      </c>
      <c r="AT33" s="11">
        <f t="shared" si="31"/>
        <v>510.00962215499999</v>
      </c>
      <c r="AU33" s="11">
        <f t="shared" si="32"/>
        <v>1455.3301939042735</v>
      </c>
      <c r="AV33" s="11">
        <f t="shared" si="33"/>
        <v>1.6623573774260621E-3</v>
      </c>
      <c r="AW33" s="11">
        <f t="shared" si="34"/>
        <v>3.6885478983619832E-7</v>
      </c>
      <c r="AX33" s="41">
        <f t="shared" ca="1" si="45"/>
        <v>30.254114767804609</v>
      </c>
      <c r="AY33" s="41">
        <f t="shared" ca="1" si="46"/>
        <v>16.247580153080253</v>
      </c>
      <c r="AZ33" s="41">
        <f t="shared" si="47"/>
        <v>8.76963970671195E-2</v>
      </c>
      <c r="BA33" s="41">
        <f t="shared" ca="1" si="37"/>
        <v>1.2994977886686663</v>
      </c>
      <c r="BB33" s="41">
        <f t="shared" ca="1" si="38"/>
        <v>6.8117548546454643</v>
      </c>
      <c r="BC33" s="41">
        <f t="shared" ca="1" si="48"/>
        <v>2.5765297972403345</v>
      </c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</row>
    <row r="34" spans="1:67">
      <c r="A34" s="41">
        <f t="shared" si="39"/>
        <v>4303.6319543744457</v>
      </c>
      <c r="B34" s="41">
        <f t="shared" si="40"/>
        <v>71.727199239574091</v>
      </c>
      <c r="C34" s="41">
        <f t="shared" si="40"/>
        <v>1.1954533206595681</v>
      </c>
      <c r="D34" s="23">
        <f t="shared" ca="1" si="49"/>
        <v>17226.348438746474</v>
      </c>
      <c r="E34" s="41">
        <f t="shared" si="41"/>
        <v>100</v>
      </c>
      <c r="F34" s="41">
        <f t="shared" si="42"/>
        <v>100</v>
      </c>
      <c r="G34" s="41"/>
      <c r="H34" s="6">
        <f t="shared" si="50"/>
        <v>10000</v>
      </c>
      <c r="I34" s="5">
        <v>15</v>
      </c>
      <c r="J34" s="41">
        <f t="shared" si="0"/>
        <v>0.12752876688097237</v>
      </c>
      <c r="K34" s="41">
        <f t="shared" si="1"/>
        <v>141.18571272371966</v>
      </c>
      <c r="L34" s="6">
        <f t="shared" si="43"/>
        <v>70</v>
      </c>
      <c r="M34" s="41">
        <f t="shared" si="2"/>
        <v>83.650275817400328</v>
      </c>
      <c r="N34" s="41">
        <f t="shared" si="3"/>
        <v>16.568221826211268</v>
      </c>
      <c r="O34" s="41">
        <f t="shared" si="4"/>
        <v>636296.76935375715</v>
      </c>
      <c r="P34" s="41">
        <f t="shared" si="5"/>
        <v>4085472.3749162466</v>
      </c>
      <c r="Q34" s="41">
        <f t="shared" si="6"/>
        <v>3.4755274874240846E-3</v>
      </c>
      <c r="R34" s="41">
        <f t="shared" si="7"/>
        <v>2.6218095310724037E-2</v>
      </c>
      <c r="S34" s="27">
        <v>0</v>
      </c>
      <c r="T34" s="41">
        <f t="shared" ca="1" si="8"/>
        <v>4.5205314070877423</v>
      </c>
      <c r="U34" s="41">
        <f t="shared" ca="1" si="9"/>
        <v>1.316838635753123</v>
      </c>
      <c r="V34" s="41">
        <f t="shared" ca="1" si="10"/>
        <v>3.4328666279618774</v>
      </c>
      <c r="W34" s="20">
        <f t="shared" ca="1" si="11"/>
        <v>5018.0651640911274</v>
      </c>
      <c r="X34" s="41">
        <f t="shared" si="12"/>
        <v>0.644303919840016</v>
      </c>
      <c r="Y34" s="41">
        <f t="shared" ca="1" si="13"/>
        <v>207.14566477121807</v>
      </c>
      <c r="Z34" s="14">
        <f t="shared" ca="1" si="14"/>
        <v>5018.0651640911274</v>
      </c>
      <c r="AA34" s="14">
        <f t="shared" si="15"/>
        <v>4318.772914781468</v>
      </c>
      <c r="AB34" s="25">
        <f t="shared" ca="1" si="16"/>
        <v>708479.1066862751</v>
      </c>
      <c r="AC34" s="41">
        <f t="shared" si="17"/>
        <v>609749.03206531773</v>
      </c>
      <c r="AD34" s="5">
        <f t="shared" ca="1" si="18"/>
        <v>116.19191986029773</v>
      </c>
      <c r="AE34" s="7">
        <f t="shared" ca="1" si="19"/>
        <v>5018.0651640911274</v>
      </c>
      <c r="AF34" s="41">
        <f t="shared" ca="1" si="44"/>
        <v>-699.29224930965938</v>
      </c>
      <c r="AG34" s="41">
        <f t="shared" ca="1" si="20"/>
        <v>-5.7313408568288402</v>
      </c>
      <c r="AH34" s="41">
        <f t="shared" ca="1" si="21"/>
        <v>3612.5645659569027</v>
      </c>
      <c r="AI34" s="13">
        <f t="shared" ca="1" si="22"/>
        <v>0</v>
      </c>
      <c r="AJ34" s="10">
        <f t="shared" ca="1" si="23"/>
        <v>0</v>
      </c>
      <c r="AK34" s="11">
        <f t="shared" ca="1" si="24"/>
        <v>-1.996246927388599E-2</v>
      </c>
      <c r="AL34" s="7">
        <v>0</v>
      </c>
      <c r="AM34" s="41">
        <f t="shared" si="25"/>
        <v>4303.6319543744457</v>
      </c>
      <c r="AN34" s="41">
        <f t="shared" ca="1" si="26"/>
        <v>4318.6523064702715</v>
      </c>
      <c r="AO34" s="6">
        <v>100</v>
      </c>
      <c r="AP34" s="67">
        <f t="shared" si="27"/>
        <v>0.71991184805811725</v>
      </c>
      <c r="AQ34" s="11">
        <f t="shared" si="28"/>
        <v>0.98330272071837588</v>
      </c>
      <c r="AR34" s="11">
        <f t="shared" si="29"/>
        <v>0.68770269343653956</v>
      </c>
      <c r="AS34" s="11">
        <f t="shared" si="30"/>
        <v>0.69938044403469313</v>
      </c>
      <c r="AT34" s="11">
        <f t="shared" si="31"/>
        <v>510.00962215499999</v>
      </c>
      <c r="AU34" s="11">
        <f t="shared" si="32"/>
        <v>1455.3301939042735</v>
      </c>
      <c r="AV34" s="11">
        <f t="shared" si="33"/>
        <v>1.6623573774260621E-3</v>
      </c>
      <c r="AW34" s="11">
        <f t="shared" si="34"/>
        <v>3.6885478983619832E-7</v>
      </c>
      <c r="AX34" s="41">
        <f t="shared" ca="1" si="45"/>
        <v>16.852426584566508</v>
      </c>
      <c r="AY34" s="41">
        <f t="shared" ca="1" si="46"/>
        <v>9.0503772398597917</v>
      </c>
      <c r="AZ34" s="41">
        <f t="shared" si="47"/>
        <v>9.4659181185932126E-2</v>
      </c>
      <c r="BA34" s="41">
        <f t="shared" ca="1" si="37"/>
        <v>1.6145897284462019</v>
      </c>
      <c r="BB34" s="41">
        <f t="shared" ca="1" si="38"/>
        <v>7.2988035770023245</v>
      </c>
      <c r="BC34" s="41">
        <f t="shared" ca="1" si="48"/>
        <v>2.972862499814986</v>
      </c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</row>
    <row r="35" spans="1:67">
      <c r="A35" s="41">
        <f t="shared" si="39"/>
        <v>4017.0971417500841</v>
      </c>
      <c r="B35" s="41">
        <f t="shared" si="40"/>
        <v>66.951619029168072</v>
      </c>
      <c r="C35" s="41">
        <f t="shared" si="40"/>
        <v>1.1158603171528012</v>
      </c>
      <c r="D35" s="23">
        <f t="shared" ca="1" si="49"/>
        <v>17226.348438746474</v>
      </c>
      <c r="E35" s="41">
        <f t="shared" si="41"/>
        <v>100</v>
      </c>
      <c r="F35" s="41">
        <f t="shared" si="42"/>
        <v>100</v>
      </c>
      <c r="G35" s="41"/>
      <c r="H35" s="6">
        <f t="shared" si="50"/>
        <v>10000</v>
      </c>
      <c r="I35" s="5">
        <v>15</v>
      </c>
      <c r="J35" s="41">
        <f t="shared" si="0"/>
        <v>0.13662524377287441</v>
      </c>
      <c r="K35" s="41">
        <f t="shared" si="1"/>
        <v>151.25632349388977</v>
      </c>
      <c r="L35" s="6">
        <f t="shared" si="43"/>
        <v>75</v>
      </c>
      <c r="M35" s="41">
        <f t="shared" si="2"/>
        <v>89.61695156895378</v>
      </c>
      <c r="N35" s="41">
        <f t="shared" si="3"/>
        <v>19.0161011801389</v>
      </c>
      <c r="O35" s="41">
        <f t="shared" si="4"/>
        <v>681683.06924812193</v>
      </c>
      <c r="P35" s="41">
        <f t="shared" si="5"/>
        <v>4376884.3124723881</v>
      </c>
      <c r="Q35" s="41">
        <f t="shared" si="6"/>
        <v>3.4344990033146785E-3</v>
      </c>
      <c r="R35" s="41">
        <f t="shared" si="7"/>
        <v>2.5967616415236112E-2</v>
      </c>
      <c r="S35" s="27">
        <v>0</v>
      </c>
      <c r="T35" s="41">
        <f t="shared" ca="1" si="8"/>
        <v>3.9386184589304758</v>
      </c>
      <c r="U35" s="41">
        <f t="shared" ca="1" si="9"/>
        <v>1.0056998906699115</v>
      </c>
      <c r="V35" s="41">
        <f t="shared" ca="1" si="10"/>
        <v>3.9162959999000337</v>
      </c>
      <c r="W35" s="20">
        <f t="shared" ca="1" si="11"/>
        <v>4398.632901901743</v>
      </c>
      <c r="X35" s="41">
        <f t="shared" si="12"/>
        <v>0.64121880175582124</v>
      </c>
      <c r="Y35" s="41">
        <f t="shared" ca="1" si="13"/>
        <v>207.14566477121807</v>
      </c>
      <c r="Z35" s="14">
        <f t="shared" ca="1" si="14"/>
        <v>4398.632901901743</v>
      </c>
      <c r="AA35" s="14">
        <f t="shared" si="15"/>
        <v>4318.772914781468</v>
      </c>
      <c r="AB35" s="25">
        <f t="shared" ca="1" si="16"/>
        <v>665321.04114091711</v>
      </c>
      <c r="AC35" s="41">
        <f t="shared" si="17"/>
        <v>653241.71309483494</v>
      </c>
      <c r="AD35" s="5">
        <f t="shared" ca="1" si="18"/>
        <v>101.84913605545096</v>
      </c>
      <c r="AE35" s="7">
        <f t="shared" ca="1" si="19"/>
        <v>4398.6329019017421</v>
      </c>
      <c r="AF35" s="41">
        <f t="shared" ca="1" si="44"/>
        <v>-79.859987120275036</v>
      </c>
      <c r="AG35" s="41">
        <f t="shared" ca="1" si="20"/>
        <v>-0.70121233696357055</v>
      </c>
      <c r="AH35" s="41">
        <f t="shared" ca="1" si="21"/>
        <v>3175.5018044304502</v>
      </c>
      <c r="AI35" s="13">
        <f t="shared" ca="1" si="22"/>
        <v>-7.9858378179511208E-15</v>
      </c>
      <c r="AJ35" s="10">
        <f t="shared" ca="1" si="23"/>
        <v>-3.0250292501856658E-15</v>
      </c>
      <c r="AK35" s="11">
        <f t="shared" ca="1" si="24"/>
        <v>-2.4423481486756564E-3</v>
      </c>
      <c r="AL35" s="7">
        <v>0</v>
      </c>
      <c r="AM35" s="41">
        <f t="shared" si="25"/>
        <v>4017.0971417500841</v>
      </c>
      <c r="AN35" s="41">
        <f t="shared" ca="1" si="26"/>
        <v>3543.4164506110546</v>
      </c>
      <c r="AO35" s="6">
        <v>100</v>
      </c>
      <c r="AP35" s="67">
        <f t="shared" si="27"/>
        <v>0.72192926194352958</v>
      </c>
      <c r="AQ35" s="11">
        <f t="shared" si="28"/>
        <v>0.98330272071837588</v>
      </c>
      <c r="AR35" s="11">
        <f t="shared" si="29"/>
        <v>0.68770269343653956</v>
      </c>
      <c r="AS35" s="11">
        <f t="shared" si="30"/>
        <v>0.69938044403469313</v>
      </c>
      <c r="AT35" s="11">
        <f t="shared" si="31"/>
        <v>510.00962215499999</v>
      </c>
      <c r="AU35" s="11">
        <f t="shared" si="32"/>
        <v>1455.3301939042735</v>
      </c>
      <c r="AV35" s="11">
        <f t="shared" si="33"/>
        <v>1.6623573774260621E-3</v>
      </c>
      <c r="AW35" s="11">
        <f t="shared" si="34"/>
        <v>3.6885478983619832E-7</v>
      </c>
      <c r="AX35" s="41">
        <f t="shared" ca="1" si="45"/>
        <v>10.14546129218127</v>
      </c>
      <c r="AY35" s="41">
        <f t="shared" ca="1" si="46"/>
        <v>5.4484884717269795</v>
      </c>
      <c r="AZ35" s="41">
        <f t="shared" si="47"/>
        <v>0.10157987700427404</v>
      </c>
      <c r="BA35" s="41">
        <f t="shared" ca="1" si="37"/>
        <v>1.9733474238782622</v>
      </c>
      <c r="BB35" s="41">
        <f t="shared" ca="1" si="38"/>
        <v>7.7722625895698254</v>
      </c>
      <c r="BC35" s="41">
        <f t="shared" ca="1" si="48"/>
        <v>3.3915123359134292</v>
      </c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</row>
    <row r="36" spans="1:67">
      <c r="A36" s="41">
        <f t="shared" si="39"/>
        <v>3766.4028548606707</v>
      </c>
      <c r="B36" s="41">
        <f t="shared" si="40"/>
        <v>62.773380914344514</v>
      </c>
      <c r="C36" s="41">
        <f t="shared" si="40"/>
        <v>1.0462230152390752</v>
      </c>
      <c r="D36" s="23">
        <f t="shared" ca="1" si="49"/>
        <v>17226.348438746474</v>
      </c>
      <c r="E36" s="41">
        <f t="shared" si="41"/>
        <v>100</v>
      </c>
      <c r="F36" s="41">
        <f t="shared" si="42"/>
        <v>100</v>
      </c>
      <c r="G36" s="41"/>
      <c r="H36" s="6">
        <f t="shared" si="50"/>
        <v>10000</v>
      </c>
      <c r="I36" s="5">
        <v>15</v>
      </c>
      <c r="J36" s="41">
        <f t="shared" si="0"/>
        <v>0.14571911115207167</v>
      </c>
      <c r="K36" s="41">
        <f t="shared" si="1"/>
        <v>161.32404530088638</v>
      </c>
      <c r="L36" s="6">
        <f t="shared" si="43"/>
        <v>80</v>
      </c>
      <c r="M36" s="41">
        <f t="shared" si="2"/>
        <v>95.58191565605037</v>
      </c>
      <c r="N36" s="41">
        <f t="shared" si="3"/>
        <v>21.631797402889784</v>
      </c>
      <c r="O36" s="41">
        <f t="shared" si="4"/>
        <v>727056.34914280975</v>
      </c>
      <c r="P36" s="41">
        <f t="shared" si="5"/>
        <v>4668212.6524816556</v>
      </c>
      <c r="Q36" s="41">
        <f t="shared" si="6"/>
        <v>3.3966249169692713E-3</v>
      </c>
      <c r="R36" s="41">
        <f t="shared" si="7"/>
        <v>2.5736395118097402E-2</v>
      </c>
      <c r="S36" s="27">
        <v>0</v>
      </c>
      <c r="T36" s="41">
        <f t="shared" ca="1" si="8"/>
        <v>3.4623644873347041</v>
      </c>
      <c r="U36" s="41">
        <f t="shared" ca="1" si="9"/>
        <v>0.78285716490581403</v>
      </c>
      <c r="V36" s="41">
        <f t="shared" ca="1" si="10"/>
        <v>4.4227282351707968</v>
      </c>
      <c r="W36" s="20">
        <f t="shared" ca="1" si="11"/>
        <v>3894.9597449279468</v>
      </c>
      <c r="X36" s="41">
        <f t="shared" si="12"/>
        <v>0.63835764267204553</v>
      </c>
      <c r="Y36" s="41">
        <f t="shared" ca="1" si="13"/>
        <v>207.14566477121807</v>
      </c>
      <c r="Z36" s="14">
        <f t="shared" ca="1" si="14"/>
        <v>3894.9597449279468</v>
      </c>
      <c r="AA36" s="14">
        <f t="shared" si="15"/>
        <v>4318.772914781468</v>
      </c>
      <c r="AB36" s="25">
        <f t="shared" ca="1" si="16"/>
        <v>628350.66233588499</v>
      </c>
      <c r="AC36" s="41">
        <f t="shared" si="17"/>
        <v>696721.91734844667</v>
      </c>
      <c r="AD36" s="5">
        <f t="shared" ca="1" si="18"/>
        <v>90.186722520117357</v>
      </c>
      <c r="AE36" s="7">
        <f t="shared" ca="1" si="19"/>
        <v>3894.9597449279472</v>
      </c>
      <c r="AF36" s="41">
        <f t="shared" ca="1" si="44"/>
        <v>423.81316985352123</v>
      </c>
      <c r="AG36" s="41">
        <f t="shared" ca="1" si="20"/>
        <v>3.9689929212610839</v>
      </c>
      <c r="AH36" s="41">
        <f t="shared" ca="1" si="21"/>
        <v>2819.6830287054399</v>
      </c>
      <c r="AI36" s="13">
        <f t="shared" ca="1" si="22"/>
        <v>4.2586902555539158E-15</v>
      </c>
      <c r="AJ36" s="10">
        <f t="shared" ca="1" si="23"/>
        <v>1.5125146250928329E-15</v>
      </c>
      <c r="AK36" s="11">
        <f t="shared" ca="1" si="24"/>
        <v>1.3824147126852959E-2</v>
      </c>
      <c r="AL36" s="7">
        <v>0</v>
      </c>
      <c r="AM36" s="41">
        <f t="shared" si="25"/>
        <v>3766.4028548606707</v>
      </c>
      <c r="AN36" s="41">
        <f t="shared" ca="1" si="26"/>
        <v>2950.0172803106534</v>
      </c>
      <c r="AO36" s="6">
        <v>100</v>
      </c>
      <c r="AP36" s="67">
        <f t="shared" si="27"/>
        <v>0.72393123764045508</v>
      </c>
      <c r="AQ36" s="11">
        <f t="shared" si="28"/>
        <v>0.98330272071837588</v>
      </c>
      <c r="AR36" s="11">
        <f t="shared" si="29"/>
        <v>0.68770269343653956</v>
      </c>
      <c r="AS36" s="11">
        <f t="shared" si="30"/>
        <v>0.69938044403469313</v>
      </c>
      <c r="AT36" s="11">
        <f t="shared" si="31"/>
        <v>510.00962215499999</v>
      </c>
      <c r="AU36" s="11">
        <f t="shared" si="32"/>
        <v>1455.3301939042735</v>
      </c>
      <c r="AV36" s="11">
        <f t="shared" si="33"/>
        <v>1.6623573774260621E-3</v>
      </c>
      <c r="AW36" s="11">
        <f t="shared" si="34"/>
        <v>3.6885478983619832E-7</v>
      </c>
      <c r="AX36" s="41">
        <f t="shared" ca="1" si="45"/>
        <v>6.5553782356347829</v>
      </c>
      <c r="AY36" s="41">
        <f t="shared" ca="1" si="46"/>
        <v>3.5204809043223837</v>
      </c>
      <c r="AZ36" s="41">
        <f t="shared" si="47"/>
        <v>0.10845839027720633</v>
      </c>
      <c r="BA36" s="41">
        <f t="shared" ca="1" si="37"/>
        <v>2.3768614209245844</v>
      </c>
      <c r="BB36" s="41">
        <f t="shared" ca="1" si="38"/>
        <v>8.2295605751251841</v>
      </c>
      <c r="BC36" s="41">
        <f t="shared" ca="1" si="48"/>
        <v>3.8300826516579098</v>
      </c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</row>
    <row r="37" spans="1:67">
      <c r="A37" s="41">
        <f t="shared" si="39"/>
        <v>3545.2242010476712</v>
      </c>
      <c r="B37" s="41">
        <f t="shared" si="40"/>
        <v>59.087070017461187</v>
      </c>
      <c r="C37" s="41">
        <f t="shared" si="40"/>
        <v>0.98478450029101983</v>
      </c>
      <c r="D37" s="23">
        <f t="shared" ca="1" si="49"/>
        <v>17226.348438746474</v>
      </c>
      <c r="E37" s="41">
        <f t="shared" si="41"/>
        <v>100</v>
      </c>
      <c r="F37" s="41">
        <f t="shared" si="42"/>
        <v>100</v>
      </c>
      <c r="G37" s="41"/>
      <c r="H37" s="6">
        <f t="shared" si="50"/>
        <v>10000</v>
      </c>
      <c r="I37" s="5">
        <v>15</v>
      </c>
      <c r="J37" s="41">
        <f t="shared" si="0"/>
        <v>0.15481020243761512</v>
      </c>
      <c r="K37" s="41">
        <f t="shared" si="1"/>
        <v>171.38869372474997</v>
      </c>
      <c r="L37" s="6">
        <f t="shared" si="43"/>
        <v>85</v>
      </c>
      <c r="M37" s="41">
        <f t="shared" si="2"/>
        <v>101.54505881281476</v>
      </c>
      <c r="N37" s="41">
        <f t="shared" si="3"/>
        <v>24.415112901104468</v>
      </c>
      <c r="O37" s="41">
        <f t="shared" si="4"/>
        <v>772415.77789264161</v>
      </c>
      <c r="P37" s="41">
        <f t="shared" si="5"/>
        <v>4959452.0584079679</v>
      </c>
      <c r="Q37" s="41">
        <f t="shared" si="6"/>
        <v>3.3614740856287581E-3</v>
      </c>
      <c r="R37" s="41">
        <f t="shared" si="7"/>
        <v>2.5521799292763572E-2</v>
      </c>
      <c r="S37" s="27">
        <v>0</v>
      </c>
      <c r="T37" s="41">
        <f t="shared" ca="1" si="8"/>
        <v>3.0676559812916753</v>
      </c>
      <c r="U37" s="41">
        <f t="shared" ca="1" si="9"/>
        <v>0.6198589802148825</v>
      </c>
      <c r="V37" s="41">
        <f t="shared" ca="1" si="10"/>
        <v>4.9489578746253393</v>
      </c>
      <c r="W37" s="20">
        <f t="shared" ca="1" si="11"/>
        <v>3480.8032064832628</v>
      </c>
      <c r="X37" s="41">
        <f t="shared" si="12"/>
        <v>0.63569068713429933</v>
      </c>
      <c r="Y37" s="41">
        <f t="shared" ca="1" si="13"/>
        <v>207.14566477121807</v>
      </c>
      <c r="Z37" s="14">
        <f t="shared" ca="1" si="14"/>
        <v>3480.8032064832628</v>
      </c>
      <c r="AA37" s="14">
        <f t="shared" si="15"/>
        <v>4318.772914781468</v>
      </c>
      <c r="AB37" s="25">
        <f t="shared" ca="1" si="16"/>
        <v>596570.31467208755</v>
      </c>
      <c r="AC37" s="41">
        <f t="shared" si="17"/>
        <v>740188.84835822671</v>
      </c>
      <c r="AD37" s="5">
        <f t="shared" ca="1" si="18"/>
        <v>80.597041686767952</v>
      </c>
      <c r="AE37" s="7">
        <f t="shared" ca="1" si="19"/>
        <v>3480.8032064832632</v>
      </c>
      <c r="AF37" s="41">
        <f t="shared" ca="1" si="44"/>
        <v>837.96970829820521</v>
      </c>
      <c r="AG37" s="41">
        <f t="shared" ca="1" si="20"/>
        <v>8.337143196471299</v>
      </c>
      <c r="AH37" s="41">
        <f t="shared" ca="1" si="21"/>
        <v>2526.7770286965401</v>
      </c>
      <c r="AI37" s="13">
        <f t="shared" ca="1" si="22"/>
        <v>4.5243804698573159E-15</v>
      </c>
      <c r="AJ37" s="10">
        <f t="shared" ca="1" si="23"/>
        <v>1.5125146250928329E-15</v>
      </c>
      <c r="AK37" s="11">
        <f t="shared" ca="1" si="24"/>
        <v>2.9038573878091053E-2</v>
      </c>
      <c r="AL37" s="7">
        <v>0</v>
      </c>
      <c r="AM37" s="41">
        <f t="shared" si="25"/>
        <v>3545.2242010476712</v>
      </c>
      <c r="AN37" s="41">
        <f t="shared" ca="1" si="26"/>
        <v>2488.3308535517499</v>
      </c>
      <c r="AO37" s="6">
        <v>100</v>
      </c>
      <c r="AP37" s="67">
        <f t="shared" si="27"/>
        <v>0.72591780655402294</v>
      </c>
      <c r="AQ37" s="11">
        <f t="shared" si="28"/>
        <v>0.98330272071837588</v>
      </c>
      <c r="AR37" s="11">
        <f t="shared" si="29"/>
        <v>0.68770269343653956</v>
      </c>
      <c r="AS37" s="11">
        <f t="shared" si="30"/>
        <v>0.69938044403469313</v>
      </c>
      <c r="AT37" s="11">
        <f t="shared" si="31"/>
        <v>510.00962215499999</v>
      </c>
      <c r="AU37" s="11">
        <f t="shared" si="32"/>
        <v>1455.3301939042735</v>
      </c>
      <c r="AV37" s="11">
        <f t="shared" si="33"/>
        <v>1.6623573774260621E-3</v>
      </c>
      <c r="AW37" s="11">
        <f t="shared" si="34"/>
        <v>3.6885478983619832E-7</v>
      </c>
      <c r="AX37" s="41">
        <f t="shared" ca="1" si="45"/>
        <v>4.5162496276458022</v>
      </c>
      <c r="AY37" s="41">
        <f t="shared" ca="1" si="46"/>
        <v>2.4253933185505234</v>
      </c>
      <c r="AZ37" s="41">
        <f t="shared" si="47"/>
        <v>0.11529463070779004</v>
      </c>
      <c r="BA37" s="41">
        <f t="shared" ca="1" si="37"/>
        <v>2.8255983601105661</v>
      </c>
      <c r="BB37" s="41">
        <f t="shared" ca="1" si="38"/>
        <v>8.6679637101211249</v>
      </c>
      <c r="BC37" s="41">
        <f t="shared" ca="1" si="48"/>
        <v>4.285797519425544</v>
      </c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</row>
    <row r="38" spans="1:67">
      <c r="A38" s="41">
        <f t="shared" si="39"/>
        <v>3348.6418139948901</v>
      </c>
      <c r="B38" s="41">
        <f t="shared" si="40"/>
        <v>55.810696899914838</v>
      </c>
      <c r="C38" s="41">
        <f t="shared" si="40"/>
        <v>0.9301782816652473</v>
      </c>
      <c r="D38" s="23">
        <f t="shared" ca="1" si="49"/>
        <v>17226.348438746474</v>
      </c>
      <c r="E38" s="41">
        <f t="shared" si="41"/>
        <v>100</v>
      </c>
      <c r="F38" s="41">
        <f t="shared" si="42"/>
        <v>100</v>
      </c>
      <c r="G38" s="41"/>
      <c r="H38" s="6">
        <f t="shared" si="50"/>
        <v>10000</v>
      </c>
      <c r="I38" s="5">
        <v>15</v>
      </c>
      <c r="J38" s="41">
        <f t="shared" si="0"/>
        <v>0.16389835244760512</v>
      </c>
      <c r="K38" s="41">
        <f t="shared" si="1"/>
        <v>181.45008589439357</v>
      </c>
      <c r="L38" s="6">
        <f t="shared" si="43"/>
        <v>90</v>
      </c>
      <c r="M38" s="41">
        <f t="shared" si="2"/>
        <v>107.50627269105388</v>
      </c>
      <c r="N38" s="41">
        <f t="shared" si="3"/>
        <v>27.36583825174316</v>
      </c>
      <c r="O38" s="41">
        <f t="shared" si="4"/>
        <v>817760.53133290855</v>
      </c>
      <c r="P38" s="41">
        <f t="shared" si="5"/>
        <v>5250597.2385347653</v>
      </c>
      <c r="Q38" s="41">
        <f t="shared" si="6"/>
        <v>3.3286950755455607E-3</v>
      </c>
      <c r="R38" s="41">
        <f t="shared" si="7"/>
        <v>2.5321683436205646E-2</v>
      </c>
      <c r="S38" s="27">
        <v>0</v>
      </c>
      <c r="T38" s="41">
        <f t="shared" ca="1" si="8"/>
        <v>2.7368855445242515</v>
      </c>
      <c r="U38" s="41">
        <f t="shared" ca="1" si="9"/>
        <v>0.49839980357141234</v>
      </c>
      <c r="V38" s="41">
        <f t="shared" ca="1" si="10"/>
        <v>5.4913455521298209</v>
      </c>
      <c r="W38" s="20">
        <f t="shared" ca="1" si="11"/>
        <v>3136.9995341242416</v>
      </c>
      <c r="X38" s="41">
        <f t="shared" si="12"/>
        <v>0.63319356431105522</v>
      </c>
      <c r="Y38" s="41">
        <f t="shared" ca="1" si="13"/>
        <v>207.14566477121807</v>
      </c>
      <c r="Z38" s="14">
        <f t="shared" ca="1" si="14"/>
        <v>3136.9995341242416</v>
      </c>
      <c r="AA38" s="14">
        <f t="shared" si="15"/>
        <v>4318.772914781468</v>
      </c>
      <c r="AB38" s="25">
        <f t="shared" ca="1" si="16"/>
        <v>569208.83491751621</v>
      </c>
      <c r="AC38" s="41">
        <f t="shared" si="17"/>
        <v>783641.71634547785</v>
      </c>
      <c r="AD38" s="5">
        <f t="shared" ca="1" si="18"/>
        <v>72.636362133964511</v>
      </c>
      <c r="AE38" s="7">
        <f t="shared" ca="1" si="19"/>
        <v>3136.999534124242</v>
      </c>
      <c r="AF38" s="41">
        <f t="shared" ca="1" si="44"/>
        <v>1181.7733806572264</v>
      </c>
      <c r="AG38" s="41">
        <f t="shared" ca="1" si="20"/>
        <v>12.447959135996989</v>
      </c>
      <c r="AH38" s="41">
        <f t="shared" ca="1" si="21"/>
        <v>2283.3874571915694</v>
      </c>
      <c r="AI38" s="13">
        <f t="shared" ca="1" si="22"/>
        <v>4.7899847243889386E-15</v>
      </c>
      <c r="AJ38" s="10">
        <f t="shared" ca="1" si="23"/>
        <v>1.5125146250928329E-15</v>
      </c>
      <c r="AK38" s="11">
        <f t="shared" ca="1" si="24"/>
        <v>4.3356695751021745E-2</v>
      </c>
      <c r="AL38" s="7">
        <v>0</v>
      </c>
      <c r="AM38" s="41">
        <f t="shared" si="25"/>
        <v>3348.6418139948901</v>
      </c>
      <c r="AN38" s="41">
        <f t="shared" ca="1" si="26"/>
        <v>2123.9574213064325</v>
      </c>
      <c r="AO38" s="6">
        <v>100</v>
      </c>
      <c r="AP38" s="67">
        <f t="shared" si="27"/>
        <v>0.72788900105113474</v>
      </c>
      <c r="AQ38" s="11">
        <f t="shared" si="28"/>
        <v>0.98330272071837588</v>
      </c>
      <c r="AR38" s="11">
        <f t="shared" si="29"/>
        <v>0.68770269343653956</v>
      </c>
      <c r="AS38" s="11">
        <f t="shared" si="30"/>
        <v>0.69938044403469313</v>
      </c>
      <c r="AT38" s="11">
        <f t="shared" si="31"/>
        <v>510.00962215499999</v>
      </c>
      <c r="AU38" s="11">
        <f t="shared" si="32"/>
        <v>1455.3301939042735</v>
      </c>
      <c r="AV38" s="11">
        <f t="shared" si="33"/>
        <v>1.6623573774260621E-3</v>
      </c>
      <c r="AW38" s="11">
        <f t="shared" si="34"/>
        <v>3.6885478983619832E-7</v>
      </c>
      <c r="AX38" s="41">
        <f t="shared" ca="1" si="45"/>
        <v>3.2963515005005033</v>
      </c>
      <c r="AY38" s="41">
        <f t="shared" ca="1" si="46"/>
        <v>1.7702628428613816</v>
      </c>
      <c r="AZ38" s="41">
        <f t="shared" si="47"/>
        <v>0.12208851197505964</v>
      </c>
      <c r="BA38" s="41">
        <f t="shared" ca="1" si="37"/>
        <v>3.3193301857398541</v>
      </c>
      <c r="BB38" s="41">
        <f t="shared" ca="1" si="38"/>
        <v>9.0846268028544035</v>
      </c>
      <c r="BC38" s="41">
        <f t="shared" ca="1" si="48"/>
        <v>4.7555052481444244</v>
      </c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</row>
    <row r="39" spans="1:67">
      <c r="A39" s="41">
        <f t="shared" si="39"/>
        <v>3172.7719784382552</v>
      </c>
      <c r="B39" s="41">
        <f t="shared" si="40"/>
        <v>52.879532973970917</v>
      </c>
      <c r="C39" s="41">
        <f t="shared" si="40"/>
        <v>0.88132554956618192</v>
      </c>
      <c r="D39" s="23">
        <f t="shared" ca="1" si="49"/>
        <v>17226.348438746474</v>
      </c>
      <c r="E39" s="41">
        <f t="shared" si="41"/>
        <v>100</v>
      </c>
      <c r="F39" s="41">
        <f t="shared" si="42"/>
        <v>100</v>
      </c>
      <c r="G39" s="41"/>
      <c r="H39" s="6">
        <f t="shared" si="50"/>
        <v>10000</v>
      </c>
      <c r="I39" s="5">
        <v>15</v>
      </c>
      <c r="J39" s="41">
        <f t="shared" si="0"/>
        <v>0.17298339747726785</v>
      </c>
      <c r="K39" s="41">
        <f t="shared" si="1"/>
        <v>191.50804057404005</v>
      </c>
      <c r="L39" s="6">
        <f t="shared" si="43"/>
        <v>95</v>
      </c>
      <c r="M39" s="41">
        <f t="shared" si="2"/>
        <v>113.46544991146955</v>
      </c>
      <c r="N39" s="41">
        <f t="shared" si="3"/>
        <v>30.483752368793311</v>
      </c>
      <c r="O39" s="41">
        <f t="shared" si="4"/>
        <v>863089.79266892723</v>
      </c>
      <c r="P39" s="41">
        <f t="shared" si="5"/>
        <v>5541642.948466233</v>
      </c>
      <c r="Q39" s="41">
        <f t="shared" si="6"/>
        <v>3.297997922780454E-3</v>
      </c>
      <c r="R39" s="41">
        <f t="shared" si="7"/>
        <v>2.5134277318574674E-2</v>
      </c>
      <c r="S39" s="27">
        <v>0</v>
      </c>
      <c r="T39" s="41">
        <f t="shared" ca="1" si="8"/>
        <v>2.4569536656405218</v>
      </c>
      <c r="U39" s="41">
        <f t="shared" ca="1" si="9"/>
        <v>0.4063875002839567</v>
      </c>
      <c r="V39" s="41">
        <f t="shared" ca="1" si="10"/>
        <v>6.0458396577743292</v>
      </c>
      <c r="W39" s="20">
        <f t="shared" ca="1" si="11"/>
        <v>2849.2896626186835</v>
      </c>
      <c r="X39" s="41">
        <f t="shared" si="12"/>
        <v>0.63084607577895468</v>
      </c>
      <c r="Y39" s="41">
        <f t="shared" ca="1" si="13"/>
        <v>207.14566477121807</v>
      </c>
      <c r="Z39" s="14">
        <f t="shared" ca="1" si="14"/>
        <v>2849.2896626186835</v>
      </c>
      <c r="AA39" s="14">
        <f t="shared" si="15"/>
        <v>4318.772914781468</v>
      </c>
      <c r="AB39" s="25">
        <f t="shared" ca="1" si="16"/>
        <v>545661.88031597168</v>
      </c>
      <c r="AC39" s="41">
        <f t="shared" si="17"/>
        <v>827079.73859403457</v>
      </c>
      <c r="AD39" s="5">
        <f t="shared" ca="1" si="18"/>
        <v>65.974519124788458</v>
      </c>
      <c r="AE39" s="7">
        <f t="shared" ca="1" si="19"/>
        <v>2849.2896626186835</v>
      </c>
      <c r="AF39" s="41">
        <f t="shared" ca="1" si="44"/>
        <v>1469.4832521627845</v>
      </c>
      <c r="AG39" s="41">
        <f t="shared" ca="1" si="20"/>
        <v>16.336477767109482</v>
      </c>
      <c r="AH39" s="41">
        <f t="shared" ca="1" si="21"/>
        <v>2079.5393991174428</v>
      </c>
      <c r="AI39" s="13">
        <f t="shared" ca="1" si="22"/>
        <v>0</v>
      </c>
      <c r="AJ39" s="10">
        <f t="shared" ca="1" si="23"/>
        <v>0</v>
      </c>
      <c r="AK39" s="11">
        <f t="shared" ca="1" si="24"/>
        <v>5.6900547989722147E-2</v>
      </c>
      <c r="AL39" s="7">
        <v>0</v>
      </c>
      <c r="AM39" s="41">
        <f t="shared" si="25"/>
        <v>3172.7719784382552</v>
      </c>
      <c r="AN39" s="41">
        <f t="shared" ca="1" si="26"/>
        <v>1832.7512037717083</v>
      </c>
      <c r="AO39" s="6">
        <v>100</v>
      </c>
      <c r="AP39" s="67">
        <f t="shared" si="27"/>
        <v>0.72984485445618408</v>
      </c>
      <c r="AQ39" s="11">
        <f t="shared" si="28"/>
        <v>0.98330272071837588</v>
      </c>
      <c r="AR39" s="11">
        <f t="shared" si="29"/>
        <v>0.68770269343653956</v>
      </c>
      <c r="AS39" s="11">
        <f t="shared" si="30"/>
        <v>0.69938044403469313</v>
      </c>
      <c r="AT39" s="11">
        <f t="shared" si="31"/>
        <v>510.00962215499999</v>
      </c>
      <c r="AU39" s="11">
        <f t="shared" si="32"/>
        <v>1455.3301939042735</v>
      </c>
      <c r="AV39" s="11">
        <f t="shared" si="33"/>
        <v>1.6623573774260621E-3</v>
      </c>
      <c r="AW39" s="11">
        <f t="shared" si="34"/>
        <v>3.6885478983619832E-7</v>
      </c>
      <c r="AX39" s="41">
        <f t="shared" ca="1" si="45"/>
        <v>2.5331313322858642</v>
      </c>
      <c r="AY39" s="41">
        <f t="shared" ca="1" si="46"/>
        <v>1.3603853451164827</v>
      </c>
      <c r="AZ39" s="41">
        <f t="shared" si="47"/>
        <v>0.1288399517586708</v>
      </c>
      <c r="BA39" s="41">
        <f t="shared" ca="1" si="37"/>
        <v>3.8570755160517458</v>
      </c>
      <c r="BB39" s="41">
        <f t="shared" ca="1" si="38"/>
        <v>9.4766558278156445</v>
      </c>
      <c r="BC39" s="41">
        <f t="shared" ca="1" si="48"/>
        <v>5.235697143632569</v>
      </c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</row>
    <row r="40" spans="1:67">
      <c r="A40" s="41">
        <f t="shared" si="39"/>
        <v>3014.507717466242</v>
      </c>
      <c r="B40" s="41">
        <f t="shared" si="40"/>
        <v>50.241795291104033</v>
      </c>
      <c r="C40" s="41">
        <f t="shared" si="40"/>
        <v>0.83736325485173391</v>
      </c>
      <c r="D40" s="23">
        <f t="shared" ca="1" si="49"/>
        <v>17226.348438746474</v>
      </c>
      <c r="E40" s="41">
        <f t="shared" si="41"/>
        <v>100</v>
      </c>
      <c r="F40" s="41">
        <f t="shared" si="42"/>
        <v>100</v>
      </c>
      <c r="G40" s="41"/>
      <c r="H40" s="6">
        <f t="shared" si="50"/>
        <v>10000</v>
      </c>
      <c r="I40" s="5">
        <v>15</v>
      </c>
      <c r="J40" s="41">
        <f t="shared" si="0"/>
        <v>0.18206517537537814</v>
      </c>
      <c r="K40" s="41">
        <f t="shared" si="1"/>
        <v>201.56237824782912</v>
      </c>
      <c r="L40" s="6">
        <f t="shared" si="43"/>
        <v>100</v>
      </c>
      <c r="M40" s="41">
        <f t="shared" si="2"/>
        <v>119.42248411378679</v>
      </c>
      <c r="N40" s="41">
        <f t="shared" si="3"/>
        <v>33.768622678457646</v>
      </c>
      <c r="O40" s="41">
        <f t="shared" si="4"/>
        <v>908402.7528573483</v>
      </c>
      <c r="P40" s="41">
        <f t="shared" si="5"/>
        <v>5832583.9935755655</v>
      </c>
      <c r="Q40" s="41">
        <f t="shared" si="6"/>
        <v>3.2691407885833725E-3</v>
      </c>
      <c r="R40" s="41">
        <f t="shared" si="7"/>
        <v>2.4958104514301489E-2</v>
      </c>
      <c r="S40" s="27">
        <v>0</v>
      </c>
      <c r="T40" s="41">
        <f t="shared" ca="1" si="8"/>
        <v>2.2179514941473926</v>
      </c>
      <c r="U40" s="41">
        <f t="shared" ca="1" si="9"/>
        <v>0.33564553187631835</v>
      </c>
      <c r="V40" s="41">
        <f t="shared" ca="1" si="10"/>
        <v>6.6080173382575609</v>
      </c>
      <c r="W40" s="20">
        <f t="shared" ca="1" si="11"/>
        <v>2606.8860835175733</v>
      </c>
      <c r="X40" s="41">
        <f t="shared" si="12"/>
        <v>0.62863130439063031</v>
      </c>
      <c r="Y40" s="41">
        <f t="shared" ca="1" si="13"/>
        <v>207.14566477121807</v>
      </c>
      <c r="Z40" s="14">
        <f t="shared" ca="1" si="14"/>
        <v>2606.8860835175733</v>
      </c>
      <c r="AA40" s="14">
        <f t="shared" si="15"/>
        <v>4318.772914781468</v>
      </c>
      <c r="AB40" s="25">
        <f t="shared" ca="1" si="16"/>
        <v>525450.15881497099</v>
      </c>
      <c r="AC40" s="41">
        <f t="shared" si="17"/>
        <v>870502.13981566171</v>
      </c>
      <c r="AD40" s="5">
        <f t="shared" ca="1" si="18"/>
        <v>60.361730865617481</v>
      </c>
      <c r="AE40" s="7">
        <f t="shared" ca="1" si="19"/>
        <v>2606.8860835175733</v>
      </c>
      <c r="AF40" s="41">
        <f t="shared" ca="1" si="44"/>
        <v>1711.8868312638947</v>
      </c>
      <c r="AG40" s="41">
        <f t="shared" ca="1" si="20"/>
        <v>20.030477278897965</v>
      </c>
      <c r="AH40" s="41">
        <f t="shared" ca="1" si="21"/>
        <v>1907.6811781078686</v>
      </c>
      <c r="AI40" s="13">
        <f t="shared" ca="1" si="22"/>
        <v>0</v>
      </c>
      <c r="AJ40" s="10">
        <f t="shared" ca="1" si="23"/>
        <v>0</v>
      </c>
      <c r="AK40" s="11">
        <f t="shared" ca="1" si="24"/>
        <v>6.9766883040090905E-2</v>
      </c>
      <c r="AL40" s="7">
        <v>0</v>
      </c>
      <c r="AM40" s="41">
        <f t="shared" si="25"/>
        <v>3014.507717466242</v>
      </c>
      <c r="AN40" s="41">
        <f t="shared" ca="1" si="26"/>
        <v>1597.4221205197953</v>
      </c>
      <c r="AO40" s="6">
        <v>100</v>
      </c>
      <c r="AP40" s="67">
        <f t="shared" si="27"/>
        <v>0.73178540104589451</v>
      </c>
      <c r="AQ40" s="11">
        <f t="shared" si="28"/>
        <v>0.98330272071837588</v>
      </c>
      <c r="AR40" s="11">
        <f t="shared" si="29"/>
        <v>0.68770269343653956</v>
      </c>
      <c r="AS40" s="11">
        <f t="shared" si="30"/>
        <v>0.69938044403469313</v>
      </c>
      <c r="AT40" s="11">
        <f t="shared" si="31"/>
        <v>510.00962215499999</v>
      </c>
      <c r="AU40" s="11">
        <f t="shared" si="32"/>
        <v>1455.3301939042735</v>
      </c>
      <c r="AV40" s="11">
        <f t="shared" si="33"/>
        <v>1.6623573774260621E-3</v>
      </c>
      <c r="AW40" s="11">
        <f t="shared" si="34"/>
        <v>3.6885478983619832E-7</v>
      </c>
      <c r="AX40" s="41">
        <f t="shared" ca="1" si="45"/>
        <v>2.0372223896120971</v>
      </c>
      <c r="AY40" s="41">
        <f t="shared" ca="1" si="46"/>
        <v>1.094063875902793</v>
      </c>
      <c r="AZ40" s="41">
        <f t="shared" si="47"/>
        <v>0.13554887176016145</v>
      </c>
      <c r="BA40" s="41">
        <f t="shared" ca="1" si="37"/>
        <v>4.4370584707046099</v>
      </c>
      <c r="BB40" s="41">
        <f t="shared" ca="1" si="38"/>
        <v>9.8411804647186347</v>
      </c>
      <c r="BC40" s="41">
        <f t="shared" ca="1" si="48"/>
        <v>5.7225430149310474</v>
      </c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</row>
    <row r="41" spans="1:67">
      <c r="A41" s="41">
        <f t="shared" si="39"/>
        <v>2871.3338548799566</v>
      </c>
      <c r="B41" s="41">
        <f t="shared" si="40"/>
        <v>47.855564247999276</v>
      </c>
      <c r="C41" s="41">
        <f t="shared" si="40"/>
        <v>0.7975927374666546</v>
      </c>
      <c r="D41" s="23">
        <f t="shared" ca="1" si="49"/>
        <v>17226.348438746474</v>
      </c>
      <c r="E41" s="41">
        <f t="shared" si="41"/>
        <v>100</v>
      </c>
      <c r="F41" s="41">
        <f t="shared" si="42"/>
        <v>100</v>
      </c>
      <c r="G41" s="41"/>
      <c r="H41" s="6">
        <f t="shared" si="50"/>
        <v>10000</v>
      </c>
      <c r="I41" s="5">
        <v>15</v>
      </c>
      <c r="J41" s="41">
        <f t="shared" si="0"/>
        <v>0.1911435256189907</v>
      </c>
      <c r="K41" s="41">
        <f t="shared" si="1"/>
        <v>211.61292120255152</v>
      </c>
      <c r="L41" s="6">
        <f t="shared" si="43"/>
        <v>105</v>
      </c>
      <c r="M41" s="41">
        <f t="shared" si="2"/>
        <v>125.37727000577253</v>
      </c>
      <c r="N41" s="41">
        <f t="shared" si="3"/>
        <v>37.220205302565859</v>
      </c>
      <c r="O41" s="41">
        <f t="shared" si="4"/>
        <v>953698.61097902223</v>
      </c>
      <c r="P41" s="41">
        <f t="shared" si="5"/>
        <v>6123415.2313990295</v>
      </c>
      <c r="Q41" s="41">
        <f t="shared" si="6"/>
        <v>3.2419200212954304E-3</v>
      </c>
      <c r="R41" s="41">
        <f t="shared" si="7"/>
        <v>2.4791921730008604E-2</v>
      </c>
      <c r="S41" s="27">
        <v>0</v>
      </c>
      <c r="T41" s="41">
        <f t="shared" ca="1" si="8"/>
        <v>2.0122717356376714</v>
      </c>
      <c r="U41" s="41">
        <f t="shared" ca="1" si="9"/>
        <v>0.28052849710037242</v>
      </c>
      <c r="V41" s="41">
        <f t="shared" ca="1" si="10"/>
        <v>7.1731455322262159</v>
      </c>
      <c r="W41" s="20">
        <f t="shared" ca="1" si="11"/>
        <v>2401.5054987181061</v>
      </c>
      <c r="X41" s="41">
        <f t="shared" si="12"/>
        <v>0.6265349476636205</v>
      </c>
      <c r="Y41" s="41">
        <f t="shared" ca="1" si="13"/>
        <v>207.14566477121807</v>
      </c>
      <c r="Z41" s="14">
        <f t="shared" ca="1" si="14"/>
        <v>2401.5054987181061</v>
      </c>
      <c r="AA41" s="14">
        <f t="shared" si="15"/>
        <v>4318.772914781468</v>
      </c>
      <c r="AB41" s="25">
        <f t="shared" ca="1" si="16"/>
        <v>508189.59386772878</v>
      </c>
      <c r="AC41" s="41">
        <f t="shared" si="17"/>
        <v>913908.15250736452</v>
      </c>
      <c r="AD41" s="5">
        <f t="shared" ca="1" si="18"/>
        <v>55.606199865213881</v>
      </c>
      <c r="AE41" s="7">
        <f t="shared" ca="1" si="19"/>
        <v>2401.5054987181061</v>
      </c>
      <c r="AF41" s="41">
        <f t="shared" ca="1" si="44"/>
        <v>1917.2674160633619</v>
      </c>
      <c r="AG41" s="41">
        <f t="shared" ca="1" si="20"/>
        <v>23.55220899439551</v>
      </c>
      <c r="AH41" s="41">
        <f t="shared" ca="1" si="21"/>
        <v>1762.0102229861561</v>
      </c>
      <c r="AI41" s="13">
        <f t="shared" ca="1" si="22"/>
        <v>0</v>
      </c>
      <c r="AJ41" s="10">
        <f t="shared" ca="1" si="23"/>
        <v>0</v>
      </c>
      <c r="AK41" s="11">
        <f t="shared" ca="1" si="24"/>
        <v>8.2033203071942576E-2</v>
      </c>
      <c r="AL41" s="7">
        <v>0</v>
      </c>
      <c r="AM41" s="41">
        <f t="shared" si="25"/>
        <v>2871.3338548799566</v>
      </c>
      <c r="AN41" s="41">
        <f t="shared" ca="1" si="26"/>
        <v>1405.3665571957588</v>
      </c>
      <c r="AO41" s="6">
        <v>100</v>
      </c>
      <c r="AP41" s="67">
        <f t="shared" si="27"/>
        <v>0.73371067604329676</v>
      </c>
      <c r="AQ41" s="11">
        <f t="shared" si="28"/>
        <v>0.98330272071837588</v>
      </c>
      <c r="AR41" s="11">
        <f t="shared" si="29"/>
        <v>0.68770269343653956</v>
      </c>
      <c r="AS41" s="11">
        <f t="shared" si="30"/>
        <v>0.69938044403469313</v>
      </c>
      <c r="AT41" s="11">
        <f t="shared" si="31"/>
        <v>510.00962215499999</v>
      </c>
      <c r="AU41" s="11">
        <f t="shared" si="32"/>
        <v>1455.3301939042735</v>
      </c>
      <c r="AV41" s="11">
        <f t="shared" si="33"/>
        <v>1.6623573774260621E-3</v>
      </c>
      <c r="AW41" s="11">
        <f t="shared" si="34"/>
        <v>3.6885478983619832E-7</v>
      </c>
      <c r="AX41" s="41">
        <f t="shared" ca="1" si="45"/>
        <v>1.7048869514335097</v>
      </c>
      <c r="AY41" s="41">
        <f t="shared" ca="1" si="46"/>
        <v>0.915587436880959</v>
      </c>
      <c r="AZ41" s="41">
        <f t="shared" si="47"/>
        <v>0.14221519772085531</v>
      </c>
      <c r="BA41" s="41">
        <f t="shared" ca="1" si="37"/>
        <v>5.0566899822148565</v>
      </c>
      <c r="BB41" s="41">
        <f t="shared" ca="1" si="38"/>
        <v>10.175434327093114</v>
      </c>
      <c r="BC41" s="41">
        <f t="shared" ca="1" si="48"/>
        <v>6.2119440309079028</v>
      </c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</row>
    <row r="42" spans="1:67">
      <c r="A42" s="41">
        <f t="shared" si="39"/>
        <v>2741.1925150939978</v>
      </c>
      <c r="B42" s="41">
        <f t="shared" ref="B42:C57" si="51">(A42/60)</f>
        <v>45.686541918233296</v>
      </c>
      <c r="C42" s="41">
        <f t="shared" si="51"/>
        <v>0.76144236530388831</v>
      </c>
      <c r="D42" s="23">
        <f t="shared" ca="1" si="49"/>
        <v>17226.348438746474</v>
      </c>
      <c r="E42" s="41">
        <f t="shared" si="41"/>
        <v>100</v>
      </c>
      <c r="F42" s="41">
        <f t="shared" si="42"/>
        <v>100</v>
      </c>
      <c r="G42" s="41"/>
      <c r="H42" s="6">
        <f t="shared" si="50"/>
        <v>10000</v>
      </c>
      <c r="I42" s="5">
        <v>15</v>
      </c>
      <c r="J42" s="41">
        <f t="shared" si="0"/>
        <v>0.20021828938639946</v>
      </c>
      <c r="K42" s="41">
        <f t="shared" si="1"/>
        <v>221.65949360842143</v>
      </c>
      <c r="L42" s="6">
        <f t="shared" si="43"/>
        <v>110</v>
      </c>
      <c r="M42" s="41">
        <f t="shared" si="2"/>
        <v>131.32970341109197</v>
      </c>
      <c r="N42" s="41">
        <f t="shared" si="3"/>
        <v>40.838245249929358</v>
      </c>
      <c r="O42" s="41">
        <f t="shared" si="4"/>
        <v>998976.57460302592</v>
      </c>
      <c r="P42" s="41">
        <f t="shared" si="5"/>
        <v>6414131.5739732711</v>
      </c>
      <c r="Q42" s="41">
        <f t="shared" si="6"/>
        <v>3.2161626372518974E-3</v>
      </c>
      <c r="R42" s="41">
        <f t="shared" si="7"/>
        <v>2.4634672900422837E-2</v>
      </c>
      <c r="S42" s="27">
        <v>0</v>
      </c>
      <c r="T42" s="41">
        <f t="shared" ca="1" si="8"/>
        <v>1.8339957230438109</v>
      </c>
      <c r="U42" s="41">
        <f t="shared" ca="1" si="9"/>
        <v>0.2370648582045552</v>
      </c>
      <c r="V42" s="41">
        <f t="shared" ca="1" si="10"/>
        <v>7.7362614473264459</v>
      </c>
      <c r="W42" s="20">
        <f t="shared" ca="1" si="11"/>
        <v>2226.7019484843913</v>
      </c>
      <c r="X42" s="41">
        <f t="shared" si="12"/>
        <v>0.62454481130987072</v>
      </c>
      <c r="Y42" s="41">
        <f t="shared" ca="1" si="13"/>
        <v>207.14566477121807</v>
      </c>
      <c r="Z42" s="14">
        <f t="shared" ca="1" si="14"/>
        <v>2226.7019484843913</v>
      </c>
      <c r="AA42" s="14">
        <f t="shared" si="15"/>
        <v>4318.772914781468</v>
      </c>
      <c r="AB42" s="25">
        <f t="shared" ca="1" si="16"/>
        <v>493569.62631793547</v>
      </c>
      <c r="AC42" s="41">
        <f t="shared" si="17"/>
        <v>957297.01730022638</v>
      </c>
      <c r="AD42" s="5">
        <f t="shared" ca="1" si="18"/>
        <v>51.558671697306956</v>
      </c>
      <c r="AE42" s="7">
        <f t="shared" ca="1" si="19"/>
        <v>2226.7019484843913</v>
      </c>
      <c r="AF42" s="41">
        <f t="shared" ca="1" si="44"/>
        <v>2092.0709662970767</v>
      </c>
      <c r="AG42" s="41">
        <f t="shared" ca="1" si="20"/>
        <v>26.919656979609741</v>
      </c>
      <c r="AH42" s="41">
        <f t="shared" ca="1" si="21"/>
        <v>1638.0080807961781</v>
      </c>
      <c r="AI42" s="13">
        <f t="shared" ca="1" si="22"/>
        <v>0</v>
      </c>
      <c r="AJ42" s="10">
        <f t="shared" ca="1" si="23"/>
        <v>0</v>
      </c>
      <c r="AK42" s="11">
        <f t="shared" ca="1" si="24"/>
        <v>9.3762147243209817E-2</v>
      </c>
      <c r="AL42" s="7">
        <v>0</v>
      </c>
      <c r="AM42" s="41">
        <f t="shared" si="25"/>
        <v>2741.1925150939978</v>
      </c>
      <c r="AN42" s="41">
        <f t="shared" ca="1" si="26"/>
        <v>1247.2487474283244</v>
      </c>
      <c r="AO42" s="6">
        <v>100</v>
      </c>
      <c r="AP42" s="67">
        <f t="shared" si="27"/>
        <v>0.73562071561085718</v>
      </c>
      <c r="AQ42" s="11">
        <f t="shared" si="28"/>
        <v>0.98330272071837588</v>
      </c>
      <c r="AR42" s="11">
        <f t="shared" si="29"/>
        <v>0.68770269343653956</v>
      </c>
      <c r="AS42" s="11">
        <f t="shared" si="30"/>
        <v>0.69938044403469313</v>
      </c>
      <c r="AT42" s="11">
        <f t="shared" si="31"/>
        <v>510.00962215499999</v>
      </c>
      <c r="AU42" s="11">
        <f t="shared" si="32"/>
        <v>1455.3301939042735</v>
      </c>
      <c r="AV42" s="11">
        <f t="shared" si="33"/>
        <v>1.6623573774260621E-3</v>
      </c>
      <c r="AW42" s="11">
        <f t="shared" si="34"/>
        <v>3.6885478983619832E-7</v>
      </c>
      <c r="AX42" s="41">
        <f t="shared" ca="1" si="45"/>
        <v>1.4767888133652518</v>
      </c>
      <c r="AY42" s="41">
        <f t="shared" ca="1" si="46"/>
        <v>0.79309028865911679</v>
      </c>
      <c r="AZ42" s="41">
        <f t="shared" si="47"/>
        <v>0.14883885943640926</v>
      </c>
      <c r="BA42" s="41">
        <f t="shared" ca="1" si="37"/>
        <v>5.7125758433807832</v>
      </c>
      <c r="BB42" s="41">
        <f t="shared" ca="1" si="38"/>
        <v>10.476839664323748</v>
      </c>
      <c r="BC42" s="41">
        <f t="shared" ca="1" si="48"/>
        <v>6.6996024133847021</v>
      </c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</row>
    <row r="43" spans="1:67">
      <c r="A43" s="41">
        <f t="shared" si="39"/>
        <v>2622.3837100226556</v>
      </c>
      <c r="B43" s="41">
        <f t="shared" si="51"/>
        <v>43.706395167044256</v>
      </c>
      <c r="C43" s="41">
        <f t="shared" si="51"/>
        <v>0.72843991945073761</v>
      </c>
      <c r="D43" s="23">
        <f t="shared" ca="1" si="49"/>
        <v>17226.348438746474</v>
      </c>
      <c r="E43" s="41">
        <f t="shared" si="41"/>
        <v>100</v>
      </c>
      <c r="F43" s="41">
        <f t="shared" si="42"/>
        <v>100</v>
      </c>
      <c r="G43" s="41"/>
      <c r="H43" s="6">
        <f t="shared" si="50"/>
        <v>10000</v>
      </c>
      <c r="I43" s="5">
        <v>15</v>
      </c>
      <c r="J43" s="41">
        <f t="shared" si="0"/>
        <v>0.20928930962821637</v>
      </c>
      <c r="K43" s="41">
        <f t="shared" si="1"/>
        <v>231.70192159776704</v>
      </c>
      <c r="L43" s="6">
        <f t="shared" si="43"/>
        <v>115</v>
      </c>
      <c r="M43" s="41">
        <f t="shared" si="2"/>
        <v>137.27968131593141</v>
      </c>
      <c r="N43" s="41">
        <f t="shared" si="3"/>
        <v>44.622476615333888</v>
      </c>
      <c r="O43" s="41">
        <f t="shared" si="4"/>
        <v>1044235.8601413056</v>
      </c>
      <c r="P43" s="41">
        <f t="shared" si="5"/>
        <v>6704727.9901123689</v>
      </c>
      <c r="Q43" s="41">
        <f t="shared" si="6"/>
        <v>3.1917205505852509E-3</v>
      </c>
      <c r="R43" s="41">
        <f t="shared" si="7"/>
        <v>2.4485453961322956E-2</v>
      </c>
      <c r="S43" s="27">
        <v>0</v>
      </c>
      <c r="T43" s="41">
        <f t="shared" ca="1" si="8"/>
        <v>1.6784628018438426</v>
      </c>
      <c r="U43" s="41">
        <f t="shared" ca="1" si="9"/>
        <v>0.20241293588211903</v>
      </c>
      <c r="V43" s="41">
        <f t="shared" ca="1" si="10"/>
        <v>8.2922704249561576</v>
      </c>
      <c r="W43" s="20">
        <f t="shared" ca="1" si="11"/>
        <v>2077.3982945494149</v>
      </c>
      <c r="X43" s="41">
        <f t="shared" si="12"/>
        <v>0.62265041902732599</v>
      </c>
      <c r="Y43" s="41">
        <f t="shared" ca="1" si="13"/>
        <v>207.14566477121807</v>
      </c>
      <c r="Z43" s="14">
        <f t="shared" ca="1" si="14"/>
        <v>2077.3982945494149</v>
      </c>
      <c r="AA43" s="14">
        <f t="shared" si="15"/>
        <v>4318.772914781468</v>
      </c>
      <c r="AB43" s="25">
        <f t="shared" ca="1" si="16"/>
        <v>481337.17677102349</v>
      </c>
      <c r="AC43" s="41">
        <f t="shared" si="17"/>
        <v>1000667.9832992555</v>
      </c>
      <c r="AD43" s="5">
        <f t="shared" ca="1" si="18"/>
        <v>48.101586620572114</v>
      </c>
      <c r="AE43" s="7">
        <f t="shared" ca="1" si="19"/>
        <v>2077.3982945494149</v>
      </c>
      <c r="AF43" s="41">
        <f t="shared" ca="1" si="44"/>
        <v>2241.3746202320531</v>
      </c>
      <c r="AG43" s="41">
        <f t="shared" ca="1" si="20"/>
        <v>30.147469057349603</v>
      </c>
      <c r="AH43" s="41">
        <f t="shared" ca="1" si="21"/>
        <v>1532.1135599888239</v>
      </c>
      <c r="AI43" s="13">
        <f t="shared" ca="1" si="22"/>
        <v>0</v>
      </c>
      <c r="AJ43" s="10">
        <f t="shared" ca="1" si="23"/>
        <v>0</v>
      </c>
      <c r="AK43" s="11">
        <f t="shared" ca="1" si="24"/>
        <v>0.10500473445506379</v>
      </c>
      <c r="AL43" s="7">
        <v>0</v>
      </c>
      <c r="AM43" s="41">
        <f t="shared" si="25"/>
        <v>2622.3837100226556</v>
      </c>
      <c r="AN43" s="41">
        <f t="shared" ca="1" si="26"/>
        <v>1116.0526782276418</v>
      </c>
      <c r="AO43" s="6">
        <v>100</v>
      </c>
      <c r="AP43" s="67">
        <f t="shared" si="27"/>
        <v>0.73751555684276593</v>
      </c>
      <c r="AQ43" s="11">
        <f t="shared" si="28"/>
        <v>0.98330272071837588</v>
      </c>
      <c r="AR43" s="11">
        <f t="shared" si="29"/>
        <v>0.68770269343653956</v>
      </c>
      <c r="AS43" s="11">
        <f t="shared" si="30"/>
        <v>0.69938044403469313</v>
      </c>
      <c r="AT43" s="11">
        <f t="shared" si="31"/>
        <v>510.00962215499999</v>
      </c>
      <c r="AU43" s="11">
        <f t="shared" si="32"/>
        <v>1455.3301939042735</v>
      </c>
      <c r="AV43" s="11">
        <f t="shared" si="33"/>
        <v>1.6623573774260621E-3</v>
      </c>
      <c r="AW43" s="11">
        <f t="shared" si="34"/>
        <v>3.6885478983619832E-7</v>
      </c>
      <c r="AX43" s="41">
        <f t="shared" ca="1" si="45"/>
        <v>1.317632892293219</v>
      </c>
      <c r="AY43" s="41">
        <f t="shared" ca="1" si="46"/>
        <v>0.70761766437969176</v>
      </c>
      <c r="AZ43" s="41">
        <f t="shared" si="47"/>
        <v>0.15541979076798726</v>
      </c>
      <c r="BA43" s="41">
        <f t="shared" ca="1" si="37"/>
        <v>6.4005544471017792</v>
      </c>
      <c r="BB43" s="41">
        <f t="shared" ca="1" si="38"/>
        <v>10.743092550636518</v>
      </c>
      <c r="BC43" s="41">
        <f t="shared" ca="1" si="48"/>
        <v>7.1811061880120324</v>
      </c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</row>
    <row r="44" spans="1:67">
      <c r="A44" s="41">
        <f t="shared" si="39"/>
        <v>2513.4907792462081</v>
      </c>
      <c r="B44" s="41">
        <f t="shared" si="51"/>
        <v>41.891512987436805</v>
      </c>
      <c r="C44" s="41">
        <f t="shared" si="51"/>
        <v>0.69819188312394675</v>
      </c>
      <c r="D44" s="23">
        <f t="shared" ca="1" si="49"/>
        <v>17226.348438746474</v>
      </c>
      <c r="E44" s="41">
        <f t="shared" si="41"/>
        <v>100</v>
      </c>
      <c r="F44" s="41">
        <f t="shared" si="42"/>
        <v>100</v>
      </c>
      <c r="G44" s="41"/>
      <c r="H44" s="6">
        <f t="shared" si="50"/>
        <v>10000</v>
      </c>
      <c r="I44" s="5">
        <v>15</v>
      </c>
      <c r="J44" s="41">
        <f t="shared" si="0"/>
        <v>0.21835643113658745</v>
      </c>
      <c r="K44" s="41">
        <f t="shared" si="1"/>
        <v>241.74003334165894</v>
      </c>
      <c r="L44" s="6">
        <f t="shared" si="43"/>
        <v>120</v>
      </c>
      <c r="M44" s="41">
        <f t="shared" si="2"/>
        <v>143.22710191439947</v>
      </c>
      <c r="N44" s="41">
        <f t="shared" si="3"/>
        <v>48.572622785904052</v>
      </c>
      <c r="O44" s="41">
        <f t="shared" si="4"/>
        <v>1089475.6931940261</v>
      </c>
      <c r="P44" s="41">
        <f t="shared" si="5"/>
        <v>6995199.5076252231</v>
      </c>
      <c r="Q44" s="41">
        <f t="shared" si="6"/>
        <v>3.1684660880582135E-3</v>
      </c>
      <c r="R44" s="41">
        <f t="shared" si="7"/>
        <v>2.4343485467595394E-2</v>
      </c>
      <c r="S44" s="27">
        <v>0</v>
      </c>
      <c r="T44" s="41">
        <f t="shared" ca="1" si="8"/>
        <v>1.5419625877546825</v>
      </c>
      <c r="U44" s="41">
        <f t="shared" ca="1" si="9"/>
        <v>0.17450798194875511</v>
      </c>
      <c r="V44" s="41">
        <f t="shared" ca="1" si="10"/>
        <v>8.8360576435265035</v>
      </c>
      <c r="W44" s="20">
        <f t="shared" ca="1" si="11"/>
        <v>1949.5513874750341</v>
      </c>
      <c r="X44" s="41">
        <f t="shared" si="12"/>
        <v>0.62084270805345576</v>
      </c>
      <c r="Y44" s="41">
        <f t="shared" ca="1" si="13"/>
        <v>207.14566477121807</v>
      </c>
      <c r="Z44" s="14">
        <f t="shared" ca="1" si="14"/>
        <v>1949.5513874750341</v>
      </c>
      <c r="AA44" s="14">
        <f t="shared" si="15"/>
        <v>4318.772914781468</v>
      </c>
      <c r="AB44" s="25">
        <f t="shared" ca="1" si="16"/>
        <v>471284.6174094922</v>
      </c>
      <c r="AC44" s="41">
        <f t="shared" si="17"/>
        <v>1044020.3084143257</v>
      </c>
      <c r="AD44" s="5">
        <f t="shared" ca="1" si="18"/>
        <v>45.141326620866849</v>
      </c>
      <c r="AE44" s="7">
        <f t="shared" ca="1" si="19"/>
        <v>1949.5513874750341</v>
      </c>
      <c r="AF44" s="41">
        <f t="shared" ca="1" si="44"/>
        <v>2369.2215273064339</v>
      </c>
      <c r="AG44" s="41">
        <f t="shared" ca="1" si="20"/>
        <v>33.247655069869829</v>
      </c>
      <c r="AH44" s="41">
        <f t="shared" ca="1" si="21"/>
        <v>1441.4890116604558</v>
      </c>
      <c r="AI44" s="13">
        <f t="shared" ca="1" si="22"/>
        <v>0</v>
      </c>
      <c r="AJ44" s="10">
        <f t="shared" ca="1" si="23"/>
        <v>0</v>
      </c>
      <c r="AK44" s="11">
        <f t="shared" ca="1" si="24"/>
        <v>0.11580279542617632</v>
      </c>
      <c r="AL44" s="7">
        <v>0</v>
      </c>
      <c r="AM44" s="41">
        <f t="shared" si="25"/>
        <v>2513.4907792462081</v>
      </c>
      <c r="AN44" s="41">
        <f t="shared" ca="1" si="26"/>
        <v>1006.4359275536905</v>
      </c>
      <c r="AO44" s="6">
        <v>100</v>
      </c>
      <c r="AP44" s="67">
        <f t="shared" si="27"/>
        <v>0.73939523775641725</v>
      </c>
      <c r="AQ44" s="11">
        <f t="shared" si="28"/>
        <v>0.98330272071837588</v>
      </c>
      <c r="AR44" s="11">
        <f t="shared" si="29"/>
        <v>0.68770269343653956</v>
      </c>
      <c r="AS44" s="11">
        <f t="shared" si="30"/>
        <v>0.69938044403469313</v>
      </c>
      <c r="AT44" s="11">
        <f t="shared" si="31"/>
        <v>510.00962215499999</v>
      </c>
      <c r="AU44" s="11">
        <f t="shared" si="32"/>
        <v>1455.3301939042735</v>
      </c>
      <c r="AV44" s="11">
        <f t="shared" si="33"/>
        <v>1.6623573774260621E-3</v>
      </c>
      <c r="AW44" s="11">
        <f t="shared" si="34"/>
        <v>3.6885478983619832E-7</v>
      </c>
      <c r="AX44" s="41">
        <f t="shared" ca="1" si="45"/>
        <v>1.2056640553813003</v>
      </c>
      <c r="AY44" s="41">
        <f t="shared" ca="1" si="46"/>
        <v>0.64748625196403164</v>
      </c>
      <c r="AZ44" s="41">
        <f t="shared" si="47"/>
        <v>0.16195792965013878</v>
      </c>
      <c r="BA44" s="41">
        <f t="shared" ca="1" si="37"/>
        <v>7.1157654114112203</v>
      </c>
      <c r="BB44" s="41">
        <f t="shared" ca="1" si="38"/>
        <v>10.972244047634909</v>
      </c>
      <c r="BC44" s="41">
        <f t="shared" ca="1" si="48"/>
        <v>7.6520259192939521</v>
      </c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</row>
    <row r="45" spans="1:67">
      <c r="A45" s="41">
        <f t="shared" si="39"/>
        <v>2413.3237245396049</v>
      </c>
      <c r="B45" s="41">
        <f t="shared" si="51"/>
        <v>40.222062075660084</v>
      </c>
      <c r="C45" s="41">
        <f t="shared" si="51"/>
        <v>0.67036770126100143</v>
      </c>
      <c r="D45" s="23">
        <f t="shared" ca="1" si="49"/>
        <v>17226.348438746474</v>
      </c>
      <c r="E45" s="41">
        <f t="shared" si="41"/>
        <v>100</v>
      </c>
      <c r="F45" s="41">
        <f t="shared" si="42"/>
        <v>100</v>
      </c>
      <c r="G45" s="41"/>
      <c r="H45" s="6">
        <f t="shared" si="50"/>
        <v>10000</v>
      </c>
      <c r="I45" s="5">
        <v>15</v>
      </c>
      <c r="J45" s="41">
        <f t="shared" si="0"/>
        <v>0.22741950061242822</v>
      </c>
      <c r="K45" s="41">
        <f t="shared" si="1"/>
        <v>251.77365912434564</v>
      </c>
      <c r="L45" s="6">
        <f t="shared" si="43"/>
        <v>125</v>
      </c>
      <c r="M45" s="41">
        <f t="shared" si="2"/>
        <v>149.17186465262881</v>
      </c>
      <c r="N45" s="41">
        <f t="shared" si="3"/>
        <v>52.688396654512943</v>
      </c>
      <c r="O45" s="41">
        <f t="shared" si="4"/>
        <v>1134695.3088850374</v>
      </c>
      <c r="P45" s="41">
        <f t="shared" si="5"/>
        <v>7285541.2154694842</v>
      </c>
      <c r="Q45" s="41">
        <f t="shared" si="6"/>
        <v>3.146288461994746E-3</v>
      </c>
      <c r="R45" s="41">
        <f t="shared" si="7"/>
        <v>2.4208091060477926E-2</v>
      </c>
      <c r="S45" s="27">
        <v>0</v>
      </c>
      <c r="T45" s="41">
        <f t="shared" ca="1" si="8"/>
        <v>1.4215116018067229</v>
      </c>
      <c r="U45" s="41">
        <f t="shared" ca="1" si="9"/>
        <v>0.15182858113375269</v>
      </c>
      <c r="V45" s="41">
        <f t="shared" ca="1" si="10"/>
        <v>9.3626087472585198</v>
      </c>
      <c r="W45" s="20">
        <f t="shared" ca="1" si="11"/>
        <v>1839.9090364414244</v>
      </c>
      <c r="X45" s="41">
        <f t="shared" si="12"/>
        <v>0.61911378890028945</v>
      </c>
      <c r="Y45" s="41">
        <f t="shared" ca="1" si="13"/>
        <v>207.14566477121807</v>
      </c>
      <c r="Z45" s="14">
        <f t="shared" ca="1" si="14"/>
        <v>1839.9090364414244</v>
      </c>
      <c r="AA45" s="14">
        <f t="shared" si="15"/>
        <v>4318.772914781468</v>
      </c>
      <c r="AB45" s="25">
        <f t="shared" ca="1" si="16"/>
        <v>463240.63056080643</v>
      </c>
      <c r="AC45" s="41">
        <f t="shared" si="17"/>
        <v>1087353.259681646</v>
      </c>
      <c r="AD45" s="5">
        <f t="shared" ca="1" si="18"/>
        <v>42.60258811349253</v>
      </c>
      <c r="AE45" s="7">
        <f t="shared" ca="1" si="19"/>
        <v>1839.9090364414244</v>
      </c>
      <c r="AF45" s="41">
        <f t="shared" ca="1" si="44"/>
        <v>2478.8638783400438</v>
      </c>
      <c r="AG45" s="41">
        <f t="shared" ca="1" si="20"/>
        <v>36.230117563223686</v>
      </c>
      <c r="AH45" s="41">
        <f t="shared" ca="1" si="21"/>
        <v>1363.8505993718938</v>
      </c>
      <c r="AI45" s="13">
        <f t="shared" ca="1" si="22"/>
        <v>0</v>
      </c>
      <c r="AJ45" s="10">
        <f t="shared" ca="1" si="23"/>
        <v>0</v>
      </c>
      <c r="AK45" s="11">
        <f t="shared" ca="1" si="24"/>
        <v>0.12619082108567894</v>
      </c>
      <c r="AL45" s="7">
        <v>0</v>
      </c>
      <c r="AM45" s="41">
        <f t="shared" si="25"/>
        <v>2413.3237245396049</v>
      </c>
      <c r="AN45" s="41">
        <f t="shared" ca="1" si="26"/>
        <v>914.28139116437535</v>
      </c>
      <c r="AO45" s="6">
        <v>100</v>
      </c>
      <c r="AP45" s="67">
        <f t="shared" si="27"/>
        <v>0.74125979728308899</v>
      </c>
      <c r="AQ45" s="11">
        <f t="shared" si="28"/>
        <v>0.98330272071837588</v>
      </c>
      <c r="AR45" s="11">
        <f t="shared" si="29"/>
        <v>0.68770269343653956</v>
      </c>
      <c r="AS45" s="11">
        <f t="shared" si="30"/>
        <v>0.69938044403469313</v>
      </c>
      <c r="AT45" s="11">
        <f t="shared" si="31"/>
        <v>510.00962215499999</v>
      </c>
      <c r="AU45" s="11">
        <f t="shared" si="32"/>
        <v>1455.3301939042735</v>
      </c>
      <c r="AV45" s="11">
        <f t="shared" si="33"/>
        <v>1.6623573774260621E-3</v>
      </c>
      <c r="AW45" s="11">
        <f t="shared" si="34"/>
        <v>3.6885478983619832E-7</v>
      </c>
      <c r="AX45" s="41">
        <f t="shared" ca="1" si="45"/>
        <v>1.1270318849680592</v>
      </c>
      <c r="AY45" s="41">
        <f t="shared" ca="1" si="46"/>
        <v>0.60525786414951332</v>
      </c>
      <c r="AZ45" s="41">
        <f t="shared" si="47"/>
        <v>0.16845321809536334</v>
      </c>
      <c r="BA45" s="41">
        <f t="shared" ca="1" si="37"/>
        <v>7.8527481795885699</v>
      </c>
      <c r="BB45" s="41">
        <f t="shared" ca="1" si="38"/>
        <v>11.162772643351776</v>
      </c>
      <c r="BC45" s="41">
        <f t="shared" ca="1" si="48"/>
        <v>8.1080191751258788</v>
      </c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</row>
    <row r="46" spans="1:67">
      <c r="A46" s="41">
        <f t="shared" si="39"/>
        <v>2320.8756210506376</v>
      </c>
      <c r="B46" s="41">
        <f t="shared" si="51"/>
        <v>38.681260350843964</v>
      </c>
      <c r="C46" s="41">
        <f t="shared" si="51"/>
        <v>0.64468767251406611</v>
      </c>
      <c r="D46" s="23">
        <f t="shared" ca="1" si="49"/>
        <v>17226.348438746474</v>
      </c>
      <c r="E46" s="41">
        <f t="shared" si="41"/>
        <v>100</v>
      </c>
      <c r="F46" s="41">
        <f t="shared" si="42"/>
        <v>100</v>
      </c>
      <c r="G46" s="41"/>
      <c r="H46" s="6">
        <f t="shared" si="50"/>
        <v>10000</v>
      </c>
      <c r="I46" s="5">
        <v>15</v>
      </c>
      <c r="J46" s="41">
        <f t="shared" si="0"/>
        <v>0.23647836673060024</v>
      </c>
      <c r="K46" s="41">
        <f t="shared" si="1"/>
        <v>261.80263141540996</v>
      </c>
      <c r="L46" s="6">
        <f t="shared" si="43"/>
        <v>130</v>
      </c>
      <c r="M46" s="41">
        <f t="shared" si="2"/>
        <v>155.11387027152776</v>
      </c>
      <c r="N46" s="41">
        <f t="shared" si="3"/>
        <v>56.969500839911326</v>
      </c>
      <c r="O46" s="41">
        <f t="shared" si="4"/>
        <v>1179893.9521870695</v>
      </c>
      <c r="P46" s="41">
        <f t="shared" si="5"/>
        <v>7575748.2658395339</v>
      </c>
      <c r="Q46" s="41">
        <f t="shared" si="6"/>
        <v>3.1250909671070785E-3</v>
      </c>
      <c r="R46" s="41">
        <f t="shared" si="7"/>
        <v>2.4078680354188715E-2</v>
      </c>
      <c r="S46" s="27">
        <v>0</v>
      </c>
      <c r="T46" s="41">
        <f t="shared" ca="1" si="8"/>
        <v>1.3146888426397041</v>
      </c>
      <c r="U46" s="41">
        <f t="shared" ca="1" si="9"/>
        <v>0.13323918765863604</v>
      </c>
      <c r="V46" s="41">
        <f t="shared" ca="1" si="10"/>
        <v>9.8671334293030046</v>
      </c>
      <c r="W46" s="20">
        <f t="shared" ca="1" si="11"/>
        <v>1745.831103042387</v>
      </c>
      <c r="X46" s="41">
        <f t="shared" si="12"/>
        <v>0.61745675375416775</v>
      </c>
      <c r="Y46" s="41">
        <f t="shared" ca="1" si="13"/>
        <v>207.14566477121807</v>
      </c>
      <c r="Z46" s="14">
        <f t="shared" ca="1" si="14"/>
        <v>1745.831103042387</v>
      </c>
      <c r="AA46" s="14">
        <f t="shared" si="15"/>
        <v>4318.772914781468</v>
      </c>
      <c r="AB46" s="25">
        <f t="shared" ca="1" si="16"/>
        <v>457063.17678336467</v>
      </c>
      <c r="AC46" s="41">
        <f t="shared" si="17"/>
        <v>1130666.1135753884</v>
      </c>
      <c r="AD46" s="5">
        <f t="shared" ca="1" si="18"/>
        <v>40.424239419189902</v>
      </c>
      <c r="AE46" s="7">
        <f t="shared" ca="1" si="19"/>
        <v>1745.8311030423868</v>
      </c>
      <c r="AF46" s="41">
        <f t="shared" ca="1" si="44"/>
        <v>2572.941811739081</v>
      </c>
      <c r="AG46" s="41">
        <f t="shared" ca="1" si="20"/>
        <v>39.103060012237883</v>
      </c>
      <c r="AH46" s="41">
        <f t="shared" ca="1" si="21"/>
        <v>1297.3432857044154</v>
      </c>
      <c r="AI46" s="13">
        <f t="shared" ca="1" si="22"/>
        <v>-3.4555800817159827E-15</v>
      </c>
      <c r="AJ46" s="10">
        <f t="shared" ca="1" si="23"/>
        <v>-7.5625731254641645E-16</v>
      </c>
      <c r="AK46" s="11">
        <f t="shared" ca="1" si="24"/>
        <v>0.13619738443564189</v>
      </c>
      <c r="AL46" s="7">
        <v>0</v>
      </c>
      <c r="AM46" s="41">
        <f t="shared" si="25"/>
        <v>2320.8756210506376</v>
      </c>
      <c r="AN46" s="41">
        <f t="shared" ca="1" si="26"/>
        <v>836.38122331253055</v>
      </c>
      <c r="AO46" s="6">
        <v>100</v>
      </c>
      <c r="AP46" s="67">
        <f t="shared" si="27"/>
        <v>0.74310927525783543</v>
      </c>
      <c r="AQ46" s="11">
        <f t="shared" si="28"/>
        <v>0.98330272071837588</v>
      </c>
      <c r="AR46" s="11">
        <f t="shared" si="29"/>
        <v>0.68770269343653956</v>
      </c>
      <c r="AS46" s="11">
        <f t="shared" si="30"/>
        <v>0.69938044403469313</v>
      </c>
      <c r="AT46" s="11">
        <f t="shared" si="31"/>
        <v>510.00962215499999</v>
      </c>
      <c r="AU46" s="11">
        <f t="shared" si="32"/>
        <v>1455.3301939042735</v>
      </c>
      <c r="AV46" s="11">
        <f t="shared" si="33"/>
        <v>1.6623573774260621E-3</v>
      </c>
      <c r="AW46" s="11">
        <f t="shared" si="34"/>
        <v>3.6885478983619832E-7</v>
      </c>
      <c r="AX46" s="41">
        <f t="shared" ca="1" si="45"/>
        <v>1.0726548128067888</v>
      </c>
      <c r="AY46" s="41">
        <f t="shared" ca="1" si="46"/>
        <v>0.57605536243327549</v>
      </c>
      <c r="AZ46" s="41">
        <f t="shared" si="47"/>
        <v>0.17490560219537313</v>
      </c>
      <c r="BA46" s="41">
        <f t="shared" ca="1" si="37"/>
        <v>8.6055674399084978</v>
      </c>
      <c r="BB46" s="41">
        <f t="shared" ca="1" si="38"/>
        <v>11.313643497831224</v>
      </c>
      <c r="BC46" s="41">
        <f t="shared" ca="1" si="48"/>
        <v>8.5449375497764013</v>
      </c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</row>
    <row r="47" spans="1:67">
      <c r="A47" s="41">
        <f t="shared" si="39"/>
        <v>2235.2887148842133</v>
      </c>
      <c r="B47" s="41">
        <f t="shared" si="51"/>
        <v>37.254811914736891</v>
      </c>
      <c r="C47" s="41">
        <f t="shared" si="51"/>
        <v>0.62091353191228149</v>
      </c>
      <c r="D47" s="23">
        <f t="shared" ca="1" si="49"/>
        <v>17226.348438746474</v>
      </c>
      <c r="E47" s="41">
        <f t="shared" si="41"/>
        <v>100</v>
      </c>
      <c r="F47" s="41">
        <f t="shared" si="42"/>
        <v>100</v>
      </c>
      <c r="G47" s="41"/>
      <c r="H47" s="6">
        <f t="shared" si="50"/>
        <v>10000</v>
      </c>
      <c r="I47" s="5">
        <v>15</v>
      </c>
      <c r="J47" s="41">
        <f t="shared" si="0"/>
        <v>0.24553288020306213</v>
      </c>
      <c r="K47" s="41">
        <f t="shared" si="1"/>
        <v>271.82678493968268</v>
      </c>
      <c r="L47" s="6">
        <f t="shared" si="43"/>
        <v>135</v>
      </c>
      <c r="M47" s="41">
        <f t="shared" si="2"/>
        <v>161.05302084820295</v>
      </c>
      <c r="N47" s="41">
        <f t="shared" si="3"/>
        <v>61.415627913294294</v>
      </c>
      <c r="O47" s="41">
        <f t="shared" si="4"/>
        <v>1225070.87823682</v>
      </c>
      <c r="P47" s="41">
        <f t="shared" si="5"/>
        <v>7865815.8761895653</v>
      </c>
      <c r="Q47" s="41">
        <f t="shared" si="6"/>
        <v>3.1047887309398545E-3</v>
      </c>
      <c r="R47" s="41">
        <f t="shared" si="7"/>
        <v>2.3954735202387809E-2</v>
      </c>
      <c r="S47" s="27">
        <v>0</v>
      </c>
      <c r="T47" s="41">
        <f t="shared" ca="1" si="8"/>
        <v>1.2195131706659976</v>
      </c>
      <c r="U47" s="41">
        <f t="shared" ca="1" si="9"/>
        <v>0.11788219578114562</v>
      </c>
      <c r="V47" s="41">
        <f t="shared" ca="1" si="10"/>
        <v>10.345185399583894</v>
      </c>
      <c r="W47" s="20">
        <f t="shared" ca="1" si="11"/>
        <v>1665.1560869502982</v>
      </c>
      <c r="X47" s="41">
        <f t="shared" si="12"/>
        <v>0.6158655222187488</v>
      </c>
      <c r="Y47" s="41">
        <f t="shared" ca="1" si="13"/>
        <v>207.14566477121807</v>
      </c>
      <c r="Z47" s="14">
        <f t="shared" ca="1" si="14"/>
        <v>1665.1560869502982</v>
      </c>
      <c r="AA47" s="14">
        <f t="shared" si="15"/>
        <v>4318.772914781468</v>
      </c>
      <c r="AB47" s="25">
        <f t="shared" ca="1" si="16"/>
        <v>452634.02553844225</v>
      </c>
      <c r="AC47" s="41">
        <f t="shared" si="17"/>
        <v>1173958.1563096286</v>
      </c>
      <c r="AD47" s="5">
        <f t="shared" ca="1" si="18"/>
        <v>38.556231591874656</v>
      </c>
      <c r="AE47" s="7">
        <f t="shared" ca="1" si="19"/>
        <v>1665.1560869502982</v>
      </c>
      <c r="AF47" s="41">
        <f t="shared" ca="1" si="44"/>
        <v>2653.6168278311698</v>
      </c>
      <c r="AG47" s="41">
        <f t="shared" ca="1" si="20"/>
        <v>41.873304335859338</v>
      </c>
      <c r="AH47" s="41">
        <f t="shared" ca="1" si="21"/>
        <v>1240.4475571525843</v>
      </c>
      <c r="AI47" s="13">
        <f t="shared" ca="1" si="22"/>
        <v>0</v>
      </c>
      <c r="AJ47" s="10">
        <f t="shared" ca="1" si="23"/>
        <v>0</v>
      </c>
      <c r="AK47" s="11">
        <f t="shared" ca="1" si="24"/>
        <v>0.14584624646860925</v>
      </c>
      <c r="AL47" s="7">
        <v>0</v>
      </c>
      <c r="AM47" s="41">
        <f t="shared" si="25"/>
        <v>2235.2887148842133</v>
      </c>
      <c r="AN47" s="41">
        <f t="shared" ca="1" si="26"/>
        <v>770.21067386357277</v>
      </c>
      <c r="AO47" s="6">
        <v>100</v>
      </c>
      <c r="AP47" s="67">
        <f t="shared" si="27"/>
        <v>0.744943712408631</v>
      </c>
      <c r="AQ47" s="11">
        <f t="shared" si="28"/>
        <v>0.98330272071837588</v>
      </c>
      <c r="AR47" s="11">
        <f t="shared" si="29"/>
        <v>0.68770269343653956</v>
      </c>
      <c r="AS47" s="11">
        <f t="shared" si="30"/>
        <v>0.69938044403469313</v>
      </c>
      <c r="AT47" s="11">
        <f t="shared" si="31"/>
        <v>510.00962215499999</v>
      </c>
      <c r="AU47" s="11">
        <f t="shared" si="32"/>
        <v>1455.3301939042735</v>
      </c>
      <c r="AV47" s="11">
        <f t="shared" si="33"/>
        <v>1.6623573774260621E-3</v>
      </c>
      <c r="AW47" s="11">
        <f t="shared" si="34"/>
        <v>3.6885478983619832E-7</v>
      </c>
      <c r="AX47" s="41">
        <f t="shared" ca="1" si="45"/>
        <v>1.036415981370278</v>
      </c>
      <c r="AY47" s="41">
        <f t="shared" ca="1" si="46"/>
        <v>0.55659376777292713</v>
      </c>
      <c r="AZ47" s="41">
        <f t="shared" si="47"/>
        <v>0.18131503211914912</v>
      </c>
      <c r="BA47" s="41">
        <f t="shared" ca="1" si="37"/>
        <v>9.3679600649359234</v>
      </c>
      <c r="BB47" s="41">
        <f t="shared" ca="1" si="38"/>
        <v>11.424350681462451</v>
      </c>
      <c r="BC47" s="41">
        <f t="shared" ca="1" si="48"/>
        <v>8.9589305560396522</v>
      </c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</row>
    <row r="48" spans="1:67">
      <c r="A48" s="41">
        <f t="shared" si="39"/>
        <v>2155.8277854920484</v>
      </c>
      <c r="B48" s="41">
        <f t="shared" si="51"/>
        <v>35.930463091534143</v>
      </c>
      <c r="C48" s="41">
        <f t="shared" si="51"/>
        <v>0.5988410515255691</v>
      </c>
      <c r="D48" s="23">
        <f t="shared" ca="1" si="49"/>
        <v>17226.348438746474</v>
      </c>
      <c r="E48" s="41">
        <f t="shared" si="41"/>
        <v>100</v>
      </c>
      <c r="F48" s="41">
        <f t="shared" si="42"/>
        <v>100</v>
      </c>
      <c r="G48" s="41"/>
      <c r="H48" s="6">
        <f t="shared" si="50"/>
        <v>10000</v>
      </c>
      <c r="I48" s="5">
        <v>15</v>
      </c>
      <c r="J48" s="41">
        <f t="shared" si="0"/>
        <v>0.25458289383985061</v>
      </c>
      <c r="K48" s="41">
        <f t="shared" si="1"/>
        <v>281.84595674475406</v>
      </c>
      <c r="L48" s="6">
        <f t="shared" si="43"/>
        <v>140</v>
      </c>
      <c r="M48" s="41">
        <f t="shared" si="2"/>
        <v>166.98921983595886</v>
      </c>
      <c r="N48" s="41">
        <f t="shared" si="3"/>
        <v>66.026460630936057</v>
      </c>
      <c r="O48" s="41">
        <f t="shared" si="4"/>
        <v>1270225.3526392155</v>
      </c>
      <c r="P48" s="41">
        <f t="shared" si="5"/>
        <v>8155739.3311871616</v>
      </c>
      <c r="Q48" s="41">
        <f t="shared" si="6"/>
        <v>3.0853068924397258E-3</v>
      </c>
      <c r="R48" s="41">
        <f t="shared" si="7"/>
        <v>2.3835798578344527E-2</v>
      </c>
      <c r="S48" s="27">
        <v>0</v>
      </c>
      <c r="T48" s="41">
        <f t="shared" ca="1" si="8"/>
        <v>1.1343507801157575</v>
      </c>
      <c r="U48" s="41">
        <f t="shared" ca="1" si="9"/>
        <v>0.10510281935978952</v>
      </c>
      <c r="V48" s="41">
        <f t="shared" ca="1" si="10"/>
        <v>10.792772135185368</v>
      </c>
      <c r="W48" s="20">
        <f t="shared" ca="1" si="11"/>
        <v>1596.1004478716911</v>
      </c>
      <c r="X48" s="41">
        <f t="shared" si="12"/>
        <v>0.61433471602955414</v>
      </c>
      <c r="Y48" s="41">
        <f t="shared" ca="1" si="13"/>
        <v>207.14566477121807</v>
      </c>
      <c r="Z48" s="14">
        <f t="shared" ca="1" si="14"/>
        <v>1596.1004478716911</v>
      </c>
      <c r="AA48" s="14">
        <f t="shared" si="15"/>
        <v>4318.772914781468</v>
      </c>
      <c r="AB48" s="25">
        <f t="shared" ca="1" si="16"/>
        <v>449854.45779112726</v>
      </c>
      <c r="AC48" s="41">
        <f t="shared" si="17"/>
        <v>1217228.6841299131</v>
      </c>
      <c r="AD48" s="5">
        <f t="shared" ca="1" si="18"/>
        <v>36.95726724618617</v>
      </c>
      <c r="AE48" s="7">
        <f t="shared" ca="1" si="19"/>
        <v>1596.1004478716914</v>
      </c>
      <c r="AF48" s="41">
        <f t="shared" ca="1" si="44"/>
        <v>2722.6724669097766</v>
      </c>
      <c r="AG48" s="41">
        <f t="shared" ca="1" si="20"/>
        <v>44.546540380709153</v>
      </c>
      <c r="AH48" s="41">
        <f t="shared" ca="1" si="21"/>
        <v>1191.908998719357</v>
      </c>
      <c r="AI48" s="13">
        <f t="shared" ca="1" si="22"/>
        <v>3.7201355424650994E-15</v>
      </c>
      <c r="AJ48" s="10">
        <f t="shared" ca="1" si="23"/>
        <v>7.5625731254641645E-16</v>
      </c>
      <c r="AK48" s="11">
        <f t="shared" ca="1" si="24"/>
        <v>0.15515722512791821</v>
      </c>
      <c r="AL48" s="7">
        <v>0</v>
      </c>
      <c r="AM48" s="41">
        <f t="shared" si="25"/>
        <v>2155.8277854920484</v>
      </c>
      <c r="AN48" s="41">
        <f t="shared" ca="1" si="26"/>
        <v>713.76403811588784</v>
      </c>
      <c r="AO48" s="6">
        <v>100</v>
      </c>
      <c r="AP48" s="67">
        <f t="shared" si="27"/>
        <v>0.74676315034476648</v>
      </c>
      <c r="AQ48" s="11">
        <f t="shared" si="28"/>
        <v>0.98330272071837588</v>
      </c>
      <c r="AR48" s="11">
        <f t="shared" si="29"/>
        <v>0.68770269343653956</v>
      </c>
      <c r="AS48" s="11">
        <f t="shared" si="30"/>
        <v>0.69938044403469313</v>
      </c>
      <c r="AT48" s="11">
        <f t="shared" si="31"/>
        <v>510.00962215499999</v>
      </c>
      <c r="AU48" s="11">
        <f t="shared" si="32"/>
        <v>1455.3301939042735</v>
      </c>
      <c r="AV48" s="11">
        <f t="shared" si="33"/>
        <v>1.6623573774260621E-3</v>
      </c>
      <c r="AW48" s="11">
        <f t="shared" si="34"/>
        <v>3.6885478983619832E-7</v>
      </c>
      <c r="AX48" s="41">
        <f t="shared" ca="1" si="45"/>
        <v>1.0140930280134832</v>
      </c>
      <c r="AY48" s="41">
        <f t="shared" ca="1" si="46"/>
        <v>0.54460551504427812</v>
      </c>
      <c r="AZ48" s="41">
        <f t="shared" si="47"/>
        <v>0.18768146210775968</v>
      </c>
      <c r="BA48" s="41">
        <f t="shared" ca="1" si="37"/>
        <v>10.133496480380476</v>
      </c>
      <c r="BB48" s="41">
        <f t="shared" ca="1" si="38"/>
        <v>11.494939637819874</v>
      </c>
      <c r="BC48" s="41">
        <f t="shared" ca="1" si="48"/>
        <v>9.3465406690705279</v>
      </c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</row>
    <row r="49" spans="1:67">
      <c r="A49" s="41">
        <f t="shared" si="39"/>
        <v>2081.8590192933807</v>
      </c>
      <c r="B49" s="41">
        <f t="shared" si="51"/>
        <v>34.697650321556345</v>
      </c>
      <c r="C49" s="41">
        <f t="shared" si="51"/>
        <v>0.57829417202593913</v>
      </c>
      <c r="D49" s="23">
        <f t="shared" ca="1" si="49"/>
        <v>17226.348438746474</v>
      </c>
      <c r="E49" s="41">
        <f t="shared" si="41"/>
        <v>100</v>
      </c>
      <c r="F49" s="41">
        <f t="shared" si="42"/>
        <v>100</v>
      </c>
      <c r="G49" s="41"/>
      <c r="H49" s="6">
        <f t="shared" si="50"/>
        <v>10000</v>
      </c>
      <c r="I49" s="5">
        <v>15</v>
      </c>
      <c r="J49" s="41">
        <f t="shared" si="0"/>
        <v>0.26362826260791045</v>
      </c>
      <c r="K49" s="41">
        <f t="shared" si="1"/>
        <v>291.85998626610399</v>
      </c>
      <c r="L49" s="6">
        <f t="shared" si="43"/>
        <v>145</v>
      </c>
      <c r="M49" s="41">
        <f t="shared" si="2"/>
        <v>172.92237210288636</v>
      </c>
      <c r="N49" s="41">
        <f t="shared" si="3"/>
        <v>70.801672172589591</v>
      </c>
      <c r="O49" s="41">
        <f t="shared" si="4"/>
        <v>1315356.6517609404</v>
      </c>
      <c r="P49" s="41">
        <f t="shared" si="5"/>
        <v>8445513.9845979493</v>
      </c>
      <c r="Q49" s="41">
        <f t="shared" si="6"/>
        <v>3.0665791150079774E-3</v>
      </c>
      <c r="R49" s="41">
        <f t="shared" si="7"/>
        <v>2.3721465497123704E-2</v>
      </c>
      <c r="S49" s="27">
        <v>0</v>
      </c>
      <c r="T49" s="41">
        <f t="shared" ca="1" si="8"/>
        <v>1.0578446077150792</v>
      </c>
      <c r="U49" s="41">
        <f t="shared" ca="1" si="9"/>
        <v>9.4396063042137754E-2</v>
      </c>
      <c r="V49" s="41">
        <f t="shared" ca="1" si="10"/>
        <v>11.206448379556514</v>
      </c>
      <c r="W49" s="20">
        <f t="shared" ca="1" si="11"/>
        <v>1537.1817952752835</v>
      </c>
      <c r="X49" s="41">
        <f t="shared" si="12"/>
        <v>0.61285955647298496</v>
      </c>
      <c r="Y49" s="41">
        <f t="shared" ca="1" si="13"/>
        <v>207.14566477121807</v>
      </c>
      <c r="Z49" s="14">
        <f t="shared" ca="1" si="14"/>
        <v>1537.1817952752835</v>
      </c>
      <c r="AA49" s="14">
        <f t="shared" si="15"/>
        <v>4318.772914781468</v>
      </c>
      <c r="AB49" s="25">
        <f t="shared" ca="1" si="16"/>
        <v>448641.85765754932</v>
      </c>
      <c r="AC49" s="41">
        <f t="shared" si="17"/>
        <v>1260477.0035945412</v>
      </c>
      <c r="AD49" s="5">
        <f t="shared" ca="1" si="18"/>
        <v>35.593022036748273</v>
      </c>
      <c r="AE49" s="7">
        <f t="shared" ca="1" si="19"/>
        <v>1537.1817952752835</v>
      </c>
      <c r="AF49" s="41">
        <f t="shared" ca="1" si="44"/>
        <v>2781.5911195061844</v>
      </c>
      <c r="AG49" s="41">
        <f t="shared" ca="1" si="20"/>
        <v>47.127523794361814</v>
      </c>
      <c r="AH49" s="41">
        <f t="shared" ca="1" si="21"/>
        <v>1150.6845357425921</v>
      </c>
      <c r="AI49" s="13">
        <f t="shared" ca="1" si="22"/>
        <v>0</v>
      </c>
      <c r="AJ49" s="10">
        <f t="shared" ca="1" si="23"/>
        <v>0</v>
      </c>
      <c r="AK49" s="11">
        <f t="shared" ca="1" si="24"/>
        <v>0.16414688450754866</v>
      </c>
      <c r="AL49" s="7">
        <v>0</v>
      </c>
      <c r="AM49" s="41">
        <f t="shared" si="25"/>
        <v>2081.8590192933807</v>
      </c>
      <c r="AN49" s="41">
        <f t="shared" ca="1" si="26"/>
        <v>665.43416086031448</v>
      </c>
      <c r="AO49" s="6">
        <v>100</v>
      </c>
      <c r="AP49" s="67">
        <f t="shared" si="27"/>
        <v>0.74856763154453287</v>
      </c>
      <c r="AQ49" s="11">
        <f t="shared" si="28"/>
        <v>0.98330272071837588</v>
      </c>
      <c r="AR49" s="11">
        <f t="shared" si="29"/>
        <v>0.68770269343653956</v>
      </c>
      <c r="AS49" s="11">
        <f t="shared" si="30"/>
        <v>0.69938044403469313</v>
      </c>
      <c r="AT49" s="11">
        <f t="shared" si="31"/>
        <v>510.00962215499999</v>
      </c>
      <c r="AU49" s="11">
        <f t="shared" si="32"/>
        <v>1455.3301939042735</v>
      </c>
      <c r="AV49" s="11">
        <f t="shared" si="33"/>
        <v>1.6623573774260621E-3</v>
      </c>
      <c r="AW49" s="11">
        <f t="shared" si="34"/>
        <v>3.6885478983619832E-7</v>
      </c>
      <c r="AX49" s="41">
        <f t="shared" ca="1" si="45"/>
        <v>1.0027051135290475</v>
      </c>
      <c r="AY49" s="41">
        <f t="shared" ca="1" si="46"/>
        <v>0.53848978319152552</v>
      </c>
      <c r="AZ49" s="41">
        <f t="shared" si="47"/>
        <v>0.19400485046602942</v>
      </c>
      <c r="BA49" s="41">
        <f t="shared" ca="1" si="37"/>
        <v>10.895748162270406</v>
      </c>
      <c r="BB49" s="41">
        <f t="shared" ca="1" si="38"/>
        <v>11.526008440479234</v>
      </c>
      <c r="BC49" s="41">
        <f t="shared" ca="1" si="48"/>
        <v>9.7047842966959408</v>
      </c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</row>
    <row r="50" spans="1:67">
      <c r="A50" s="41">
        <f t="shared" si="39"/>
        <v>2012.8331085729337</v>
      </c>
      <c r="B50" s="41">
        <f t="shared" si="51"/>
        <v>33.547218476215562</v>
      </c>
      <c r="C50" s="41">
        <f t="shared" si="51"/>
        <v>0.55912030793692602</v>
      </c>
      <c r="D50" s="23">
        <f t="shared" ca="1" si="49"/>
        <v>17226.348438746474</v>
      </c>
      <c r="E50" s="41">
        <f t="shared" si="41"/>
        <v>100</v>
      </c>
      <c r="F50" s="41">
        <f t="shared" si="42"/>
        <v>100</v>
      </c>
      <c r="G50" s="41"/>
      <c r="H50" s="6">
        <f t="shared" si="50"/>
        <v>10000</v>
      </c>
      <c r="I50" s="5">
        <v>15</v>
      </c>
      <c r="J50" s="41">
        <f t="shared" si="0"/>
        <v>0.27266884368771083</v>
      </c>
      <c r="K50" s="41">
        <f t="shared" si="1"/>
        <v>301.86871538978085</v>
      </c>
      <c r="L50" s="6">
        <f t="shared" si="43"/>
        <v>150</v>
      </c>
      <c r="M50" s="41">
        <f t="shared" si="2"/>
        <v>178.85238396899891</v>
      </c>
      <c r="N50" s="41">
        <f t="shared" si="3"/>
        <v>75.740926385304547</v>
      </c>
      <c r="O50" s="41">
        <f t="shared" si="4"/>
        <v>1360464.0630129182</v>
      </c>
      <c r="P50" s="41">
        <f t="shared" si="5"/>
        <v>8735135.2610993329</v>
      </c>
      <c r="Q50" s="41">
        <f t="shared" si="6"/>
        <v>3.0485463633548788E-3</v>
      </c>
      <c r="R50" s="41">
        <f t="shared" si="7"/>
        <v>2.3611375548281535E-2</v>
      </c>
      <c r="S50" s="27">
        <v>0</v>
      </c>
      <c r="T50" s="41">
        <f t="shared" ca="1" si="8"/>
        <v>0.98885992949138823</v>
      </c>
      <c r="U50" s="41">
        <f t="shared" ca="1" si="9"/>
        <v>8.5368796116145743E-2</v>
      </c>
      <c r="V50" s="41">
        <f t="shared" ca="1" si="10"/>
        <v>11.583388480095548</v>
      </c>
      <c r="W50" s="20">
        <f t="shared" ca="1" si="11"/>
        <v>1487.1596915140653</v>
      </c>
      <c r="X50" s="41">
        <f t="shared" si="12"/>
        <v>0.61143577976489072</v>
      </c>
      <c r="Y50" s="41">
        <f t="shared" ca="1" si="13"/>
        <v>207.14566477121807</v>
      </c>
      <c r="Z50" s="14">
        <f t="shared" ca="1" si="14"/>
        <v>1487.1596915140653</v>
      </c>
      <c r="AA50" s="14">
        <f t="shared" si="15"/>
        <v>4318.772914781468</v>
      </c>
      <c r="AB50" s="25">
        <f t="shared" ca="1" si="16"/>
        <v>448926.98565681366</v>
      </c>
      <c r="AC50" s="41">
        <f t="shared" si="17"/>
        <v>1303702.4318452612</v>
      </c>
      <c r="AD50" s="5">
        <f t="shared" ca="1" si="18"/>
        <v>34.434773970729054</v>
      </c>
      <c r="AE50" s="7">
        <f t="shared" ca="1" si="19"/>
        <v>1487.1596915140653</v>
      </c>
      <c r="AF50" s="41">
        <f t="shared" ca="1" si="44"/>
        <v>2831.6132232674026</v>
      </c>
      <c r="AG50" s="41">
        <f t="shared" ca="1" si="20"/>
        <v>49.620234330442223</v>
      </c>
      <c r="AH50" s="41">
        <f t="shared" ca="1" si="21"/>
        <v>1115.9009810991183</v>
      </c>
      <c r="AI50" s="13">
        <f t="shared" ca="1" si="22"/>
        <v>0</v>
      </c>
      <c r="AJ50" s="10">
        <f t="shared" ca="1" si="23"/>
        <v>0</v>
      </c>
      <c r="AK50" s="11">
        <f t="shared" ca="1" si="24"/>
        <v>0.17282908623455076</v>
      </c>
      <c r="AL50" s="7">
        <v>0</v>
      </c>
      <c r="AM50" s="41">
        <f t="shared" si="25"/>
        <v>2012.8331085729337</v>
      </c>
      <c r="AN50" s="41">
        <f t="shared" ca="1" si="26"/>
        <v>623.92290017925689</v>
      </c>
      <c r="AO50" s="6">
        <v>100</v>
      </c>
      <c r="AP50" s="67">
        <f t="shared" si="27"/>
        <v>0.75035719934220946</v>
      </c>
      <c r="AQ50" s="11">
        <f t="shared" si="28"/>
        <v>0.98330272071837588</v>
      </c>
      <c r="AR50" s="11">
        <f t="shared" si="29"/>
        <v>0.68770269343653956</v>
      </c>
      <c r="AS50" s="11">
        <f t="shared" si="30"/>
        <v>0.69938044403469313</v>
      </c>
      <c r="AT50" s="11">
        <f t="shared" si="31"/>
        <v>510.00962215499999</v>
      </c>
      <c r="AU50" s="11">
        <f t="shared" si="32"/>
        <v>1455.3301939042735</v>
      </c>
      <c r="AV50" s="11">
        <f t="shared" si="33"/>
        <v>1.6623573774260621E-3</v>
      </c>
      <c r="AW50" s="11">
        <f t="shared" si="34"/>
        <v>3.6885478983619832E-7</v>
      </c>
      <c r="AX50" s="41">
        <f t="shared" ca="1" si="45"/>
        <v>1.0001040670555899</v>
      </c>
      <c r="AY50" s="41">
        <f t="shared" ca="1" si="46"/>
        <v>0.5370929249002242</v>
      </c>
      <c r="AZ50" s="41">
        <f t="shared" si="47"/>
        <v>0.20028515955108905</v>
      </c>
      <c r="BA50" s="41">
        <f t="shared" ca="1" si="37"/>
        <v>11.648452482966789</v>
      </c>
      <c r="BB50" s="41">
        <f t="shared" ca="1" si="38"/>
        <v>11.518687900990326</v>
      </c>
      <c r="BC50" s="41">
        <f t="shared" ca="1" si="48"/>
        <v>10.031214423762744</v>
      </c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</row>
    <row r="51" spans="1:67">
      <c r="A51" s="41">
        <f t="shared" si="39"/>
        <v>1948.2716215612379</v>
      </c>
      <c r="B51" s="41">
        <f t="shared" si="51"/>
        <v>32.471193692687301</v>
      </c>
      <c r="C51" s="41">
        <f t="shared" si="51"/>
        <v>0.54118656154478839</v>
      </c>
      <c r="D51" s="23">
        <f t="shared" ca="1" si="49"/>
        <v>17226.348438746474</v>
      </c>
      <c r="E51" s="41">
        <f t="shared" si="41"/>
        <v>100</v>
      </c>
      <c r="F51" s="41">
        <f t="shared" si="42"/>
        <v>100</v>
      </c>
      <c r="G51" s="41"/>
      <c r="H51" s="6">
        <f t="shared" si="50"/>
        <v>10000</v>
      </c>
      <c r="I51" s="5">
        <v>15</v>
      </c>
      <c r="J51" s="41">
        <f t="shared" si="0"/>
        <v>0.28170449652760143</v>
      </c>
      <c r="K51" s="41">
        <f t="shared" si="1"/>
        <v>311.87198851257932</v>
      </c>
      <c r="L51" s="6">
        <f t="shared" si="43"/>
        <v>155</v>
      </c>
      <c r="M51" s="41">
        <f t="shared" si="2"/>
        <v>184.77916324188706</v>
      </c>
      <c r="N51" s="41">
        <f t="shared" si="3"/>
        <v>80.843878032318528</v>
      </c>
      <c r="O51" s="41">
        <f t="shared" si="4"/>
        <v>1405546.8851215222</v>
      </c>
      <c r="P51" s="41">
        <f t="shared" si="5"/>
        <v>9024598.6580218561</v>
      </c>
      <c r="Q51" s="41">
        <f t="shared" si="6"/>
        <v>3.031155890237446E-3</v>
      </c>
      <c r="R51" s="41">
        <f t="shared" si="7"/>
        <v>2.3505206709899609E-2</v>
      </c>
      <c r="S51" s="27">
        <v>0</v>
      </c>
      <c r="T51" s="41">
        <f t="shared" ca="1" si="8"/>
        <v>0.92644203801113334</v>
      </c>
      <c r="U51" s="41">
        <f t="shared" ca="1" si="9"/>
        <v>7.7712297176195766E-2</v>
      </c>
      <c r="V51" s="41">
        <f t="shared" ca="1" si="10"/>
        <v>11.921434208933846</v>
      </c>
      <c r="W51" s="20">
        <f t="shared" ca="1" si="11"/>
        <v>1444.9895991404424</v>
      </c>
      <c r="X51" s="41">
        <f t="shared" si="12"/>
        <v>0.61005956675843365</v>
      </c>
      <c r="Y51" s="41">
        <f t="shared" ca="1" si="13"/>
        <v>207.14566477121807</v>
      </c>
      <c r="Z51" s="14">
        <f t="shared" ca="1" si="14"/>
        <v>1444.9895991404424</v>
      </c>
      <c r="AA51" s="14">
        <f t="shared" si="15"/>
        <v>4318.772914781468</v>
      </c>
      <c r="AB51" s="25">
        <f t="shared" ca="1" si="16"/>
        <v>450651.77966392465</v>
      </c>
      <c r="AC51" s="41">
        <f t="shared" si="17"/>
        <v>1346904.2968671648</v>
      </c>
      <c r="AD51" s="5">
        <f t="shared" ca="1" si="18"/>
        <v>33.45833707057875</v>
      </c>
      <c r="AE51" s="7">
        <f t="shared" ca="1" si="19"/>
        <v>1444.9895991404421</v>
      </c>
      <c r="AF51" s="41">
        <f t="shared" ca="1" si="44"/>
        <v>2873.7833156410256</v>
      </c>
      <c r="AG51" s="41">
        <f t="shared" ca="1" si="20"/>
        <v>52.028003519732508</v>
      </c>
      <c r="AH51" s="41">
        <f t="shared" ca="1" si="21"/>
        <v>1086.8227696680403</v>
      </c>
      <c r="AI51" s="13">
        <f t="shared" ca="1" si="22"/>
        <v>-4.1164545433434119E-15</v>
      </c>
      <c r="AJ51" s="10">
        <f t="shared" ca="1" si="23"/>
        <v>-7.5625731254641645E-16</v>
      </c>
      <c r="AK51" s="11">
        <f t="shared" ca="1" si="24"/>
        <v>0.18121543415216723</v>
      </c>
      <c r="AL51" s="7">
        <v>0</v>
      </c>
      <c r="AM51" s="41">
        <f t="shared" si="25"/>
        <v>1948.2716215612379</v>
      </c>
      <c r="AN51" s="41">
        <f t="shared" ca="1" si="26"/>
        <v>588.17387772523011</v>
      </c>
      <c r="AO51" s="6">
        <v>100</v>
      </c>
      <c r="AP51" s="67">
        <f t="shared" si="27"/>
        <v>0.75213189791438029</v>
      </c>
      <c r="AQ51" s="11">
        <f t="shared" si="28"/>
        <v>0.98330272071837588</v>
      </c>
      <c r="AR51" s="11">
        <f t="shared" si="29"/>
        <v>0.68770269343653956</v>
      </c>
      <c r="AS51" s="11">
        <f t="shared" si="30"/>
        <v>0.69938044403469313</v>
      </c>
      <c r="AT51" s="11">
        <f t="shared" si="31"/>
        <v>510.00962215499999</v>
      </c>
      <c r="AU51" s="11">
        <f t="shared" si="32"/>
        <v>1455.3301939042735</v>
      </c>
      <c r="AV51" s="11">
        <f t="shared" si="33"/>
        <v>1.6623573774260621E-3</v>
      </c>
      <c r="AW51" s="11">
        <f t="shared" si="34"/>
        <v>3.6885478983619832E-7</v>
      </c>
      <c r="AX51" s="41">
        <f t="shared" ca="1" si="45"/>
        <v>1.0047121952730118</v>
      </c>
      <c r="AY51" s="41">
        <f t="shared" ca="1" si="46"/>
        <v>0.5395676604243953</v>
      </c>
      <c r="AZ51" s="41">
        <f t="shared" si="47"/>
        <v>0.20652235575785091</v>
      </c>
      <c r="BA51" s="41">
        <f t="shared" ca="1" si="37"/>
        <v>12.38566643851445</v>
      </c>
      <c r="BB51" s="41">
        <f t="shared" ca="1" si="38"/>
        <v>11.474602057423423</v>
      </c>
      <c r="BC51" s="41">
        <f t="shared" ca="1" si="48"/>
        <v>10.32396202493671</v>
      </c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</row>
    <row r="52" spans="1:67">
      <c r="A52" s="41">
        <f t="shared" si="39"/>
        <v>1887.7559281261001</v>
      </c>
      <c r="B52" s="41">
        <f t="shared" si="51"/>
        <v>31.46259880210167</v>
      </c>
      <c r="C52" s="41">
        <f t="shared" si="51"/>
        <v>0.52437664670169448</v>
      </c>
      <c r="D52" s="23">
        <f t="shared" ca="1" si="49"/>
        <v>17226.348438746474</v>
      </c>
      <c r="E52" s="41">
        <f t="shared" si="41"/>
        <v>100</v>
      </c>
      <c r="F52" s="41">
        <f t="shared" si="42"/>
        <v>100</v>
      </c>
      <c r="G52" s="41"/>
      <c r="H52" s="6">
        <f t="shared" si="50"/>
        <v>10000</v>
      </c>
      <c r="I52" s="5">
        <v>15</v>
      </c>
      <c r="J52" s="41">
        <f t="shared" si="0"/>
        <v>0.29073508289587552</v>
      </c>
      <c r="K52" s="41">
        <f t="shared" si="1"/>
        <v>321.86965259967803</v>
      </c>
      <c r="L52" s="6">
        <f t="shared" si="43"/>
        <v>160</v>
      </c>
      <c r="M52" s="41">
        <f t="shared" si="2"/>
        <v>190.70261925086766</v>
      </c>
      <c r="N52" s="41">
        <f t="shared" si="3"/>
        <v>86.110173046675285</v>
      </c>
      <c r="O52" s="41">
        <f t="shared" si="4"/>
        <v>1450604.4283883364</v>
      </c>
      <c r="P52" s="41">
        <f t="shared" si="5"/>
        <v>9313899.7470170446</v>
      </c>
      <c r="Q52" s="41">
        <f t="shared" si="6"/>
        <v>3.0143603915440244E-3</v>
      </c>
      <c r="R52" s="41">
        <f t="shared" si="7"/>
        <v>2.3402670190376267E-2</v>
      </c>
      <c r="S52" s="27">
        <v>0</v>
      </c>
      <c r="T52" s="41">
        <f t="shared" ca="1" si="8"/>
        <v>0.86978302882270708</v>
      </c>
      <c r="U52" s="41">
        <f t="shared" ca="1" si="9"/>
        <v>7.1182153594011227E-2</v>
      </c>
      <c r="V52" s="41">
        <f t="shared" ca="1" si="10"/>
        <v>12.219116518777041</v>
      </c>
      <c r="W52" s="20">
        <f t="shared" ca="1" si="11"/>
        <v>1409.786739677525</v>
      </c>
      <c r="X52" s="41">
        <f t="shared" si="12"/>
        <v>0.60872748417673195</v>
      </c>
      <c r="Y52" s="41">
        <f t="shared" ca="1" si="13"/>
        <v>207.14566477121807</v>
      </c>
      <c r="Z52" s="14">
        <f t="shared" ca="1" si="14"/>
        <v>1409.786739677525</v>
      </c>
      <c r="AA52" s="14">
        <f t="shared" si="15"/>
        <v>4318.772914781468</v>
      </c>
      <c r="AB52" s="25">
        <f t="shared" ca="1" si="16"/>
        <v>453767.5681396377</v>
      </c>
      <c r="AC52" s="41">
        <f t="shared" si="17"/>
        <v>1390081.93773761</v>
      </c>
      <c r="AD52" s="5">
        <f t="shared" ca="1" si="18"/>
        <v>32.643224533810915</v>
      </c>
      <c r="AE52" s="7">
        <f t="shared" ca="1" si="19"/>
        <v>1409.786739677525</v>
      </c>
      <c r="AF52" s="41">
        <f t="shared" ca="1" si="44"/>
        <v>2908.986175103943</v>
      </c>
      <c r="AG52" s="41">
        <f t="shared" ca="1" si="20"/>
        <v>54.353618407715544</v>
      </c>
      <c r="AH52" s="41">
        <f t="shared" ca="1" si="21"/>
        <v>1062.8266236920313</v>
      </c>
      <c r="AI52" s="13">
        <f t="shared" ca="1" si="22"/>
        <v>0</v>
      </c>
      <c r="AJ52" s="10">
        <f t="shared" ca="1" si="23"/>
        <v>0</v>
      </c>
      <c r="AK52" s="11">
        <f t="shared" ca="1" si="24"/>
        <v>0.1893156356414816</v>
      </c>
      <c r="AL52" s="7">
        <v>0</v>
      </c>
      <c r="AM52" s="41">
        <f t="shared" si="25"/>
        <v>1887.7559281261001</v>
      </c>
      <c r="AN52" s="41">
        <f t="shared" ca="1" si="26"/>
        <v>557.3214609569111</v>
      </c>
      <c r="AO52" s="6">
        <v>100</v>
      </c>
      <c r="AP52" s="67">
        <f t="shared" si="27"/>
        <v>0.75389177226559989</v>
      </c>
      <c r="AQ52" s="11">
        <f t="shared" si="28"/>
        <v>0.98330272071837588</v>
      </c>
      <c r="AR52" s="11">
        <f t="shared" si="29"/>
        <v>0.68770269343653956</v>
      </c>
      <c r="AS52" s="11">
        <f t="shared" si="30"/>
        <v>0.69938044403469313</v>
      </c>
      <c r="AT52" s="11">
        <f t="shared" si="31"/>
        <v>510.00962215499999</v>
      </c>
      <c r="AU52" s="11">
        <f t="shared" si="32"/>
        <v>1455.3301939042735</v>
      </c>
      <c r="AV52" s="11">
        <f t="shared" si="33"/>
        <v>1.6623573774260621E-3</v>
      </c>
      <c r="AW52" s="11">
        <f t="shared" si="34"/>
        <v>3.6885478983619832E-7</v>
      </c>
      <c r="AX52" s="41">
        <f t="shared" ca="1" si="45"/>
        <v>1.0153503964894024</v>
      </c>
      <c r="AY52" s="41">
        <f t="shared" ca="1" si="46"/>
        <v>0.54528076848504947</v>
      </c>
      <c r="AZ52" s="41">
        <f t="shared" si="47"/>
        <v>0.2127164095014647</v>
      </c>
      <c r="BA52" s="41">
        <f t="shared" ca="1" si="37"/>
        <v>13.101901842084491</v>
      </c>
      <c r="BB52" s="41">
        <f t="shared" ca="1" si="38"/>
        <v>11.395811867546053</v>
      </c>
      <c r="BC52" s="41">
        <f t="shared" ca="1" si="48"/>
        <v>10.581754905260917</v>
      </c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</row>
    <row r="53" spans="1:67">
      <c r="A53" s="41">
        <f t="shared" si="39"/>
        <v>1830.918138975537</v>
      </c>
      <c r="B53" s="41">
        <f t="shared" si="51"/>
        <v>30.51530231625895</v>
      </c>
      <c r="C53" s="41">
        <f t="shared" si="51"/>
        <v>0.50858837193764916</v>
      </c>
      <c r="D53" s="23">
        <f t="shared" ca="1" si="49"/>
        <v>17226.348438746474</v>
      </c>
      <c r="E53" s="41">
        <f t="shared" si="41"/>
        <v>100</v>
      </c>
      <c r="F53" s="41">
        <f t="shared" si="42"/>
        <v>100</v>
      </c>
      <c r="G53" s="41"/>
      <c r="H53" s="6">
        <f t="shared" si="50"/>
        <v>10000</v>
      </c>
      <c r="I53" s="5">
        <v>15</v>
      </c>
      <c r="J53" s="41">
        <f t="shared" si="0"/>
        <v>0.29976046693055092</v>
      </c>
      <c r="K53" s="41">
        <f t="shared" si="1"/>
        <v>331.86155723975219</v>
      </c>
      <c r="L53" s="6">
        <f t="shared" si="43"/>
        <v>165</v>
      </c>
      <c r="M53" s="41">
        <f t="shared" si="2"/>
        <v>196.62266287963735</v>
      </c>
      <c r="N53" s="41">
        <f t="shared" si="3"/>
        <v>91.539448789248652</v>
      </c>
      <c r="O53" s="41">
        <f t="shared" si="4"/>
        <v>1495636.0149385377</v>
      </c>
      <c r="P53" s="41">
        <f t="shared" si="5"/>
        <v>9603034.1756522059</v>
      </c>
      <c r="Q53" s="41">
        <f t="shared" si="6"/>
        <v>2.9981172974340312E-3</v>
      </c>
      <c r="R53" s="41">
        <f t="shared" si="7"/>
        <v>2.3303506100834759E-2</v>
      </c>
      <c r="S53" s="27">
        <v>0</v>
      </c>
      <c r="T53" s="41">
        <f t="shared" ca="1" si="8"/>
        <v>0.81819552242902926</v>
      </c>
      <c r="U53" s="41">
        <f t="shared" ca="1" si="9"/>
        <v>6.5583390174033904E-2</v>
      </c>
      <c r="V53" s="41">
        <f t="shared" ca="1" si="10"/>
        <v>12.475651537040749</v>
      </c>
      <c r="W53" s="20">
        <f t="shared" ca="1" si="11"/>
        <v>1380.7974988400965</v>
      </c>
      <c r="X53" s="41">
        <f t="shared" si="12"/>
        <v>0.60743643518405088</v>
      </c>
      <c r="Y53" s="41">
        <f t="shared" ca="1" si="13"/>
        <v>207.14566477121807</v>
      </c>
      <c r="Z53" s="14">
        <f t="shared" ca="1" si="14"/>
        <v>1380.7974988400965</v>
      </c>
      <c r="AA53" s="14">
        <f t="shared" si="15"/>
        <v>4318.772914781468</v>
      </c>
      <c r="AB53" s="25">
        <f t="shared" ca="1" si="16"/>
        <v>458233.60819782934</v>
      </c>
      <c r="AC53" s="41">
        <f t="shared" si="17"/>
        <v>1433234.7048642416</v>
      </c>
      <c r="AD53" s="5">
        <f t="shared" ca="1" si="18"/>
        <v>31.97198662875206</v>
      </c>
      <c r="AE53" s="7">
        <f t="shared" ca="1" si="19"/>
        <v>1380.7974988400965</v>
      </c>
      <c r="AF53" s="41">
        <f t="shared" ca="1" si="44"/>
        <v>2937.9754159413715</v>
      </c>
      <c r="AG53" s="41">
        <f t="shared" ca="1" si="20"/>
        <v>56.599406434470168</v>
      </c>
      <c r="AH53" s="41">
        <f t="shared" ca="1" si="21"/>
        <v>1043.381497660487</v>
      </c>
      <c r="AI53" s="13">
        <f t="shared" ca="1" si="22"/>
        <v>0</v>
      </c>
      <c r="AJ53" s="10">
        <f t="shared" ca="1" si="23"/>
        <v>0</v>
      </c>
      <c r="AK53" s="11">
        <f t="shared" ca="1" si="24"/>
        <v>0.19713779726118946</v>
      </c>
      <c r="AL53" s="7">
        <v>0</v>
      </c>
      <c r="AM53" s="41">
        <f t="shared" si="25"/>
        <v>1830.918138975537</v>
      </c>
      <c r="AN53" s="41">
        <f t="shared" ca="1" si="26"/>
        <v>530.65169720501319</v>
      </c>
      <c r="AO53" s="6">
        <v>100</v>
      </c>
      <c r="AP53" s="67">
        <f t="shared" si="27"/>
        <v>0.75563686821344389</v>
      </c>
      <c r="AQ53" s="11">
        <f t="shared" si="28"/>
        <v>0.98330272071837588</v>
      </c>
      <c r="AR53" s="11">
        <f t="shared" si="29"/>
        <v>0.68770269343653956</v>
      </c>
      <c r="AS53" s="11">
        <f t="shared" si="30"/>
        <v>0.69938044403469313</v>
      </c>
      <c r="AT53" s="11">
        <f t="shared" si="31"/>
        <v>510.00962215499999</v>
      </c>
      <c r="AU53" s="11">
        <f t="shared" si="32"/>
        <v>1455.3301939042735</v>
      </c>
      <c r="AV53" s="11">
        <f t="shared" si="33"/>
        <v>1.6623573774260621E-3</v>
      </c>
      <c r="AW53" s="11">
        <f t="shared" si="34"/>
        <v>3.6885478983619832E-7</v>
      </c>
      <c r="AX53" s="41">
        <f t="shared" ca="1" si="45"/>
        <v>1.0311231562544532</v>
      </c>
      <c r="AY53" s="41">
        <f t="shared" ca="1" si="46"/>
        <v>0.5537513246551693</v>
      </c>
      <c r="AZ53" s="41">
        <f t="shared" si="47"/>
        <v>0.21886729519683998</v>
      </c>
      <c r="BA53" s="41">
        <f t="shared" ca="1" si="37"/>
        <v>13.792236214214082</v>
      </c>
      <c r="BB53" s="41">
        <f t="shared" ca="1" si="38"/>
        <v>11.284745914753469</v>
      </c>
      <c r="BC53" s="41">
        <f t="shared" ca="1" si="48"/>
        <v>10.803914231077288</v>
      </c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</row>
    <row r="54" spans="1:67">
      <c r="A54" s="41">
        <f t="shared" si="39"/>
        <v>1777.4336438260063</v>
      </c>
      <c r="B54" s="41">
        <f t="shared" si="51"/>
        <v>29.623894063766773</v>
      </c>
      <c r="C54" s="41">
        <f t="shared" si="51"/>
        <v>0.49373156772944621</v>
      </c>
      <c r="D54" s="23">
        <f t="shared" ca="1" si="49"/>
        <v>17226.348438746474</v>
      </c>
      <c r="E54" s="41">
        <f t="shared" si="41"/>
        <v>100</v>
      </c>
      <c r="F54" s="41">
        <f t="shared" si="42"/>
        <v>100</v>
      </c>
      <c r="G54" s="41"/>
      <c r="H54" s="6">
        <f t="shared" si="50"/>
        <v>10000</v>
      </c>
      <c r="I54" s="5">
        <v>15</v>
      </c>
      <c r="J54" s="41">
        <f t="shared" si="0"/>
        <v>0.30878051518678695</v>
      </c>
      <c r="K54" s="41">
        <f t="shared" si="1"/>
        <v>341.84755469746807</v>
      </c>
      <c r="L54" s="6">
        <f t="shared" si="43"/>
        <v>170</v>
      </c>
      <c r="M54" s="41">
        <f t="shared" si="2"/>
        <v>202.53920659737469</v>
      </c>
      <c r="N54" s="41">
        <f t="shared" si="3"/>
        <v>97.131334310791786</v>
      </c>
      <c r="O54" s="41">
        <f t="shared" si="4"/>
        <v>1540640.9789574777</v>
      </c>
      <c r="P54" s="41">
        <f t="shared" si="5"/>
        <v>9891997.668929439</v>
      </c>
      <c r="Q54" s="41">
        <f t="shared" si="6"/>
        <v>2.9823881742142597E-3</v>
      </c>
      <c r="R54" s="41">
        <f t="shared" si="7"/>
        <v>2.3207479803578054E-2</v>
      </c>
      <c r="S54" s="27">
        <v>0</v>
      </c>
      <c r="T54" s="41">
        <f t="shared" ca="1" si="8"/>
        <v>0.77109171470182525</v>
      </c>
      <c r="U54" s="41">
        <f t="shared" ca="1" si="9"/>
        <v>6.0759358059562875E-2</v>
      </c>
      <c r="V54" s="41">
        <f t="shared" ca="1" si="10"/>
        <v>12.690912796443932</v>
      </c>
      <c r="W54" s="20">
        <f t="shared" ca="1" si="11"/>
        <v>1357.3766296442757</v>
      </c>
      <c r="X54" s="41">
        <f t="shared" si="12"/>
        <v>0.60618361757692008</v>
      </c>
      <c r="Y54" s="41">
        <f t="shared" ca="1" si="13"/>
        <v>207.14566477121807</v>
      </c>
      <c r="Z54" s="14">
        <f t="shared" ca="1" si="14"/>
        <v>1357.3766296442757</v>
      </c>
      <c r="AA54" s="14">
        <f t="shared" si="15"/>
        <v>4318.772914781468</v>
      </c>
      <c r="AB54" s="25">
        <f t="shared" ca="1" si="16"/>
        <v>464015.88164738641</v>
      </c>
      <c r="AC54" s="41">
        <f t="shared" si="17"/>
        <v>1476361.9602117015</v>
      </c>
      <c r="AD54" s="5">
        <f t="shared" ca="1" si="18"/>
        <v>31.429682838810702</v>
      </c>
      <c r="AE54" s="7">
        <f t="shared" ca="1" si="19"/>
        <v>1357.3766296442757</v>
      </c>
      <c r="AF54" s="41">
        <f t="shared" ca="1" si="44"/>
        <v>2961.3962851371925</v>
      </c>
      <c r="AG54" s="41">
        <f t="shared" ca="1" si="20"/>
        <v>58.767305338332136</v>
      </c>
      <c r="AH54" s="41">
        <f t="shared" ca="1" si="21"/>
        <v>1028.0325812814156</v>
      </c>
      <c r="AI54" s="13">
        <f t="shared" ca="1" si="22"/>
        <v>0</v>
      </c>
      <c r="AJ54" s="10">
        <f t="shared" ca="1" si="23"/>
        <v>0</v>
      </c>
      <c r="AK54" s="11">
        <f t="shared" ca="1" si="24"/>
        <v>0.20468866822459969</v>
      </c>
      <c r="AL54" s="7">
        <v>0</v>
      </c>
      <c r="AM54" s="41">
        <f t="shared" si="25"/>
        <v>1777.4336438260063</v>
      </c>
      <c r="AN54" s="41">
        <f t="shared" ca="1" si="26"/>
        <v>507.57213803302267</v>
      </c>
      <c r="AO54" s="6">
        <v>100</v>
      </c>
      <c r="AP54" s="67">
        <f t="shared" si="27"/>
        <v>0.75736723237295567</v>
      </c>
      <c r="AQ54" s="11">
        <f t="shared" si="28"/>
        <v>0.98330272071837588</v>
      </c>
      <c r="AR54" s="11">
        <f t="shared" si="29"/>
        <v>0.68770269343653956</v>
      </c>
      <c r="AS54" s="11">
        <f t="shared" si="30"/>
        <v>0.69938044403469313</v>
      </c>
      <c r="AT54" s="11">
        <f t="shared" si="31"/>
        <v>510.00962215499999</v>
      </c>
      <c r="AU54" s="11">
        <f t="shared" si="32"/>
        <v>1455.3301939042735</v>
      </c>
      <c r="AV54" s="11">
        <f t="shared" si="33"/>
        <v>1.6623573774260621E-3</v>
      </c>
      <c r="AW54" s="11">
        <f t="shared" si="34"/>
        <v>3.6885478983619832E-7</v>
      </c>
      <c r="AX54" s="41">
        <f t="shared" ca="1" si="45"/>
        <v>1.0513401350252503</v>
      </c>
      <c r="AY54" s="41">
        <f t="shared" ca="1" si="46"/>
        <v>0.56460859103207894</v>
      </c>
      <c r="AZ54" s="41">
        <f t="shared" si="47"/>
        <v>0.22497499123525794</v>
      </c>
      <c r="BA54" s="41">
        <f t="shared" ca="1" si="37"/>
        <v>14.452395624828759</v>
      </c>
      <c r="BB54" s="41">
        <f t="shared" ca="1" si="38"/>
        <v>11.144122523898364</v>
      </c>
      <c r="BC54" s="41">
        <f t="shared" ca="1" si="48"/>
        <v>10.990330481720445</v>
      </c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</row>
    <row r="55" spans="1:67">
      <c r="A55" s="41">
        <f t="shared" si="39"/>
        <v>1727.0149287426261</v>
      </c>
      <c r="B55" s="41">
        <f t="shared" si="51"/>
        <v>28.783582145710437</v>
      </c>
      <c r="C55" s="41">
        <f t="shared" si="51"/>
        <v>0.47972636909517397</v>
      </c>
      <c r="D55" s="23">
        <f t="shared" ca="1" si="49"/>
        <v>17226.348438746474</v>
      </c>
      <c r="E55" s="41">
        <f t="shared" si="41"/>
        <v>100</v>
      </c>
      <c r="F55" s="41">
        <f t="shared" si="42"/>
        <v>100</v>
      </c>
      <c r="G55" s="41"/>
      <c r="H55" s="6">
        <f t="shared" si="50"/>
        <v>10000</v>
      </c>
      <c r="I55" s="5">
        <v>15</v>
      </c>
      <c r="J55" s="41">
        <f t="shared" si="0"/>
        <v>0.31779509668194333</v>
      </c>
      <c r="K55" s="41">
        <f t="shared" si="1"/>
        <v>351.82749996336713</v>
      </c>
      <c r="L55" s="6">
        <f t="shared" si="43"/>
        <v>175</v>
      </c>
      <c r="M55" s="41">
        <f t="shared" si="2"/>
        <v>208.45216448829561</v>
      </c>
      <c r="N55" s="41">
        <f t="shared" si="3"/>
        <v>102.88545061767773</v>
      </c>
      <c r="O55" s="41">
        <f t="shared" si="4"/>
        <v>1585618.6669155033</v>
      </c>
      <c r="P55" s="41">
        <f t="shared" si="5"/>
        <v>10180786.030729145</v>
      </c>
      <c r="Q55" s="41">
        <f t="shared" si="6"/>
        <v>2.9671382169417387E-3</v>
      </c>
      <c r="R55" s="41">
        <f t="shared" si="7"/>
        <v>2.3114378814429314E-2</v>
      </c>
      <c r="S55" s="27">
        <v>0</v>
      </c>
      <c r="T55" s="41">
        <f t="shared" ca="1" si="8"/>
        <v>0.72796655576989688</v>
      </c>
      <c r="U55" s="41">
        <f t="shared" ca="1" si="9"/>
        <v>5.6583356401597562E-2</v>
      </c>
      <c r="V55" s="41">
        <f t="shared" ca="1" si="10"/>
        <v>12.865383074895565</v>
      </c>
      <c r="W55" s="20">
        <f t="shared" ca="1" si="11"/>
        <v>1338.9689477929758</v>
      </c>
      <c r="X55" s="41">
        <f t="shared" si="12"/>
        <v>0.60496648823347354</v>
      </c>
      <c r="Y55" s="41">
        <f t="shared" ca="1" si="13"/>
        <v>207.14566477121807</v>
      </c>
      <c r="Z55" s="14">
        <f t="shared" ca="1" si="14"/>
        <v>1338.9689477929758</v>
      </c>
      <c r="AA55" s="14">
        <f t="shared" si="15"/>
        <v>4318.772914781468</v>
      </c>
      <c r="AB55" s="25">
        <f t="shared" ca="1" si="16"/>
        <v>471086.09743058291</v>
      </c>
      <c r="AC55" s="41">
        <f t="shared" si="17"/>
        <v>1519463.0775170678</v>
      </c>
      <c r="AD55" s="5">
        <f t="shared" ca="1" si="18"/>
        <v>31.003458024157965</v>
      </c>
      <c r="AE55" s="7">
        <f t="shared" ca="1" si="19"/>
        <v>1338.9689477929758</v>
      </c>
      <c r="AF55" s="41">
        <f t="shared" ca="1" si="44"/>
        <v>2979.803966988492</v>
      </c>
      <c r="AG55" s="41">
        <f t="shared" ca="1" si="20"/>
        <v>60.858921077459243</v>
      </c>
      <c r="AH55" s="41">
        <f t="shared" ca="1" si="21"/>
        <v>1016.3884481564237</v>
      </c>
      <c r="AI55" s="13">
        <f t="shared" ca="1" si="22"/>
        <v>0</v>
      </c>
      <c r="AJ55" s="10">
        <f t="shared" ca="1" si="23"/>
        <v>0</v>
      </c>
      <c r="AK55" s="11">
        <f t="shared" ca="1" si="24"/>
        <v>0.21197384214255852</v>
      </c>
      <c r="AL55" s="7">
        <v>0</v>
      </c>
      <c r="AM55" s="41">
        <f t="shared" si="25"/>
        <v>1727.0149287426261</v>
      </c>
      <c r="AN55" s="41">
        <f t="shared" ca="1" si="26"/>
        <v>487.58833982435954</v>
      </c>
      <c r="AO55" s="6">
        <v>100</v>
      </c>
      <c r="AP55" s="67">
        <f t="shared" si="27"/>
        <v>0.75908291214052281</v>
      </c>
      <c r="AQ55" s="11">
        <f t="shared" si="28"/>
        <v>0.98330272071837588</v>
      </c>
      <c r="AR55" s="11">
        <f t="shared" si="29"/>
        <v>0.68770269343653956</v>
      </c>
      <c r="AS55" s="11">
        <f t="shared" si="30"/>
        <v>0.69938044403469313</v>
      </c>
      <c r="AT55" s="11">
        <f t="shared" si="31"/>
        <v>510.00962215499999</v>
      </c>
      <c r="AU55" s="11">
        <f t="shared" si="32"/>
        <v>1455.3301939042735</v>
      </c>
      <c r="AV55" s="11">
        <f t="shared" si="33"/>
        <v>1.6623573774260621E-3</v>
      </c>
      <c r="AW55" s="11">
        <f t="shared" si="34"/>
        <v>3.6885478983619832E-7</v>
      </c>
      <c r="AX55" s="41">
        <f t="shared" ca="1" si="45"/>
        <v>1.075461760928468</v>
      </c>
      <c r="AY55" s="41">
        <f t="shared" ca="1" si="46"/>
        <v>0.57756279753565876</v>
      </c>
      <c r="AZ55" s="41">
        <f t="shared" si="47"/>
        <v>0.23103947995815741</v>
      </c>
      <c r="BA55" s="41">
        <f t="shared" ca="1" si="37"/>
        <v>15.078807899026394</v>
      </c>
      <c r="BB55" s="41">
        <f t="shared" ca="1" si="38"/>
        <v>10.976867851370159</v>
      </c>
      <c r="BC55" s="41">
        <f t="shared" ca="1" si="48"/>
        <v>11.14142174285956</v>
      </c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</row>
    <row r="56" spans="1:67">
      <c r="A56" s="41">
        <f t="shared" si="39"/>
        <v>1679.4064239234176</v>
      </c>
      <c r="B56" s="41">
        <f t="shared" si="51"/>
        <v>27.990107065390294</v>
      </c>
      <c r="C56" s="41">
        <f t="shared" si="51"/>
        <v>0.46650178442317158</v>
      </c>
      <c r="D56" s="23">
        <f t="shared" ca="1" si="49"/>
        <v>17226.348438746474</v>
      </c>
      <c r="E56" s="41">
        <f t="shared" si="41"/>
        <v>100</v>
      </c>
      <c r="F56" s="41">
        <f t="shared" si="42"/>
        <v>100</v>
      </c>
      <c r="G56" s="41"/>
      <c r="H56" s="6">
        <f t="shared" si="50"/>
        <v>10000</v>
      </c>
      <c r="I56" s="5">
        <v>15</v>
      </c>
      <c r="J56" s="41">
        <f t="shared" si="0"/>
        <v>0.32680408293826413</v>
      </c>
      <c r="K56" s="41">
        <f t="shared" si="1"/>
        <v>361.80125080112128</v>
      </c>
      <c r="L56" s="6">
        <f t="shared" si="43"/>
        <v>180</v>
      </c>
      <c r="M56" s="41">
        <f t="shared" si="2"/>
        <v>214.36145227965156</v>
      </c>
      <c r="N56" s="41">
        <f t="shared" si="3"/>
        <v>108.80141094098377</v>
      </c>
      <c r="O56" s="41">
        <f t="shared" si="4"/>
        <v>1630568.4377809241</v>
      </c>
      <c r="P56" s="41">
        <f t="shared" si="5"/>
        <v>10469395.145177428</v>
      </c>
      <c r="Q56" s="41">
        <f t="shared" si="6"/>
        <v>2.9523358168207078E-3</v>
      </c>
      <c r="R56" s="41">
        <f t="shared" si="7"/>
        <v>2.3024010161690422E-2</v>
      </c>
      <c r="S56" s="27">
        <v>0</v>
      </c>
      <c r="T56" s="41">
        <f t="shared" ca="1" si="8"/>
        <v>0.6883841530842878</v>
      </c>
      <c r="U56" s="41">
        <f t="shared" ca="1" si="9"/>
        <v>5.2952259892023006E-2</v>
      </c>
      <c r="V56" s="41">
        <f t="shared" ca="1" si="10"/>
        <v>13.000090165896573</v>
      </c>
      <c r="W56" s="20">
        <f t="shared" ca="1" si="11"/>
        <v>1325.0945354161265</v>
      </c>
      <c r="X56" s="41">
        <f t="shared" si="12"/>
        <v>0.60378273273415384</v>
      </c>
      <c r="Y56" s="41">
        <f t="shared" ca="1" si="13"/>
        <v>207.14566477121807</v>
      </c>
      <c r="Z56" s="14">
        <f t="shared" ca="1" si="14"/>
        <v>1325.0945354161265</v>
      </c>
      <c r="AA56" s="14">
        <f t="shared" si="15"/>
        <v>4318.772914781468</v>
      </c>
      <c r="AB56" s="25">
        <f t="shared" ca="1" si="16"/>
        <v>479420.86034328525</v>
      </c>
      <c r="AC56" s="41">
        <f t="shared" si="17"/>
        <v>1562537.4424939395</v>
      </c>
      <c r="AD56" s="5">
        <f t="shared" ca="1" si="18"/>
        <v>30.682199818398576</v>
      </c>
      <c r="AE56" s="7">
        <f t="shared" ca="1" si="19"/>
        <v>1325.0945354161265</v>
      </c>
      <c r="AF56" s="41">
        <f t="shared" ca="1" si="44"/>
        <v>2993.6783793653412</v>
      </c>
      <c r="AG56" s="41">
        <f t="shared" ca="1" si="20"/>
        <v>62.875576097976023</v>
      </c>
      <c r="AH56" s="41">
        <f t="shared" ca="1" si="21"/>
        <v>1008.110662300132</v>
      </c>
      <c r="AI56" s="13">
        <f t="shared" ca="1" si="22"/>
        <v>0</v>
      </c>
      <c r="AJ56" s="10">
        <f t="shared" ca="1" si="23"/>
        <v>0</v>
      </c>
      <c r="AK56" s="11">
        <f t="shared" ca="1" si="24"/>
        <v>0.21899792514315825</v>
      </c>
      <c r="AL56" s="7">
        <v>0</v>
      </c>
      <c r="AM56" s="41">
        <f t="shared" si="25"/>
        <v>1679.4064239234176</v>
      </c>
      <c r="AN56" s="41">
        <f t="shared" ca="1" si="26"/>
        <v>470.28542285903694</v>
      </c>
      <c r="AO56" s="6">
        <v>100</v>
      </c>
      <c r="AP56" s="67">
        <f t="shared" si="27"/>
        <v>0.76078395567720736</v>
      </c>
      <c r="AQ56" s="11">
        <f t="shared" si="28"/>
        <v>0.98330272071837588</v>
      </c>
      <c r="AR56" s="11">
        <f t="shared" si="29"/>
        <v>0.68770269343653956</v>
      </c>
      <c r="AS56" s="11">
        <f t="shared" si="30"/>
        <v>0.69938044403469313</v>
      </c>
      <c r="AT56" s="11">
        <f t="shared" si="31"/>
        <v>510.00962215499999</v>
      </c>
      <c r="AU56" s="11">
        <f t="shared" si="32"/>
        <v>1455.3301939042735</v>
      </c>
      <c r="AV56" s="11">
        <f t="shared" si="33"/>
        <v>1.6623573774260621E-3</v>
      </c>
      <c r="AW56" s="11">
        <f t="shared" si="34"/>
        <v>3.6885478983619832E-7</v>
      </c>
      <c r="AX56" s="41">
        <f t="shared" ca="1" si="45"/>
        <v>1.1030608595857068</v>
      </c>
      <c r="AY56" s="41">
        <f t="shared" ca="1" si="46"/>
        <v>0.59238453570343519</v>
      </c>
      <c r="AZ56" s="41">
        <f t="shared" si="47"/>
        <v>0.23706074762816381</v>
      </c>
      <c r="BA56" s="41">
        <f t="shared" ca="1" si="37"/>
        <v>15.668626652451852</v>
      </c>
      <c r="BB56" s="41">
        <f t="shared" ca="1" si="38"/>
        <v>10.78603428814197</v>
      </c>
      <c r="BC56" s="41">
        <f t="shared" ca="1" si="48"/>
        <v>11.258078083666431</v>
      </c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</row>
    <row r="57" spans="1:67">
      <c r="A57" s="41">
        <f t="shared" si="39"/>
        <v>1634.3801869786253</v>
      </c>
      <c r="B57" s="41">
        <f t="shared" si="51"/>
        <v>27.239669782977089</v>
      </c>
      <c r="C57" s="41">
        <f t="shared" si="51"/>
        <v>0.45399449638295147</v>
      </c>
      <c r="D57" s="23">
        <f t="shared" ca="1" si="49"/>
        <v>17226.348438746474</v>
      </c>
      <c r="E57" s="41">
        <f t="shared" si="41"/>
        <v>100</v>
      </c>
      <c r="F57" s="41">
        <f t="shared" si="42"/>
        <v>100</v>
      </c>
      <c r="G57" s="41"/>
      <c r="H57" s="6">
        <f t="shared" si="50"/>
        <v>10000</v>
      </c>
      <c r="I57" s="5">
        <v>15</v>
      </c>
      <c r="J57" s="41">
        <f t="shared" si="0"/>
        <v>0.33580734802318063</v>
      </c>
      <c r="K57" s="41">
        <f t="shared" si="1"/>
        <v>371.76866779215135</v>
      </c>
      <c r="L57" s="6">
        <f t="shared" si="43"/>
        <v>185</v>
      </c>
      <c r="M57" s="41">
        <f t="shared" si="2"/>
        <v>220.26698736816499</v>
      </c>
      <c r="N57" s="41">
        <f t="shared" si="3"/>
        <v>114.87882100857567</v>
      </c>
      <c r="O57" s="41">
        <f t="shared" si="4"/>
        <v>1675489.6632211003</v>
      </c>
      <c r="P57" s="41">
        <f t="shared" si="5"/>
        <v>10757820.977937223</v>
      </c>
      <c r="Q57" s="41">
        <f t="shared" si="6"/>
        <v>2.9379521906189965E-3</v>
      </c>
      <c r="R57" s="41">
        <f t="shared" si="7"/>
        <v>2.2936198123728976E-2</v>
      </c>
      <c r="S57" s="27">
        <v>0</v>
      </c>
      <c r="T57" s="41">
        <f t="shared" ca="1" si="8"/>
        <v>0.6519667112477906</v>
      </c>
      <c r="U57" s="41">
        <f t="shared" ca="1" si="9"/>
        <v>4.9781632418142797E-2</v>
      </c>
      <c r="V57" s="41">
        <f t="shared" ca="1" si="10"/>
        <v>13.096531382731092</v>
      </c>
      <c r="W57" s="20">
        <f t="shared" ca="1" si="11"/>
        <v>1315.3367052180629</v>
      </c>
      <c r="X57" s="41">
        <f t="shared" si="12"/>
        <v>0.60263023928027892</v>
      </c>
      <c r="Y57" s="41">
        <f t="shared" ca="1" si="13"/>
        <v>207.14566477121807</v>
      </c>
      <c r="Z57" s="14">
        <f t="shared" ca="1" si="14"/>
        <v>1315.3367052180629</v>
      </c>
      <c r="AA57" s="14">
        <f t="shared" si="15"/>
        <v>4318.772914781468</v>
      </c>
      <c r="AB57" s="25">
        <f t="shared" ca="1" si="16"/>
        <v>489000.97459703695</v>
      </c>
      <c r="AC57" s="41">
        <f t="shared" si="17"/>
        <v>1605584.4530251327</v>
      </c>
      <c r="AD57" s="5">
        <f t="shared" ca="1" si="18"/>
        <v>30.456259941711235</v>
      </c>
      <c r="AE57" s="7">
        <f t="shared" ca="1" si="19"/>
        <v>1315.3367052180629</v>
      </c>
      <c r="AF57" s="41">
        <f t="shared" ca="1" si="44"/>
        <v>3003.4362095634051</v>
      </c>
      <c r="AG57" s="41">
        <f t="shared" ca="1" si="20"/>
        <v>64.818349773804243</v>
      </c>
      <c r="AH57" s="41">
        <f t="shared" ca="1" si="21"/>
        <v>1002.9053194037022</v>
      </c>
      <c r="AI57" s="13">
        <f t="shared" ca="1" si="22"/>
        <v>0</v>
      </c>
      <c r="AJ57" s="10">
        <f t="shared" ca="1" si="23"/>
        <v>0</v>
      </c>
      <c r="AK57" s="11">
        <f t="shared" ca="1" si="24"/>
        <v>0.22576467672514214</v>
      </c>
      <c r="AL57" s="7">
        <v>0</v>
      </c>
      <c r="AM57" s="41">
        <f t="shared" si="25"/>
        <v>1634.3801869786253</v>
      </c>
      <c r="AN57" s="41">
        <f t="shared" ca="1" si="26"/>
        <v>455.31349540246686</v>
      </c>
      <c r="AO57" s="6">
        <v>100</v>
      </c>
      <c r="AP57" s="67">
        <f t="shared" si="27"/>
        <v>0.76247041189155873</v>
      </c>
      <c r="AQ57" s="11">
        <f t="shared" si="28"/>
        <v>0.98330272071837588</v>
      </c>
      <c r="AR57" s="11">
        <f t="shared" si="29"/>
        <v>0.68770269343653956</v>
      </c>
      <c r="AS57" s="11">
        <f t="shared" si="30"/>
        <v>0.69938044403469313</v>
      </c>
      <c r="AT57" s="11">
        <f t="shared" si="31"/>
        <v>510.00962215499999</v>
      </c>
      <c r="AU57" s="11">
        <f t="shared" si="32"/>
        <v>1455.3301939042735</v>
      </c>
      <c r="AV57" s="11">
        <f t="shared" si="33"/>
        <v>1.6623573774260621E-3</v>
      </c>
      <c r="AW57" s="11">
        <f t="shared" si="34"/>
        <v>3.6885478983619832E-7</v>
      </c>
      <c r="AX57" s="41">
        <f t="shared" ca="1" si="45"/>
        <v>1.1337951809548288</v>
      </c>
      <c r="AY57" s="41">
        <f t="shared" ca="1" si="46"/>
        <v>0.60889000458685261</v>
      </c>
      <c r="AZ57" s="41">
        <f t="shared" si="47"/>
        <v>0.24303878439743815</v>
      </c>
      <c r="BA57" s="41">
        <f t="shared" ca="1" si="37"/>
        <v>16.219728380190237</v>
      </c>
      <c r="BB57" s="41">
        <f t="shared" ca="1" si="38"/>
        <v>10.57472296936508</v>
      </c>
      <c r="BC57" s="41">
        <f t="shared" ca="1" si="48"/>
        <v>11.341596177445126</v>
      </c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</row>
    <row r="58" spans="1:67">
      <c r="A58" s="41">
        <f t="shared" si="39"/>
        <v>1591.7322677981679</v>
      </c>
      <c r="B58" s="41">
        <f t="shared" ref="B58:C73" si="52">(A58/60)</f>
        <v>26.528871129969463</v>
      </c>
      <c r="C58" s="41">
        <f t="shared" si="52"/>
        <v>0.44214785216615771</v>
      </c>
      <c r="D58" s="23">
        <f t="shared" ca="1" si="49"/>
        <v>17226.348438746474</v>
      </c>
      <c r="E58" s="41">
        <f t="shared" si="41"/>
        <v>100</v>
      </c>
      <c r="F58" s="41">
        <f t="shared" si="42"/>
        <v>100</v>
      </c>
      <c r="G58" s="41"/>
      <c r="H58" s="6">
        <f t="shared" si="50"/>
        <v>10000</v>
      </c>
      <c r="I58" s="5">
        <v>15</v>
      </c>
      <c r="J58" s="41">
        <f t="shared" si="0"/>
        <v>0.34480476858719744</v>
      </c>
      <c r="K58" s="41">
        <f t="shared" si="1"/>
        <v>381.72961437757067</v>
      </c>
      <c r="L58" s="6">
        <f t="shared" si="43"/>
        <v>190</v>
      </c>
      <c r="M58" s="41">
        <f t="shared" si="2"/>
        <v>226.16868884488059</v>
      </c>
      <c r="N58" s="41">
        <f t="shared" si="3"/>
        <v>121.11727931982914</v>
      </c>
      <c r="O58" s="41">
        <f t="shared" si="4"/>
        <v>1720381.7277914754</v>
      </c>
      <c r="P58" s="41">
        <f t="shared" si="5"/>
        <v>11046059.577422014</v>
      </c>
      <c r="Q58" s="41">
        <f t="shared" si="6"/>
        <v>2.9239610617934082E-3</v>
      </c>
      <c r="R58" s="41">
        <f t="shared" si="7"/>
        <v>2.2850782282248756E-2</v>
      </c>
      <c r="S58" s="27">
        <v>0</v>
      </c>
      <c r="T58" s="41">
        <f t="shared" ca="1" si="8"/>
        <v>0.61838548178750763</v>
      </c>
      <c r="U58" s="41">
        <f t="shared" ca="1" si="9"/>
        <v>4.7001951481274534E-2</v>
      </c>
      <c r="V58" s="41">
        <f t="shared" ca="1" si="10"/>
        <v>13.156591637133852</v>
      </c>
      <c r="W58" s="20">
        <f t="shared" ca="1" si="11"/>
        <v>1309.3321518109544</v>
      </c>
      <c r="X58" s="41">
        <f t="shared" si="12"/>
        <v>0.60150707620387156</v>
      </c>
      <c r="Y58" s="41">
        <f t="shared" ca="1" si="13"/>
        <v>207.14566477121807</v>
      </c>
      <c r="Z58" s="14">
        <f t="shared" ca="1" si="14"/>
        <v>1309.3321518109544</v>
      </c>
      <c r="AA58" s="14">
        <f t="shared" si="15"/>
        <v>4318.772914781468</v>
      </c>
      <c r="AB58" s="25">
        <f t="shared" ca="1" si="16"/>
        <v>499810.85740295047</v>
      </c>
      <c r="AC58" s="41">
        <f t="shared" si="17"/>
        <v>1648603.5193438267</v>
      </c>
      <c r="AD58" s="5">
        <f t="shared" ca="1" si="18"/>
        <v>30.317226157680654</v>
      </c>
      <c r="AE58" s="7">
        <f t="shared" ca="1" si="19"/>
        <v>1309.3321518109544</v>
      </c>
      <c r="AF58" s="41">
        <f t="shared" ca="1" si="44"/>
        <v>3009.4407629705138</v>
      </c>
      <c r="AG58" s="41">
        <f t="shared" ca="1" si="20"/>
        <v>66.688112458990261</v>
      </c>
      <c r="AH58" s="41">
        <f t="shared" ca="1" si="21"/>
        <v>1000.5161217811848</v>
      </c>
      <c r="AI58" s="13">
        <f t="shared" ca="1" si="22"/>
        <v>0</v>
      </c>
      <c r="AJ58" s="10">
        <f t="shared" ca="1" si="23"/>
        <v>0</v>
      </c>
      <c r="AK58" s="11">
        <f t="shared" ca="1" si="24"/>
        <v>0.23227712836340267</v>
      </c>
      <c r="AL58" s="7">
        <v>0</v>
      </c>
      <c r="AM58" s="41">
        <f t="shared" si="25"/>
        <v>1591.7322677981679</v>
      </c>
      <c r="AN58" s="41">
        <f t="shared" ca="1" si="26"/>
        <v>442.37605430316478</v>
      </c>
      <c r="AO58" s="6">
        <v>100</v>
      </c>
      <c r="AP58" s="67">
        <f t="shared" si="27"/>
        <v>0.76414233042193136</v>
      </c>
      <c r="AQ58" s="11">
        <f t="shared" si="28"/>
        <v>0.98330272071837588</v>
      </c>
      <c r="AR58" s="11">
        <f t="shared" si="29"/>
        <v>0.68770269343653956</v>
      </c>
      <c r="AS58" s="11">
        <f t="shared" si="30"/>
        <v>0.69938044403469313</v>
      </c>
      <c r="AT58" s="11">
        <f t="shared" si="31"/>
        <v>510.00962215499999</v>
      </c>
      <c r="AU58" s="11">
        <f t="shared" si="32"/>
        <v>1455.3301939042735</v>
      </c>
      <c r="AV58" s="11">
        <f t="shared" si="33"/>
        <v>1.6623573774260621E-3</v>
      </c>
      <c r="AW58" s="11">
        <f t="shared" si="34"/>
        <v>3.6885478983619832E-7</v>
      </c>
      <c r="AX58" s="41">
        <f t="shared" ca="1" si="45"/>
        <v>1.1673874485799336</v>
      </c>
      <c r="AY58" s="41">
        <f t="shared" ca="1" si="46"/>
        <v>0.62693029645959408</v>
      </c>
      <c r="AZ58" s="41">
        <f t="shared" si="47"/>
        <v>0.24897358427340349</v>
      </c>
      <c r="BA58" s="41">
        <f t="shared" ca="1" si="37"/>
        <v>16.730686157144039</v>
      </c>
      <c r="BB58" s="41">
        <f t="shared" ca="1" si="38"/>
        <v>10.346013419921102</v>
      </c>
      <c r="BC58" s="41">
        <f t="shared" ca="1" si="48"/>
        <v>11.393608357757916</v>
      </c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</row>
    <row r="59" spans="1:67">
      <c r="A59" s="41">
        <f t="shared" si="39"/>
        <v>1551.279632670733</v>
      </c>
      <c r="B59" s="41">
        <f t="shared" si="52"/>
        <v>25.854660544512218</v>
      </c>
      <c r="C59" s="41">
        <f t="shared" si="52"/>
        <v>0.43091100907520363</v>
      </c>
      <c r="D59" s="23">
        <f t="shared" ca="1" si="49"/>
        <v>17226.348438746474</v>
      </c>
      <c r="E59" s="41">
        <f t="shared" si="41"/>
        <v>100</v>
      </c>
      <c r="F59" s="41">
        <f t="shared" si="42"/>
        <v>100</v>
      </c>
      <c r="G59" s="41"/>
      <c r="H59" s="6">
        <f t="shared" si="50"/>
        <v>10000</v>
      </c>
      <c r="I59" s="5">
        <v>15</v>
      </c>
      <c r="J59" s="41">
        <f t="shared" si="0"/>
        <v>0.35379622389937976</v>
      </c>
      <c r="K59" s="41">
        <f t="shared" si="1"/>
        <v>391.68395689747274</v>
      </c>
      <c r="L59" s="6">
        <f t="shared" si="43"/>
        <v>195</v>
      </c>
      <c r="M59" s="41">
        <f t="shared" si="2"/>
        <v>232.06647751844224</v>
      </c>
      <c r="N59" s="41">
        <f t="shared" si="3"/>
        <v>127.5163774226581</v>
      </c>
      <c r="O59" s="41">
        <f t="shared" si="4"/>
        <v>1765244.0291126366</v>
      </c>
      <c r="P59" s="41">
        <f t="shared" si="5"/>
        <v>11334107.075932687</v>
      </c>
      <c r="Q59" s="41">
        <f t="shared" si="6"/>
        <v>2.9103383849511046E-3</v>
      </c>
      <c r="R59" s="41">
        <f t="shared" si="7"/>
        <v>2.2767615840126494E-2</v>
      </c>
      <c r="S59" s="27">
        <v>0</v>
      </c>
      <c r="T59" s="41">
        <f t="shared" ca="1" si="8"/>
        <v>0.58735331601159779</v>
      </c>
      <c r="U59" s="41">
        <f t="shared" ca="1" si="9"/>
        <v>4.4555669732913833E-2</v>
      </c>
      <c r="V59" s="41">
        <f t="shared" ca="1" si="10"/>
        <v>13.182459595657532</v>
      </c>
      <c r="W59" s="20">
        <f t="shared" ca="1" si="11"/>
        <v>1306.7628475357551</v>
      </c>
      <c r="X59" s="41">
        <f t="shared" si="12"/>
        <v>0.600411472493659</v>
      </c>
      <c r="Y59" s="41">
        <f t="shared" ca="1" si="13"/>
        <v>207.14566477121807</v>
      </c>
      <c r="Z59" s="14">
        <f t="shared" ca="1" si="14"/>
        <v>1306.7628475357551</v>
      </c>
      <c r="AA59" s="14">
        <f t="shared" si="15"/>
        <v>4318.772914781468</v>
      </c>
      <c r="AB59" s="25">
        <f t="shared" ca="1" si="16"/>
        <v>511838.04284941347</v>
      </c>
      <c r="AC59" s="41">
        <f t="shared" si="17"/>
        <v>1691594.0642032372</v>
      </c>
      <c r="AD59" s="5">
        <f t="shared" ca="1" si="18"/>
        <v>30.257734623258791</v>
      </c>
      <c r="AE59" s="7">
        <f t="shared" ca="1" si="19"/>
        <v>1306.7628475357551</v>
      </c>
      <c r="AF59" s="41">
        <f t="shared" ca="1" si="44"/>
        <v>3012.0100672457129</v>
      </c>
      <c r="AG59" s="41">
        <f t="shared" ca="1" si="20"/>
        <v>68.485554297755286</v>
      </c>
      <c r="AH59" s="41">
        <f t="shared" ca="1" si="21"/>
        <v>1000.7186771345827</v>
      </c>
      <c r="AI59" s="13">
        <f t="shared" ca="1" si="22"/>
        <v>0</v>
      </c>
      <c r="AJ59" s="10">
        <f t="shared" ca="1" si="23"/>
        <v>0</v>
      </c>
      <c r="AK59" s="11">
        <f t="shared" ca="1" si="24"/>
        <v>0.23853768385543758</v>
      </c>
      <c r="AL59" s="7">
        <v>0</v>
      </c>
      <c r="AM59" s="41">
        <f t="shared" si="25"/>
        <v>1551.279632670733</v>
      </c>
      <c r="AN59" s="41">
        <f t="shared" ca="1" si="26"/>
        <v>431.22069496446591</v>
      </c>
      <c r="AO59" s="6">
        <v>100</v>
      </c>
      <c r="AP59" s="67">
        <f t="shared" si="27"/>
        <v>0.76579976161833863</v>
      </c>
      <c r="AQ59" s="11">
        <f t="shared" si="28"/>
        <v>0.98330272071837588</v>
      </c>
      <c r="AR59" s="11">
        <f t="shared" si="29"/>
        <v>0.68770269343653956</v>
      </c>
      <c r="AS59" s="11">
        <f t="shared" si="30"/>
        <v>0.69938044403469313</v>
      </c>
      <c r="AT59" s="11">
        <f t="shared" si="31"/>
        <v>510.00962215499999</v>
      </c>
      <c r="AU59" s="11">
        <f t="shared" si="32"/>
        <v>1455.3301939042735</v>
      </c>
      <c r="AV59" s="11">
        <f t="shared" si="33"/>
        <v>1.6623573774260621E-3</v>
      </c>
      <c r="AW59" s="11">
        <f t="shared" si="34"/>
        <v>3.6885478983619832E-7</v>
      </c>
      <c r="AX59" s="41">
        <f t="shared" ca="1" si="45"/>
        <v>1.2036106789834107</v>
      </c>
      <c r="AY59" s="41">
        <f t="shared" ca="1" si="46"/>
        <v>0.64638351278738726</v>
      </c>
      <c r="AZ59" s="41">
        <f t="shared" si="47"/>
        <v>0.25486514508194152</v>
      </c>
      <c r="BA59" s="41">
        <f t="shared" ca="1" si="37"/>
        <v>17.200724360671032</v>
      </c>
      <c r="BB59" s="41">
        <f t="shared" ca="1" si="38"/>
        <v>10.102902491041602</v>
      </c>
      <c r="BC59" s="41">
        <f t="shared" ca="1" si="48"/>
        <v>11.416010009839422</v>
      </c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</row>
    <row r="60" spans="1:67">
      <c r="A60" s="41">
        <f t="shared" si="39"/>
        <v>1512.8575497854508</v>
      </c>
      <c r="B60" s="41">
        <f t="shared" si="52"/>
        <v>25.214292496424182</v>
      </c>
      <c r="C60" s="41">
        <f t="shared" si="52"/>
        <v>0.42023820827373637</v>
      </c>
      <c r="D60" s="23">
        <f t="shared" ca="1" si="49"/>
        <v>17226.348438746474</v>
      </c>
      <c r="E60" s="41">
        <f t="shared" si="41"/>
        <v>100</v>
      </c>
      <c r="F60" s="41">
        <f t="shared" si="42"/>
        <v>100</v>
      </c>
      <c r="G60" s="41"/>
      <c r="H60" s="6">
        <f t="shared" si="50"/>
        <v>10000</v>
      </c>
      <c r="I60" s="5">
        <v>15</v>
      </c>
      <c r="J60" s="41">
        <f t="shared" si="0"/>
        <v>0.36278159588042957</v>
      </c>
      <c r="K60" s="41">
        <f t="shared" si="1"/>
        <v>401.63156462754904</v>
      </c>
      <c r="L60" s="6">
        <f t="shared" si="43"/>
        <v>200</v>
      </c>
      <c r="M60" s="41">
        <f t="shared" si="2"/>
        <v>237.96027593678878</v>
      </c>
      <c r="N60" s="41">
        <f t="shared" si="3"/>
        <v>134.07570019250053</v>
      </c>
      <c r="O60" s="41">
        <f t="shared" si="4"/>
        <v>1810075.9780353452</v>
      </c>
      <c r="P60" s="41">
        <f t="shared" si="5"/>
        <v>11621959.690717146</v>
      </c>
      <c r="Q60" s="41">
        <f t="shared" si="6"/>
        <v>2.8970621068074159E-3</v>
      </c>
      <c r="R60" s="41">
        <f t="shared" si="7"/>
        <v>2.2686564162059272E-2</v>
      </c>
      <c r="S60" s="27">
        <v>0</v>
      </c>
      <c r="T60" s="41">
        <f t="shared" ca="1" si="8"/>
        <v>0.55861850445271077</v>
      </c>
      <c r="U60" s="41">
        <f t="shared" ca="1" si="9"/>
        <v>4.2394912352121866E-2</v>
      </c>
      <c r="V60" s="41">
        <f t="shared" ca="1" si="10"/>
        <v>13.176545803726656</v>
      </c>
      <c r="W60" s="20">
        <f t="shared" ca="1" si="11"/>
        <v>1307.3493383883986</v>
      </c>
      <c r="X60" s="41">
        <f t="shared" si="12"/>
        <v>0.59934180086646982</v>
      </c>
      <c r="Y60" s="41">
        <f t="shared" ca="1" si="13"/>
        <v>207.14566477121807</v>
      </c>
      <c r="Z60" s="14">
        <f t="shared" ca="1" si="14"/>
        <v>1307.3493383883986</v>
      </c>
      <c r="AA60" s="14">
        <f t="shared" si="15"/>
        <v>4318.772914781468</v>
      </c>
      <c r="AB60" s="25">
        <f t="shared" ca="1" si="16"/>
        <v>525072.76029172353</v>
      </c>
      <c r="AC60" s="41">
        <f t="shared" si="17"/>
        <v>1734555.5230347614</v>
      </c>
      <c r="AD60" s="5">
        <f t="shared" ca="1" si="18"/>
        <v>30.27131465777823</v>
      </c>
      <c r="AE60" s="7">
        <f t="shared" ca="1" si="19"/>
        <v>1307.3493383883986</v>
      </c>
      <c r="AF60" s="41">
        <f t="shared" ca="1" si="44"/>
        <v>3011.4235763930692</v>
      </c>
      <c r="AG60" s="41">
        <f t="shared" ca="1" si="20"/>
        <v>70.211209708413946</v>
      </c>
      <c r="AH60" s="41">
        <f t="shared" ca="1" si="21"/>
        <v>1003.3157799924469</v>
      </c>
      <c r="AI60" s="13">
        <f t="shared" ca="1" si="22"/>
        <v>0</v>
      </c>
      <c r="AJ60" s="10">
        <f t="shared" ca="1" si="23"/>
        <v>0</v>
      </c>
      <c r="AK60" s="11">
        <f t="shared" ca="1" si="24"/>
        <v>0.24454820459973142</v>
      </c>
      <c r="AL60" s="7">
        <v>0</v>
      </c>
      <c r="AM60" s="41">
        <f t="shared" si="25"/>
        <v>1512.8575497854508</v>
      </c>
      <c r="AN60" s="41">
        <f t="shared" ca="1" si="26"/>
        <v>421.63162571679214</v>
      </c>
      <c r="AO60" s="6">
        <v>100</v>
      </c>
      <c r="AP60" s="67">
        <f t="shared" si="27"/>
        <v>0.7674427565238674</v>
      </c>
      <c r="AQ60" s="11">
        <f t="shared" si="28"/>
        <v>0.98330272071837588</v>
      </c>
      <c r="AR60" s="11">
        <f t="shared" si="29"/>
        <v>0.68770269343653956</v>
      </c>
      <c r="AS60" s="11">
        <f t="shared" si="30"/>
        <v>0.69938044403469313</v>
      </c>
      <c r="AT60" s="11">
        <f t="shared" si="31"/>
        <v>510.00962215499999</v>
      </c>
      <c r="AU60" s="11">
        <f t="shared" si="32"/>
        <v>1455.3301939042735</v>
      </c>
      <c r="AV60" s="11">
        <f t="shared" si="33"/>
        <v>1.6623573774260621E-3</v>
      </c>
      <c r="AW60" s="11">
        <f t="shared" si="34"/>
        <v>3.6885478983619832E-7</v>
      </c>
      <c r="AX60" s="41">
        <f t="shared" ca="1" si="45"/>
        <v>1.2422772446917569</v>
      </c>
      <c r="AY60" s="41">
        <f t="shared" ca="1" si="46"/>
        <v>0.66714889066779548</v>
      </c>
      <c r="AZ60" s="41">
        <f t="shared" si="47"/>
        <v>0.26071346842813342</v>
      </c>
      <c r="BA60" s="41">
        <f t="shared" ca="1" si="37"/>
        <v>17.629659205878596</v>
      </c>
      <c r="BB60" s="41">
        <f t="shared" ca="1" si="38"/>
        <v>9.8482538595988665</v>
      </c>
      <c r="BC60" s="41">
        <f t="shared" ca="1" si="48"/>
        <v>11.410888666027283</v>
      </c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</row>
    <row r="61" spans="1:67">
      <c r="A61" s="41">
        <f t="shared" si="39"/>
        <v>1476.3173573434208</v>
      </c>
      <c r="B61" s="41">
        <f t="shared" si="52"/>
        <v>24.605289289057012</v>
      </c>
      <c r="C61" s="41">
        <f t="shared" si="52"/>
        <v>0.41008815481761685</v>
      </c>
      <c r="D61" s="23">
        <f t="shared" ca="1" si="49"/>
        <v>17226.348438746474</v>
      </c>
      <c r="E61" s="41">
        <f t="shared" si="41"/>
        <v>100</v>
      </c>
      <c r="F61" s="41">
        <f t="shared" si="42"/>
        <v>100</v>
      </c>
      <c r="G61" s="41"/>
      <c r="H61" s="6">
        <f t="shared" si="50"/>
        <v>10000</v>
      </c>
      <c r="I61" s="5">
        <v>15</v>
      </c>
      <c r="J61" s="41">
        <f t="shared" si="0"/>
        <v>0.37176076913336181</v>
      </c>
      <c r="K61" s="41">
        <f t="shared" si="1"/>
        <v>411.57230981305077</v>
      </c>
      <c r="L61" s="6">
        <f t="shared" si="43"/>
        <v>205</v>
      </c>
      <c r="M61" s="41">
        <f t="shared" si="2"/>
        <v>243.85000840727557</v>
      </c>
      <c r="N61" s="41">
        <f t="shared" si="3"/>
        <v>140.79482611293142</v>
      </c>
      <c r="O61" s="41">
        <f t="shared" si="4"/>
        <v>1854876.9987935952</v>
      </c>
      <c r="P61" s="41">
        <f t="shared" si="5"/>
        <v>11909613.724953048</v>
      </c>
      <c r="Q61" s="41">
        <f t="shared" si="6"/>
        <v>2.884111958022195E-3</v>
      </c>
      <c r="R61" s="41">
        <f t="shared" si="7"/>
        <v>2.26075035037255E-2</v>
      </c>
      <c r="S61" s="27">
        <v>0</v>
      </c>
      <c r="T61" s="41">
        <f t="shared" ca="1" si="8"/>
        <v>0.53195965500116971</v>
      </c>
      <c r="U61" s="41">
        <f t="shared" ca="1" si="9"/>
        <v>4.0479660970361882E-2</v>
      </c>
      <c r="V61" s="41">
        <f t="shared" ca="1" si="10"/>
        <v>13.141405887530931</v>
      </c>
      <c r="W61" s="20">
        <f t="shared" ca="1" si="11"/>
        <v>1310.845170309479</v>
      </c>
      <c r="X61" s="41">
        <f t="shared" si="12"/>
        <v>0.5982965629965461</v>
      </c>
      <c r="Y61" s="41">
        <f t="shared" ca="1" si="13"/>
        <v>207.14566477121807</v>
      </c>
      <c r="Z61" s="14">
        <f t="shared" ca="1" si="14"/>
        <v>1310.845170309479</v>
      </c>
      <c r="AA61" s="14">
        <f t="shared" si="15"/>
        <v>4318.772914781468</v>
      </c>
      <c r="AB61" s="25">
        <f t="shared" ca="1" si="16"/>
        <v>539507.57455155416</v>
      </c>
      <c r="AC61" s="41">
        <f t="shared" si="17"/>
        <v>1777487.3440946506</v>
      </c>
      <c r="AD61" s="5">
        <f t="shared" ca="1" si="18"/>
        <v>30.352259685221455</v>
      </c>
      <c r="AE61" s="7">
        <f t="shared" ca="1" si="19"/>
        <v>1310.845170309479</v>
      </c>
      <c r="AF61" s="41">
        <f t="shared" ca="1" si="44"/>
        <v>3007.9277444719892</v>
      </c>
      <c r="AG61" s="41">
        <f t="shared" ca="1" si="20"/>
        <v>71.8654782785284</v>
      </c>
      <c r="AH61" s="41">
        <f t="shared" ca="1" si="21"/>
        <v>1008.1334868660828</v>
      </c>
      <c r="AI61" s="13">
        <f t="shared" ca="1" si="22"/>
        <v>0</v>
      </c>
      <c r="AJ61" s="10">
        <f t="shared" ca="1" si="23"/>
        <v>0</v>
      </c>
      <c r="AK61" s="11">
        <f t="shared" ca="1" si="24"/>
        <v>0.25031008237433944</v>
      </c>
      <c r="AL61" s="7">
        <v>0</v>
      </c>
      <c r="AM61" s="41">
        <f t="shared" si="25"/>
        <v>1476.3173573434208</v>
      </c>
      <c r="AN61" s="41">
        <f t="shared" ca="1" si="26"/>
        <v>413.42360143876209</v>
      </c>
      <c r="AO61" s="6">
        <v>100</v>
      </c>
      <c r="AP61" s="67">
        <f t="shared" si="27"/>
        <v>0.76907136685568389</v>
      </c>
      <c r="AQ61" s="11">
        <f t="shared" si="28"/>
        <v>0.98330272071837588</v>
      </c>
      <c r="AR61" s="11">
        <f t="shared" si="29"/>
        <v>0.68770269343653956</v>
      </c>
      <c r="AS61" s="11">
        <f t="shared" si="30"/>
        <v>0.69938044403469313</v>
      </c>
      <c r="AT61" s="11">
        <f t="shared" si="31"/>
        <v>510.00962215499999</v>
      </c>
      <c r="AU61" s="11">
        <f t="shared" si="32"/>
        <v>1455.3301939042735</v>
      </c>
      <c r="AV61" s="11">
        <f t="shared" si="33"/>
        <v>1.6623573774260621E-3</v>
      </c>
      <c r="AW61" s="11">
        <f t="shared" si="34"/>
        <v>3.6885478983619832E-7</v>
      </c>
      <c r="AX61" s="41">
        <f t="shared" ca="1" si="45"/>
        <v>1.2832306312507378</v>
      </c>
      <c r="AY61" s="41">
        <f t="shared" ca="1" si="46"/>
        <v>0.68914237604206297</v>
      </c>
      <c r="AZ61" s="41">
        <f t="shared" si="47"/>
        <v>0.26651855965463273</v>
      </c>
      <c r="BA61" s="41">
        <f t="shared" ca="1" si="37"/>
        <v>18.017829848842972</v>
      </c>
      <c r="BB61" s="41">
        <f t="shared" ca="1" si="38"/>
        <v>9.5847585502602843</v>
      </c>
      <c r="BC61" s="41">
        <f t="shared" ca="1" si="48"/>
        <v>11.380457498601785</v>
      </c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</row>
    <row r="62" spans="1:67">
      <c r="A62" s="41">
        <f t="shared" si="39"/>
        <v>1441.5245505108217</v>
      </c>
      <c r="B62" s="41">
        <f t="shared" si="52"/>
        <v>24.025409175180361</v>
      </c>
      <c r="C62" s="41">
        <f t="shared" si="52"/>
        <v>0.400423486253006</v>
      </c>
      <c r="D62" s="23">
        <f t="shared" ca="1" si="49"/>
        <v>17226.348438746474</v>
      </c>
      <c r="E62" s="41">
        <f t="shared" si="41"/>
        <v>100</v>
      </c>
      <c r="F62" s="41">
        <f t="shared" si="42"/>
        <v>100</v>
      </c>
      <c r="G62" s="41"/>
      <c r="H62" s="6">
        <f t="shared" si="50"/>
        <v>10000</v>
      </c>
      <c r="I62" s="5">
        <v>15</v>
      </c>
      <c r="J62" s="41">
        <f t="shared" si="0"/>
        <v>0.38073363097176205</v>
      </c>
      <c r="K62" s="41">
        <f t="shared" si="1"/>
        <v>421.50606770007238</v>
      </c>
      <c r="L62" s="6">
        <f t="shared" si="43"/>
        <v>210</v>
      </c>
      <c r="M62" s="41">
        <f t="shared" si="2"/>
        <v>249.73560101520968</v>
      </c>
      <c r="N62" s="41">
        <f t="shared" si="3"/>
        <v>147.67332755754848</v>
      </c>
      <c r="O62" s="41">
        <f t="shared" si="4"/>
        <v>1899646.5291456019</v>
      </c>
      <c r="P62" s="41">
        <f t="shared" si="5"/>
        <v>12197065.568653058</v>
      </c>
      <c r="Q62" s="41">
        <f t="shared" si="6"/>
        <v>2.8714692712762694E-3</v>
      </c>
      <c r="R62" s="41">
        <f t="shared" si="7"/>
        <v>2.2530319901141627E-2</v>
      </c>
      <c r="S62" s="27">
        <v>0</v>
      </c>
      <c r="T62" s="41">
        <f t="shared" ca="1" si="8"/>
        <v>0.50718141429972952</v>
      </c>
      <c r="U62" s="41">
        <f t="shared" ca="1" si="9"/>
        <v>3.8776312523802627E-2</v>
      </c>
      <c r="V62" s="41">
        <f t="shared" ca="1" si="10"/>
        <v>13.079671100453377</v>
      </c>
      <c r="W62" s="20">
        <f t="shared" ca="1" si="11"/>
        <v>1317.0322331843163</v>
      </c>
      <c r="X62" s="41">
        <f t="shared" si="12"/>
        <v>0.59727437658219562</v>
      </c>
      <c r="Y62" s="41">
        <f t="shared" ca="1" si="13"/>
        <v>207.14566477121807</v>
      </c>
      <c r="Z62" s="14">
        <f t="shared" ca="1" si="14"/>
        <v>1317.0322331843163</v>
      </c>
      <c r="AA62" s="14">
        <f t="shared" si="15"/>
        <v>4318.772914781468</v>
      </c>
      <c r="AB62" s="25">
        <f t="shared" ca="1" si="16"/>
        <v>555137.07764376595</v>
      </c>
      <c r="AC62" s="41">
        <f t="shared" si="17"/>
        <v>1820388.9885991164</v>
      </c>
      <c r="AD62" s="5">
        <f t="shared" ca="1" si="18"/>
        <v>30.495519425821875</v>
      </c>
      <c r="AE62" s="7">
        <f t="shared" ca="1" si="19"/>
        <v>1317.0322331843163</v>
      </c>
      <c r="AF62" s="41">
        <f t="shared" ca="1" si="44"/>
        <v>3001.7406815971517</v>
      </c>
      <c r="AG62" s="41">
        <f t="shared" ca="1" si="20"/>
        <v>73.448642668197422</v>
      </c>
      <c r="AH62" s="41">
        <f t="shared" ca="1" si="21"/>
        <v>1015.01783609855</v>
      </c>
      <c r="AI62" s="13">
        <f t="shared" ca="1" si="22"/>
        <v>0</v>
      </c>
      <c r="AJ62" s="10">
        <f t="shared" ca="1" si="23"/>
        <v>0</v>
      </c>
      <c r="AK62" s="11">
        <f t="shared" ca="1" si="24"/>
        <v>0.25582430169469667</v>
      </c>
      <c r="AL62" s="7">
        <v>0</v>
      </c>
      <c r="AM62" s="41">
        <f t="shared" si="25"/>
        <v>1441.5245505108217</v>
      </c>
      <c r="AN62" s="41">
        <f t="shared" ca="1" si="26"/>
        <v>406.43698053956365</v>
      </c>
      <c r="AO62" s="6">
        <v>100</v>
      </c>
      <c r="AP62" s="67">
        <f t="shared" si="27"/>
        <v>0.77068564498565317</v>
      </c>
      <c r="AQ62" s="11">
        <f t="shared" si="28"/>
        <v>0.98330272071837588</v>
      </c>
      <c r="AR62" s="11">
        <f t="shared" si="29"/>
        <v>0.68770269343653956</v>
      </c>
      <c r="AS62" s="11">
        <f t="shared" si="30"/>
        <v>0.69938044403469313</v>
      </c>
      <c r="AT62" s="11">
        <f t="shared" si="31"/>
        <v>510.00962215499999</v>
      </c>
      <c r="AU62" s="11">
        <f t="shared" si="32"/>
        <v>1455.3301939042735</v>
      </c>
      <c r="AV62" s="11">
        <f t="shared" si="33"/>
        <v>1.6623573774260621E-3</v>
      </c>
      <c r="AW62" s="11">
        <f t="shared" si="34"/>
        <v>3.6885478983619832E-7</v>
      </c>
      <c r="AX62" s="41">
        <f t="shared" ca="1" si="45"/>
        <v>1.3263391566438567</v>
      </c>
      <c r="AY62" s="41">
        <f t="shared" ca="1" si="46"/>
        <v>0.71229325079021943</v>
      </c>
      <c r="AZ62" s="41">
        <f t="shared" si="47"/>
        <v>0.27228042779773881</v>
      </c>
      <c r="BA62" s="41">
        <f t="shared" ca="1" si="37"/>
        <v>18.366024453003948</v>
      </c>
      <c r="BB62" s="41">
        <f t="shared" ca="1" si="38"/>
        <v>9.3149062571379595</v>
      </c>
      <c r="BC62" s="41">
        <f t="shared" ca="1" si="48"/>
        <v>11.326995172992625</v>
      </c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</row>
    <row r="63" spans="1:67">
      <c r="A63" s="41">
        <f t="shared" si="39"/>
        <v>1408.3571353089787</v>
      </c>
      <c r="B63" s="41">
        <f t="shared" si="52"/>
        <v>23.472618921816313</v>
      </c>
      <c r="C63" s="41">
        <f t="shared" si="52"/>
        <v>0.39121031536360523</v>
      </c>
      <c r="D63" s="23">
        <f t="shared" ca="1" si="49"/>
        <v>17226.348438746474</v>
      </c>
      <c r="E63" s="41">
        <f t="shared" si="41"/>
        <v>100</v>
      </c>
      <c r="F63" s="41">
        <f t="shared" si="42"/>
        <v>100</v>
      </c>
      <c r="G63" s="41"/>
      <c r="H63" s="6">
        <f t="shared" si="50"/>
        <v>10000</v>
      </c>
      <c r="I63" s="5">
        <v>15</v>
      </c>
      <c r="J63" s="41">
        <f t="shared" si="0"/>
        <v>0.38970007144566576</v>
      </c>
      <c r="K63" s="41">
        <f t="shared" si="1"/>
        <v>431.43271656420239</v>
      </c>
      <c r="L63" s="6">
        <f t="shared" si="43"/>
        <v>215</v>
      </c>
      <c r="M63" s="41">
        <f t="shared" si="2"/>
        <v>255.61698164082489</v>
      </c>
      <c r="N63" s="41">
        <f t="shared" si="3"/>
        <v>154.71077107282446</v>
      </c>
      <c r="O63" s="41">
        <f t="shared" si="4"/>
        <v>1944384.0205029261</v>
      </c>
      <c r="P63" s="41">
        <f t="shared" si="5"/>
        <v>12484311.699493913</v>
      </c>
      <c r="Q63" s="41">
        <f t="shared" si="6"/>
        <v>2.8591168217389365E-3</v>
      </c>
      <c r="R63" s="41">
        <f t="shared" si="7"/>
        <v>2.2454908196716208E-2</v>
      </c>
      <c r="S63" s="27">
        <v>0</v>
      </c>
      <c r="T63" s="41">
        <f t="shared" ca="1" si="8"/>
        <v>0.48411087738506298</v>
      </c>
      <c r="U63" s="41">
        <f t="shared" ca="1" si="9"/>
        <v>3.7256528948929682E-2</v>
      </c>
      <c r="V63" s="41">
        <f t="shared" ca="1" si="10"/>
        <v>12.993987659147477</v>
      </c>
      <c r="W63" s="20">
        <f t="shared" ca="1" si="11"/>
        <v>1325.716853872761</v>
      </c>
      <c r="X63" s="41">
        <f t="shared" si="12"/>
        <v>0.59627396398324972</v>
      </c>
      <c r="Y63" s="41">
        <f t="shared" ca="1" si="13"/>
        <v>207.14566477121807</v>
      </c>
      <c r="Z63" s="14">
        <f t="shared" ca="1" si="14"/>
        <v>1325.716853872761</v>
      </c>
      <c r="AA63" s="14">
        <f t="shared" si="15"/>
        <v>4318.772914781468</v>
      </c>
      <c r="AB63" s="25">
        <f t="shared" ca="1" si="16"/>
        <v>571957.62366127304</v>
      </c>
      <c r="AC63" s="41">
        <f t="shared" si="17"/>
        <v>1863259.9308480674</v>
      </c>
      <c r="AD63" s="5">
        <f t="shared" ca="1" si="18"/>
        <v>30.696609431242646</v>
      </c>
      <c r="AE63" s="7">
        <f t="shared" ca="1" si="19"/>
        <v>1325.716853872761</v>
      </c>
      <c r="AF63" s="41">
        <f t="shared" ca="1" si="44"/>
        <v>2993.056060908707</v>
      </c>
      <c r="AG63" s="41">
        <f t="shared" ca="1" si="20"/>
        <v>74.960884007334045</v>
      </c>
      <c r="AH63" s="41">
        <f t="shared" ca="1" si="21"/>
        <v>1023.8320941495248</v>
      </c>
      <c r="AI63" s="13">
        <f t="shared" ca="1" si="22"/>
        <v>0</v>
      </c>
      <c r="AJ63" s="10">
        <f t="shared" ca="1" si="23"/>
        <v>0</v>
      </c>
      <c r="AK63" s="11">
        <f t="shared" ca="1" si="24"/>
        <v>0.2610914934428975</v>
      </c>
      <c r="AL63" s="7">
        <v>0</v>
      </c>
      <c r="AM63" s="41">
        <f t="shared" si="25"/>
        <v>1408.3571353089787</v>
      </c>
      <c r="AN63" s="41">
        <f t="shared" ca="1" si="26"/>
        <v>400.53367643161596</v>
      </c>
      <c r="AO63" s="6">
        <v>100</v>
      </c>
      <c r="AP63" s="67">
        <f t="shared" si="27"/>
        <v>0.77228564392060572</v>
      </c>
      <c r="AQ63" s="11">
        <f t="shared" si="28"/>
        <v>0.98330272071837588</v>
      </c>
      <c r="AR63" s="11">
        <f t="shared" si="29"/>
        <v>0.68770269343653956</v>
      </c>
      <c r="AS63" s="11">
        <f t="shared" si="30"/>
        <v>0.69938044403469313</v>
      </c>
      <c r="AT63" s="11">
        <f t="shared" si="31"/>
        <v>510.00962215499999</v>
      </c>
      <c r="AU63" s="11">
        <f t="shared" si="32"/>
        <v>1455.3301939042735</v>
      </c>
      <c r="AV63" s="11">
        <f t="shared" si="33"/>
        <v>1.6623573774260621E-3</v>
      </c>
      <c r="AW63" s="11">
        <f t="shared" si="34"/>
        <v>3.6885478983619832E-7</v>
      </c>
      <c r="AX63" s="41">
        <f t="shared" ca="1" si="45"/>
        <v>1.371491136677675</v>
      </c>
      <c r="AY63" s="41">
        <f t="shared" ca="1" si="46"/>
        <v>0.7365415363639366</v>
      </c>
      <c r="AZ63" s="41">
        <f t="shared" si="47"/>
        <v>0.27799908554127828</v>
      </c>
      <c r="BA63" s="41">
        <f t="shared" ca="1" si="37"/>
        <v>18.675405031563557</v>
      </c>
      <c r="BB63" s="41">
        <f t="shared" ca="1" si="38"/>
        <v>9.0409667153516526</v>
      </c>
      <c r="BC63" s="41">
        <f t="shared" ca="1" si="48"/>
        <v>11.252793312821714</v>
      </c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</row>
    <row r="64" spans="1:67">
      <c r="A64" s="41">
        <f t="shared" si="39"/>
        <v>1376.704206974212</v>
      </c>
      <c r="B64" s="41">
        <f t="shared" si="52"/>
        <v>22.945070116236867</v>
      </c>
      <c r="C64" s="41">
        <f t="shared" si="52"/>
        <v>0.38241783527061446</v>
      </c>
      <c r="D64" s="23">
        <f t="shared" ca="1" si="49"/>
        <v>17226.348438746474</v>
      </c>
      <c r="E64" s="41">
        <f t="shared" si="41"/>
        <v>100</v>
      </c>
      <c r="F64" s="41">
        <f t="shared" si="42"/>
        <v>100</v>
      </c>
      <c r="G64" s="41"/>
      <c r="H64" s="6">
        <f t="shared" si="50"/>
        <v>10000</v>
      </c>
      <c r="I64" s="5">
        <v>15</v>
      </c>
      <c r="J64" s="41">
        <f t="shared" si="0"/>
        <v>0.39865998336504177</v>
      </c>
      <c r="K64" s="41">
        <f t="shared" si="1"/>
        <v>441.3521377365214</v>
      </c>
      <c r="L64" s="6">
        <f t="shared" si="43"/>
        <v>220</v>
      </c>
      <c r="M64" s="41">
        <f t="shared" si="2"/>
        <v>261.49407997468512</v>
      </c>
      <c r="N64" s="41">
        <f t="shared" si="3"/>
        <v>161.90671766157732</v>
      </c>
      <c r="O64" s="41">
        <f t="shared" si="4"/>
        <v>1989088.9380476419</v>
      </c>
      <c r="P64" s="41">
        <f t="shared" si="5"/>
        <v>12771348.68356872</v>
      </c>
      <c r="Q64" s="41">
        <f t="shared" si="6"/>
        <v>2.8470386867177747E-3</v>
      </c>
      <c r="R64" s="41">
        <f t="shared" si="7"/>
        <v>2.2381171182412014E-2</v>
      </c>
      <c r="S64" s="27">
        <v>0</v>
      </c>
      <c r="T64" s="41">
        <f t="shared" ca="1" si="8"/>
        <v>0.46259456189790199</v>
      </c>
      <c r="U64" s="41">
        <f t="shared" ca="1" si="9"/>
        <v>3.5896313925616374E-2</v>
      </c>
      <c r="V64" s="41">
        <f t="shared" ca="1" si="10"/>
        <v>12.886965576924728</v>
      </c>
      <c r="W64" s="20">
        <f t="shared" ca="1" si="11"/>
        <v>1336.7265036846068</v>
      </c>
      <c r="X64" s="41">
        <f t="shared" si="12"/>
        <v>0.59529414220670929</v>
      </c>
      <c r="Y64" s="41">
        <f t="shared" ca="1" si="13"/>
        <v>207.14566477121807</v>
      </c>
      <c r="Z64" s="14">
        <f t="shared" ca="1" si="14"/>
        <v>1336.7265036846068</v>
      </c>
      <c r="AA64" s="14">
        <f t="shared" si="15"/>
        <v>4318.772914781468</v>
      </c>
      <c r="AB64" s="25">
        <f t="shared" ca="1" si="16"/>
        <v>589967.09997026727</v>
      </c>
      <c r="AC64" s="41">
        <f t="shared" si="17"/>
        <v>1906099.6583373884</v>
      </c>
      <c r="AD64" s="5">
        <f t="shared" ca="1" si="18"/>
        <v>30.95153484707463</v>
      </c>
      <c r="AE64" s="7">
        <f t="shared" ca="1" si="19"/>
        <v>1336.7265036846068</v>
      </c>
      <c r="AF64" s="41">
        <f t="shared" ca="1" si="44"/>
        <v>2982.0464110968614</v>
      </c>
      <c r="AG64" s="41">
        <f t="shared" ca="1" si="20"/>
        <v>76.402295184439751</v>
      </c>
      <c r="AH64" s="41">
        <f t="shared" ca="1" si="21"/>
        <v>1034.4544339251847</v>
      </c>
      <c r="AI64" s="13">
        <f t="shared" ca="1" si="22"/>
        <v>0</v>
      </c>
      <c r="AJ64" s="10">
        <f t="shared" ca="1" si="23"/>
        <v>0</v>
      </c>
      <c r="AK64" s="11">
        <f t="shared" ca="1" si="24"/>
        <v>0.26611198115298096</v>
      </c>
      <c r="AL64" s="7">
        <v>0</v>
      </c>
      <c r="AM64" s="41">
        <f t="shared" si="25"/>
        <v>1376.704206974212</v>
      </c>
      <c r="AN64" s="41">
        <f t="shared" ca="1" si="26"/>
        <v>395.59382530775804</v>
      </c>
      <c r="AO64" s="6">
        <v>100</v>
      </c>
      <c r="AP64" s="67">
        <f t="shared" si="27"/>
        <v>0.77387141728227338</v>
      </c>
      <c r="AQ64" s="11">
        <f t="shared" si="28"/>
        <v>0.98330272071837588</v>
      </c>
      <c r="AR64" s="11">
        <f t="shared" si="29"/>
        <v>0.68770269343653956</v>
      </c>
      <c r="AS64" s="11">
        <f t="shared" si="30"/>
        <v>0.69938044403469313</v>
      </c>
      <c r="AT64" s="11">
        <f t="shared" si="31"/>
        <v>510.00962215499999</v>
      </c>
      <c r="AU64" s="11">
        <f t="shared" si="32"/>
        <v>1455.3301939042735</v>
      </c>
      <c r="AV64" s="11">
        <f t="shared" si="33"/>
        <v>1.6623573774260621E-3</v>
      </c>
      <c r="AW64" s="11">
        <f t="shared" si="34"/>
        <v>3.6885478983619832E-7</v>
      </c>
      <c r="AX64" s="41">
        <f t="shared" ca="1" si="45"/>
        <v>1.4185911273772271</v>
      </c>
      <c r="AY64" s="41">
        <f t="shared" ca="1" si="46"/>
        <v>0.76183597581369611</v>
      </c>
      <c r="AZ64" s="41">
        <f t="shared" si="47"/>
        <v>0.28367454916836193</v>
      </c>
      <c r="BA64" s="41">
        <f t="shared" ca="1" si="37"/>
        <v>18.947434173405487</v>
      </c>
      <c r="BB64" s="41">
        <f t="shared" ca="1" si="38"/>
        <v>8.7649800105358473</v>
      </c>
      <c r="BC64" s="41">
        <f t="shared" ca="1" si="48"/>
        <v>11.160112189616815</v>
      </c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</row>
    <row r="65" spans="1:67">
      <c r="A65" s="41">
        <f t="shared" si="39"/>
        <v>1346.4647178697774</v>
      </c>
      <c r="B65" s="41">
        <f t="shared" si="52"/>
        <v>22.441078631162956</v>
      </c>
      <c r="C65" s="41">
        <f t="shared" si="52"/>
        <v>0.37401797718604929</v>
      </c>
      <c r="D65" s="23">
        <f t="shared" ca="1" si="49"/>
        <v>17226.348438746474</v>
      </c>
      <c r="E65" s="41">
        <f t="shared" si="41"/>
        <v>100</v>
      </c>
      <c r="F65" s="41">
        <f t="shared" si="42"/>
        <v>100</v>
      </c>
      <c r="G65" s="41"/>
      <c r="H65" s="6">
        <f t="shared" si="50"/>
        <v>10000</v>
      </c>
      <c r="I65" s="5">
        <v>15</v>
      </c>
      <c r="J65" s="41">
        <f t="shared" si="0"/>
        <v>0.40761326232092382</v>
      </c>
      <c r="K65" s="41">
        <f t="shared" si="1"/>
        <v>451.26421562699687</v>
      </c>
      <c r="L65" s="6">
        <f t="shared" si="43"/>
        <v>225</v>
      </c>
      <c r="M65" s="41">
        <f t="shared" si="2"/>
        <v>267.3668275315456</v>
      </c>
      <c r="N65" s="41">
        <f t="shared" si="3"/>
        <v>169.26072306676139</v>
      </c>
      <c r="O65" s="41">
        <f t="shared" si="4"/>
        <v>2033760.7608377731</v>
      </c>
      <c r="P65" s="41">
        <f t="shared" si="5"/>
        <v>13058173.176063932</v>
      </c>
      <c r="Q65" s="41">
        <f t="shared" si="6"/>
        <v>2.835220121803486E-3</v>
      </c>
      <c r="R65" s="41">
        <f t="shared" si="7"/>
        <v>2.2309018843610282E-2</v>
      </c>
      <c r="S65" s="27">
        <v>0</v>
      </c>
      <c r="T65" s="41">
        <f t="shared" ca="1" si="8"/>
        <v>0.442495847636448</v>
      </c>
      <c r="U65" s="41">
        <f t="shared" ca="1" si="9"/>
        <v>3.467526793460355E-2</v>
      </c>
      <c r="V65" s="41">
        <f t="shared" ca="1" si="10"/>
        <v>12.761137086841869</v>
      </c>
      <c r="W65" s="20">
        <f t="shared" ca="1" si="11"/>
        <v>1349.9070123232771</v>
      </c>
      <c r="X65" s="41">
        <f t="shared" si="12"/>
        <v>0.5943338140537916</v>
      </c>
      <c r="Y65" s="41">
        <f t="shared" ca="1" si="13"/>
        <v>207.14566477121807</v>
      </c>
      <c r="Z65" s="14">
        <f t="shared" ca="1" si="14"/>
        <v>1349.9070123232771</v>
      </c>
      <c r="AA65" s="14">
        <f t="shared" si="15"/>
        <v>4318.772914781468</v>
      </c>
      <c r="AB65" s="25">
        <f t="shared" ca="1" si="16"/>
        <v>609164.72908544645</v>
      </c>
      <c r="AC65" s="41">
        <f t="shared" si="17"/>
        <v>1948907.6718599782</v>
      </c>
      <c r="AD65" s="5">
        <f t="shared" ca="1" si="18"/>
        <v>31.25672590246813</v>
      </c>
      <c r="AE65" s="7">
        <f t="shared" ca="1" si="19"/>
        <v>1349.9070123232771</v>
      </c>
      <c r="AF65" s="41">
        <f t="shared" ca="1" si="44"/>
        <v>2968.8659024581912</v>
      </c>
      <c r="AG65" s="41">
        <f t="shared" ca="1" si="20"/>
        <v>77.77289235373334</v>
      </c>
      <c r="AH65" s="41">
        <f t="shared" ca="1" si="21"/>
        <v>1046.7759693925573</v>
      </c>
      <c r="AI65" s="13">
        <f t="shared" ca="1" si="22"/>
        <v>0</v>
      </c>
      <c r="AJ65" s="10">
        <f t="shared" ca="1" si="23"/>
        <v>0</v>
      </c>
      <c r="AK65" s="11">
        <f t="shared" ca="1" si="24"/>
        <v>0.27088582109068049</v>
      </c>
      <c r="AL65" s="7">
        <v>0</v>
      </c>
      <c r="AM65" s="41">
        <f t="shared" si="25"/>
        <v>1346.4647178697774</v>
      </c>
      <c r="AN65" s="41">
        <f t="shared" ca="1" si="26"/>
        <v>391.5130306391701</v>
      </c>
      <c r="AO65" s="6">
        <v>100</v>
      </c>
      <c r="AP65" s="67">
        <f t="shared" si="27"/>
        <v>0.77544301928692727</v>
      </c>
      <c r="AQ65" s="11">
        <f t="shared" si="28"/>
        <v>0.98330272071837588</v>
      </c>
      <c r="AR65" s="11">
        <f t="shared" si="29"/>
        <v>0.68770269343653956</v>
      </c>
      <c r="AS65" s="11">
        <f t="shared" si="30"/>
        <v>0.69938044403469313</v>
      </c>
      <c r="AT65" s="11">
        <f t="shared" si="31"/>
        <v>510.00962215499999</v>
      </c>
      <c r="AU65" s="11">
        <f t="shared" si="32"/>
        <v>1455.3301939042735</v>
      </c>
      <c r="AV65" s="11">
        <f t="shared" si="33"/>
        <v>1.6623573774260621E-3</v>
      </c>
      <c r="AW65" s="11">
        <f t="shared" si="34"/>
        <v>3.6885478983619832E-7</v>
      </c>
      <c r="AX65" s="41">
        <f t="shared" ca="1" si="45"/>
        <v>1.4675569778012116</v>
      </c>
      <c r="AY65" s="41">
        <f t="shared" ca="1" si="46"/>
        <v>0.78813245104139151</v>
      </c>
      <c r="AZ65" s="41">
        <f t="shared" si="47"/>
        <v>0.28930683851112488</v>
      </c>
      <c r="BA65" s="41">
        <f t="shared" ca="1" si="37"/>
        <v>19.183806017653957</v>
      </c>
      <c r="BB65" s="41">
        <f t="shared" ca="1" si="38"/>
        <v>8.4887545046749793</v>
      </c>
      <c r="BC65" s="41">
        <f t="shared" ca="1" si="48"/>
        <v>11.051144717205059</v>
      </c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</row>
    <row r="66" spans="1:67">
      <c r="A66" s="41">
        <f t="shared" si="39"/>
        <v>1317.5464061050789</v>
      </c>
      <c r="B66" s="41">
        <f t="shared" si="52"/>
        <v>21.959106768417982</v>
      </c>
      <c r="C66" s="41">
        <f t="shared" si="52"/>
        <v>0.36598511280696638</v>
      </c>
      <c r="D66" s="23">
        <f t="shared" ca="1" si="49"/>
        <v>17226.348438746474</v>
      </c>
      <c r="E66" s="41">
        <f t="shared" si="41"/>
        <v>100</v>
      </c>
      <c r="F66" s="41">
        <f t="shared" si="42"/>
        <v>100</v>
      </c>
      <c r="G66" s="41"/>
      <c r="H66" s="6">
        <f t="shared" si="50"/>
        <v>10000</v>
      </c>
      <c r="I66" s="5">
        <v>15</v>
      </c>
      <c r="J66" s="41">
        <f t="shared" si="0"/>
        <v>0.4165598067041828</v>
      </c>
      <c r="K66" s="41">
        <f t="shared" si="1"/>
        <v>461.16883774526548</v>
      </c>
      <c r="L66" s="6">
        <f t="shared" si="43"/>
        <v>230</v>
      </c>
      <c r="M66" s="41">
        <f t="shared" si="2"/>
        <v>273.23515766266587</v>
      </c>
      <c r="N66" s="41">
        <f t="shared" si="3"/>
        <v>176.77233805524415</v>
      </c>
      <c r="O66" s="41">
        <f t="shared" si="4"/>
        <v>2078398.9819009535</v>
      </c>
      <c r="P66" s="41">
        <f t="shared" si="5"/>
        <v>13344781.921860719</v>
      </c>
      <c r="Q66" s="41">
        <f t="shared" si="6"/>
        <v>2.8236474512499496E-3</v>
      </c>
      <c r="R66" s="41">
        <f t="shared" si="7"/>
        <v>2.2238367689880943E-2</v>
      </c>
      <c r="S66" s="27">
        <v>0</v>
      </c>
      <c r="T66" s="41">
        <f t="shared" ca="1" si="8"/>
        <v>0.42369280142449728</v>
      </c>
      <c r="U66" s="41">
        <f t="shared" ca="1" si="9"/>
        <v>3.3575984160994422E-2</v>
      </c>
      <c r="V66" s="41">
        <f t="shared" ca="1" si="10"/>
        <v>12.618924270184333</v>
      </c>
      <c r="W66" s="20">
        <f t="shared" ca="1" si="11"/>
        <v>1365.1202012083108</v>
      </c>
      <c r="X66" s="41">
        <f t="shared" si="12"/>
        <v>0.59339196027102292</v>
      </c>
      <c r="Y66" s="41">
        <f t="shared" ca="1" si="13"/>
        <v>207.14566477121807</v>
      </c>
      <c r="Z66" s="14">
        <f t="shared" ca="1" si="14"/>
        <v>1365.1202012083108</v>
      </c>
      <c r="AA66" s="14">
        <f t="shared" si="15"/>
        <v>4318.772914781468</v>
      </c>
      <c r="AB66" s="25">
        <f t="shared" ca="1" si="16"/>
        <v>629550.89657381969</v>
      </c>
      <c r="AC66" s="41">
        <f t="shared" si="17"/>
        <v>1991683.485595502</v>
      </c>
      <c r="AD66" s="5">
        <f t="shared" ca="1" si="18"/>
        <v>31.608983110365426</v>
      </c>
      <c r="AE66" s="7">
        <f t="shared" ca="1" si="19"/>
        <v>1365.1202012083108</v>
      </c>
      <c r="AF66" s="41">
        <f t="shared" ca="1" si="44"/>
        <v>2953.6527135731571</v>
      </c>
      <c r="AG66" s="41">
        <f t="shared" ca="1" si="20"/>
        <v>79.072624930649653</v>
      </c>
      <c r="AH66" s="41">
        <f t="shared" ca="1" si="21"/>
        <v>1060.6990853487964</v>
      </c>
      <c r="AI66" s="13">
        <f t="shared" ca="1" si="22"/>
        <v>0</v>
      </c>
      <c r="AJ66" s="10">
        <f t="shared" ca="1" si="23"/>
        <v>0</v>
      </c>
      <c r="AK66" s="11">
        <f t="shared" ca="1" si="24"/>
        <v>0.27541283706811032</v>
      </c>
      <c r="AL66" s="7">
        <v>0</v>
      </c>
      <c r="AM66" s="41">
        <f t="shared" si="25"/>
        <v>1317.5464061050789</v>
      </c>
      <c r="AN66" s="41">
        <f t="shared" ca="1" si="26"/>
        <v>388.20007440562529</v>
      </c>
      <c r="AO66" s="6">
        <v>100</v>
      </c>
      <c r="AP66" s="67">
        <f t="shared" si="27"/>
        <v>0.77700050472474014</v>
      </c>
      <c r="AQ66" s="11">
        <f t="shared" si="28"/>
        <v>0.98330272071837588</v>
      </c>
      <c r="AR66" s="11">
        <f t="shared" si="29"/>
        <v>0.68770269343653956</v>
      </c>
      <c r="AS66" s="11">
        <f t="shared" si="30"/>
        <v>0.69938044403469313</v>
      </c>
      <c r="AT66" s="11">
        <f t="shared" si="31"/>
        <v>510.00962215499999</v>
      </c>
      <c r="AU66" s="11">
        <f t="shared" si="32"/>
        <v>1455.3301939042735</v>
      </c>
      <c r="AV66" s="11">
        <f t="shared" si="33"/>
        <v>1.6623573774260621E-3</v>
      </c>
      <c r="AW66" s="11">
        <f t="shared" si="34"/>
        <v>3.6885478983619832E-7</v>
      </c>
      <c r="AX66" s="41">
        <f t="shared" ca="1" si="45"/>
        <v>1.5183174985822443</v>
      </c>
      <c r="AY66" s="41">
        <f t="shared" ca="1" si="46"/>
        <v>0.81539273072009422</v>
      </c>
      <c r="AZ66" s="41">
        <f t="shared" si="47"/>
        <v>0.29489597689852426</v>
      </c>
      <c r="BA66" s="41">
        <f t="shared" ca="1" si="37"/>
        <v>19.386383128775606</v>
      </c>
      <c r="BB66" s="41">
        <f t="shared" ca="1" si="38"/>
        <v>8.2138709773195444</v>
      </c>
      <c r="BC66" s="41">
        <f t="shared" ca="1" si="48"/>
        <v>10.927988417979632</v>
      </c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</row>
    <row r="67" spans="1:67">
      <c r="A67" s="41">
        <f t="shared" si="39"/>
        <v>1289.8648609269308</v>
      </c>
      <c r="B67" s="41">
        <f t="shared" si="52"/>
        <v>21.497747682115513</v>
      </c>
      <c r="C67" s="41">
        <f t="shared" si="52"/>
        <v>0.35829579470192524</v>
      </c>
      <c r="D67" s="23">
        <f t="shared" ca="1" si="49"/>
        <v>17226.348438746474</v>
      </c>
      <c r="E67" s="41">
        <f t="shared" si="41"/>
        <v>100</v>
      </c>
      <c r="F67" s="41">
        <f t="shared" si="42"/>
        <v>100</v>
      </c>
      <c r="G67" s="41"/>
      <c r="H67" s="6">
        <f t="shared" si="50"/>
        <v>10000</v>
      </c>
      <c r="I67" s="5">
        <v>15</v>
      </c>
      <c r="J67" s="41">
        <f t="shared" si="0"/>
        <v>0.42549951772196798</v>
      </c>
      <c r="K67" s="41">
        <f t="shared" si="1"/>
        <v>471.06589471883535</v>
      </c>
      <c r="L67" s="6">
        <f t="shared" si="43"/>
        <v>235</v>
      </c>
      <c r="M67" s="41">
        <f t="shared" si="2"/>
        <v>279.09900556659443</v>
      </c>
      <c r="N67" s="41">
        <f t="shared" si="3"/>
        <v>184.44110870126713</v>
      </c>
      <c r="O67" s="41">
        <f t="shared" si="4"/>
        <v>2123003.108316463</v>
      </c>
      <c r="P67" s="41">
        <f t="shared" si="5"/>
        <v>13631171.75606169</v>
      </c>
      <c r="Q67" s="41">
        <f t="shared" si="6"/>
        <v>2.8123079706811947E-3</v>
      </c>
      <c r="R67" s="41">
        <f t="shared" si="7"/>
        <v>2.2169140161008693E-2</v>
      </c>
      <c r="S67" s="27">
        <v>0</v>
      </c>
      <c r="T67" s="41">
        <f t="shared" ca="1" si="8"/>
        <v>0.40607632242274694</v>
      </c>
      <c r="U67" s="41">
        <f t="shared" ca="1" si="9"/>
        <v>3.2583556257977105E-2</v>
      </c>
      <c r="V67" s="41">
        <f t="shared" ca="1" si="10"/>
        <v>12.462615167223539</v>
      </c>
      <c r="W67" s="20">
        <f t="shared" ca="1" si="11"/>
        <v>1382.2418655798238</v>
      </c>
      <c r="X67" s="41">
        <f t="shared" si="12"/>
        <v>0.5924676325722662</v>
      </c>
      <c r="Y67" s="41">
        <f t="shared" ca="1" si="13"/>
        <v>207.14566477121807</v>
      </c>
      <c r="Z67" s="14">
        <f t="shared" ca="1" si="14"/>
        <v>1382.2418655798238</v>
      </c>
      <c r="AA67" s="14">
        <f t="shared" si="15"/>
        <v>4318.772914781468</v>
      </c>
      <c r="AB67" s="25">
        <f t="shared" ca="1" si="16"/>
        <v>651127.00112719182</v>
      </c>
      <c r="AC67" s="41">
        <f t="shared" si="17"/>
        <v>2034426.6271890048</v>
      </c>
      <c r="AD67" s="5">
        <f t="shared" ca="1" si="18"/>
        <v>32.005430543684092</v>
      </c>
      <c r="AE67" s="7">
        <f t="shared" ca="1" si="19"/>
        <v>1382.2418655798238</v>
      </c>
      <c r="AF67" s="41">
        <f t="shared" ca="1" si="44"/>
        <v>2936.5310492016442</v>
      </c>
      <c r="AG67" s="41">
        <f t="shared" ca="1" si="20"/>
        <v>80.301384299786804</v>
      </c>
      <c r="AH67" s="41">
        <f t="shared" ca="1" si="21"/>
        <v>1076.1360127723542</v>
      </c>
      <c r="AI67" s="13">
        <f t="shared" ca="1" si="22"/>
        <v>0</v>
      </c>
      <c r="AJ67" s="10">
        <f t="shared" ca="1" si="23"/>
        <v>0</v>
      </c>
      <c r="AK67" s="11">
        <f t="shared" ca="1" si="24"/>
        <v>0.27969265077386363</v>
      </c>
      <c r="AL67" s="7">
        <v>0</v>
      </c>
      <c r="AM67" s="41">
        <f t="shared" si="25"/>
        <v>1289.8648609269308</v>
      </c>
      <c r="AN67" s="41">
        <f t="shared" ca="1" si="26"/>
        <v>385.57500790363179</v>
      </c>
      <c r="AO67" s="6">
        <v>100</v>
      </c>
      <c r="AP67" s="67">
        <f t="shared" si="27"/>
        <v>0.77854392893890234</v>
      </c>
      <c r="AQ67" s="11">
        <f t="shared" si="28"/>
        <v>0.98330272071837588</v>
      </c>
      <c r="AR67" s="11">
        <f t="shared" si="29"/>
        <v>0.68770269343653956</v>
      </c>
      <c r="AS67" s="11">
        <f t="shared" si="30"/>
        <v>0.69938044403469313</v>
      </c>
      <c r="AT67" s="11">
        <f t="shared" si="31"/>
        <v>510.00962215499999</v>
      </c>
      <c r="AU67" s="11">
        <f t="shared" si="32"/>
        <v>1455.3301939042735</v>
      </c>
      <c r="AV67" s="11">
        <f t="shared" si="33"/>
        <v>1.6623573774260621E-3</v>
      </c>
      <c r="AW67" s="11">
        <f t="shared" si="34"/>
        <v>3.6885478983619832E-7</v>
      </c>
      <c r="AX67" s="41">
        <f t="shared" ca="1" si="45"/>
        <v>1.5708106025595487</v>
      </c>
      <c r="AY67" s="41">
        <f t="shared" ca="1" si="46"/>
        <v>0.84358347174494297</v>
      </c>
      <c r="AZ67" s="41">
        <f t="shared" si="47"/>
        <v>0.30044199110228809</v>
      </c>
      <c r="BA67" s="41">
        <f t="shared" ca="1" si="37"/>
        <v>19.557140285372814</v>
      </c>
      <c r="BB67" s="41">
        <f t="shared" ca="1" si="38"/>
        <v>7.941691604189943</v>
      </c>
      <c r="BC67" s="41">
        <f t="shared" ca="1" si="48"/>
        <v>10.792624734815584</v>
      </c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</row>
    <row r="68" spans="1:67">
      <c r="A68" s="41">
        <f t="shared" si="39"/>
        <v>1263.3427049368827</v>
      </c>
      <c r="B68" s="41">
        <f t="shared" si="52"/>
        <v>21.055711748948045</v>
      </c>
      <c r="C68" s="41">
        <f t="shared" si="52"/>
        <v>0.35092852914913408</v>
      </c>
      <c r="D68" s="23">
        <f t="shared" ca="1" si="49"/>
        <v>17226.348438746474</v>
      </c>
      <c r="E68" s="41">
        <f t="shared" si="41"/>
        <v>100</v>
      </c>
      <c r="F68" s="41">
        <f t="shared" si="42"/>
        <v>100</v>
      </c>
      <c r="G68" s="41"/>
      <c r="H68" s="6">
        <f t="shared" si="50"/>
        <v>10000</v>
      </c>
      <c r="I68" s="5">
        <v>15</v>
      </c>
      <c r="J68" s="41">
        <f t="shared" si="0"/>
        <v>0.43443229941185474</v>
      </c>
      <c r="K68" s="41">
        <f t="shared" si="1"/>
        <v>480.95528030874834</v>
      </c>
      <c r="L68" s="6">
        <f t="shared" si="43"/>
        <v>240</v>
      </c>
      <c r="M68" s="41">
        <f t="shared" si="2"/>
        <v>284.95830829844846</v>
      </c>
      <c r="N68" s="41">
        <f t="shared" si="3"/>
        <v>192.26657666929944</v>
      </c>
      <c r="O68" s="41">
        <f t="shared" si="4"/>
        <v>2167572.661285813</v>
      </c>
      <c r="P68" s="41">
        <f t="shared" si="5"/>
        <v>13917339.604444103</v>
      </c>
      <c r="Q68" s="41">
        <f t="shared" si="6"/>
        <v>2.8011898605075389E-3</v>
      </c>
      <c r="R68" s="41">
        <f t="shared" si="7"/>
        <v>2.2101264098398524E-2</v>
      </c>
      <c r="S68" s="27">
        <v>0</v>
      </c>
      <c r="T68" s="41">
        <f t="shared" ca="1" si="8"/>
        <v>0.38954855504505392</v>
      </c>
      <c r="U68" s="41">
        <f t="shared" ca="1" si="9"/>
        <v>3.1685175414863417E-2</v>
      </c>
      <c r="V68" s="41">
        <f t="shared" ca="1" si="10"/>
        <v>12.294347433605115</v>
      </c>
      <c r="W68" s="20">
        <f t="shared" ca="1" si="11"/>
        <v>1401.1600478818689</v>
      </c>
      <c r="X68" s="41">
        <f t="shared" si="12"/>
        <v>0.59155994741864182</v>
      </c>
      <c r="Y68" s="41">
        <f t="shared" ca="1" si="13"/>
        <v>207.14566477121807</v>
      </c>
      <c r="Z68" s="14">
        <f t="shared" ca="1" si="14"/>
        <v>1401.1600478818689</v>
      </c>
      <c r="AA68" s="14">
        <f t="shared" si="15"/>
        <v>4318.772914781468</v>
      </c>
      <c r="AB68" s="25">
        <f t="shared" ca="1" si="16"/>
        <v>673895.32358644344</v>
      </c>
      <c r="AC68" s="41">
        <f t="shared" si="17"/>
        <v>2077136.6378185512</v>
      </c>
      <c r="AD68" s="5">
        <f t="shared" ca="1" si="18"/>
        <v>32.44347585598323</v>
      </c>
      <c r="AE68" s="7">
        <f t="shared" ca="1" si="19"/>
        <v>1401.1600478818686</v>
      </c>
      <c r="AF68" s="41">
        <f t="shared" ca="1" si="44"/>
        <v>2917.6128668995989</v>
      </c>
      <c r="AG68" s="41">
        <f t="shared" ca="1" si="20"/>
        <v>81.45901142205264</v>
      </c>
      <c r="AH68" s="41">
        <f t="shared" ca="1" si="21"/>
        <v>1093.0076093611488</v>
      </c>
      <c r="AI68" s="13">
        <f t="shared" ca="1" si="22"/>
        <v>-6.3482153630225597E-15</v>
      </c>
      <c r="AJ68" s="10">
        <f t="shared" ca="1" si="23"/>
        <v>-7.5625731254641645E-16</v>
      </c>
      <c r="AK68" s="11">
        <f t="shared" ca="1" si="24"/>
        <v>0.28372470826898094</v>
      </c>
      <c r="AL68" s="7">
        <v>0</v>
      </c>
      <c r="AM68" s="41">
        <f t="shared" si="25"/>
        <v>1263.3427049368827</v>
      </c>
      <c r="AN68" s="41">
        <f t="shared" ca="1" si="26"/>
        <v>383.56755270191923</v>
      </c>
      <c r="AO68" s="6">
        <v>100</v>
      </c>
      <c r="AP68" s="67">
        <f t="shared" si="27"/>
        <v>0.78007334780451854</v>
      </c>
      <c r="AQ68" s="11">
        <f t="shared" si="28"/>
        <v>0.98330272071837588</v>
      </c>
      <c r="AR68" s="11">
        <f t="shared" si="29"/>
        <v>0.68770269343653956</v>
      </c>
      <c r="AS68" s="11">
        <f t="shared" si="30"/>
        <v>0.69938044403469313</v>
      </c>
      <c r="AT68" s="11">
        <f t="shared" si="31"/>
        <v>510.00962215499999</v>
      </c>
      <c r="AU68" s="11">
        <f t="shared" si="32"/>
        <v>1455.3301939042735</v>
      </c>
      <c r="AV68" s="11">
        <f t="shared" si="33"/>
        <v>1.6623573774260621E-3</v>
      </c>
      <c r="AW68" s="11">
        <f t="shared" si="34"/>
        <v>3.6885478983619832E-7</v>
      </c>
      <c r="AX68" s="41">
        <f t="shared" ca="1" si="45"/>
        <v>1.6249818105216203</v>
      </c>
      <c r="AY68" s="41">
        <f t="shared" ca="1" si="46"/>
        <v>0.87267541676161098</v>
      </c>
      <c r="AZ68" s="41">
        <f t="shared" si="47"/>
        <v>0.30594491128111823</v>
      </c>
      <c r="BA68" s="41">
        <f t="shared" ca="1" si="37"/>
        <v>19.69811565735365</v>
      </c>
      <c r="BB68" s="41">
        <f t="shared" ca="1" si="38"/>
        <v>7.6733724914324668</v>
      </c>
      <c r="BC68" s="41">
        <f t="shared" ca="1" si="48"/>
        <v>10.646904877502029</v>
      </c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</row>
    <row r="69" spans="1:67">
      <c r="A69" s="41">
        <f t="shared" si="39"/>
        <v>1237.908876445144</v>
      </c>
      <c r="B69" s="41">
        <f t="shared" si="52"/>
        <v>20.631814607419066</v>
      </c>
      <c r="C69" s="41">
        <f t="shared" si="52"/>
        <v>0.34386357679031776</v>
      </c>
      <c r="D69" s="23">
        <f t="shared" ca="1" si="49"/>
        <v>17226.348438746474</v>
      </c>
      <c r="E69" s="41">
        <f t="shared" si="41"/>
        <v>100</v>
      </c>
      <c r="F69" s="41">
        <f t="shared" si="42"/>
        <v>100</v>
      </c>
      <c r="G69" s="41"/>
      <c r="H69" s="6">
        <f t="shared" si="50"/>
        <v>10000</v>
      </c>
      <c r="I69" s="5">
        <v>15</v>
      </c>
      <c r="J69" s="41">
        <f t="shared" si="0"/>
        <v>0.44335805865371636</v>
      </c>
      <c r="K69" s="41">
        <f t="shared" si="1"/>
        <v>490.83689142272345</v>
      </c>
      <c r="L69" s="6">
        <f t="shared" si="43"/>
        <v>245</v>
      </c>
      <c r="M69" s="41">
        <f t="shared" si="2"/>
        <v>290.81300477770088</v>
      </c>
      <c r="N69" s="41">
        <f t="shared" si="3"/>
        <v>200.24827949598543</v>
      </c>
      <c r="O69" s="41">
        <f t="shared" si="4"/>
        <v>2212107.176191981</v>
      </c>
      <c r="P69" s="41">
        <f t="shared" si="5"/>
        <v>14203282.483840199</v>
      </c>
      <c r="Q69" s="41">
        <f t="shared" si="6"/>
        <v>2.7902821086746798E-3</v>
      </c>
      <c r="R69" s="41">
        <f t="shared" si="7"/>
        <v>2.2034672273458917E-2</v>
      </c>
      <c r="S69" s="27">
        <v>0</v>
      </c>
      <c r="T69" s="41">
        <f t="shared" ca="1" si="8"/>
        <v>0.37402152624480456</v>
      </c>
      <c r="U69" s="41">
        <f t="shared" ca="1" si="9"/>
        <v>3.0869799078163146E-2</v>
      </c>
      <c r="V69" s="41">
        <f t="shared" ca="1" si="10"/>
        <v>12.116098498010052</v>
      </c>
      <c r="W69" s="20">
        <f t="shared" ca="1" si="11"/>
        <v>1421.7735553714531</v>
      </c>
      <c r="X69" s="41">
        <f t="shared" si="12"/>
        <v>0.59066808046002328</v>
      </c>
      <c r="Y69" s="41">
        <f t="shared" ca="1" si="13"/>
        <v>207.14566477121807</v>
      </c>
      <c r="Z69" s="14">
        <f t="shared" ca="1" si="14"/>
        <v>1421.7735553714531</v>
      </c>
      <c r="AA69" s="14">
        <f t="shared" si="15"/>
        <v>4318.772914781468</v>
      </c>
      <c r="AB69" s="25">
        <f t="shared" ca="1" si="16"/>
        <v>697858.91222555737</v>
      </c>
      <c r="AC69" s="41">
        <f t="shared" si="17"/>
        <v>2119813.0722519904</v>
      </c>
      <c r="AD69" s="5">
        <f t="shared" ca="1" si="18"/>
        <v>32.920775957107615</v>
      </c>
      <c r="AE69" s="7">
        <f t="shared" ca="1" si="19"/>
        <v>1421.7735553714533</v>
      </c>
      <c r="AF69" s="41">
        <f t="shared" ca="1" si="44"/>
        <v>2896.9993594100151</v>
      </c>
      <c r="AG69" s="41">
        <f t="shared" ca="1" si="20"/>
        <v>82.545303497292181</v>
      </c>
      <c r="AH69" s="41">
        <f t="shared" ca="1" si="21"/>
        <v>1111.2423121902978</v>
      </c>
      <c r="AI69" s="13">
        <f t="shared" ca="1" si="22"/>
        <v>6.4786445277567137E-15</v>
      </c>
      <c r="AJ69" s="10">
        <f t="shared" ca="1" si="23"/>
        <v>7.5625731254641645E-16</v>
      </c>
      <c r="AK69" s="11">
        <f t="shared" ca="1" si="24"/>
        <v>0.28750830319312465</v>
      </c>
      <c r="AL69" s="7">
        <v>0</v>
      </c>
      <c r="AM69" s="41">
        <f t="shared" si="25"/>
        <v>1237.908876445144</v>
      </c>
      <c r="AN69" s="41">
        <f t="shared" ca="1" si="26"/>
        <v>382.11575615049873</v>
      </c>
      <c r="AO69" s="6">
        <v>100</v>
      </c>
      <c r="AP69" s="67">
        <f t="shared" si="27"/>
        <v>0.78158881770731348</v>
      </c>
      <c r="AQ69" s="11">
        <f t="shared" si="28"/>
        <v>0.98330272071837588</v>
      </c>
      <c r="AR69" s="11">
        <f t="shared" si="29"/>
        <v>0.68770269343653956</v>
      </c>
      <c r="AS69" s="11">
        <f t="shared" si="30"/>
        <v>0.69938044403469313</v>
      </c>
      <c r="AT69" s="11">
        <f t="shared" si="31"/>
        <v>510.00962215499999</v>
      </c>
      <c r="AU69" s="11">
        <f t="shared" si="32"/>
        <v>1455.3301939042735</v>
      </c>
      <c r="AV69" s="11">
        <f t="shared" si="33"/>
        <v>1.6623573774260621E-3</v>
      </c>
      <c r="AW69" s="11">
        <f t="shared" si="34"/>
        <v>3.6885478983619832E-7</v>
      </c>
      <c r="AX69" s="41">
        <f t="shared" ca="1" si="45"/>
        <v>1.6807830416469316</v>
      </c>
      <c r="AY69" s="41">
        <f t="shared" ca="1" si="46"/>
        <v>0.90264274458816707</v>
      </c>
      <c r="AZ69" s="41">
        <f t="shared" si="47"/>
        <v>0.31140477092323027</v>
      </c>
      <c r="BA69" s="41">
        <f t="shared" ca="1" si="37"/>
        <v>19.811369417796818</v>
      </c>
      <c r="BB69" s="41">
        <f t="shared" ca="1" si="38"/>
        <v>7.4098786266440104</v>
      </c>
      <c r="BC69" s="41">
        <f t="shared" ca="1" si="48"/>
        <v>10.492541299276704</v>
      </c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</row>
    <row r="70" spans="1:67">
      <c r="A70" s="41">
        <f t="shared" si="39"/>
        <v>1213.4979979419882</v>
      </c>
      <c r="B70" s="41">
        <f t="shared" si="52"/>
        <v>20.224966632366471</v>
      </c>
      <c r="C70" s="41">
        <f t="shared" si="52"/>
        <v>0.33708277720610785</v>
      </c>
      <c r="D70" s="23">
        <f t="shared" ca="1" si="49"/>
        <v>17226.348438746474</v>
      </c>
      <c r="E70" s="41">
        <f t="shared" si="41"/>
        <v>100</v>
      </c>
      <c r="F70" s="41">
        <f t="shared" si="42"/>
        <v>100</v>
      </c>
      <c r="G70" s="41"/>
      <c r="H70" s="6">
        <f t="shared" si="50"/>
        <v>10000</v>
      </c>
      <c r="I70" s="5">
        <v>15</v>
      </c>
      <c r="J70" s="41">
        <f t="shared" si="0"/>
        <v>0.45227670517933538</v>
      </c>
      <c r="K70" s="41">
        <f t="shared" si="1"/>
        <v>500.71062812579765</v>
      </c>
      <c r="L70" s="6">
        <f t="shared" si="43"/>
        <v>250</v>
      </c>
      <c r="M70" s="41">
        <f t="shared" si="2"/>
        <v>296.6630357944851</v>
      </c>
      <c r="N70" s="41">
        <f t="shared" si="3"/>
        <v>208.38575087088614</v>
      </c>
      <c r="O70" s="41">
        <f t="shared" si="4"/>
        <v>2256606.2026473703</v>
      </c>
      <c r="P70" s="41">
        <f t="shared" si="5"/>
        <v>14488997.502445119</v>
      </c>
      <c r="Q70" s="41">
        <f t="shared" si="6"/>
        <v>2.7795744415704446E-3</v>
      </c>
      <c r="R70" s="41">
        <f t="shared" si="7"/>
        <v>2.1969301965787565E-2</v>
      </c>
      <c r="S70" s="27">
        <v>0</v>
      </c>
      <c r="T70" s="41">
        <f t="shared" ca="1" si="8"/>
        <v>0.35941597163901218</v>
      </c>
      <c r="U70" s="41">
        <f t="shared" ca="1" si="9"/>
        <v>3.0127877438140362E-2</v>
      </c>
      <c r="V70" s="41">
        <f t="shared" ca="1" si="10"/>
        <v>11.929681152513247</v>
      </c>
      <c r="W70" s="20">
        <f t="shared" ca="1" si="11"/>
        <v>1443.990683281369</v>
      </c>
      <c r="X70" s="41">
        <f t="shared" si="12"/>
        <v>0.58979126155571227</v>
      </c>
      <c r="Y70" s="41">
        <f t="shared" ca="1" si="13"/>
        <v>207.14566477121807</v>
      </c>
      <c r="Z70" s="14">
        <f t="shared" ca="1" si="14"/>
        <v>1443.990683281369</v>
      </c>
      <c r="AA70" s="14">
        <f t="shared" si="15"/>
        <v>4318.772914781468</v>
      </c>
      <c r="AB70" s="25">
        <f t="shared" ca="1" si="16"/>
        <v>723021.48203361407</v>
      </c>
      <c r="AC70" s="41">
        <f t="shared" si="17"/>
        <v>2162455.4988929108</v>
      </c>
      <c r="AD70" s="5">
        <f t="shared" ca="1" si="18"/>
        <v>33.435207448373923</v>
      </c>
      <c r="AE70" s="7">
        <f t="shared" ca="1" si="19"/>
        <v>1443.990683281369</v>
      </c>
      <c r="AF70" s="41">
        <f t="shared" ca="1" si="44"/>
        <v>2874.782231500099</v>
      </c>
      <c r="AG70" s="41">
        <f t="shared" ca="1" si="20"/>
        <v>83.560019813696584</v>
      </c>
      <c r="AH70" s="41">
        <f t="shared" ca="1" si="21"/>
        <v>1130.7752353011315</v>
      </c>
      <c r="AI70" s="13">
        <f t="shared" ca="1" si="22"/>
        <v>0</v>
      </c>
      <c r="AJ70" s="10">
        <f t="shared" ca="1" si="23"/>
        <v>0</v>
      </c>
      <c r="AK70" s="11">
        <f t="shared" ca="1" si="24"/>
        <v>0.29104259713828384</v>
      </c>
      <c r="AL70" s="7">
        <v>0</v>
      </c>
      <c r="AM70" s="41">
        <f t="shared" si="25"/>
        <v>1213.4979979419882</v>
      </c>
      <c r="AN70" s="41">
        <f t="shared" ca="1" si="26"/>
        <v>381.16485671119545</v>
      </c>
      <c r="AO70" s="6">
        <v>100</v>
      </c>
      <c r="AP70" s="67">
        <f t="shared" si="27"/>
        <v>0.78309039552216708</v>
      </c>
      <c r="AQ70" s="11">
        <f t="shared" si="28"/>
        <v>0.98330272071837588</v>
      </c>
      <c r="AR70" s="11">
        <f t="shared" si="29"/>
        <v>0.68770269343653956</v>
      </c>
      <c r="AS70" s="11">
        <f t="shared" si="30"/>
        <v>0.69938044403469313</v>
      </c>
      <c r="AT70" s="11">
        <f t="shared" si="31"/>
        <v>510.00962215499999</v>
      </c>
      <c r="AU70" s="11">
        <f t="shared" si="32"/>
        <v>1455.3301939042735</v>
      </c>
      <c r="AV70" s="11">
        <f t="shared" si="33"/>
        <v>1.6623573774260621E-3</v>
      </c>
      <c r="AW70" s="11">
        <f t="shared" si="34"/>
        <v>3.6885478983619832E-7</v>
      </c>
      <c r="AX70" s="41">
        <f t="shared" ca="1" si="45"/>
        <v>1.738171627677779</v>
      </c>
      <c r="AY70" s="41">
        <f t="shared" ca="1" si="46"/>
        <v>0.93346254078991842</v>
      </c>
      <c r="AZ70" s="41">
        <f t="shared" si="47"/>
        <v>0.31682160678731791</v>
      </c>
      <c r="BA70" s="41">
        <f t="shared" ca="1" si="37"/>
        <v>19.898949515454671</v>
      </c>
      <c r="BB70" s="41">
        <f t="shared" ca="1" si="38"/>
        <v>7.1520002746927895</v>
      </c>
      <c r="BC70" s="41">
        <f t="shared" ca="1" si="48"/>
        <v>10.331103878076473</v>
      </c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</row>
    <row r="71" spans="1:67">
      <c r="A71" s="41">
        <f t="shared" si="39"/>
        <v>1190.0498188664735</v>
      </c>
      <c r="B71" s="41">
        <f t="shared" si="52"/>
        <v>19.83416364777456</v>
      </c>
      <c r="C71" s="41">
        <f t="shared" si="52"/>
        <v>0.33056939412957598</v>
      </c>
      <c r="D71" s="23">
        <f t="shared" ca="1" si="49"/>
        <v>17226.348438746474</v>
      </c>
      <c r="E71" s="41">
        <f t="shared" si="41"/>
        <v>100</v>
      </c>
      <c r="F71" s="41">
        <f t="shared" si="42"/>
        <v>100</v>
      </c>
      <c r="G71" s="41"/>
      <c r="H71" s="6">
        <f t="shared" si="50"/>
        <v>10000</v>
      </c>
      <c r="I71" s="5">
        <v>15</v>
      </c>
      <c r="J71" s="41">
        <f t="shared" si="0"/>
        <v>0.46118815157981474</v>
      </c>
      <c r="K71" s="41">
        <f t="shared" si="1"/>
        <v>510.57639364853026</v>
      </c>
      <c r="L71" s="6">
        <f t="shared" si="43"/>
        <v>255</v>
      </c>
      <c r="M71" s="41">
        <f t="shared" si="2"/>
        <v>302.50834401445582</v>
      </c>
      <c r="N71" s="41">
        <f t="shared" si="3"/>
        <v>216.67852091576157</v>
      </c>
      <c r="O71" s="41">
        <f t="shared" si="4"/>
        <v>2301069.3045307794</v>
      </c>
      <c r="P71" s="41">
        <f t="shared" si="5"/>
        <v>14774481.860054299</v>
      </c>
      <c r="Q71" s="41">
        <f t="shared" si="6"/>
        <v>2.7690572620824375E-3</v>
      </c>
      <c r="R71" s="41">
        <f t="shared" si="7"/>
        <v>2.1905094585013281E-2</v>
      </c>
      <c r="S71" s="27">
        <v>0</v>
      </c>
      <c r="T71" s="41">
        <f t="shared" ca="1" si="8"/>
        <v>0.34566032114508732</v>
      </c>
      <c r="U71" s="41">
        <f t="shared" ca="1" si="9"/>
        <v>2.9451126698162296E-2</v>
      </c>
      <c r="V71" s="41">
        <f t="shared" ca="1" si="10"/>
        <v>11.736743544234455</v>
      </c>
      <c r="W71" s="20">
        <f t="shared" ca="1" si="11"/>
        <v>1467.7281116199158</v>
      </c>
      <c r="X71" s="41">
        <f t="shared" si="12"/>
        <v>0.58892877030360391</v>
      </c>
      <c r="Y71" s="41">
        <f t="shared" ca="1" si="13"/>
        <v>207.14566477121807</v>
      </c>
      <c r="Z71" s="14">
        <f t="shared" ca="1" si="14"/>
        <v>1467.7281116199158</v>
      </c>
      <c r="AA71" s="14">
        <f t="shared" si="15"/>
        <v>4318.772914781468</v>
      </c>
      <c r="AB71" s="25">
        <f t="shared" ca="1" si="16"/>
        <v>749387.32608746411</v>
      </c>
      <c r="AC71" s="41">
        <f t="shared" si="17"/>
        <v>2205063.4998160731</v>
      </c>
      <c r="AD71" s="5">
        <f t="shared" ca="1" si="18"/>
        <v>33.984841078271501</v>
      </c>
      <c r="AE71" s="7">
        <f t="shared" ca="1" si="19"/>
        <v>1467.7281116199158</v>
      </c>
      <c r="AF71" s="41">
        <f t="shared" ca="1" si="44"/>
        <v>2851.0448031615524</v>
      </c>
      <c r="AG71" s="41">
        <f t="shared" ca="1" si="20"/>
        <v>84.502886894730409</v>
      </c>
      <c r="AH71" s="41">
        <f t="shared" ca="1" si="21"/>
        <v>1151.5473897731888</v>
      </c>
      <c r="AI71" s="13">
        <f t="shared" ca="1" si="22"/>
        <v>0</v>
      </c>
      <c r="AJ71" s="10">
        <f t="shared" ca="1" si="23"/>
        <v>0</v>
      </c>
      <c r="AK71" s="11">
        <f t="shared" ca="1" si="24"/>
        <v>0.29432663757570959</v>
      </c>
      <c r="AL71" s="7">
        <v>0</v>
      </c>
      <c r="AM71" s="41">
        <f t="shared" si="25"/>
        <v>1190.0498188664735</v>
      </c>
      <c r="AN71" s="41">
        <f t="shared" ca="1" si="26"/>
        <v>380.66632294881771</v>
      </c>
      <c r="AO71" s="6">
        <v>100</v>
      </c>
      <c r="AP71" s="67">
        <f t="shared" si="27"/>
        <v>0.78457813859151215</v>
      </c>
      <c r="AQ71" s="11">
        <f t="shared" si="28"/>
        <v>0.98330272071837588</v>
      </c>
      <c r="AR71" s="11">
        <f t="shared" si="29"/>
        <v>0.68770269343653956</v>
      </c>
      <c r="AS71" s="11">
        <f t="shared" si="30"/>
        <v>0.69938044403469313</v>
      </c>
      <c r="AT71" s="11">
        <f t="shared" si="31"/>
        <v>510.00962215499999</v>
      </c>
      <c r="AU71" s="11">
        <f t="shared" si="32"/>
        <v>1455.3301939042735</v>
      </c>
      <c r="AV71" s="11">
        <f t="shared" si="33"/>
        <v>1.6623573774260621E-3</v>
      </c>
      <c r="AW71" s="11">
        <f t="shared" si="34"/>
        <v>3.6885478983619832E-7</v>
      </c>
      <c r="AX71" s="41">
        <f t="shared" ca="1" si="45"/>
        <v>1.7971095042251681</v>
      </c>
      <c r="AY71" s="41">
        <f t="shared" ca="1" si="46"/>
        <v>0.96511436338018297</v>
      </c>
      <c r="AZ71" s="41">
        <f t="shared" si="47"/>
        <v>0.32219545884204887</v>
      </c>
      <c r="BA71" s="41">
        <f t="shared" ca="1" si="37"/>
        <v>19.962864111475003</v>
      </c>
      <c r="BB71" s="41">
        <f t="shared" ca="1" si="38"/>
        <v>6.9003700197481876</v>
      </c>
      <c r="BC71" s="41">
        <f t="shared" ca="1" si="48"/>
        <v>10.164019909307038</v>
      </c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</row>
    <row r="72" spans="1:67">
      <c r="A72" s="41">
        <f t="shared" si="39"/>
        <v>1167.508722670919</v>
      </c>
      <c r="B72" s="41">
        <f t="shared" si="52"/>
        <v>19.458478711181986</v>
      </c>
      <c r="C72" s="41">
        <f t="shared" si="52"/>
        <v>0.32430797851969978</v>
      </c>
      <c r="D72" s="23">
        <f t="shared" ca="1" si="49"/>
        <v>17226.348438746474</v>
      </c>
      <c r="E72" s="41">
        <f t="shared" si="41"/>
        <v>100</v>
      </c>
      <c r="F72" s="41">
        <f t="shared" si="42"/>
        <v>100</v>
      </c>
      <c r="G72" s="41"/>
      <c r="H72" s="6">
        <f t="shared" si="50"/>
        <v>10000</v>
      </c>
      <c r="I72" s="5">
        <v>15</v>
      </c>
      <c r="J72" s="41">
        <f t="shared" si="0"/>
        <v>0.47009231331081092</v>
      </c>
      <c r="K72" s="41">
        <f t="shared" si="1"/>
        <v>520.43409439279685</v>
      </c>
      <c r="L72" s="6">
        <f t="shared" si="43"/>
        <v>260</v>
      </c>
      <c r="M72" s="41">
        <f t="shared" si="2"/>
        <v>308.34887398222185</v>
      </c>
      <c r="N72" s="41">
        <f t="shared" si="3"/>
        <v>225.12611646211491</v>
      </c>
      <c r="O72" s="41">
        <f t="shared" si="4"/>
        <v>2345496.0600135182</v>
      </c>
      <c r="P72" s="41">
        <f t="shared" si="5"/>
        <v>15059732.848231137</v>
      </c>
      <c r="Q72" s="41">
        <f t="shared" si="6"/>
        <v>2.7587215939411588E-3</v>
      </c>
      <c r="R72" s="41">
        <f t="shared" si="7"/>
        <v>2.1841995331010774E-2</v>
      </c>
      <c r="S72" s="27">
        <v>0</v>
      </c>
      <c r="T72" s="41">
        <f t="shared" ca="1" si="8"/>
        <v>0.33268981983078205</v>
      </c>
      <c r="U72" s="41">
        <f t="shared" ca="1" si="9"/>
        <v>2.8832340398514268E-2</v>
      </c>
      <c r="V72" s="41">
        <f t="shared" ca="1" si="10"/>
        <v>11.538772615487211</v>
      </c>
      <c r="W72" s="20">
        <f t="shared" ca="1" si="11"/>
        <v>1492.9099491591908</v>
      </c>
      <c r="X72" s="41">
        <f t="shared" si="12"/>
        <v>0.58807993201698006</v>
      </c>
      <c r="Y72" s="41">
        <f t="shared" ca="1" si="13"/>
        <v>207.14566477121807</v>
      </c>
      <c r="Z72" s="14">
        <f t="shared" ca="1" si="14"/>
        <v>1492.9099491591908</v>
      </c>
      <c r="AA72" s="14">
        <f t="shared" si="15"/>
        <v>4318.772914781468</v>
      </c>
      <c r="AB72" s="25">
        <f t="shared" ca="1" si="16"/>
        <v>776961.23740065983</v>
      </c>
      <c r="AC72" s="41">
        <f t="shared" si="17"/>
        <v>2247636.670792433</v>
      </c>
      <c r="AD72" s="5">
        <f t="shared" ca="1" si="18"/>
        <v>34.567919606273925</v>
      </c>
      <c r="AE72" s="7">
        <f t="shared" ca="1" si="19"/>
        <v>1492.9099491591908</v>
      </c>
      <c r="AF72" s="41">
        <f t="shared" ca="1" si="44"/>
        <v>2825.8629656222774</v>
      </c>
      <c r="AG72" s="41">
        <f t="shared" ca="1" si="20"/>
        <v>85.373603037301109</v>
      </c>
      <c r="AH72" s="41">
        <f t="shared" ca="1" si="21"/>
        <v>1173.5050076695507</v>
      </c>
      <c r="AI72" s="13">
        <f t="shared" ca="1" si="22"/>
        <v>0</v>
      </c>
      <c r="AJ72" s="10">
        <f t="shared" ca="1" si="23"/>
        <v>0</v>
      </c>
      <c r="AK72" s="11">
        <f t="shared" ca="1" si="24"/>
        <v>0.29735937366252496</v>
      </c>
      <c r="AL72" s="7">
        <v>0</v>
      </c>
      <c r="AM72" s="41">
        <f t="shared" si="25"/>
        <v>1167.508722670919</v>
      </c>
      <c r="AN72" s="41">
        <f t="shared" ca="1" si="26"/>
        <v>380.57703682005672</v>
      </c>
      <c r="AO72" s="6">
        <v>100</v>
      </c>
      <c r="AP72" s="67">
        <f t="shared" si="27"/>
        <v>0.78605210470361631</v>
      </c>
      <c r="AQ72" s="11">
        <f t="shared" si="28"/>
        <v>0.98330272071837588</v>
      </c>
      <c r="AR72" s="11">
        <f t="shared" si="29"/>
        <v>0.68770269343653956</v>
      </c>
      <c r="AS72" s="11">
        <f t="shared" si="30"/>
        <v>0.69938044403469313</v>
      </c>
      <c r="AT72" s="11">
        <f t="shared" si="31"/>
        <v>510.00962215499999</v>
      </c>
      <c r="AU72" s="11">
        <f t="shared" si="32"/>
        <v>1455.3301939042735</v>
      </c>
      <c r="AV72" s="11">
        <f t="shared" si="33"/>
        <v>1.6623573774260621E-3</v>
      </c>
      <c r="AW72" s="11">
        <f t="shared" si="34"/>
        <v>3.6885478983619832E-7</v>
      </c>
      <c r="AX72" s="41">
        <f t="shared" ca="1" si="45"/>
        <v>1.8575625433014078</v>
      </c>
      <c r="AY72" s="41">
        <f t="shared" ca="1" si="46"/>
        <v>0.99757988436557099</v>
      </c>
      <c r="AZ72" s="41">
        <f t="shared" si="47"/>
        <v>0.32752637020417896</v>
      </c>
      <c r="BA72" s="41">
        <f t="shared" ca="1" si="37"/>
        <v>20.005060045226937</v>
      </c>
      <c r="BB72" s="41">
        <f t="shared" ca="1" si="38"/>
        <v>6.6554798221505251</v>
      </c>
      <c r="BC72" s="41">
        <f t="shared" ca="1" si="48"/>
        <v>9.9925770850119253</v>
      </c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</row>
    <row r="73" spans="1:67">
      <c r="A73" s="41">
        <f t="shared" si="39"/>
        <v>1145.8232896892239</v>
      </c>
      <c r="B73" s="41">
        <f t="shared" si="52"/>
        <v>19.09705482815373</v>
      </c>
      <c r="C73" s="41">
        <f t="shared" si="52"/>
        <v>0.31828424713589548</v>
      </c>
      <c r="D73" s="23">
        <f t="shared" ca="1" si="49"/>
        <v>17226.348438746474</v>
      </c>
      <c r="E73" s="41">
        <f t="shared" si="41"/>
        <v>100</v>
      </c>
      <c r="F73" s="41">
        <f t="shared" si="42"/>
        <v>100</v>
      </c>
      <c r="G73" s="41"/>
      <c r="H73" s="6">
        <f t="shared" si="50"/>
        <v>10000</v>
      </c>
      <c r="I73" s="5">
        <v>15</v>
      </c>
      <c r="J73" s="41">
        <f t="shared" si="0"/>
        <v>0.478989108695618</v>
      </c>
      <c r="K73" s="41">
        <f t="shared" si="1"/>
        <v>530.2836399352035</v>
      </c>
      <c r="L73" s="6">
        <f t="shared" si="43"/>
        <v>265</v>
      </c>
      <c r="M73" s="41">
        <f t="shared" si="2"/>
        <v>314.18457212336909</v>
      </c>
      <c r="N73" s="41">
        <f t="shared" si="3"/>
        <v>233.72806132673014</v>
      </c>
      <c r="O73" s="41">
        <f t="shared" si="4"/>
        <v>2389886.0615747962</v>
      </c>
      <c r="P73" s="41">
        <f t="shared" si="5"/>
        <v>15344747.850405797</v>
      </c>
      <c r="Q73" s="41">
        <f t="shared" si="6"/>
        <v>2.7485590316024835E-3</v>
      </c>
      <c r="R73" s="41">
        <f t="shared" si="7"/>
        <v>2.1779952887933163E-2</v>
      </c>
      <c r="S73" s="27">
        <v>0</v>
      </c>
      <c r="T73" s="41">
        <f t="shared" ca="1" si="8"/>
        <v>0.32044576376426354</v>
      </c>
      <c r="U73" s="41">
        <f t="shared" ca="1" si="9"/>
        <v>2.8265231825126719E-2</v>
      </c>
      <c r="V73" s="41">
        <f t="shared" ca="1" si="10"/>
        <v>11.337100142918318</v>
      </c>
      <c r="W73" s="20">
        <f t="shared" ca="1" si="11"/>
        <v>1519.4669026106162</v>
      </c>
      <c r="X73" s="41">
        <f t="shared" si="12"/>
        <v>0.58724411409638122</v>
      </c>
      <c r="Y73" s="41">
        <f t="shared" ca="1" si="13"/>
        <v>207.14566477121807</v>
      </c>
      <c r="Z73" s="14">
        <f t="shared" ca="1" si="14"/>
        <v>1519.4669026106162</v>
      </c>
      <c r="AA73" s="14">
        <f t="shared" si="15"/>
        <v>4318.772914781468</v>
      </c>
      <c r="AB73" s="25">
        <f t="shared" ca="1" si="16"/>
        <v>805748.43987742695</v>
      </c>
      <c r="AC73" s="41">
        <f t="shared" si="17"/>
        <v>2290174.6213038852</v>
      </c>
      <c r="AD73" s="5">
        <f t="shared" ca="1" si="18"/>
        <v>35.182838565326655</v>
      </c>
      <c r="AE73" s="7">
        <f t="shared" ca="1" si="19"/>
        <v>1519.4669026106164</v>
      </c>
      <c r="AF73" s="41">
        <f t="shared" ca="1" si="44"/>
        <v>2799.3060121708518</v>
      </c>
      <c r="AG73" s="41">
        <f t="shared" ca="1" si="20"/>
        <v>86.171842320778978</v>
      </c>
      <c r="AH73" s="41">
        <f t="shared" ca="1" si="21"/>
        <v>1196.5989543685782</v>
      </c>
      <c r="AI73" s="13">
        <f t="shared" ca="1" si="22"/>
        <v>6.999309265583189E-15</v>
      </c>
      <c r="AJ73" s="10">
        <f t="shared" ca="1" si="23"/>
        <v>7.5625731254641645E-16</v>
      </c>
      <c r="AK73" s="11">
        <f t="shared" ca="1" si="24"/>
        <v>0.30013967020528765</v>
      </c>
      <c r="AL73" s="7">
        <v>0</v>
      </c>
      <c r="AM73" s="41">
        <f t="shared" si="25"/>
        <v>1145.8232896892239</v>
      </c>
      <c r="AN73" s="41">
        <f t="shared" ca="1" si="26"/>
        <v>380.85859731480275</v>
      </c>
      <c r="AO73" s="6">
        <v>100</v>
      </c>
      <c r="AP73" s="67">
        <f t="shared" si="27"/>
        <v>0.78751235207077264</v>
      </c>
      <c r="AQ73" s="11">
        <f t="shared" si="28"/>
        <v>0.98330272071837588</v>
      </c>
      <c r="AR73" s="11">
        <f t="shared" si="29"/>
        <v>0.68770269343653956</v>
      </c>
      <c r="AS73" s="11">
        <f t="shared" si="30"/>
        <v>0.69938044403469313</v>
      </c>
      <c r="AT73" s="11">
        <f t="shared" si="31"/>
        <v>510.00962215499999</v>
      </c>
      <c r="AU73" s="11">
        <f t="shared" si="32"/>
        <v>1455.3301939042735</v>
      </c>
      <c r="AV73" s="11">
        <f t="shared" si="33"/>
        <v>1.6623573774260621E-3</v>
      </c>
      <c r="AW73" s="11">
        <f t="shared" si="34"/>
        <v>3.6885478983619832E-7</v>
      </c>
      <c r="AX73" s="41">
        <f t="shared" ca="1" si="45"/>
        <v>1.9194999992125088</v>
      </c>
      <c r="AY73" s="41">
        <f t="shared" ca="1" si="46"/>
        <v>1.0308425921696807</v>
      </c>
      <c r="AZ73" s="41">
        <f t="shared" si="47"/>
        <v>0.33281438707537236</v>
      </c>
      <c r="BA73" s="41">
        <f t="shared" ca="1" si="37"/>
        <v>20.027406623085497</v>
      </c>
      <c r="BB73" s="41">
        <f t="shared" ca="1" si="38"/>
        <v>6.4176976115521027</v>
      </c>
      <c r="BC73" s="41">
        <f t="shared" ca="1" si="48"/>
        <v>9.8179287237672632</v>
      </c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</row>
    <row r="74" spans="1:67">
      <c r="A74" s="41">
        <f t="shared" si="39"/>
        <v>1124.945908575165</v>
      </c>
      <c r="B74" s="41">
        <f t="shared" ref="B74:C89" si="53">(A74/60)</f>
        <v>18.749098476252751</v>
      </c>
      <c r="C74" s="41">
        <f t="shared" si="53"/>
        <v>0.31248497460421254</v>
      </c>
      <c r="D74" s="23">
        <f t="shared" ca="1" si="49"/>
        <v>17226.348438746474</v>
      </c>
      <c r="E74" s="41">
        <f t="shared" si="41"/>
        <v>100</v>
      </c>
      <c r="F74" s="41">
        <f t="shared" si="42"/>
        <v>100</v>
      </c>
      <c r="G74" s="41"/>
      <c r="H74" s="6">
        <f t="shared" si="50"/>
        <v>10000</v>
      </c>
      <c r="I74" s="5">
        <v>15</v>
      </c>
      <c r="J74" s="41">
        <f t="shared" si="0"/>
        <v>0.48787845892614379</v>
      </c>
      <c r="K74" s="41">
        <f t="shared" si="1"/>
        <v>540.12494302816708</v>
      </c>
      <c r="L74" s="6">
        <f t="shared" si="43"/>
        <v>270</v>
      </c>
      <c r="M74" s="41">
        <f t="shared" si="2"/>
        <v>320.01538674510056</v>
      </c>
      <c r="N74" s="41">
        <f t="shared" si="3"/>
        <v>242.48387658495213</v>
      </c>
      <c r="O74" s="41">
        <f t="shared" si="4"/>
        <v>2434238.9160065874</v>
      </c>
      <c r="P74" s="41">
        <f t="shared" si="5"/>
        <v>15629524.341906454</v>
      </c>
      <c r="Q74" s="41">
        <f t="shared" si="6"/>
        <v>2.7385616950242925E-3</v>
      </c>
      <c r="R74" s="41">
        <f t="shared" si="7"/>
        <v>2.1718919148123305E-2</v>
      </c>
      <c r="S74" s="27">
        <v>0</v>
      </c>
      <c r="T74" s="41">
        <f t="shared" ca="1" si="8"/>
        <v>0.30887483398816867</v>
      </c>
      <c r="U74" s="41">
        <f t="shared" ca="1" si="9"/>
        <v>2.7744301912749566E-2</v>
      </c>
      <c r="V74" s="41">
        <f t="shared" ca="1" si="10"/>
        <v>11.132910640877538</v>
      </c>
      <c r="W74" s="20">
        <f t="shared" ca="1" si="11"/>
        <v>1547.3355526177679</v>
      </c>
      <c r="X74" s="41">
        <f t="shared" si="12"/>
        <v>0.58642072275104717</v>
      </c>
      <c r="Y74" s="41">
        <f t="shared" ca="1" si="13"/>
        <v>207.14566477121807</v>
      </c>
      <c r="Z74" s="14">
        <f t="shared" ca="1" si="14"/>
        <v>1547.3355526177679</v>
      </c>
      <c r="AA74" s="14">
        <f t="shared" si="15"/>
        <v>4318.772914781468</v>
      </c>
      <c r="AB74" s="25">
        <f t="shared" ca="1" si="16"/>
        <v>835754.52720312937</v>
      </c>
      <c r="AC74" s="41">
        <f t="shared" si="17"/>
        <v>2332676.9745479315</v>
      </c>
      <c r="AD74" s="5">
        <f t="shared" ca="1" si="18"/>
        <v>35.828129497659958</v>
      </c>
      <c r="AE74" s="7">
        <f t="shared" ca="1" si="19"/>
        <v>1547.3355526177679</v>
      </c>
      <c r="AF74" s="41">
        <f t="shared" ca="1" si="44"/>
        <v>2771.4373621637001</v>
      </c>
      <c r="AG74" s="41">
        <f t="shared" ca="1" si="20"/>
        <v>86.897258154713725</v>
      </c>
      <c r="AH74" s="41">
        <f t="shared" ca="1" si="21"/>
        <v>1220.7842163459832</v>
      </c>
      <c r="AI74" s="13">
        <f t="shared" ca="1" si="22"/>
        <v>0</v>
      </c>
      <c r="AJ74" s="10">
        <f t="shared" ca="1" si="23"/>
        <v>0</v>
      </c>
      <c r="AK74" s="11">
        <f t="shared" ca="1" si="24"/>
        <v>0.30266632001681626</v>
      </c>
      <c r="AL74" s="7">
        <v>0</v>
      </c>
      <c r="AM74" s="41">
        <f t="shared" si="25"/>
        <v>1124.945908575165</v>
      </c>
      <c r="AN74" s="41">
        <f t="shared" ca="1" si="26"/>
        <v>381.47672484209806</v>
      </c>
      <c r="AO74" s="6">
        <v>100</v>
      </c>
      <c r="AP74" s="67">
        <f t="shared" si="27"/>
        <v>0.78895893930742544</v>
      </c>
      <c r="AQ74" s="11">
        <f t="shared" si="28"/>
        <v>0.98330272071837588</v>
      </c>
      <c r="AR74" s="11">
        <f t="shared" si="29"/>
        <v>0.68770269343653956</v>
      </c>
      <c r="AS74" s="11">
        <f t="shared" si="30"/>
        <v>0.69938044403469313</v>
      </c>
      <c r="AT74" s="11">
        <f t="shared" si="31"/>
        <v>510.00962215499999</v>
      </c>
      <c r="AU74" s="11">
        <f t="shared" si="32"/>
        <v>1455.3301939042735</v>
      </c>
      <c r="AV74" s="11">
        <f t="shared" si="33"/>
        <v>1.6623573774260621E-3</v>
      </c>
      <c r="AW74" s="11">
        <f t="shared" si="34"/>
        <v>3.6885478983619832E-7</v>
      </c>
      <c r="AX74" s="41">
        <f t="shared" ca="1" si="45"/>
        <v>1.9828940460250197</v>
      </c>
      <c r="AY74" s="41">
        <f t="shared" ca="1" si="46"/>
        <v>1.0648875432356588</v>
      </c>
      <c r="AZ74" s="41">
        <f t="shared" si="47"/>
        <v>0.33805955867782045</v>
      </c>
      <c r="BA74" s="41">
        <f t="shared" ca="1" si="37"/>
        <v>20.031684004921807</v>
      </c>
      <c r="BB74" s="41">
        <f t="shared" ca="1" si="38"/>
        <v>6.1872830715236757</v>
      </c>
      <c r="BC74" s="41">
        <f t="shared" ca="1" si="48"/>
        <v>9.6411006149999476</v>
      </c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</row>
    <row r="75" spans="1:67">
      <c r="A75" s="41">
        <f t="shared" si="39"/>
        <v>1104.8324301289415</v>
      </c>
      <c r="B75" s="41">
        <f t="shared" si="53"/>
        <v>18.413873835482359</v>
      </c>
      <c r="C75" s="41">
        <f t="shared" si="53"/>
        <v>0.30689789725803934</v>
      </c>
      <c r="D75" s="23">
        <f t="shared" ca="1" si="49"/>
        <v>17226.348438746474</v>
      </c>
      <c r="E75" s="41">
        <f t="shared" si="41"/>
        <v>100</v>
      </c>
      <c r="F75" s="41">
        <f t="shared" si="42"/>
        <v>100</v>
      </c>
      <c r="G75" s="41"/>
      <c r="H75" s="6">
        <f t="shared" si="50"/>
        <v>10000</v>
      </c>
      <c r="I75" s="5">
        <v>15</v>
      </c>
      <c r="J75" s="41">
        <f t="shared" si="0"/>
        <v>0.49676028806184597</v>
      </c>
      <c r="K75" s="41">
        <f t="shared" si="1"/>
        <v>549.95791959873804</v>
      </c>
      <c r="L75" s="6">
        <f t="shared" si="43"/>
        <v>275</v>
      </c>
      <c r="M75" s="41">
        <f t="shared" si="2"/>
        <v>325.84126803553869</v>
      </c>
      <c r="N75" s="41">
        <f t="shared" si="3"/>
        <v>251.39308084149442</v>
      </c>
      <c r="O75" s="41">
        <f t="shared" si="4"/>
        <v>2478554.2444083286</v>
      </c>
      <c r="P75" s="41">
        <f t="shared" si="5"/>
        <v>15914059.88992524</v>
      </c>
      <c r="Q75" s="41">
        <f t="shared" si="6"/>
        <v>2.7287221887776262E-3</v>
      </c>
      <c r="R75" s="41">
        <f t="shared" si="7"/>
        <v>2.1658848962487407E-2</v>
      </c>
      <c r="S75" s="27">
        <v>0</v>
      </c>
      <c r="T75" s="41">
        <f t="shared" ca="1" si="8"/>
        <v>0.29792851447732566</v>
      </c>
      <c r="U75" s="41">
        <f t="shared" ca="1" si="9"/>
        <v>2.7264728138743109E-2</v>
      </c>
      <c r="V75" s="41">
        <f t="shared" ca="1" si="10"/>
        <v>10.927250510668763</v>
      </c>
      <c r="W75" s="20">
        <f t="shared" ca="1" si="11"/>
        <v>1576.4577211740152</v>
      </c>
      <c r="X75" s="41">
        <f t="shared" si="12"/>
        <v>0.5856092000303933</v>
      </c>
      <c r="Y75" s="41">
        <f t="shared" ca="1" si="13"/>
        <v>207.14566477121807</v>
      </c>
      <c r="Z75" s="14">
        <f t="shared" ca="1" si="14"/>
        <v>1576.4577211740152</v>
      </c>
      <c r="AA75" s="14">
        <f t="shared" si="15"/>
        <v>4318.772914781468</v>
      </c>
      <c r="AB75" s="25">
        <f t="shared" ca="1" si="16"/>
        <v>866985.4086722288</v>
      </c>
      <c r="AC75" s="41">
        <f t="shared" si="17"/>
        <v>2375143.3674325943</v>
      </c>
      <c r="AD75" s="5">
        <f t="shared" ca="1" si="18"/>
        <v>36.502445307518208</v>
      </c>
      <c r="AE75" s="7">
        <f t="shared" ca="1" si="19"/>
        <v>1576.4577211740152</v>
      </c>
      <c r="AF75" s="41">
        <f t="shared" ca="1" si="44"/>
        <v>2742.3151936074528</v>
      </c>
      <c r="AG75" s="41">
        <f t="shared" ca="1" si="20"/>
        <v>87.549486423259125</v>
      </c>
      <c r="AH75" s="41">
        <f t="shared" ca="1" si="21"/>
        <v>1246.0194535634403</v>
      </c>
      <c r="AI75" s="13">
        <f t="shared" ca="1" si="22"/>
        <v>0</v>
      </c>
      <c r="AJ75" s="10">
        <f t="shared" ca="1" si="23"/>
        <v>0</v>
      </c>
      <c r="AK75" s="11">
        <f t="shared" ca="1" si="24"/>
        <v>0.30493805486833603</v>
      </c>
      <c r="AL75" s="7">
        <v>0</v>
      </c>
      <c r="AM75" s="41">
        <f t="shared" si="25"/>
        <v>1104.8324301289415</v>
      </c>
      <c r="AN75" s="41">
        <f t="shared" ca="1" si="26"/>
        <v>382.40075024123092</v>
      </c>
      <c r="AO75" s="6">
        <v>100</v>
      </c>
      <c r="AP75" s="67">
        <f t="shared" si="27"/>
        <v>0.7903919254082552</v>
      </c>
      <c r="AQ75" s="11">
        <f t="shared" si="28"/>
        <v>0.98330272071837588</v>
      </c>
      <c r="AR75" s="11">
        <f t="shared" si="29"/>
        <v>0.68770269343653956</v>
      </c>
      <c r="AS75" s="11">
        <f t="shared" si="30"/>
        <v>0.69938044403469313</v>
      </c>
      <c r="AT75" s="11">
        <f t="shared" si="31"/>
        <v>510.00962215499999</v>
      </c>
      <c r="AU75" s="11">
        <f t="shared" si="32"/>
        <v>1455.3301939042735</v>
      </c>
      <c r="AV75" s="11">
        <f t="shared" si="33"/>
        <v>1.6623573774260621E-3</v>
      </c>
      <c r="AW75" s="11">
        <f t="shared" si="34"/>
        <v>3.6885478983619832E-7</v>
      </c>
      <c r="AX75" s="41">
        <f t="shared" ca="1" si="45"/>
        <v>2.0477193894606787</v>
      </c>
      <c r="AY75" s="41">
        <f t="shared" ca="1" si="46"/>
        <v>1.0997011535992534</v>
      </c>
      <c r="AZ75" s="41">
        <f t="shared" si="47"/>
        <v>0.34326193718876791</v>
      </c>
      <c r="BA75" s="41">
        <f t="shared" ca="1" si="37"/>
        <v>20.019575481583072</v>
      </c>
      <c r="BB75" s="41">
        <f t="shared" ca="1" si="38"/>
        <v>5.9644023836947371</v>
      </c>
      <c r="BC75" s="41">
        <f t="shared" ca="1" si="48"/>
        <v>9.4629989422391496</v>
      </c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</row>
    <row r="76" spans="1:67">
      <c r="A76" s="41">
        <f t="shared" si="39"/>
        <v>1085.4418582135115</v>
      </c>
      <c r="B76" s="41">
        <f t="shared" si="53"/>
        <v>18.090697636891857</v>
      </c>
      <c r="C76" s="41">
        <f t="shared" si="53"/>
        <v>0.30151162728153097</v>
      </c>
      <c r="D76" s="23">
        <f t="shared" ca="1" si="49"/>
        <v>17226.348438746474</v>
      </c>
      <c r="E76" s="41">
        <f t="shared" si="41"/>
        <v>100</v>
      </c>
      <c r="F76" s="41">
        <f t="shared" si="42"/>
        <v>100</v>
      </c>
      <c r="G76" s="41"/>
      <c r="H76" s="6">
        <f t="shared" si="50"/>
        <v>10000</v>
      </c>
      <c r="I76" s="5">
        <v>15</v>
      </c>
      <c r="J76" s="41">
        <f t="shared" si="0"/>
        <v>0.50563452302662482</v>
      </c>
      <c r="K76" s="41">
        <f t="shared" si="1"/>
        <v>559.78248874516009</v>
      </c>
      <c r="L76" s="6">
        <f t="shared" si="43"/>
        <v>280</v>
      </c>
      <c r="M76" s="41">
        <f t="shared" si="2"/>
        <v>331.66216806168745</v>
      </c>
      <c r="N76" s="41">
        <f t="shared" si="3"/>
        <v>260.45519049849531</v>
      </c>
      <c r="O76" s="41">
        <f t="shared" si="4"/>
        <v>2522831.6821714109</v>
      </c>
      <c r="P76" s="41">
        <f t="shared" si="5"/>
        <v>16198352.153418686</v>
      </c>
      <c r="Q76" s="41">
        <f t="shared" si="6"/>
        <v>2.7190335650057649E-3</v>
      </c>
      <c r="R76" s="41">
        <f t="shared" si="7"/>
        <v>2.1599699914360192E-2</v>
      </c>
      <c r="S76" s="27">
        <v>0</v>
      </c>
      <c r="T76" s="41">
        <f t="shared" ca="1" si="8"/>
        <v>0.28756258219172393</v>
      </c>
      <c r="U76" s="41">
        <f t="shared" ca="1" si="9"/>
        <v>2.682227076386141E-2</v>
      </c>
      <c r="V76" s="41">
        <f t="shared" ca="1" si="10"/>
        <v>10.721037928644249</v>
      </c>
      <c r="W76" s="20">
        <f t="shared" ca="1" si="11"/>
        <v>1606.7799175228615</v>
      </c>
      <c r="X76" s="41">
        <f t="shared" si="12"/>
        <v>0.58480902113110245</v>
      </c>
      <c r="Y76" s="41">
        <f t="shared" ca="1" si="13"/>
        <v>207.14566477121807</v>
      </c>
      <c r="Z76" s="14">
        <f t="shared" ca="1" si="14"/>
        <v>1606.7799175228615</v>
      </c>
      <c r="AA76" s="14">
        <f t="shared" si="15"/>
        <v>4318.772914781468</v>
      </c>
      <c r="AB76" s="25">
        <f t="shared" ca="1" si="16"/>
        <v>899447.26109669055</v>
      </c>
      <c r="AC76" s="41">
        <f t="shared" si="17"/>
        <v>2417573.4505615593</v>
      </c>
      <c r="AD76" s="5">
        <f t="shared" ca="1" si="18"/>
        <v>37.204547431134507</v>
      </c>
      <c r="AE76" s="7">
        <f t="shared" ca="1" si="19"/>
        <v>1606.7799175228615</v>
      </c>
      <c r="AF76" s="41">
        <f t="shared" ca="1" si="44"/>
        <v>2711.9929972586065</v>
      </c>
      <c r="AG76" s="41">
        <f t="shared" ca="1" si="20"/>
        <v>88.128148276056791</v>
      </c>
      <c r="AH76" s="41">
        <f t="shared" ca="1" si="21"/>
        <v>1272.2666073423982</v>
      </c>
      <c r="AI76" s="13">
        <f t="shared" ca="1" si="22"/>
        <v>0</v>
      </c>
      <c r="AJ76" s="10">
        <f t="shared" ca="1" si="23"/>
        <v>0</v>
      </c>
      <c r="AK76" s="11">
        <f t="shared" ca="1" si="24"/>
        <v>0.30695355521022899</v>
      </c>
      <c r="AL76" s="7">
        <v>0</v>
      </c>
      <c r="AM76" s="41">
        <f t="shared" si="25"/>
        <v>1085.4418582135115</v>
      </c>
      <c r="AN76" s="41">
        <f t="shared" ca="1" si="26"/>
        <v>383.60317511575909</v>
      </c>
      <c r="AO76" s="6">
        <v>100</v>
      </c>
      <c r="AP76" s="67">
        <f t="shared" si="27"/>
        <v>0.79181136972624389</v>
      </c>
      <c r="AQ76" s="11">
        <f t="shared" si="28"/>
        <v>0.98330272071837588</v>
      </c>
      <c r="AR76" s="11">
        <f t="shared" si="29"/>
        <v>0.68770269343653956</v>
      </c>
      <c r="AS76" s="11">
        <f t="shared" si="30"/>
        <v>0.69938044403469313</v>
      </c>
      <c r="AT76" s="11">
        <f t="shared" si="31"/>
        <v>510.00962215499999</v>
      </c>
      <c r="AU76" s="11">
        <f t="shared" si="32"/>
        <v>1455.3301939042735</v>
      </c>
      <c r="AV76" s="11">
        <f t="shared" si="33"/>
        <v>1.6623573774260621E-3</v>
      </c>
      <c r="AW76" s="11">
        <f t="shared" si="34"/>
        <v>3.6885478983619832E-7</v>
      </c>
      <c r="AX76" s="41">
        <f t="shared" ca="1" si="45"/>
        <v>2.1139529396345784</v>
      </c>
      <c r="AY76" s="41">
        <f t="shared" ca="1" si="46"/>
        <v>1.1352710231370886</v>
      </c>
      <c r="AZ76" s="41">
        <f t="shared" si="47"/>
        <v>0.34842157767400939</v>
      </c>
      <c r="BA76" s="41">
        <f t="shared" ca="1" si="37"/>
        <v>19.992662980641949</v>
      </c>
      <c r="BB76" s="41">
        <f t="shared" ca="1" si="38"/>
        <v>5.7491417916022867</v>
      </c>
      <c r="BC76" s="41">
        <f t="shared" ca="1" si="48"/>
        <v>9.2844188462059183</v>
      </c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</row>
    <row r="77" spans="1:67">
      <c r="A77" s="41">
        <f t="shared" si="39"/>
        <v>1066.7360732057107</v>
      </c>
      <c r="B77" s="41">
        <f t="shared" si="53"/>
        <v>17.77893455342851</v>
      </c>
      <c r="C77" s="41">
        <f t="shared" si="53"/>
        <v>0.29631557589047514</v>
      </c>
      <c r="D77" s="23">
        <f t="shared" ca="1" si="49"/>
        <v>17226.348438746474</v>
      </c>
      <c r="E77" s="41">
        <f t="shared" si="41"/>
        <v>100</v>
      </c>
      <c r="F77" s="41">
        <f t="shared" si="42"/>
        <v>100</v>
      </c>
      <c r="G77" s="41"/>
      <c r="H77" s="6">
        <f t="shared" si="50"/>
        <v>10000</v>
      </c>
      <c r="I77" s="5">
        <v>15</v>
      </c>
      <c r="J77" s="41">
        <f t="shared" si="0"/>
        <v>0.51450109360376339</v>
      </c>
      <c r="K77" s="41">
        <f t="shared" si="1"/>
        <v>569.59857273126852</v>
      </c>
      <c r="L77" s="6">
        <f t="shared" si="43"/>
        <v>285</v>
      </c>
      <c r="M77" s="41">
        <f t="shared" si="2"/>
        <v>337.47804076611288</v>
      </c>
      <c r="N77" s="41">
        <f t="shared" si="3"/>
        <v>269.66972002064426</v>
      </c>
      <c r="O77" s="41">
        <f t="shared" si="4"/>
        <v>2567070.8789539379</v>
      </c>
      <c r="P77" s="41">
        <f t="shared" si="5"/>
        <v>16482398.882945634</v>
      </c>
      <c r="Q77" s="41">
        <f t="shared" si="6"/>
        <v>2.7094892898069361E-3</v>
      </c>
      <c r="R77" s="41">
        <f t="shared" si="7"/>
        <v>2.1541432114271345E-2</v>
      </c>
      <c r="S77" s="27">
        <v>0</v>
      </c>
      <c r="T77" s="41">
        <f t="shared" ca="1" si="8"/>
        <v>0.27773665919648299</v>
      </c>
      <c r="U77" s="41">
        <f t="shared" ca="1" si="9"/>
        <v>2.6413193460413847E-2</v>
      </c>
      <c r="V77" s="41">
        <f t="shared" ca="1" si="10"/>
        <v>10.5150730680383</v>
      </c>
      <c r="W77" s="20">
        <f t="shared" ca="1" si="11"/>
        <v>1638.2528516238103</v>
      </c>
      <c r="X77" s="41">
        <f t="shared" si="12"/>
        <v>0.58401969194977532</v>
      </c>
      <c r="Y77" s="41">
        <f t="shared" ca="1" si="13"/>
        <v>207.14566477121807</v>
      </c>
      <c r="Z77" s="14">
        <f t="shared" ca="1" si="14"/>
        <v>1638.2528516238103</v>
      </c>
      <c r="AA77" s="14">
        <f t="shared" si="15"/>
        <v>4318.772914781468</v>
      </c>
      <c r="AB77" s="25">
        <f t="shared" ca="1" si="16"/>
        <v>933146.48605785298</v>
      </c>
      <c r="AC77" s="41">
        <f t="shared" si="17"/>
        <v>2459966.8882099846</v>
      </c>
      <c r="AD77" s="5">
        <f t="shared" ca="1" si="18"/>
        <v>37.933294571166556</v>
      </c>
      <c r="AE77" s="7">
        <f t="shared" ca="1" si="19"/>
        <v>1638.2528516238101</v>
      </c>
      <c r="AF77" s="41">
        <f t="shared" ca="1" si="44"/>
        <v>2680.5200631576577</v>
      </c>
      <c r="AG77" s="41">
        <f t="shared" ca="1" si="20"/>
        <v>88.632852608386884</v>
      </c>
      <c r="AH77" s="41">
        <f t="shared" ca="1" si="21"/>
        <v>1299.4905560257432</v>
      </c>
      <c r="AI77" s="13">
        <f t="shared" ca="1" si="22"/>
        <v>-7.5182341440291891E-15</v>
      </c>
      <c r="AJ77" s="10">
        <f t="shared" ca="1" si="23"/>
        <v>-7.5625731254641645E-16</v>
      </c>
      <c r="AK77" s="11">
        <f t="shared" ca="1" si="24"/>
        <v>0.308711458810489</v>
      </c>
      <c r="AL77" s="7">
        <v>0</v>
      </c>
      <c r="AM77" s="41">
        <f t="shared" si="25"/>
        <v>1066.7360732057107</v>
      </c>
      <c r="AN77" s="41">
        <f t="shared" ca="1" si="26"/>
        <v>385.0592924730019</v>
      </c>
      <c r="AO77" s="6">
        <v>100</v>
      </c>
      <c r="AP77" s="67">
        <f t="shared" si="27"/>
        <v>0.79321733195074795</v>
      </c>
      <c r="AQ77" s="11">
        <f t="shared" si="28"/>
        <v>0.98330272071837588</v>
      </c>
      <c r="AR77" s="11">
        <f t="shared" si="29"/>
        <v>0.68770269343653956</v>
      </c>
      <c r="AS77" s="11">
        <f t="shared" si="30"/>
        <v>0.69938044403469313</v>
      </c>
      <c r="AT77" s="11">
        <f t="shared" si="31"/>
        <v>510.00962215499999</v>
      </c>
      <c r="AU77" s="11">
        <f t="shared" si="32"/>
        <v>1455.3301939042735</v>
      </c>
      <c r="AV77" s="11">
        <f t="shared" si="33"/>
        <v>1.6623573774260621E-3</v>
      </c>
      <c r="AW77" s="11">
        <f t="shared" si="34"/>
        <v>3.6885478983619832E-7</v>
      </c>
      <c r="AX77" s="41">
        <f t="shared" ca="1" si="45"/>
        <v>2.181573533808586</v>
      </c>
      <c r="AY77" s="41">
        <f t="shared" ca="1" si="46"/>
        <v>1.1715857866749815</v>
      </c>
      <c r="AZ77" s="41">
        <f t="shared" si="47"/>
        <v>0.35353853802047397</v>
      </c>
      <c r="BA77" s="41">
        <f t="shared" ca="1" si="37"/>
        <v>19.952425197262563</v>
      </c>
      <c r="BB77" s="41">
        <f t="shared" ca="1" si="38"/>
        <v>5.5415199171554326</v>
      </c>
      <c r="BC77" s="41">
        <f t="shared" ca="1" si="48"/>
        <v>9.1060532769211679</v>
      </c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</row>
    <row r="78" spans="1:67">
      <c r="A78" s="41">
        <f t="shared" si="39"/>
        <v>1048.6795840555708</v>
      </c>
      <c r="B78" s="41">
        <f t="shared" si="53"/>
        <v>17.477993067592845</v>
      </c>
      <c r="C78" s="41">
        <f t="shared" si="53"/>
        <v>0.29129988445988075</v>
      </c>
      <c r="D78" s="23">
        <f t="shared" ca="1" si="49"/>
        <v>17226.348438746474</v>
      </c>
      <c r="E78" s="41">
        <f t="shared" si="41"/>
        <v>100</v>
      </c>
      <c r="F78" s="41">
        <f t="shared" si="42"/>
        <v>100</v>
      </c>
      <c r="G78" s="41"/>
      <c r="H78" s="6">
        <f t="shared" si="50"/>
        <v>10000</v>
      </c>
      <c r="I78" s="5">
        <v>15</v>
      </c>
      <c r="J78" s="41">
        <f t="shared" si="0"/>
        <v>0.52335993242893042</v>
      </c>
      <c r="K78" s="41">
        <f t="shared" si="1"/>
        <v>579.40609697874379</v>
      </c>
      <c r="L78" s="6">
        <f t="shared" si="43"/>
        <v>290</v>
      </c>
      <c r="M78" s="41">
        <f t="shared" si="2"/>
        <v>343.28884196235407</v>
      </c>
      <c r="N78" s="41">
        <f t="shared" si="3"/>
        <v>279.03618219713525</v>
      </c>
      <c r="O78" s="41">
        <f t="shared" si="4"/>
        <v>2611271.4986458109</v>
      </c>
      <c r="P78" s="41">
        <f t="shared" si="5"/>
        <v>16766197.920443073</v>
      </c>
      <c r="Q78" s="41">
        <f t="shared" si="6"/>
        <v>2.7000832126696677E-3</v>
      </c>
      <c r="R78" s="41">
        <f t="shared" si="7"/>
        <v>2.1484008013348321E-2</v>
      </c>
      <c r="S78" s="27">
        <v>0</v>
      </c>
      <c r="T78" s="41">
        <f t="shared" ca="1" si="8"/>
        <v>0.26841381836306394</v>
      </c>
      <c r="U78" s="41">
        <f t="shared" ca="1" si="9"/>
        <v>2.6034195914460531E-2</v>
      </c>
      <c r="V78" s="41">
        <f t="shared" ca="1" si="10"/>
        <v>10.310048339690614</v>
      </c>
      <c r="W78" s="20">
        <f t="shared" ca="1" si="11"/>
        <v>1670.8310059449643</v>
      </c>
      <c r="X78" s="41">
        <f t="shared" si="12"/>
        <v>0.58324074685482374</v>
      </c>
      <c r="Y78" s="41">
        <f t="shared" ca="1" si="13"/>
        <v>207.14566477121807</v>
      </c>
      <c r="Z78" s="14">
        <f t="shared" ca="1" si="14"/>
        <v>1670.8310059449643</v>
      </c>
      <c r="AA78" s="14">
        <f t="shared" si="15"/>
        <v>4318.772914781468</v>
      </c>
      <c r="AB78" s="25">
        <f t="shared" ca="1" si="16"/>
        <v>968089.67186564009</v>
      </c>
      <c r="AC78" s="41">
        <f t="shared" si="17"/>
        <v>2502323.3582910434</v>
      </c>
      <c r="AD78" s="5">
        <f t="shared" ca="1" si="18"/>
        <v>38.687632781671951</v>
      </c>
      <c r="AE78" s="7">
        <f t="shared" ca="1" si="19"/>
        <v>1670.8310059449643</v>
      </c>
      <c r="AF78" s="41">
        <f t="shared" ca="1" si="44"/>
        <v>2647.9419088365039</v>
      </c>
      <c r="AG78" s="41">
        <f t="shared" ca="1" si="20"/>
        <v>89.063198267516654</v>
      </c>
      <c r="AH78" s="41">
        <f t="shared" ca="1" si="21"/>
        <v>1327.6588119105766</v>
      </c>
      <c r="AI78" s="13">
        <f t="shared" ca="1" si="22"/>
        <v>0</v>
      </c>
      <c r="AJ78" s="10">
        <f t="shared" ca="1" si="23"/>
        <v>0</v>
      </c>
      <c r="AK78" s="11">
        <f t="shared" ca="1" si="24"/>
        <v>0.31021036843951455</v>
      </c>
      <c r="AL78" s="7">
        <v>0</v>
      </c>
      <c r="AM78" s="41">
        <f t="shared" si="25"/>
        <v>1048.6795840555708</v>
      </c>
      <c r="AN78" s="41">
        <f t="shared" ca="1" si="26"/>
        <v>386.74685851169352</v>
      </c>
      <c r="AO78" s="6">
        <v>100</v>
      </c>
      <c r="AP78" s="67">
        <f t="shared" si="27"/>
        <v>0.79460987208559641</v>
      </c>
      <c r="AQ78" s="11">
        <f t="shared" si="28"/>
        <v>0.98330272071837588</v>
      </c>
      <c r="AR78" s="11">
        <f t="shared" si="29"/>
        <v>0.68770269343653956</v>
      </c>
      <c r="AS78" s="11">
        <f t="shared" si="30"/>
        <v>0.69938044403469313</v>
      </c>
      <c r="AT78" s="11">
        <f t="shared" si="31"/>
        <v>510.00962215499999</v>
      </c>
      <c r="AU78" s="11">
        <f t="shared" si="32"/>
        <v>1455.3301939042735</v>
      </c>
      <c r="AV78" s="11">
        <f t="shared" si="33"/>
        <v>1.6623573774260621E-3</v>
      </c>
      <c r="AW78" s="11">
        <f t="shared" si="34"/>
        <v>3.6885478983619832E-7</v>
      </c>
      <c r="AX78" s="41">
        <f t="shared" ca="1" si="45"/>
        <v>2.2505617004760232</v>
      </c>
      <c r="AY78" s="41">
        <f t="shared" ca="1" si="46"/>
        <v>1.2086349872926792</v>
      </c>
      <c r="AZ78" s="41">
        <f t="shared" si="47"/>
        <v>0.358612878867968</v>
      </c>
      <c r="BA78" s="41">
        <f t="shared" ca="1" si="37"/>
        <v>19.900237814522388</v>
      </c>
      <c r="BB78" s="41">
        <f t="shared" ca="1" si="38"/>
        <v>5.3414988181289882</v>
      </c>
      <c r="BC78" s="41">
        <f t="shared" ca="1" si="48"/>
        <v>8.9285018621720713</v>
      </c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</row>
    <row r="79" spans="1:67">
      <c r="A79" s="41">
        <f t="shared" si="39"/>
        <v>1031.2393055595928</v>
      </c>
      <c r="B79" s="41">
        <f t="shared" si="53"/>
        <v>17.187321759326547</v>
      </c>
      <c r="C79" s="41">
        <f t="shared" si="53"/>
        <v>0.28645536265544247</v>
      </c>
      <c r="D79" s="23">
        <f t="shared" ca="1" si="49"/>
        <v>17226.348438746474</v>
      </c>
      <c r="E79" s="41">
        <f t="shared" si="41"/>
        <v>100</v>
      </c>
      <c r="F79" s="41">
        <f t="shared" si="42"/>
        <v>100</v>
      </c>
      <c r="G79" s="41"/>
      <c r="H79" s="6">
        <f t="shared" si="50"/>
        <v>10000</v>
      </c>
      <c r="I79" s="5">
        <v>15</v>
      </c>
      <c r="J79" s="41">
        <f t="shared" si="0"/>
        <v>0.5322109749813122</v>
      </c>
      <c r="K79" s="41">
        <f t="shared" si="1"/>
        <v>589.20499005729403</v>
      </c>
      <c r="L79" s="6">
        <f t="shared" si="43"/>
        <v>295</v>
      </c>
      <c r="M79" s="41">
        <f t="shared" si="2"/>
        <v>349.0945293291058</v>
      </c>
      <c r="N79" s="41">
        <f t="shared" si="3"/>
        <v>288.55408840026018</v>
      </c>
      <c r="O79" s="41">
        <f t="shared" si="4"/>
        <v>2655433.2193244849</v>
      </c>
      <c r="P79" s="41">
        <f t="shared" si="5"/>
        <v>17049747.198942054</v>
      </c>
      <c r="Q79" s="41">
        <f t="shared" si="6"/>
        <v>2.6908095386357759E-3</v>
      </c>
      <c r="R79" s="41">
        <f t="shared" si="7"/>
        <v>2.1427392233371412E-2</v>
      </c>
      <c r="S79" s="27">
        <v>0</v>
      </c>
      <c r="T79" s="41">
        <f t="shared" ca="1" si="8"/>
        <v>0.25956023544914414</v>
      </c>
      <c r="U79" s="41">
        <f t="shared" ca="1" si="9"/>
        <v>2.568235642677134E-2</v>
      </c>
      <c r="V79" s="41">
        <f t="shared" ca="1" si="10"/>
        <v>10.106558414498835</v>
      </c>
      <c r="W79" s="20">
        <f t="shared" ca="1" si="11"/>
        <v>1704.4722577404405</v>
      </c>
      <c r="X79" s="41">
        <f t="shared" si="12"/>
        <v>0.58247174665452306</v>
      </c>
      <c r="Y79" s="41">
        <f t="shared" ca="1" si="13"/>
        <v>207.14566477121812</v>
      </c>
      <c r="Z79" s="14">
        <f t="shared" ca="1" si="14"/>
        <v>1704.4722577404405</v>
      </c>
      <c r="AA79" s="14">
        <f t="shared" si="15"/>
        <v>4318.772914781468</v>
      </c>
      <c r="AB79" s="25">
        <f t="shared" ca="1" si="16"/>
        <v>1004283.5596748897</v>
      </c>
      <c r="AC79" s="41">
        <f t="shared" si="17"/>
        <v>2544642.5523135257</v>
      </c>
      <c r="AD79" s="5">
        <f t="shared" ca="1" si="18"/>
        <v>39.466586722045506</v>
      </c>
      <c r="AE79" s="7">
        <f t="shared" ca="1" si="19"/>
        <v>1704.4722577404405</v>
      </c>
      <c r="AF79" s="41">
        <f t="shared" ca="1" si="44"/>
        <v>2614.3006570410275</v>
      </c>
      <c r="AG79" s="41">
        <f t="shared" ca="1" si="20"/>
        <v>89.41877601720708</v>
      </c>
      <c r="AH79" s="41">
        <f t="shared" ca="1" si="21"/>
        <v>1356.7412539183858</v>
      </c>
      <c r="AI79" s="13">
        <f t="shared" ca="1" si="22"/>
        <v>0</v>
      </c>
      <c r="AJ79" s="10">
        <f t="shared" ca="1" si="23"/>
        <v>0</v>
      </c>
      <c r="AK79" s="11">
        <f t="shared" ca="1" si="24"/>
        <v>0.31144885871255684</v>
      </c>
      <c r="AL79" s="7">
        <v>0</v>
      </c>
      <c r="AM79" s="41">
        <f t="shared" si="25"/>
        <v>1031.2393055595928</v>
      </c>
      <c r="AN79" s="41">
        <f t="shared" ca="1" si="26"/>
        <v>388.64580792079096</v>
      </c>
      <c r="AO79" s="6">
        <v>100</v>
      </c>
      <c r="AP79" s="67">
        <f t="shared" si="27"/>
        <v>0.79598905042723922</v>
      </c>
      <c r="AQ79" s="11">
        <f t="shared" si="28"/>
        <v>0.98330272071837588</v>
      </c>
      <c r="AR79" s="11">
        <f t="shared" si="29"/>
        <v>0.68770269343653956</v>
      </c>
      <c r="AS79" s="11">
        <f t="shared" si="30"/>
        <v>0.69938044403469313</v>
      </c>
      <c r="AT79" s="11">
        <f t="shared" si="31"/>
        <v>510.00962215499999</v>
      </c>
      <c r="AU79" s="11">
        <f t="shared" si="32"/>
        <v>1455.3301939042735</v>
      </c>
      <c r="AV79" s="11">
        <f t="shared" si="33"/>
        <v>1.6623573774260621E-3</v>
      </c>
      <c r="AW79" s="11">
        <f t="shared" si="34"/>
        <v>3.6885478983619832E-7</v>
      </c>
      <c r="AX79" s="41">
        <f t="shared" ca="1" si="45"/>
        <v>2.3208994577741837</v>
      </c>
      <c r="AY79" s="41">
        <f t="shared" ca="1" si="46"/>
        <v>1.2464089680639137</v>
      </c>
      <c r="AZ79" s="41">
        <f t="shared" si="47"/>
        <v>0.36364466354017672</v>
      </c>
      <c r="BA79" s="41">
        <f t="shared" ca="1" si="37"/>
        <v>19.837375347296859</v>
      </c>
      <c r="BB79" s="41">
        <f t="shared" ca="1" si="38"/>
        <v>5.1489938158374207</v>
      </c>
      <c r="BC79" s="41">
        <f t="shared" ca="1" si="48"/>
        <v>8.7522795869559911</v>
      </c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</row>
    <row r="80" spans="1:67">
      <c r="A80" s="41">
        <f t="shared" si="39"/>
        <v>1014.384357906347</v>
      </c>
      <c r="B80" s="41">
        <f t="shared" si="53"/>
        <v>16.906405965105783</v>
      </c>
      <c r="C80" s="41">
        <f t="shared" si="53"/>
        <v>0.28177343275176303</v>
      </c>
      <c r="D80" s="23">
        <f t="shared" ca="1" si="49"/>
        <v>17226.348438746474</v>
      </c>
      <c r="E80" s="41">
        <f t="shared" si="41"/>
        <v>100</v>
      </c>
      <c r="F80" s="41">
        <f t="shared" si="42"/>
        <v>100</v>
      </c>
      <c r="G80" s="41"/>
      <c r="H80" s="6">
        <f t="shared" si="50"/>
        <v>10000</v>
      </c>
      <c r="I80" s="5">
        <v>15</v>
      </c>
      <c r="J80" s="41">
        <f t="shared" si="0"/>
        <v>0.54105415957290781</v>
      </c>
      <c r="K80" s="41">
        <f t="shared" si="1"/>
        <v>598.99518367280314</v>
      </c>
      <c r="L80" s="6">
        <f t="shared" si="43"/>
        <v>300</v>
      </c>
      <c r="M80" s="41">
        <f t="shared" si="2"/>
        <v>354.89506240319707</v>
      </c>
      <c r="N80" s="41">
        <f t="shared" si="3"/>
        <v>298.2229488404335</v>
      </c>
      <c r="O80" s="41">
        <f t="shared" si="4"/>
        <v>2699555.7332015536</v>
      </c>
      <c r="P80" s="41">
        <f t="shared" si="5"/>
        <v>17333044.742224731</v>
      </c>
      <c r="Q80" s="41">
        <f t="shared" si="6"/>
        <v>2.6816628029054592E-3</v>
      </c>
      <c r="R80" s="41">
        <f t="shared" si="7"/>
        <v>2.1371551411737827E-2</v>
      </c>
      <c r="S80" s="27">
        <v>0</v>
      </c>
      <c r="T80" s="41">
        <f t="shared" ca="1" si="8"/>
        <v>0.25114488142580532</v>
      </c>
      <c r="U80" s="41">
        <f t="shared" ca="1" si="9"/>
        <v>2.5355082890001455E-2</v>
      </c>
      <c r="V80" s="41">
        <f t="shared" ca="1" si="10"/>
        <v>9.9051098556984805</v>
      </c>
      <c r="W80" s="20">
        <f t="shared" ca="1" si="11"/>
        <v>1739.1375451364665</v>
      </c>
      <c r="X80" s="41">
        <f t="shared" si="12"/>
        <v>0.58171227674091419</v>
      </c>
      <c r="Y80" s="41">
        <f t="shared" ca="1" si="13"/>
        <v>207.14566477121807</v>
      </c>
      <c r="Z80" s="14">
        <f t="shared" ca="1" si="14"/>
        <v>1739.1375451364665</v>
      </c>
      <c r="AA80" s="14">
        <f t="shared" si="15"/>
        <v>4318.772914781468</v>
      </c>
      <c r="AB80" s="25">
        <f t="shared" ca="1" si="16"/>
        <v>1041735.0132812858</v>
      </c>
      <c r="AC80" s="41">
        <f t="shared" si="17"/>
        <v>2586924.1753306529</v>
      </c>
      <c r="AD80" s="5">
        <f t="shared" ca="1" si="18"/>
        <v>40.269251925334629</v>
      </c>
      <c r="AE80" s="7">
        <f t="shared" ca="1" si="19"/>
        <v>1739.1375451364668</v>
      </c>
      <c r="AF80" s="41">
        <f t="shared" ca="1" si="44"/>
        <v>2579.6353696450014</v>
      </c>
      <c r="AG80" s="41">
        <f t="shared" ca="1" si="20"/>
        <v>89.69917028810589</v>
      </c>
      <c r="AH80" s="41">
        <f t="shared" ca="1" si="21"/>
        <v>1386.7098912895401</v>
      </c>
      <c r="AI80" s="13">
        <f t="shared" ca="1" si="22"/>
        <v>7.9062453060649807E-15</v>
      </c>
      <c r="AJ80" s="10">
        <f t="shared" ca="1" si="23"/>
        <v>7.5625731254641645E-16</v>
      </c>
      <c r="AK80" s="11">
        <f t="shared" ca="1" si="24"/>
        <v>0.31242548218640276</v>
      </c>
      <c r="AL80" s="7">
        <v>0</v>
      </c>
      <c r="AM80" s="41">
        <f t="shared" si="25"/>
        <v>1014.384357906347</v>
      </c>
      <c r="AN80" s="41">
        <f t="shared" ca="1" si="26"/>
        <v>390.73800629947783</v>
      </c>
      <c r="AO80" s="6">
        <v>100</v>
      </c>
      <c r="AP80" s="67">
        <f t="shared" si="27"/>
        <v>0.79735492754296655</v>
      </c>
      <c r="AQ80" s="11">
        <f t="shared" si="28"/>
        <v>0.98330272071837588</v>
      </c>
      <c r="AR80" s="11">
        <f t="shared" si="29"/>
        <v>0.68770269343653956</v>
      </c>
      <c r="AS80" s="11">
        <f t="shared" si="30"/>
        <v>0.69938044403469313</v>
      </c>
      <c r="AT80" s="11">
        <f t="shared" si="31"/>
        <v>510.00962215499999</v>
      </c>
      <c r="AU80" s="11">
        <f t="shared" si="32"/>
        <v>1455.3301939042735</v>
      </c>
      <c r="AV80" s="11">
        <f t="shared" si="33"/>
        <v>1.6623573774260621E-3</v>
      </c>
      <c r="AW80" s="11">
        <f t="shared" si="34"/>
        <v>3.6885478983619832E-7</v>
      </c>
      <c r="AX80" s="41">
        <f t="shared" ca="1" si="45"/>
        <v>2.3925701405451036</v>
      </c>
      <c r="AY80" s="41">
        <f t="shared" ca="1" si="46"/>
        <v>1.2848987791816298</v>
      </c>
      <c r="AZ80" s="41">
        <f t="shared" si="47"/>
        <v>0.36863395797500054</v>
      </c>
      <c r="BA80" s="41">
        <f t="shared" ca="1" si="37"/>
        <v>19.765014211911698</v>
      </c>
      <c r="BB80" s="41">
        <f t="shared" ca="1" si="38"/>
        <v>4.9638821506299218</v>
      </c>
      <c r="BC80" s="41">
        <f t="shared" ca="1" si="48"/>
        <v>8.5778251350348835</v>
      </c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</row>
    <row r="81" spans="1:67">
      <c r="A81" s="41">
        <f t="shared" si="39"/>
        <v>998.08588593850402</v>
      </c>
      <c r="B81" s="41">
        <f t="shared" si="53"/>
        <v>16.634764765641734</v>
      </c>
      <c r="C81" s="41">
        <f t="shared" si="53"/>
        <v>0.27724607942736224</v>
      </c>
      <c r="D81" s="23">
        <f t="shared" ca="1" si="49"/>
        <v>17226.348438746474</v>
      </c>
      <c r="E81" s="41">
        <f t="shared" si="41"/>
        <v>100</v>
      </c>
      <c r="F81" s="41">
        <f t="shared" si="42"/>
        <v>100</v>
      </c>
      <c r="G81" s="41"/>
      <c r="H81" s="6">
        <f t="shared" si="50"/>
        <v>10000</v>
      </c>
      <c r="I81" s="5">
        <v>15</v>
      </c>
      <c r="J81" s="41">
        <f t="shared" si="0"/>
        <v>0.54988942733605417</v>
      </c>
      <c r="K81" s="41">
        <f t="shared" si="1"/>
        <v>608.77661265352071</v>
      </c>
      <c r="L81" s="6">
        <f t="shared" si="43"/>
        <v>305</v>
      </c>
      <c r="M81" s="41">
        <f t="shared" si="2"/>
        <v>360.69040257140858</v>
      </c>
      <c r="N81" s="41">
        <f t="shared" si="3"/>
        <v>308.04227281748189</v>
      </c>
      <c r="O81" s="41">
        <f t="shared" si="4"/>
        <v>2743638.7465605126</v>
      </c>
      <c r="P81" s="41">
        <f t="shared" si="5"/>
        <v>17616088.664424751</v>
      </c>
      <c r="Q81" s="41">
        <f t="shared" si="6"/>
        <v>2.6726378476330725E-3</v>
      </c>
      <c r="R81" s="41">
        <f t="shared" si="7"/>
        <v>2.1316454059799907E-2</v>
      </c>
      <c r="S81" s="27">
        <v>0</v>
      </c>
      <c r="T81" s="41">
        <f t="shared" ca="1" si="8"/>
        <v>0.24313924981770921</v>
      </c>
      <c r="U81" s="41">
        <f t="shared" ca="1" si="9"/>
        <v>2.505007080463335E-2</v>
      </c>
      <c r="V81" s="41">
        <f t="shared" ca="1" si="10"/>
        <v>9.7061302426633187</v>
      </c>
      <c r="W81" s="20">
        <f t="shared" ca="1" si="11"/>
        <v>1774.7905713265641</v>
      </c>
      <c r="X81" s="41">
        <f t="shared" si="12"/>
        <v>0.5809619453916518</v>
      </c>
      <c r="Y81" s="41">
        <f t="shared" ca="1" si="13"/>
        <v>207.14566477121807</v>
      </c>
      <c r="Z81" s="14">
        <f t="shared" ca="1" si="14"/>
        <v>1774.7905713265641</v>
      </c>
      <c r="AA81" s="14">
        <f t="shared" si="15"/>
        <v>4318.772914781468</v>
      </c>
      <c r="AB81" s="25">
        <f t="shared" ca="1" si="16"/>
        <v>1080450.9921815924</v>
      </c>
      <c r="AC81" s="41">
        <f t="shared" si="17"/>
        <v>2629167.9458804345</v>
      </c>
      <c r="AD81" s="5">
        <f t="shared" ca="1" si="18"/>
        <v>41.094787948960018</v>
      </c>
      <c r="AE81" s="7">
        <f t="shared" ca="1" si="19"/>
        <v>1774.7905713265641</v>
      </c>
      <c r="AF81" s="41">
        <f t="shared" ca="1" si="44"/>
        <v>2543.9823434549039</v>
      </c>
      <c r="AG81" s="41">
        <f t="shared" ca="1" si="20"/>
        <v>89.903960738155078</v>
      </c>
      <c r="AH81" s="41">
        <f t="shared" ca="1" si="21"/>
        <v>1417.5386542767158</v>
      </c>
      <c r="AI81" s="13">
        <f t="shared" ca="1" si="22"/>
        <v>0</v>
      </c>
      <c r="AJ81" s="10">
        <f t="shared" ca="1" si="23"/>
        <v>0</v>
      </c>
      <c r="AK81" s="11">
        <f t="shared" ca="1" si="24"/>
        <v>0.31313877479433083</v>
      </c>
      <c r="AL81" s="7">
        <v>0</v>
      </c>
      <c r="AM81" s="41">
        <f t="shared" si="25"/>
        <v>998.08588593850402</v>
      </c>
      <c r="AN81" s="41">
        <f t="shared" ca="1" si="26"/>
        <v>393.00703433495852</v>
      </c>
      <c r="AO81" s="6">
        <v>100</v>
      </c>
      <c r="AP81" s="67">
        <f t="shared" si="27"/>
        <v>0.79870756424921674</v>
      </c>
      <c r="AQ81" s="11">
        <f t="shared" si="28"/>
        <v>0.98330272071837588</v>
      </c>
      <c r="AR81" s="11">
        <f t="shared" si="29"/>
        <v>0.68770269343653956</v>
      </c>
      <c r="AS81" s="11">
        <f t="shared" si="30"/>
        <v>0.69938044403469313</v>
      </c>
      <c r="AT81" s="11">
        <f t="shared" si="31"/>
        <v>510.00962215499999</v>
      </c>
      <c r="AU81" s="11">
        <f t="shared" si="32"/>
        <v>1455.3301939042735</v>
      </c>
      <c r="AV81" s="11">
        <f t="shared" si="33"/>
        <v>1.6623573774260621E-3</v>
      </c>
      <c r="AW81" s="11">
        <f t="shared" si="34"/>
        <v>3.6885478983619832E-7</v>
      </c>
      <c r="AX81" s="41">
        <f t="shared" ca="1" si="45"/>
        <v>2.4655582514147807</v>
      </c>
      <c r="AY81" s="41">
        <f t="shared" ca="1" si="46"/>
        <v>1.324096097982012</v>
      </c>
      <c r="AZ81" s="41">
        <f t="shared" si="47"/>
        <v>0.37358083065432307</v>
      </c>
      <c r="BA81" s="41">
        <f t="shared" ca="1" si="37"/>
        <v>19.684236687615616</v>
      </c>
      <c r="BB81" s="41">
        <f t="shared" ca="1" si="38"/>
        <v>4.7860105414610912</v>
      </c>
      <c r="BC81" s="41">
        <f t="shared" ca="1" si="48"/>
        <v>8.4055087901464347</v>
      </c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</row>
    <row r="82" spans="1:67">
      <c r="A82" s="41">
        <f t="shared" si="39"/>
        <v>982.31689590524365</v>
      </c>
      <c r="B82" s="41">
        <f t="shared" si="53"/>
        <v>16.371948265087394</v>
      </c>
      <c r="C82" s="41">
        <f t="shared" si="53"/>
        <v>0.27286580441812325</v>
      </c>
      <c r="D82" s="23">
        <f t="shared" ca="1" si="49"/>
        <v>17226.348438746474</v>
      </c>
      <c r="E82" s="41">
        <f t="shared" si="41"/>
        <v>100</v>
      </c>
      <c r="F82" s="41">
        <f t="shared" si="42"/>
        <v>100</v>
      </c>
      <c r="G82" s="41"/>
      <c r="H82" s="6">
        <f t="shared" si="50"/>
        <v>10000</v>
      </c>
      <c r="I82" s="5">
        <v>15</v>
      </c>
      <c r="J82" s="41">
        <f t="shared" si="0"/>
        <v>0.55871672220922908</v>
      </c>
      <c r="K82" s="41">
        <f t="shared" si="1"/>
        <v>618.54921493434449</v>
      </c>
      <c r="L82" s="6">
        <f t="shared" si="43"/>
        <v>310</v>
      </c>
      <c r="M82" s="41">
        <f t="shared" si="2"/>
        <v>366.4805130611602</v>
      </c>
      <c r="N82" s="41">
        <f t="shared" si="3"/>
        <v>318.01156896802075</v>
      </c>
      <c r="O82" s="41">
        <f t="shared" si="4"/>
        <v>2787681.9796859175</v>
      </c>
      <c r="P82" s="41">
        <f t="shared" si="5"/>
        <v>17898877.169572417</v>
      </c>
      <c r="Q82" s="41">
        <f t="shared" si="6"/>
        <v>2.6637298006918007E-3</v>
      </c>
      <c r="R82" s="41">
        <f t="shared" si="7"/>
        <v>2.1262070433223444E-2</v>
      </c>
      <c r="S82" s="27">
        <v>0</v>
      </c>
      <c r="T82" s="41">
        <f t="shared" ca="1" si="8"/>
        <v>0.23551711457552771</v>
      </c>
      <c r="U82" s="41">
        <f t="shared" ca="1" si="9"/>
        <v>2.4765267227536025E-2</v>
      </c>
      <c r="V82" s="41">
        <f t="shared" ca="1" si="10"/>
        <v>9.5099767109987301</v>
      </c>
      <c r="W82" s="20">
        <f t="shared" ca="1" si="11"/>
        <v>1811.3975419964383</v>
      </c>
      <c r="X82" s="41">
        <f t="shared" si="12"/>
        <v>0.58022038221398475</v>
      </c>
      <c r="Y82" s="41">
        <f t="shared" ca="1" si="13"/>
        <v>207.14566477121807</v>
      </c>
      <c r="Z82" s="14">
        <f t="shared" ca="1" si="14"/>
        <v>1811.3975419964383</v>
      </c>
      <c r="AA82" s="14">
        <f t="shared" si="15"/>
        <v>4318.772914781468</v>
      </c>
      <c r="AB82" s="25">
        <f t="shared" ca="1" si="16"/>
        <v>1120438.5275358981</v>
      </c>
      <c r="AC82" s="41">
        <f t="shared" si="17"/>
        <v>2671373.5959177879</v>
      </c>
      <c r="AD82" s="5">
        <f t="shared" ca="1" si="18"/>
        <v>41.942412294861214</v>
      </c>
      <c r="AE82" s="7">
        <f t="shared" ca="1" si="19"/>
        <v>1811.3975419964386</v>
      </c>
      <c r="AF82" s="41">
        <f t="shared" ca="1" si="44"/>
        <v>2507.3753727850299</v>
      </c>
      <c r="AG82" s="41">
        <f t="shared" ca="1" si="20"/>
        <v>90.032723644056745</v>
      </c>
      <c r="AH82" s="41">
        <f t="shared" ca="1" si="21"/>
        <v>1449.2032083896943</v>
      </c>
      <c r="AI82" s="13">
        <f t="shared" ca="1" si="22"/>
        <v>8.1643424862931576E-15</v>
      </c>
      <c r="AJ82" s="10">
        <f t="shared" ca="1" si="23"/>
        <v>7.5625731254641645E-16</v>
      </c>
      <c r="AK82" s="11">
        <f t="shared" ca="1" si="24"/>
        <v>0.31358726069263781</v>
      </c>
      <c r="AL82" s="7">
        <v>0</v>
      </c>
      <c r="AM82" s="41">
        <f t="shared" si="25"/>
        <v>982.31689590524365</v>
      </c>
      <c r="AN82" s="41">
        <f t="shared" ca="1" si="26"/>
        <v>395.43799922257904</v>
      </c>
      <c r="AO82" s="6">
        <v>100</v>
      </c>
      <c r="AP82" s="67">
        <f t="shared" si="27"/>
        <v>0.80004702158999819</v>
      </c>
      <c r="AQ82" s="11">
        <f t="shared" si="28"/>
        <v>0.98330272071837588</v>
      </c>
      <c r="AR82" s="11">
        <f t="shared" si="29"/>
        <v>0.68770269343653956</v>
      </c>
      <c r="AS82" s="11">
        <f t="shared" si="30"/>
        <v>0.69938044403469313</v>
      </c>
      <c r="AT82" s="11">
        <f t="shared" si="31"/>
        <v>510.00962215499999</v>
      </c>
      <c r="AU82" s="11">
        <f t="shared" si="32"/>
        <v>1455.3301939042735</v>
      </c>
      <c r="AV82" s="11">
        <f t="shared" si="33"/>
        <v>1.6623573774260621E-3</v>
      </c>
      <c r="AW82" s="11">
        <f t="shared" si="34"/>
        <v>3.6885478983619832E-7</v>
      </c>
      <c r="AX82" s="41">
        <f t="shared" ca="1" si="45"/>
        <v>2.5398493320974693</v>
      </c>
      <c r="AY82" s="41">
        <f t="shared" ca="1" si="46"/>
        <v>1.3639931598301225</v>
      </c>
      <c r="AZ82" s="41">
        <f t="shared" si="47"/>
        <v>0.3784853525332913</v>
      </c>
      <c r="BA82" s="41">
        <f t="shared" ca="1" si="37"/>
        <v>19.59603549400552</v>
      </c>
      <c r="BB82" s="41">
        <f t="shared" ca="1" si="38"/>
        <v>4.6152017366678058</v>
      </c>
      <c r="BC82" s="41">
        <f t="shared" ca="1" si="48"/>
        <v>8.2356398317248996</v>
      </c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</row>
    <row r="83" spans="1:67">
      <c r="A83" s="41">
        <f t="shared" si="39"/>
        <v>967.05210776166905</v>
      </c>
      <c r="B83" s="41">
        <f t="shared" si="53"/>
        <v>16.117535129361151</v>
      </c>
      <c r="C83" s="41">
        <f t="shared" si="53"/>
        <v>0.2686255854893525</v>
      </c>
      <c r="D83" s="23">
        <f t="shared" ca="1" si="49"/>
        <v>17226.348438746474</v>
      </c>
      <c r="E83" s="41">
        <f t="shared" si="41"/>
        <v>100</v>
      </c>
      <c r="F83" s="41">
        <f t="shared" si="42"/>
        <v>100</v>
      </c>
      <c r="G83" s="41"/>
      <c r="H83" s="6">
        <f t="shared" si="50"/>
        <v>10000</v>
      </c>
      <c r="I83" s="5">
        <v>15</v>
      </c>
      <c r="J83" s="41">
        <f t="shared" si="0"/>
        <v>0.56753599092116735</v>
      </c>
      <c r="K83" s="41">
        <f t="shared" si="1"/>
        <v>628.31293153923536</v>
      </c>
      <c r="L83" s="6">
        <f t="shared" si="43"/>
        <v>315</v>
      </c>
      <c r="M83" s="41">
        <f t="shared" si="2"/>
        <v>372.2653589300923</v>
      </c>
      <c r="N83" s="41">
        <f t="shared" si="3"/>
        <v>328.13034550873442</v>
      </c>
      <c r="O83" s="41">
        <f t="shared" si="4"/>
        <v>2831685.1667841398</v>
      </c>
      <c r="P83" s="41">
        <f t="shared" si="5"/>
        <v>18181408.551085863</v>
      </c>
      <c r="Q83" s="41">
        <f t="shared" si="6"/>
        <v>2.6549340562111059E-3</v>
      </c>
      <c r="R83" s="41">
        <f t="shared" si="7"/>
        <v>2.1208372413168801E-2</v>
      </c>
      <c r="S83" s="27">
        <v>0</v>
      </c>
      <c r="T83" s="41">
        <f t="shared" ca="1" si="8"/>
        <v>0.22825431463482551</v>
      </c>
      <c r="U83" s="41">
        <f t="shared" ca="1" si="9"/>
        <v>2.449883973532193E-2</v>
      </c>
      <c r="V83" s="41">
        <f t="shared" ca="1" si="10"/>
        <v>9.3169438675796989</v>
      </c>
      <c r="W83" s="20">
        <f t="shared" ca="1" si="11"/>
        <v>1848.9269317902883</v>
      </c>
      <c r="X83" s="41">
        <f t="shared" si="12"/>
        <v>0.57948723671686675</v>
      </c>
      <c r="Y83" s="41">
        <f t="shared" ca="1" si="13"/>
        <v>207.14566477121807</v>
      </c>
      <c r="Z83" s="14">
        <f t="shared" ca="1" si="14"/>
        <v>1848.9269317902883</v>
      </c>
      <c r="AA83" s="14">
        <f t="shared" si="15"/>
        <v>4318.772914781468</v>
      </c>
      <c r="AB83" s="25">
        <f t="shared" ca="1" si="16"/>
        <v>1161704.700715</v>
      </c>
      <c r="AC83" s="41">
        <f t="shared" si="17"/>
        <v>2713540.8707385925</v>
      </c>
      <c r="AD83" s="5">
        <f t="shared" ca="1" si="18"/>
        <v>42.811395002088112</v>
      </c>
      <c r="AE83" s="7">
        <f t="shared" ca="1" si="19"/>
        <v>1848.9269317902883</v>
      </c>
      <c r="AF83" s="41">
        <f t="shared" ca="1" si="44"/>
        <v>2469.8459829911799</v>
      </c>
      <c r="AG83" s="41">
        <f t="shared" ca="1" si="20"/>
        <v>90.085033142201809</v>
      </c>
      <c r="AH83" s="41">
        <f t="shared" ca="1" si="21"/>
        <v>1481.68078923096</v>
      </c>
      <c r="AI83" s="13">
        <f t="shared" ca="1" si="22"/>
        <v>0</v>
      </c>
      <c r="AJ83" s="10">
        <f t="shared" ca="1" si="23"/>
        <v>0</v>
      </c>
      <c r="AK83" s="11">
        <f t="shared" ca="1" si="24"/>
        <v>0.31376945658283845</v>
      </c>
      <c r="AL83" s="7">
        <v>0</v>
      </c>
      <c r="AM83" s="41">
        <f t="shared" si="25"/>
        <v>967.05210776166905</v>
      </c>
      <c r="AN83" s="41">
        <f t="shared" ca="1" si="26"/>
        <v>398.01736951549253</v>
      </c>
      <c r="AO83" s="6">
        <v>100</v>
      </c>
      <c r="AP83" s="67">
        <f t="shared" si="27"/>
        <v>0.80137336081543831</v>
      </c>
      <c r="AQ83" s="11">
        <f t="shared" si="28"/>
        <v>0.98330272071837588</v>
      </c>
      <c r="AR83" s="11">
        <f t="shared" si="29"/>
        <v>0.68770269343653956</v>
      </c>
      <c r="AS83" s="11">
        <f t="shared" si="30"/>
        <v>0.69938044403469313</v>
      </c>
      <c r="AT83" s="11">
        <f t="shared" si="31"/>
        <v>510.00962215499999</v>
      </c>
      <c r="AU83" s="11">
        <f t="shared" si="32"/>
        <v>1455.3301939042735</v>
      </c>
      <c r="AV83" s="11">
        <f t="shared" si="33"/>
        <v>1.6623573774260621E-3</v>
      </c>
      <c r="AW83" s="11">
        <f t="shared" si="34"/>
        <v>3.6885478983619832E-7</v>
      </c>
      <c r="AX83" s="41">
        <f t="shared" ca="1" si="45"/>
        <v>2.6154298518019221</v>
      </c>
      <c r="AY83" s="41">
        <f t="shared" ca="1" si="46"/>
        <v>1.4045826981899212</v>
      </c>
      <c r="AZ83" s="41">
        <f t="shared" si="47"/>
        <v>0.3833475969691813</v>
      </c>
      <c r="BA83" s="41">
        <f t="shared" ca="1" si="37"/>
        <v>19.501318760116412</v>
      </c>
      <c r="BB83" s="41">
        <f t="shared" ca="1" si="38"/>
        <v>4.4512601480656366</v>
      </c>
      <c r="BC83" s="41">
        <f t="shared" ca="1" si="48"/>
        <v>8.0684733893240193</v>
      </c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</row>
    <row r="84" spans="1:67">
      <c r="A84" s="41">
        <f t="shared" si="39"/>
        <v>952.26782131469895</v>
      </c>
      <c r="B84" s="41">
        <f t="shared" si="53"/>
        <v>15.871130355244983</v>
      </c>
      <c r="C84" s="41">
        <f t="shared" si="53"/>
        <v>0.26451883925408304</v>
      </c>
      <c r="D84" s="23">
        <f t="shared" ca="1" si="49"/>
        <v>17226.348438746474</v>
      </c>
      <c r="E84" s="41">
        <f t="shared" si="41"/>
        <v>100</v>
      </c>
      <c r="F84" s="41">
        <f t="shared" si="42"/>
        <v>100</v>
      </c>
      <c r="G84" s="41"/>
      <c r="H84" s="6">
        <f t="shared" si="50"/>
        <v>10000</v>
      </c>
      <c r="I84" s="5">
        <v>15</v>
      </c>
      <c r="J84" s="41">
        <f t="shared" si="0"/>
        <v>0.57634718297337728</v>
      </c>
      <c r="K84" s="41">
        <f t="shared" si="1"/>
        <v>638.06770656186166</v>
      </c>
      <c r="L84" s="6">
        <f t="shared" si="43"/>
        <v>320</v>
      </c>
      <c r="M84" s="41">
        <f t="shared" si="2"/>
        <v>378.04490705459807</v>
      </c>
      <c r="N84" s="41">
        <f t="shared" si="3"/>
        <v>338.39811047544424</v>
      </c>
      <c r="O84" s="41">
        <f t="shared" si="4"/>
        <v>2875648.0558961281</v>
      </c>
      <c r="P84" s="41">
        <f t="shared" si="5"/>
        <v>18463681.191210926</v>
      </c>
      <c r="Q84" s="41">
        <f t="shared" si="6"/>
        <v>2.6462462567131062E-3</v>
      </c>
      <c r="R84" s="41">
        <f t="shared" si="7"/>
        <v>2.1155333397233512E-2</v>
      </c>
      <c r="S84" s="27">
        <v>0</v>
      </c>
      <c r="T84" s="41">
        <f t="shared" ca="1" si="8"/>
        <v>0.22132856185206023</v>
      </c>
      <c r="U84" s="41">
        <f t="shared" ca="1" si="9"/>
        <v>2.4249149638556747E-2</v>
      </c>
      <c r="V84" s="41">
        <f t="shared" ca="1" si="10"/>
        <v>9.1272710652146891</v>
      </c>
      <c r="W84" s="20">
        <f t="shared" ca="1" si="11"/>
        <v>1887.3492762144981</v>
      </c>
      <c r="X84" s="41">
        <f t="shared" si="12"/>
        <v>0.57876217699877175</v>
      </c>
      <c r="Y84" s="41">
        <f t="shared" ca="1" si="13"/>
        <v>207.14566477121807</v>
      </c>
      <c r="Z84" s="14">
        <f t="shared" ca="1" si="14"/>
        <v>1887.3492762144981</v>
      </c>
      <c r="AA84" s="14">
        <f t="shared" si="15"/>
        <v>4318.772914781468</v>
      </c>
      <c r="AB84" s="25">
        <f t="shared" ca="1" si="16"/>
        <v>1204256.6241553742</v>
      </c>
      <c r="AC84" s="41">
        <f t="shared" si="17"/>
        <v>2755669.5288960976</v>
      </c>
      <c r="AD84" s="5">
        <f t="shared" ca="1" si="18"/>
        <v>43.701053828388169</v>
      </c>
      <c r="AE84" s="7">
        <f t="shared" ca="1" si="19"/>
        <v>1887.3492762144981</v>
      </c>
      <c r="AF84" s="41">
        <f t="shared" ca="1" si="44"/>
        <v>2431.4236385669701</v>
      </c>
      <c r="AG84" s="41">
        <f t="shared" ca="1" si="20"/>
        <v>90.060462335197982</v>
      </c>
      <c r="AH84" s="41">
        <f t="shared" ca="1" si="21"/>
        <v>1514.9500553734485</v>
      </c>
      <c r="AI84" s="13">
        <f t="shared" ca="1" si="22"/>
        <v>0</v>
      </c>
      <c r="AJ84" s="10">
        <f t="shared" ca="1" si="23"/>
        <v>0</v>
      </c>
      <c r="AK84" s="11">
        <f t="shared" ca="1" si="24"/>
        <v>0.3136838755657429</v>
      </c>
      <c r="AL84" s="7">
        <v>0</v>
      </c>
      <c r="AM84" s="41">
        <f t="shared" si="25"/>
        <v>952.26782131469895</v>
      </c>
      <c r="AN84" s="41">
        <f t="shared" ca="1" si="26"/>
        <v>400.73283017529343</v>
      </c>
      <c r="AO84" s="6">
        <v>100</v>
      </c>
      <c r="AP84" s="67">
        <f t="shared" si="27"/>
        <v>0.8026866433604809</v>
      </c>
      <c r="AQ84" s="11">
        <f t="shared" si="28"/>
        <v>0.98330272071837588</v>
      </c>
      <c r="AR84" s="11">
        <f t="shared" si="29"/>
        <v>0.68770269343653956</v>
      </c>
      <c r="AS84" s="11">
        <f t="shared" si="30"/>
        <v>0.69938044403469313</v>
      </c>
      <c r="AT84" s="11">
        <f t="shared" si="31"/>
        <v>510.00962215499999</v>
      </c>
      <c r="AU84" s="11">
        <f t="shared" si="32"/>
        <v>1455.3301939042735</v>
      </c>
      <c r="AV84" s="11">
        <f t="shared" si="33"/>
        <v>1.6623573774260621E-3</v>
      </c>
      <c r="AW84" s="11">
        <f t="shared" si="34"/>
        <v>3.6885478983619832E-7</v>
      </c>
      <c r="AX84" s="41">
        <f t="shared" ca="1" si="45"/>
        <v>2.6922871101568391</v>
      </c>
      <c r="AY84" s="41">
        <f t="shared" ca="1" si="46"/>
        <v>1.4458578924916359</v>
      </c>
      <c r="AZ84" s="41">
        <f t="shared" si="47"/>
        <v>0.38816763964994877</v>
      </c>
      <c r="BA84" s="41">
        <f t="shared" ca="1" si="37"/>
        <v>19.400915205795162</v>
      </c>
      <c r="BB84" s="41">
        <f t="shared" ca="1" si="38"/>
        <v>4.2939766611124099</v>
      </c>
      <c r="BC84" s="41">
        <f t="shared" ca="1" si="48"/>
        <v>7.9042167424759207</v>
      </c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</row>
    <row r="85" spans="1:67">
      <c r="A85" s="41">
        <f t="shared" si="39"/>
        <v>937.94179472433166</v>
      </c>
      <c r="B85" s="41">
        <f t="shared" si="53"/>
        <v>15.632363245405527</v>
      </c>
      <c r="C85" s="41">
        <f t="shared" si="53"/>
        <v>0.26053938742342547</v>
      </c>
      <c r="D85" s="23">
        <f t="shared" ca="1" si="49"/>
        <v>17226.348438746474</v>
      </c>
      <c r="E85" s="41">
        <f t="shared" si="41"/>
        <v>100</v>
      </c>
      <c r="F85" s="41">
        <f t="shared" si="42"/>
        <v>100</v>
      </c>
      <c r="G85" s="41"/>
      <c r="H85" s="6">
        <f t="shared" si="50"/>
        <v>10000</v>
      </c>
      <c r="I85" s="5">
        <v>15</v>
      </c>
      <c r="J85" s="41">
        <f t="shared" si="0"/>
        <v>0.58515025062107373</v>
      </c>
      <c r="K85" s="41">
        <f t="shared" si="1"/>
        <v>647.81348714449007</v>
      </c>
      <c r="L85" s="6">
        <f t="shared" si="43"/>
        <v>325</v>
      </c>
      <c r="M85" s="41">
        <f t="shared" si="2"/>
        <v>383.81912611731605</v>
      </c>
      <c r="N85" s="41">
        <f t="shared" si="3"/>
        <v>348.81437195777784</v>
      </c>
      <c r="O85" s="41">
        <f t="shared" si="4"/>
        <v>2919570.4088022741</v>
      </c>
      <c r="P85" s="41">
        <f t="shared" si="5"/>
        <v>18745693.560410336</v>
      </c>
      <c r="Q85" s="41">
        <f t="shared" si="6"/>
        <v>2.6376622766936249E-3</v>
      </c>
      <c r="R85" s="41">
        <f t="shared" si="7"/>
        <v>2.1102928199214579E-2</v>
      </c>
      <c r="S85" s="27">
        <v>0</v>
      </c>
      <c r="T85" s="41">
        <f t="shared" ca="1" si="8"/>
        <v>0.21471926946304432</v>
      </c>
      <c r="U85" s="41">
        <f t="shared" ca="1" si="9"/>
        <v>2.4014728809029419E-2</v>
      </c>
      <c r="V85" s="41">
        <f t="shared" ca="1" si="10"/>
        <v>8.941149041096434</v>
      </c>
      <c r="W85" s="20">
        <f t="shared" ca="1" si="11"/>
        <v>1926.6369858693288</v>
      </c>
      <c r="X85" s="41">
        <f t="shared" si="12"/>
        <v>0.57804488854017422</v>
      </c>
      <c r="Y85" s="41">
        <f t="shared" ca="1" si="13"/>
        <v>207.14566477121807</v>
      </c>
      <c r="Z85" s="14">
        <f t="shared" ca="1" si="14"/>
        <v>1926.6369858693288</v>
      </c>
      <c r="AA85" s="14">
        <f t="shared" si="15"/>
        <v>4318.772914781468</v>
      </c>
      <c r="AB85" s="25">
        <f t="shared" ca="1" si="16"/>
        <v>1248101.4242775596</v>
      </c>
      <c r="AC85" s="41">
        <f t="shared" si="17"/>
        <v>2797759.3421097565</v>
      </c>
      <c r="AD85" s="5">
        <f t="shared" ca="1" si="18"/>
        <v>44.610749948792282</v>
      </c>
      <c r="AE85" s="7">
        <f t="shared" ca="1" si="19"/>
        <v>1926.6369858693288</v>
      </c>
      <c r="AF85" s="41">
        <f t="shared" ca="1" si="44"/>
        <v>2392.1359289121392</v>
      </c>
      <c r="AG85" s="41">
        <f t="shared" ca="1" si="20"/>
        <v>89.958584278175806</v>
      </c>
      <c r="AH85" s="41">
        <f t="shared" ca="1" si="21"/>
        <v>1548.990957080603</v>
      </c>
      <c r="AI85" s="13">
        <f t="shared" ca="1" si="22"/>
        <v>0</v>
      </c>
      <c r="AJ85" s="10">
        <f t="shared" ca="1" si="23"/>
        <v>0</v>
      </c>
      <c r="AK85" s="11">
        <f t="shared" ca="1" si="24"/>
        <v>0.31332903057679673</v>
      </c>
      <c r="AL85" s="7">
        <v>0</v>
      </c>
      <c r="AM85" s="41">
        <f t="shared" si="25"/>
        <v>937.94179472433166</v>
      </c>
      <c r="AN85" s="41">
        <f t="shared" ca="1" si="26"/>
        <v>403.57315508220586</v>
      </c>
      <c r="AO85" s="6">
        <v>100</v>
      </c>
      <c r="AP85" s="67">
        <f t="shared" si="27"/>
        <v>0.80398693082375039</v>
      </c>
      <c r="AQ85" s="11">
        <f t="shared" si="28"/>
        <v>0.98330272071837588</v>
      </c>
      <c r="AR85" s="11">
        <f t="shared" si="29"/>
        <v>0.68770269343653956</v>
      </c>
      <c r="AS85" s="11">
        <f t="shared" si="30"/>
        <v>0.69938044403469313</v>
      </c>
      <c r="AT85" s="11">
        <f t="shared" si="31"/>
        <v>510.00962215499999</v>
      </c>
      <c r="AU85" s="11">
        <f t="shared" si="32"/>
        <v>1455.3301939042735</v>
      </c>
      <c r="AV85" s="11">
        <f t="shared" si="33"/>
        <v>1.6623573774260621E-3</v>
      </c>
      <c r="AW85" s="11">
        <f t="shared" si="34"/>
        <v>3.6885478983619832E-7</v>
      </c>
      <c r="AX85" s="41">
        <f t="shared" ca="1" si="45"/>
        <v>2.7704091525092829</v>
      </c>
      <c r="AY85" s="41">
        <f t="shared" ca="1" si="46"/>
        <v>1.4878123226438742</v>
      </c>
      <c r="AZ85" s="41">
        <f t="shared" si="47"/>
        <v>0.39294555852252283</v>
      </c>
      <c r="BA85" s="41">
        <f t="shared" ca="1" si="37"/>
        <v>19.295579394416031</v>
      </c>
      <c r="BB85" s="41">
        <f t="shared" ca="1" si="38"/>
        <v>4.1431327114351824</v>
      </c>
      <c r="BC85" s="41">
        <f t="shared" ca="1" si="48"/>
        <v>7.7430350695895118</v>
      </c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</row>
    <row r="86" spans="1:67">
      <c r="A86" s="41">
        <f t="shared" si="39"/>
        <v>924.05313404977278</v>
      </c>
      <c r="B86" s="41">
        <f t="shared" si="53"/>
        <v>15.400885567496212</v>
      </c>
      <c r="C86" s="41">
        <f t="shared" si="53"/>
        <v>0.25668142612493688</v>
      </c>
      <c r="D86" s="23">
        <f t="shared" ca="1" si="49"/>
        <v>17226.348438746474</v>
      </c>
      <c r="E86" s="41">
        <f t="shared" si="41"/>
        <v>100</v>
      </c>
      <c r="F86" s="41">
        <f t="shared" si="42"/>
        <v>100</v>
      </c>
      <c r="G86" s="41"/>
      <c r="H86" s="6">
        <f t="shared" si="50"/>
        <v>10000</v>
      </c>
      <c r="I86" s="5">
        <v>15</v>
      </c>
      <c r="J86" s="41">
        <f t="shared" si="0"/>
        <v>0.59394514885261995</v>
      </c>
      <c r="K86" s="41">
        <f t="shared" si="1"/>
        <v>657.55022345522673</v>
      </c>
      <c r="L86" s="6">
        <f t="shared" si="43"/>
        <v>330</v>
      </c>
      <c r="M86" s="41">
        <f t="shared" si="2"/>
        <v>389.58798659364658</v>
      </c>
      <c r="N86" s="41">
        <f t="shared" si="3"/>
        <v>359.37863832934937</v>
      </c>
      <c r="O86" s="41">
        <f t="shared" si="4"/>
        <v>2963452.0009198473</v>
      </c>
      <c r="P86" s="41">
        <f t="shared" si="5"/>
        <v>19027444.216705143</v>
      </c>
      <c r="Q86" s="41">
        <f t="shared" si="6"/>
        <v>2.6291782075106578E-3</v>
      </c>
      <c r="R86" s="41">
        <f t="shared" si="7"/>
        <v>2.1051132956852563E-2</v>
      </c>
      <c r="S86" s="27">
        <v>0</v>
      </c>
      <c r="T86" s="41">
        <f t="shared" ca="1" si="8"/>
        <v>0.20840739859542187</v>
      </c>
      <c r="U86" s="41">
        <f t="shared" ca="1" si="9"/>
        <v>2.3794259586043618E-2</v>
      </c>
      <c r="V86" s="41">
        <f t="shared" ca="1" si="10"/>
        <v>8.7587259373122919</v>
      </c>
      <c r="W86" s="20">
        <f t="shared" ca="1" si="11"/>
        <v>1966.7641803201075</v>
      </c>
      <c r="X86" s="41">
        <f t="shared" si="12"/>
        <v>0.57733507309086074</v>
      </c>
      <c r="Y86" s="41">
        <f t="shared" ca="1" si="13"/>
        <v>207.14566477121807</v>
      </c>
      <c r="Z86" s="14">
        <f t="shared" ca="1" si="14"/>
        <v>1966.7641803201075</v>
      </c>
      <c r="AA86" s="14">
        <f t="shared" si="15"/>
        <v>4318.772914781468</v>
      </c>
      <c r="AB86" s="25">
        <f t="shared" ca="1" si="16"/>
        <v>1293246.2262532224</v>
      </c>
      <c r="AC86" s="41">
        <f t="shared" si="17"/>
        <v>2839810.0951669351</v>
      </c>
      <c r="AD86" s="5">
        <f t="shared" ca="1" si="18"/>
        <v>45.539884108947795</v>
      </c>
      <c r="AE86" s="7">
        <f t="shared" ca="1" si="19"/>
        <v>1966.7641803201075</v>
      </c>
      <c r="AF86" s="41">
        <f t="shared" ca="1" si="44"/>
        <v>2352.0087344613603</v>
      </c>
      <c r="AG86" s="41">
        <f t="shared" ca="1" si="20"/>
        <v>89.778972857363897</v>
      </c>
      <c r="AH86" s="41">
        <f t="shared" ca="1" si="21"/>
        <v>1583.7846189658567</v>
      </c>
      <c r="AI86" s="13">
        <f t="shared" ca="1" si="22"/>
        <v>0</v>
      </c>
      <c r="AJ86" s="10">
        <f t="shared" ca="1" si="23"/>
        <v>0</v>
      </c>
      <c r="AK86" s="11">
        <f t="shared" ca="1" si="24"/>
        <v>0.31270343744619017</v>
      </c>
      <c r="AL86" s="7">
        <v>0</v>
      </c>
      <c r="AM86" s="41">
        <f t="shared" si="25"/>
        <v>924.05313404977278</v>
      </c>
      <c r="AN86" s="41">
        <f t="shared" ca="1" si="26"/>
        <v>406.52809467089588</v>
      </c>
      <c r="AO86" s="6">
        <v>100</v>
      </c>
      <c r="AP86" s="67">
        <f t="shared" si="27"/>
        <v>0.80527428494659814</v>
      </c>
      <c r="AQ86" s="11">
        <f t="shared" si="28"/>
        <v>0.98330272071837588</v>
      </c>
      <c r="AR86" s="11">
        <f t="shared" si="29"/>
        <v>0.68770269343653956</v>
      </c>
      <c r="AS86" s="11">
        <f t="shared" si="30"/>
        <v>0.69938044403469313</v>
      </c>
      <c r="AT86" s="11">
        <f t="shared" si="31"/>
        <v>510.00962215499999</v>
      </c>
      <c r="AU86" s="11">
        <f t="shared" si="32"/>
        <v>1455.3301939042735</v>
      </c>
      <c r="AV86" s="11">
        <f t="shared" si="33"/>
        <v>1.6623573774260621E-3</v>
      </c>
      <c r="AW86" s="11">
        <f t="shared" si="34"/>
        <v>3.6885478983619832E-7</v>
      </c>
      <c r="AX86" s="41">
        <f t="shared" ca="1" si="45"/>
        <v>2.8497846958059529</v>
      </c>
      <c r="AY86" s="41">
        <f t="shared" ca="1" si="46"/>
        <v>1.5304399292291231</v>
      </c>
      <c r="AZ86" s="41">
        <f t="shared" si="47"/>
        <v>0.39768143372094011</v>
      </c>
      <c r="BA86" s="41">
        <f t="shared" ca="1" si="37"/>
        <v>19.185996948404419</v>
      </c>
      <c r="BB86" s="41">
        <f t="shared" ca="1" si="38"/>
        <v>3.9985037134766688</v>
      </c>
      <c r="BC86" s="41">
        <f t="shared" ca="1" si="48"/>
        <v>7.5850566617124446</v>
      </c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</row>
    <row r="87" spans="1:67">
      <c r="A87" s="41">
        <f t="shared" si="39"/>
        <v>910.58219268653306</v>
      </c>
      <c r="B87" s="41">
        <f t="shared" si="53"/>
        <v>15.176369878108884</v>
      </c>
      <c r="C87" s="41">
        <f t="shared" si="53"/>
        <v>0.25293949796848142</v>
      </c>
      <c r="D87" s="23">
        <f t="shared" ca="1" si="49"/>
        <v>17226.348438746474</v>
      </c>
      <c r="E87" s="41">
        <f t="shared" si="41"/>
        <v>100</v>
      </c>
      <c r="F87" s="41">
        <f t="shared" si="42"/>
        <v>100</v>
      </c>
      <c r="G87" s="41"/>
      <c r="H87" s="6">
        <f t="shared" si="50"/>
        <v>10000</v>
      </c>
      <c r="I87" s="5">
        <v>15</v>
      </c>
      <c r="J87" s="41">
        <f t="shared" si="0"/>
        <v>0.60273183536750619</v>
      </c>
      <c r="K87" s="41">
        <f t="shared" si="1"/>
        <v>667.2778686636367</v>
      </c>
      <c r="L87" s="6">
        <f t="shared" si="43"/>
        <v>335</v>
      </c>
      <c r="M87" s="41">
        <f t="shared" si="2"/>
        <v>395.35146073730613</v>
      </c>
      <c r="N87" s="41">
        <f t="shared" si="3"/>
        <v>370.0904184732936</v>
      </c>
      <c r="O87" s="41">
        <f t="shared" si="4"/>
        <v>3007292.6211931119</v>
      </c>
      <c r="P87" s="41">
        <f t="shared" si="5"/>
        <v>19308931.804969225</v>
      </c>
      <c r="Q87" s="41">
        <f t="shared" si="6"/>
        <v>2.6207903434578811E-3</v>
      </c>
      <c r="R87" s="41">
        <f t="shared" si="7"/>
        <v>2.0999925046810364E-2</v>
      </c>
      <c r="S87" s="27">
        <v>0</v>
      </c>
      <c r="T87" s="41">
        <f t="shared" ca="1" si="8"/>
        <v>0.20237532069582445</v>
      </c>
      <c r="U87" s="41">
        <f t="shared" ca="1" si="9"/>
        <v>2.3586557313299325E-2</v>
      </c>
      <c r="V87" s="41">
        <f t="shared" ca="1" si="10"/>
        <v>8.5801127314885726</v>
      </c>
      <c r="W87" s="20">
        <f t="shared" ca="1" si="11"/>
        <v>2007.7065392773522</v>
      </c>
      <c r="X87" s="41">
        <f t="shared" si="12"/>
        <v>0.57663244764329591</v>
      </c>
      <c r="Y87" s="41">
        <f t="shared" ca="1" si="13"/>
        <v>207.14566477121807</v>
      </c>
      <c r="Z87" s="14">
        <f t="shared" ca="1" si="14"/>
        <v>2007.7065392773522</v>
      </c>
      <c r="AA87" s="14">
        <f t="shared" si="15"/>
        <v>4318.772914781468</v>
      </c>
      <c r="AB87" s="25">
        <f t="shared" ca="1" si="16"/>
        <v>1339698.1404310376</v>
      </c>
      <c r="AC87" s="41">
        <f t="shared" si="17"/>
        <v>2881821.5858176197</v>
      </c>
      <c r="AD87" s="5">
        <f t="shared" ca="1" si="18"/>
        <v>46.487893179235222</v>
      </c>
      <c r="AE87" s="7">
        <f t="shared" ca="1" si="19"/>
        <v>2007.7065392773522</v>
      </c>
      <c r="AF87" s="41">
        <f t="shared" ca="1" si="44"/>
        <v>2311.066375504116</v>
      </c>
      <c r="AG87" s="41">
        <f t="shared" ca="1" si="20"/>
        <v>89.521203571962531</v>
      </c>
      <c r="AH87" s="41">
        <f t="shared" ca="1" si="21"/>
        <v>1619.3132349412463</v>
      </c>
      <c r="AI87" s="13">
        <f t="shared" ca="1" si="22"/>
        <v>0</v>
      </c>
      <c r="AJ87" s="10">
        <f t="shared" ca="1" si="23"/>
        <v>0</v>
      </c>
      <c r="AK87" s="11">
        <f t="shared" ca="1" si="24"/>
        <v>0.31180561762215281</v>
      </c>
      <c r="AL87" s="7">
        <v>0</v>
      </c>
      <c r="AM87" s="41">
        <f t="shared" si="25"/>
        <v>910.58219268653306</v>
      </c>
      <c r="AN87" s="41">
        <f t="shared" ca="1" si="26"/>
        <v>409.58827669975642</v>
      </c>
      <c r="AO87" s="6">
        <v>100</v>
      </c>
      <c r="AP87" s="67">
        <f t="shared" si="27"/>
        <v>0.80654876759234784</v>
      </c>
      <c r="AQ87" s="11">
        <f t="shared" si="28"/>
        <v>0.98330272071837588</v>
      </c>
      <c r="AR87" s="11">
        <f t="shared" si="29"/>
        <v>0.68770269343653956</v>
      </c>
      <c r="AS87" s="11">
        <f t="shared" si="30"/>
        <v>0.69938044403469313</v>
      </c>
      <c r="AT87" s="11">
        <f t="shared" si="31"/>
        <v>510.00962215499999</v>
      </c>
      <c r="AU87" s="11">
        <f t="shared" si="32"/>
        <v>1455.3301939042735</v>
      </c>
      <c r="AV87" s="11">
        <f t="shared" si="33"/>
        <v>1.6623573774260621E-3</v>
      </c>
      <c r="AW87" s="11">
        <f t="shared" si="34"/>
        <v>3.6885478983619832E-7</v>
      </c>
      <c r="AX87" s="41">
        <f t="shared" ca="1" si="45"/>
        <v>2.9304030635570926</v>
      </c>
      <c r="AY87" s="41">
        <f t="shared" ca="1" si="46"/>
        <v>1.5737349785769572</v>
      </c>
      <c r="AZ87" s="41">
        <f t="shared" si="47"/>
        <v>0.40237534749438031</v>
      </c>
      <c r="BA87" s="41">
        <f t="shared" ca="1" si="37"/>
        <v>19.072789645988273</v>
      </c>
      <c r="BB87" s="41">
        <f t="shared" ca="1" si="38"/>
        <v>3.8598619211708769</v>
      </c>
      <c r="BC87" s="41">
        <f t="shared" ca="1" si="48"/>
        <v>7.4303776254691041</v>
      </c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</row>
    <row r="88" spans="1:67">
      <c r="A88" s="41">
        <f t="shared" si="39"/>
        <v>897.51047967626948</v>
      </c>
      <c r="B88" s="41">
        <f t="shared" si="53"/>
        <v>14.958507994604492</v>
      </c>
      <c r="C88" s="41">
        <f t="shared" si="53"/>
        <v>0.24930846657674152</v>
      </c>
      <c r="D88" s="23">
        <f t="shared" ca="1" si="49"/>
        <v>17226.348438746474</v>
      </c>
      <c r="E88" s="41">
        <f t="shared" si="41"/>
        <v>100</v>
      </c>
      <c r="F88" s="41">
        <f t="shared" si="42"/>
        <v>100</v>
      </c>
      <c r="G88" s="41"/>
      <c r="H88" s="6">
        <f t="shared" si="50"/>
        <v>10000</v>
      </c>
      <c r="I88" s="5">
        <v>15</v>
      </c>
      <c r="J88" s="41">
        <f t="shared" si="0"/>
        <v>0.61151027055292639</v>
      </c>
      <c r="K88" s="41">
        <f t="shared" si="1"/>
        <v>676.99637891481234</v>
      </c>
      <c r="L88" s="6">
        <f t="shared" si="43"/>
        <v>340</v>
      </c>
      <c r="M88" s="41">
        <f t="shared" si="2"/>
        <v>401.1095225649637</v>
      </c>
      <c r="N88" s="41">
        <f t="shared" si="3"/>
        <v>380.94922200304683</v>
      </c>
      <c r="O88" s="41">
        <f t="shared" si="4"/>
        <v>3051092.0719764601</v>
      </c>
      <c r="P88" s="41">
        <f t="shared" si="5"/>
        <v>19590155.056178894</v>
      </c>
      <c r="Q88" s="41">
        <f t="shared" si="6"/>
        <v>2.6124951689140375E-3</v>
      </c>
      <c r="R88" s="41">
        <f t="shared" si="7"/>
        <v>2.0949283006220201E-2</v>
      </c>
      <c r="S88" s="27">
        <v>0</v>
      </c>
      <c r="T88" s="41">
        <f t="shared" ca="1" si="8"/>
        <v>0.19660669401337075</v>
      </c>
      <c r="U88" s="41">
        <f t="shared" ca="1" si="9"/>
        <v>2.3390555128780261E-2</v>
      </c>
      <c r="V88" s="41">
        <f t="shared" ca="1" si="10"/>
        <v>8.4053881120359346</v>
      </c>
      <c r="W88" s="20">
        <f t="shared" ca="1" si="11"/>
        <v>2049.4411690614897</v>
      </c>
      <c r="X88" s="41">
        <f t="shared" si="12"/>
        <v>0.57593674348420154</v>
      </c>
      <c r="Y88" s="41">
        <f t="shared" ca="1" si="13"/>
        <v>207.14566477121807</v>
      </c>
      <c r="Z88" s="14">
        <f t="shared" ca="1" si="14"/>
        <v>2049.4411690614897</v>
      </c>
      <c r="AA88" s="14">
        <f t="shared" si="15"/>
        <v>4318.772914781468</v>
      </c>
      <c r="AB88" s="25">
        <f t="shared" ca="1" si="16"/>
        <v>1387464.2502535684</v>
      </c>
      <c r="AC88" s="41">
        <f t="shared" si="17"/>
        <v>2923793.624662423</v>
      </c>
      <c r="AD88" s="5">
        <f t="shared" ca="1" si="18"/>
        <v>47.454247062795439</v>
      </c>
      <c r="AE88" s="7">
        <f t="shared" ca="1" si="19"/>
        <v>2049.4411690614897</v>
      </c>
      <c r="AF88" s="41">
        <f t="shared" ca="1" si="44"/>
        <v>2269.3317457199782</v>
      </c>
      <c r="AG88" s="41">
        <f t="shared" ca="1" si="20"/>
        <v>89.184854229074801</v>
      </c>
      <c r="AH88" s="41">
        <f t="shared" ca="1" si="21"/>
        <v>1655.5599740210662</v>
      </c>
      <c r="AI88" s="13">
        <f t="shared" ca="1" si="22"/>
        <v>0</v>
      </c>
      <c r="AJ88" s="10">
        <f t="shared" ca="1" si="23"/>
        <v>0</v>
      </c>
      <c r="AK88" s="11">
        <f t="shared" ca="1" si="24"/>
        <v>0.31063410059142377</v>
      </c>
      <c r="AL88" s="7">
        <v>0</v>
      </c>
      <c r="AM88" s="41">
        <f t="shared" si="25"/>
        <v>897.51047967626948</v>
      </c>
      <c r="AN88" s="41">
        <f t="shared" ca="1" si="26"/>
        <v>412.74511844902202</v>
      </c>
      <c r="AO88" s="6">
        <v>100</v>
      </c>
      <c r="AP88" s="67">
        <f t="shared" si="27"/>
        <v>0.80781044072575381</v>
      </c>
      <c r="AQ88" s="11">
        <f t="shared" si="28"/>
        <v>0.98330272071837588</v>
      </c>
      <c r="AR88" s="11">
        <f t="shared" si="29"/>
        <v>0.68770269343653956</v>
      </c>
      <c r="AS88" s="11">
        <f t="shared" si="30"/>
        <v>0.69938044403469313</v>
      </c>
      <c r="AT88" s="11">
        <f t="shared" si="31"/>
        <v>510.00962215499999</v>
      </c>
      <c r="AU88" s="11">
        <f t="shared" si="32"/>
        <v>1455.3301939042735</v>
      </c>
      <c r="AV88" s="11">
        <f t="shared" si="33"/>
        <v>1.6623573774260621E-3</v>
      </c>
      <c r="AW88" s="11">
        <f t="shared" si="34"/>
        <v>3.6885478983619832E-7</v>
      </c>
      <c r="AX88" s="41">
        <f t="shared" ca="1" si="45"/>
        <v>3.0122541286215139</v>
      </c>
      <c r="AY88" s="41">
        <f t="shared" ca="1" si="46"/>
        <v>1.6176920320374799</v>
      </c>
      <c r="AZ88" s="41">
        <f t="shared" si="47"/>
        <v>0.40702738413517792</v>
      </c>
      <c r="BA88" s="41">
        <f t="shared" ca="1" si="37"/>
        <v>18.956520339718207</v>
      </c>
      <c r="BB88" s="41">
        <f t="shared" ca="1" si="38"/>
        <v>3.7269787939892165</v>
      </c>
      <c r="BC88" s="41">
        <f t="shared" ca="1" si="48"/>
        <v>7.2790661050231193</v>
      </c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</row>
    <row r="89" spans="1:67">
      <c r="A89" s="41">
        <f t="shared" si="39"/>
        <v>884.82057598920244</v>
      </c>
      <c r="B89" s="41">
        <f t="shared" si="53"/>
        <v>14.747009599820041</v>
      </c>
      <c r="C89" s="41">
        <f t="shared" si="53"/>
        <v>0.24578349333033403</v>
      </c>
      <c r="D89" s="23">
        <f t="shared" ca="1" si="49"/>
        <v>17226.348438746474</v>
      </c>
      <c r="E89" s="41">
        <f t="shared" si="41"/>
        <v>100</v>
      </c>
      <c r="F89" s="41">
        <f t="shared" si="42"/>
        <v>100</v>
      </c>
      <c r="G89" s="41"/>
      <c r="H89" s="6">
        <f t="shared" si="50"/>
        <v>10000</v>
      </c>
      <c r="I89" s="5">
        <v>15</v>
      </c>
      <c r="J89" s="41">
        <f t="shared" si="0"/>
        <v>0.62028041745903051</v>
      </c>
      <c r="K89" s="41">
        <f t="shared" si="1"/>
        <v>686.70571330197629</v>
      </c>
      <c r="L89" s="6">
        <f t="shared" si="43"/>
        <v>345</v>
      </c>
      <c r="M89" s="41">
        <f t="shared" si="2"/>
        <v>406.86214784000811</v>
      </c>
      <c r="N89" s="41">
        <f t="shared" si="3"/>
        <v>391.95455947829817</v>
      </c>
      <c r="O89" s="41">
        <f t="shared" si="4"/>
        <v>3094850.1689109374</v>
      </c>
      <c r="P89" s="41">
        <f t="shared" si="5"/>
        <v>19871112.786620118</v>
      </c>
      <c r="Q89" s="41">
        <f t="shared" si="6"/>
        <v>2.6042893464704869E-3</v>
      </c>
      <c r="R89" s="41">
        <f t="shared" si="7"/>
        <v>2.0899186460202324E-2</v>
      </c>
      <c r="S89" s="27">
        <v>0</v>
      </c>
      <c r="T89" s="41">
        <f t="shared" ca="1" si="8"/>
        <v>0.19108635252176878</v>
      </c>
      <c r="U89" s="41">
        <f t="shared" ca="1" si="9"/>
        <v>2.3205290688868251E-2</v>
      </c>
      <c r="V89" s="41">
        <f t="shared" ca="1" si="10"/>
        <v>8.2346028362158936</v>
      </c>
      <c r="W89" s="20">
        <f t="shared" ca="1" si="11"/>
        <v>2091.9464825898781</v>
      </c>
      <c r="X89" s="41">
        <f t="shared" si="12"/>
        <v>0.57524770531732627</v>
      </c>
      <c r="Y89" s="41">
        <f t="shared" ca="1" si="13"/>
        <v>207.14566477121807</v>
      </c>
      <c r="Z89" s="14">
        <f t="shared" ca="1" si="14"/>
        <v>2091.9464825898781</v>
      </c>
      <c r="AA89" s="14">
        <f t="shared" si="15"/>
        <v>4318.772914781468</v>
      </c>
      <c r="AB89" s="25">
        <f t="shared" ca="1" si="16"/>
        <v>1436551.6015164426</v>
      </c>
      <c r="AC89" s="41">
        <f t="shared" si="17"/>
        <v>2965726.035034263</v>
      </c>
      <c r="AD89" s="5">
        <f t="shared" ca="1" si="18"/>
        <v>48.438445916662225</v>
      </c>
      <c r="AE89" s="7">
        <f t="shared" ca="1" si="19"/>
        <v>2091.9464825898781</v>
      </c>
      <c r="AF89" s="41">
        <f t="shared" ca="1" si="44"/>
        <v>2226.8264321915899</v>
      </c>
      <c r="AG89" s="41">
        <f t="shared" ca="1" si="20"/>
        <v>88.769505560349344</v>
      </c>
      <c r="AH89" s="41">
        <f t="shared" ca="1" si="21"/>
        <v>1692.5088957315875</v>
      </c>
      <c r="AI89" s="13">
        <f t="shared" ca="1" si="22"/>
        <v>0</v>
      </c>
      <c r="AJ89" s="10">
        <f t="shared" ca="1" si="23"/>
        <v>0</v>
      </c>
      <c r="AK89" s="11">
        <f t="shared" ca="1" si="24"/>
        <v>0.30918742602704113</v>
      </c>
      <c r="AL89" s="7">
        <v>0</v>
      </c>
      <c r="AM89" s="41">
        <f t="shared" si="25"/>
        <v>884.82057598920244</v>
      </c>
      <c r="AN89" s="41">
        <f t="shared" ca="1" si="26"/>
        <v>415.99074888557561</v>
      </c>
      <c r="AO89" s="6">
        <v>100</v>
      </c>
      <c r="AP89" s="67">
        <f t="shared" ref="AP89:AP104" si="54">0.692 + 0.298*AZ89 + -0.0331*AZ89^2</f>
        <v>0.80905936639269205</v>
      </c>
      <c r="AQ89" s="11">
        <f t="shared" si="28"/>
        <v>0.98330272071837588</v>
      </c>
      <c r="AR89" s="11">
        <f t="shared" si="29"/>
        <v>0.68770269343653956</v>
      </c>
      <c r="AS89" s="11">
        <f t="shared" si="30"/>
        <v>0.69938044403469313</v>
      </c>
      <c r="AT89" s="11">
        <f t="shared" si="31"/>
        <v>510.00962215499999</v>
      </c>
      <c r="AU89" s="11">
        <f t="shared" si="32"/>
        <v>1455.3301939042735</v>
      </c>
      <c r="AV89" s="11">
        <f t="shared" si="33"/>
        <v>1.6623573774260621E-3</v>
      </c>
      <c r="AW89" s="11">
        <f t="shared" si="34"/>
        <v>3.6885478983619832E-7</v>
      </c>
      <c r="AX89" s="41">
        <f t="shared" ca="1" si="45"/>
        <v>3.0953282627478389</v>
      </c>
      <c r="AY89" s="41">
        <f t="shared" ca="1" si="46"/>
        <v>1.6623059188830989</v>
      </c>
      <c r="AZ89" s="41">
        <f t="shared" si="47"/>
        <v>0.4116376299068949</v>
      </c>
      <c r="BA89" s="41">
        <f t="shared" ca="1" si="37"/>
        <v>18.837697655225529</v>
      </c>
      <c r="BB89" s="41">
        <f t="shared" ca="1" si="38"/>
        <v>3.5996269348449221</v>
      </c>
      <c r="BC89" s="41">
        <f t="shared" ca="1" si="48"/>
        <v>7.1311660561629635</v>
      </c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</row>
    <row r="90" spans="1:67">
      <c r="A90" s="41">
        <f t="shared" ref="A90:A104" si="55">AM90</f>
        <v>872.49605798188577</v>
      </c>
      <c r="B90" s="41">
        <f t="shared" ref="B90:C104" si="56">(A90/60)</f>
        <v>14.541600966364763</v>
      </c>
      <c r="C90" s="41">
        <f t="shared" si="56"/>
        <v>0.24236001610607938</v>
      </c>
      <c r="D90" s="23">
        <f t="shared" ca="1" si="49"/>
        <v>17226.348438746474</v>
      </c>
      <c r="E90" s="41">
        <f t="shared" ref="E90:E104" si="57">AO90</f>
        <v>100</v>
      </c>
      <c r="F90" s="41">
        <f t="shared" ref="F90:F104" si="58">AO90</f>
        <v>100</v>
      </c>
      <c r="G90" s="41"/>
      <c r="H90" s="6">
        <f t="shared" si="50"/>
        <v>10000</v>
      </c>
      <c r="I90" s="5">
        <v>15</v>
      </c>
      <c r="J90" s="41">
        <f t="shared" si="0"/>
        <v>0.6290422417728756</v>
      </c>
      <c r="K90" s="41">
        <f t="shared" si="1"/>
        <v>696.40583383764192</v>
      </c>
      <c r="L90" s="6">
        <f t="shared" ref="L90:L104" si="59">L89+5</f>
        <v>350</v>
      </c>
      <c r="M90" s="41">
        <f t="shared" si="2"/>
        <v>412.60931405546143</v>
      </c>
      <c r="N90" s="41">
        <f t="shared" si="3"/>
        <v>403.10594261597231</v>
      </c>
      <c r="O90" s="41">
        <f t="shared" si="4"/>
        <v>3138566.7407942703</v>
      </c>
      <c r="P90" s="41">
        <f t="shared" si="5"/>
        <v>20151803.897053998</v>
      </c>
      <c r="Q90" s="41">
        <f t="shared" si="6"/>
        <v>2.5961697059493799E-3</v>
      </c>
      <c r="R90" s="41">
        <f t="shared" si="7"/>
        <v>2.0849616054820962E-2</v>
      </c>
      <c r="S90" s="27">
        <v>0</v>
      </c>
      <c r="T90" s="41">
        <f t="shared" ca="1" si="8"/>
        <v>0.18580020586880083</v>
      </c>
      <c r="U90" s="41">
        <f t="shared" ca="1" si="9"/>
        <v>2.3029894556858065E-2</v>
      </c>
      <c r="V90" s="41">
        <f t="shared" ca="1" si="10"/>
        <v>8.067783610996667</v>
      </c>
      <c r="W90" s="20">
        <f t="shared" ca="1" si="11"/>
        <v>2135.2020913484057</v>
      </c>
      <c r="X90" s="41">
        <f t="shared" si="12"/>
        <v>0.57456509045110493</v>
      </c>
      <c r="Y90" s="41">
        <f t="shared" ca="1" si="13"/>
        <v>207.14566477121807</v>
      </c>
      <c r="Z90" s="14">
        <f t="shared" ca="1" si="14"/>
        <v>2135.2020913484057</v>
      </c>
      <c r="AA90" s="14">
        <f t="shared" si="15"/>
        <v>4318.772914781468</v>
      </c>
      <c r="AB90" s="25">
        <f t="shared" ca="1" si="16"/>
        <v>1486967.1928373633</v>
      </c>
      <c r="AC90" s="41">
        <f t="shared" si="17"/>
        <v>3007618.6528738113</v>
      </c>
      <c r="AD90" s="5">
        <f t="shared" ca="1" si="18"/>
        <v>49.440017650394289</v>
      </c>
      <c r="AE90" s="7">
        <f t="shared" ca="1" si="19"/>
        <v>2135.2020913484057</v>
      </c>
      <c r="AF90" s="41">
        <f t="shared" ref="AF90:AF104" ca="1" si="60">AA90-Z90</f>
        <v>2183.5708234330623</v>
      </c>
      <c r="AG90" s="41">
        <f t="shared" ca="1" si="20"/>
        <v>88.274741768029784</v>
      </c>
      <c r="AH90" s="41">
        <f t="shared" ca="1" si="21"/>
        <v>1730.1448740364576</v>
      </c>
      <c r="AI90" s="13">
        <f t="shared" ca="1" si="22"/>
        <v>0</v>
      </c>
      <c r="AJ90" s="10">
        <f t="shared" ca="1" si="23"/>
        <v>0</v>
      </c>
      <c r="AK90" s="11">
        <f t="shared" ca="1" si="24"/>
        <v>0.30746414569025177</v>
      </c>
      <c r="AL90" s="7">
        <v>0</v>
      </c>
      <c r="AM90" s="41">
        <f t="shared" si="25"/>
        <v>872.49605798188577</v>
      </c>
      <c r="AN90" s="41">
        <f t="shared" ca="1" si="26"/>
        <v>419.31793953732654</v>
      </c>
      <c r="AO90" s="6">
        <v>100</v>
      </c>
      <c r="AP90" s="67">
        <f t="shared" si="54"/>
        <v>0.81029560670009015</v>
      </c>
      <c r="AQ90" s="11">
        <f t="shared" si="28"/>
        <v>0.98330272071837588</v>
      </c>
      <c r="AR90" s="11">
        <f t="shared" si="29"/>
        <v>0.68770269343653956</v>
      </c>
      <c r="AS90" s="11">
        <f t="shared" si="30"/>
        <v>0.69938044403469313</v>
      </c>
      <c r="AT90" s="11">
        <f t="shared" si="31"/>
        <v>510.00962215499999</v>
      </c>
      <c r="AU90" s="11">
        <f t="shared" si="32"/>
        <v>1455.3301939042735</v>
      </c>
      <c r="AV90" s="11">
        <f t="shared" si="33"/>
        <v>1.6623573774260621E-3</v>
      </c>
      <c r="AW90" s="11">
        <f t="shared" si="34"/>
        <v>3.6885478983619832E-7</v>
      </c>
      <c r="AX90" s="41">
        <f t="shared" ref="AX90:AX104" ca="1" si="61">(1/T90)*(((1 + 0.2*(T90)^2)/1.2)^3)</f>
        <v>3.1796162919691104</v>
      </c>
      <c r="AY90" s="41">
        <f t="shared" ref="AY90:AY104" ca="1" si="62">($H$4/$H$3)*AX90</f>
        <v>1.7075717123537817</v>
      </c>
      <c r="AZ90" s="41">
        <f t="shared" ref="AZ90:AZ104" si="63">-6.6*10^(-3) + 0.825*J90 - 0.243*(J90^2)</f>
        <v>0.41620617297250356</v>
      </c>
      <c r="BA90" s="41">
        <f t="shared" ca="1" si="37"/>
        <v>18.716780443029325</v>
      </c>
      <c r="BB90" s="41">
        <f t="shared" ca="1" si="38"/>
        <v>3.4775816595159936</v>
      </c>
      <c r="BC90" s="41">
        <f t="shared" ref="BC90:BC104" ca="1" si="64">0.866*V90</f>
        <v>6.9867006071231135</v>
      </c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</row>
    <row r="91" spans="1:67">
      <c r="A91" s="41">
        <f t="shared" si="55"/>
        <v>860.52142732285517</v>
      </c>
      <c r="B91" s="41">
        <f t="shared" si="56"/>
        <v>14.342023788714252</v>
      </c>
      <c r="C91" s="41">
        <f t="shared" si="56"/>
        <v>0.23903372981190421</v>
      </c>
      <c r="D91" s="23">
        <f t="shared" ref="D91:D104" ca="1" si="65">D90</f>
        <v>17226.348438746474</v>
      </c>
      <c r="E91" s="41">
        <f t="shared" si="57"/>
        <v>100</v>
      </c>
      <c r="F91" s="41">
        <f t="shared" si="58"/>
        <v>100</v>
      </c>
      <c r="G91" s="41"/>
      <c r="H91" s="6">
        <f t="shared" ref="H91:H104" si="66">H90</f>
        <v>10000</v>
      </c>
      <c r="I91" s="5">
        <v>15</v>
      </c>
      <c r="J91" s="41">
        <f t="shared" si="0"/>
        <v>0.63779571179115646</v>
      </c>
      <c r="K91" s="41">
        <f t="shared" si="1"/>
        <v>706.0967054234244</v>
      </c>
      <c r="L91" s="6">
        <f t="shared" si="59"/>
        <v>355</v>
      </c>
      <c r="M91" s="41">
        <f t="shared" si="2"/>
        <v>418.35100041609218</v>
      </c>
      <c r="N91" s="41">
        <f t="shared" si="3"/>
        <v>414.40288449619175</v>
      </c>
      <c r="O91" s="41">
        <f t="shared" si="4"/>
        <v>3182241.6294448101</v>
      </c>
      <c r="P91" s="41">
        <f t="shared" si="5"/>
        <v>20432227.3718432</v>
      </c>
      <c r="Q91" s="41">
        <f t="shared" si="6"/>
        <v>2.5881332342339593E-3</v>
      </c>
      <c r="R91" s="41">
        <f t="shared" si="7"/>
        <v>2.0800553394998322E-2</v>
      </c>
      <c r="S91" s="27">
        <v>0</v>
      </c>
      <c r="T91" s="41">
        <f t="shared" ca="1" si="8"/>
        <v>0.18073514911953503</v>
      </c>
      <c r="U91" s="41">
        <f t="shared" ca="1" si="9"/>
        <v>2.2863580026907002E-2</v>
      </c>
      <c r="V91" s="41">
        <f t="shared" ca="1" si="10"/>
        <v>7.9049365369219036</v>
      </c>
      <c r="W91" s="20">
        <f t="shared" ca="1" si="11"/>
        <v>2179.1887080037491</v>
      </c>
      <c r="X91" s="41">
        <f t="shared" si="12"/>
        <v>0.57388866804555216</v>
      </c>
      <c r="Y91" s="41">
        <f t="shared" ca="1" si="13"/>
        <v>207.14566477121807</v>
      </c>
      <c r="Z91" s="14">
        <f t="shared" ca="1" si="14"/>
        <v>2179.1887080037491</v>
      </c>
      <c r="AA91" s="14">
        <f t="shared" si="15"/>
        <v>4318.772914781468</v>
      </c>
      <c r="AB91" s="25">
        <f t="shared" ca="1" si="16"/>
        <v>1538717.967217376</v>
      </c>
      <c r="AC91" s="41">
        <f t="shared" si="17"/>
        <v>3049471.3265991141</v>
      </c>
      <c r="AD91" s="5">
        <f t="shared" ca="1" si="18"/>
        <v>50.458515671088875</v>
      </c>
      <c r="AE91" s="7">
        <f t="shared" ca="1" si="19"/>
        <v>2179.1887080037491</v>
      </c>
      <c r="AF91" s="41">
        <f t="shared" ca="1" si="60"/>
        <v>2139.5842067777189</v>
      </c>
      <c r="AG91" s="41">
        <f t="shared" ca="1" si="20"/>
        <v>87.700151007259691</v>
      </c>
      <c r="AH91" s="41">
        <f t="shared" ca="1" si="21"/>
        <v>1768.4535288244651</v>
      </c>
      <c r="AI91" s="13">
        <f t="shared" ca="1" si="22"/>
        <v>0</v>
      </c>
      <c r="AJ91" s="10">
        <f t="shared" ca="1" si="23"/>
        <v>0</v>
      </c>
      <c r="AK91" s="11">
        <f t="shared" ca="1" si="24"/>
        <v>0.30546282511039741</v>
      </c>
      <c r="AL91" s="7">
        <v>0</v>
      </c>
      <c r="AM91" s="41">
        <f t="shared" si="25"/>
        <v>860.52142732285517</v>
      </c>
      <c r="AN91" s="41">
        <f t="shared" ca="1" si="26"/>
        <v>422.72004299393575</v>
      </c>
      <c r="AO91" s="6">
        <v>100</v>
      </c>
      <c r="AP91" s="67">
        <f t="shared" si="54"/>
        <v>0.81151922379611685</v>
      </c>
      <c r="AQ91" s="11">
        <f t="shared" si="28"/>
        <v>0.98330272071837588</v>
      </c>
      <c r="AR91" s="11">
        <f t="shared" si="29"/>
        <v>0.68770269343653956</v>
      </c>
      <c r="AS91" s="11">
        <f t="shared" si="30"/>
        <v>0.69938044403469313</v>
      </c>
      <c r="AT91" s="11">
        <f t="shared" si="31"/>
        <v>510.00962215499999</v>
      </c>
      <c r="AU91" s="11">
        <f t="shared" si="32"/>
        <v>1455.3301939042735</v>
      </c>
      <c r="AV91" s="11">
        <f t="shared" si="33"/>
        <v>1.6623573774260621E-3</v>
      </c>
      <c r="AW91" s="11">
        <f t="shared" si="34"/>
        <v>3.6885478983619832E-7</v>
      </c>
      <c r="AX91" s="41">
        <f t="shared" ca="1" si="61"/>
        <v>3.2651094570836197</v>
      </c>
      <c r="AY91" s="41">
        <f t="shared" ca="1" si="62"/>
        <v>1.7534847084337959</v>
      </c>
      <c r="AZ91" s="41">
        <f t="shared" si="63"/>
        <v>0.42073310332276131</v>
      </c>
      <c r="BA91" s="41">
        <f t="shared" ca="1" si="37"/>
        <v>18.594181967516718</v>
      </c>
      <c r="BB91" s="41">
        <f t="shared" ca="1" si="38"/>
        <v>3.3606222506549033</v>
      </c>
      <c r="BC91" s="41">
        <f t="shared" ca="1" si="64"/>
        <v>6.8456750409743687</v>
      </c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</row>
    <row r="92" spans="1:67">
      <c r="A92" s="41">
        <f t="shared" si="55"/>
        <v>848.88204675734096</v>
      </c>
      <c r="B92" s="41">
        <f t="shared" si="56"/>
        <v>14.14803411262235</v>
      </c>
      <c r="C92" s="41">
        <f t="shared" si="56"/>
        <v>0.23580056854370582</v>
      </c>
      <c r="D92" s="23">
        <f t="shared" ca="1" si="65"/>
        <v>17226.348438746474</v>
      </c>
      <c r="E92" s="41">
        <f t="shared" si="57"/>
        <v>100</v>
      </c>
      <c r="F92" s="41">
        <f t="shared" si="58"/>
        <v>100</v>
      </c>
      <c r="G92" s="41"/>
      <c r="H92" s="6">
        <f t="shared" si="66"/>
        <v>10000</v>
      </c>
      <c r="I92" s="5">
        <v>15</v>
      </c>
      <c r="J92" s="41">
        <f t="shared" si="0"/>
        <v>0.6465407983917596</v>
      </c>
      <c r="K92" s="41">
        <f t="shared" si="1"/>
        <v>715.77829581854826</v>
      </c>
      <c r="L92" s="6">
        <f t="shared" si="59"/>
        <v>360</v>
      </c>
      <c r="M92" s="41">
        <f t="shared" si="2"/>
        <v>424.08718781975676</v>
      </c>
      <c r="N92" s="41">
        <f t="shared" si="3"/>
        <v>425.84489976312494</v>
      </c>
      <c r="O92" s="41">
        <f t="shared" si="4"/>
        <v>3225874.6895596012</v>
      </c>
      <c r="P92" s="41">
        <f t="shared" si="5"/>
        <v>20712382.278040644</v>
      </c>
      <c r="Q92" s="41">
        <f t="shared" si="6"/>
        <v>2.5801770658403691E-3</v>
      </c>
      <c r="R92" s="41">
        <f t="shared" si="7"/>
        <v>2.0751980986955451E-2</v>
      </c>
      <c r="S92" s="27">
        <v>0</v>
      </c>
      <c r="T92" s="41">
        <f t="shared" ca="1" si="8"/>
        <v>0.17587898121275142</v>
      </c>
      <c r="U92" s="41">
        <f t="shared" ca="1" si="9"/>
        <v>2.2705634188653932E-2</v>
      </c>
      <c r="V92" s="41">
        <f t="shared" ca="1" si="10"/>
        <v>7.7460501543990627</v>
      </c>
      <c r="W92" s="20">
        <f t="shared" ca="1" si="11"/>
        <v>2223.888058478869</v>
      </c>
      <c r="X92" s="41">
        <f t="shared" si="12"/>
        <v>0.57321821841329657</v>
      </c>
      <c r="Y92" s="41">
        <f t="shared" ca="1" si="13"/>
        <v>207.14566477121807</v>
      </c>
      <c r="Z92" s="14">
        <f t="shared" ca="1" si="14"/>
        <v>2223.888058478869</v>
      </c>
      <c r="AA92" s="14">
        <f t="shared" si="15"/>
        <v>4318.772914781468</v>
      </c>
      <c r="AB92" s="25">
        <f t="shared" ca="1" si="16"/>
        <v>1591810.8045892247</v>
      </c>
      <c r="AC92" s="41">
        <f t="shared" si="17"/>
        <v>3091283.9169695834</v>
      </c>
      <c r="AD92" s="5">
        <f t="shared" ca="1" si="18"/>
        <v>51.493516847514051</v>
      </c>
      <c r="AE92" s="7">
        <f t="shared" ca="1" si="19"/>
        <v>2223.888058478869</v>
      </c>
      <c r="AF92" s="41">
        <f t="shared" ca="1" si="60"/>
        <v>2094.884856302599</v>
      </c>
      <c r="AG92" s="41">
        <f t="shared" ca="1" si="20"/>
        <v>87.045325810759707</v>
      </c>
      <c r="AH92" s="41">
        <f t="shared" ca="1" si="21"/>
        <v>1807.4211641240224</v>
      </c>
      <c r="AI92" s="13">
        <f t="shared" ca="1" si="22"/>
        <v>0</v>
      </c>
      <c r="AJ92" s="10">
        <f t="shared" ca="1" si="23"/>
        <v>0</v>
      </c>
      <c r="AK92" s="11">
        <f t="shared" ca="1" si="24"/>
        <v>0.30318204506408031</v>
      </c>
      <c r="AL92" s="7">
        <v>0</v>
      </c>
      <c r="AM92" s="41">
        <f t="shared" si="25"/>
        <v>848.88204675734096</v>
      </c>
      <c r="AN92" s="41">
        <f t="shared" ca="1" si="26"/>
        <v>426.19093809837113</v>
      </c>
      <c r="AO92" s="6">
        <v>100</v>
      </c>
      <c r="AP92" s="67">
        <f t="shared" si="54"/>
        <v>0.81273027985063762</v>
      </c>
      <c r="AQ92" s="11">
        <f t="shared" si="28"/>
        <v>0.98330272071837588</v>
      </c>
      <c r="AR92" s="11">
        <f t="shared" si="29"/>
        <v>0.68770269343653956</v>
      </c>
      <c r="AS92" s="11">
        <f t="shared" si="30"/>
        <v>0.69938044403469313</v>
      </c>
      <c r="AT92" s="11">
        <f t="shared" si="31"/>
        <v>510.00962215499999</v>
      </c>
      <c r="AU92" s="11">
        <f t="shared" si="32"/>
        <v>1455.3301939042735</v>
      </c>
      <c r="AV92" s="11">
        <f t="shared" si="33"/>
        <v>1.6623573774260621E-3</v>
      </c>
      <c r="AW92" s="11">
        <f t="shared" si="34"/>
        <v>3.6885478983619832E-7</v>
      </c>
      <c r="AX92" s="41">
        <f t="shared" ca="1" si="61"/>
        <v>3.3517993785671267</v>
      </c>
      <c r="AY92" s="41">
        <f t="shared" ca="1" si="62"/>
        <v>1.8000404070082718</v>
      </c>
      <c r="AZ92" s="41">
        <f t="shared" si="63"/>
        <v>0.42521851270483352</v>
      </c>
      <c r="BA92" s="41">
        <f t="shared" ca="1" si="37"/>
        <v>18.470273826013656</v>
      </c>
      <c r="BB92" s="41">
        <f t="shared" ca="1" si="38"/>
        <v>3.2485329432398298</v>
      </c>
      <c r="BC92" s="41">
        <f t="shared" ca="1" si="64"/>
        <v>6.7080794337095879</v>
      </c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</row>
    <row r="93" spans="1:67">
      <c r="A93" s="41">
        <f t="shared" si="55"/>
        <v>837.56408115110753</v>
      </c>
      <c r="B93" s="41">
        <f t="shared" si="56"/>
        <v>13.959401352518459</v>
      </c>
      <c r="C93" s="41">
        <f t="shared" si="56"/>
        <v>0.23265668920864097</v>
      </c>
      <c r="D93" s="23">
        <f t="shared" ca="1" si="65"/>
        <v>17226.348438746474</v>
      </c>
      <c r="E93" s="41">
        <f t="shared" si="57"/>
        <v>100</v>
      </c>
      <c r="F93" s="41">
        <f t="shared" si="58"/>
        <v>100</v>
      </c>
      <c r="G93" s="41"/>
      <c r="H93" s="6">
        <f t="shared" si="66"/>
        <v>10000</v>
      </c>
      <c r="I93" s="5">
        <v>15</v>
      </c>
      <c r="J93" s="41">
        <f t="shared" si="0"/>
        <v>0.65527747500421396</v>
      </c>
      <c r="K93" s="41">
        <f t="shared" si="1"/>
        <v>725.45057560713337</v>
      </c>
      <c r="L93" s="6">
        <f t="shared" si="59"/>
        <v>365</v>
      </c>
      <c r="M93" s="41">
        <f t="shared" si="2"/>
        <v>429.81785883801683</v>
      </c>
      <c r="N93" s="41">
        <f t="shared" si="3"/>
        <v>437.43150482067557</v>
      </c>
      <c r="O93" s="41">
        <f t="shared" si="4"/>
        <v>3269465.7885669461</v>
      </c>
      <c r="P93" s="41">
        <f t="shared" si="5"/>
        <v>20992267.76444288</v>
      </c>
      <c r="Q93" s="41">
        <f t="shared" si="6"/>
        <v>2.572298474167367E-3</v>
      </c>
      <c r="R93" s="41">
        <f t="shared" si="7"/>
        <v>2.0703882184791775E-2</v>
      </c>
      <c r="S93" s="27">
        <v>0</v>
      </c>
      <c r="T93" s="41">
        <f t="shared" ca="1" si="8"/>
        <v>0.17122033118233826</v>
      </c>
      <c r="U93" s="41">
        <f t="shared" ca="1" si="9"/>
        <v>2.2555410066442513E-2</v>
      </c>
      <c r="V93" s="41">
        <f t="shared" ca="1" si="10"/>
        <v>7.5910981302475378</v>
      </c>
      <c r="W93" s="20">
        <f t="shared" ca="1" si="11"/>
        <v>2269.2828024586133</v>
      </c>
      <c r="X93" s="41">
        <f t="shared" si="12"/>
        <v>0.57255353237016482</v>
      </c>
      <c r="Y93" s="41">
        <f t="shared" ca="1" si="13"/>
        <v>207.14566477121807</v>
      </c>
      <c r="Z93" s="14">
        <f t="shared" ca="1" si="14"/>
        <v>2269.2828024586133</v>
      </c>
      <c r="AA93" s="14">
        <f t="shared" si="15"/>
        <v>4318.772914781468</v>
      </c>
      <c r="AB93" s="25">
        <f t="shared" ca="1" si="16"/>
        <v>1646252.5152589697</v>
      </c>
      <c r="AC93" s="41">
        <f t="shared" si="17"/>
        <v>3133056.2969447132</v>
      </c>
      <c r="AD93" s="5">
        <f t="shared" ca="1" si="18"/>
        <v>52.544619669437751</v>
      </c>
      <c r="AE93" s="7">
        <f t="shared" ca="1" si="19"/>
        <v>2269.2828024586133</v>
      </c>
      <c r="AF93" s="41">
        <f t="shared" ca="1" si="60"/>
        <v>2049.4901123228547</v>
      </c>
      <c r="AG93" s="41">
        <f t="shared" ca="1" si="20"/>
        <v>86.309863461343937</v>
      </c>
      <c r="AH93" s="41">
        <f t="shared" ca="1" si="21"/>
        <v>1847.0347123108309</v>
      </c>
      <c r="AI93" s="13">
        <f t="shared" ca="1" si="22"/>
        <v>0</v>
      </c>
      <c r="AJ93" s="10">
        <f t="shared" ca="1" si="23"/>
        <v>0</v>
      </c>
      <c r="AK93" s="11">
        <f t="shared" ca="1" si="24"/>
        <v>0.30062040287265152</v>
      </c>
      <c r="AL93" s="7">
        <v>0</v>
      </c>
      <c r="AM93" s="41">
        <f t="shared" si="25"/>
        <v>837.56408115110753</v>
      </c>
      <c r="AN93" s="41">
        <f t="shared" ca="1" si="26"/>
        <v>429.72498101967261</v>
      </c>
      <c r="AO93" s="6">
        <v>100</v>
      </c>
      <c r="AP93" s="67">
        <f t="shared" si="54"/>
        <v>0.81392883703595453</v>
      </c>
      <c r="AQ93" s="11">
        <f t="shared" si="28"/>
        <v>0.98330272071837588</v>
      </c>
      <c r="AR93" s="11">
        <f t="shared" si="29"/>
        <v>0.68770269343653956</v>
      </c>
      <c r="AS93" s="11">
        <f t="shared" si="30"/>
        <v>0.69938044403469313</v>
      </c>
      <c r="AT93" s="11">
        <f t="shared" si="31"/>
        <v>510.00962215499999</v>
      </c>
      <c r="AU93" s="11">
        <f t="shared" si="32"/>
        <v>1455.3301939042735</v>
      </c>
      <c r="AV93" s="11">
        <f t="shared" si="33"/>
        <v>1.6623573774260621E-3</v>
      </c>
      <c r="AW93" s="11">
        <f t="shared" si="34"/>
        <v>3.6885478983619832E-7</v>
      </c>
      <c r="AX93" s="41">
        <f t="shared" ca="1" si="61"/>
        <v>3.4396780253562049</v>
      </c>
      <c r="AY93" s="41">
        <f t="shared" ca="1" si="62"/>
        <v>1.8472344950987027</v>
      </c>
      <c r="AZ93" s="41">
        <f t="shared" si="63"/>
        <v>0.42966249455123723</v>
      </c>
      <c r="BA93" s="41">
        <f t="shared" ca="1" si="37"/>
        <v>18.345389597575039</v>
      </c>
      <c r="BB93" s="41">
        <f t="shared" ca="1" si="38"/>
        <v>3.141103682565821</v>
      </c>
      <c r="BC93" s="41">
        <f t="shared" ca="1" si="64"/>
        <v>6.573890980794368</v>
      </c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</row>
    <row r="94" spans="1:67">
      <c r="A94" s="41">
        <f t="shared" si="55"/>
        <v>826.55444331406738</v>
      </c>
      <c r="B94" s="41">
        <f t="shared" si="56"/>
        <v>13.77590738856779</v>
      </c>
      <c r="C94" s="41">
        <f t="shared" si="56"/>
        <v>0.22959845647612984</v>
      </c>
      <c r="D94" s="23">
        <f t="shared" ca="1" si="65"/>
        <v>17226.348438746474</v>
      </c>
      <c r="E94" s="41">
        <f t="shared" si="57"/>
        <v>100</v>
      </c>
      <c r="F94" s="41">
        <f t="shared" si="58"/>
        <v>100</v>
      </c>
      <c r="G94" s="41"/>
      <c r="H94" s="6">
        <f t="shared" si="66"/>
        <v>10000</v>
      </c>
      <c r="I94" s="5">
        <v>15</v>
      </c>
      <c r="J94" s="41">
        <f t="shared" si="0"/>
        <v>0.66400571757906535</v>
      </c>
      <c r="K94" s="41">
        <f t="shared" si="1"/>
        <v>735.11351816429044</v>
      </c>
      <c r="L94" s="6">
        <f t="shared" si="59"/>
        <v>370</v>
      </c>
      <c r="M94" s="41">
        <f t="shared" si="2"/>
        <v>435.54299769605149</v>
      </c>
      <c r="N94" s="41">
        <f t="shared" si="3"/>
        <v>449.16221802291818</v>
      </c>
      <c r="O94" s="41">
        <f t="shared" si="4"/>
        <v>3313014.8064736077</v>
      </c>
      <c r="P94" s="41">
        <f t="shared" si="5"/>
        <v>21271883.060609002</v>
      </c>
      <c r="Q94" s="41">
        <f t="shared" si="6"/>
        <v>2.5644948633667462E-3</v>
      </c>
      <c r="R94" s="41">
        <f t="shared" si="7"/>
        <v>2.0656241140853984E-2</v>
      </c>
      <c r="S94" s="27">
        <v>0</v>
      </c>
      <c r="T94" s="41">
        <f t="shared" ca="1" si="8"/>
        <v>0.16674859130997322</v>
      </c>
      <c r="U94" s="41">
        <f t="shared" ca="1" si="9"/>
        <v>2.2412319691230091E-2</v>
      </c>
      <c r="V94" s="41">
        <f t="shared" ca="1" si="10"/>
        <v>7.4400416202889392</v>
      </c>
      <c r="W94" s="20">
        <f t="shared" ca="1" si="11"/>
        <v>2315.3564614168754</v>
      </c>
      <c r="X94" s="41">
        <f t="shared" si="12"/>
        <v>0.57189441063118118</v>
      </c>
      <c r="Y94" s="41">
        <f t="shared" ca="1" si="13"/>
        <v>207.14566477121807</v>
      </c>
      <c r="Z94" s="14">
        <f t="shared" ca="1" si="14"/>
        <v>2315.3564614168754</v>
      </c>
      <c r="AA94" s="14">
        <f t="shared" si="15"/>
        <v>4318.772914781468</v>
      </c>
      <c r="AB94" s="25">
        <f t="shared" ca="1" si="16"/>
        <v>1702049.8341565814</v>
      </c>
      <c r="AC94" s="41">
        <f t="shared" si="17"/>
        <v>3174788.3515376523</v>
      </c>
      <c r="AD94" s="5">
        <f t="shared" ca="1" si="18"/>
        <v>53.611442581116428</v>
      </c>
      <c r="AE94" s="7">
        <f t="shared" ca="1" si="19"/>
        <v>2315.3564614168749</v>
      </c>
      <c r="AF94" s="41">
        <f t="shared" ca="1" si="60"/>
        <v>2003.4164533645926</v>
      </c>
      <c r="AG94" s="41">
        <f t="shared" ca="1" si="20"/>
        <v>85.493366317176324</v>
      </c>
      <c r="AH94" s="41">
        <f t="shared" ca="1" si="21"/>
        <v>1887.2816836633058</v>
      </c>
      <c r="AI94" s="13">
        <f t="shared" ca="1" si="22"/>
        <v>-1.9405791434830941E-14</v>
      </c>
      <c r="AJ94" s="10">
        <f t="shared" ca="1" si="23"/>
        <v>-1.5125146250928329E-15</v>
      </c>
      <c r="AK94" s="11">
        <f t="shared" ca="1" si="24"/>
        <v>0.29777651353509083</v>
      </c>
      <c r="AL94" s="7">
        <v>0</v>
      </c>
      <c r="AM94" s="41">
        <f t="shared" si="25"/>
        <v>826.55444331406738</v>
      </c>
      <c r="AN94" s="41">
        <f t="shared" ca="1" si="26"/>
        <v>433.31696150476654</v>
      </c>
      <c r="AO94" s="6">
        <v>100</v>
      </c>
      <c r="AP94" s="67">
        <f t="shared" si="54"/>
        <v>0.81511495750783436</v>
      </c>
      <c r="AQ94" s="11">
        <f t="shared" si="28"/>
        <v>0.98330272071837588</v>
      </c>
      <c r="AR94" s="11">
        <f t="shared" si="29"/>
        <v>0.68770269343653956</v>
      </c>
      <c r="AS94" s="11">
        <f t="shared" si="30"/>
        <v>0.69938044403469313</v>
      </c>
      <c r="AT94" s="11">
        <f t="shared" si="31"/>
        <v>510.00962215499999</v>
      </c>
      <c r="AU94" s="11">
        <f t="shared" si="32"/>
        <v>1455.3301939042735</v>
      </c>
      <c r="AV94" s="11">
        <f t="shared" si="33"/>
        <v>1.6623573774260621E-3</v>
      </c>
      <c r="AW94" s="11">
        <f t="shared" si="34"/>
        <v>3.6885478983619832E-7</v>
      </c>
      <c r="AX94" s="41">
        <f t="shared" ca="1" si="61"/>
        <v>3.5287376870213247</v>
      </c>
      <c r="AY94" s="41">
        <f t="shared" ca="1" si="62"/>
        <v>1.8950628319188598</v>
      </c>
      <c r="AZ94" s="41">
        <f t="shared" si="63"/>
        <v>0.4340651439091503</v>
      </c>
      <c r="BA94" s="41">
        <f t="shared" ca="1" si="37"/>
        <v>18.219828226139654</v>
      </c>
      <c r="BB94" s="41">
        <f t="shared" ca="1" si="38"/>
        <v>3.0381306906184755</v>
      </c>
      <c r="BC94" s="41">
        <f t="shared" ca="1" si="64"/>
        <v>6.4430760431702216</v>
      </c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</row>
    <row r="95" spans="1:67">
      <c r="A95" s="41">
        <f t="shared" si="55"/>
        <v>815.84074415752093</v>
      </c>
      <c r="B95" s="41">
        <f t="shared" si="56"/>
        <v>13.597345735958681</v>
      </c>
      <c r="C95" s="41">
        <f t="shared" si="56"/>
        <v>0.2266224289326447</v>
      </c>
      <c r="D95" s="23">
        <f t="shared" ca="1" si="65"/>
        <v>17226.348438746474</v>
      </c>
      <c r="E95" s="41">
        <f t="shared" si="57"/>
        <v>100</v>
      </c>
      <c r="F95" s="41">
        <f t="shared" si="58"/>
        <v>100</v>
      </c>
      <c r="G95" s="41"/>
      <c r="H95" s="6">
        <f t="shared" si="66"/>
        <v>10000</v>
      </c>
      <c r="I95" s="5">
        <v>15</v>
      </c>
      <c r="J95" s="41">
        <f t="shared" si="0"/>
        <v>0.67272550455625924</v>
      </c>
      <c r="K95" s="41">
        <f t="shared" si="1"/>
        <v>744.76709962111715</v>
      </c>
      <c r="L95" s="6">
        <f t="shared" si="59"/>
        <v>375</v>
      </c>
      <c r="M95" s="41">
        <f t="shared" si="2"/>
        <v>441.26259025191797</v>
      </c>
      <c r="N95" s="41">
        <f t="shared" si="3"/>
        <v>461.03655985926628</v>
      </c>
      <c r="O95" s="41">
        <f t="shared" si="4"/>
        <v>3356521.6357070454</v>
      </c>
      <c r="P95" s="41">
        <f t="shared" si="5"/>
        <v>21551227.475847717</v>
      </c>
      <c r="Q95" s="41">
        <f t="shared" si="6"/>
        <v>2.5567637607825954E-3</v>
      </c>
      <c r="R95" s="41">
        <f t="shared" si="7"/>
        <v>2.0609042759577745E-2</v>
      </c>
      <c r="S95" s="27">
        <v>0</v>
      </c>
      <c r="T95" s="41">
        <f t="shared" ca="1" si="8"/>
        <v>0.16245385647473901</v>
      </c>
      <c r="U95" s="41">
        <f t="shared" ca="1" si="9"/>
        <v>2.2275827983626366E-2</v>
      </c>
      <c r="V95" s="41">
        <f t="shared" ca="1" si="10"/>
        <v>7.292831341405094</v>
      </c>
      <c r="W95" s="20">
        <f t="shared" ca="1" si="11"/>
        <v>2362.0933533652114</v>
      </c>
      <c r="X95" s="41">
        <f t="shared" si="12"/>
        <v>0.57124066324822942</v>
      </c>
      <c r="Y95" s="41">
        <f t="shared" ca="1" si="13"/>
        <v>207.14566477121807</v>
      </c>
      <c r="Z95" s="14">
        <f t="shared" ca="1" si="14"/>
        <v>2362.0933533652114</v>
      </c>
      <c r="AA95" s="14">
        <f t="shared" si="15"/>
        <v>4318.772914781468</v>
      </c>
      <c r="AB95" s="25">
        <f t="shared" ca="1" si="16"/>
        <v>1759209.4158201271</v>
      </c>
      <c r="AC95" s="41">
        <f t="shared" si="17"/>
        <v>3216479.977664032</v>
      </c>
      <c r="AD95" s="5">
        <f t="shared" ca="1" si="18"/>
        <v>54.69362247041726</v>
      </c>
      <c r="AE95" s="7">
        <f t="shared" ca="1" si="19"/>
        <v>2362.0933533652114</v>
      </c>
      <c r="AF95" s="41">
        <f t="shared" ca="1" si="60"/>
        <v>1956.6795614162565</v>
      </c>
      <c r="AG95" s="41">
        <f t="shared" ca="1" si="20"/>
        <v>84.595442094166032</v>
      </c>
      <c r="AH95" s="41">
        <f t="shared" ca="1" si="21"/>
        <v>1928.1501206971629</v>
      </c>
      <c r="AI95" s="13">
        <f t="shared" ca="1" si="22"/>
        <v>0</v>
      </c>
      <c r="AJ95" s="10">
        <f t="shared" ca="1" si="23"/>
        <v>0</v>
      </c>
      <c r="AK95" s="11">
        <f t="shared" ca="1" si="24"/>
        <v>0.29464901071159988</v>
      </c>
      <c r="AL95" s="7">
        <v>0</v>
      </c>
      <c r="AM95" s="41">
        <f t="shared" si="25"/>
        <v>815.84074415752093</v>
      </c>
      <c r="AN95" s="41">
        <f t="shared" ca="1" si="26"/>
        <v>436.96206369916308</v>
      </c>
      <c r="AO95" s="6">
        <v>100</v>
      </c>
      <c r="AP95" s="67">
        <f t="shared" si="54"/>
        <v>0.81628870338684067</v>
      </c>
      <c r="AQ95" s="11">
        <f t="shared" si="28"/>
        <v>0.98330272071837588</v>
      </c>
      <c r="AR95" s="11">
        <f t="shared" si="29"/>
        <v>0.68770269343653956</v>
      </c>
      <c r="AS95" s="11">
        <f t="shared" si="30"/>
        <v>0.69938044403469313</v>
      </c>
      <c r="AT95" s="11">
        <f t="shared" si="31"/>
        <v>510.00962215499999</v>
      </c>
      <c r="AU95" s="11">
        <f t="shared" si="32"/>
        <v>1455.3301939042735</v>
      </c>
      <c r="AV95" s="11">
        <f t="shared" si="33"/>
        <v>1.6623573774260621E-3</v>
      </c>
      <c r="AW95" s="11">
        <f t="shared" si="34"/>
        <v>3.6885478983619832E-7</v>
      </c>
      <c r="AX95" s="41">
        <f t="shared" ca="1" si="61"/>
        <v>3.6189709489156234</v>
      </c>
      <c r="AY95" s="41">
        <f t="shared" ca="1" si="62"/>
        <v>1.9435214355287609</v>
      </c>
      <c r="AZ95" s="41">
        <f t="shared" si="63"/>
        <v>0.43842655737015868</v>
      </c>
      <c r="BA95" s="41">
        <f t="shared" ca="1" si="37"/>
        <v>18.093857146341826</v>
      </c>
      <c r="BB95" s="41">
        <f t="shared" ca="1" si="38"/>
        <v>2.9394168719262459</v>
      </c>
      <c r="BC95" s="41">
        <f t="shared" ca="1" si="64"/>
        <v>6.3155919416568116</v>
      </c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</row>
    <row r="96" spans="1:67">
      <c r="A96" s="41">
        <f t="shared" si="55"/>
        <v>805.41124678588096</v>
      </c>
      <c r="B96" s="41">
        <f t="shared" si="56"/>
        <v>13.423520779764683</v>
      </c>
      <c r="C96" s="41">
        <f t="shared" si="56"/>
        <v>0.22372534632941138</v>
      </c>
      <c r="D96" s="23">
        <f t="shared" ca="1" si="65"/>
        <v>17226.348438746474</v>
      </c>
      <c r="E96" s="41">
        <f t="shared" si="57"/>
        <v>100</v>
      </c>
      <c r="F96" s="41">
        <f t="shared" si="58"/>
        <v>100</v>
      </c>
      <c r="G96" s="41"/>
      <c r="H96" s="6">
        <f t="shared" si="66"/>
        <v>10000</v>
      </c>
      <c r="I96" s="5">
        <v>15</v>
      </c>
      <c r="J96" s="41">
        <f t="shared" si="0"/>
        <v>0.68143681683257007</v>
      </c>
      <c r="K96" s="41">
        <f t="shared" si="1"/>
        <v>754.41129882863993</v>
      </c>
      <c r="L96" s="6">
        <f t="shared" si="59"/>
        <v>380</v>
      </c>
      <c r="M96" s="41">
        <f t="shared" si="2"/>
        <v>446.97662397518792</v>
      </c>
      <c r="N96" s="41">
        <f t="shared" si="3"/>
        <v>473.05405313431106</v>
      </c>
      <c r="O96" s="41">
        <f t="shared" si="4"/>
        <v>3399986.1809529183</v>
      </c>
      <c r="P96" s="41">
        <f t="shared" si="5"/>
        <v>21830300.398173977</v>
      </c>
      <c r="Q96" s="41">
        <f t="shared" si="6"/>
        <v>2.5491028099127178E-3</v>
      </c>
      <c r="R96" s="41">
        <f t="shared" si="7"/>
        <v>2.0562272654517141E-2</v>
      </c>
      <c r="S96" s="27">
        <v>0</v>
      </c>
      <c r="T96" s="41">
        <f t="shared" ca="1" si="8"/>
        <v>0.1583268690517268</v>
      </c>
      <c r="U96" s="41">
        <f t="shared" ca="1" si="9"/>
        <v>2.2145447343723767E-2</v>
      </c>
      <c r="V96" s="41">
        <f t="shared" ca="1" si="10"/>
        <v>7.1494093839833024</v>
      </c>
      <c r="W96" s="20">
        <f t="shared" ca="1" si="11"/>
        <v>2409.4785336168279</v>
      </c>
      <c r="X96" s="41">
        <f t="shared" si="12"/>
        <v>0.57059210908599878</v>
      </c>
      <c r="Y96" s="41">
        <f t="shared" ca="1" si="13"/>
        <v>207.14566477121807</v>
      </c>
      <c r="Z96" s="14">
        <f t="shared" ca="1" si="14"/>
        <v>2409.4785336168279</v>
      </c>
      <c r="AA96" s="14">
        <f t="shared" si="15"/>
        <v>4318.772914781468</v>
      </c>
      <c r="AB96" s="25">
        <f t="shared" ca="1" si="16"/>
        <v>1817737.8300455979</v>
      </c>
      <c r="AC96" s="41">
        <f t="shared" si="17"/>
        <v>3258131.0839862381</v>
      </c>
      <c r="AD96" s="5">
        <f t="shared" ca="1" si="18"/>
        <v>55.79081329722446</v>
      </c>
      <c r="AE96" s="7">
        <f t="shared" ca="1" si="19"/>
        <v>2409.4785336168279</v>
      </c>
      <c r="AF96" s="41">
        <f t="shared" ca="1" si="60"/>
        <v>1909.2943811646401</v>
      </c>
      <c r="AG96" s="41">
        <f t="shared" ca="1" si="20"/>
        <v>83.615704109457496</v>
      </c>
      <c r="AH96" s="41">
        <f t="shared" ca="1" si="21"/>
        <v>1969.6285567771167</v>
      </c>
      <c r="AI96" s="13">
        <f t="shared" ca="1" si="22"/>
        <v>0</v>
      </c>
      <c r="AJ96" s="10">
        <f t="shared" ca="1" si="23"/>
        <v>0</v>
      </c>
      <c r="AK96" s="11">
        <f t="shared" ca="1" si="24"/>
        <v>0.29123654757168738</v>
      </c>
      <c r="AL96" s="7">
        <v>0</v>
      </c>
      <c r="AM96" s="41">
        <f t="shared" si="25"/>
        <v>805.41124678588096</v>
      </c>
      <c r="AN96" s="41">
        <f t="shared" ca="1" si="26"/>
        <v>440.65583100525913</v>
      </c>
      <c r="AO96" s="6">
        <v>100</v>
      </c>
      <c r="AP96" s="67">
        <f t="shared" si="54"/>
        <v>0.81745013673997757</v>
      </c>
      <c r="AQ96" s="11">
        <f t="shared" si="28"/>
        <v>0.98330272071837588</v>
      </c>
      <c r="AR96" s="11">
        <f t="shared" si="29"/>
        <v>0.68770269343653956</v>
      </c>
      <c r="AS96" s="11">
        <f t="shared" si="30"/>
        <v>0.69938044403469313</v>
      </c>
      <c r="AT96" s="11">
        <f t="shared" si="31"/>
        <v>510.00962215499999</v>
      </c>
      <c r="AU96" s="11">
        <f t="shared" si="32"/>
        <v>1455.3301939042735</v>
      </c>
      <c r="AV96" s="11">
        <f t="shared" si="33"/>
        <v>1.6623573774260621E-3</v>
      </c>
      <c r="AW96" s="11">
        <f t="shared" si="34"/>
        <v>3.6885478983619832E-7</v>
      </c>
      <c r="AX96" s="41">
        <f t="shared" ca="1" si="61"/>
        <v>3.710370669941331</v>
      </c>
      <c r="AY96" s="41">
        <f t="shared" ca="1" si="62"/>
        <v>1.9926064708944187</v>
      </c>
      <c r="AZ96" s="41">
        <f t="shared" si="63"/>
        <v>0.44274683300048817</v>
      </c>
      <c r="BA96" s="41">
        <f t="shared" ca="1" si="37"/>
        <v>17.967715162824465</v>
      </c>
      <c r="BB96" s="41">
        <f t="shared" ca="1" si="38"/>
        <v>2.8447720857432364</v>
      </c>
      <c r="BC96" s="41">
        <f t="shared" ca="1" si="64"/>
        <v>6.1913885265295399</v>
      </c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</row>
    <row r="97" spans="1:67">
      <c r="A97" s="41">
        <f t="shared" si="55"/>
        <v>795.25482416519742</v>
      </c>
      <c r="B97" s="41">
        <f t="shared" si="56"/>
        <v>13.254247069419957</v>
      </c>
      <c r="C97" s="41">
        <f t="shared" si="56"/>
        <v>0.22090411782366595</v>
      </c>
      <c r="D97" s="23">
        <f t="shared" ca="1" si="65"/>
        <v>17226.348438746474</v>
      </c>
      <c r="E97" s="41">
        <f t="shared" si="57"/>
        <v>100</v>
      </c>
      <c r="F97" s="41">
        <f t="shared" si="58"/>
        <v>100</v>
      </c>
      <c r="G97" s="41"/>
      <c r="H97" s="6">
        <f t="shared" si="66"/>
        <v>10000</v>
      </c>
      <c r="I97" s="5">
        <v>15</v>
      </c>
      <c r="J97" s="41">
        <f t="shared" si="0"/>
        <v>0.69013963772813658</v>
      </c>
      <c r="K97" s="41">
        <f t="shared" si="1"/>
        <v>764.04609732076563</v>
      </c>
      <c r="L97" s="6">
        <f t="shared" si="59"/>
        <v>385</v>
      </c>
      <c r="M97" s="41">
        <f t="shared" si="2"/>
        <v>452.68508792499648</v>
      </c>
      <c r="N97" s="41">
        <f t="shared" si="3"/>
        <v>485.21422314230364</v>
      </c>
      <c r="O97" s="41">
        <f t="shared" si="4"/>
        <v>3443408.3589881044</v>
      </c>
      <c r="P97" s="41">
        <f t="shared" si="5"/>
        <v>22109101.293236859</v>
      </c>
      <c r="Q97" s="41">
        <f t="shared" si="6"/>
        <v>2.5415097638497521E-3</v>
      </c>
      <c r="R97" s="41">
        <f t="shared" si="7"/>
        <v>2.0515917108302736E-2</v>
      </c>
      <c r="S97" s="27">
        <v>0</v>
      </c>
      <c r="T97" s="41">
        <f t="shared" ca="1" si="8"/>
        <v>0.15435896878690389</v>
      </c>
      <c r="U97" s="41">
        <f t="shared" ca="1" si="9"/>
        <v>2.2020732857969082E-2</v>
      </c>
      <c r="V97" s="41">
        <f t="shared" ca="1" si="10"/>
        <v>7.0097107931193543</v>
      </c>
      <c r="W97" s="20">
        <f t="shared" ca="1" si="11"/>
        <v>2457.4977409418439</v>
      </c>
      <c r="X97" s="41">
        <f t="shared" si="12"/>
        <v>0.56994857533313403</v>
      </c>
      <c r="Y97" s="41">
        <f t="shared" ca="1" si="13"/>
        <v>207.14566477121807</v>
      </c>
      <c r="Z97" s="14">
        <f t="shared" ca="1" si="14"/>
        <v>2457.4977409418439</v>
      </c>
      <c r="AA97" s="14">
        <f t="shared" si="15"/>
        <v>4318.772914781468</v>
      </c>
      <c r="AB97" s="25">
        <f t="shared" ca="1" si="16"/>
        <v>1877641.5581412136</v>
      </c>
      <c r="AC97" s="41">
        <f t="shared" si="17"/>
        <v>3299741.5907534081</v>
      </c>
      <c r="AD97" s="5">
        <f t="shared" ca="1" si="18"/>
        <v>56.902684846679286</v>
      </c>
      <c r="AE97" s="7">
        <f t="shared" ca="1" si="19"/>
        <v>2457.4977409418439</v>
      </c>
      <c r="AF97" s="41">
        <f t="shared" ca="1" si="60"/>
        <v>1861.2751738396241</v>
      </c>
      <c r="AG97" s="41">
        <f t="shared" ca="1" si="20"/>
        <v>82.553771489582033</v>
      </c>
      <c r="AH97" s="41">
        <f t="shared" ca="1" si="21"/>
        <v>2011.7059785617487</v>
      </c>
      <c r="AI97" s="13">
        <f t="shared" ca="1" si="22"/>
        <v>0</v>
      </c>
      <c r="AJ97" s="10">
        <f t="shared" ca="1" si="23"/>
        <v>0</v>
      </c>
      <c r="AK97" s="11">
        <f t="shared" ca="1" si="24"/>
        <v>0.28753779751916814</v>
      </c>
      <c r="AL97" s="7">
        <v>0</v>
      </c>
      <c r="AM97" s="41">
        <f t="shared" si="25"/>
        <v>795.25482416519742</v>
      </c>
      <c r="AN97" s="41">
        <f t="shared" ca="1" si="26"/>
        <v>444.39413451477776</v>
      </c>
      <c r="AO97" s="6">
        <v>100</v>
      </c>
      <c r="AP97" s="67">
        <f t="shared" si="54"/>
        <v>0.81859931956265231</v>
      </c>
      <c r="AQ97" s="11">
        <f t="shared" si="28"/>
        <v>0.98330272071837588</v>
      </c>
      <c r="AR97" s="11">
        <f t="shared" si="29"/>
        <v>0.68770269343653956</v>
      </c>
      <c r="AS97" s="11">
        <f t="shared" si="30"/>
        <v>0.69938044403469313</v>
      </c>
      <c r="AT97" s="11">
        <f t="shared" si="31"/>
        <v>510.00962215499999</v>
      </c>
      <c r="AU97" s="11">
        <f t="shared" si="32"/>
        <v>1455.3301939042735</v>
      </c>
      <c r="AV97" s="11">
        <f t="shared" si="33"/>
        <v>1.6623573774260621E-3</v>
      </c>
      <c r="AW97" s="11">
        <f t="shared" si="34"/>
        <v>3.6885478983619832E-7</v>
      </c>
      <c r="AX97" s="41">
        <f t="shared" ca="1" si="61"/>
        <v>3.8029299626241055</v>
      </c>
      <c r="AY97" s="41">
        <f t="shared" ca="1" si="62"/>
        <v>2.0423142391870197</v>
      </c>
      <c r="AZ97" s="41">
        <f t="shared" si="63"/>
        <v>0.44702607027177638</v>
      </c>
      <c r="BA97" s="41">
        <f t="shared" ca="1" si="37"/>
        <v>17.841615095586977</v>
      </c>
      <c r="BB97" s="41">
        <f t="shared" ca="1" si="38"/>
        <v>2.7540133076476634</v>
      </c>
      <c r="BC97" s="41">
        <f t="shared" ca="1" si="64"/>
        <v>6.0704095468413604</v>
      </c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</row>
    <row r="98" spans="1:67">
      <c r="A98" s="41">
        <f t="shared" si="55"/>
        <v>785.36092004747229</v>
      </c>
      <c r="B98" s="41">
        <f t="shared" si="56"/>
        <v>13.089348667457871</v>
      </c>
      <c r="C98" s="41">
        <f t="shared" si="56"/>
        <v>0.21815581112429785</v>
      </c>
      <c r="D98" s="23">
        <f t="shared" ca="1" si="65"/>
        <v>17226.348438746474</v>
      </c>
      <c r="E98" s="41">
        <f t="shared" si="57"/>
        <v>100</v>
      </c>
      <c r="F98" s="41">
        <f t="shared" si="58"/>
        <v>100</v>
      </c>
      <c r="G98" s="41"/>
      <c r="H98" s="6">
        <f t="shared" si="66"/>
        <v>10000</v>
      </c>
      <c r="I98" s="5">
        <v>15</v>
      </c>
      <c r="J98" s="41">
        <f t="shared" si="0"/>
        <v>0.69883395295216244</v>
      </c>
      <c r="K98" s="41">
        <f t="shared" si="1"/>
        <v>773.67147927630879</v>
      </c>
      <c r="L98" s="6">
        <f t="shared" si="59"/>
        <v>390</v>
      </c>
      <c r="M98" s="41">
        <f t="shared" si="2"/>
        <v>458.38797272754454</v>
      </c>
      <c r="N98" s="41">
        <f t="shared" si="3"/>
        <v>497.51659783626047</v>
      </c>
      <c r="O98" s="41">
        <f t="shared" si="4"/>
        <v>3486788.0985095748</v>
      </c>
      <c r="P98" s="41">
        <f t="shared" si="5"/>
        <v>22387629.703220814</v>
      </c>
      <c r="Q98" s="41">
        <f t="shared" si="6"/>
        <v>2.5339824791636477E-3</v>
      </c>
      <c r="R98" s="41">
        <f t="shared" si="7"/>
        <v>2.046996303529407E-2</v>
      </c>
      <c r="S98" s="27">
        <v>0</v>
      </c>
      <c r="T98" s="41">
        <f t="shared" ca="1" si="8"/>
        <v>0.15054204714117769</v>
      </c>
      <c r="U98" s="41">
        <f t="shared" ca="1" si="9"/>
        <v>2.1901278045717034E-2</v>
      </c>
      <c r="V98" s="41">
        <f t="shared" ca="1" si="10"/>
        <v>6.8736649444353937</v>
      </c>
      <c r="W98" s="20">
        <f t="shared" ca="1" si="11"/>
        <v>2506.1373485613581</v>
      </c>
      <c r="X98" s="41">
        <f t="shared" si="12"/>
        <v>0.56930989704580914</v>
      </c>
      <c r="Y98" s="41">
        <f t="shared" ca="1" si="13"/>
        <v>207.14566477121807</v>
      </c>
      <c r="Z98" s="14">
        <f t="shared" ca="1" si="14"/>
        <v>2506.1373485613581</v>
      </c>
      <c r="AA98" s="14">
        <f t="shared" si="15"/>
        <v>4318.772914781468</v>
      </c>
      <c r="AB98" s="25">
        <f t="shared" ca="1" si="16"/>
        <v>1938926.9897310722</v>
      </c>
      <c r="AC98" s="41">
        <f t="shared" si="17"/>
        <v>3341311.4296374344</v>
      </c>
      <c r="AD98" s="5">
        <f t="shared" ca="1" si="18"/>
        <v>58.028921594461046</v>
      </c>
      <c r="AE98" s="7">
        <f t="shared" ca="1" si="19"/>
        <v>2506.1373485613581</v>
      </c>
      <c r="AF98" s="41">
        <f t="shared" ca="1" si="60"/>
        <v>1812.6355662201099</v>
      </c>
      <c r="AG98" s="41">
        <f t="shared" ca="1" si="20"/>
        <v>81.409269346487847</v>
      </c>
      <c r="AH98" s="41">
        <f t="shared" ca="1" si="21"/>
        <v>2054.371791888379</v>
      </c>
      <c r="AI98" s="13">
        <f t="shared" ca="1" si="22"/>
        <v>0</v>
      </c>
      <c r="AJ98" s="10">
        <f t="shared" ca="1" si="23"/>
        <v>0</v>
      </c>
      <c r="AK98" s="11">
        <f t="shared" ca="1" si="24"/>
        <v>0.28355145480528254</v>
      </c>
      <c r="AL98" s="7">
        <v>0</v>
      </c>
      <c r="AM98" s="41">
        <f t="shared" si="25"/>
        <v>785.36092004747229</v>
      </c>
      <c r="AN98" s="41">
        <f t="shared" ca="1" si="26"/>
        <v>448.17314461028656</v>
      </c>
      <c r="AO98" s="6">
        <v>100</v>
      </c>
      <c r="AP98" s="67">
        <f t="shared" si="54"/>
        <v>0.81973631376097</v>
      </c>
      <c r="AQ98" s="11">
        <f t="shared" si="28"/>
        <v>0.98330272071837588</v>
      </c>
      <c r="AR98" s="11">
        <f t="shared" si="29"/>
        <v>0.68770269343653956</v>
      </c>
      <c r="AS98" s="11">
        <f t="shared" si="30"/>
        <v>0.69938044403469313</v>
      </c>
      <c r="AT98" s="11">
        <f t="shared" si="31"/>
        <v>510.00962215499999</v>
      </c>
      <c r="AU98" s="11">
        <f t="shared" si="32"/>
        <v>1455.3301939042735</v>
      </c>
      <c r="AV98" s="11">
        <f t="shared" si="33"/>
        <v>1.6623573774260621E-3</v>
      </c>
      <c r="AW98" s="11">
        <f t="shared" si="34"/>
        <v>3.6885478983619832E-7</v>
      </c>
      <c r="AX98" s="41">
        <f t="shared" ca="1" si="61"/>
        <v>3.8966421752261615</v>
      </c>
      <c r="AY98" s="41">
        <f t="shared" ca="1" si="62"/>
        <v>2.0926411681770127</v>
      </c>
      <c r="AZ98" s="41">
        <f t="shared" si="63"/>
        <v>0.4512643699924388</v>
      </c>
      <c r="BA98" s="41">
        <f t="shared" ca="1" si="37"/>
        <v>17.71574620491462</v>
      </c>
      <c r="BB98" s="41">
        <f t="shared" ca="1" si="38"/>
        <v>2.6669647003213961</v>
      </c>
      <c r="BC98" s="41">
        <f t="shared" ca="1" si="64"/>
        <v>5.9525938418810505</v>
      </c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</row>
    <row r="99" spans="1:67">
      <c r="A99" s="41">
        <f t="shared" si="55"/>
        <v>775.71951286228909</v>
      </c>
      <c r="B99" s="41">
        <f t="shared" si="56"/>
        <v>12.928658547704819</v>
      </c>
      <c r="C99" s="41">
        <f t="shared" si="56"/>
        <v>0.21547764246174697</v>
      </c>
      <c r="D99" s="23">
        <f t="shared" ca="1" si="65"/>
        <v>17226.348438746474</v>
      </c>
      <c r="E99" s="41">
        <f t="shared" si="57"/>
        <v>100</v>
      </c>
      <c r="F99" s="41">
        <f t="shared" si="58"/>
        <v>100</v>
      </c>
      <c r="G99" s="41"/>
      <c r="H99" s="6">
        <f t="shared" si="66"/>
        <v>10000</v>
      </c>
      <c r="I99" s="5">
        <v>15</v>
      </c>
      <c r="J99" s="41">
        <f t="shared" si="0"/>
        <v>0.70751975056782601</v>
      </c>
      <c r="K99" s="41">
        <f t="shared" si="1"/>
        <v>783.28743148014371</v>
      </c>
      <c r="L99" s="6">
        <f t="shared" si="59"/>
        <v>395</v>
      </c>
      <c r="M99" s="41">
        <f t="shared" si="2"/>
        <v>464.0852705530815</v>
      </c>
      <c r="N99" s="41">
        <f t="shared" si="3"/>
        <v>509.96070799166455</v>
      </c>
      <c r="O99" s="41">
        <f t="shared" si="4"/>
        <v>3530125.3399593062</v>
      </c>
      <c r="P99" s="41">
        <f t="shared" si="5"/>
        <v>22665885.245721485</v>
      </c>
      <c r="Q99" s="41">
        <f t="shared" si="6"/>
        <v>2.5265189101905563E-3</v>
      </c>
      <c r="R99" s="41">
        <f t="shared" si="7"/>
        <v>2.0424397946713344E-2</v>
      </c>
      <c r="S99" s="27">
        <v>0</v>
      </c>
      <c r="T99" s="41">
        <f t="shared" ca="1" si="8"/>
        <v>0.14686850565398635</v>
      </c>
      <c r="U99" s="41">
        <f t="shared" ca="1" si="9"/>
        <v>2.1786711078652671E-2</v>
      </c>
      <c r="V99" s="41">
        <f t="shared" ca="1" si="10"/>
        <v>6.7411967379460451</v>
      </c>
      <c r="W99" s="20">
        <f t="shared" ca="1" si="11"/>
        <v>2555.3843194902984</v>
      </c>
      <c r="X99" s="41">
        <f t="shared" si="12"/>
        <v>0.56867591672118578</v>
      </c>
      <c r="Y99" s="41">
        <f t="shared" ca="1" si="13"/>
        <v>207.14566477121807</v>
      </c>
      <c r="Z99" s="14">
        <f t="shared" ca="1" si="14"/>
        <v>2555.3843194902984</v>
      </c>
      <c r="AA99" s="14">
        <f t="shared" si="15"/>
        <v>4318.772914781468</v>
      </c>
      <c r="AB99" s="25">
        <f t="shared" ca="1" si="16"/>
        <v>2001600.4200581908</v>
      </c>
      <c r="AC99" s="41">
        <f t="shared" si="17"/>
        <v>3382840.5435651895</v>
      </c>
      <c r="AD99" s="5">
        <f t="shared" ca="1" si="18"/>
        <v>59.169221672763086</v>
      </c>
      <c r="AE99" s="7">
        <f t="shared" ca="1" si="19"/>
        <v>2555.3843194902984</v>
      </c>
      <c r="AF99" s="41">
        <f t="shared" ca="1" si="60"/>
        <v>1763.3885952911696</v>
      </c>
      <c r="AG99" s="41">
        <f t="shared" ca="1" si="20"/>
        <v>80.181828924360744</v>
      </c>
      <c r="AH99" s="41">
        <f t="shared" ca="1" si="21"/>
        <v>2097.6157907490324</v>
      </c>
      <c r="AI99" s="13">
        <f t="shared" ca="1" si="22"/>
        <v>0</v>
      </c>
      <c r="AJ99" s="10">
        <f t="shared" ca="1" si="23"/>
        <v>0</v>
      </c>
      <c r="AK99" s="11">
        <f t="shared" ca="1" si="24"/>
        <v>0.2792762350400782</v>
      </c>
      <c r="AL99" s="7">
        <v>0</v>
      </c>
      <c r="AM99" s="41">
        <f t="shared" si="25"/>
        <v>775.71951286228909</v>
      </c>
      <c r="AN99" s="41">
        <f t="shared" ca="1" si="26"/>
        <v>451.98930538113467</v>
      </c>
      <c r="AO99" s="6">
        <v>100</v>
      </c>
      <c r="AP99" s="67">
        <f t="shared" si="54"/>
        <v>0.82086118113436135</v>
      </c>
      <c r="AQ99" s="11">
        <f t="shared" si="28"/>
        <v>0.98330272071837588</v>
      </c>
      <c r="AR99" s="11">
        <f t="shared" si="29"/>
        <v>0.68770269343653956</v>
      </c>
      <c r="AS99" s="11">
        <f t="shared" si="30"/>
        <v>0.69938044403469313</v>
      </c>
      <c r="AT99" s="11">
        <f t="shared" si="31"/>
        <v>510.00962215499999</v>
      </c>
      <c r="AU99" s="11">
        <f t="shared" si="32"/>
        <v>1455.3301939042735</v>
      </c>
      <c r="AV99" s="11">
        <f t="shared" si="33"/>
        <v>1.6623573774260621E-3</v>
      </c>
      <c r="AW99" s="11">
        <f t="shared" si="34"/>
        <v>3.6885478983619832E-7</v>
      </c>
      <c r="AX99" s="41">
        <f t="shared" ca="1" si="61"/>
        <v>3.9915008756639669</v>
      </c>
      <c r="AY99" s="41">
        <f t="shared" ca="1" si="62"/>
        <v>2.1435838035973158</v>
      </c>
      <c r="AZ99" s="41">
        <f t="shared" si="63"/>
        <v>0.45546183423967157</v>
      </c>
      <c r="BA99" s="41">
        <f t="shared" ca="1" si="37"/>
        <v>17.590276409930357</v>
      </c>
      <c r="BB99" s="41">
        <f t="shared" ca="1" si="38"/>
        <v>2.5834576103670397</v>
      </c>
      <c r="BC99" s="41">
        <f t="shared" ca="1" si="64"/>
        <v>5.837876375061275</v>
      </c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</row>
    <row r="100" spans="1:67">
      <c r="A100" s="41">
        <f t="shared" si="55"/>
        <v>766.32108231610357</v>
      </c>
      <c r="B100" s="41">
        <f t="shared" si="56"/>
        <v>12.772018038601725</v>
      </c>
      <c r="C100" s="41">
        <f t="shared" si="56"/>
        <v>0.21286696731002877</v>
      </c>
      <c r="D100" s="23">
        <f t="shared" ca="1" si="65"/>
        <v>17226.348438746474</v>
      </c>
      <c r="E100" s="41">
        <f t="shared" si="57"/>
        <v>100</v>
      </c>
      <c r="F100" s="41">
        <f t="shared" si="58"/>
        <v>100</v>
      </c>
      <c r="G100" s="41"/>
      <c r="H100" s="6">
        <f t="shared" si="66"/>
        <v>10000</v>
      </c>
      <c r="I100" s="5">
        <v>15</v>
      </c>
      <c r="J100" s="41">
        <f t="shared" si="0"/>
        <v>0.71619702095645832</v>
      </c>
      <c r="K100" s="41">
        <f t="shared" si="1"/>
        <v>792.89394328354661</v>
      </c>
      <c r="L100" s="6">
        <f t="shared" si="59"/>
        <v>400</v>
      </c>
      <c r="M100" s="41">
        <f t="shared" si="2"/>
        <v>469.77697509240886</v>
      </c>
      <c r="N100" s="41">
        <f t="shared" si="3"/>
        <v>522.54608736475893</v>
      </c>
      <c r="O100" s="41">
        <f t="shared" si="4"/>
        <v>3573420.0353455557</v>
      </c>
      <c r="P100" s="41">
        <f t="shared" si="5"/>
        <v>22943867.612598155</v>
      </c>
      <c r="Q100" s="41">
        <f t="shared" si="6"/>
        <v>2.5191171036964923E-3</v>
      </c>
      <c r="R100" s="41">
        <f t="shared" si="7"/>
        <v>2.0379209918067086E-2</v>
      </c>
      <c r="S100" s="27">
        <v>0</v>
      </c>
      <c r="T100" s="41">
        <f t="shared" ca="1" si="8"/>
        <v>0.14333121792701001</v>
      </c>
      <c r="U100" s="41">
        <f t="shared" ca="1" si="9"/>
        <v>2.1676691415266337E-2</v>
      </c>
      <c r="V100" s="41">
        <f t="shared" ca="1" si="10"/>
        <v>6.6122276311072783</v>
      </c>
      <c r="W100" s="20">
        <f t="shared" ca="1" si="11"/>
        <v>2605.2261657939571</v>
      </c>
      <c r="X100" s="41">
        <f t="shared" si="12"/>
        <v>0.56804648389845835</v>
      </c>
      <c r="Y100" s="41">
        <f t="shared" ca="1" si="13"/>
        <v>207.14566477121807</v>
      </c>
      <c r="Z100" s="14">
        <f t="shared" ca="1" si="14"/>
        <v>2605.2261657939571</v>
      </c>
      <c r="AA100" s="14">
        <f t="shared" si="15"/>
        <v>4318.772914781468</v>
      </c>
      <c r="AB100" s="25">
        <f t="shared" ca="1" si="16"/>
        <v>2065668.0477418455</v>
      </c>
      <c r="AC100" s="41">
        <f t="shared" si="17"/>
        <v>3424328.8865472544</v>
      </c>
      <c r="AD100" s="5">
        <f t="shared" ca="1" si="18"/>
        <v>60.323295926889053</v>
      </c>
      <c r="AE100" s="7">
        <f t="shared" ca="1" si="19"/>
        <v>2605.2261657939571</v>
      </c>
      <c r="AF100" s="41">
        <f t="shared" ca="1" si="60"/>
        <v>1713.5467489875109</v>
      </c>
      <c r="AG100" s="41">
        <f t="shared" ca="1" si="20"/>
        <v>78.871087719869422</v>
      </c>
      <c r="AH100" s="41">
        <f t="shared" ca="1" si="21"/>
        <v>2141.4281290475942</v>
      </c>
      <c r="AI100" s="13">
        <f t="shared" ca="1" si="22"/>
        <v>0</v>
      </c>
      <c r="AJ100" s="10">
        <f t="shared" ca="1" si="23"/>
        <v>0</v>
      </c>
      <c r="AK100" s="11">
        <f t="shared" ca="1" si="24"/>
        <v>0.27471087561122864</v>
      </c>
      <c r="AL100" s="7">
        <v>0</v>
      </c>
      <c r="AM100" s="41">
        <f t="shared" si="25"/>
        <v>766.32108231610357</v>
      </c>
      <c r="AN100" s="41">
        <f t="shared" ca="1" si="26"/>
        <v>455.83931154275029</v>
      </c>
      <c r="AO100" s="6">
        <v>100</v>
      </c>
      <c r="AP100" s="67">
        <f t="shared" si="54"/>
        <v>0.82197398335855498</v>
      </c>
      <c r="AQ100" s="11">
        <f t="shared" si="28"/>
        <v>0.98330272071837588</v>
      </c>
      <c r="AR100" s="11">
        <f t="shared" si="29"/>
        <v>0.68770269343653956</v>
      </c>
      <c r="AS100" s="11">
        <f t="shared" si="30"/>
        <v>0.69938044403469313</v>
      </c>
      <c r="AT100" s="11">
        <f t="shared" si="31"/>
        <v>510.00962215499999</v>
      </c>
      <c r="AU100" s="11">
        <f t="shared" si="32"/>
        <v>1455.3301939042735</v>
      </c>
      <c r="AV100" s="11">
        <f t="shared" si="33"/>
        <v>1.6623573774260621E-3</v>
      </c>
      <c r="AW100" s="11">
        <f t="shared" si="34"/>
        <v>3.6885478983619832E-7</v>
      </c>
      <c r="AX100" s="41">
        <f t="shared" ca="1" si="61"/>
        <v>4.0874998370261633</v>
      </c>
      <c r="AY100" s="41">
        <f t="shared" ca="1" si="62"/>
        <v>2.1951388013659026</v>
      </c>
      <c r="AZ100" s="41">
        <f t="shared" si="63"/>
        <v>0.45961856629213999</v>
      </c>
      <c r="BA100" s="41">
        <f t="shared" ca="1" si="37"/>
        <v>17.46535431490971</v>
      </c>
      <c r="BB100" s="41">
        <f t="shared" ca="1" si="38"/>
        <v>2.503330505482769</v>
      </c>
      <c r="BC100" s="41">
        <f t="shared" ca="1" si="64"/>
        <v>5.7261891285389028</v>
      </c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</row>
    <row r="101" spans="1:67">
      <c r="A101" s="41">
        <f t="shared" si="55"/>
        <v>757.15657846519844</v>
      </c>
      <c r="B101" s="41">
        <f t="shared" si="56"/>
        <v>12.619276307753307</v>
      </c>
      <c r="C101" s="41">
        <f t="shared" si="56"/>
        <v>0.21032127179588844</v>
      </c>
      <c r="D101" s="23">
        <f t="shared" ca="1" si="65"/>
        <v>17226.348438746474</v>
      </c>
      <c r="E101" s="41">
        <f t="shared" si="57"/>
        <v>100</v>
      </c>
      <c r="F101" s="41">
        <f t="shared" si="58"/>
        <v>100</v>
      </c>
      <c r="G101" s="41"/>
      <c r="H101" s="6">
        <f t="shared" si="66"/>
        <v>10000</v>
      </c>
      <c r="I101" s="5">
        <v>15</v>
      </c>
      <c r="J101" s="41">
        <f t="shared" si="0"/>
        <v>0.72486575678104437</v>
      </c>
      <c r="K101" s="41">
        <f t="shared" si="1"/>
        <v>802.49100656378789</v>
      </c>
      <c r="L101" s="6">
        <f t="shared" si="59"/>
        <v>405</v>
      </c>
      <c r="M101" s="41">
        <f t="shared" si="2"/>
        <v>475.46308153293933</v>
      </c>
      <c r="N101" s="41">
        <f t="shared" si="3"/>
        <v>535.27227284543267</v>
      </c>
      <c r="O101" s="41">
        <f t="shared" si="4"/>
        <v>3616672.1480607484</v>
      </c>
      <c r="P101" s="41">
        <f t="shared" si="5"/>
        <v>23221576.568804473</v>
      </c>
      <c r="Q101" s="41">
        <f t="shared" si="6"/>
        <v>2.511775193886815E-3</v>
      </c>
      <c r="R101" s="41">
        <f t="shared" si="7"/>
        <v>2.0334387558679005E-2</v>
      </c>
      <c r="S101" s="27">
        <v>0</v>
      </c>
      <c r="T101" s="41">
        <f t="shared" ca="1" si="8"/>
        <v>0.13992349487269681</v>
      </c>
      <c r="U101" s="41">
        <f t="shared" ca="1" si="9"/>
        <v>2.1570906800254211E-2</v>
      </c>
      <c r="V101" s="41">
        <f t="shared" ca="1" si="10"/>
        <v>6.4866765300310805</v>
      </c>
      <c r="W101" s="20">
        <f t="shared" ca="1" si="11"/>
        <v>2655.6509113710863</v>
      </c>
      <c r="X101" s="41">
        <f t="shared" si="12"/>
        <v>0.56742145478537553</v>
      </c>
      <c r="Y101" s="41">
        <f t="shared" ca="1" si="13"/>
        <v>207.14566477121807</v>
      </c>
      <c r="Z101" s="14">
        <f t="shared" ca="1" si="14"/>
        <v>2655.6509113710863</v>
      </c>
      <c r="AA101" s="14">
        <f t="shared" si="15"/>
        <v>4318.772914781468</v>
      </c>
      <c r="AB101" s="25">
        <f t="shared" ca="1" si="16"/>
        <v>2131135.9729482238</v>
      </c>
      <c r="AC101" s="41">
        <f t="shared" si="17"/>
        <v>3465776.4235034045</v>
      </c>
      <c r="AD101" s="5">
        <f t="shared" ca="1" si="18"/>
        <v>61.490867053505717</v>
      </c>
      <c r="AE101" s="7">
        <f t="shared" ca="1" si="19"/>
        <v>2655.6509113710863</v>
      </c>
      <c r="AF101" s="41">
        <f t="shared" ca="1" si="60"/>
        <v>1663.1220034103817</v>
      </c>
      <c r="AG101" s="41">
        <f t="shared" ca="1" si="20"/>
        <v>77.476689578229596</v>
      </c>
      <c r="AH101" s="41">
        <f t="shared" ca="1" si="21"/>
        <v>2185.7992948622691</v>
      </c>
      <c r="AI101" s="13">
        <f t="shared" ca="1" si="22"/>
        <v>0</v>
      </c>
      <c r="AJ101" s="10">
        <f t="shared" ca="1" si="23"/>
        <v>0</v>
      </c>
      <c r="AK101" s="11">
        <f t="shared" ca="1" si="24"/>
        <v>0.26985413601862823</v>
      </c>
      <c r="AL101" s="7">
        <v>0</v>
      </c>
      <c r="AM101" s="41">
        <f t="shared" si="25"/>
        <v>757.15657846519844</v>
      </c>
      <c r="AN101" s="41">
        <f t="shared" ca="1" si="26"/>
        <v>459.72008758598861</v>
      </c>
      <c r="AO101" s="6">
        <v>100</v>
      </c>
      <c r="AP101" s="67">
        <f t="shared" si="54"/>
        <v>0.8230747819689006</v>
      </c>
      <c r="AQ101" s="11">
        <f t="shared" si="28"/>
        <v>0.98330272071837588</v>
      </c>
      <c r="AR101" s="11">
        <f t="shared" si="29"/>
        <v>0.68770269343653956</v>
      </c>
      <c r="AS101" s="11">
        <f t="shared" si="30"/>
        <v>0.69938044403469313</v>
      </c>
      <c r="AT101" s="11">
        <f t="shared" si="31"/>
        <v>510.00962215499999</v>
      </c>
      <c r="AU101" s="11">
        <f t="shared" si="32"/>
        <v>1455.3301939042735</v>
      </c>
      <c r="AV101" s="11">
        <f t="shared" si="33"/>
        <v>1.6623573774260621E-3</v>
      </c>
      <c r="AW101" s="11">
        <f t="shared" si="34"/>
        <v>3.6885478983619832E-7</v>
      </c>
      <c r="AX101" s="41">
        <f t="shared" ca="1" si="61"/>
        <v>4.1846330245129186</v>
      </c>
      <c r="AY101" s="41">
        <f t="shared" ca="1" si="62"/>
        <v>2.247302920571753</v>
      </c>
      <c r="AZ101" s="41">
        <f t="shared" si="63"/>
        <v>0.46373467056339873</v>
      </c>
      <c r="BA101" s="41">
        <f t="shared" ca="1" si="37"/>
        <v>17.341111057307117</v>
      </c>
      <c r="BB101" s="41">
        <f t="shared" ca="1" si="38"/>
        <v>2.4264288641139786</v>
      </c>
      <c r="BC101" s="41">
        <f t="shared" ca="1" si="64"/>
        <v>5.6174618750069154</v>
      </c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</row>
    <row r="102" spans="1:67">
      <c r="A102" s="41">
        <f t="shared" si="55"/>
        <v>748.21739305114147</v>
      </c>
      <c r="B102" s="41">
        <f t="shared" si="56"/>
        <v>12.470289884185691</v>
      </c>
      <c r="C102" s="41">
        <f t="shared" si="56"/>
        <v>0.20783816473642819</v>
      </c>
      <c r="D102" s="23">
        <f t="shared" ca="1" si="65"/>
        <v>17226.348438746474</v>
      </c>
      <c r="E102" s="41">
        <f t="shared" si="57"/>
        <v>100</v>
      </c>
      <c r="F102" s="41">
        <f t="shared" si="58"/>
        <v>100</v>
      </c>
      <c r="G102" s="41"/>
      <c r="H102" s="6">
        <f t="shared" si="66"/>
        <v>10000</v>
      </c>
      <c r="I102" s="5">
        <v>15</v>
      </c>
      <c r="J102" s="41">
        <f t="shared" si="0"/>
        <v>0.73352595294908984</v>
      </c>
      <c r="K102" s="41">
        <f t="shared" si="1"/>
        <v>812.07861568302224</v>
      </c>
      <c r="L102" s="6">
        <f t="shared" si="59"/>
        <v>410</v>
      </c>
      <c r="M102" s="41">
        <f t="shared" si="2"/>
        <v>481.14358653433976</v>
      </c>
      <c r="N102" s="41">
        <f t="shared" si="3"/>
        <v>548.13880460469341</v>
      </c>
      <c r="O102" s="41">
        <f t="shared" si="4"/>
        <v>3659881.652696203</v>
      </c>
      <c r="P102" s="41">
        <f t="shared" si="5"/>
        <v>23499011.951198846</v>
      </c>
      <c r="Q102" s="41">
        <f t="shared" si="6"/>
        <v>2.5044913977353045E-3</v>
      </c>
      <c r="R102" s="41">
        <f t="shared" si="7"/>
        <v>2.0289919983174032E-2</v>
      </c>
      <c r="S102" s="27">
        <v>0</v>
      </c>
      <c r="T102" s="41">
        <f t="shared" ca="1" si="8"/>
        <v>0.1366390529110578</v>
      </c>
      <c r="U102" s="41">
        <f t="shared" ca="1" si="9"/>
        <v>2.1469070585305786E-2</v>
      </c>
      <c r="V102" s="41">
        <f t="shared" ca="1" si="10"/>
        <v>6.3644605558555734</v>
      </c>
      <c r="W102" s="20">
        <f t="shared" ca="1" si="11"/>
        <v>2706.6470579187589</v>
      </c>
      <c r="X102" s="41">
        <f t="shared" si="12"/>
        <v>0.56680069190833204</v>
      </c>
      <c r="Y102" s="41">
        <f t="shared" ca="1" si="13"/>
        <v>207.14566477121807</v>
      </c>
      <c r="Z102" s="14">
        <f t="shared" ca="1" si="14"/>
        <v>2706.6470579187589</v>
      </c>
      <c r="AA102" s="14">
        <f t="shared" si="15"/>
        <v>4318.772914781468</v>
      </c>
      <c r="AB102" s="25">
        <f t="shared" ca="1" si="16"/>
        <v>2198010.1959371907</v>
      </c>
      <c r="AC102" s="41">
        <f t="shared" si="17"/>
        <v>3507183.1300850655</v>
      </c>
      <c r="AD102" s="5">
        <f t="shared" ca="1" si="18"/>
        <v>62.67166881256864</v>
      </c>
      <c r="AE102" s="7">
        <f t="shared" ca="1" si="19"/>
        <v>2706.6470579187589</v>
      </c>
      <c r="AF102" s="41">
        <f t="shared" ca="1" si="60"/>
        <v>1612.125856862709</v>
      </c>
      <c r="AG102" s="41">
        <f t="shared" ca="1" si="20"/>
        <v>75.998284767258582</v>
      </c>
      <c r="AH102" s="41">
        <f t="shared" ca="1" si="21"/>
        <v>2230.720086967528</v>
      </c>
      <c r="AI102" s="13">
        <f t="shared" ca="1" si="22"/>
        <v>0</v>
      </c>
      <c r="AJ102" s="10">
        <f t="shared" ca="1" si="23"/>
        <v>0</v>
      </c>
      <c r="AK102" s="11">
        <f t="shared" ca="1" si="24"/>
        <v>0.26470479813232717</v>
      </c>
      <c r="AL102" s="7">
        <v>0</v>
      </c>
      <c r="AM102" s="41">
        <f t="shared" si="25"/>
        <v>748.21739305114147</v>
      </c>
      <c r="AN102" s="41">
        <f t="shared" ca="1" si="26"/>
        <v>463.6287689160165</v>
      </c>
      <c r="AO102" s="6">
        <v>100</v>
      </c>
      <c r="AP102" s="67">
        <f t="shared" si="54"/>
        <v>0.82416363834404449</v>
      </c>
      <c r="AQ102" s="11">
        <f t="shared" si="28"/>
        <v>0.98330272071837588</v>
      </c>
      <c r="AR102" s="11">
        <f t="shared" si="29"/>
        <v>0.68770269343653956</v>
      </c>
      <c r="AS102" s="11">
        <f t="shared" si="30"/>
        <v>0.69938044403469313</v>
      </c>
      <c r="AT102" s="11">
        <f t="shared" si="31"/>
        <v>510.00962215499999</v>
      </c>
      <c r="AU102" s="11">
        <f t="shared" si="32"/>
        <v>1455.3301939042735</v>
      </c>
      <c r="AV102" s="11">
        <f t="shared" si="33"/>
        <v>1.6623573774260621E-3</v>
      </c>
      <c r="AW102" s="11">
        <f t="shared" si="34"/>
        <v>3.6885478983619832E-7</v>
      </c>
      <c r="AX102" s="41">
        <f t="shared" ca="1" si="61"/>
        <v>4.2828945836399557</v>
      </c>
      <c r="AY102" s="41">
        <f t="shared" ca="1" si="62"/>
        <v>2.3000730171399764</v>
      </c>
      <c r="AZ102" s="41">
        <f t="shared" si="63"/>
        <v>0.46781025253608061</v>
      </c>
      <c r="BA102" s="41">
        <f t="shared" ca="1" si="37"/>
        <v>17.217661991037218</v>
      </c>
      <c r="BB102" s="41">
        <f t="shared" ca="1" si="38"/>
        <v>2.352605027798043</v>
      </c>
      <c r="BC102" s="41">
        <f t="shared" ca="1" si="64"/>
        <v>5.5116228413709267</v>
      </c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</row>
    <row r="103" spans="1:67">
      <c r="A103" s="41">
        <f t="shared" si="55"/>
        <v>739.49533290792988</v>
      </c>
      <c r="B103" s="41">
        <f t="shared" si="56"/>
        <v>12.324922215132165</v>
      </c>
      <c r="C103" s="41">
        <f t="shared" si="56"/>
        <v>0.20541537025220274</v>
      </c>
      <c r="D103" s="23">
        <f t="shared" ca="1" si="65"/>
        <v>17226.348438746474</v>
      </c>
      <c r="E103" s="41">
        <f t="shared" si="57"/>
        <v>100</v>
      </c>
      <c r="F103" s="41">
        <f t="shared" si="58"/>
        <v>100</v>
      </c>
      <c r="G103" s="41"/>
      <c r="H103" s="6">
        <f t="shared" si="66"/>
        <v>10000</v>
      </c>
      <c r="I103" s="5">
        <v>15</v>
      </c>
      <c r="J103" s="41">
        <f t="shared" si="0"/>
        <v>0.74217760657490806</v>
      </c>
      <c r="K103" s="41">
        <f t="shared" si="1"/>
        <v>821.6567674465374</v>
      </c>
      <c r="L103" s="6">
        <f t="shared" si="59"/>
        <v>415</v>
      </c>
      <c r="M103" s="41">
        <f t="shared" si="2"/>
        <v>486.81848820379429</v>
      </c>
      <c r="N103" s="41">
        <f t="shared" si="3"/>
        <v>561.14522623674122</v>
      </c>
      <c r="O103" s="41">
        <f t="shared" si="4"/>
        <v>3703048.5348539664</v>
      </c>
      <c r="P103" s="41">
        <f t="shared" si="5"/>
        <v>23776173.667336304</v>
      </c>
      <c r="Q103" s="41">
        <f t="shared" si="6"/>
        <v>2.4972640106087716E-3</v>
      </c>
      <c r="R103" s="41">
        <f t="shared" si="7"/>
        <v>2.024579678476655E-2</v>
      </c>
      <c r="S103" s="27">
        <v>0</v>
      </c>
      <c r="T103" s="41">
        <f t="shared" ca="1" si="8"/>
        <v>0.13347198483229428</v>
      </c>
      <c r="U103" s="41">
        <f t="shared" ca="1" si="9"/>
        <v>2.1370919333391778E-2</v>
      </c>
      <c r="V103" s="41">
        <f t="shared" ca="1" si="10"/>
        <v>6.2454957014294683</v>
      </c>
      <c r="W103" s="20">
        <f t="shared" ca="1" si="11"/>
        <v>2758.2035537713537</v>
      </c>
      <c r="X103" s="41">
        <f t="shared" si="12"/>
        <v>0.56618406378427499</v>
      </c>
      <c r="Y103" s="41">
        <f t="shared" ca="1" si="13"/>
        <v>207.14566477121807</v>
      </c>
      <c r="Z103" s="14">
        <f t="shared" ca="1" si="14"/>
        <v>2758.2035537713537</v>
      </c>
      <c r="AA103" s="14">
        <f t="shared" si="15"/>
        <v>4318.772914781468</v>
      </c>
      <c r="AB103" s="25">
        <f t="shared" ca="1" si="16"/>
        <v>2266296.615951322</v>
      </c>
      <c r="AC103" s="41">
        <f t="shared" si="17"/>
        <v>3548548.9924950013</v>
      </c>
      <c r="AD103" s="5">
        <f t="shared" ca="1" si="18"/>
        <v>63.865445305797472</v>
      </c>
      <c r="AE103" s="7">
        <f t="shared" ca="1" si="19"/>
        <v>2758.2035537713537</v>
      </c>
      <c r="AF103" s="41">
        <f t="shared" ca="1" si="60"/>
        <v>1560.5693610101143</v>
      </c>
      <c r="AG103" s="41">
        <f t="shared" ca="1" si="20"/>
        <v>74.435530031400319</v>
      </c>
      <c r="AH103" s="41">
        <f t="shared" ca="1" si="21"/>
        <v>2276.1815933961184</v>
      </c>
      <c r="AI103" s="13">
        <f t="shared" ca="1" si="22"/>
        <v>0</v>
      </c>
      <c r="AJ103" s="10">
        <f t="shared" ca="1" si="23"/>
        <v>0</v>
      </c>
      <c r="AK103" s="11">
        <f t="shared" ca="1" si="24"/>
        <v>0.25926166638070225</v>
      </c>
      <c r="AL103" s="7">
        <v>0</v>
      </c>
      <c r="AM103" s="41">
        <f t="shared" si="25"/>
        <v>739.49533290792988</v>
      </c>
      <c r="AN103" s="41">
        <f t="shared" ca="1" si="26"/>
        <v>467.56268476871247</v>
      </c>
      <c r="AO103" s="6">
        <v>100</v>
      </c>
      <c r="AP103" s="67">
        <f t="shared" si="54"/>
        <v>0.82524061368996648</v>
      </c>
      <c r="AQ103" s="11">
        <f t="shared" si="28"/>
        <v>0.98330272071837588</v>
      </c>
      <c r="AR103" s="11">
        <f t="shared" si="29"/>
        <v>0.68770269343653956</v>
      </c>
      <c r="AS103" s="11">
        <f t="shared" si="30"/>
        <v>0.69938044403469313</v>
      </c>
      <c r="AT103" s="11">
        <f t="shared" si="31"/>
        <v>510.00962215499999</v>
      </c>
      <c r="AU103" s="11">
        <f t="shared" si="32"/>
        <v>1455.3301939042735</v>
      </c>
      <c r="AV103" s="11">
        <f t="shared" si="33"/>
        <v>1.6623573774260621E-3</v>
      </c>
      <c r="AW103" s="11">
        <f t="shared" si="34"/>
        <v>3.6885478983619832E-7</v>
      </c>
      <c r="AX103" s="41">
        <f t="shared" ca="1" si="61"/>
        <v>4.3822788295696107</v>
      </c>
      <c r="AY103" s="41">
        <f t="shared" ca="1" si="62"/>
        <v>2.3534460381021987</v>
      </c>
      <c r="AZ103" s="41">
        <f t="shared" si="63"/>
        <v>0.47184541869689312</v>
      </c>
      <c r="BA103" s="41">
        <f t="shared" ca="1" si="37"/>
        <v>17.095108218002235</v>
      </c>
      <c r="BB103" s="41">
        <f t="shared" ca="1" si="38"/>
        <v>2.2817180247796243</v>
      </c>
      <c r="BC103" s="41">
        <f t="shared" ca="1" si="64"/>
        <v>5.4085992774379195</v>
      </c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</row>
    <row r="104" spans="1:67">
      <c r="A104" s="41">
        <f t="shared" si="55"/>
        <v>730.98259526817094</v>
      </c>
      <c r="B104" s="41">
        <f t="shared" si="56"/>
        <v>12.183043254469515</v>
      </c>
      <c r="C104" s="41">
        <f t="shared" si="56"/>
        <v>0.20305072090782525</v>
      </c>
      <c r="D104" s="23">
        <f t="shared" ca="1" si="65"/>
        <v>17226.348438746474</v>
      </c>
      <c r="E104" s="41">
        <f t="shared" si="57"/>
        <v>100</v>
      </c>
      <c r="F104" s="41">
        <f t="shared" si="58"/>
        <v>100</v>
      </c>
      <c r="G104" s="41"/>
      <c r="H104" s="6">
        <f t="shared" si="66"/>
        <v>10000</v>
      </c>
      <c r="I104" s="5">
        <v>15</v>
      </c>
      <c r="J104" s="41">
        <f t="shared" si="0"/>
        <v>0.75082071694138497</v>
      </c>
      <c r="K104" s="41">
        <f t="shared" si="1"/>
        <v>831.2254610604241</v>
      </c>
      <c r="L104" s="6">
        <f t="shared" si="59"/>
        <v>420</v>
      </c>
      <c r="M104" s="41">
        <f t="shared" si="2"/>
        <v>492.4877860709243</v>
      </c>
      <c r="N104" s="41">
        <f t="shared" si="3"/>
        <v>574.29108489567318</v>
      </c>
      <c r="O104" s="41">
        <f t="shared" si="4"/>
        <v>3746172.7909560436</v>
      </c>
      <c r="P104" s="41">
        <f t="shared" si="5"/>
        <v>24053061.694243602</v>
      </c>
      <c r="Q104" s="41">
        <f t="shared" si="6"/>
        <v>2.4900914021653191E-3</v>
      </c>
      <c r="R104" s="41">
        <f t="shared" si="7"/>
        <v>2.0202008010219274E-2</v>
      </c>
      <c r="S104" s="27">
        <v>0</v>
      </c>
      <c r="T104" s="41">
        <f t="shared" ca="1" si="8"/>
        <v>0.13041673307289914</v>
      </c>
      <c r="U104" s="41">
        <f t="shared" ca="1" si="9"/>
        <v>2.1276210673528046E-2</v>
      </c>
      <c r="V104" s="41">
        <f t="shared" ca="1" si="10"/>
        <v>6.1296973917993869</v>
      </c>
      <c r="W104" s="20">
        <f t="shared" ca="1" si="11"/>
        <v>2810.3097653389445</v>
      </c>
      <c r="X104" s="41">
        <f t="shared" si="12"/>
        <v>0.5655714446128286</v>
      </c>
      <c r="Y104" s="41">
        <f t="shared" ca="1" si="13"/>
        <v>207.14566477121807</v>
      </c>
      <c r="Z104" s="14">
        <f t="shared" ca="1" si="14"/>
        <v>2810.3097653389445</v>
      </c>
      <c r="AA104" s="14">
        <f t="shared" si="15"/>
        <v>4318.772914781468</v>
      </c>
      <c r="AB104" s="25">
        <f t="shared" ca="1" si="16"/>
        <v>2336001.0304164765</v>
      </c>
      <c r="AC104" s="41">
        <f t="shared" si="17"/>
        <v>3589874.0073044975</v>
      </c>
      <c r="AD104" s="5">
        <f t="shared" ca="1" si="18"/>
        <v>65.071950315339691</v>
      </c>
      <c r="AE104" s="7">
        <f t="shared" ca="1" si="19"/>
        <v>2810.3097653389445</v>
      </c>
      <c r="AF104" s="41">
        <f t="shared" ca="1" si="60"/>
        <v>1508.4631494425234</v>
      </c>
      <c r="AG104" s="41">
        <f t="shared" ca="1" si="20"/>
        <v>72.788088627520111</v>
      </c>
      <c r="AH104" s="41">
        <f t="shared" ca="1" si="21"/>
        <v>2322.1751718451264</v>
      </c>
      <c r="AI104" s="13">
        <f t="shared" ca="1" si="22"/>
        <v>0</v>
      </c>
      <c r="AJ104" s="10">
        <f t="shared" ca="1" si="23"/>
        <v>0</v>
      </c>
      <c r="AK104" s="11">
        <f t="shared" ca="1" si="24"/>
        <v>0.25352356787513142</v>
      </c>
      <c r="AL104" s="7">
        <v>0</v>
      </c>
      <c r="AM104" s="41">
        <f t="shared" si="25"/>
        <v>730.98259526817094</v>
      </c>
      <c r="AN104" s="41">
        <f t="shared" ca="1" si="26"/>
        <v>471.51934271740589</v>
      </c>
      <c r="AO104" s="6">
        <v>100</v>
      </c>
      <c r="AP104" s="67">
        <f t="shared" si="54"/>
        <v>0.8263057690243818</v>
      </c>
      <c r="AQ104" s="11">
        <f t="shared" si="28"/>
        <v>0.98330272071837588</v>
      </c>
      <c r="AR104" s="11">
        <f t="shared" si="29"/>
        <v>0.68770269343653956</v>
      </c>
      <c r="AS104" s="11">
        <f t="shared" si="30"/>
        <v>0.69938044403469313</v>
      </c>
      <c r="AT104" s="11">
        <f t="shared" si="31"/>
        <v>510.00962215499999</v>
      </c>
      <c r="AU104" s="11">
        <f t="shared" si="32"/>
        <v>1455.3301939042735</v>
      </c>
      <c r="AV104" s="11">
        <f t="shared" si="33"/>
        <v>1.6623573774260621E-3</v>
      </c>
      <c r="AW104" s="11">
        <f t="shared" si="34"/>
        <v>3.6885478983619832E-7</v>
      </c>
      <c r="AX104" s="41">
        <f t="shared" ca="1" si="61"/>
        <v>4.4827802374477512</v>
      </c>
      <c r="AY104" s="41">
        <f t="shared" ca="1" si="62"/>
        <v>2.4074190164071259</v>
      </c>
      <c r="AZ104" s="41">
        <f t="shared" si="63"/>
        <v>0.47584027647246729</v>
      </c>
      <c r="BA104" s="41">
        <f t="shared" ca="1" si="37"/>
        <v>16.97353798020541</v>
      </c>
      <c r="BB104" s="41">
        <f t="shared" ca="1" si="38"/>
        <v>2.2136333720671648</v>
      </c>
      <c r="BC104" s="41">
        <f t="shared" ca="1" si="64"/>
        <v>5.3083179412982693</v>
      </c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</row>
    <row r="105" spans="1:67" s="119" customFormat="1">
      <c r="A105" s="107"/>
      <c r="B105" s="107"/>
      <c r="C105" s="107"/>
      <c r="D105" s="108"/>
      <c r="E105" s="107"/>
      <c r="F105" s="109"/>
      <c r="G105" s="107"/>
      <c r="H105" s="110"/>
      <c r="I105" s="111"/>
      <c r="J105" s="107"/>
      <c r="K105" s="107"/>
      <c r="L105" s="110"/>
      <c r="M105" s="107"/>
      <c r="N105" s="107"/>
      <c r="O105" s="107"/>
      <c r="P105" s="107"/>
      <c r="Q105" s="107"/>
      <c r="R105" s="107"/>
      <c r="S105" s="112"/>
      <c r="T105" s="107"/>
      <c r="U105" s="107"/>
      <c r="V105" s="107"/>
      <c r="W105" s="113"/>
      <c r="X105" s="107"/>
      <c r="Y105" s="107"/>
      <c r="Z105" s="114"/>
      <c r="AA105" s="114"/>
      <c r="AB105" s="115"/>
      <c r="AC105" s="107"/>
      <c r="AD105" s="111"/>
      <c r="AE105" s="109"/>
      <c r="AF105" s="107"/>
      <c r="AG105" s="107"/>
      <c r="AH105" s="107"/>
      <c r="AI105" s="116"/>
      <c r="AJ105" s="117"/>
      <c r="AK105" s="118"/>
      <c r="AL105" s="109"/>
      <c r="AM105" s="107"/>
      <c r="AN105" s="107"/>
      <c r="AO105" s="110"/>
      <c r="AP105" s="107"/>
      <c r="AQ105" s="118"/>
      <c r="AR105" s="118"/>
      <c r="AS105" s="118"/>
      <c r="AT105" s="118"/>
      <c r="AU105" s="118"/>
      <c r="AV105" s="118"/>
      <c r="AW105" s="118"/>
      <c r="AX105" s="118"/>
      <c r="AY105" s="118"/>
      <c r="AZ105" s="118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</row>
    <row r="106" spans="1:67" s="89" customFormat="1">
      <c r="A106" s="123" t="s">
        <v>194</v>
      </c>
      <c r="B106" s="81" t="s">
        <v>235</v>
      </c>
      <c r="C106" s="81">
        <v>240</v>
      </c>
      <c r="D106" s="81" t="s">
        <v>21</v>
      </c>
      <c r="E106" s="82"/>
      <c r="F106" s="82"/>
      <c r="G106" s="82"/>
      <c r="H106" s="83"/>
      <c r="I106" s="83"/>
      <c r="J106" s="82"/>
      <c r="K106" s="82"/>
      <c r="L106" s="84" t="s">
        <v>60</v>
      </c>
      <c r="M106" s="82"/>
      <c r="N106" s="82"/>
      <c r="O106" s="82"/>
      <c r="P106" s="82"/>
      <c r="Q106" s="81"/>
      <c r="R106" s="82"/>
      <c r="S106" s="85"/>
      <c r="T106" s="81"/>
      <c r="U106" s="81"/>
      <c r="V106" s="81"/>
      <c r="W106" s="81"/>
      <c r="X106" s="82"/>
      <c r="Y106" s="82"/>
      <c r="Z106" s="87"/>
      <c r="AA106" s="87"/>
      <c r="AB106" s="81"/>
      <c r="AC106" s="81"/>
      <c r="AD106" s="83"/>
      <c r="AE106" s="81"/>
      <c r="AF106" s="82"/>
      <c r="AG106" s="82"/>
      <c r="AH106" s="82"/>
      <c r="AI106" s="81" t="s">
        <v>61</v>
      </c>
      <c r="AJ106" s="86"/>
      <c r="AK106" s="88"/>
      <c r="AL106" s="82"/>
      <c r="AM106" s="82"/>
      <c r="AN106" s="82"/>
      <c r="AO106" s="83"/>
      <c r="AP106" s="82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</row>
    <row r="107" spans="1:67">
      <c r="A107" s="41" t="s">
        <v>2</v>
      </c>
      <c r="B107" s="41" t="s">
        <v>2</v>
      </c>
      <c r="C107" s="41" t="s">
        <v>2</v>
      </c>
      <c r="D107" s="23" t="s">
        <v>23</v>
      </c>
      <c r="E107" s="41" t="s">
        <v>24</v>
      </c>
      <c r="F107" s="41" t="s">
        <v>25</v>
      </c>
      <c r="G107" s="41"/>
      <c r="H107" s="5" t="s">
        <v>0</v>
      </c>
      <c r="I107" s="5" t="s">
        <v>26</v>
      </c>
      <c r="J107" s="41" t="s">
        <v>27</v>
      </c>
      <c r="K107" s="41" t="s">
        <v>28</v>
      </c>
      <c r="L107" s="12" t="s">
        <v>29</v>
      </c>
      <c r="M107" s="13" t="s">
        <v>30</v>
      </c>
      <c r="N107" s="41" t="s">
        <v>31</v>
      </c>
      <c r="O107" s="41" t="s">
        <v>32</v>
      </c>
      <c r="P107" s="41" t="s">
        <v>33</v>
      </c>
      <c r="Q107" s="41" t="s">
        <v>34</v>
      </c>
      <c r="R107" s="41" t="s">
        <v>13</v>
      </c>
      <c r="S107" s="24" t="s">
        <v>35</v>
      </c>
      <c r="T107" s="41" t="s">
        <v>36</v>
      </c>
      <c r="U107" s="41" t="s">
        <v>37</v>
      </c>
      <c r="V107" s="41" t="s">
        <v>38</v>
      </c>
      <c r="W107" s="41" t="s">
        <v>39</v>
      </c>
      <c r="X107" s="41" t="s">
        <v>40</v>
      </c>
      <c r="Y107" s="6" t="s">
        <v>108</v>
      </c>
      <c r="Z107" s="35" t="s">
        <v>109</v>
      </c>
      <c r="AA107" s="9" t="s">
        <v>110</v>
      </c>
      <c r="AB107" s="7" t="s">
        <v>111</v>
      </c>
      <c r="AC107" s="7" t="s">
        <v>112</v>
      </c>
      <c r="AD107" s="5" t="s">
        <v>41</v>
      </c>
      <c r="AE107" s="7" t="s">
        <v>113</v>
      </c>
      <c r="AF107" s="7" t="s">
        <v>114</v>
      </c>
      <c r="AG107" s="7" t="s">
        <v>187</v>
      </c>
      <c r="AH107" s="41" t="s">
        <v>42</v>
      </c>
      <c r="AI107" s="41" t="s">
        <v>43</v>
      </c>
      <c r="AJ107" s="10" t="s">
        <v>35</v>
      </c>
      <c r="AK107" s="36" t="s">
        <v>116</v>
      </c>
      <c r="AL107" s="5" t="s">
        <v>44</v>
      </c>
      <c r="AM107" s="5" t="s">
        <v>45</v>
      </c>
      <c r="AN107" s="41" t="s">
        <v>46</v>
      </c>
      <c r="AO107" s="41" t="s">
        <v>47</v>
      </c>
      <c r="AP107" s="7" t="s">
        <v>85</v>
      </c>
      <c r="AQ107" s="15" t="s">
        <v>62</v>
      </c>
      <c r="AR107" s="16" t="s">
        <v>63</v>
      </c>
      <c r="AS107" s="16" t="s">
        <v>64</v>
      </c>
      <c r="AT107" s="17" t="s">
        <v>65</v>
      </c>
      <c r="AU107" s="18" t="s">
        <v>66</v>
      </c>
      <c r="AV107" s="18" t="s">
        <v>67</v>
      </c>
      <c r="AW107" s="19" t="s">
        <v>68</v>
      </c>
      <c r="AX107" s="7" t="s">
        <v>207</v>
      </c>
      <c r="AY107" s="7" t="s">
        <v>208</v>
      </c>
      <c r="AZ107" s="7" t="s">
        <v>209</v>
      </c>
      <c r="BA107" s="37" t="s">
        <v>188</v>
      </c>
      <c r="BB107" s="37" t="s">
        <v>189</v>
      </c>
      <c r="BC107" s="127" t="s">
        <v>244</v>
      </c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</row>
    <row r="108" spans="1:67">
      <c r="A108" s="41" t="s">
        <v>18</v>
      </c>
      <c r="B108" s="41" t="s">
        <v>21</v>
      </c>
      <c r="C108" s="41" t="s">
        <v>48</v>
      </c>
      <c r="D108" s="23" t="s">
        <v>8</v>
      </c>
      <c r="E108" s="41" t="s">
        <v>49</v>
      </c>
      <c r="F108" s="41" t="s">
        <v>49</v>
      </c>
      <c r="G108" s="41"/>
      <c r="H108" s="5" t="s">
        <v>9</v>
      </c>
      <c r="I108" s="5" t="s">
        <v>50</v>
      </c>
      <c r="J108" s="41"/>
      <c r="K108" s="41" t="s">
        <v>51</v>
      </c>
      <c r="L108" s="5" t="s">
        <v>52</v>
      </c>
      <c r="M108" s="41" t="s">
        <v>52</v>
      </c>
      <c r="N108" s="41" t="s">
        <v>53</v>
      </c>
      <c r="O108" s="41" t="s">
        <v>54</v>
      </c>
      <c r="P108" s="41"/>
      <c r="Q108" s="41"/>
      <c r="R108" s="41"/>
      <c r="S108" s="24" t="s">
        <v>55</v>
      </c>
      <c r="T108" s="41"/>
      <c r="U108" s="41"/>
      <c r="V108" s="41"/>
      <c r="W108" s="41"/>
      <c r="X108" s="41"/>
      <c r="Y108" s="41"/>
      <c r="Z108" s="9" t="s">
        <v>118</v>
      </c>
      <c r="AA108" s="9" t="s">
        <v>118</v>
      </c>
      <c r="AB108" s="7" t="s">
        <v>119</v>
      </c>
      <c r="AC108" s="7" t="s">
        <v>119</v>
      </c>
      <c r="AD108" s="5" t="s">
        <v>20</v>
      </c>
      <c r="AE108" s="7" t="s">
        <v>118</v>
      </c>
      <c r="AF108" s="7" t="s">
        <v>118</v>
      </c>
      <c r="AG108" s="7" t="s">
        <v>119</v>
      </c>
      <c r="AH108" s="41" t="s">
        <v>56</v>
      </c>
      <c r="AI108" s="41" t="s">
        <v>57</v>
      </c>
      <c r="AJ108" s="10" t="s">
        <v>55</v>
      </c>
      <c r="AK108" s="36" t="s">
        <v>121</v>
      </c>
      <c r="AL108" s="5" t="s">
        <v>9</v>
      </c>
      <c r="AM108" s="5" t="s">
        <v>18</v>
      </c>
      <c r="AN108" s="41" t="s">
        <v>8</v>
      </c>
      <c r="AO108" s="41" t="s">
        <v>49</v>
      </c>
      <c r="AP108" s="41"/>
      <c r="AQ108" s="11"/>
      <c r="AR108" s="11"/>
      <c r="AS108" s="11"/>
      <c r="AT108" s="11"/>
      <c r="AU108" s="11"/>
      <c r="AV108" s="11"/>
      <c r="AW108" s="1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</row>
    <row r="109" spans="1:67">
      <c r="A109" s="41">
        <f t="shared" ref="A109" si="67">AM109</f>
        <v>14400</v>
      </c>
      <c r="B109" s="41">
        <f t="shared" ref="B109" si="68">(A109/60)</f>
        <v>240</v>
      </c>
      <c r="C109" s="41">
        <f>(B109/60)</f>
        <v>4</v>
      </c>
      <c r="D109" s="23">
        <f ca="1">$E$15</f>
        <v>16664.578262874267</v>
      </c>
      <c r="E109" s="41">
        <f>AO109</f>
        <v>104.53309698564229</v>
      </c>
      <c r="F109" s="7">
        <f>AO109</f>
        <v>104.53309698564229</v>
      </c>
      <c r="G109" s="41"/>
      <c r="H109" s="6">
        <v>3000</v>
      </c>
      <c r="I109" s="5">
        <v>0</v>
      </c>
      <c r="J109" s="41">
        <f t="shared" ref="J109:J188" si="69">SQRT((((((((L109^2)*(0.2))/(661.477)^2) + 1)^(3.5) - 1)*(1/AR109) + 1)^(1/3.5) - 1)*(5))</f>
        <v>3.992123383279695E-2</v>
      </c>
      <c r="K109" s="41">
        <f t="shared" ref="K109:K188" si="70">SQRT((1.4*2116.22*AR109*(J109)^2)/AV109)</f>
        <v>44.107983078717012</v>
      </c>
      <c r="L109" s="6">
        <v>25</v>
      </c>
      <c r="M109" s="41">
        <f t="shared" ref="M109:M188" si="71">K109*0.592484</f>
        <v>26.133274246410572</v>
      </c>
      <c r="N109" s="41">
        <f t="shared" ref="N109:N188" si="72">0.5*AV109*K109^2</f>
        <v>2.1158819296667506</v>
      </c>
      <c r="O109" s="41">
        <f t="shared" ref="O109:O188" si="73">P109/$B$7</f>
        <v>260919.3919491813</v>
      </c>
      <c r="P109" s="41">
        <f t="shared" ref="P109:P188" si="74">(AV109*K109*$B$7)/(AW109)</f>
        <v>1675285.8402392429</v>
      </c>
      <c r="Q109" s="41">
        <f t="shared" ref="Q109:Q188" si="75">0.455/(LOG10(P109)^2.58 * (1+0.144*J109*J109)^0.65)</f>
        <v>4.0665965324898036E-3</v>
      </c>
      <c r="R109" s="41">
        <f t="shared" ref="R109:R188" si="76">(((Q109*$B$4)+$B$17)+(0.1*(Q109*$B$4)))</f>
        <v>2.9826571830850249E-2</v>
      </c>
      <c r="S109" s="27">
        <v>0</v>
      </c>
      <c r="T109" s="41">
        <f t="shared" ref="T109:T188" ca="1" si="77">(D109*COS(RADIANS(S109)))/(N109*$B$3)</f>
        <v>34.243256716533743</v>
      </c>
      <c r="U109" s="41">
        <f t="shared" ref="U109:U188" ca="1" si="78">(W109)/(N109*$B$3)</f>
        <v>74.087440312073483</v>
      </c>
      <c r="V109" s="41">
        <f t="shared" ref="V109:V188" ca="1" si="79">T109/U109</f>
        <v>0.46220056425614386</v>
      </c>
      <c r="W109" s="20">
        <f t="shared" ref="W109:W188" ca="1" si="80">(N109*$B$3*R109)+((N109*$B$3)*((T109^2)/(PI()*$B$6*$B$5)))</f>
        <v>36054.863519463455</v>
      </c>
      <c r="X109" s="41">
        <f t="shared" ref="X109:X188" si="81">SQRT(PI()*$B$6*$B$5*R109)</f>
        <v>0.68721380391087872</v>
      </c>
      <c r="Y109" s="41">
        <f t="shared" ref="Y109:Y188" ca="1" si="82">SQRT((2*((T109*N109*$B$3)/(D109))*D109)/(AV109*$B$3*$B$18))</f>
        <v>178.11278023252399</v>
      </c>
      <c r="Z109" s="14">
        <f t="shared" ref="Z109:Z188" ca="1" si="83">W109+(D109*(SIN(RADIANS(S109))))</f>
        <v>36054.863519463455</v>
      </c>
      <c r="AA109" s="14">
        <f t="shared" ref="AA109:AA188" si="84">$B$15*AR109</f>
        <v>5628.3916222821908</v>
      </c>
      <c r="AB109" s="25">
        <f t="shared" ref="AB109:AB188" ca="1" si="85">Z109*K109</f>
        <v>1590307.3100219455</v>
      </c>
      <c r="AC109" s="41">
        <f t="shared" ref="AC109:AC188" si="86">AA109*K109</f>
        <v>248257.00243601546</v>
      </c>
      <c r="AD109" s="5">
        <f t="shared" ref="AD109:AD188" ca="1" si="87">(Z109/AA109)*100</f>
        <v>640.58910500694674</v>
      </c>
      <c r="AE109" s="7">
        <f t="shared" ref="AE109:AE188" ca="1" si="88">(AA109)*(AD109/100)</f>
        <v>36054.863519463455</v>
      </c>
      <c r="AF109" s="41">
        <f t="shared" ref="AF109:AF188" ca="1" si="89">AE109-Z109</f>
        <v>0</v>
      </c>
      <c r="AG109" s="41">
        <f t="shared" ref="AG109:AG188" ca="1" si="90">(AC109-AB109)/D109</f>
        <v>-80.533109594245218</v>
      </c>
      <c r="AH109" s="41">
        <f t="shared" ref="AH109:AH188" ca="1" si="91">(AP109*AE109)</f>
        <v>25882.566646331386</v>
      </c>
      <c r="AI109" s="13">
        <f t="shared" ref="AI109:AI188" ca="1" si="92">K109*SIN(RADIANS(AJ109))</f>
        <v>0</v>
      </c>
      <c r="AJ109" s="10">
        <f t="shared" ref="AJ109:AJ188" ca="1" si="93">DEGREES(ASIN(((AE109-W109)/(D109))))</f>
        <v>0</v>
      </c>
      <c r="AK109" s="11">
        <f t="shared" ref="AK109:AK188" ca="1" si="94">(AG109/D109)*60</f>
        <v>-0.28995552719263978</v>
      </c>
      <c r="AL109" s="6">
        <v>0</v>
      </c>
      <c r="AM109" s="6">
        <v>14400</v>
      </c>
      <c r="AN109" s="41">
        <f ca="1">AH109*(AM109/3600)</f>
        <v>103530.26658532555</v>
      </c>
      <c r="AO109" s="41">
        <f>M109*(AM109/3600)</f>
        <v>104.53309698564229</v>
      </c>
      <c r="AP109" s="67">
        <f t="shared" ref="AP109:AP172" si="95">0.71 + 0.304*AZ109 + -0.0326*AZ109^2</f>
        <v>0.71786616616532828</v>
      </c>
      <c r="AQ109" s="11">
        <f t="shared" ref="AQ109:AQ188" si="96">IF(H109 &lt;= 36089, ((1 - 6.87535*10^(-6)*H109) + ((I109*1.8)/518.67)), 0.75187 + ((I109*1.8)/518.67))</f>
        <v>0.97937395000000005</v>
      </c>
      <c r="AR109" s="11">
        <f t="shared" ref="AR109:AR188" si="97">IF(H109 &lt;= 36089, (1 - 6.87535*10^(-6)*H109)^5.2561, 0.22336*EXP((36089 - H109)/(20806.7)))</f>
        <v>0.8962407041850623</v>
      </c>
      <c r="AS109" s="11">
        <f t="shared" ref="AS109:AS188" si="98">(AR109/AQ109)</f>
        <v>0.91511593113647982</v>
      </c>
      <c r="AT109" s="11">
        <f t="shared" ref="AT109:AT188" si="99">(518.67*AQ109)</f>
        <v>507.97188664649997</v>
      </c>
      <c r="AU109" s="11">
        <f t="shared" ref="AU109:AU188" si="100">2116.22*AR109</f>
        <v>1896.6425030105124</v>
      </c>
      <c r="AV109" s="11">
        <f t="shared" ref="AV109:AV188" si="101">(0.0023769*AS109)</f>
        <v>2.1751390567182989E-3</v>
      </c>
      <c r="AW109" s="11">
        <f t="shared" ref="AW109:AW188" si="102">((2.2697*10^-8)*(AT109^1.5))/(AT109+198.72)</f>
        <v>3.6770358841811742E-7</v>
      </c>
      <c r="AX109" s="41">
        <f ca="1">(1/T109)*(((1 + 0.2*(T109)^2)/1.2)^3)</f>
        <v>220782.81979883614</v>
      </c>
      <c r="AY109" s="41">
        <f t="shared" ref="AY109" ca="1" si="103">($H$4/$H$3)*AX109</f>
        <v>118568.55137344905</v>
      </c>
      <c r="AZ109" s="41">
        <f t="shared" ref="AZ109" si="104">-6.6*10^(-3) + 0.825*J109 - 0.243*(J109^2)</f>
        <v>2.5947747618749399E-2</v>
      </c>
      <c r="BA109" s="41">
        <f t="shared" ref="BA109:BA188" ca="1" si="105">(T109^(0.5))/(U109)</f>
        <v>7.8984694096113001E-2</v>
      </c>
      <c r="BB109" s="41">
        <f t="shared" ref="BB109:BB188" ca="1" si="106">(T109^(3/2))/(U109)</f>
        <v>2.7046931566100825</v>
      </c>
      <c r="BC109" s="41">
        <f ca="1">0.866*V109</f>
        <v>0.40026568864582057</v>
      </c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</row>
    <row r="110" spans="1:67">
      <c r="A110" s="41">
        <f t="shared" ref="A110:A173" si="107">AM110</f>
        <v>14400</v>
      </c>
      <c r="B110" s="41">
        <f t="shared" ref="B110:B173" si="108">(A110/60)</f>
        <v>240</v>
      </c>
      <c r="C110" s="41">
        <f t="shared" ref="C110:C173" si="109">(B110/60)</f>
        <v>4</v>
      </c>
      <c r="D110" s="23">
        <f ca="1">D109</f>
        <v>16664.578262874267</v>
      </c>
      <c r="E110" s="41">
        <f t="shared" ref="E110:E173" si="110">AO110</f>
        <v>125.43857679837636</v>
      </c>
      <c r="F110" s="7">
        <f t="shared" ref="F110:F173" si="111">AO110</f>
        <v>125.43857679837636</v>
      </c>
      <c r="G110" s="41"/>
      <c r="H110" s="6">
        <v>3000</v>
      </c>
      <c r="I110" s="5">
        <v>0</v>
      </c>
      <c r="J110" s="41">
        <f t="shared" si="69"/>
        <v>4.790504539159543E-2</v>
      </c>
      <c r="K110" s="41">
        <f t="shared" si="70"/>
        <v>52.92909884417822</v>
      </c>
      <c r="L110" s="6">
        <f t="shared" ref="L110:L173" si="112">L109+5</f>
        <v>30</v>
      </c>
      <c r="M110" s="41">
        <f t="shared" si="71"/>
        <v>31.35964419959409</v>
      </c>
      <c r="N110" s="41">
        <f t="shared" si="72"/>
        <v>3.0468146190651768</v>
      </c>
      <c r="O110" s="41">
        <f t="shared" si="73"/>
        <v>313100.42588423879</v>
      </c>
      <c r="P110" s="41">
        <f t="shared" si="74"/>
        <v>2010324.7448886586</v>
      </c>
      <c r="Q110" s="41">
        <f t="shared" si="75"/>
        <v>3.9358518969479566E-3</v>
      </c>
      <c r="R110" s="41">
        <f t="shared" si="76"/>
        <v>2.9028375830867273E-2</v>
      </c>
      <c r="S110" s="27">
        <v>0</v>
      </c>
      <c r="T110" s="41">
        <f t="shared" ca="1" si="77"/>
        <v>23.78047146225256</v>
      </c>
      <c r="U110" s="41">
        <f t="shared" ca="1" si="78"/>
        <v>35.744839029467826</v>
      </c>
      <c r="V110" s="41">
        <f t="shared" ca="1" si="79"/>
        <v>0.66528405520718903</v>
      </c>
      <c r="W110" s="20">
        <f t="shared" ca="1" si="80"/>
        <v>25048.816565556237</v>
      </c>
      <c r="X110" s="41">
        <f t="shared" si="81"/>
        <v>0.67795610076885993</v>
      </c>
      <c r="Y110" s="41">
        <f t="shared" ca="1" si="82"/>
        <v>178.11278023252399</v>
      </c>
      <c r="Z110" s="14">
        <f t="shared" ca="1" si="83"/>
        <v>25048.816565556237</v>
      </c>
      <c r="AA110" s="14">
        <f t="shared" si="84"/>
        <v>5628.3916222821908</v>
      </c>
      <c r="AB110" s="25">
        <f t="shared" ca="1" si="85"/>
        <v>1325811.287928015</v>
      </c>
      <c r="AC110" s="41">
        <f t="shared" si="86"/>
        <v>297905.69650951866</v>
      </c>
      <c r="AD110" s="5">
        <f t="shared" ca="1" si="87"/>
        <v>445.04395298988601</v>
      </c>
      <c r="AE110" s="7">
        <f t="shared" ca="1" si="88"/>
        <v>25048.816565556237</v>
      </c>
      <c r="AF110" s="41">
        <f t="shared" ca="1" si="89"/>
        <v>0</v>
      </c>
      <c r="AG110" s="41">
        <f t="shared" ca="1" si="90"/>
        <v>-61.682064508556344</v>
      </c>
      <c r="AH110" s="41">
        <f t="shared" ca="1" si="91"/>
        <v>18030.25115521219</v>
      </c>
      <c r="AI110" s="13">
        <f t="shared" ca="1" si="92"/>
        <v>0</v>
      </c>
      <c r="AJ110" s="10">
        <f t="shared" ca="1" si="93"/>
        <v>0</v>
      </c>
      <c r="AK110" s="11">
        <f t="shared" ca="1" si="94"/>
        <v>-0.22208326020217292</v>
      </c>
      <c r="AL110" s="6">
        <v>0</v>
      </c>
      <c r="AM110" s="6">
        <v>14400</v>
      </c>
      <c r="AN110" s="41">
        <f t="shared" ref="AN110:AN173" ca="1" si="113">AH110*(AM110/3600)</f>
        <v>72121.004620848762</v>
      </c>
      <c r="AO110" s="41">
        <f t="shared" ref="AO110:AO173" si="114">M110*(AM110/3600)</f>
        <v>125.43857679837636</v>
      </c>
      <c r="AP110" s="67">
        <f t="shared" si="95"/>
        <v>0.71980451084483432</v>
      </c>
      <c r="AQ110" s="11">
        <f t="shared" si="96"/>
        <v>0.97937395000000005</v>
      </c>
      <c r="AR110" s="11">
        <f t="shared" si="97"/>
        <v>0.8962407041850623</v>
      </c>
      <c r="AS110" s="11">
        <f t="shared" si="98"/>
        <v>0.91511593113647982</v>
      </c>
      <c r="AT110" s="11">
        <f t="shared" si="99"/>
        <v>507.97188664649997</v>
      </c>
      <c r="AU110" s="11">
        <f t="shared" si="100"/>
        <v>1896.6425030105124</v>
      </c>
      <c r="AV110" s="11">
        <f t="shared" si="101"/>
        <v>2.1751390567182989E-3</v>
      </c>
      <c r="AW110" s="11">
        <f t="shared" si="102"/>
        <v>3.6770358841811742E-7</v>
      </c>
      <c r="AX110" s="41">
        <f t="shared" ref="AX110:AX173" ca="1" si="115">(1/T110)*(((1 + 0.2*(T110)^2)/1.2)^3)</f>
        <v>36150.761619514044</v>
      </c>
      <c r="AY110" s="41">
        <f t="shared" ref="AY110:AY173" ca="1" si="116">($H$4/$H$3)*AX110</f>
        <v>19414.297906776061</v>
      </c>
      <c r="AZ110" s="41">
        <f t="shared" ref="AZ110:AZ173" si="117">-6.6*10^(-3) + 0.825*J110 - 0.243*(J110^2)</f>
        <v>3.2364003358191319E-2</v>
      </c>
      <c r="BA110" s="41">
        <f t="shared" ca="1" si="105"/>
        <v>0.13642591794357134</v>
      </c>
      <c r="BB110" s="41">
        <f t="shared" ca="1" si="106"/>
        <v>3.2442726483687081</v>
      </c>
      <c r="BC110" s="41">
        <f t="shared" ref="BC110:BC173" ca="1" si="118">0.866*V110</f>
        <v>0.57613599180942565</v>
      </c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</row>
    <row r="111" spans="1:67">
      <c r="A111" s="41">
        <f t="shared" si="107"/>
        <v>14400</v>
      </c>
      <c r="B111" s="41">
        <f t="shared" si="108"/>
        <v>240</v>
      </c>
      <c r="C111" s="41">
        <f t="shared" si="109"/>
        <v>4</v>
      </c>
      <c r="D111" s="23">
        <f t="shared" ref="D111:D174" ca="1" si="119">D110</f>
        <v>16664.578262874267</v>
      </c>
      <c r="E111" s="41">
        <f t="shared" si="110"/>
        <v>146.34343574947792</v>
      </c>
      <c r="F111" s="7">
        <f t="shared" si="111"/>
        <v>146.34343574947792</v>
      </c>
      <c r="G111" s="41"/>
      <c r="H111" s="6">
        <v>3000</v>
      </c>
      <c r="I111" s="5">
        <v>0</v>
      </c>
      <c r="J111" s="41">
        <f t="shared" si="69"/>
        <v>5.5888619843074555E-2</v>
      </c>
      <c r="K111" s="41">
        <f t="shared" si="70"/>
        <v>61.749952635631473</v>
      </c>
      <c r="L111" s="6">
        <f t="shared" si="112"/>
        <v>35</v>
      </c>
      <c r="M111" s="41">
        <f t="shared" si="71"/>
        <v>36.58585893736948</v>
      </c>
      <c r="N111" s="41">
        <f t="shared" si="72"/>
        <v>4.1469642229939723</v>
      </c>
      <c r="O111" s="41">
        <f t="shared" si="73"/>
        <v>365279.91012026015</v>
      </c>
      <c r="P111" s="41">
        <f t="shared" si="74"/>
        <v>2345353.6993813133</v>
      </c>
      <c r="Q111" s="41">
        <f t="shared" si="75"/>
        <v>3.8297292386650764E-3</v>
      </c>
      <c r="R111" s="41">
        <f t="shared" si="76"/>
        <v>2.8380497002050292E-2</v>
      </c>
      <c r="S111" s="27">
        <v>0</v>
      </c>
      <c r="T111" s="41">
        <f t="shared" ca="1" si="77"/>
        <v>17.471741785884863</v>
      </c>
      <c r="U111" s="41">
        <f t="shared" ca="1" si="78"/>
        <v>19.307713118145227</v>
      </c>
      <c r="V111" s="41">
        <f t="shared" ca="1" si="79"/>
        <v>0.90490995380830819</v>
      </c>
      <c r="W111" s="20">
        <f t="shared" ca="1" si="80"/>
        <v>18415.730971619319</v>
      </c>
      <c r="X111" s="41">
        <f t="shared" si="81"/>
        <v>0.67034782230556733</v>
      </c>
      <c r="Y111" s="41">
        <f t="shared" ca="1" si="82"/>
        <v>178.11278023252399</v>
      </c>
      <c r="Z111" s="14">
        <f t="shared" ca="1" si="83"/>
        <v>18415.730971619319</v>
      </c>
      <c r="AA111" s="14">
        <f t="shared" si="84"/>
        <v>5628.3916222821908</v>
      </c>
      <c r="AB111" s="25">
        <f t="shared" ca="1" si="85"/>
        <v>1137170.5152480246</v>
      </c>
      <c r="AC111" s="41">
        <f t="shared" si="86"/>
        <v>347552.91609071026</v>
      </c>
      <c r="AD111" s="5">
        <f t="shared" ca="1" si="87"/>
        <v>327.19348985442736</v>
      </c>
      <c r="AE111" s="7">
        <f t="shared" ca="1" si="88"/>
        <v>18415.730971619319</v>
      </c>
      <c r="AF111" s="41">
        <f t="shared" ca="1" si="89"/>
        <v>0</v>
      </c>
      <c r="AG111" s="41">
        <f t="shared" ca="1" si="90"/>
        <v>-47.382993238805369</v>
      </c>
      <c r="AH111" s="41">
        <f t="shared" ca="1" si="91"/>
        <v>13291.199790529063</v>
      </c>
      <c r="AI111" s="13">
        <f t="shared" ca="1" si="92"/>
        <v>0</v>
      </c>
      <c r="AJ111" s="10">
        <f t="shared" ca="1" si="93"/>
        <v>0</v>
      </c>
      <c r="AK111" s="11">
        <f t="shared" ca="1" si="94"/>
        <v>-0.17060015258003727</v>
      </c>
      <c r="AL111" s="6">
        <v>0</v>
      </c>
      <c r="AM111" s="6">
        <v>14400</v>
      </c>
      <c r="AN111" s="41">
        <f t="shared" ca="1" si="113"/>
        <v>53164.799162116251</v>
      </c>
      <c r="AO111" s="41">
        <f t="shared" si="114"/>
        <v>146.34343574947792</v>
      </c>
      <c r="AP111" s="67">
        <f t="shared" si="95"/>
        <v>0.72173077522756346</v>
      </c>
      <c r="AQ111" s="11">
        <f t="shared" si="96"/>
        <v>0.97937395000000005</v>
      </c>
      <c r="AR111" s="11">
        <f t="shared" si="97"/>
        <v>0.8962407041850623</v>
      </c>
      <c r="AS111" s="11">
        <f t="shared" si="98"/>
        <v>0.91511593113647982</v>
      </c>
      <c r="AT111" s="11">
        <f t="shared" si="99"/>
        <v>507.97188664649997</v>
      </c>
      <c r="AU111" s="11">
        <f t="shared" si="100"/>
        <v>1896.6425030105124</v>
      </c>
      <c r="AV111" s="11">
        <f t="shared" si="101"/>
        <v>2.1751390567182989E-3</v>
      </c>
      <c r="AW111" s="11">
        <f t="shared" si="102"/>
        <v>3.6770358841811742E-7</v>
      </c>
      <c r="AX111" s="41">
        <f t="shared" ca="1" si="115"/>
        <v>7913.977401490255</v>
      </c>
      <c r="AY111" s="41">
        <f t="shared" ca="1" si="116"/>
        <v>4250.0989748743968</v>
      </c>
      <c r="AZ111" s="41">
        <f t="shared" si="117"/>
        <v>3.874909167834132E-2</v>
      </c>
      <c r="BA111" s="41">
        <f t="shared" ca="1" si="105"/>
        <v>0.2164897126829792</v>
      </c>
      <c r="BB111" s="41">
        <f t="shared" ca="1" si="106"/>
        <v>3.7824523592974151</v>
      </c>
      <c r="BC111" s="41">
        <f t="shared" ca="1" si="118"/>
        <v>0.78365201999799483</v>
      </c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</row>
    <row r="112" spans="1:67">
      <c r="A112" s="41">
        <f t="shared" si="107"/>
        <v>14400</v>
      </c>
      <c r="B112" s="41">
        <f t="shared" si="108"/>
        <v>240</v>
      </c>
      <c r="C112" s="41">
        <f t="shared" si="109"/>
        <v>4</v>
      </c>
      <c r="D112" s="23">
        <f t="shared" ca="1" si="119"/>
        <v>16664.578262874267</v>
      </c>
      <c r="E112" s="41">
        <f t="shared" si="110"/>
        <v>167.24757096954718</v>
      </c>
      <c r="F112" s="7">
        <f t="shared" si="111"/>
        <v>167.24757096954718</v>
      </c>
      <c r="G112" s="41"/>
      <c r="H112" s="6">
        <v>3000</v>
      </c>
      <c r="I112" s="5">
        <v>0</v>
      </c>
      <c r="J112" s="41">
        <f t="shared" si="69"/>
        <v>6.3871917901367176E-2</v>
      </c>
      <c r="K112" s="41">
        <f t="shared" si="70"/>
        <v>70.570501047094595</v>
      </c>
      <c r="L112" s="6">
        <f t="shared" si="112"/>
        <v>40</v>
      </c>
      <c r="M112" s="41">
        <f t="shared" si="71"/>
        <v>41.811892742386796</v>
      </c>
      <c r="N112" s="41">
        <f t="shared" si="72"/>
        <v>5.4163089994458682</v>
      </c>
      <c r="O112" s="41">
        <f t="shared" si="73"/>
        <v>417457.58789051784</v>
      </c>
      <c r="P112" s="41">
        <f t="shared" si="74"/>
        <v>2680371.0550943902</v>
      </c>
      <c r="Q112" s="41">
        <f t="shared" si="75"/>
        <v>3.7408982243027282E-3</v>
      </c>
      <c r="R112" s="41">
        <f t="shared" si="76"/>
        <v>2.7838183659368153E-2</v>
      </c>
      <c r="S112" s="27">
        <v>0</v>
      </c>
      <c r="T112" s="41">
        <f t="shared" ca="1" si="77"/>
        <v>13.377133414446265</v>
      </c>
      <c r="U112" s="41">
        <f t="shared" ca="1" si="78"/>
        <v>11.329588482608196</v>
      </c>
      <c r="V112" s="41">
        <f t="shared" ca="1" si="79"/>
        <v>1.1807254460284422</v>
      </c>
      <c r="W112" s="20">
        <f t="shared" ca="1" si="80"/>
        <v>14113.846973424876</v>
      </c>
      <c r="X112" s="41">
        <f t="shared" si="81"/>
        <v>0.66391220481228852</v>
      </c>
      <c r="Y112" s="41">
        <f t="shared" ca="1" si="82"/>
        <v>178.11278023252399</v>
      </c>
      <c r="Z112" s="14">
        <f t="shared" ca="1" si="83"/>
        <v>14113.846973424876</v>
      </c>
      <c r="AA112" s="14">
        <f t="shared" si="84"/>
        <v>5628.3916222821908</v>
      </c>
      <c r="AB112" s="25">
        <f t="shared" ca="1" si="85"/>
        <v>996021.25261661306</v>
      </c>
      <c r="AC112" s="41">
        <f t="shared" si="86"/>
        <v>397198.41687372379</v>
      </c>
      <c r="AD112" s="5">
        <f t="shared" ca="1" si="87"/>
        <v>250.76163708206957</v>
      </c>
      <c r="AE112" s="7">
        <f t="shared" ca="1" si="88"/>
        <v>14113.846973424874</v>
      </c>
      <c r="AF112" s="41">
        <f t="shared" ca="1" si="89"/>
        <v>0</v>
      </c>
      <c r="AG112" s="41">
        <f t="shared" ca="1" si="90"/>
        <v>-35.933872810748568</v>
      </c>
      <c r="AH112" s="41">
        <f t="shared" ca="1" si="91"/>
        <v>10213.414647424843</v>
      </c>
      <c r="AI112" s="13">
        <f t="shared" ca="1" si="92"/>
        <v>-7.7029848330194948E-15</v>
      </c>
      <c r="AJ112" s="10">
        <f t="shared" ca="1" si="93"/>
        <v>-6.254008601848699E-15</v>
      </c>
      <c r="AK112" s="11">
        <f t="shared" ca="1" si="94"/>
        <v>-0.12937815374831135</v>
      </c>
      <c r="AL112" s="6">
        <v>0</v>
      </c>
      <c r="AM112" s="6">
        <v>14400</v>
      </c>
      <c r="AN112" s="41">
        <f t="shared" ca="1" si="113"/>
        <v>40853.658589699371</v>
      </c>
      <c r="AO112" s="41">
        <f t="shared" si="114"/>
        <v>167.24757096954718</v>
      </c>
      <c r="AP112" s="67">
        <f t="shared" si="95"/>
        <v>0.72364498967969537</v>
      </c>
      <c r="AQ112" s="11">
        <f t="shared" si="96"/>
        <v>0.97937395000000005</v>
      </c>
      <c r="AR112" s="11">
        <f t="shared" si="97"/>
        <v>0.8962407041850623</v>
      </c>
      <c r="AS112" s="11">
        <f t="shared" si="98"/>
        <v>0.91511593113647982</v>
      </c>
      <c r="AT112" s="11">
        <f t="shared" si="99"/>
        <v>507.97188664649997</v>
      </c>
      <c r="AU112" s="11">
        <f t="shared" si="100"/>
        <v>1896.6425030105124</v>
      </c>
      <c r="AV112" s="11">
        <f t="shared" si="101"/>
        <v>2.1751390567182989E-3</v>
      </c>
      <c r="AW112" s="11">
        <f t="shared" si="102"/>
        <v>3.6770358841811742E-7</v>
      </c>
      <c r="AX112" s="41">
        <f t="shared" ca="1" si="115"/>
        <v>2154.102004758493</v>
      </c>
      <c r="AY112" s="41">
        <f t="shared" ca="1" si="116"/>
        <v>1156.8325581110425</v>
      </c>
      <c r="AZ112" s="41">
        <f t="shared" si="117"/>
        <v>4.5102984147802956E-2</v>
      </c>
      <c r="BA112" s="41">
        <f t="shared" ca="1" si="105"/>
        <v>0.32282517392266369</v>
      </c>
      <c r="BB112" s="41">
        <f t="shared" ca="1" si="106"/>
        <v>4.3184754211052931</v>
      </c>
      <c r="BC112" s="41">
        <f t="shared" ca="1" si="118"/>
        <v>1.022508236260631</v>
      </c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</row>
    <row r="113" spans="1:67">
      <c r="A113" s="41">
        <f t="shared" si="107"/>
        <v>14400</v>
      </c>
      <c r="B113" s="41">
        <f t="shared" si="108"/>
        <v>240</v>
      </c>
      <c r="C113" s="41">
        <f t="shared" si="109"/>
        <v>4</v>
      </c>
      <c r="D113" s="23">
        <f t="shared" ca="1" si="119"/>
        <v>16664.578262874267</v>
      </c>
      <c r="E113" s="41">
        <f t="shared" si="110"/>
        <v>188.15087986853595</v>
      </c>
      <c r="F113" s="7">
        <f t="shared" si="111"/>
        <v>188.15087986853595</v>
      </c>
      <c r="G113" s="41"/>
      <c r="H113" s="6">
        <v>3000</v>
      </c>
      <c r="I113" s="5">
        <v>0</v>
      </c>
      <c r="J113" s="41">
        <f t="shared" si="69"/>
        <v>7.1854900387290588E-2</v>
      </c>
      <c r="K113" s="41">
        <f t="shared" si="70"/>
        <v>79.390700790458453</v>
      </c>
      <c r="L113" s="6">
        <f t="shared" si="112"/>
        <v>45</v>
      </c>
      <c r="M113" s="41">
        <f t="shared" si="71"/>
        <v>47.037719967133988</v>
      </c>
      <c r="N113" s="41">
        <f t="shared" si="72"/>
        <v>6.8548238961888748</v>
      </c>
      <c r="O113" s="41">
        <f t="shared" si="73"/>
        <v>469633.2031255585</v>
      </c>
      <c r="P113" s="41">
        <f t="shared" si="74"/>
        <v>3015375.167882063</v>
      </c>
      <c r="Q113" s="41">
        <f t="shared" si="75"/>
        <v>3.6648142983508897E-3</v>
      </c>
      <c r="R113" s="41">
        <f t="shared" si="76"/>
        <v>2.7373691291432183E-2</v>
      </c>
      <c r="S113" s="27">
        <v>0</v>
      </c>
      <c r="T113" s="41">
        <f t="shared" ca="1" si="77"/>
        <v>10.569883223365736</v>
      </c>
      <c r="U113" s="41">
        <f t="shared" ca="1" si="78"/>
        <v>7.083396391484631</v>
      </c>
      <c r="V113" s="41">
        <f t="shared" ca="1" si="79"/>
        <v>1.4922055239026883</v>
      </c>
      <c r="W113" s="20">
        <f t="shared" ca="1" si="80"/>
        <v>11167.750015621186</v>
      </c>
      <c r="X113" s="41">
        <f t="shared" si="81"/>
        <v>0.65835007162793191</v>
      </c>
      <c r="Y113" s="41">
        <f t="shared" ca="1" si="82"/>
        <v>178.11278023252399</v>
      </c>
      <c r="Z113" s="14">
        <f t="shared" ca="1" si="83"/>
        <v>11167.750015621186</v>
      </c>
      <c r="AA113" s="14">
        <f t="shared" si="84"/>
        <v>5628.3916222821908</v>
      </c>
      <c r="AB113" s="25">
        <f t="shared" ca="1" si="85"/>
        <v>886615.49999281927</v>
      </c>
      <c r="AC113" s="41">
        <f t="shared" si="86"/>
        <v>446841.95521612844</v>
      </c>
      <c r="AD113" s="5">
        <f t="shared" ca="1" si="87"/>
        <v>198.4181408310196</v>
      </c>
      <c r="AE113" s="7">
        <f t="shared" ca="1" si="88"/>
        <v>11167.750015621186</v>
      </c>
      <c r="AF113" s="41">
        <f t="shared" ca="1" si="89"/>
        <v>0</v>
      </c>
      <c r="AG113" s="41">
        <f t="shared" ca="1" si="90"/>
        <v>-26.38971943000973</v>
      </c>
      <c r="AH113" s="41">
        <f t="shared" ca="1" si="91"/>
        <v>8102.7295825179681</v>
      </c>
      <c r="AI113" s="13">
        <f t="shared" ca="1" si="92"/>
        <v>0</v>
      </c>
      <c r="AJ113" s="10">
        <f t="shared" ca="1" si="93"/>
        <v>0</v>
      </c>
      <c r="AK113" s="11">
        <f t="shared" ca="1" si="94"/>
        <v>-9.5014895716147907E-2</v>
      </c>
      <c r="AL113" s="6">
        <v>0</v>
      </c>
      <c r="AM113" s="6">
        <v>14400</v>
      </c>
      <c r="AN113" s="41">
        <f t="shared" ca="1" si="113"/>
        <v>32410.918330071872</v>
      </c>
      <c r="AO113" s="41">
        <f t="shared" si="114"/>
        <v>188.15087986853595</v>
      </c>
      <c r="AP113" s="67">
        <f t="shared" si="95"/>
        <v>0.72554718463289924</v>
      </c>
      <c r="AQ113" s="11">
        <f t="shared" si="96"/>
        <v>0.97937395000000005</v>
      </c>
      <c r="AR113" s="11">
        <f t="shared" si="97"/>
        <v>0.8962407041850623</v>
      </c>
      <c r="AS113" s="11">
        <f t="shared" si="98"/>
        <v>0.91511593113647982</v>
      </c>
      <c r="AT113" s="11">
        <f t="shared" si="99"/>
        <v>507.97188664649997</v>
      </c>
      <c r="AU113" s="11">
        <f t="shared" si="100"/>
        <v>1896.6425030105124</v>
      </c>
      <c r="AV113" s="11">
        <f t="shared" si="101"/>
        <v>2.1751390567182989E-3</v>
      </c>
      <c r="AW113" s="11">
        <f t="shared" si="102"/>
        <v>3.6770358841811742E-7</v>
      </c>
      <c r="AX113" s="41">
        <f t="shared" ca="1" si="115"/>
        <v>696.5287320557959</v>
      </c>
      <c r="AY113" s="41">
        <f t="shared" ca="1" si="116"/>
        <v>374.06172647440894</v>
      </c>
      <c r="AZ113" s="41">
        <f t="shared" si="117"/>
        <v>5.1425653029065536E-2</v>
      </c>
      <c r="BA113" s="41">
        <f t="shared" ca="1" si="105"/>
        <v>0.45897977501293691</v>
      </c>
      <c r="BB113" s="41">
        <f t="shared" ca="1" si="106"/>
        <v>4.8513626237734231</v>
      </c>
      <c r="BC113" s="41">
        <f t="shared" ca="1" si="118"/>
        <v>1.2922499836997281</v>
      </c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</row>
    <row r="114" spans="1:67">
      <c r="A114" s="41">
        <f t="shared" si="107"/>
        <v>14400</v>
      </c>
      <c r="B114" s="41">
        <f t="shared" si="108"/>
        <v>240</v>
      </c>
      <c r="C114" s="41">
        <f t="shared" si="109"/>
        <v>4</v>
      </c>
      <c r="D114" s="23">
        <f t="shared" ca="1" si="119"/>
        <v>16664.578262874267</v>
      </c>
      <c r="E114" s="41">
        <f t="shared" si="110"/>
        <v>209.05326017519639</v>
      </c>
      <c r="F114" s="7">
        <f t="shared" si="111"/>
        <v>209.05326017519639</v>
      </c>
      <c r="G114" s="41"/>
      <c r="H114" s="6">
        <v>3000</v>
      </c>
      <c r="I114" s="5">
        <v>0</v>
      </c>
      <c r="J114" s="41">
        <f t="shared" si="69"/>
        <v>7.9837528243412101E-2</v>
      </c>
      <c r="K114" s="41">
        <f t="shared" si="70"/>
        <v>88.210508712132466</v>
      </c>
      <c r="L114" s="6">
        <f t="shared" si="112"/>
        <v>50</v>
      </c>
      <c r="M114" s="41">
        <f t="shared" si="71"/>
        <v>52.263315043799096</v>
      </c>
      <c r="N114" s="41">
        <f t="shared" si="72"/>
        <v>8.46248056557544</v>
      </c>
      <c r="O114" s="41">
        <f t="shared" si="73"/>
        <v>521806.50055166904</v>
      </c>
      <c r="P114" s="41">
        <f t="shared" si="74"/>
        <v>3350364.3987077167</v>
      </c>
      <c r="Q114" s="41">
        <f t="shared" si="75"/>
        <v>3.5984781839185874E-3</v>
      </c>
      <c r="R114" s="41">
        <f t="shared" si="76"/>
        <v>2.6968709312822976E-2</v>
      </c>
      <c r="S114" s="27">
        <v>0</v>
      </c>
      <c r="T114" s="41">
        <f t="shared" ca="1" si="77"/>
        <v>8.5618735000931121</v>
      </c>
      <c r="U114" s="41">
        <f t="shared" ca="1" si="78"/>
        <v>4.6567151313765471</v>
      </c>
      <c r="V114" s="41">
        <f t="shared" ca="1" si="79"/>
        <v>1.8386079583017529</v>
      </c>
      <c r="W114" s="20">
        <f t="shared" ca="1" si="80"/>
        <v>9063.6930986998759</v>
      </c>
      <c r="X114" s="41">
        <f t="shared" si="81"/>
        <v>0.65346192179190898</v>
      </c>
      <c r="Y114" s="41">
        <f t="shared" ca="1" si="82"/>
        <v>178.11278023252399</v>
      </c>
      <c r="Z114" s="14">
        <f t="shared" ca="1" si="83"/>
        <v>9063.6930986998759</v>
      </c>
      <c r="AA114" s="14">
        <f t="shared" si="84"/>
        <v>5628.3916222821908</v>
      </c>
      <c r="AB114" s="25">
        <f t="shared" ca="1" si="85"/>
        <v>799512.97904696036</v>
      </c>
      <c r="AC114" s="41">
        <f t="shared" si="86"/>
        <v>496483.28823261656</v>
      </c>
      <c r="AD114" s="5">
        <f t="shared" ca="1" si="87"/>
        <v>161.03522474906865</v>
      </c>
      <c r="AE114" s="7">
        <f t="shared" ca="1" si="88"/>
        <v>9063.6930986998759</v>
      </c>
      <c r="AF114" s="41">
        <f t="shared" ca="1" si="89"/>
        <v>0</v>
      </c>
      <c r="AG114" s="41">
        <f t="shared" ca="1" si="90"/>
        <v>-18.184059988451093</v>
      </c>
      <c r="AH114" s="41">
        <f t="shared" ca="1" si="91"/>
        <v>6593.2692567837757</v>
      </c>
      <c r="AI114" s="13">
        <f t="shared" ca="1" si="92"/>
        <v>0</v>
      </c>
      <c r="AJ114" s="10">
        <f t="shared" ca="1" si="93"/>
        <v>0</v>
      </c>
      <c r="AK114" s="11">
        <f t="shared" ca="1" si="94"/>
        <v>-6.5470819728916746E-2</v>
      </c>
      <c r="AL114" s="6">
        <v>0</v>
      </c>
      <c r="AM114" s="6">
        <v>14400</v>
      </c>
      <c r="AN114" s="41">
        <f t="shared" ca="1" si="113"/>
        <v>26373.077027135103</v>
      </c>
      <c r="AO114" s="41">
        <f t="shared" si="114"/>
        <v>209.05326017519639</v>
      </c>
      <c r="AP114" s="67">
        <f t="shared" si="95"/>
        <v>0.72743739058524992</v>
      </c>
      <c r="AQ114" s="11">
        <f t="shared" si="96"/>
        <v>0.97937395000000005</v>
      </c>
      <c r="AR114" s="11">
        <f t="shared" si="97"/>
        <v>0.8962407041850623</v>
      </c>
      <c r="AS114" s="11">
        <f t="shared" si="98"/>
        <v>0.91511593113647982</v>
      </c>
      <c r="AT114" s="11">
        <f t="shared" si="99"/>
        <v>507.97188664649997</v>
      </c>
      <c r="AU114" s="11">
        <f t="shared" si="100"/>
        <v>1896.6425030105124</v>
      </c>
      <c r="AV114" s="11">
        <f t="shared" si="101"/>
        <v>2.1751390567182989E-3</v>
      </c>
      <c r="AW114" s="11">
        <f t="shared" si="102"/>
        <v>3.6770358841811742E-7</v>
      </c>
      <c r="AX114" s="41">
        <f t="shared" ca="1" si="115"/>
        <v>259.63139194861935</v>
      </c>
      <c r="AY114" s="41">
        <f t="shared" ca="1" si="116"/>
        <v>139.43167345388818</v>
      </c>
      <c r="AZ114" s="41">
        <f t="shared" si="117"/>
        <v>5.7717071288222697E-2</v>
      </c>
      <c r="BA114" s="41">
        <f t="shared" ca="1" si="105"/>
        <v>0.62835450358718847</v>
      </c>
      <c r="BB114" s="41">
        <f t="shared" ca="1" si="106"/>
        <v>5.3798917729273104</v>
      </c>
      <c r="BC114" s="41">
        <f t="shared" ca="1" si="118"/>
        <v>1.5922344918893181</v>
      </c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</row>
    <row r="115" spans="1:67">
      <c r="A115" s="41">
        <f t="shared" si="107"/>
        <v>14400</v>
      </c>
      <c r="B115" s="41">
        <f t="shared" si="108"/>
        <v>240</v>
      </c>
      <c r="C115" s="41">
        <f t="shared" si="109"/>
        <v>4</v>
      </c>
      <c r="D115" s="23">
        <f t="shared" ca="1" si="119"/>
        <v>16664.578262874267</v>
      </c>
      <c r="E115" s="41">
        <f t="shared" si="110"/>
        <v>229.95460997614103</v>
      </c>
      <c r="F115" s="7">
        <f t="shared" si="111"/>
        <v>229.95460997614103</v>
      </c>
      <c r="G115" s="41"/>
      <c r="H115" s="6">
        <v>3000</v>
      </c>
      <c r="I115" s="5">
        <v>0</v>
      </c>
      <c r="J115" s="41">
        <f t="shared" si="69"/>
        <v>8.781976254896609E-2</v>
      </c>
      <c r="K115" s="41">
        <f t="shared" si="70"/>
        <v>97.029881809526088</v>
      </c>
      <c r="L115" s="6">
        <f t="shared" si="112"/>
        <v>55</v>
      </c>
      <c r="M115" s="41">
        <f t="shared" si="71"/>
        <v>57.488652494035257</v>
      </c>
      <c r="N115" s="41">
        <f t="shared" si="72"/>
        <v>10.239247381272186</v>
      </c>
      <c r="O115" s="41">
        <f t="shared" si="73"/>
        <v>573977.22578837257</v>
      </c>
      <c r="P115" s="41">
        <f t="shared" si="74"/>
        <v>3685337.1142699406</v>
      </c>
      <c r="Q115" s="41">
        <f t="shared" si="75"/>
        <v>3.5398133679588038E-3</v>
      </c>
      <c r="R115" s="41">
        <f t="shared" si="76"/>
        <v>2.6610560611388497E-2</v>
      </c>
      <c r="S115" s="27">
        <v>0</v>
      </c>
      <c r="T115" s="41">
        <f t="shared" ca="1" si="77"/>
        <v>7.0761732187440449</v>
      </c>
      <c r="U115" s="41">
        <f t="shared" ca="1" si="78"/>
        <v>3.1890083803655163</v>
      </c>
      <c r="V115" s="41">
        <f t="shared" ca="1" si="79"/>
        <v>2.2189258774958098</v>
      </c>
      <c r="W115" s="20">
        <f t="shared" ca="1" si="80"/>
        <v>7510.2005127279135</v>
      </c>
      <c r="X115" s="41">
        <f t="shared" si="81"/>
        <v>0.64910838100598101</v>
      </c>
      <c r="Y115" s="41">
        <f t="shared" ca="1" si="82"/>
        <v>178.11278023252399</v>
      </c>
      <c r="Z115" s="14">
        <f t="shared" ca="1" si="83"/>
        <v>7510.2005127279135</v>
      </c>
      <c r="AA115" s="14">
        <f t="shared" si="84"/>
        <v>5628.3916222821908</v>
      </c>
      <c r="AB115" s="25">
        <f t="shared" ca="1" si="85"/>
        <v>728713.86811583163</v>
      </c>
      <c r="AC115" s="41">
        <f t="shared" si="86"/>
        <v>546122.17388776783</v>
      </c>
      <c r="AD115" s="5">
        <f t="shared" ca="1" si="87"/>
        <v>133.43422094148255</v>
      </c>
      <c r="AE115" s="7">
        <f t="shared" ca="1" si="88"/>
        <v>7510.2005127279117</v>
      </c>
      <c r="AF115" s="41">
        <f t="shared" ca="1" si="89"/>
        <v>0</v>
      </c>
      <c r="AG115" s="41">
        <f t="shared" ca="1" si="90"/>
        <v>-10.956874596391424</v>
      </c>
      <c r="AH115" s="41">
        <f t="shared" ca="1" si="91"/>
        <v>5477.3066792141162</v>
      </c>
      <c r="AI115" s="13">
        <f t="shared" ca="1" si="92"/>
        <v>-1.059110672077657E-14</v>
      </c>
      <c r="AJ115" s="10">
        <f t="shared" ca="1" si="93"/>
        <v>-6.254008601848699E-15</v>
      </c>
      <c r="AK115" s="11">
        <f t="shared" ca="1" si="94"/>
        <v>-3.9449691760161984E-2</v>
      </c>
      <c r="AL115" s="6">
        <v>0</v>
      </c>
      <c r="AM115" s="6">
        <v>14400</v>
      </c>
      <c r="AN115" s="41">
        <f t="shared" ca="1" si="113"/>
        <v>21909.226716856465</v>
      </c>
      <c r="AO115" s="41">
        <f t="shared" si="114"/>
        <v>229.95460997614103</v>
      </c>
      <c r="AP115" s="67">
        <f t="shared" si="95"/>
        <v>0.72931563810199895</v>
      </c>
      <c r="AQ115" s="11">
        <f t="shared" si="96"/>
        <v>0.97937395000000005</v>
      </c>
      <c r="AR115" s="11">
        <f t="shared" si="97"/>
        <v>0.8962407041850623</v>
      </c>
      <c r="AS115" s="11">
        <f t="shared" si="98"/>
        <v>0.91511593113647982</v>
      </c>
      <c r="AT115" s="11">
        <f t="shared" si="99"/>
        <v>507.97188664649997</v>
      </c>
      <c r="AU115" s="11">
        <f t="shared" si="100"/>
        <v>1896.6425030105124</v>
      </c>
      <c r="AV115" s="11">
        <f t="shared" si="101"/>
        <v>2.1751390567182989E-3</v>
      </c>
      <c r="AW115" s="11">
        <f t="shared" si="102"/>
        <v>3.6770358841811742E-7</v>
      </c>
      <c r="AX115" s="41">
        <f t="shared" ca="1" si="115"/>
        <v>109.28126649731648</v>
      </c>
      <c r="AY115" s="41">
        <f t="shared" ca="1" si="116"/>
        <v>58.688087563373671</v>
      </c>
      <c r="AZ115" s="41">
        <f t="shared" si="117"/>
        <v>6.3977212604216918E-2</v>
      </c>
      <c r="BA115" s="41">
        <f t="shared" ca="1" si="105"/>
        <v>0.83414887275936078</v>
      </c>
      <c r="BB115" s="41">
        <f t="shared" ca="1" si="106"/>
        <v>5.9025819138653235</v>
      </c>
      <c r="BC115" s="41">
        <f t="shared" ca="1" si="118"/>
        <v>1.9215898099113713</v>
      </c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</row>
    <row r="116" spans="1:67">
      <c r="A116" s="41">
        <f t="shared" si="107"/>
        <v>14400</v>
      </c>
      <c r="B116" s="41">
        <f t="shared" si="108"/>
        <v>240</v>
      </c>
      <c r="C116" s="41">
        <f t="shared" si="109"/>
        <v>4</v>
      </c>
      <c r="D116" s="23">
        <f t="shared" ca="1" si="119"/>
        <v>16664.578262874267</v>
      </c>
      <c r="E116" s="41">
        <f t="shared" si="110"/>
        <v>250.85482775453676</v>
      </c>
      <c r="F116" s="7">
        <f t="shared" si="111"/>
        <v>250.85482775453676</v>
      </c>
      <c r="G116" s="41"/>
      <c r="H116" s="6">
        <v>3000</v>
      </c>
      <c r="I116" s="5">
        <v>0</v>
      </c>
      <c r="J116" s="41">
        <f t="shared" si="69"/>
        <v>9.5801564534631137E-2</v>
      </c>
      <c r="K116" s="41">
        <f t="shared" si="70"/>
        <v>105.84877724737578</v>
      </c>
      <c r="L116" s="6">
        <f t="shared" si="112"/>
        <v>60</v>
      </c>
      <c r="M116" s="41">
        <f t="shared" si="71"/>
        <v>62.713706938634189</v>
      </c>
      <c r="N116" s="41">
        <f t="shared" si="72"/>
        <v>12.185089456889669</v>
      </c>
      <c r="O116" s="41">
        <f t="shared" si="73"/>
        <v>626145.12544500956</v>
      </c>
      <c r="P116" s="41">
        <f t="shared" si="74"/>
        <v>4020291.6876226473</v>
      </c>
      <c r="Q116" s="41">
        <f t="shared" si="75"/>
        <v>3.4873266945190575E-3</v>
      </c>
      <c r="R116" s="41">
        <f t="shared" si="76"/>
        <v>2.6290129470038847E-2</v>
      </c>
      <c r="S116" s="27">
        <v>0</v>
      </c>
      <c r="T116" s="41">
        <f t="shared" ca="1" si="77"/>
        <v>5.9461761323784259</v>
      </c>
      <c r="U116" s="41">
        <f t="shared" ca="1" si="78"/>
        <v>2.259323069750812</v>
      </c>
      <c r="V116" s="41">
        <f t="shared" ca="1" si="79"/>
        <v>2.6318396921579916</v>
      </c>
      <c r="W116" s="20">
        <f t="shared" ca="1" si="80"/>
        <v>6331.9123548934904</v>
      </c>
      <c r="X116" s="41">
        <f t="shared" si="81"/>
        <v>0.64518842451580971</v>
      </c>
      <c r="Y116" s="41">
        <f t="shared" ca="1" si="82"/>
        <v>178.11278023252402</v>
      </c>
      <c r="Z116" s="14">
        <f t="shared" ca="1" si="83"/>
        <v>6331.9123548934904</v>
      </c>
      <c r="AA116" s="14">
        <f t="shared" si="84"/>
        <v>5628.3916222821908</v>
      </c>
      <c r="AB116" s="25">
        <f t="shared" ca="1" si="85"/>
        <v>670225.18040302768</v>
      </c>
      <c r="AC116" s="41">
        <f t="shared" si="86"/>
        <v>595758.37108794355</v>
      </c>
      <c r="AD116" s="5">
        <f t="shared" ca="1" si="87"/>
        <v>112.49949861033369</v>
      </c>
      <c r="AE116" s="7">
        <f t="shared" ca="1" si="88"/>
        <v>6331.9123548934904</v>
      </c>
      <c r="AF116" s="41">
        <f t="shared" ca="1" si="89"/>
        <v>0</v>
      </c>
      <c r="AG116" s="41">
        <f t="shared" ca="1" si="90"/>
        <v>-4.4685684894278426</v>
      </c>
      <c r="AH116" s="41">
        <f t="shared" ca="1" si="91"/>
        <v>4629.7800723716427</v>
      </c>
      <c r="AI116" s="13">
        <f t="shared" ca="1" si="92"/>
        <v>0</v>
      </c>
      <c r="AJ116" s="10">
        <f t="shared" ca="1" si="93"/>
        <v>0</v>
      </c>
      <c r="AK116" s="11">
        <f t="shared" ca="1" si="94"/>
        <v>-1.6088862564435931E-2</v>
      </c>
      <c r="AL116" s="6">
        <v>0</v>
      </c>
      <c r="AM116" s="6">
        <v>14400</v>
      </c>
      <c r="AN116" s="41">
        <f t="shared" ca="1" si="113"/>
        <v>18519.120289486571</v>
      </c>
      <c r="AO116" s="41">
        <f t="shared" si="114"/>
        <v>250.85482775453676</v>
      </c>
      <c r="AP116" s="67">
        <f t="shared" si="95"/>
        <v>0.73118195781620554</v>
      </c>
      <c r="AQ116" s="11">
        <f t="shared" si="96"/>
        <v>0.97937395000000005</v>
      </c>
      <c r="AR116" s="11">
        <f t="shared" si="97"/>
        <v>0.8962407041850623</v>
      </c>
      <c r="AS116" s="11">
        <f t="shared" si="98"/>
        <v>0.91511593113647982</v>
      </c>
      <c r="AT116" s="11">
        <f t="shared" si="99"/>
        <v>507.97188664649997</v>
      </c>
      <c r="AU116" s="11">
        <f t="shared" si="100"/>
        <v>1896.6425030105124</v>
      </c>
      <c r="AV116" s="11">
        <f t="shared" si="101"/>
        <v>2.1751390567182989E-3</v>
      </c>
      <c r="AW116" s="11">
        <f t="shared" si="102"/>
        <v>3.6770358841811742E-7</v>
      </c>
      <c r="AX116" s="41">
        <f t="shared" ca="1" si="115"/>
        <v>51.175894930984761</v>
      </c>
      <c r="AY116" s="41">
        <f t="shared" ca="1" si="116"/>
        <v>27.48335098145478</v>
      </c>
      <c r="AZ116" s="41">
        <f t="shared" si="117"/>
        <v>7.0206051377620898E-2</v>
      </c>
      <c r="BA116" s="41">
        <f t="shared" ca="1" si="105"/>
        <v>1.0792959509687594</v>
      </c>
      <c r="BB116" s="41">
        <f t="shared" ca="1" si="106"/>
        <v>6.4176838234231131</v>
      </c>
      <c r="BC116" s="41">
        <f t="shared" ca="1" si="118"/>
        <v>2.2791731734088208</v>
      </c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</row>
    <row r="117" spans="1:67">
      <c r="A117" s="41">
        <f t="shared" si="107"/>
        <v>14400</v>
      </c>
      <c r="B117" s="41">
        <f t="shared" si="108"/>
        <v>240</v>
      </c>
      <c r="C117" s="41">
        <f t="shared" si="109"/>
        <v>4</v>
      </c>
      <c r="D117" s="23">
        <f t="shared" ca="1" si="119"/>
        <v>16664.578262874267</v>
      </c>
      <c r="E117" s="41">
        <f t="shared" si="110"/>
        <v>271.75381242862278</v>
      </c>
      <c r="F117" s="7">
        <f t="shared" si="111"/>
        <v>271.75381242862278</v>
      </c>
      <c r="G117" s="41"/>
      <c r="H117" s="6">
        <v>3000</v>
      </c>
      <c r="I117" s="5">
        <v>0</v>
      </c>
      <c r="J117" s="41">
        <f t="shared" si="69"/>
        <v>0.10378289559724015</v>
      </c>
      <c r="K117" s="41">
        <f t="shared" si="70"/>
        <v>114.66715237399777</v>
      </c>
      <c r="L117" s="6">
        <f t="shared" si="112"/>
        <v>65</v>
      </c>
      <c r="M117" s="41">
        <f t="shared" si="71"/>
        <v>67.938453107155695</v>
      </c>
      <c r="N117" s="41">
        <f t="shared" si="72"/>
        <v>14.299968666510555</v>
      </c>
      <c r="O117" s="41">
        <f t="shared" si="73"/>
        <v>678309.94721688109</v>
      </c>
      <c r="P117" s="41">
        <f t="shared" si="74"/>
        <v>4355226.4987923782</v>
      </c>
      <c r="Q117" s="41">
        <f t="shared" si="75"/>
        <v>3.4399109567886397E-3</v>
      </c>
      <c r="R117" s="41">
        <f t="shared" si="76"/>
        <v>2.6000656391194643E-2</v>
      </c>
      <c r="S117" s="27">
        <v>0</v>
      </c>
      <c r="T117" s="41">
        <f t="shared" ca="1" si="77"/>
        <v>5.066772507630505</v>
      </c>
      <c r="U117" s="41">
        <f t="shared" ca="1" si="78"/>
        <v>1.6473716591365475</v>
      </c>
      <c r="V117" s="41">
        <f t="shared" ca="1" si="79"/>
        <v>3.075670556507085</v>
      </c>
      <c r="W117" s="20">
        <f t="shared" ca="1" si="80"/>
        <v>5418.1935147825316</v>
      </c>
      <c r="X117" s="41">
        <f t="shared" si="81"/>
        <v>0.64162660043029041</v>
      </c>
      <c r="Y117" s="41">
        <f t="shared" ca="1" si="82"/>
        <v>178.11278023252399</v>
      </c>
      <c r="Z117" s="14">
        <f t="shared" ca="1" si="83"/>
        <v>5418.1935147825316</v>
      </c>
      <c r="AA117" s="14">
        <f t="shared" si="84"/>
        <v>5628.3916222821908</v>
      </c>
      <c r="AB117" s="25">
        <f t="shared" ca="1" si="85"/>
        <v>621288.82135137508</v>
      </c>
      <c r="AC117" s="41">
        <f t="shared" si="86"/>
        <v>645391.63977276441</v>
      </c>
      <c r="AD117" s="5">
        <f t="shared" ca="1" si="87"/>
        <v>96.265396553652948</v>
      </c>
      <c r="AE117" s="7">
        <f t="shared" ca="1" si="88"/>
        <v>5418.1935147825316</v>
      </c>
      <c r="AF117" s="41">
        <f t="shared" ca="1" si="89"/>
        <v>0</v>
      </c>
      <c r="AG117" s="41">
        <f t="shared" ca="1" si="90"/>
        <v>1.4463503390953578</v>
      </c>
      <c r="AH117" s="41">
        <f t="shared" ca="1" si="91"/>
        <v>3971.7329625414036</v>
      </c>
      <c r="AI117" s="13">
        <f t="shared" ca="1" si="92"/>
        <v>0</v>
      </c>
      <c r="AJ117" s="10">
        <f t="shared" ca="1" si="93"/>
        <v>0</v>
      </c>
      <c r="AK117" s="11">
        <f t="shared" ca="1" si="94"/>
        <v>5.2075137442304338E-3</v>
      </c>
      <c r="AL117" s="6">
        <v>0</v>
      </c>
      <c r="AM117" s="6">
        <v>14400</v>
      </c>
      <c r="AN117" s="41">
        <f t="shared" ca="1" si="113"/>
        <v>15886.931850165614</v>
      </c>
      <c r="AO117" s="41">
        <f t="shared" si="114"/>
        <v>271.75381242862278</v>
      </c>
      <c r="AP117" s="67">
        <f t="shared" si="95"/>
        <v>0.73303638042924646</v>
      </c>
      <c r="AQ117" s="11">
        <f t="shared" si="96"/>
        <v>0.97937395000000005</v>
      </c>
      <c r="AR117" s="11">
        <f t="shared" si="97"/>
        <v>0.8962407041850623</v>
      </c>
      <c r="AS117" s="11">
        <f t="shared" si="98"/>
        <v>0.91511593113647982</v>
      </c>
      <c r="AT117" s="11">
        <f t="shared" si="99"/>
        <v>507.97188664649997</v>
      </c>
      <c r="AU117" s="11">
        <f t="shared" si="100"/>
        <v>1896.6425030105124</v>
      </c>
      <c r="AV117" s="11">
        <f t="shared" si="101"/>
        <v>2.1751390567182989E-3</v>
      </c>
      <c r="AW117" s="11">
        <f t="shared" si="102"/>
        <v>3.6770358841811742E-7</v>
      </c>
      <c r="AX117" s="41">
        <f t="shared" ca="1" si="115"/>
        <v>26.366284313077703</v>
      </c>
      <c r="AY117" s="41">
        <f t="shared" ca="1" si="116"/>
        <v>14.15967120517136</v>
      </c>
      <c r="AZ117" s="41">
        <f t="shared" si="117"/>
        <v>7.6403562739016051E-2</v>
      </c>
      <c r="BA117" s="41">
        <f t="shared" ca="1" si="105"/>
        <v>1.3663882302568191</v>
      </c>
      <c r="BB117" s="41">
        <f t="shared" ca="1" si="106"/>
        <v>6.9231783198151504</v>
      </c>
      <c r="BC117" s="41">
        <f t="shared" ca="1" si="118"/>
        <v>2.6635307019351355</v>
      </c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</row>
    <row r="118" spans="1:67">
      <c r="A118" s="41">
        <f t="shared" si="107"/>
        <v>14400</v>
      </c>
      <c r="B118" s="41">
        <f t="shared" si="108"/>
        <v>240</v>
      </c>
      <c r="C118" s="41">
        <f t="shared" si="109"/>
        <v>4</v>
      </c>
      <c r="D118" s="23">
        <f t="shared" ca="1" si="119"/>
        <v>16664.578262874267</v>
      </c>
      <c r="E118" s="41">
        <f t="shared" si="110"/>
        <v>292.65146338971999</v>
      </c>
      <c r="F118" s="7">
        <f t="shared" si="111"/>
        <v>292.65146338971999</v>
      </c>
      <c r="G118" s="41"/>
      <c r="H118" s="6">
        <v>3000</v>
      </c>
      <c r="I118" s="5">
        <v>0</v>
      </c>
      <c r="J118" s="41">
        <f t="shared" si="69"/>
        <v>0.11176371731429614</v>
      </c>
      <c r="K118" s="41">
        <f t="shared" si="70"/>
        <v>123.48496473732622</v>
      </c>
      <c r="L118" s="6">
        <f t="shared" si="112"/>
        <v>70</v>
      </c>
      <c r="M118" s="41">
        <f t="shared" si="71"/>
        <v>73.162865847429998</v>
      </c>
      <c r="N118" s="41">
        <f t="shared" si="72"/>
        <v>16.583843667067736</v>
      </c>
      <c r="O118" s="41">
        <f t="shared" si="73"/>
        <v>730471.43998012145</v>
      </c>
      <c r="P118" s="41">
        <f t="shared" si="74"/>
        <v>4690139.9353874559</v>
      </c>
      <c r="Q118" s="41">
        <f t="shared" si="75"/>
        <v>3.3967239610380486E-3</v>
      </c>
      <c r="R118" s="41">
        <f t="shared" si="76"/>
        <v>2.5736999782137289E-2</v>
      </c>
      <c r="S118" s="27">
        <v>0</v>
      </c>
      <c r="T118" s="41">
        <f t="shared" ca="1" si="77"/>
        <v>4.3689924696609479</v>
      </c>
      <c r="U118" s="41">
        <f t="shared" ca="1" si="78"/>
        <v>1.2312785494969669</v>
      </c>
      <c r="V118" s="41">
        <f t="shared" ca="1" si="79"/>
        <v>3.5483380031641736</v>
      </c>
      <c r="W118" s="20">
        <f t="shared" ca="1" si="80"/>
        <v>4696.4461243584738</v>
      </c>
      <c r="X118" s="41">
        <f t="shared" si="81"/>
        <v>0.63836514157859781</v>
      </c>
      <c r="Y118" s="41">
        <f t="shared" ca="1" si="82"/>
        <v>178.11278023252399</v>
      </c>
      <c r="Z118" s="14">
        <f t="shared" ca="1" si="83"/>
        <v>4696.4461243584738</v>
      </c>
      <c r="AA118" s="14">
        <f t="shared" si="84"/>
        <v>5628.3916222821908</v>
      </c>
      <c r="AB118" s="25">
        <f t="shared" ca="1" si="85"/>
        <v>579940.48405715858</v>
      </c>
      <c r="AC118" s="41">
        <f t="shared" si="86"/>
        <v>695021.74100537866</v>
      </c>
      <c r="AD118" s="5">
        <f t="shared" ca="1" si="87"/>
        <v>83.442063728574851</v>
      </c>
      <c r="AE118" s="7">
        <f t="shared" ca="1" si="88"/>
        <v>4696.4461243584738</v>
      </c>
      <c r="AF118" s="41">
        <f t="shared" ca="1" si="89"/>
        <v>0</v>
      </c>
      <c r="AG118" s="41">
        <f t="shared" ca="1" si="90"/>
        <v>6.9057407354016727</v>
      </c>
      <c r="AH118" s="41">
        <f t="shared" ca="1" si="91"/>
        <v>3451.3193341898946</v>
      </c>
      <c r="AI118" s="13">
        <f t="shared" ca="1" si="92"/>
        <v>0</v>
      </c>
      <c r="AJ118" s="10">
        <f t="shared" ca="1" si="93"/>
        <v>0</v>
      </c>
      <c r="AK118" s="11">
        <f t="shared" ca="1" si="94"/>
        <v>2.4863782184466467E-2</v>
      </c>
      <c r="AL118" s="6">
        <v>0</v>
      </c>
      <c r="AM118" s="6">
        <v>14400</v>
      </c>
      <c r="AN118" s="41">
        <f t="shared" ca="1" si="113"/>
        <v>13805.277336759578</v>
      </c>
      <c r="AO118" s="41">
        <f t="shared" si="114"/>
        <v>292.65146338971999</v>
      </c>
      <c r="AP118" s="67">
        <f t="shared" si="95"/>
        <v>0.73487893671117943</v>
      </c>
      <c r="AQ118" s="11">
        <f t="shared" si="96"/>
        <v>0.97937395000000005</v>
      </c>
      <c r="AR118" s="11">
        <f t="shared" si="97"/>
        <v>0.8962407041850623</v>
      </c>
      <c r="AS118" s="11">
        <f t="shared" si="98"/>
        <v>0.91511593113647982</v>
      </c>
      <c r="AT118" s="11">
        <f t="shared" si="99"/>
        <v>507.97188664649997</v>
      </c>
      <c r="AU118" s="11">
        <f t="shared" si="100"/>
        <v>1896.6425030105124</v>
      </c>
      <c r="AV118" s="11">
        <f t="shared" si="101"/>
        <v>2.1751390567182989E-3</v>
      </c>
      <c r="AW118" s="11">
        <f t="shared" si="102"/>
        <v>3.6770358841811742E-7</v>
      </c>
      <c r="AX118" s="41">
        <f t="shared" ca="1" si="115"/>
        <v>14.81058897116519</v>
      </c>
      <c r="AY118" s="41">
        <f t="shared" ca="1" si="116"/>
        <v>7.953834817847973</v>
      </c>
      <c r="AZ118" s="41">
        <f t="shared" si="117"/>
        <v>8.2569722556872213E-2</v>
      </c>
      <c r="BA118" s="41">
        <f t="shared" ca="1" si="105"/>
        <v>1.6975959659473581</v>
      </c>
      <c r="BB118" s="41">
        <f t="shared" ca="1" si="106"/>
        <v>7.4167839917508109</v>
      </c>
      <c r="BC118" s="41">
        <f t="shared" ca="1" si="118"/>
        <v>3.0728607107401742</v>
      </c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</row>
    <row r="119" spans="1:67">
      <c r="A119" s="41">
        <f t="shared" si="107"/>
        <v>14400</v>
      </c>
      <c r="B119" s="41">
        <f t="shared" si="108"/>
        <v>240</v>
      </c>
      <c r="C119" s="41">
        <f t="shared" si="109"/>
        <v>4</v>
      </c>
      <c r="D119" s="23">
        <f t="shared" ca="1" si="119"/>
        <v>16664.578262874267</v>
      </c>
      <c r="E119" s="41">
        <f t="shared" si="110"/>
        <v>313.54768054018359</v>
      </c>
      <c r="F119" s="7">
        <f t="shared" si="111"/>
        <v>313.54768054018359</v>
      </c>
      <c r="G119" s="41"/>
      <c r="H119" s="6">
        <v>3000</v>
      </c>
      <c r="I119" s="5">
        <v>0</v>
      </c>
      <c r="J119" s="41">
        <f t="shared" si="69"/>
        <v>0.11974399145846637</v>
      </c>
      <c r="K119" s="41">
        <f t="shared" si="70"/>
        <v>132.30217210092744</v>
      </c>
      <c r="L119" s="6">
        <f t="shared" si="112"/>
        <v>75</v>
      </c>
      <c r="M119" s="41">
        <f t="shared" si="71"/>
        <v>78.386920135045898</v>
      </c>
      <c r="N119" s="41">
        <f t="shared" si="72"/>
        <v>19.036669922597298</v>
      </c>
      <c r="O119" s="41">
        <f t="shared" si="73"/>
        <v>782629.35388643097</v>
      </c>
      <c r="P119" s="41">
        <f t="shared" si="74"/>
        <v>5025030.3932062313</v>
      </c>
      <c r="Q119" s="41">
        <f t="shared" si="75"/>
        <v>3.3571112087233492E-3</v>
      </c>
      <c r="R119" s="41">
        <f t="shared" si="76"/>
        <v>2.5495163929256048E-2</v>
      </c>
      <c r="S119" s="27">
        <v>0</v>
      </c>
      <c r="T119" s="41">
        <f t="shared" ca="1" si="77"/>
        <v>3.8060589585285971</v>
      </c>
      <c r="U119" s="41">
        <f t="shared" ca="1" si="78"/>
        <v>0.94038881523848206</v>
      </c>
      <c r="V119" s="41">
        <f t="shared" ca="1" si="79"/>
        <v>4.0473247840186009</v>
      </c>
      <c r="W119" s="20">
        <f t="shared" ca="1" si="80"/>
        <v>4117.4304391573833</v>
      </c>
      <c r="X119" s="41">
        <f t="shared" si="81"/>
        <v>0.63535888700731979</v>
      </c>
      <c r="Y119" s="41">
        <f t="shared" ca="1" si="82"/>
        <v>178.11278023252399</v>
      </c>
      <c r="Z119" s="14">
        <f t="shared" ca="1" si="83"/>
        <v>4117.4304391573833</v>
      </c>
      <c r="AA119" s="14">
        <f t="shared" si="84"/>
        <v>5628.3916222821908</v>
      </c>
      <c r="AB119" s="25">
        <f t="shared" ca="1" si="85"/>
        <v>544744.99057499738</v>
      </c>
      <c r="AC119" s="41">
        <f t="shared" si="86"/>
        <v>744648.43706259655</v>
      </c>
      <c r="AD119" s="5">
        <f t="shared" ca="1" si="87"/>
        <v>73.154654392862852</v>
      </c>
      <c r="AE119" s="7">
        <f t="shared" ca="1" si="88"/>
        <v>4117.4304391573833</v>
      </c>
      <c r="AF119" s="41">
        <f t="shared" ca="1" si="89"/>
        <v>0</v>
      </c>
      <c r="AG119" s="41">
        <f t="shared" ca="1" si="90"/>
        <v>11.995709902419113</v>
      </c>
      <c r="AH119" s="41">
        <f t="shared" ca="1" si="91"/>
        <v>3033.3507686158327</v>
      </c>
      <c r="AI119" s="13">
        <f t="shared" ca="1" si="92"/>
        <v>0</v>
      </c>
      <c r="AJ119" s="10">
        <f t="shared" ca="1" si="93"/>
        <v>0</v>
      </c>
      <c r="AK119" s="11">
        <f t="shared" ca="1" si="94"/>
        <v>4.3189967534228331E-2</v>
      </c>
      <c r="AL119" s="6">
        <v>0</v>
      </c>
      <c r="AM119" s="6">
        <v>14400</v>
      </c>
      <c r="AN119" s="41">
        <f t="shared" ca="1" si="113"/>
        <v>12133.403074463331</v>
      </c>
      <c r="AO119" s="41">
        <f t="shared" si="114"/>
        <v>313.54768054018359</v>
      </c>
      <c r="AP119" s="67">
        <f t="shared" si="95"/>
        <v>0.73670965750100115</v>
      </c>
      <c r="AQ119" s="11">
        <f t="shared" si="96"/>
        <v>0.97937395000000005</v>
      </c>
      <c r="AR119" s="11">
        <f t="shared" si="97"/>
        <v>0.8962407041850623</v>
      </c>
      <c r="AS119" s="11">
        <f t="shared" si="98"/>
        <v>0.91511593113647982</v>
      </c>
      <c r="AT119" s="11">
        <f t="shared" si="99"/>
        <v>507.97188664649997</v>
      </c>
      <c r="AU119" s="11">
        <f t="shared" si="100"/>
        <v>1896.6425030105124</v>
      </c>
      <c r="AV119" s="11">
        <f t="shared" si="101"/>
        <v>2.1751390567182989E-3</v>
      </c>
      <c r="AW119" s="11">
        <f t="shared" si="102"/>
        <v>3.6770358841811742E-7</v>
      </c>
      <c r="AX119" s="41">
        <f t="shared" ca="1" si="115"/>
        <v>9.0000412843869562</v>
      </c>
      <c r="AY119" s="41">
        <f t="shared" ca="1" si="116"/>
        <v>4.8333555045781811</v>
      </c>
      <c r="AZ119" s="41">
        <f t="shared" si="117"/>
        <v>8.8704507445066277E-2</v>
      </c>
      <c r="BA119" s="41">
        <f t="shared" ca="1" si="105"/>
        <v>2.0745805441628566</v>
      </c>
      <c r="BB119" s="41">
        <f t="shared" ca="1" si="106"/>
        <v>7.8959758653001719</v>
      </c>
      <c r="BC119" s="41">
        <f t="shared" ca="1" si="118"/>
        <v>3.5049832629601081</v>
      </c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</row>
    <row r="120" spans="1:67">
      <c r="A120" s="41">
        <f t="shared" si="107"/>
        <v>14400</v>
      </c>
      <c r="B120" s="41">
        <f t="shared" si="108"/>
        <v>240</v>
      </c>
      <c r="C120" s="41">
        <f t="shared" si="109"/>
        <v>4</v>
      </c>
      <c r="D120" s="23">
        <f t="shared" ca="1" si="119"/>
        <v>16664.578262874267</v>
      </c>
      <c r="E120" s="41">
        <f t="shared" si="110"/>
        <v>334.44236433053504</v>
      </c>
      <c r="F120" s="7">
        <f t="shared" si="111"/>
        <v>334.44236433053504</v>
      </c>
      <c r="G120" s="41"/>
      <c r="H120" s="6">
        <v>3000</v>
      </c>
      <c r="I120" s="5">
        <v>0</v>
      </c>
      <c r="J120" s="41">
        <f t="shared" si="69"/>
        <v>0.12772368001176299</v>
      </c>
      <c r="K120" s="41">
        <f t="shared" si="70"/>
        <v>141.11873245966771</v>
      </c>
      <c r="L120" s="6">
        <f t="shared" si="112"/>
        <v>80</v>
      </c>
      <c r="M120" s="41">
        <f t="shared" si="71"/>
        <v>83.610591082633761</v>
      </c>
      <c r="N120" s="41">
        <f t="shared" si="72"/>
        <v>21.658399730263241</v>
      </c>
      <c r="O120" s="41">
        <f t="shared" si="73"/>
        <v>834783.44045575673</v>
      </c>
      <c r="P120" s="41">
        <f t="shared" si="74"/>
        <v>5359896.2768321624</v>
      </c>
      <c r="Q120" s="41">
        <f t="shared" si="75"/>
        <v>3.3205546666850226E-3</v>
      </c>
      <c r="R120" s="41">
        <f t="shared" si="76"/>
        <v>2.5271986240112062E-2</v>
      </c>
      <c r="S120" s="27">
        <v>0</v>
      </c>
      <c r="T120" s="41">
        <f t="shared" ca="1" si="77"/>
        <v>3.3453389447888218</v>
      </c>
      <c r="U120" s="41">
        <f t="shared" ca="1" si="78"/>
        <v>0.73207736152350777</v>
      </c>
      <c r="V120" s="41">
        <f t="shared" ca="1" si="79"/>
        <v>4.5696522261348465</v>
      </c>
      <c r="W120" s="20">
        <f t="shared" ca="1" si="80"/>
        <v>3646.7935497510907</v>
      </c>
      <c r="X120" s="41">
        <f t="shared" si="81"/>
        <v>0.63257189553467696</v>
      </c>
      <c r="Y120" s="41">
        <f t="shared" ca="1" si="82"/>
        <v>178.11278023252399</v>
      </c>
      <c r="Z120" s="14">
        <f t="shared" ca="1" si="83"/>
        <v>3646.7935497510907</v>
      </c>
      <c r="AA120" s="14">
        <f t="shared" si="84"/>
        <v>5628.3916222821908</v>
      </c>
      <c r="AB120" s="25">
        <f t="shared" ca="1" si="85"/>
        <v>514630.8832829661</v>
      </c>
      <c r="AC120" s="41">
        <f t="shared" si="86"/>
        <v>794271.49152307562</v>
      </c>
      <c r="AD120" s="5">
        <f t="shared" ca="1" si="87"/>
        <v>64.792818170537942</v>
      </c>
      <c r="AE120" s="7">
        <f t="shared" ca="1" si="88"/>
        <v>3646.7935497510907</v>
      </c>
      <c r="AF120" s="41">
        <f t="shared" ca="1" si="89"/>
        <v>0</v>
      </c>
      <c r="AG120" s="41">
        <f t="shared" ca="1" si="90"/>
        <v>16.780539166904653</v>
      </c>
      <c r="AH120" s="41">
        <f t="shared" ca="1" si="91"/>
        <v>2693.261238900599</v>
      </c>
      <c r="AI120" s="13">
        <f t="shared" ca="1" si="92"/>
        <v>0</v>
      </c>
      <c r="AJ120" s="10">
        <f t="shared" ca="1" si="93"/>
        <v>0</v>
      </c>
      <c r="AK120" s="11">
        <f t="shared" ca="1" si="94"/>
        <v>6.0417511570474224E-2</v>
      </c>
      <c r="AL120" s="6">
        <v>0</v>
      </c>
      <c r="AM120" s="6">
        <v>14400</v>
      </c>
      <c r="AN120" s="41">
        <f t="shared" ca="1" si="113"/>
        <v>10773.044955602396</v>
      </c>
      <c r="AO120" s="41">
        <f t="shared" si="114"/>
        <v>334.44236433053504</v>
      </c>
      <c r="AP120" s="67">
        <f t="shared" si="95"/>
        <v>0.7385285737067363</v>
      </c>
      <c r="AQ120" s="11">
        <f t="shared" si="96"/>
        <v>0.97937395000000005</v>
      </c>
      <c r="AR120" s="11">
        <f t="shared" si="97"/>
        <v>0.8962407041850623</v>
      </c>
      <c r="AS120" s="11">
        <f t="shared" si="98"/>
        <v>0.91511593113647982</v>
      </c>
      <c r="AT120" s="11">
        <f t="shared" si="99"/>
        <v>507.97188664649997</v>
      </c>
      <c r="AU120" s="11">
        <f t="shared" si="100"/>
        <v>1896.6425030105124</v>
      </c>
      <c r="AV120" s="11">
        <f t="shared" si="101"/>
        <v>2.1751390567182989E-3</v>
      </c>
      <c r="AW120" s="11">
        <f t="shared" si="102"/>
        <v>3.6770358841811742E-7</v>
      </c>
      <c r="AX120" s="41">
        <f t="shared" ca="1" si="115"/>
        <v>5.8742265311992776</v>
      </c>
      <c r="AY120" s="41">
        <f t="shared" ca="1" si="116"/>
        <v>3.1546772111996124</v>
      </c>
      <c r="AZ120" s="41">
        <f t="shared" si="117"/>
        <v>9.4807894769817894E-2</v>
      </c>
      <c r="BA120" s="41">
        <f t="shared" ca="1" si="105"/>
        <v>2.4984064136341511</v>
      </c>
      <c r="BB120" s="41">
        <f t="shared" ca="1" si="106"/>
        <v>8.3580162754404945</v>
      </c>
      <c r="BC120" s="41">
        <f t="shared" ca="1" si="118"/>
        <v>3.9573188278327769</v>
      </c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</row>
    <row r="121" spans="1:67">
      <c r="A121" s="41">
        <f t="shared" si="107"/>
        <v>14400</v>
      </c>
      <c r="B121" s="41">
        <f t="shared" si="108"/>
        <v>240</v>
      </c>
      <c r="C121" s="41">
        <f t="shared" si="109"/>
        <v>4</v>
      </c>
      <c r="D121" s="23">
        <f t="shared" ca="1" si="119"/>
        <v>16664.578262874267</v>
      </c>
      <c r="E121" s="41">
        <f t="shared" si="110"/>
        <v>355.33541579654849</v>
      </c>
      <c r="F121" s="7">
        <f t="shared" si="111"/>
        <v>355.33541579654849</v>
      </c>
      <c r="G121" s="41"/>
      <c r="H121" s="6">
        <v>3000</v>
      </c>
      <c r="I121" s="5">
        <v>0</v>
      </c>
      <c r="J121" s="41">
        <f t="shared" si="69"/>
        <v>0.13570274517970632</v>
      </c>
      <c r="K121" s="41">
        <f t="shared" si="70"/>
        <v>149.93460405536203</v>
      </c>
      <c r="L121" s="6">
        <f t="shared" si="112"/>
        <v>85</v>
      </c>
      <c r="M121" s="41">
        <f t="shared" si="71"/>
        <v>88.833853949137122</v>
      </c>
      <c r="N121" s="41">
        <f t="shared" si="72"/>
        <v>24.448982248212918</v>
      </c>
      <c r="O121" s="41">
        <f t="shared" si="73"/>
        <v>886933.45266886393</v>
      </c>
      <c r="P121" s="41">
        <f t="shared" si="74"/>
        <v>5694736.0002281843</v>
      </c>
      <c r="Q121" s="41">
        <f t="shared" si="75"/>
        <v>3.2866377759847138E-3</v>
      </c>
      <c r="R121" s="41">
        <f t="shared" si="76"/>
        <v>2.5064923622386676E-2</v>
      </c>
      <c r="S121" s="27">
        <v>0</v>
      </c>
      <c r="T121" s="41">
        <f t="shared" ca="1" si="77"/>
        <v>2.9635052847547207</v>
      </c>
      <c r="U121" s="41">
        <f t="shared" ca="1" si="78"/>
        <v>0.57973023101778753</v>
      </c>
      <c r="V121" s="41">
        <f t="shared" ca="1" si="79"/>
        <v>5.1118694975625534</v>
      </c>
      <c r="W121" s="20">
        <f t="shared" ca="1" si="80"/>
        <v>3259.9772491884401</v>
      </c>
      <c r="X121" s="41">
        <f t="shared" si="81"/>
        <v>0.62997511916820281</v>
      </c>
      <c r="Y121" s="41">
        <f t="shared" ca="1" si="82"/>
        <v>178.11278023252399</v>
      </c>
      <c r="Z121" s="14">
        <f t="shared" ca="1" si="83"/>
        <v>3259.9772491884401</v>
      </c>
      <c r="AA121" s="14">
        <f t="shared" si="84"/>
        <v>5628.3916222821908</v>
      </c>
      <c r="AB121" s="25">
        <f t="shared" ca="1" si="85"/>
        <v>488783.39808655705</v>
      </c>
      <c r="AC121" s="41">
        <f t="shared" si="86"/>
        <v>843890.669355397</v>
      </c>
      <c r="AD121" s="5">
        <f t="shared" ca="1" si="87"/>
        <v>57.920227801536484</v>
      </c>
      <c r="AE121" s="7">
        <f t="shared" ca="1" si="88"/>
        <v>3259.9772491884396</v>
      </c>
      <c r="AF121" s="41">
        <f t="shared" ca="1" si="89"/>
        <v>0</v>
      </c>
      <c r="AG121" s="41">
        <f t="shared" ca="1" si="90"/>
        <v>21.309106397247156</v>
      </c>
      <c r="AH121" s="41">
        <f t="shared" ca="1" si="91"/>
        <v>2413.4775919173239</v>
      </c>
      <c r="AI121" s="13">
        <f t="shared" ca="1" si="92"/>
        <v>-4.0914545165709374E-15</v>
      </c>
      <c r="AJ121" s="10">
        <f t="shared" ca="1" si="93"/>
        <v>-1.5635021504621747E-15</v>
      </c>
      <c r="AK121" s="11">
        <f t="shared" ca="1" si="94"/>
        <v>7.672239667073992E-2</v>
      </c>
      <c r="AL121" s="6">
        <v>0</v>
      </c>
      <c r="AM121" s="6">
        <v>14400</v>
      </c>
      <c r="AN121" s="41">
        <f t="shared" ca="1" si="113"/>
        <v>9653.9103676692957</v>
      </c>
      <c r="AO121" s="41">
        <f t="shared" si="114"/>
        <v>355.33541579654849</v>
      </c>
      <c r="AP121" s="67">
        <f t="shared" si="95"/>
        <v>0.74033571630542849</v>
      </c>
      <c r="AQ121" s="11">
        <f t="shared" si="96"/>
        <v>0.97937395000000005</v>
      </c>
      <c r="AR121" s="11">
        <f t="shared" si="97"/>
        <v>0.8962407041850623</v>
      </c>
      <c r="AS121" s="11">
        <f t="shared" si="98"/>
        <v>0.91511593113647982</v>
      </c>
      <c r="AT121" s="11">
        <f t="shared" si="99"/>
        <v>507.97188664649997</v>
      </c>
      <c r="AU121" s="11">
        <f t="shared" si="100"/>
        <v>1896.6425030105124</v>
      </c>
      <c r="AV121" s="11">
        <f t="shared" si="101"/>
        <v>2.1751390567182989E-3</v>
      </c>
      <c r="AW121" s="11">
        <f t="shared" si="102"/>
        <v>3.6770358841811742E-7</v>
      </c>
      <c r="AX121" s="41">
        <f t="shared" ca="1" si="115"/>
        <v>4.089890206578195</v>
      </c>
      <c r="AY121" s="41">
        <f t="shared" ca="1" si="116"/>
        <v>2.1964225183475494</v>
      </c>
      <c r="AZ121" s="41">
        <f t="shared" si="117"/>
        <v>0.1008798626562758</v>
      </c>
      <c r="BA121" s="41">
        <f t="shared" ca="1" si="105"/>
        <v>2.969456072116293</v>
      </c>
      <c r="BB121" s="41">
        <f t="shared" ca="1" si="106"/>
        <v>8.7999987625636305</v>
      </c>
      <c r="BC121" s="41">
        <f t="shared" ca="1" si="118"/>
        <v>4.4268789848891714</v>
      </c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</row>
    <row r="122" spans="1:67">
      <c r="A122" s="41">
        <f t="shared" si="107"/>
        <v>14400</v>
      </c>
      <c r="B122" s="41">
        <f t="shared" si="108"/>
        <v>240</v>
      </c>
      <c r="C122" s="41">
        <f t="shared" si="109"/>
        <v>4</v>
      </c>
      <c r="D122" s="23">
        <f t="shared" ca="1" si="119"/>
        <v>16664.578262874267</v>
      </c>
      <c r="E122" s="41">
        <f t="shared" si="110"/>
        <v>376.2267365956485</v>
      </c>
      <c r="F122" s="7">
        <f t="shared" si="111"/>
        <v>376.2267365956485</v>
      </c>
      <c r="G122" s="41"/>
      <c r="H122" s="6">
        <v>3000</v>
      </c>
      <c r="I122" s="5">
        <v>0</v>
      </c>
      <c r="J122" s="41">
        <f t="shared" si="69"/>
        <v>0.14368114940522544</v>
      </c>
      <c r="K122" s="41">
        <f t="shared" si="70"/>
        <v>158.74974539213233</v>
      </c>
      <c r="L122" s="6">
        <f t="shared" si="112"/>
        <v>90</v>
      </c>
      <c r="M122" s="41">
        <f t="shared" si="71"/>
        <v>94.056684148912126</v>
      </c>
      <c r="N122" s="41">
        <f t="shared" si="72"/>
        <v>27.408363525165786</v>
      </c>
      <c r="O122" s="41">
        <f t="shared" si="73"/>
        <v>939079.14505818603</v>
      </c>
      <c r="P122" s="41">
        <f t="shared" si="74"/>
        <v>6029547.9873200338</v>
      </c>
      <c r="Q122" s="41">
        <f t="shared" si="75"/>
        <v>3.2550209187416548E-3</v>
      </c>
      <c r="R122" s="41">
        <f t="shared" si="76"/>
        <v>2.4871902708917804E-2</v>
      </c>
      <c r="S122" s="27">
        <v>0</v>
      </c>
      <c r="T122" s="41">
        <f t="shared" ca="1" si="77"/>
        <v>2.64352477786304</v>
      </c>
      <c r="U122" s="41">
        <f t="shared" ca="1" si="78"/>
        <v>0.46622518598445345</v>
      </c>
      <c r="V122" s="41">
        <f t="shared" ca="1" si="79"/>
        <v>5.6700599996139847</v>
      </c>
      <c r="W122" s="20">
        <f t="shared" ca="1" si="80"/>
        <v>2939.0479578714835</v>
      </c>
      <c r="X122" s="41">
        <f t="shared" si="81"/>
        <v>0.62754476304796514</v>
      </c>
      <c r="Y122" s="41">
        <f t="shared" ca="1" si="82"/>
        <v>178.11278023252399</v>
      </c>
      <c r="Z122" s="14">
        <f t="shared" ca="1" si="83"/>
        <v>2939.0479578714835</v>
      </c>
      <c r="AA122" s="14">
        <f t="shared" si="84"/>
        <v>5628.3916222821908</v>
      </c>
      <c r="AB122" s="25">
        <f t="shared" ca="1" si="85"/>
        <v>466573.11500736448</v>
      </c>
      <c r="AC122" s="41">
        <f t="shared" si="86"/>
        <v>893505.73700450838</v>
      </c>
      <c r="AD122" s="5">
        <f t="shared" ca="1" si="87"/>
        <v>52.218256210817174</v>
      </c>
      <c r="AE122" s="7">
        <f t="shared" ca="1" si="88"/>
        <v>2939.0479578714835</v>
      </c>
      <c r="AF122" s="41">
        <f t="shared" ca="1" si="89"/>
        <v>0</v>
      </c>
      <c r="AG122" s="41">
        <f t="shared" ca="1" si="90"/>
        <v>25.619167509823772</v>
      </c>
      <c r="AH122" s="41">
        <f t="shared" ca="1" si="91"/>
        <v>2181.1589419607208</v>
      </c>
      <c r="AI122" s="13">
        <f t="shared" ca="1" si="92"/>
        <v>0</v>
      </c>
      <c r="AJ122" s="10">
        <f t="shared" ca="1" si="93"/>
        <v>0</v>
      </c>
      <c r="AK122" s="11">
        <f t="shared" ca="1" si="94"/>
        <v>9.2240561167630908E-2</v>
      </c>
      <c r="AL122" s="6">
        <v>0</v>
      </c>
      <c r="AM122" s="6">
        <v>14400</v>
      </c>
      <c r="AN122" s="41">
        <f t="shared" ca="1" si="113"/>
        <v>8724.6357678428831</v>
      </c>
      <c r="AO122" s="41">
        <f t="shared" si="114"/>
        <v>376.2267365956485</v>
      </c>
      <c r="AP122" s="67">
        <f t="shared" si="95"/>
        <v>0.74213111634298035</v>
      </c>
      <c r="AQ122" s="11">
        <f t="shared" si="96"/>
        <v>0.97937395000000005</v>
      </c>
      <c r="AR122" s="11">
        <f t="shared" si="97"/>
        <v>0.8962407041850623</v>
      </c>
      <c r="AS122" s="11">
        <f t="shared" si="98"/>
        <v>0.91511593113647982</v>
      </c>
      <c r="AT122" s="11">
        <f t="shared" si="99"/>
        <v>507.97188664649997</v>
      </c>
      <c r="AU122" s="11">
        <f t="shared" si="100"/>
        <v>1896.6425030105124</v>
      </c>
      <c r="AV122" s="11">
        <f t="shared" si="101"/>
        <v>2.1751390567182989E-3</v>
      </c>
      <c r="AW122" s="11">
        <f t="shared" si="102"/>
        <v>3.6770358841811742E-7</v>
      </c>
      <c r="AX122" s="41">
        <f t="shared" ca="1" si="115"/>
        <v>3.0173613944863571</v>
      </c>
      <c r="AY122" s="41">
        <f t="shared" ca="1" si="116"/>
        <v>1.6204348229648957</v>
      </c>
      <c r="AZ122" s="41">
        <f t="shared" si="117"/>
        <v>0.10692038999457015</v>
      </c>
      <c r="BA122" s="41">
        <f t="shared" ca="1" si="105"/>
        <v>3.4873534150512469</v>
      </c>
      <c r="BB122" s="41">
        <f t="shared" ca="1" si="106"/>
        <v>9.2189051618532591</v>
      </c>
      <c r="BC122" s="41">
        <f t="shared" ca="1" si="118"/>
        <v>4.9102719596657103</v>
      </c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</row>
    <row r="123" spans="1:67">
      <c r="A123" s="41">
        <f t="shared" si="107"/>
        <v>14400</v>
      </c>
      <c r="B123" s="41">
        <f t="shared" si="108"/>
        <v>240</v>
      </c>
      <c r="C123" s="41">
        <f t="shared" si="109"/>
        <v>4</v>
      </c>
      <c r="D123" s="23">
        <f t="shared" ca="1" si="119"/>
        <v>16664.578262874267</v>
      </c>
      <c r="E123" s="41">
        <f t="shared" si="110"/>
        <v>397.11622904295103</v>
      </c>
      <c r="F123" s="7">
        <f t="shared" si="111"/>
        <v>397.11622904295103</v>
      </c>
      <c r="G123" s="41"/>
      <c r="H123" s="6">
        <v>3000</v>
      </c>
      <c r="I123" s="5">
        <v>0</v>
      </c>
      <c r="J123" s="41">
        <f t="shared" si="69"/>
        <v>0.15165885538242183</v>
      </c>
      <c r="K123" s="41">
        <f t="shared" si="70"/>
        <v>167.56411525161482</v>
      </c>
      <c r="L123" s="6">
        <f t="shared" si="112"/>
        <v>95</v>
      </c>
      <c r="M123" s="41">
        <f t="shared" si="71"/>
        <v>99.279057260737758</v>
      </c>
      <c r="N123" s="41">
        <f t="shared" si="72"/>
        <v>30.536486531746057</v>
      </c>
      <c r="O123" s="41">
        <f t="shared" si="73"/>
        <v>991220.2737977833</v>
      </c>
      <c r="P123" s="41">
        <f t="shared" si="74"/>
        <v>6364330.6725738458</v>
      </c>
      <c r="Q123" s="41">
        <f t="shared" si="75"/>
        <v>3.2254238212540511E-3</v>
      </c>
      <c r="R123" s="41">
        <f t="shared" si="76"/>
        <v>2.4691212428755983E-2</v>
      </c>
      <c r="S123" s="27">
        <v>0</v>
      </c>
      <c r="T123" s="41">
        <f t="shared" ca="1" si="77"/>
        <v>2.372725101302295</v>
      </c>
      <c r="U123" s="41">
        <f t="shared" ca="1" si="78"/>
        <v>0.38025247552796054</v>
      </c>
      <c r="V123" s="41">
        <f t="shared" ca="1" si="79"/>
        <v>6.2398675985156729</v>
      </c>
      <c r="W123" s="20">
        <f t="shared" ca="1" si="80"/>
        <v>2670.6621574532128</v>
      </c>
      <c r="X123" s="41">
        <f t="shared" si="81"/>
        <v>0.62526110316810857</v>
      </c>
      <c r="Y123" s="41">
        <f t="shared" ca="1" si="82"/>
        <v>178.11278023252399</v>
      </c>
      <c r="Z123" s="14">
        <f t="shared" ca="1" si="83"/>
        <v>2670.6621574532128</v>
      </c>
      <c r="AA123" s="14">
        <f t="shared" si="84"/>
        <v>5628.3916222821908</v>
      </c>
      <c r="AB123" s="25">
        <f t="shared" ca="1" si="85"/>
        <v>447507.14154961641</v>
      </c>
      <c r="AC123" s="41">
        <f t="shared" si="86"/>
        <v>943116.46247731638</v>
      </c>
      <c r="AD123" s="5">
        <f t="shared" ca="1" si="87"/>
        <v>47.449828240102406</v>
      </c>
      <c r="AE123" s="7">
        <f t="shared" ca="1" si="88"/>
        <v>2670.6621574532128</v>
      </c>
      <c r="AF123" s="41">
        <f t="shared" ca="1" si="89"/>
        <v>0</v>
      </c>
      <c r="AG123" s="41">
        <f t="shared" ca="1" si="90"/>
        <v>29.740285839206017</v>
      </c>
      <c r="AH123" s="41">
        <f t="shared" ca="1" si="91"/>
        <v>1986.7451179060852</v>
      </c>
      <c r="AI123" s="13">
        <f t="shared" ca="1" si="92"/>
        <v>0</v>
      </c>
      <c r="AJ123" s="10">
        <f t="shared" ca="1" si="93"/>
        <v>0</v>
      </c>
      <c r="AK123" s="11">
        <f t="shared" ca="1" si="94"/>
        <v>0.10707844640315481</v>
      </c>
      <c r="AL123" s="6">
        <v>0</v>
      </c>
      <c r="AM123" s="6">
        <v>14400</v>
      </c>
      <c r="AN123" s="41">
        <f t="shared" ca="1" si="113"/>
        <v>7946.9804716243407</v>
      </c>
      <c r="AO123" s="41">
        <f t="shared" si="114"/>
        <v>397.11622904295103</v>
      </c>
      <c r="AP123" s="67">
        <f t="shared" si="95"/>
        <v>0.74391480493387374</v>
      </c>
      <c r="AQ123" s="11">
        <f t="shared" si="96"/>
        <v>0.97937395000000005</v>
      </c>
      <c r="AR123" s="11">
        <f t="shared" si="97"/>
        <v>0.8962407041850623</v>
      </c>
      <c r="AS123" s="11">
        <f t="shared" si="98"/>
        <v>0.91511593113647982</v>
      </c>
      <c r="AT123" s="11">
        <f t="shared" si="99"/>
        <v>507.97188664649997</v>
      </c>
      <c r="AU123" s="11">
        <f t="shared" si="100"/>
        <v>1896.6425030105124</v>
      </c>
      <c r="AV123" s="11">
        <f t="shared" si="101"/>
        <v>2.1751390567182989E-3</v>
      </c>
      <c r="AW123" s="11">
        <f t="shared" si="102"/>
        <v>3.6770358841811742E-7</v>
      </c>
      <c r="AX123" s="41">
        <f t="shared" ca="1" si="115"/>
        <v>2.343565497415419</v>
      </c>
      <c r="AY123" s="41">
        <f t="shared" ca="1" si="116"/>
        <v>1.2585814708342067</v>
      </c>
      <c r="AZ123" s="41">
        <f t="shared" si="117"/>
        <v>0.11292945644543277</v>
      </c>
      <c r="BA123" s="41">
        <f t="shared" ca="1" si="105"/>
        <v>4.0509013049235714</v>
      </c>
      <c r="BB123" s="41">
        <f t="shared" ca="1" si="106"/>
        <v>9.6116752090903788</v>
      </c>
      <c r="BC123" s="41">
        <f t="shared" ca="1" si="118"/>
        <v>5.4037253403145726</v>
      </c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</row>
    <row r="124" spans="1:67">
      <c r="A124" s="41">
        <f t="shared" si="107"/>
        <v>14400</v>
      </c>
      <c r="B124" s="41">
        <f t="shared" si="108"/>
        <v>240</v>
      </c>
      <c r="C124" s="41">
        <f t="shared" si="109"/>
        <v>4</v>
      </c>
      <c r="D124" s="23">
        <f t="shared" ca="1" si="119"/>
        <v>16664.578262874267</v>
      </c>
      <c r="E124" s="41">
        <f t="shared" si="110"/>
        <v>418.00379614672187</v>
      </c>
      <c r="F124" s="7">
        <f t="shared" si="111"/>
        <v>418.00379614672187</v>
      </c>
      <c r="G124" s="41"/>
      <c r="H124" s="6">
        <v>3000</v>
      </c>
      <c r="I124" s="5">
        <v>0</v>
      </c>
      <c r="J124" s="41">
        <f t="shared" si="69"/>
        <v>0.15963582607011134</v>
      </c>
      <c r="K124" s="41">
        <f t="shared" si="70"/>
        <v>176.37767270792202</v>
      </c>
      <c r="L124" s="6">
        <f t="shared" si="112"/>
        <v>100</v>
      </c>
      <c r="M124" s="41">
        <f t="shared" si="71"/>
        <v>104.50094903668047</v>
      </c>
      <c r="N124" s="41">
        <f t="shared" si="72"/>
        <v>33.833291193501381</v>
      </c>
      <c r="O124" s="41">
        <f t="shared" si="73"/>
        <v>1043356.5967918506</v>
      </c>
      <c r="P124" s="41">
        <f t="shared" si="74"/>
        <v>6699082.5015644338</v>
      </c>
      <c r="Q124" s="41">
        <f t="shared" si="75"/>
        <v>3.1976126773363722E-3</v>
      </c>
      <c r="R124" s="41">
        <f t="shared" si="76"/>
        <v>2.4521425395138553E-2</v>
      </c>
      <c r="S124" s="27">
        <v>0</v>
      </c>
      <c r="T124" s="41">
        <f t="shared" ca="1" si="77"/>
        <v>2.1415205421508108</v>
      </c>
      <c r="U124" s="41">
        <f t="shared" ca="1" si="78"/>
        <v>0.31416512105361472</v>
      </c>
      <c r="V124" s="41">
        <f t="shared" ca="1" si="79"/>
        <v>6.8165445450112321</v>
      </c>
      <c r="W124" s="20">
        <f t="shared" ca="1" si="80"/>
        <v>2444.7252053931684</v>
      </c>
      <c r="X124" s="41">
        <f t="shared" si="81"/>
        <v>0.6231076171735217</v>
      </c>
      <c r="Y124" s="41">
        <f t="shared" ca="1" si="82"/>
        <v>178.11278023252399</v>
      </c>
      <c r="Z124" s="14">
        <f t="shared" ca="1" si="83"/>
        <v>2444.7252053931684</v>
      </c>
      <c r="AA124" s="14">
        <f t="shared" si="84"/>
        <v>5628.3916222821908</v>
      </c>
      <c r="AB124" s="25">
        <f t="shared" ca="1" si="85"/>
        <v>431194.94213764369</v>
      </c>
      <c r="AC124" s="41">
        <f t="shared" si="86"/>
        <v>992722.61542689847</v>
      </c>
      <c r="AD124" s="5">
        <f t="shared" ca="1" si="87"/>
        <v>43.435591718862753</v>
      </c>
      <c r="AE124" s="7">
        <f t="shared" ca="1" si="88"/>
        <v>2444.7252053931684</v>
      </c>
      <c r="AF124" s="41">
        <f t="shared" ca="1" si="89"/>
        <v>0</v>
      </c>
      <c r="AG124" s="41">
        <f t="shared" ca="1" si="90"/>
        <v>33.69588263390014</v>
      </c>
      <c r="AH124" s="41">
        <f t="shared" ca="1" si="91"/>
        <v>1822.9993477078744</v>
      </c>
      <c r="AI124" s="13">
        <f t="shared" ca="1" si="92"/>
        <v>0</v>
      </c>
      <c r="AJ124" s="10">
        <f t="shared" ca="1" si="93"/>
        <v>0</v>
      </c>
      <c r="AK124" s="11">
        <f t="shared" ca="1" si="94"/>
        <v>0.12132037943847139</v>
      </c>
      <c r="AL124" s="6">
        <v>0</v>
      </c>
      <c r="AM124" s="6">
        <v>14400</v>
      </c>
      <c r="AN124" s="41">
        <f t="shared" ca="1" si="113"/>
        <v>7291.9973908314978</v>
      </c>
      <c r="AO124" s="41">
        <f t="shared" si="114"/>
        <v>418.00379614672187</v>
      </c>
      <c r="AP124" s="67">
        <f t="shared" si="95"/>
        <v>0.74568681326075414</v>
      </c>
      <c r="AQ124" s="11">
        <f t="shared" si="96"/>
        <v>0.97937395000000005</v>
      </c>
      <c r="AR124" s="11">
        <f t="shared" si="97"/>
        <v>0.8962407041850623</v>
      </c>
      <c r="AS124" s="11">
        <f t="shared" si="98"/>
        <v>0.91511593113647982</v>
      </c>
      <c r="AT124" s="11">
        <f t="shared" si="99"/>
        <v>507.97188664649997</v>
      </c>
      <c r="AU124" s="11">
        <f t="shared" si="100"/>
        <v>1896.6425030105124</v>
      </c>
      <c r="AV124" s="11">
        <f t="shared" si="101"/>
        <v>2.1751390567182989E-3</v>
      </c>
      <c r="AW124" s="11">
        <f t="shared" si="102"/>
        <v>3.6770358841811742E-7</v>
      </c>
      <c r="AX124" s="41">
        <f t="shared" ca="1" si="115"/>
        <v>1.9043696888651245</v>
      </c>
      <c r="AY124" s="41">
        <f t="shared" ca="1" si="116"/>
        <v>1.0227170551312708</v>
      </c>
      <c r="AZ124" s="41">
        <f t="shared" si="117"/>
        <v>0.11890704244532575</v>
      </c>
      <c r="BA124" s="41">
        <f t="shared" ca="1" si="105"/>
        <v>4.6580393687487565</v>
      </c>
      <c r="BB124" s="41">
        <f t="shared" ca="1" si="106"/>
        <v>9.9752869943226585</v>
      </c>
      <c r="BC124" s="41">
        <f t="shared" ca="1" si="118"/>
        <v>5.9031275759797266</v>
      </c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</row>
    <row r="125" spans="1:67">
      <c r="A125" s="41">
        <f t="shared" si="107"/>
        <v>14400</v>
      </c>
      <c r="B125" s="41">
        <f t="shared" si="108"/>
        <v>240</v>
      </c>
      <c r="C125" s="41">
        <f t="shared" si="109"/>
        <v>4</v>
      </c>
      <c r="D125" s="23">
        <f t="shared" ca="1" si="119"/>
        <v>16664.578262874267</v>
      </c>
      <c r="E125" s="41">
        <f t="shared" si="110"/>
        <v>438.8893416433807</v>
      </c>
      <c r="F125" s="7">
        <f t="shared" si="111"/>
        <v>438.8893416433807</v>
      </c>
      <c r="G125" s="41"/>
      <c r="H125" s="6">
        <v>3000</v>
      </c>
      <c r="I125" s="5">
        <v>0</v>
      </c>
      <c r="J125" s="41">
        <f t="shared" si="69"/>
        <v>0.16761202470519201</v>
      </c>
      <c r="K125" s="41">
        <f t="shared" si="70"/>
        <v>185.19037714241259</v>
      </c>
      <c r="L125" s="6">
        <f t="shared" si="112"/>
        <v>105</v>
      </c>
      <c r="M125" s="41">
        <f t="shared" si="71"/>
        <v>109.72233541084518</v>
      </c>
      <c r="N125" s="41">
        <f t="shared" si="72"/>
        <v>37.298714425594703</v>
      </c>
      <c r="O125" s="41">
        <f t="shared" si="73"/>
        <v>1095487.8737620879</v>
      </c>
      <c r="P125" s="41">
        <f t="shared" si="74"/>
        <v>7033801.9315362722</v>
      </c>
      <c r="Q125" s="41">
        <f t="shared" si="75"/>
        <v>3.1713905573313305E-3</v>
      </c>
      <c r="R125" s="41">
        <f t="shared" si="76"/>
        <v>2.4361339352507772E-2</v>
      </c>
      <c r="S125" s="27">
        <v>0</v>
      </c>
      <c r="T125" s="41">
        <f t="shared" ca="1" si="77"/>
        <v>1.9425518872504166</v>
      </c>
      <c r="U125" s="41">
        <f t="shared" ca="1" si="78"/>
        <v>0.26268373009939594</v>
      </c>
      <c r="V125" s="41">
        <f t="shared" ca="1" si="79"/>
        <v>7.3950217111481606</v>
      </c>
      <c r="W125" s="20">
        <f t="shared" ca="1" si="80"/>
        <v>2253.4860496422943</v>
      </c>
      <c r="X125" s="41">
        <f t="shared" si="81"/>
        <v>0.62107033409823209</v>
      </c>
      <c r="Y125" s="41">
        <f t="shared" ca="1" si="82"/>
        <v>178.11278023252399</v>
      </c>
      <c r="Z125" s="14">
        <f t="shared" ca="1" si="83"/>
        <v>2253.4860496422943</v>
      </c>
      <c r="AA125" s="14">
        <f t="shared" si="84"/>
        <v>5628.3916222821908</v>
      </c>
      <c r="AB125" s="25">
        <f t="shared" ca="1" si="85"/>
        <v>417323.93141842197</v>
      </c>
      <c r="AC125" s="41">
        <f t="shared" si="86"/>
        <v>1042323.9672356343</v>
      </c>
      <c r="AD125" s="5">
        <f t="shared" ca="1" si="87"/>
        <v>40.037833201246833</v>
      </c>
      <c r="AE125" s="7">
        <f t="shared" ca="1" si="88"/>
        <v>2253.4860496422939</v>
      </c>
      <c r="AF125" s="41">
        <f t="shared" ca="1" si="89"/>
        <v>0</v>
      </c>
      <c r="AG125" s="41">
        <f t="shared" ca="1" si="90"/>
        <v>37.504701646701854</v>
      </c>
      <c r="AH125" s="41">
        <f t="shared" ca="1" si="91"/>
        <v>1684.3617762398471</v>
      </c>
      <c r="AI125" s="13">
        <f t="shared" ca="1" si="92"/>
        <v>-5.0535232327356926E-15</v>
      </c>
      <c r="AJ125" s="10">
        <f t="shared" ca="1" si="93"/>
        <v>-1.5635021504621747E-15</v>
      </c>
      <c r="AK125" s="11">
        <f t="shared" ca="1" si="94"/>
        <v>0.13503384623992204</v>
      </c>
      <c r="AL125" s="6">
        <v>0</v>
      </c>
      <c r="AM125" s="6">
        <v>14400</v>
      </c>
      <c r="AN125" s="41">
        <f t="shared" ca="1" si="113"/>
        <v>6737.4471049593885</v>
      </c>
      <c r="AO125" s="41">
        <f t="shared" si="114"/>
        <v>438.8893416433807</v>
      </c>
      <c r="AP125" s="67">
        <f t="shared" si="95"/>
        <v>0.74744717257389437</v>
      </c>
      <c r="AQ125" s="11">
        <f t="shared" si="96"/>
        <v>0.97937395000000005</v>
      </c>
      <c r="AR125" s="11">
        <f t="shared" si="97"/>
        <v>0.8962407041850623</v>
      </c>
      <c r="AS125" s="11">
        <f t="shared" si="98"/>
        <v>0.91511593113647982</v>
      </c>
      <c r="AT125" s="11">
        <f t="shared" si="99"/>
        <v>507.97188664649997</v>
      </c>
      <c r="AU125" s="11">
        <f t="shared" si="100"/>
        <v>1896.6425030105124</v>
      </c>
      <c r="AV125" s="11">
        <f t="shared" si="101"/>
        <v>2.1751390567182989E-3</v>
      </c>
      <c r="AW125" s="11">
        <f t="shared" si="102"/>
        <v>3.6770358841811742E-7</v>
      </c>
      <c r="AX125" s="41">
        <f t="shared" ca="1" si="115"/>
        <v>1.6095090595037171</v>
      </c>
      <c r="AY125" s="41">
        <f t="shared" ca="1" si="116"/>
        <v>0.86436597640014445</v>
      </c>
      <c r="AZ125" s="41">
        <f t="shared" si="117"/>
        <v>0.12485312921112036</v>
      </c>
      <c r="BA125" s="41">
        <f t="shared" ca="1" si="105"/>
        <v>5.3058276592629197</v>
      </c>
      <c r="BB125" s="41">
        <f t="shared" ca="1" si="106"/>
        <v>10.306845532926648</v>
      </c>
      <c r="BC125" s="41">
        <f t="shared" ca="1" si="118"/>
        <v>6.4040888018543072</v>
      </c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</row>
    <row r="126" spans="1:67">
      <c r="A126" s="41">
        <f t="shared" si="107"/>
        <v>14400</v>
      </c>
      <c r="B126" s="41">
        <f t="shared" si="108"/>
        <v>240</v>
      </c>
      <c r="C126" s="41">
        <f t="shared" si="109"/>
        <v>4</v>
      </c>
      <c r="D126" s="23">
        <f t="shared" ca="1" si="119"/>
        <v>16664.578262874267</v>
      </c>
      <c r="E126" s="41">
        <f t="shared" si="110"/>
        <v>459.77277003189408</v>
      </c>
      <c r="F126" s="7">
        <f t="shared" si="111"/>
        <v>459.77277003189408</v>
      </c>
      <c r="G126" s="41"/>
      <c r="H126" s="6">
        <v>3000</v>
      </c>
      <c r="I126" s="5">
        <v>0</v>
      </c>
      <c r="J126" s="41">
        <f t="shared" si="69"/>
        <v>0.17558741481577891</v>
      </c>
      <c r="K126" s="41">
        <f t="shared" si="70"/>
        <v>194.00218825820363</v>
      </c>
      <c r="L126" s="6">
        <f t="shared" si="112"/>
        <v>110</v>
      </c>
      <c r="M126" s="41">
        <f t="shared" si="71"/>
        <v>114.94319250797352</v>
      </c>
      <c r="N126" s="41">
        <f t="shared" si="72"/>
        <v>40.932690169114416</v>
      </c>
      <c r="O126" s="41">
        <f t="shared" si="73"/>
        <v>1147613.8663335468</v>
      </c>
      <c r="P126" s="41">
        <f t="shared" si="74"/>
        <v>7368487.4319546903</v>
      </c>
      <c r="Q126" s="41">
        <f t="shared" si="75"/>
        <v>3.1465901506485287E-3</v>
      </c>
      <c r="R126" s="41">
        <f t="shared" si="76"/>
        <v>2.420993286970927E-2</v>
      </c>
      <c r="S126" s="27">
        <v>0</v>
      </c>
      <c r="T126" s="41">
        <f t="shared" ca="1" si="77"/>
        <v>1.7700934827421559</v>
      </c>
      <c r="U126" s="41">
        <f t="shared" ca="1" si="78"/>
        <v>0.22209453270100118</v>
      </c>
      <c r="V126" s="41">
        <f t="shared" ca="1" si="79"/>
        <v>7.9700002571660624</v>
      </c>
      <c r="W126" s="20">
        <f t="shared" ca="1" si="80"/>
        <v>2090.913139919996</v>
      </c>
      <c r="X126" s="41">
        <f t="shared" si="81"/>
        <v>0.61913734027822831</v>
      </c>
      <c r="Y126" s="41">
        <f t="shared" ca="1" si="82"/>
        <v>178.11278023252402</v>
      </c>
      <c r="Z126" s="14">
        <f t="shared" ca="1" si="83"/>
        <v>2090.913139919996</v>
      </c>
      <c r="AA126" s="14">
        <f t="shared" si="84"/>
        <v>5628.3916222821908</v>
      </c>
      <c r="AB126" s="25">
        <f t="shared" ca="1" si="85"/>
        <v>405641.72460231074</v>
      </c>
      <c r="AC126" s="41">
        <f t="shared" si="86"/>
        <v>1091920.2910968857</v>
      </c>
      <c r="AD126" s="5">
        <f t="shared" ca="1" si="87"/>
        <v>37.14938974115266</v>
      </c>
      <c r="AE126" s="7">
        <f t="shared" ca="1" si="88"/>
        <v>2090.913139919996</v>
      </c>
      <c r="AF126" s="41">
        <f t="shared" ca="1" si="89"/>
        <v>0</v>
      </c>
      <c r="AG126" s="41">
        <f t="shared" ca="1" si="90"/>
        <v>41.181874252616538</v>
      </c>
      <c r="AH126" s="41">
        <f t="shared" ca="1" si="91"/>
        <v>1566.5035813553452</v>
      </c>
      <c r="AI126" s="13">
        <f t="shared" ca="1" si="92"/>
        <v>0</v>
      </c>
      <c r="AJ126" s="10">
        <f t="shared" ca="1" si="93"/>
        <v>0</v>
      </c>
      <c r="AK126" s="11">
        <f t="shared" ca="1" si="94"/>
        <v>0.14827332658407252</v>
      </c>
      <c r="AL126" s="6">
        <v>0</v>
      </c>
      <c r="AM126" s="6">
        <v>14400</v>
      </c>
      <c r="AN126" s="41">
        <f t="shared" ca="1" si="113"/>
        <v>6266.0143254213808</v>
      </c>
      <c r="AO126" s="41">
        <f t="shared" si="114"/>
        <v>459.77277003189408</v>
      </c>
      <c r="AP126" s="67">
        <f t="shared" si="95"/>
        <v>0.74919591419052634</v>
      </c>
      <c r="AQ126" s="11">
        <f t="shared" si="96"/>
        <v>0.97937395000000005</v>
      </c>
      <c r="AR126" s="11">
        <f t="shared" si="97"/>
        <v>0.8962407041850623</v>
      </c>
      <c r="AS126" s="11">
        <f t="shared" si="98"/>
        <v>0.91511593113647982</v>
      </c>
      <c r="AT126" s="11">
        <f t="shared" si="99"/>
        <v>507.97188664649997</v>
      </c>
      <c r="AU126" s="11">
        <f t="shared" si="100"/>
        <v>1896.6425030105124</v>
      </c>
      <c r="AV126" s="11">
        <f t="shared" si="101"/>
        <v>2.1751390567182989E-3</v>
      </c>
      <c r="AW126" s="11">
        <f t="shared" si="102"/>
        <v>3.6770358841811742E-7</v>
      </c>
      <c r="AX126" s="41">
        <f t="shared" ca="1" si="115"/>
        <v>1.407146639044093</v>
      </c>
      <c r="AY126" s="41">
        <f t="shared" ca="1" si="116"/>
        <v>0.75568986170886487</v>
      </c>
      <c r="AZ126" s="41">
        <f t="shared" si="117"/>
        <v>0.13076769874428731</v>
      </c>
      <c r="BA126" s="41">
        <f t="shared" ca="1" si="105"/>
        <v>5.9904608451491521</v>
      </c>
      <c r="BB126" s="41">
        <f t="shared" ca="1" si="106"/>
        <v>10.603675700620581</v>
      </c>
      <c r="BC126" s="41">
        <f t="shared" ca="1" si="118"/>
        <v>6.9020202227058096</v>
      </c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</row>
    <row r="127" spans="1:67">
      <c r="A127" s="41">
        <f t="shared" si="107"/>
        <v>14400</v>
      </c>
      <c r="B127" s="41">
        <f t="shared" si="108"/>
        <v>240</v>
      </c>
      <c r="C127" s="41">
        <f t="shared" si="109"/>
        <v>4</v>
      </c>
      <c r="D127" s="23">
        <f t="shared" ca="1" si="119"/>
        <v>16664.578262874267</v>
      </c>
      <c r="E127" s="41">
        <f t="shared" si="110"/>
        <v>480.65398660760309</v>
      </c>
      <c r="F127" s="7">
        <f t="shared" si="111"/>
        <v>480.65398660760309</v>
      </c>
      <c r="G127" s="41"/>
      <c r="H127" s="6">
        <v>3000</v>
      </c>
      <c r="I127" s="5">
        <v>0</v>
      </c>
      <c r="J127" s="41">
        <f t="shared" si="69"/>
        <v>0.18356196023412286</v>
      </c>
      <c r="K127" s="41">
        <f t="shared" si="70"/>
        <v>202.81306609444437</v>
      </c>
      <c r="L127" s="6">
        <f t="shared" si="112"/>
        <v>115</v>
      </c>
      <c r="M127" s="41">
        <f t="shared" si="71"/>
        <v>120.16349665190077</v>
      </c>
      <c r="N127" s="41">
        <f t="shared" si="72"/>
        <v>44.735149428975014</v>
      </c>
      <c r="O127" s="41">
        <f t="shared" si="73"/>
        <v>1199734.3381190666</v>
      </c>
      <c r="P127" s="41">
        <f t="shared" si="74"/>
        <v>7703137.48504801</v>
      </c>
      <c r="Q127" s="41">
        <f t="shared" si="75"/>
        <v>3.1230681956379682E-3</v>
      </c>
      <c r="R127" s="41">
        <f t="shared" si="76"/>
        <v>2.4066331334369799E-2</v>
      </c>
      <c r="S127" s="27">
        <v>0</v>
      </c>
      <c r="T127" s="41">
        <f t="shared" ca="1" si="77"/>
        <v>1.6196366620947138</v>
      </c>
      <c r="U127" s="41">
        <f t="shared" ca="1" si="78"/>
        <v>0.18974049566156409</v>
      </c>
      <c r="V127" s="41">
        <f t="shared" ca="1" si="79"/>
        <v>8.5360621434426083</v>
      </c>
      <c r="W127" s="20">
        <f t="shared" ca="1" si="80"/>
        <v>1952.2559680140066</v>
      </c>
      <c r="X127" s="41">
        <f t="shared" si="81"/>
        <v>0.61729839865605241</v>
      </c>
      <c r="Y127" s="41">
        <f t="shared" ca="1" si="82"/>
        <v>178.11278023252399</v>
      </c>
      <c r="Z127" s="14">
        <f t="shared" ca="1" si="83"/>
        <v>1952.2559680140066</v>
      </c>
      <c r="AA127" s="14">
        <f t="shared" si="84"/>
        <v>5628.3916222821908</v>
      </c>
      <c r="AB127" s="25">
        <f t="shared" ca="1" si="85"/>
        <v>395943.01867409819</v>
      </c>
      <c r="AC127" s="41">
        <f t="shared" si="86"/>
        <v>1141511.362095335</v>
      </c>
      <c r="AD127" s="5">
        <f t="shared" ca="1" si="87"/>
        <v>34.685858750219822</v>
      </c>
      <c r="AE127" s="7">
        <f t="shared" ca="1" si="88"/>
        <v>1952.2559680140066</v>
      </c>
      <c r="AF127" s="41">
        <f t="shared" ca="1" si="89"/>
        <v>0</v>
      </c>
      <c r="AG127" s="41">
        <f t="shared" ca="1" si="90"/>
        <v>44.739706679660252</v>
      </c>
      <c r="AH127" s="41">
        <f t="shared" ca="1" si="91"/>
        <v>1466.013566498832</v>
      </c>
      <c r="AI127" s="13">
        <f t="shared" ca="1" si="92"/>
        <v>0</v>
      </c>
      <c r="AJ127" s="10">
        <f t="shared" ca="1" si="93"/>
        <v>0</v>
      </c>
      <c r="AK127" s="11">
        <f t="shared" ca="1" si="94"/>
        <v>0.16108312844375691</v>
      </c>
      <c r="AL127" s="6">
        <v>0</v>
      </c>
      <c r="AM127" s="6">
        <v>14400</v>
      </c>
      <c r="AN127" s="41">
        <f t="shared" ca="1" si="113"/>
        <v>5864.054265995328</v>
      </c>
      <c r="AO127" s="41">
        <f t="shared" si="114"/>
        <v>480.65398660760309</v>
      </c>
      <c r="AP127" s="67">
        <f t="shared" si="95"/>
        <v>0.75093306949404803</v>
      </c>
      <c r="AQ127" s="11">
        <f t="shared" si="96"/>
        <v>0.97937395000000005</v>
      </c>
      <c r="AR127" s="11">
        <f t="shared" si="97"/>
        <v>0.8962407041850623</v>
      </c>
      <c r="AS127" s="11">
        <f t="shared" si="98"/>
        <v>0.91511593113647982</v>
      </c>
      <c r="AT127" s="11">
        <f t="shared" si="99"/>
        <v>507.97188664649997</v>
      </c>
      <c r="AU127" s="11">
        <f t="shared" si="100"/>
        <v>1896.6425030105124</v>
      </c>
      <c r="AV127" s="11">
        <f t="shared" si="101"/>
        <v>2.1751390567182989E-3</v>
      </c>
      <c r="AW127" s="11">
        <f t="shared" si="102"/>
        <v>3.6770358841811742E-7</v>
      </c>
      <c r="AX127" s="41">
        <f t="shared" ca="1" si="115"/>
        <v>1.2663230396321712</v>
      </c>
      <c r="AY127" s="41">
        <f t="shared" ca="1" si="116"/>
        <v>0.68006237313579565</v>
      </c>
      <c r="AZ127" s="41">
        <f t="shared" si="117"/>
        <v>0.1366507338346179</v>
      </c>
      <c r="BA127" s="41">
        <f t="shared" ca="1" si="105"/>
        <v>6.7073160164633503</v>
      </c>
      <c r="BB127" s="41">
        <f t="shared" ca="1" si="106"/>
        <v>10.863414924519113</v>
      </c>
      <c r="BC127" s="41">
        <f t="shared" ca="1" si="118"/>
        <v>7.3922298162212989</v>
      </c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</row>
    <row r="128" spans="1:67">
      <c r="A128" s="41">
        <f t="shared" si="107"/>
        <v>14400</v>
      </c>
      <c r="B128" s="41">
        <f t="shared" si="108"/>
        <v>240</v>
      </c>
      <c r="C128" s="41">
        <f t="shared" si="109"/>
        <v>4</v>
      </c>
      <c r="D128" s="23">
        <f t="shared" ca="1" si="119"/>
        <v>16664.578262874267</v>
      </c>
      <c r="E128" s="41">
        <f t="shared" si="110"/>
        <v>501.53289749545252</v>
      </c>
      <c r="F128" s="7">
        <f t="shared" si="111"/>
        <v>501.53289749545252</v>
      </c>
      <c r="G128" s="41"/>
      <c r="H128" s="6">
        <v>3000</v>
      </c>
      <c r="I128" s="5">
        <v>0</v>
      </c>
      <c r="J128" s="41">
        <f t="shared" si="69"/>
        <v>0.19153562510930061</v>
      </c>
      <c r="K128" s="41">
        <f t="shared" si="70"/>
        <v>211.62297104033718</v>
      </c>
      <c r="L128" s="6">
        <f t="shared" si="112"/>
        <v>120</v>
      </c>
      <c r="M128" s="41">
        <f t="shared" si="71"/>
        <v>125.38322437386313</v>
      </c>
      <c r="N128" s="41">
        <f t="shared" si="72"/>
        <v>48.706020313368327</v>
      </c>
      <c r="O128" s="41">
        <f t="shared" si="73"/>
        <v>1251849.0548022147</v>
      </c>
      <c r="P128" s="41">
        <f t="shared" si="74"/>
        <v>8037750.5863400847</v>
      </c>
      <c r="Q128" s="41">
        <f t="shared" si="75"/>
        <v>3.1007011494185274E-3</v>
      </c>
      <c r="R128" s="41">
        <f t="shared" si="76"/>
        <v>2.392978051720011E-2</v>
      </c>
      <c r="S128" s="27">
        <v>0</v>
      </c>
      <c r="T128" s="41">
        <f t="shared" ca="1" si="77"/>
        <v>1.4875920396141813</v>
      </c>
      <c r="U128" s="41">
        <f t="shared" ca="1" si="78"/>
        <v>0.16369119335990132</v>
      </c>
      <c r="V128" s="41">
        <f t="shared" ca="1" si="79"/>
        <v>9.0877951897111036</v>
      </c>
      <c r="W128" s="20">
        <f t="shared" ca="1" si="80"/>
        <v>1833.7317154485768</v>
      </c>
      <c r="X128" s="41">
        <f t="shared" si="81"/>
        <v>0.61554465173637418</v>
      </c>
      <c r="Y128" s="41">
        <f t="shared" ca="1" si="82"/>
        <v>178.11278023252399</v>
      </c>
      <c r="Z128" s="14">
        <f t="shared" ca="1" si="83"/>
        <v>1833.7317154485768</v>
      </c>
      <c r="AA128" s="14">
        <f t="shared" si="84"/>
        <v>5628.3916222821908</v>
      </c>
      <c r="AB128" s="25">
        <f t="shared" ca="1" si="85"/>
        <v>388059.75371412199</v>
      </c>
      <c r="AC128" s="41">
        <f t="shared" si="86"/>
        <v>1191096.9572859004</v>
      </c>
      <c r="AD128" s="5">
        <f t="shared" ca="1" si="87"/>
        <v>32.580030646571082</v>
      </c>
      <c r="AE128" s="7">
        <f t="shared" ca="1" si="88"/>
        <v>1833.7317154485772</v>
      </c>
      <c r="AF128" s="41">
        <f t="shared" ca="1" si="89"/>
        <v>0</v>
      </c>
      <c r="AG128" s="41">
        <f t="shared" ca="1" si="90"/>
        <v>48.188270408306892</v>
      </c>
      <c r="AH128" s="41">
        <f t="shared" ca="1" si="91"/>
        <v>1380.1740739636816</v>
      </c>
      <c r="AI128" s="13">
        <f t="shared" ca="1" si="92"/>
        <v>5.7748227377413308E-15</v>
      </c>
      <c r="AJ128" s="10">
        <f t="shared" ca="1" si="93"/>
        <v>1.5635021504621747E-15</v>
      </c>
      <c r="AK128" s="11">
        <f t="shared" ca="1" si="94"/>
        <v>0.17349951369244729</v>
      </c>
      <c r="AL128" s="6">
        <v>0</v>
      </c>
      <c r="AM128" s="6">
        <v>14400</v>
      </c>
      <c r="AN128" s="41">
        <f t="shared" ca="1" si="113"/>
        <v>5520.6962958547265</v>
      </c>
      <c r="AO128" s="41">
        <f t="shared" si="114"/>
        <v>501.53289749545252</v>
      </c>
      <c r="AP128" s="67">
        <f t="shared" si="95"/>
        <v>0.75265866993310748</v>
      </c>
      <c r="AQ128" s="11">
        <f t="shared" si="96"/>
        <v>0.97937395000000005</v>
      </c>
      <c r="AR128" s="11">
        <f t="shared" si="97"/>
        <v>0.8962407041850623</v>
      </c>
      <c r="AS128" s="11">
        <f t="shared" si="98"/>
        <v>0.91511593113647982</v>
      </c>
      <c r="AT128" s="11">
        <f t="shared" si="99"/>
        <v>507.97188664649997</v>
      </c>
      <c r="AU128" s="11">
        <f t="shared" si="100"/>
        <v>1896.6425030105124</v>
      </c>
      <c r="AV128" s="11">
        <f t="shared" si="101"/>
        <v>2.1751390567182989E-3</v>
      </c>
      <c r="AW128" s="11">
        <f t="shared" si="102"/>
        <v>3.6770358841811742E-7</v>
      </c>
      <c r="AX128" s="41">
        <f t="shared" ca="1" si="115"/>
        <v>1.1678782471160039</v>
      </c>
      <c r="AY128" s="41">
        <f t="shared" ca="1" si="116"/>
        <v>0.62719387345118727</v>
      </c>
      <c r="AZ128" s="41">
        <f t="shared" si="117"/>
        <v>0.14250221806347244</v>
      </c>
      <c r="BA128" s="41">
        <f t="shared" ca="1" si="105"/>
        <v>7.4510350783674557</v>
      </c>
      <c r="BB128" s="41">
        <f t="shared" ca="1" si="106"/>
        <v>11.084100469465454</v>
      </c>
      <c r="BC128" s="41">
        <f t="shared" ca="1" si="118"/>
        <v>7.8700306342898152</v>
      </c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</row>
    <row r="129" spans="1:67">
      <c r="A129" s="41">
        <f t="shared" si="107"/>
        <v>14400</v>
      </c>
      <c r="B129" s="41">
        <f t="shared" si="108"/>
        <v>240</v>
      </c>
      <c r="C129" s="41">
        <f t="shared" si="109"/>
        <v>4</v>
      </c>
      <c r="D129" s="23">
        <f t="shared" ca="1" si="119"/>
        <v>16664.578262874267</v>
      </c>
      <c r="E129" s="41">
        <f t="shared" si="110"/>
        <v>522.4094096826301</v>
      </c>
      <c r="F129" s="7">
        <f t="shared" si="111"/>
        <v>522.4094096826301</v>
      </c>
      <c r="G129" s="41"/>
      <c r="H129" s="6">
        <v>3000</v>
      </c>
      <c r="I129" s="5">
        <v>0</v>
      </c>
      <c r="J129" s="41">
        <f t="shared" si="69"/>
        <v>0.19950837391967999</v>
      </c>
      <c r="K129" s="41">
        <f t="shared" si="70"/>
        <v>220.43186384890987</v>
      </c>
      <c r="L129" s="6">
        <f t="shared" si="112"/>
        <v>125</v>
      </c>
      <c r="M129" s="41">
        <f t="shared" si="71"/>
        <v>130.60235242065752</v>
      </c>
      <c r="N129" s="41">
        <f t="shared" si="72"/>
        <v>52.845228074731594</v>
      </c>
      <c r="O129" s="41">
        <f t="shared" si="73"/>
        <v>1303957.7842187574</v>
      </c>
      <c r="P129" s="41">
        <f t="shared" si="74"/>
        <v>8372325.2451733947</v>
      </c>
      <c r="Q129" s="41">
        <f t="shared" si="75"/>
        <v>3.0793817823107691E-3</v>
      </c>
      <c r="R129" s="41">
        <f t="shared" si="76"/>
        <v>2.3799625781007246E-2</v>
      </c>
      <c r="S129" s="27">
        <v>0</v>
      </c>
      <c r="T129" s="41">
        <f t="shared" ca="1" si="77"/>
        <v>1.3710734296953138</v>
      </c>
      <c r="U129" s="41">
        <f t="shared" ca="1" si="78"/>
        <v>0.14252430918376285</v>
      </c>
      <c r="V129" s="41">
        <f t="shared" ca="1" si="79"/>
        <v>9.6199268570214826</v>
      </c>
      <c r="W129" s="20">
        <f t="shared" ca="1" si="80"/>
        <v>1732.2978137521877</v>
      </c>
      <c r="X129" s="41">
        <f t="shared" si="81"/>
        <v>0.61386838714781933</v>
      </c>
      <c r="Y129" s="41">
        <f t="shared" ca="1" si="82"/>
        <v>178.11278023252399</v>
      </c>
      <c r="Z129" s="14">
        <f t="shared" ca="1" si="83"/>
        <v>1732.2978137521877</v>
      </c>
      <c r="AA129" s="14">
        <f t="shared" si="84"/>
        <v>5628.3916222821908</v>
      </c>
      <c r="AB129" s="25">
        <f t="shared" ca="1" si="85"/>
        <v>381853.63582678646</v>
      </c>
      <c r="AC129" s="41">
        <f t="shared" si="86"/>
        <v>1240676.8557712529</v>
      </c>
      <c r="AD129" s="5">
        <f t="shared" ca="1" si="87"/>
        <v>30.777847918297102</v>
      </c>
      <c r="AE129" s="7">
        <f t="shared" ca="1" si="88"/>
        <v>1732.2978137521877</v>
      </c>
      <c r="AF129" s="41">
        <f t="shared" ca="1" si="89"/>
        <v>0</v>
      </c>
      <c r="AG129" s="41">
        <f t="shared" ca="1" si="90"/>
        <v>51.535850856650399</v>
      </c>
      <c r="AH129" s="41">
        <f t="shared" ca="1" si="91"/>
        <v>1306.7982604179599</v>
      </c>
      <c r="AI129" s="13">
        <f t="shared" ca="1" si="92"/>
        <v>0</v>
      </c>
      <c r="AJ129" s="10">
        <f t="shared" ca="1" si="93"/>
        <v>0</v>
      </c>
      <c r="AK129" s="11">
        <f t="shared" ca="1" si="94"/>
        <v>0.18555231357326271</v>
      </c>
      <c r="AL129" s="6">
        <v>0</v>
      </c>
      <c r="AM129" s="6">
        <v>14400</v>
      </c>
      <c r="AN129" s="41">
        <f t="shared" ca="1" si="113"/>
        <v>5227.1930416718396</v>
      </c>
      <c r="AO129" s="41">
        <f t="shared" si="114"/>
        <v>522.4094096826301</v>
      </c>
      <c r="AP129" s="67">
        <f t="shared" si="95"/>
        <v>0.75437274702056678</v>
      </c>
      <c r="AQ129" s="11">
        <f t="shared" si="96"/>
        <v>0.97937395000000005</v>
      </c>
      <c r="AR129" s="11">
        <f t="shared" si="97"/>
        <v>0.8962407041850623</v>
      </c>
      <c r="AS129" s="11">
        <f t="shared" si="98"/>
        <v>0.91511593113647982</v>
      </c>
      <c r="AT129" s="11">
        <f t="shared" si="99"/>
        <v>507.97188664649997</v>
      </c>
      <c r="AU129" s="11">
        <f t="shared" si="100"/>
        <v>1896.6425030105124</v>
      </c>
      <c r="AV129" s="11">
        <f t="shared" si="101"/>
        <v>2.1751390567182989E-3</v>
      </c>
      <c r="AW129" s="11">
        <f t="shared" si="102"/>
        <v>3.6770358841811742E-7</v>
      </c>
      <c r="AX129" s="41">
        <f t="shared" ca="1" si="115"/>
        <v>1.099565218867038</v>
      </c>
      <c r="AY129" s="41">
        <f t="shared" ca="1" si="116"/>
        <v>0.59050724716933523</v>
      </c>
      <c r="AZ129" s="41">
        <f t="shared" si="117"/>
        <v>0.14832213580656581</v>
      </c>
      <c r="BA129" s="41">
        <f t="shared" ca="1" si="105"/>
        <v>8.2156402260952053</v>
      </c>
      <c r="BB129" s="41">
        <f t="shared" ca="1" si="106"/>
        <v>11.264246021935136</v>
      </c>
      <c r="BC129" s="41">
        <f t="shared" ca="1" si="118"/>
        <v>8.3308566581806041</v>
      </c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</row>
    <row r="130" spans="1:67">
      <c r="A130" s="41">
        <f t="shared" si="107"/>
        <v>14400</v>
      </c>
      <c r="B130" s="41">
        <f t="shared" si="108"/>
        <v>240</v>
      </c>
      <c r="C130" s="41">
        <f t="shared" si="109"/>
        <v>4</v>
      </c>
      <c r="D130" s="23">
        <f t="shared" ca="1" si="119"/>
        <v>16664.578262874267</v>
      </c>
      <c r="E130" s="41">
        <f t="shared" si="110"/>
        <v>543.28343105048782</v>
      </c>
      <c r="F130" s="7">
        <f t="shared" si="111"/>
        <v>543.28343105048782</v>
      </c>
      <c r="G130" s="41"/>
      <c r="H130" s="6">
        <v>3000</v>
      </c>
      <c r="I130" s="5">
        <v>0</v>
      </c>
      <c r="J130" s="41">
        <f t="shared" si="69"/>
        <v>0.20748017148511044</v>
      </c>
      <c r="K130" s="41">
        <f t="shared" si="70"/>
        <v>229.23970565048498</v>
      </c>
      <c r="L130" s="6">
        <f t="shared" si="112"/>
        <v>130</v>
      </c>
      <c r="M130" s="41">
        <f t="shared" si="71"/>
        <v>135.82085776262196</v>
      </c>
      <c r="N130" s="41">
        <f t="shared" si="72"/>
        <v>57.152695152170224</v>
      </c>
      <c r="O130" s="41">
        <f t="shared" si="73"/>
        <v>1356060.2964363347</v>
      </c>
      <c r="P130" s="41">
        <f t="shared" si="74"/>
        <v>8706859.9852206204</v>
      </c>
      <c r="Q130" s="41">
        <f t="shared" si="75"/>
        <v>3.0590164709412694E-3</v>
      </c>
      <c r="R130" s="41">
        <f t="shared" si="76"/>
        <v>2.3675295555096447E-2</v>
      </c>
      <c r="S130" s="27">
        <v>0</v>
      </c>
      <c r="T130" s="41">
        <f t="shared" ca="1" si="77"/>
        <v>1.2677387812865384</v>
      </c>
      <c r="U130" s="41">
        <f t="shared" ca="1" si="78"/>
        <v>0.12517835737457486</v>
      </c>
      <c r="V130" s="41">
        <f t="shared" ca="1" si="79"/>
        <v>10.127459793173724</v>
      </c>
      <c r="W130" s="20">
        <f t="shared" ca="1" si="80"/>
        <v>1645.4845146960542</v>
      </c>
      <c r="X130" s="41">
        <f t="shared" si="81"/>
        <v>0.61226285067835751</v>
      </c>
      <c r="Y130" s="41">
        <f t="shared" ca="1" si="82"/>
        <v>178.11278023252399</v>
      </c>
      <c r="Z130" s="14">
        <f t="shared" ca="1" si="83"/>
        <v>1645.4845146960542</v>
      </c>
      <c r="AA130" s="14">
        <f t="shared" si="84"/>
        <v>5628.3916222821908</v>
      </c>
      <c r="AB130" s="25">
        <f t="shared" ca="1" si="85"/>
        <v>377210.3858013546</v>
      </c>
      <c r="AC130" s="41">
        <f t="shared" si="86"/>
        <v>1290250.838777625</v>
      </c>
      <c r="AD130" s="5">
        <f t="shared" ca="1" si="87"/>
        <v>29.235430387995031</v>
      </c>
      <c r="AE130" s="7">
        <f t="shared" ca="1" si="88"/>
        <v>1645.4845146960542</v>
      </c>
      <c r="AF130" s="41">
        <f t="shared" ca="1" si="89"/>
        <v>0</v>
      </c>
      <c r="AG130" s="41">
        <f t="shared" ca="1" si="90"/>
        <v>54.789292508551682</v>
      </c>
      <c r="AH130" s="41">
        <f t="shared" ca="1" si="91"/>
        <v>1244.1102512965367</v>
      </c>
      <c r="AI130" s="13">
        <f t="shared" ca="1" si="92"/>
        <v>0</v>
      </c>
      <c r="AJ130" s="10">
        <f t="shared" ca="1" si="93"/>
        <v>0</v>
      </c>
      <c r="AK130" s="11">
        <f t="shared" ca="1" si="94"/>
        <v>0.19726617131600338</v>
      </c>
      <c r="AL130" s="6">
        <v>0</v>
      </c>
      <c r="AM130" s="6">
        <v>14400</v>
      </c>
      <c r="AN130" s="41">
        <f t="shared" ca="1" si="113"/>
        <v>4976.4410051861469</v>
      </c>
      <c r="AO130" s="41">
        <f t="shared" si="114"/>
        <v>543.28343105048782</v>
      </c>
      <c r="AP130" s="67">
        <f t="shared" si="95"/>
        <v>0.75607533233233903</v>
      </c>
      <c r="AQ130" s="11">
        <f t="shared" si="96"/>
        <v>0.97937395000000005</v>
      </c>
      <c r="AR130" s="11">
        <f t="shared" si="97"/>
        <v>0.8962407041850623</v>
      </c>
      <c r="AS130" s="11">
        <f t="shared" si="98"/>
        <v>0.91511593113647982</v>
      </c>
      <c r="AT130" s="11">
        <f t="shared" si="99"/>
        <v>507.97188664649997</v>
      </c>
      <c r="AU130" s="11">
        <f t="shared" si="100"/>
        <v>1896.6425030105124</v>
      </c>
      <c r="AV130" s="11">
        <f t="shared" si="101"/>
        <v>2.1751390567182989E-3</v>
      </c>
      <c r="AW130" s="11">
        <f t="shared" si="102"/>
        <v>3.6770358841811742E-7</v>
      </c>
      <c r="AX130" s="41">
        <f t="shared" ca="1" si="115"/>
        <v>1.0533222628483727</v>
      </c>
      <c r="AY130" s="41">
        <f t="shared" ca="1" si="116"/>
        <v>0.56567306708523724</v>
      </c>
      <c r="AZ130" s="41">
        <f t="shared" si="117"/>
        <v>0.15411047223625984</v>
      </c>
      <c r="BA130" s="41">
        <f t="shared" ca="1" si="105"/>
        <v>8.9946783935577077</v>
      </c>
      <c r="BB130" s="41">
        <f t="shared" ca="1" si="106"/>
        <v>11.402902624713207</v>
      </c>
      <c r="BC130" s="41">
        <f t="shared" ca="1" si="118"/>
        <v>8.770380180888445</v>
      </c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</row>
    <row r="131" spans="1:67">
      <c r="A131" s="41">
        <f t="shared" si="107"/>
        <v>14400</v>
      </c>
      <c r="B131" s="41">
        <f t="shared" si="108"/>
        <v>240</v>
      </c>
      <c r="C131" s="41">
        <f t="shared" si="109"/>
        <v>4</v>
      </c>
      <c r="D131" s="23">
        <f t="shared" ca="1" si="119"/>
        <v>16664.578262874267</v>
      </c>
      <c r="E131" s="41">
        <f t="shared" si="110"/>
        <v>564.15487040584514</v>
      </c>
      <c r="F131" s="7">
        <f t="shared" si="111"/>
        <v>564.15487040584514</v>
      </c>
      <c r="G131" s="41"/>
      <c r="H131" s="6">
        <v>3000</v>
      </c>
      <c r="I131" s="5">
        <v>0</v>
      </c>
      <c r="J131" s="41">
        <f t="shared" si="69"/>
        <v>0.21545098297887788</v>
      </c>
      <c r="K131" s="41">
        <f t="shared" si="70"/>
        <v>238.04645796588818</v>
      </c>
      <c r="L131" s="6">
        <f t="shared" si="112"/>
        <v>135</v>
      </c>
      <c r="M131" s="41">
        <f t="shared" si="71"/>
        <v>141.03871760146129</v>
      </c>
      <c r="N131" s="41">
        <f t="shared" si="72"/>
        <v>61.628341215314876</v>
      </c>
      <c r="O131" s="41">
        <f t="shared" si="73"/>
        <v>1408156.3638325976</v>
      </c>
      <c r="P131" s="41">
        <f t="shared" si="74"/>
        <v>9041353.3449863326</v>
      </c>
      <c r="Q131" s="41">
        <f t="shared" si="75"/>
        <v>3.0395230257325868E-3</v>
      </c>
      <c r="R131" s="41">
        <f t="shared" si="76"/>
        <v>2.3556288072097441E-2</v>
      </c>
      <c r="S131" s="27">
        <v>0</v>
      </c>
      <c r="T131" s="41">
        <f t="shared" ca="1" si="77"/>
        <v>1.1756715606917565</v>
      </c>
      <c r="U131" s="41">
        <f t="shared" ca="1" si="78"/>
        <v>0.11085173976367717</v>
      </c>
      <c r="V131" s="41">
        <f t="shared" ca="1" si="79"/>
        <v>10.605801615727001</v>
      </c>
      <c r="W131" s="20">
        <f t="shared" ca="1" si="80"/>
        <v>1571.2700337674523</v>
      </c>
      <c r="X131" s="41">
        <f t="shared" si="81"/>
        <v>0.61072209574229164</v>
      </c>
      <c r="Y131" s="41">
        <f t="shared" ca="1" si="82"/>
        <v>178.11278023252399</v>
      </c>
      <c r="Z131" s="14">
        <f t="shared" ca="1" si="83"/>
        <v>1571.2700337674523</v>
      </c>
      <c r="AA131" s="14">
        <f t="shared" si="84"/>
        <v>5628.3916222821908</v>
      </c>
      <c r="AB131" s="25">
        <f t="shared" ca="1" si="85"/>
        <v>374035.26604628353</v>
      </c>
      <c r="AC131" s="41">
        <f t="shared" si="86"/>
        <v>1339818.6897291548</v>
      </c>
      <c r="AD131" s="5">
        <f t="shared" ca="1" si="87"/>
        <v>27.916856878738944</v>
      </c>
      <c r="AE131" s="7">
        <f t="shared" ca="1" si="88"/>
        <v>1571.2700337674523</v>
      </c>
      <c r="AF131" s="41">
        <f t="shared" ca="1" si="89"/>
        <v>0</v>
      </c>
      <c r="AG131" s="41">
        <f t="shared" ca="1" si="90"/>
        <v>57.954267335673649</v>
      </c>
      <c r="AH131" s="41">
        <f t="shared" ca="1" si="91"/>
        <v>1190.6557272734692</v>
      </c>
      <c r="AI131" s="13">
        <f t="shared" ca="1" si="92"/>
        <v>0</v>
      </c>
      <c r="AJ131" s="10">
        <f t="shared" ca="1" si="93"/>
        <v>0</v>
      </c>
      <c r="AK131" s="11">
        <f t="shared" ca="1" si="94"/>
        <v>0.20866150857757559</v>
      </c>
      <c r="AL131" s="6">
        <v>0</v>
      </c>
      <c r="AM131" s="6">
        <v>14400</v>
      </c>
      <c r="AN131" s="41">
        <f t="shared" ca="1" si="113"/>
        <v>4762.6229090938768</v>
      </c>
      <c r="AO131" s="41">
        <f t="shared" si="114"/>
        <v>564.15487040584514</v>
      </c>
      <c r="AP131" s="67">
        <f t="shared" si="95"/>
        <v>0.7577664575061106</v>
      </c>
      <c r="AQ131" s="11">
        <f t="shared" si="96"/>
        <v>0.97937395000000005</v>
      </c>
      <c r="AR131" s="11">
        <f t="shared" si="97"/>
        <v>0.8962407041850623</v>
      </c>
      <c r="AS131" s="11">
        <f t="shared" si="98"/>
        <v>0.91511593113647982</v>
      </c>
      <c r="AT131" s="11">
        <f t="shared" si="99"/>
        <v>507.97188664649997</v>
      </c>
      <c r="AU131" s="11">
        <f t="shared" si="100"/>
        <v>1896.6425030105124</v>
      </c>
      <c r="AV131" s="11">
        <f t="shared" si="101"/>
        <v>2.1751390567182989E-3</v>
      </c>
      <c r="AW131" s="11">
        <f t="shared" si="102"/>
        <v>3.6770358841811742E-7</v>
      </c>
      <c r="AX131" s="41">
        <f t="shared" ca="1" si="115"/>
        <v>1.0236988222317627</v>
      </c>
      <c r="AY131" s="41">
        <f t="shared" ca="1" si="116"/>
        <v>0.54976418230965041</v>
      </c>
      <c r="AZ131" s="41">
        <f t="shared" si="117"/>
        <v>0.15986721332339904</v>
      </c>
      <c r="BA131" s="41">
        <f t="shared" ca="1" si="105"/>
        <v>9.7813881437044401</v>
      </c>
      <c r="BB131" s="41">
        <f t="shared" ca="1" si="106"/>
        <v>11.499699864640842</v>
      </c>
      <c r="BC131" s="41">
        <f t="shared" ca="1" si="118"/>
        <v>9.1846241992195825</v>
      </c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</row>
    <row r="132" spans="1:67">
      <c r="A132" s="41">
        <f t="shared" si="107"/>
        <v>14400</v>
      </c>
      <c r="B132" s="41">
        <f t="shared" si="108"/>
        <v>240</v>
      </c>
      <c r="C132" s="41">
        <f t="shared" si="109"/>
        <v>4</v>
      </c>
      <c r="D132" s="23">
        <f t="shared" ca="1" si="119"/>
        <v>16664.578262874267</v>
      </c>
      <c r="E132" s="41">
        <f t="shared" si="110"/>
        <v>585.02363751160226</v>
      </c>
      <c r="F132" s="7">
        <f t="shared" si="111"/>
        <v>585.02363751160226</v>
      </c>
      <c r="G132" s="41"/>
      <c r="H132" s="6">
        <v>3000</v>
      </c>
      <c r="I132" s="5">
        <v>0</v>
      </c>
      <c r="J132" s="41">
        <f t="shared" si="69"/>
        <v>0.22342077393939572</v>
      </c>
      <c r="K132" s="41">
        <f t="shared" si="70"/>
        <v>246.85208271936551</v>
      </c>
      <c r="L132" s="6">
        <f t="shared" si="112"/>
        <v>140</v>
      </c>
      <c r="M132" s="41">
        <f t="shared" si="71"/>
        <v>146.25590937790057</v>
      </c>
      <c r="N132" s="41">
        <f t="shared" si="72"/>
        <v>66.272083209559582</v>
      </c>
      <c r="O132" s="41">
        <f t="shared" si="73"/>
        <v>1460245.7611716152</v>
      </c>
      <c r="P132" s="41">
        <f t="shared" si="74"/>
        <v>9375803.8782975879</v>
      </c>
      <c r="Q132" s="41">
        <f t="shared" si="75"/>
        <v>3.0208289316905118E-3</v>
      </c>
      <c r="R132" s="41">
        <f t="shared" si="76"/>
        <v>2.3442160627970575E-2</v>
      </c>
      <c r="S132" s="27">
        <v>0</v>
      </c>
      <c r="T132" s="41">
        <f t="shared" ca="1" si="77"/>
        <v>1.0932912410546034</v>
      </c>
      <c r="U132" s="41">
        <f t="shared" ca="1" si="78"/>
        <v>9.8932491410833948E-2</v>
      </c>
      <c r="V132" s="41">
        <f t="shared" ca="1" si="79"/>
        <v>11.050881519950066</v>
      </c>
      <c r="W132" s="20">
        <f t="shared" ca="1" si="80"/>
        <v>1507.9863296688</v>
      </c>
      <c r="X132" s="41">
        <f t="shared" si="81"/>
        <v>0.60924086111327547</v>
      </c>
      <c r="Y132" s="41">
        <f t="shared" ca="1" si="82"/>
        <v>178.11278023252399</v>
      </c>
      <c r="Z132" s="14">
        <f t="shared" ca="1" si="83"/>
        <v>1507.9863296688</v>
      </c>
      <c r="AA132" s="14">
        <f t="shared" si="84"/>
        <v>5628.3916222821908</v>
      </c>
      <c r="AB132" s="25">
        <f t="shared" ca="1" si="85"/>
        <v>372249.56619107502</v>
      </c>
      <c r="AC132" s="41">
        <f t="shared" si="86"/>
        <v>1389380.1943205872</v>
      </c>
      <c r="AD132" s="5">
        <f t="shared" ca="1" si="87"/>
        <v>26.792491192312312</v>
      </c>
      <c r="AE132" s="7">
        <f t="shared" ca="1" si="88"/>
        <v>1507.9863296688</v>
      </c>
      <c r="AF132" s="41">
        <f t="shared" ca="1" si="89"/>
        <v>0</v>
      </c>
      <c r="AG132" s="41">
        <f t="shared" ca="1" si="90"/>
        <v>61.035485692158161</v>
      </c>
      <c r="AH132" s="41">
        <f t="shared" ca="1" si="91"/>
        <v>1145.234418713381</v>
      </c>
      <c r="AI132" s="13">
        <f t="shared" ca="1" si="92"/>
        <v>0</v>
      </c>
      <c r="AJ132" s="10">
        <f t="shared" ca="1" si="93"/>
        <v>0</v>
      </c>
      <c r="AK132" s="11">
        <f t="shared" ca="1" si="94"/>
        <v>0.21975528475797471</v>
      </c>
      <c r="AL132" s="6">
        <v>0</v>
      </c>
      <c r="AM132" s="6">
        <v>14400</v>
      </c>
      <c r="AN132" s="41">
        <f t="shared" ca="1" si="113"/>
        <v>4580.9376748535242</v>
      </c>
      <c r="AO132" s="41">
        <f t="shared" si="114"/>
        <v>585.02363751160226</v>
      </c>
      <c r="AP132" s="67">
        <f t="shared" si="95"/>
        <v>0.75944615423994577</v>
      </c>
      <c r="AQ132" s="11">
        <f t="shared" si="96"/>
        <v>0.97937395000000005</v>
      </c>
      <c r="AR132" s="11">
        <f t="shared" si="97"/>
        <v>0.8962407041850623</v>
      </c>
      <c r="AS132" s="11">
        <f t="shared" si="98"/>
        <v>0.91511593113647982</v>
      </c>
      <c r="AT132" s="11">
        <f t="shared" si="99"/>
        <v>507.97188664649997</v>
      </c>
      <c r="AU132" s="11">
        <f t="shared" si="100"/>
        <v>1896.6425030105124</v>
      </c>
      <c r="AV132" s="11">
        <f t="shared" si="101"/>
        <v>2.1751390567182989E-3</v>
      </c>
      <c r="AW132" s="11">
        <f t="shared" si="102"/>
        <v>3.6770358841811742E-7</v>
      </c>
      <c r="AX132" s="41">
        <f t="shared" ca="1" si="115"/>
        <v>1.006918696571836</v>
      </c>
      <c r="AY132" s="41">
        <f t="shared" ca="1" si="116"/>
        <v>0.54075263334413415</v>
      </c>
      <c r="AZ132" s="41">
        <f t="shared" si="117"/>
        <v>0.16559234583867558</v>
      </c>
      <c r="BA132" s="41">
        <f t="shared" ca="1" si="105"/>
        <v>10.568880521724177</v>
      </c>
      <c r="BB132" s="41">
        <f t="shared" ca="1" si="106"/>
        <v>11.55486450215365</v>
      </c>
      <c r="BC132" s="41">
        <f t="shared" ca="1" si="118"/>
        <v>9.5700633962767565</v>
      </c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</row>
    <row r="133" spans="1:67">
      <c r="A133" s="41">
        <f t="shared" si="107"/>
        <v>14400</v>
      </c>
      <c r="B133" s="41">
        <f t="shared" si="108"/>
        <v>240</v>
      </c>
      <c r="C133" s="41">
        <f t="shared" si="109"/>
        <v>4</v>
      </c>
      <c r="D133" s="23">
        <f t="shared" ca="1" si="119"/>
        <v>16664.578262874267</v>
      </c>
      <c r="E133" s="41">
        <f t="shared" si="110"/>
        <v>605.88964311664051</v>
      </c>
      <c r="F133" s="7">
        <f t="shared" si="111"/>
        <v>605.88964311664051</v>
      </c>
      <c r="G133" s="41"/>
      <c r="H133" s="6">
        <v>3000</v>
      </c>
      <c r="I133" s="5">
        <v>0</v>
      </c>
      <c r="J133" s="41">
        <f t="shared" si="69"/>
        <v>0.23138951028162422</v>
      </c>
      <c r="K133" s="41">
        <f t="shared" si="70"/>
        <v>255.65654225120022</v>
      </c>
      <c r="L133" s="6">
        <f t="shared" si="112"/>
        <v>145</v>
      </c>
      <c r="M133" s="41">
        <f t="shared" si="71"/>
        <v>151.47241077916013</v>
      </c>
      <c r="N133" s="41">
        <f t="shared" si="72"/>
        <v>71.083835402635202</v>
      </c>
      <c r="O133" s="41">
        <f t="shared" si="73"/>
        <v>1512328.2656785138</v>
      </c>
      <c r="P133" s="41">
        <f t="shared" si="74"/>
        <v>9710210.1547831539</v>
      </c>
      <c r="Q133" s="41">
        <f t="shared" si="75"/>
        <v>3.0028699121224744E-3</v>
      </c>
      <c r="R133" s="41">
        <f t="shared" si="76"/>
        <v>2.3332520813507708E-2</v>
      </c>
      <c r="S133" s="27">
        <v>0</v>
      </c>
      <c r="T133" s="41">
        <f t="shared" ca="1" si="77"/>
        <v>1.0192850130983129</v>
      </c>
      <c r="U133" s="41">
        <f t="shared" ca="1" si="78"/>
        <v>8.8948689466891731E-2</v>
      </c>
      <c r="V133" s="41">
        <f t="shared" ca="1" si="79"/>
        <v>11.459247114345724</v>
      </c>
      <c r="W133" s="20">
        <f t="shared" ca="1" si="80"/>
        <v>1454.247220309268</v>
      </c>
      <c r="X133" s="41">
        <f t="shared" si="81"/>
        <v>0.60781447081023965</v>
      </c>
      <c r="Y133" s="41">
        <f t="shared" ca="1" si="82"/>
        <v>178.11278023252399</v>
      </c>
      <c r="Z133" s="14">
        <f t="shared" ca="1" si="83"/>
        <v>1454.247220309268</v>
      </c>
      <c r="AA133" s="14">
        <f t="shared" si="84"/>
        <v>5628.3916222821908</v>
      </c>
      <c r="AB133" s="25">
        <f t="shared" ca="1" si="85"/>
        <v>371787.81592268683</v>
      </c>
      <c r="AC133" s="41">
        <f t="shared" si="86"/>
        <v>1438935.1405882882</v>
      </c>
      <c r="AD133" s="5">
        <f t="shared" ca="1" si="87"/>
        <v>25.837704941355916</v>
      </c>
      <c r="AE133" s="7">
        <f t="shared" ca="1" si="88"/>
        <v>1454.247220309268</v>
      </c>
      <c r="AF133" s="41">
        <f t="shared" ca="1" si="89"/>
        <v>0</v>
      </c>
      <c r="AG133" s="41">
        <f t="shared" ca="1" si="90"/>
        <v>64.036863569660014</v>
      </c>
      <c r="AH133" s="41">
        <f t="shared" ca="1" si="91"/>
        <v>1106.8485794895657</v>
      </c>
      <c r="AI133" s="13">
        <f t="shared" ca="1" si="92"/>
        <v>0</v>
      </c>
      <c r="AJ133" s="10">
        <f t="shared" ca="1" si="93"/>
        <v>0</v>
      </c>
      <c r="AK133" s="11">
        <f t="shared" ca="1" si="94"/>
        <v>0.23056159919386432</v>
      </c>
      <c r="AL133" s="6">
        <v>0</v>
      </c>
      <c r="AM133" s="6">
        <v>14400</v>
      </c>
      <c r="AN133" s="41">
        <f t="shared" ca="1" si="113"/>
        <v>4427.3943179582629</v>
      </c>
      <c r="AO133" s="41">
        <f t="shared" si="114"/>
        <v>605.88964311664051</v>
      </c>
      <c r="AP133" s="67">
        <f t="shared" si="95"/>
        <v>0.76111445429077562</v>
      </c>
      <c r="AQ133" s="11">
        <f t="shared" si="96"/>
        <v>0.97937395000000005</v>
      </c>
      <c r="AR133" s="11">
        <f t="shared" si="97"/>
        <v>0.8962407041850623</v>
      </c>
      <c r="AS133" s="11">
        <f t="shared" si="98"/>
        <v>0.91511593113647982</v>
      </c>
      <c r="AT133" s="11">
        <f t="shared" si="99"/>
        <v>507.97188664649997</v>
      </c>
      <c r="AU133" s="11">
        <f t="shared" si="100"/>
        <v>1896.6425030105124</v>
      </c>
      <c r="AV133" s="11">
        <f t="shared" si="101"/>
        <v>2.1751390567182989E-3</v>
      </c>
      <c r="AW133" s="11">
        <f t="shared" si="102"/>
        <v>3.6770358841811742E-7</v>
      </c>
      <c r="AX133" s="41">
        <f t="shared" ca="1" si="115"/>
        <v>1.0003066876671454</v>
      </c>
      <c r="AY133" s="41">
        <f t="shared" ca="1" si="116"/>
        <v>0.53720173967309659</v>
      </c>
      <c r="AZ133" s="41">
        <f t="shared" si="117"/>
        <v>0.17128585735352611</v>
      </c>
      <c r="BA133" s="41">
        <f t="shared" ca="1" si="105"/>
        <v>11.350324176475606</v>
      </c>
      <c r="BB133" s="41">
        <f t="shared" ca="1" si="106"/>
        <v>11.569215326889037</v>
      </c>
      <c r="BC133" s="41">
        <f t="shared" ca="1" si="118"/>
        <v>9.923708001023396</v>
      </c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</row>
    <row r="134" spans="1:67">
      <c r="A134" s="41">
        <f t="shared" si="107"/>
        <v>14400</v>
      </c>
      <c r="B134" s="41">
        <f t="shared" si="108"/>
        <v>240</v>
      </c>
      <c r="C134" s="41">
        <f t="shared" si="109"/>
        <v>4</v>
      </c>
      <c r="D134" s="23">
        <f t="shared" ca="1" si="119"/>
        <v>16664.578262874267</v>
      </c>
      <c r="E134" s="41">
        <f t="shared" si="110"/>
        <v>626.75279898499389</v>
      </c>
      <c r="F134" s="7">
        <f t="shared" si="111"/>
        <v>626.75279898499389</v>
      </c>
      <c r="G134" s="41"/>
      <c r="H134" s="6">
        <v>3000</v>
      </c>
      <c r="I134" s="5">
        <v>0</v>
      </c>
      <c r="J134" s="41">
        <f t="shared" si="69"/>
        <v>0.23935715830821067</v>
      </c>
      <c r="K134" s="41">
        <f t="shared" si="70"/>
        <v>264.4597993300215</v>
      </c>
      <c r="L134" s="6">
        <f t="shared" si="112"/>
        <v>150</v>
      </c>
      <c r="M134" s="41">
        <f t="shared" si="71"/>
        <v>156.68819974624847</v>
      </c>
      <c r="N134" s="41">
        <f t="shared" si="72"/>
        <v>76.063509432471548</v>
      </c>
      <c r="O134" s="41">
        <f t="shared" si="73"/>
        <v>1564403.6571122855</v>
      </c>
      <c r="P134" s="41">
        <f t="shared" si="74"/>
        <v>10044570.760341002</v>
      </c>
      <c r="Q134" s="41">
        <f t="shared" si="75"/>
        <v>2.985588747071772E-3</v>
      </c>
      <c r="R134" s="41">
        <f t="shared" si="76"/>
        <v>2.3227019300873168E-2</v>
      </c>
      <c r="S134" s="27">
        <v>0</v>
      </c>
      <c r="T134" s="41">
        <f t="shared" ca="1" si="77"/>
        <v>0.95255515608016883</v>
      </c>
      <c r="U134" s="41">
        <f t="shared" ca="1" si="78"/>
        <v>8.0532987596044325E-2</v>
      </c>
      <c r="V134" s="41">
        <f t="shared" ca="1" si="79"/>
        <v>11.828136326671645</v>
      </c>
      <c r="W134" s="20">
        <f t="shared" ca="1" si="80"/>
        <v>1408.8929821764714</v>
      </c>
      <c r="X134" s="41">
        <f t="shared" si="81"/>
        <v>0.6064387515075812</v>
      </c>
      <c r="Y134" s="41">
        <f t="shared" ca="1" si="82"/>
        <v>178.11278023252399</v>
      </c>
      <c r="Z134" s="14">
        <f t="shared" ca="1" si="83"/>
        <v>1408.8929821764714</v>
      </c>
      <c r="AA134" s="14">
        <f t="shared" si="84"/>
        <v>5628.3916222821908</v>
      </c>
      <c r="AB134" s="25">
        <f t="shared" ca="1" si="85"/>
        <v>372595.55534386518</v>
      </c>
      <c r="AC134" s="41">
        <f t="shared" si="86"/>
        <v>1488483.3189795224</v>
      </c>
      <c r="AD134" s="5">
        <f t="shared" ca="1" si="87"/>
        <v>25.031893242801679</v>
      </c>
      <c r="AE134" s="7">
        <f t="shared" ca="1" si="88"/>
        <v>1408.8929821764714</v>
      </c>
      <c r="AF134" s="41">
        <f t="shared" ca="1" si="89"/>
        <v>0</v>
      </c>
      <c r="AG134" s="41">
        <f t="shared" ca="1" si="90"/>
        <v>66.9616563967693</v>
      </c>
      <c r="AH134" s="41">
        <f t="shared" ca="1" si="91"/>
        <v>1074.6632576331863</v>
      </c>
      <c r="AI134" s="13">
        <f t="shared" ca="1" si="92"/>
        <v>0</v>
      </c>
      <c r="AJ134" s="10">
        <f t="shared" ca="1" si="93"/>
        <v>0</v>
      </c>
      <c r="AK134" s="11">
        <f t="shared" ca="1" si="94"/>
        <v>0.24109217289686122</v>
      </c>
      <c r="AL134" s="6">
        <v>0</v>
      </c>
      <c r="AM134" s="6">
        <v>14400</v>
      </c>
      <c r="AN134" s="41">
        <f t="shared" ca="1" si="113"/>
        <v>4298.6530305327451</v>
      </c>
      <c r="AO134" s="41">
        <f t="shared" si="114"/>
        <v>626.75279898499389</v>
      </c>
      <c r="AP134" s="67">
        <f t="shared" si="95"/>
        <v>0.76277138947277334</v>
      </c>
      <c r="AQ134" s="11">
        <f t="shared" si="96"/>
        <v>0.97937395000000005</v>
      </c>
      <c r="AR134" s="11">
        <f t="shared" si="97"/>
        <v>0.8962407041850623</v>
      </c>
      <c r="AS134" s="11">
        <f t="shared" si="98"/>
        <v>0.91511593113647982</v>
      </c>
      <c r="AT134" s="11">
        <f t="shared" si="99"/>
        <v>507.97188664649997</v>
      </c>
      <c r="AU134" s="11">
        <f t="shared" si="100"/>
        <v>1896.6425030105124</v>
      </c>
      <c r="AV134" s="11">
        <f t="shared" si="101"/>
        <v>2.1751390567182989E-3</v>
      </c>
      <c r="AW134" s="11">
        <f t="shared" si="102"/>
        <v>3.6770358841811742E-7</v>
      </c>
      <c r="AX134" s="41">
        <f t="shared" ca="1" si="115"/>
        <v>1.0019284828733697</v>
      </c>
      <c r="AY134" s="41">
        <f t="shared" ca="1" si="116"/>
        <v>0.53807270376532823</v>
      </c>
      <c r="AZ134" s="41">
        <f t="shared" si="117"/>
        <v>0.17694773624056201</v>
      </c>
      <c r="BA134" s="41">
        <f t="shared" ca="1" si="105"/>
        <v>12.119124731837291</v>
      </c>
      <c r="BB134" s="41">
        <f t="shared" ca="1" si="106"/>
        <v>11.544134750490304</v>
      </c>
      <c r="BC134" s="41">
        <f t="shared" ca="1" si="118"/>
        <v>10.243166058897645</v>
      </c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</row>
    <row r="135" spans="1:67">
      <c r="A135" s="41">
        <f t="shared" si="107"/>
        <v>14400</v>
      </c>
      <c r="B135" s="41">
        <f t="shared" si="108"/>
        <v>240</v>
      </c>
      <c r="C135" s="41">
        <f t="shared" si="109"/>
        <v>4</v>
      </c>
      <c r="D135" s="23">
        <f t="shared" ca="1" si="119"/>
        <v>16664.578262874267</v>
      </c>
      <c r="E135" s="41">
        <f t="shared" si="110"/>
        <v>647.61301792429344</v>
      </c>
      <c r="F135" s="7">
        <f t="shared" si="111"/>
        <v>647.61301792429344</v>
      </c>
      <c r="G135" s="41"/>
      <c r="H135" s="6">
        <v>3000</v>
      </c>
      <c r="I135" s="5">
        <v>0</v>
      </c>
      <c r="J135" s="41">
        <f t="shared" si="69"/>
        <v>0.24732368472035268</v>
      </c>
      <c r="K135" s="41">
        <f t="shared" si="70"/>
        <v>273.26181716480676</v>
      </c>
      <c r="L135" s="6">
        <f t="shared" si="112"/>
        <v>155</v>
      </c>
      <c r="M135" s="41">
        <f t="shared" si="71"/>
        <v>161.90325448107336</v>
      </c>
      <c r="N135" s="41">
        <f t="shared" si="72"/>
        <v>81.21101435630591</v>
      </c>
      <c r="O135" s="41">
        <f t="shared" si="73"/>
        <v>1616471.7178367891</v>
      </c>
      <c r="P135" s="41">
        <f t="shared" si="74"/>
        <v>10378884.297594175</v>
      </c>
      <c r="Q135" s="41">
        <f t="shared" si="75"/>
        <v>2.9689342944254223E-3</v>
      </c>
      <c r="R135" s="41">
        <f t="shared" si="76"/>
        <v>2.3125343867467205E-2</v>
      </c>
      <c r="S135" s="27">
        <v>0</v>
      </c>
      <c r="T135" s="41">
        <f t="shared" ca="1" si="77"/>
        <v>0.89217809522197333</v>
      </c>
      <c r="U135" s="41">
        <f t="shared" ca="1" si="78"/>
        <v>7.3396943349778948E-2</v>
      </c>
      <c r="V135" s="41">
        <f t="shared" ca="1" si="79"/>
        <v>12.155521122592639</v>
      </c>
      <c r="W135" s="20">
        <f t="shared" ca="1" si="80"/>
        <v>1370.9472506202101</v>
      </c>
      <c r="X135" s="41">
        <f t="shared" si="81"/>
        <v>0.60510996392812322</v>
      </c>
      <c r="Y135" s="41">
        <f t="shared" ca="1" si="82"/>
        <v>178.11278023252399</v>
      </c>
      <c r="Z135" s="14">
        <f t="shared" ca="1" si="83"/>
        <v>1370.9472506202101</v>
      </c>
      <c r="AA135" s="14">
        <f t="shared" si="84"/>
        <v>5628.3916222821908</v>
      </c>
      <c r="AB135" s="25">
        <f t="shared" ca="1" si="85"/>
        <v>374627.53694157436</v>
      </c>
      <c r="AC135" s="41">
        <f t="shared" si="86"/>
        <v>1538024.5224200061</v>
      </c>
      <c r="AD135" s="5">
        <f t="shared" ca="1" si="87"/>
        <v>24.35770896241084</v>
      </c>
      <c r="AE135" s="7">
        <f t="shared" ca="1" si="88"/>
        <v>1370.9472506202101</v>
      </c>
      <c r="AF135" s="41">
        <f t="shared" ca="1" si="89"/>
        <v>0</v>
      </c>
      <c r="AG135" s="41">
        <f t="shared" ca="1" si="90"/>
        <v>69.812566938478994</v>
      </c>
      <c r="AH135" s="41">
        <f t="shared" ca="1" si="91"/>
        <v>1047.9753730376433</v>
      </c>
      <c r="AI135" s="13">
        <f t="shared" ca="1" si="92"/>
        <v>0</v>
      </c>
      <c r="AJ135" s="10">
        <f t="shared" ca="1" si="93"/>
        <v>0</v>
      </c>
      <c r="AK135" s="11">
        <f t="shared" ca="1" si="94"/>
        <v>0.25135673704029721</v>
      </c>
      <c r="AL135" s="6">
        <v>0</v>
      </c>
      <c r="AM135" s="6">
        <v>14400</v>
      </c>
      <c r="AN135" s="41">
        <f t="shared" ca="1" si="113"/>
        <v>4191.9014921505732</v>
      </c>
      <c r="AO135" s="41">
        <f t="shared" si="114"/>
        <v>647.61301792429344</v>
      </c>
      <c r="AP135" s="67">
        <f t="shared" si="95"/>
        <v>0.76441699165561927</v>
      </c>
      <c r="AQ135" s="11">
        <f t="shared" si="96"/>
        <v>0.97937395000000005</v>
      </c>
      <c r="AR135" s="11">
        <f t="shared" si="97"/>
        <v>0.8962407041850623</v>
      </c>
      <c r="AS135" s="11">
        <f t="shared" si="98"/>
        <v>0.91511593113647982</v>
      </c>
      <c r="AT135" s="11">
        <f t="shared" si="99"/>
        <v>507.97188664649997</v>
      </c>
      <c r="AU135" s="11">
        <f t="shared" si="100"/>
        <v>1896.6425030105124</v>
      </c>
      <c r="AV135" s="11">
        <f t="shared" si="101"/>
        <v>2.1751390567182989E-3</v>
      </c>
      <c r="AW135" s="11">
        <f t="shared" si="102"/>
        <v>3.6770358841811742E-7</v>
      </c>
      <c r="AX135" s="41">
        <f t="shared" ca="1" si="115"/>
        <v>1.010359016302532</v>
      </c>
      <c r="AY135" s="41">
        <f t="shared" ca="1" si="116"/>
        <v>0.54260021245876722</v>
      </c>
      <c r="AZ135" s="41">
        <f t="shared" si="117"/>
        <v>0.18257797167354342</v>
      </c>
      <c r="BA135" s="41">
        <f t="shared" ca="1" si="105"/>
        <v>12.869088995207331</v>
      </c>
      <c r="BB135" s="41">
        <f t="shared" ca="1" si="106"/>
        <v>11.481519306986137</v>
      </c>
      <c r="BC135" s="41">
        <f t="shared" ca="1" si="118"/>
        <v>10.526681292165225</v>
      </c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</row>
    <row r="136" spans="1:67">
      <c r="A136" s="41">
        <f t="shared" si="107"/>
        <v>14400</v>
      </c>
      <c r="B136" s="41">
        <f t="shared" si="108"/>
        <v>240</v>
      </c>
      <c r="C136" s="41">
        <f t="shared" si="109"/>
        <v>4</v>
      </c>
      <c r="D136" s="23">
        <f t="shared" ca="1" si="119"/>
        <v>16664.578262874267</v>
      </c>
      <c r="E136" s="41">
        <f t="shared" si="110"/>
        <v>668.47021381341062</v>
      </c>
      <c r="F136" s="7">
        <f t="shared" si="111"/>
        <v>668.47021381341062</v>
      </c>
      <c r="G136" s="41"/>
      <c r="H136" s="6">
        <v>3000</v>
      </c>
      <c r="I136" s="5">
        <v>0</v>
      </c>
      <c r="J136" s="41">
        <f t="shared" si="69"/>
        <v>0.25528905662835483</v>
      </c>
      <c r="K136" s="41">
        <f t="shared" si="70"/>
        <v>282.0625594165457</v>
      </c>
      <c r="L136" s="6">
        <f t="shared" si="112"/>
        <v>160</v>
      </c>
      <c r="M136" s="41">
        <f t="shared" si="71"/>
        <v>167.11755345335266</v>
      </c>
      <c r="N136" s="41">
        <f t="shared" si="72"/>
        <v>86.526256700975679</v>
      </c>
      <c r="O136" s="41">
        <f t="shared" si="73"/>
        <v>1668532.2328897479</v>
      </c>
      <c r="P136" s="41">
        <f t="shared" si="74"/>
        <v>10713149.386333806</v>
      </c>
      <c r="Q136" s="41">
        <f t="shared" si="75"/>
        <v>2.9528606736005524E-3</v>
      </c>
      <c r="R136" s="41">
        <f t="shared" si="76"/>
        <v>2.3027214412331375E-2</v>
      </c>
      <c r="S136" s="27">
        <v>0</v>
      </c>
      <c r="T136" s="41">
        <f t="shared" ca="1" si="77"/>
        <v>0.83737227128463465</v>
      </c>
      <c r="U136" s="41">
        <f t="shared" ca="1" si="78"/>
        <v>6.7312223896494369E-2</v>
      </c>
      <c r="V136" s="41">
        <f t="shared" ca="1" si="79"/>
        <v>12.440121909688459</v>
      </c>
      <c r="W136" s="20">
        <f t="shared" ca="1" si="80"/>
        <v>1339.5831957157727</v>
      </c>
      <c r="X136" s="41">
        <f t="shared" si="81"/>
        <v>0.60382474548274589</v>
      </c>
      <c r="Y136" s="41">
        <f t="shared" ca="1" si="82"/>
        <v>178.11278023252402</v>
      </c>
      <c r="Z136" s="14">
        <f t="shared" ca="1" si="83"/>
        <v>1339.5831957157727</v>
      </c>
      <c r="AA136" s="14">
        <f t="shared" si="84"/>
        <v>5628.3916222821908</v>
      </c>
      <c r="AB136" s="25">
        <f t="shared" ca="1" si="85"/>
        <v>377846.2647349863</v>
      </c>
      <c r="AC136" s="41">
        <f t="shared" si="86"/>
        <v>1587558.5463795585</v>
      </c>
      <c r="AD136" s="5">
        <f t="shared" ca="1" si="87"/>
        <v>23.800461759137519</v>
      </c>
      <c r="AE136" s="7">
        <f t="shared" ca="1" si="88"/>
        <v>1339.5831957157727</v>
      </c>
      <c r="AF136" s="41">
        <f t="shared" ca="1" si="89"/>
        <v>0</v>
      </c>
      <c r="AG136" s="41">
        <f t="shared" ca="1" si="90"/>
        <v>72.591832962229674</v>
      </c>
      <c r="AH136" s="41">
        <f t="shared" ca="1" si="91"/>
        <v>1026.1894388411963</v>
      </c>
      <c r="AI136" s="13">
        <f t="shared" ca="1" si="92"/>
        <v>0</v>
      </c>
      <c r="AJ136" s="10">
        <f t="shared" ca="1" si="93"/>
        <v>0</v>
      </c>
      <c r="AK136" s="11">
        <f t="shared" ca="1" si="94"/>
        <v>0.26136334859653104</v>
      </c>
      <c r="AL136" s="6">
        <v>0</v>
      </c>
      <c r="AM136" s="6">
        <v>14400</v>
      </c>
      <c r="AN136" s="41">
        <f t="shared" ca="1" si="113"/>
        <v>4104.7577553647852</v>
      </c>
      <c r="AO136" s="41">
        <f t="shared" si="114"/>
        <v>668.47021381341062</v>
      </c>
      <c r="AP136" s="67">
        <f t="shared" si="95"/>
        <v>0.76605129276265493</v>
      </c>
      <c r="AQ136" s="11">
        <f t="shared" si="96"/>
        <v>0.97937395000000005</v>
      </c>
      <c r="AR136" s="11">
        <f t="shared" si="97"/>
        <v>0.8962407041850623</v>
      </c>
      <c r="AS136" s="11">
        <f t="shared" si="98"/>
        <v>0.91511593113647982</v>
      </c>
      <c r="AT136" s="11">
        <f t="shared" si="99"/>
        <v>507.97188664649997</v>
      </c>
      <c r="AU136" s="11">
        <f t="shared" si="100"/>
        <v>1896.6425030105124</v>
      </c>
      <c r="AV136" s="11">
        <f t="shared" si="101"/>
        <v>2.1751390567182989E-3</v>
      </c>
      <c r="AW136" s="11">
        <f t="shared" si="102"/>
        <v>3.6770358841811742E-7</v>
      </c>
      <c r="AX136" s="41">
        <f t="shared" ca="1" si="115"/>
        <v>1.0245301602363492</v>
      </c>
      <c r="AY136" s="41">
        <f t="shared" ca="1" si="116"/>
        <v>0.55021064160840982</v>
      </c>
      <c r="AZ136" s="41">
        <f t="shared" si="117"/>
        <v>0.18817655362688326</v>
      </c>
      <c r="BA136" s="41">
        <f t="shared" ca="1" si="105"/>
        <v>13.594566032764401</v>
      </c>
      <c r="BB136" s="41">
        <f t="shared" ca="1" si="106"/>
        <v>11.383712635984871</v>
      </c>
      <c r="BC136" s="41">
        <f t="shared" ca="1" si="118"/>
        <v>10.773145573790206</v>
      </c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</row>
    <row r="137" spans="1:67">
      <c r="A137" s="41">
        <f t="shared" si="107"/>
        <v>14400</v>
      </c>
      <c r="B137" s="41">
        <f t="shared" si="108"/>
        <v>240</v>
      </c>
      <c r="C137" s="41">
        <f t="shared" si="109"/>
        <v>4</v>
      </c>
      <c r="D137" s="23">
        <f t="shared" ca="1" si="119"/>
        <v>16664.578262874267</v>
      </c>
      <c r="E137" s="41">
        <f t="shared" si="110"/>
        <v>689.32430162939011</v>
      </c>
      <c r="F137" s="7">
        <f t="shared" si="111"/>
        <v>689.32430162939011</v>
      </c>
      <c r="G137" s="41"/>
      <c r="H137" s="6">
        <v>3000</v>
      </c>
      <c r="I137" s="5">
        <v>0</v>
      </c>
      <c r="J137" s="41">
        <f t="shared" si="69"/>
        <v>0.2632532415619146</v>
      </c>
      <c r="K137" s="41">
        <f t="shared" si="70"/>
        <v>290.86199020960487</v>
      </c>
      <c r="L137" s="6">
        <f t="shared" si="112"/>
        <v>165</v>
      </c>
      <c r="M137" s="41">
        <f t="shared" si="71"/>
        <v>172.33107540734753</v>
      </c>
      <c r="N137" s="41">
        <f t="shared" si="72"/>
        <v>92.009140514372405</v>
      </c>
      <c r="O137" s="41">
        <f t="shared" si="73"/>
        <v>1720584.9900499759</v>
      </c>
      <c r="P137" s="41">
        <f t="shared" si="74"/>
        <v>11047364.663950758</v>
      </c>
      <c r="Q137" s="41">
        <f t="shared" si="75"/>
        <v>2.937326580635561E-3</v>
      </c>
      <c r="R137" s="41">
        <f t="shared" si="76"/>
        <v>2.2932378774780101E-2</v>
      </c>
      <c r="S137" s="27">
        <v>0</v>
      </c>
      <c r="T137" s="41">
        <f t="shared" ca="1" si="77"/>
        <v>0.78747271949720543</v>
      </c>
      <c r="U137" s="41">
        <f t="shared" ca="1" si="78"/>
        <v>6.2096701956510465E-2</v>
      </c>
      <c r="V137" s="41">
        <f t="shared" ca="1" si="79"/>
        <v>12.681393611672217</v>
      </c>
      <c r="W137" s="20">
        <f t="shared" ca="1" si="80"/>
        <v>1314.0967604330053</v>
      </c>
      <c r="X137" s="41">
        <f t="shared" si="81"/>
        <v>0.60258006202368308</v>
      </c>
      <c r="Y137" s="41">
        <f t="shared" ca="1" si="82"/>
        <v>178.11278023252399</v>
      </c>
      <c r="Z137" s="14">
        <f t="shared" ca="1" si="83"/>
        <v>1314.0967604330053</v>
      </c>
      <c r="AA137" s="14">
        <f t="shared" si="84"/>
        <v>5628.3916222821908</v>
      </c>
      <c r="AB137" s="25">
        <f t="shared" ca="1" si="85"/>
        <v>382220.79906753829</v>
      </c>
      <c r="AC137" s="41">
        <f t="shared" si="86"/>
        <v>1637085.1889360647</v>
      </c>
      <c r="AD137" s="5">
        <f t="shared" ca="1" si="87"/>
        <v>23.347642605938063</v>
      </c>
      <c r="AE137" s="7">
        <f t="shared" ca="1" si="88"/>
        <v>1314.0967604330053</v>
      </c>
      <c r="AF137" s="41">
        <f t="shared" ca="1" si="89"/>
        <v>0</v>
      </c>
      <c r="AG137" s="41">
        <f t="shared" ca="1" si="90"/>
        <v>75.301298963211238</v>
      </c>
      <c r="AH137" s="41">
        <f t="shared" ca="1" si="91"/>
        <v>1008.798343246452</v>
      </c>
      <c r="AI137" s="13">
        <f t="shared" ca="1" si="92"/>
        <v>0</v>
      </c>
      <c r="AJ137" s="10">
        <f t="shared" ca="1" si="93"/>
        <v>0</v>
      </c>
      <c r="AK137" s="11">
        <f t="shared" ca="1" si="94"/>
        <v>0.27111864858039358</v>
      </c>
      <c r="AL137" s="6">
        <v>0</v>
      </c>
      <c r="AM137" s="6">
        <v>14400</v>
      </c>
      <c r="AN137" s="41">
        <f t="shared" ca="1" si="113"/>
        <v>4035.1933729858079</v>
      </c>
      <c r="AO137" s="41">
        <f t="shared" si="114"/>
        <v>689.32430162939011</v>
      </c>
      <c r="AP137" s="67">
        <f t="shared" si="95"/>
        <v>0.76767432476893471</v>
      </c>
      <c r="AQ137" s="11">
        <f t="shared" si="96"/>
        <v>0.97937395000000005</v>
      </c>
      <c r="AR137" s="11">
        <f t="shared" si="97"/>
        <v>0.8962407041850623</v>
      </c>
      <c r="AS137" s="11">
        <f t="shared" si="98"/>
        <v>0.91511593113647982</v>
      </c>
      <c r="AT137" s="11">
        <f t="shared" si="99"/>
        <v>507.97188664649997</v>
      </c>
      <c r="AU137" s="11">
        <f t="shared" si="100"/>
        <v>1896.6425030105124</v>
      </c>
      <c r="AV137" s="11">
        <f t="shared" si="101"/>
        <v>2.1751390567182989E-3</v>
      </c>
      <c r="AW137" s="11">
        <f t="shared" si="102"/>
        <v>3.6770358841811742E-7</v>
      </c>
      <c r="AX137" s="41">
        <f t="shared" ca="1" si="115"/>
        <v>1.0436285238501324</v>
      </c>
      <c r="AY137" s="41">
        <f t="shared" ca="1" si="116"/>
        <v>0.56046717021581194</v>
      </c>
      <c r="AZ137" s="41">
        <f t="shared" si="117"/>
        <v>0.19374347287471558</v>
      </c>
      <c r="BA137" s="41">
        <f t="shared" ca="1" si="105"/>
        <v>14.290559217320526</v>
      </c>
      <c r="BB137" s="41">
        <f t="shared" ca="1" si="106"/>
        <v>11.25342552999925</v>
      </c>
      <c r="BC137" s="41">
        <f t="shared" ca="1" si="118"/>
        <v>10.982086867708139</v>
      </c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</row>
    <row r="138" spans="1:67">
      <c r="A138" s="41">
        <f t="shared" si="107"/>
        <v>14400</v>
      </c>
      <c r="B138" s="41">
        <f t="shared" si="108"/>
        <v>240</v>
      </c>
      <c r="C138" s="41">
        <f t="shared" si="109"/>
        <v>4</v>
      </c>
      <c r="D138" s="23">
        <f t="shared" ca="1" si="119"/>
        <v>16664.578262874267</v>
      </c>
      <c r="E138" s="41">
        <f t="shared" si="110"/>
        <v>710.17519747354777</v>
      </c>
      <c r="F138" s="7">
        <f t="shared" si="111"/>
        <v>710.17519747354777</v>
      </c>
      <c r="G138" s="41"/>
      <c r="H138" s="6">
        <v>3000</v>
      </c>
      <c r="I138" s="5">
        <v>0</v>
      </c>
      <c r="J138" s="41">
        <f t="shared" si="69"/>
        <v>0.27121620748008923</v>
      </c>
      <c r="K138" s="41">
        <f t="shared" si="70"/>
        <v>299.66007414273963</v>
      </c>
      <c r="L138" s="6">
        <f t="shared" si="112"/>
        <v>170</v>
      </c>
      <c r="M138" s="41">
        <f t="shared" si="71"/>
        <v>177.54379936838694</v>
      </c>
      <c r="N138" s="41">
        <f t="shared" si="72"/>
        <v>97.659567417980199</v>
      </c>
      <c r="O138" s="41">
        <f t="shared" si="73"/>
        <v>1772629.7799025197</v>
      </c>
      <c r="P138" s="41">
        <f t="shared" si="74"/>
        <v>11381528.785853876</v>
      </c>
      <c r="Q138" s="41">
        <f t="shared" si="75"/>
        <v>2.922294710241774E-3</v>
      </c>
      <c r="R138" s="41">
        <f t="shared" si="76"/>
        <v>2.2840609206026031E-2</v>
      </c>
      <c r="S138" s="27">
        <v>0</v>
      </c>
      <c r="T138" s="41">
        <f t="shared" ca="1" si="77"/>
        <v>0.74191080316124391</v>
      </c>
      <c r="U138" s="41">
        <f t="shared" ca="1" si="78"/>
        <v>5.7604068061536166E-2</v>
      </c>
      <c r="V138" s="41">
        <f t="shared" ca="1" si="79"/>
        <v>12.879486260739254</v>
      </c>
      <c r="W138" s="20">
        <f t="shared" ca="1" si="80"/>
        <v>1293.8853247332677</v>
      </c>
      <c r="X138" s="41">
        <f t="shared" si="81"/>
        <v>0.60137316703461297</v>
      </c>
      <c r="Y138" s="41">
        <f t="shared" ca="1" si="82"/>
        <v>178.11278023252399</v>
      </c>
      <c r="Z138" s="14">
        <f t="shared" ca="1" si="83"/>
        <v>1293.8853247332677</v>
      </c>
      <c r="AA138" s="14">
        <f t="shared" si="84"/>
        <v>5628.3916222821908</v>
      </c>
      <c r="AB138" s="25">
        <f t="shared" ca="1" si="85"/>
        <v>387725.77234177373</v>
      </c>
      <c r="AC138" s="41">
        <f t="shared" si="86"/>
        <v>1686604.250837456</v>
      </c>
      <c r="AD138" s="5">
        <f t="shared" ca="1" si="87"/>
        <v>22.988544713394077</v>
      </c>
      <c r="AE138" s="7">
        <f t="shared" ca="1" si="88"/>
        <v>1293.8853247332677</v>
      </c>
      <c r="AF138" s="41">
        <f t="shared" ca="1" si="89"/>
        <v>0</v>
      </c>
      <c r="AG138" s="41">
        <f t="shared" ca="1" si="90"/>
        <v>77.942475231392663</v>
      </c>
      <c r="AH138" s="41">
        <f t="shared" ca="1" si="91"/>
        <v>995.36802079975632</v>
      </c>
      <c r="AI138" s="13">
        <f t="shared" ca="1" si="92"/>
        <v>0</v>
      </c>
      <c r="AJ138" s="10">
        <f t="shared" ca="1" si="93"/>
        <v>0</v>
      </c>
      <c r="AK138" s="11">
        <f t="shared" ca="1" si="94"/>
        <v>0.28062807471714318</v>
      </c>
      <c r="AL138" s="6">
        <v>0</v>
      </c>
      <c r="AM138" s="6">
        <v>14400</v>
      </c>
      <c r="AN138" s="41">
        <f t="shared" ca="1" si="113"/>
        <v>3981.4720831990253</v>
      </c>
      <c r="AO138" s="41">
        <f t="shared" si="114"/>
        <v>710.17519747354777</v>
      </c>
      <c r="AP138" s="67">
        <f t="shared" si="95"/>
        <v>0.76928611969917027</v>
      </c>
      <c r="AQ138" s="11">
        <f t="shared" si="96"/>
        <v>0.97937395000000005</v>
      </c>
      <c r="AR138" s="11">
        <f t="shared" si="97"/>
        <v>0.8962407041850623</v>
      </c>
      <c r="AS138" s="11">
        <f t="shared" si="98"/>
        <v>0.91511593113647982</v>
      </c>
      <c r="AT138" s="11">
        <f t="shared" si="99"/>
        <v>507.97188664649997</v>
      </c>
      <c r="AU138" s="11">
        <f t="shared" si="100"/>
        <v>1896.6425030105124</v>
      </c>
      <c r="AV138" s="11">
        <f t="shared" si="101"/>
        <v>2.1751390567182989E-3</v>
      </c>
      <c r="AW138" s="11">
        <f t="shared" si="102"/>
        <v>3.6770358841811742E-7</v>
      </c>
      <c r="AX138" s="41">
        <f t="shared" ca="1" si="115"/>
        <v>1.0670255735744347</v>
      </c>
      <c r="AY138" s="41">
        <f t="shared" ca="1" si="116"/>
        <v>0.57303225247515943</v>
      </c>
      <c r="AZ138" s="41">
        <f t="shared" si="117"/>
        <v>0.19927872098950208</v>
      </c>
      <c r="BA138" s="41">
        <f t="shared" ca="1" si="105"/>
        <v>14.952805790161499</v>
      </c>
      <c r="BB138" s="41">
        <f t="shared" ca="1" si="106"/>
        <v>11.093648153292815</v>
      </c>
      <c r="BC138" s="41">
        <f t="shared" ca="1" si="118"/>
        <v>11.153635101800194</v>
      </c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</row>
    <row r="139" spans="1:67">
      <c r="A139" s="41">
        <f t="shared" si="107"/>
        <v>14400</v>
      </c>
      <c r="B139" s="41">
        <f t="shared" si="108"/>
        <v>240</v>
      </c>
      <c r="C139" s="41">
        <f t="shared" si="109"/>
        <v>4</v>
      </c>
      <c r="D139" s="23">
        <f t="shared" ca="1" si="119"/>
        <v>16664.578262874267</v>
      </c>
      <c r="E139" s="41">
        <f t="shared" si="110"/>
        <v>731.02281859678931</v>
      </c>
      <c r="F139" s="7">
        <f t="shared" si="111"/>
        <v>731.02281859678931</v>
      </c>
      <c r="G139" s="41"/>
      <c r="H139" s="6">
        <v>3000</v>
      </c>
      <c r="I139" s="5">
        <v>0</v>
      </c>
      <c r="J139" s="41">
        <f t="shared" si="69"/>
        <v>0.27917792278096465</v>
      </c>
      <c r="K139" s="41">
        <f t="shared" si="70"/>
        <v>308.4567762997774</v>
      </c>
      <c r="L139" s="6">
        <f t="shared" si="112"/>
        <v>175</v>
      </c>
      <c r="M139" s="41">
        <f t="shared" si="71"/>
        <v>182.75570464919733</v>
      </c>
      <c r="N139" s="41">
        <f t="shared" si="72"/>
        <v>103.47743666046591</v>
      </c>
      <c r="O139" s="41">
        <f t="shared" si="73"/>
        <v>1824666.3959018544</v>
      </c>
      <c r="P139" s="41">
        <f t="shared" si="74"/>
        <v>11715640.425875755</v>
      </c>
      <c r="Q139" s="41">
        <f t="shared" si="75"/>
        <v>2.9077312654949626E-3</v>
      </c>
      <c r="R139" s="41">
        <f t="shared" si="76"/>
        <v>2.2751699375846746E-2</v>
      </c>
      <c r="S139" s="27">
        <v>0</v>
      </c>
      <c r="T139" s="41">
        <f t="shared" ca="1" si="77"/>
        <v>0.70019794109506595</v>
      </c>
      <c r="U139" s="41">
        <f t="shared" ca="1" si="78"/>
        <v>5.3715998175861118E-2</v>
      </c>
      <c r="V139" s="41">
        <f t="shared" ca="1" si="79"/>
        <v>13.035184393347469</v>
      </c>
      <c r="W139" s="20">
        <f t="shared" ca="1" si="80"/>
        <v>1278.4305737461655</v>
      </c>
      <c r="X139" s="41">
        <f t="shared" si="81"/>
        <v>0.60020156692885418</v>
      </c>
      <c r="Y139" s="41">
        <f t="shared" ca="1" si="82"/>
        <v>178.11278023252396</v>
      </c>
      <c r="Z139" s="14">
        <f t="shared" ca="1" si="83"/>
        <v>1278.4305737461655</v>
      </c>
      <c r="AA139" s="14">
        <f t="shared" si="84"/>
        <v>5628.3916222821908</v>
      </c>
      <c r="AB139" s="25">
        <f t="shared" ca="1" si="85"/>
        <v>394340.57350081706</v>
      </c>
      <c r="AC139" s="41">
        <f t="shared" si="86"/>
        <v>1736115.5355618389</v>
      </c>
      <c r="AD139" s="5">
        <f t="shared" ca="1" si="87"/>
        <v>22.713959147494243</v>
      </c>
      <c r="AE139" s="7">
        <f t="shared" ca="1" si="88"/>
        <v>1278.4305737461655</v>
      </c>
      <c r="AF139" s="41">
        <f t="shared" ca="1" si="89"/>
        <v>0</v>
      </c>
      <c r="AG139" s="41">
        <f t="shared" ca="1" si="90"/>
        <v>80.516586792373815</v>
      </c>
      <c r="AH139" s="41">
        <f t="shared" ca="1" si="91"/>
        <v>985.52513847991793</v>
      </c>
      <c r="AI139" s="13">
        <f t="shared" ca="1" si="92"/>
        <v>0</v>
      </c>
      <c r="AJ139" s="10">
        <f t="shared" ca="1" si="93"/>
        <v>0</v>
      </c>
      <c r="AK139" s="11">
        <f t="shared" ca="1" si="94"/>
        <v>0.28989603765161176</v>
      </c>
      <c r="AL139" s="6">
        <v>0</v>
      </c>
      <c r="AM139" s="6">
        <v>14400</v>
      </c>
      <c r="AN139" s="41">
        <f t="shared" ca="1" si="113"/>
        <v>3942.1005539196717</v>
      </c>
      <c r="AO139" s="41">
        <f t="shared" si="114"/>
        <v>731.02281859678931</v>
      </c>
      <c r="AP139" s="67">
        <f t="shared" si="95"/>
        <v>0.77088670962557537</v>
      </c>
      <c r="AQ139" s="11">
        <f t="shared" si="96"/>
        <v>0.97937395000000005</v>
      </c>
      <c r="AR139" s="11">
        <f t="shared" si="97"/>
        <v>0.8962407041850623</v>
      </c>
      <c r="AS139" s="11">
        <f t="shared" si="98"/>
        <v>0.91511593113647982</v>
      </c>
      <c r="AT139" s="11">
        <f t="shared" si="99"/>
        <v>507.97188664649997</v>
      </c>
      <c r="AU139" s="11">
        <f t="shared" si="100"/>
        <v>1896.6425030105124</v>
      </c>
      <c r="AV139" s="11">
        <f t="shared" si="101"/>
        <v>2.1751390567182989E-3</v>
      </c>
      <c r="AW139" s="11">
        <f t="shared" si="102"/>
        <v>3.6770358841811742E-7</v>
      </c>
      <c r="AX139" s="41">
        <f t="shared" ca="1" si="115"/>
        <v>1.0942290131900372</v>
      </c>
      <c r="AY139" s="41">
        <f t="shared" ca="1" si="116"/>
        <v>0.58764150708353857</v>
      </c>
      <c r="AZ139" s="41">
        <f t="shared" si="117"/>
        <v>0.20478229034020032</v>
      </c>
      <c r="BA139" s="41">
        <f t="shared" ca="1" si="105"/>
        <v>15.577822976744118</v>
      </c>
      <c r="BB139" s="41">
        <f t="shared" ca="1" si="106"/>
        <v>10.907559575059642</v>
      </c>
      <c r="BC139" s="41">
        <f t="shared" ca="1" si="118"/>
        <v>11.288469684638908</v>
      </c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</row>
    <row r="140" spans="1:67">
      <c r="A140" s="41">
        <f t="shared" si="107"/>
        <v>14400</v>
      </c>
      <c r="B140" s="41">
        <f t="shared" si="108"/>
        <v>240</v>
      </c>
      <c r="C140" s="41">
        <f t="shared" si="109"/>
        <v>4</v>
      </c>
      <c r="D140" s="23">
        <f t="shared" ca="1" si="119"/>
        <v>16664.578262874267</v>
      </c>
      <c r="E140" s="41">
        <f t="shared" si="110"/>
        <v>751.86708342408133</v>
      </c>
      <c r="F140" s="7">
        <f t="shared" si="111"/>
        <v>751.86708342408133</v>
      </c>
      <c r="G140" s="41"/>
      <c r="H140" s="6">
        <v>3000</v>
      </c>
      <c r="I140" s="5">
        <v>0</v>
      </c>
      <c r="J140" s="41">
        <f t="shared" si="69"/>
        <v>0.28713835631100121</v>
      </c>
      <c r="K140" s="41">
        <f t="shared" si="70"/>
        <v>317.25206225994344</v>
      </c>
      <c r="L140" s="6">
        <f t="shared" si="112"/>
        <v>180</v>
      </c>
      <c r="M140" s="41">
        <f t="shared" si="71"/>
        <v>187.96677085602033</v>
      </c>
      <c r="N140" s="41">
        <f t="shared" si="72"/>
        <v>109.46264517225485</v>
      </c>
      <c r="O140" s="41">
        <f t="shared" si="73"/>
        <v>1876694.6344329654</v>
      </c>
      <c r="P140" s="41">
        <f t="shared" si="74"/>
        <v>12049698.276664922</v>
      </c>
      <c r="Q140" s="41">
        <f t="shared" si="75"/>
        <v>2.8936055397819796E-3</v>
      </c>
      <c r="R140" s="41">
        <f t="shared" si="76"/>
        <v>2.2665461820368986E-2</v>
      </c>
      <c r="S140" s="27">
        <v>0</v>
      </c>
      <c r="T140" s="41">
        <f t="shared" ca="1" si="77"/>
        <v>0.66191245411104127</v>
      </c>
      <c r="U140" s="41">
        <f t="shared" ca="1" si="78"/>
        <v>5.0336196872052298E-2</v>
      </c>
      <c r="V140" s="41">
        <f t="shared" ca="1" si="79"/>
        <v>13.149830444948629</v>
      </c>
      <c r="W140" s="20">
        <f t="shared" ca="1" si="80"/>
        <v>1267.2846492310318</v>
      </c>
      <c r="X140" s="41">
        <f t="shared" si="81"/>
        <v>0.59906299139511143</v>
      </c>
      <c r="Y140" s="41">
        <f t="shared" ca="1" si="82"/>
        <v>178.11278023252399</v>
      </c>
      <c r="Z140" s="14">
        <f t="shared" ca="1" si="83"/>
        <v>1267.2846492310318</v>
      </c>
      <c r="AA140" s="14">
        <f t="shared" si="84"/>
        <v>5628.3916222821908</v>
      </c>
      <c r="AB140" s="25">
        <f t="shared" ca="1" si="85"/>
        <v>402048.66843891388</v>
      </c>
      <c r="AC140" s="41">
        <f t="shared" si="86"/>
        <v>1785618.8493756137</v>
      </c>
      <c r="AD140" s="5">
        <f t="shared" ca="1" si="87"/>
        <v>22.515928781749828</v>
      </c>
      <c r="AE140" s="7">
        <f t="shared" ca="1" si="88"/>
        <v>1267.2846492310318</v>
      </c>
      <c r="AF140" s="41">
        <f t="shared" ca="1" si="89"/>
        <v>0</v>
      </c>
      <c r="AG140" s="41">
        <f t="shared" ca="1" si="90"/>
        <v>83.024614191350366</v>
      </c>
      <c r="AH140" s="41">
        <f t="shared" ca="1" si="91"/>
        <v>978.94713722077336</v>
      </c>
      <c r="AI140" s="13">
        <f t="shared" ca="1" si="92"/>
        <v>0</v>
      </c>
      <c r="AJ140" s="10">
        <f t="shared" ca="1" si="93"/>
        <v>0</v>
      </c>
      <c r="AK140" s="11">
        <f t="shared" ca="1" si="94"/>
        <v>0.29892606778887837</v>
      </c>
      <c r="AL140" s="6">
        <v>0</v>
      </c>
      <c r="AM140" s="6">
        <v>14400</v>
      </c>
      <c r="AN140" s="41">
        <f t="shared" ca="1" si="113"/>
        <v>3915.7885488830934</v>
      </c>
      <c r="AO140" s="41">
        <f t="shared" si="114"/>
        <v>751.86708342408133</v>
      </c>
      <c r="AP140" s="67">
        <f t="shared" si="95"/>
        <v>0.77247612666560972</v>
      </c>
      <c r="AQ140" s="11">
        <f t="shared" si="96"/>
        <v>0.97937395000000005</v>
      </c>
      <c r="AR140" s="11">
        <f t="shared" si="97"/>
        <v>0.8962407041850623</v>
      </c>
      <c r="AS140" s="11">
        <f t="shared" si="98"/>
        <v>0.91511593113647982</v>
      </c>
      <c r="AT140" s="11">
        <f t="shared" si="99"/>
        <v>507.97188664649997</v>
      </c>
      <c r="AU140" s="11">
        <f t="shared" si="100"/>
        <v>1896.6425030105124</v>
      </c>
      <c r="AV140" s="11">
        <f t="shared" si="101"/>
        <v>2.1751390567182989E-3</v>
      </c>
      <c r="AW140" s="11">
        <f t="shared" si="102"/>
        <v>3.6770358841811742E-7</v>
      </c>
      <c r="AX140" s="41">
        <f t="shared" ca="1" si="115"/>
        <v>1.1248484034723225</v>
      </c>
      <c r="AY140" s="41">
        <f t="shared" ca="1" si="116"/>
        <v>0.6040852537166177</v>
      </c>
      <c r="AZ140" s="41">
        <f t="shared" si="117"/>
        <v>0.21025417408998501</v>
      </c>
      <c r="BA140" s="41">
        <f t="shared" ca="1" si="105"/>
        <v>16.162921987213235</v>
      </c>
      <c r="BB140" s="41">
        <f t="shared" ca="1" si="106"/>
        <v>10.69843935816162</v>
      </c>
      <c r="BC140" s="41">
        <f t="shared" ca="1" si="118"/>
        <v>11.387753165325512</v>
      </c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</row>
    <row r="141" spans="1:67">
      <c r="A141" s="41">
        <f t="shared" si="107"/>
        <v>14400</v>
      </c>
      <c r="B141" s="41">
        <f t="shared" si="108"/>
        <v>240</v>
      </c>
      <c r="C141" s="41">
        <f t="shared" si="109"/>
        <v>4</v>
      </c>
      <c r="D141" s="23">
        <f t="shared" ca="1" si="119"/>
        <v>16664.578262874267</v>
      </c>
      <c r="E141" s="41">
        <f t="shared" si="110"/>
        <v>772.7079115781363</v>
      </c>
      <c r="F141" s="7">
        <f t="shared" si="111"/>
        <v>772.7079115781363</v>
      </c>
      <c r="G141" s="41"/>
      <c r="H141" s="6">
        <v>3000</v>
      </c>
      <c r="I141" s="5">
        <v>0</v>
      </c>
      <c r="J141" s="41">
        <f t="shared" si="69"/>
        <v>0.29509747737407888</v>
      </c>
      <c r="K141" s="41">
        <f t="shared" si="70"/>
        <v>326.0458981078545</v>
      </c>
      <c r="L141" s="6">
        <f t="shared" si="112"/>
        <v>185</v>
      </c>
      <c r="M141" s="41">
        <f t="shared" si="71"/>
        <v>193.17697789453408</v>
      </c>
      <c r="N141" s="41">
        <f t="shared" si="72"/>
        <v>115.61508762106017</v>
      </c>
      <c r="O141" s="41">
        <f t="shared" si="73"/>
        <v>1928714.2948704655</v>
      </c>
      <c r="P141" s="41">
        <f t="shared" si="74"/>
        <v>12383701.050065419</v>
      </c>
      <c r="Q141" s="41">
        <f t="shared" si="75"/>
        <v>2.8798895586658537E-3</v>
      </c>
      <c r="R141" s="41">
        <f t="shared" si="76"/>
        <v>2.2581725755655039E-2</v>
      </c>
      <c r="S141" s="27">
        <v>0</v>
      </c>
      <c r="T141" s="41">
        <f t="shared" ca="1" si="77"/>
        <v>0.6266888655305155</v>
      </c>
      <c r="U141" s="41">
        <f t="shared" ca="1" si="78"/>
        <v>4.7385830009376281E-2</v>
      </c>
      <c r="V141" s="41">
        <f t="shared" ca="1" si="79"/>
        <v>13.225237700943762</v>
      </c>
      <c r="W141" s="20">
        <f t="shared" ca="1" si="80"/>
        <v>1260.0588843620612</v>
      </c>
      <c r="X141" s="41">
        <f t="shared" si="81"/>
        <v>0.59795536793836057</v>
      </c>
      <c r="Y141" s="41">
        <f t="shared" ca="1" si="82"/>
        <v>178.11278023252402</v>
      </c>
      <c r="Z141" s="14">
        <f t="shared" ca="1" si="83"/>
        <v>1260.0588843620612</v>
      </c>
      <c r="AA141" s="14">
        <f t="shared" si="84"/>
        <v>5628.3916222821908</v>
      </c>
      <c r="AB141" s="25">
        <f t="shared" ca="1" si="85"/>
        <v>410837.03062060941</v>
      </c>
      <c r="AC141" s="41">
        <f t="shared" si="86"/>
        <v>1835114.0013897212</v>
      </c>
      <c r="AD141" s="5">
        <f t="shared" ca="1" si="87"/>
        <v>22.387548147389481</v>
      </c>
      <c r="AE141" s="7">
        <f t="shared" ca="1" si="88"/>
        <v>1260.0588843620612</v>
      </c>
      <c r="AF141" s="41">
        <f t="shared" ca="1" si="89"/>
        <v>0</v>
      </c>
      <c r="AG141" s="41">
        <f t="shared" ca="1" si="90"/>
        <v>85.467327663619841</v>
      </c>
      <c r="AH141" s="41">
        <f t="shared" ca="1" si="91"/>
        <v>975.3541274540529</v>
      </c>
      <c r="AI141" s="13">
        <f t="shared" ca="1" si="92"/>
        <v>0</v>
      </c>
      <c r="AJ141" s="10">
        <f t="shared" ca="1" si="93"/>
        <v>0</v>
      </c>
      <c r="AK141" s="11">
        <f t="shared" ca="1" si="94"/>
        <v>0.30772093832350716</v>
      </c>
      <c r="AL141" s="6">
        <v>0</v>
      </c>
      <c r="AM141" s="6">
        <v>14400</v>
      </c>
      <c r="AN141" s="41">
        <f t="shared" ca="1" si="113"/>
        <v>3901.4165098162116</v>
      </c>
      <c r="AO141" s="41">
        <f t="shared" si="114"/>
        <v>772.7079115781363</v>
      </c>
      <c r="AP141" s="67">
        <f t="shared" si="95"/>
        <v>0.77405440297962913</v>
      </c>
      <c r="AQ141" s="11">
        <f t="shared" si="96"/>
        <v>0.97937395000000005</v>
      </c>
      <c r="AR141" s="11">
        <f t="shared" si="97"/>
        <v>0.8962407041850623</v>
      </c>
      <c r="AS141" s="11">
        <f t="shared" si="98"/>
        <v>0.91511593113647982</v>
      </c>
      <c r="AT141" s="11">
        <f t="shared" si="99"/>
        <v>507.97188664649997</v>
      </c>
      <c r="AU141" s="11">
        <f t="shared" si="100"/>
        <v>1896.6425030105124</v>
      </c>
      <c r="AV141" s="11">
        <f t="shared" si="101"/>
        <v>2.1751390567182989E-3</v>
      </c>
      <c r="AW141" s="11">
        <f t="shared" si="102"/>
        <v>3.6770358841811742E-7</v>
      </c>
      <c r="AX141" s="41">
        <f t="shared" ca="1" si="115"/>
        <v>1.1585704816801747</v>
      </c>
      <c r="AY141" s="41">
        <f t="shared" ca="1" si="116"/>
        <v>0.62219525868009395</v>
      </c>
      <c r="AZ141" s="41">
        <f t="shared" si="117"/>
        <v>0.21569436619354665</v>
      </c>
      <c r="BA141" s="41">
        <f t="shared" ca="1" si="105"/>
        <v>16.706193109492752</v>
      </c>
      <c r="BB141" s="41">
        <f t="shared" ca="1" si="106"/>
        <v>10.469585207121726</v>
      </c>
      <c r="BC141" s="41">
        <f t="shared" ca="1" si="118"/>
        <v>11.453055849017298</v>
      </c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</row>
    <row r="142" spans="1:67">
      <c r="A142" s="41">
        <f t="shared" si="107"/>
        <v>14400</v>
      </c>
      <c r="B142" s="41">
        <f t="shared" si="108"/>
        <v>240</v>
      </c>
      <c r="C142" s="41">
        <f t="shared" si="109"/>
        <v>4</v>
      </c>
      <c r="D142" s="23">
        <f t="shared" ca="1" si="119"/>
        <v>16664.578262874267</v>
      </c>
      <c r="E142" s="41">
        <f t="shared" si="110"/>
        <v>793.54522390224395</v>
      </c>
      <c r="F142" s="7">
        <f t="shared" si="111"/>
        <v>793.54522390224395</v>
      </c>
      <c r="G142" s="41"/>
      <c r="H142" s="6">
        <v>3000</v>
      </c>
      <c r="I142" s="5">
        <v>0</v>
      </c>
      <c r="J142" s="41">
        <f t="shared" si="69"/>
        <v>0.30305525574021658</v>
      </c>
      <c r="K142" s="41">
        <f t="shared" si="70"/>
        <v>334.83825044315284</v>
      </c>
      <c r="L142" s="6">
        <f t="shared" si="112"/>
        <v>190</v>
      </c>
      <c r="M142" s="41">
        <f t="shared" si="71"/>
        <v>198.38630597556099</v>
      </c>
      <c r="N142" s="41">
        <f t="shared" si="72"/>
        <v>121.93465646829995</v>
      </c>
      <c r="O142" s="41">
        <f t="shared" si="73"/>
        <v>1980725.1796355851</v>
      </c>
      <c r="P142" s="41">
        <f t="shared" si="74"/>
        <v>12717647.477482704</v>
      </c>
      <c r="Q142" s="41">
        <f t="shared" si="75"/>
        <v>2.8665577717118871E-3</v>
      </c>
      <c r="R142" s="41">
        <f t="shared" si="76"/>
        <v>2.2500335196301072E-2</v>
      </c>
      <c r="S142" s="27">
        <v>0</v>
      </c>
      <c r="T142" s="41">
        <f t="shared" ca="1" si="77"/>
        <v>0.59420914609530884</v>
      </c>
      <c r="U142" s="41">
        <f t="shared" ca="1" si="78"/>
        <v>4.4799995904554676E-2</v>
      </c>
      <c r="V142" s="41">
        <f t="shared" ca="1" si="79"/>
        <v>13.263598223563619</v>
      </c>
      <c r="W142" s="20">
        <f t="shared" ca="1" si="80"/>
        <v>1256.4145853927173</v>
      </c>
      <c r="X142" s="41">
        <f t="shared" si="81"/>
        <v>0.59687679992631382</v>
      </c>
      <c r="Y142" s="41">
        <f t="shared" ca="1" si="82"/>
        <v>178.11278023252399</v>
      </c>
      <c r="Z142" s="14">
        <f t="shared" ca="1" si="83"/>
        <v>1256.4145853927173</v>
      </c>
      <c r="AA142" s="14">
        <f t="shared" si="84"/>
        <v>5628.3916222821908</v>
      </c>
      <c r="AB142" s="25">
        <f t="shared" ca="1" si="85"/>
        <v>420695.66160415672</v>
      </c>
      <c r="AC142" s="41">
        <f t="shared" si="86"/>
        <v>1884600.8036138676</v>
      </c>
      <c r="AD142" s="5">
        <f t="shared" ca="1" si="87"/>
        <v>22.322799650591271</v>
      </c>
      <c r="AE142" s="7">
        <f t="shared" ca="1" si="88"/>
        <v>1256.4145853927173</v>
      </c>
      <c r="AF142" s="41">
        <f t="shared" ca="1" si="89"/>
        <v>0</v>
      </c>
      <c r="AG142" s="41">
        <f t="shared" ca="1" si="90"/>
        <v>87.84531591003612</v>
      </c>
      <c r="AH142" s="41">
        <f t="shared" ca="1" si="91"/>
        <v>974.50225425868086</v>
      </c>
      <c r="AI142" s="13">
        <f t="shared" ca="1" si="92"/>
        <v>0</v>
      </c>
      <c r="AJ142" s="10">
        <f t="shared" ca="1" si="93"/>
        <v>0</v>
      </c>
      <c r="AK142" s="11">
        <f t="shared" ca="1" si="94"/>
        <v>0.31628276884416551</v>
      </c>
      <c r="AL142" s="6">
        <v>0</v>
      </c>
      <c r="AM142" s="6">
        <v>14400</v>
      </c>
      <c r="AN142" s="41">
        <f t="shared" ca="1" si="113"/>
        <v>3898.0090170347235</v>
      </c>
      <c r="AO142" s="41">
        <f t="shared" si="114"/>
        <v>793.54522390224395</v>
      </c>
      <c r="AP142" s="67">
        <f t="shared" si="95"/>
        <v>0.77562157076844251</v>
      </c>
      <c r="AQ142" s="11">
        <f t="shared" si="96"/>
        <v>0.97937395000000005</v>
      </c>
      <c r="AR142" s="11">
        <f t="shared" si="97"/>
        <v>0.8962407041850623</v>
      </c>
      <c r="AS142" s="11">
        <f t="shared" si="98"/>
        <v>0.91511593113647982</v>
      </c>
      <c r="AT142" s="11">
        <f t="shared" si="99"/>
        <v>507.97188664649997</v>
      </c>
      <c r="AU142" s="11">
        <f t="shared" si="100"/>
        <v>1896.6425030105124</v>
      </c>
      <c r="AV142" s="11">
        <f t="shared" si="101"/>
        <v>2.1751390567182989E-3</v>
      </c>
      <c r="AW142" s="11">
        <f t="shared" si="102"/>
        <v>3.6770358841811742E-7</v>
      </c>
      <c r="AX142" s="41">
        <f t="shared" ca="1" si="115"/>
        <v>1.1951411933081895</v>
      </c>
      <c r="AY142" s="41">
        <f t="shared" ca="1" si="116"/>
        <v>0.64183508529513889</v>
      </c>
      <c r="AZ142" s="41">
        <f t="shared" si="117"/>
        <v>0.22110286139395902</v>
      </c>
      <c r="BA142" s="41">
        <f t="shared" ca="1" si="105"/>
        <v>17.206466441785974</v>
      </c>
      <c r="BB142" s="41">
        <f t="shared" ca="1" si="106"/>
        <v>10.224239731691231</v>
      </c>
      <c r="BC142" s="41">
        <f t="shared" ca="1" si="118"/>
        <v>11.486276061606095</v>
      </c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</row>
    <row r="143" spans="1:67">
      <c r="A143" s="41">
        <f t="shared" si="107"/>
        <v>14400</v>
      </c>
      <c r="B143" s="41">
        <f t="shared" si="108"/>
        <v>240</v>
      </c>
      <c r="C143" s="41">
        <f t="shared" si="109"/>
        <v>4</v>
      </c>
      <c r="D143" s="23">
        <f t="shared" ca="1" si="119"/>
        <v>16664.578262874267</v>
      </c>
      <c r="E143" s="41">
        <f t="shared" si="110"/>
        <v>814.37894248223722</v>
      </c>
      <c r="F143" s="7">
        <f t="shared" si="111"/>
        <v>814.37894248223722</v>
      </c>
      <c r="G143" s="41"/>
      <c r="H143" s="6">
        <v>3000</v>
      </c>
      <c r="I143" s="5">
        <v>0</v>
      </c>
      <c r="J143" s="41">
        <f t="shared" si="69"/>
        <v>0.31101166165396116</v>
      </c>
      <c r="K143" s="41">
        <f t="shared" si="70"/>
        <v>343.62908638977473</v>
      </c>
      <c r="L143" s="6">
        <f t="shared" si="112"/>
        <v>195</v>
      </c>
      <c r="M143" s="41">
        <f t="shared" si="71"/>
        <v>203.59473562055931</v>
      </c>
      <c r="N143" s="41">
        <f t="shared" si="72"/>
        <v>128.42124202634668</v>
      </c>
      <c r="O143" s="41">
        <f t="shared" si="73"/>
        <v>2032727.0942510001</v>
      </c>
      <c r="P143" s="41">
        <f t="shared" si="74"/>
        <v>13051536.310235705</v>
      </c>
      <c r="Q143" s="41">
        <f t="shared" si="75"/>
        <v>2.8535867861875638E-3</v>
      </c>
      <c r="R143" s="41">
        <f t="shared" si="76"/>
        <v>2.2421147329675078E-2</v>
      </c>
      <c r="S143" s="27">
        <v>0</v>
      </c>
      <c r="T143" s="41">
        <f t="shared" ca="1" si="77"/>
        <v>0.56419550968513965</v>
      </c>
      <c r="U143" s="41">
        <f t="shared" ca="1" si="78"/>
        <v>4.2524979109324387E-2</v>
      </c>
      <c r="V143" s="41">
        <f t="shared" ca="1" si="79"/>
        <v>13.267390637269692</v>
      </c>
      <c r="W143" s="20">
        <f t="shared" ca="1" si="80"/>
        <v>1256.0554459036932</v>
      </c>
      <c r="X143" s="41">
        <f t="shared" si="81"/>
        <v>0.59582554758020123</v>
      </c>
      <c r="Y143" s="41">
        <f t="shared" ca="1" si="82"/>
        <v>178.11278023252399</v>
      </c>
      <c r="Z143" s="14">
        <f t="shared" ca="1" si="83"/>
        <v>1256.0554459036932</v>
      </c>
      <c r="AA143" s="14">
        <f t="shared" si="84"/>
        <v>5628.3916222821908</v>
      </c>
      <c r="AB143" s="25">
        <f t="shared" ca="1" si="85"/>
        <v>431617.18533078721</v>
      </c>
      <c r="AC143" s="41">
        <f t="shared" si="86"/>
        <v>1934079.0710086913</v>
      </c>
      <c r="AD143" s="5">
        <f t="shared" ca="1" si="87"/>
        <v>22.316418795932861</v>
      </c>
      <c r="AE143" s="7">
        <f t="shared" ca="1" si="88"/>
        <v>1256.0554459036932</v>
      </c>
      <c r="AF143" s="41">
        <f t="shared" ca="1" si="89"/>
        <v>0</v>
      </c>
      <c r="AG143" s="41">
        <f t="shared" ca="1" si="90"/>
        <v>90.159010445834298</v>
      </c>
      <c r="AH143" s="41">
        <f t="shared" ca="1" si="91"/>
        <v>976.17823512990765</v>
      </c>
      <c r="AI143" s="13">
        <f t="shared" ca="1" si="92"/>
        <v>0</v>
      </c>
      <c r="AJ143" s="10">
        <f t="shared" ca="1" si="93"/>
        <v>0</v>
      </c>
      <c r="AK143" s="11">
        <f t="shared" ca="1" si="94"/>
        <v>0.32461311300037859</v>
      </c>
      <c r="AL143" s="6">
        <v>0</v>
      </c>
      <c r="AM143" s="6">
        <v>14400</v>
      </c>
      <c r="AN143" s="41">
        <f t="shared" ca="1" si="113"/>
        <v>3904.7129405196306</v>
      </c>
      <c r="AO143" s="41">
        <f t="shared" si="114"/>
        <v>814.37894248223722</v>
      </c>
      <c r="AP143" s="67">
        <f t="shared" si="95"/>
        <v>0.77717766227077456</v>
      </c>
      <c r="AQ143" s="11">
        <f t="shared" si="96"/>
        <v>0.97937395000000005</v>
      </c>
      <c r="AR143" s="11">
        <f t="shared" si="97"/>
        <v>0.8962407041850623</v>
      </c>
      <c r="AS143" s="11">
        <f t="shared" si="98"/>
        <v>0.91511593113647982</v>
      </c>
      <c r="AT143" s="11">
        <f t="shared" si="99"/>
        <v>507.97188664649997</v>
      </c>
      <c r="AU143" s="11">
        <f t="shared" si="100"/>
        <v>1896.6425030105124</v>
      </c>
      <c r="AV143" s="11">
        <f t="shared" si="101"/>
        <v>2.1751390567182989E-3</v>
      </c>
      <c r="AW143" s="11">
        <f t="shared" si="102"/>
        <v>3.6770358841811742E-7</v>
      </c>
      <c r="AX143" s="41">
        <f t="shared" ca="1" si="115"/>
        <v>1.2343524375112411</v>
      </c>
      <c r="AY143" s="41">
        <f t="shared" ca="1" si="116"/>
        <v>0.66289297570048145</v>
      </c>
      <c r="AZ143" s="41">
        <f t="shared" si="117"/>
        <v>0.22647965521912175</v>
      </c>
      <c r="BA143" s="41">
        <f t="shared" ca="1" si="105"/>
        <v>17.663253575309085</v>
      </c>
      <c r="BB143" s="41">
        <f t="shared" ca="1" si="106"/>
        <v>9.9655283536193764</v>
      </c>
      <c r="BC143" s="41">
        <f t="shared" ca="1" si="118"/>
        <v>11.489560291875554</v>
      </c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</row>
    <row r="144" spans="1:67">
      <c r="A144" s="41">
        <f t="shared" si="107"/>
        <v>14400</v>
      </c>
      <c r="B144" s="41">
        <f t="shared" si="108"/>
        <v>240</v>
      </c>
      <c r="C144" s="41">
        <f t="shared" si="109"/>
        <v>4</v>
      </c>
      <c r="D144" s="23">
        <f t="shared" ca="1" si="119"/>
        <v>16664.578262874267</v>
      </c>
      <c r="E144" s="41">
        <f t="shared" si="110"/>
        <v>835.20899066761228</v>
      </c>
      <c r="F144" s="7">
        <f t="shared" si="111"/>
        <v>835.20899066761228</v>
      </c>
      <c r="G144" s="41"/>
      <c r="H144" s="6">
        <v>3000</v>
      </c>
      <c r="I144" s="5">
        <v>0</v>
      </c>
      <c r="J144" s="41">
        <f t="shared" si="69"/>
        <v>0.31896666584245287</v>
      </c>
      <c r="K144" s="41">
        <f t="shared" si="70"/>
        <v>352.41837360486204</v>
      </c>
      <c r="L144" s="6">
        <f t="shared" si="112"/>
        <v>200</v>
      </c>
      <c r="M144" s="41">
        <f t="shared" si="71"/>
        <v>208.80224766690307</v>
      </c>
      <c r="N144" s="41">
        <f t="shared" si="72"/>
        <v>135.0747325165656</v>
      </c>
      <c r="O144" s="41">
        <f t="shared" si="73"/>
        <v>2084719.8473935451</v>
      </c>
      <c r="P144" s="41">
        <f t="shared" si="74"/>
        <v>13385366.319895258</v>
      </c>
      <c r="Q144" s="41">
        <f t="shared" si="75"/>
        <v>2.8409551360298671E-3</v>
      </c>
      <c r="R144" s="41">
        <f t="shared" si="76"/>
        <v>2.2344031105462337E-2</v>
      </c>
      <c r="S144" s="27">
        <v>0</v>
      </c>
      <c r="T144" s="41">
        <f t="shared" ca="1" si="77"/>
        <v>0.53640445366469613</v>
      </c>
      <c r="U144" s="41">
        <f t="shared" ca="1" si="78"/>
        <v>4.0516098590828324E-2</v>
      </c>
      <c r="V144" s="41">
        <f t="shared" ca="1" si="79"/>
        <v>13.23929184499819</v>
      </c>
      <c r="W144" s="20">
        <f t="shared" ca="1" si="80"/>
        <v>1258.7212713473155</v>
      </c>
      <c r="X144" s="41">
        <f t="shared" si="81"/>
        <v>0.59480001145041317</v>
      </c>
      <c r="Y144" s="41">
        <f t="shared" ca="1" si="82"/>
        <v>178.11278023252399</v>
      </c>
      <c r="Z144" s="14">
        <f t="shared" ca="1" si="83"/>
        <v>1258.7212713473155</v>
      </c>
      <c r="AA144" s="14">
        <f t="shared" si="84"/>
        <v>5628.3916222821908</v>
      </c>
      <c r="AB144" s="25">
        <f t="shared" ca="1" si="85"/>
        <v>443596.50327006512</v>
      </c>
      <c r="AC144" s="41">
        <f t="shared" si="86"/>
        <v>1983548.6215359208</v>
      </c>
      <c r="AD144" s="5">
        <f t="shared" ca="1" si="87"/>
        <v>22.363782689963767</v>
      </c>
      <c r="AE144" s="7">
        <f t="shared" ca="1" si="88"/>
        <v>1258.7212713473155</v>
      </c>
      <c r="AF144" s="41">
        <f t="shared" ca="1" si="89"/>
        <v>0</v>
      </c>
      <c r="AG144" s="41">
        <f t="shared" ca="1" si="90"/>
        <v>92.408706297512282</v>
      </c>
      <c r="AH144" s="41">
        <f t="shared" ca="1" si="91"/>
        <v>980.19483925694499</v>
      </c>
      <c r="AI144" s="13">
        <f t="shared" ca="1" si="92"/>
        <v>0</v>
      </c>
      <c r="AJ144" s="10">
        <f t="shared" ca="1" si="93"/>
        <v>0</v>
      </c>
      <c r="AK144" s="11">
        <f t="shared" ca="1" si="94"/>
        <v>0.33271303302064065</v>
      </c>
      <c r="AL144" s="6">
        <v>0</v>
      </c>
      <c r="AM144" s="6">
        <v>14400</v>
      </c>
      <c r="AN144" s="41">
        <f t="shared" ca="1" si="113"/>
        <v>3920.77935702778</v>
      </c>
      <c r="AO144" s="41">
        <f t="shared" si="114"/>
        <v>835.20899066761228</v>
      </c>
      <c r="AP144" s="67">
        <f t="shared" si="95"/>
        <v>0.7787227097606445</v>
      </c>
      <c r="AQ144" s="11">
        <f t="shared" si="96"/>
        <v>0.97937395000000005</v>
      </c>
      <c r="AR144" s="11">
        <f t="shared" si="97"/>
        <v>0.8962407041850623</v>
      </c>
      <c r="AS144" s="11">
        <f t="shared" si="98"/>
        <v>0.91511593113647982</v>
      </c>
      <c r="AT144" s="11">
        <f t="shared" si="99"/>
        <v>507.97188664649997</v>
      </c>
      <c r="AU144" s="11">
        <f t="shared" si="100"/>
        <v>1896.6425030105124</v>
      </c>
      <c r="AV144" s="11">
        <f t="shared" si="101"/>
        <v>2.1751390567182989E-3</v>
      </c>
      <c r="AW144" s="11">
        <f t="shared" si="102"/>
        <v>3.6770358841811742E-7</v>
      </c>
      <c r="AX144" s="41">
        <f t="shared" ca="1" si="115"/>
        <v>1.2760321685686145</v>
      </c>
      <c r="AY144" s="41">
        <f t="shared" ca="1" si="116"/>
        <v>0.68527653497203378</v>
      </c>
      <c r="AZ144" s="41">
        <f t="shared" si="117"/>
        <v>0.23182474397779143</v>
      </c>
      <c r="BA144" s="41">
        <f t="shared" ca="1" si="105"/>
        <v>18.07667576340646</v>
      </c>
      <c r="BB144" s="41">
        <f t="shared" ca="1" si="106"/>
        <v>9.6964093869438948</v>
      </c>
      <c r="BC144" s="41">
        <f t="shared" ca="1" si="118"/>
        <v>11.465226737768432</v>
      </c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</row>
    <row r="145" spans="1:67">
      <c r="A145" s="41">
        <f t="shared" si="107"/>
        <v>14400</v>
      </c>
      <c r="B145" s="41">
        <f t="shared" si="108"/>
        <v>240</v>
      </c>
      <c r="C145" s="41">
        <f t="shared" si="109"/>
        <v>4</v>
      </c>
      <c r="D145" s="23">
        <f t="shared" ca="1" si="119"/>
        <v>16664.578262874267</v>
      </c>
      <c r="E145" s="41">
        <f t="shared" si="110"/>
        <v>856.03529309181567</v>
      </c>
      <c r="F145" s="7">
        <f t="shared" si="111"/>
        <v>856.03529309181567</v>
      </c>
      <c r="G145" s="41"/>
      <c r="H145" s="6">
        <v>3000</v>
      </c>
      <c r="I145" s="5">
        <v>0</v>
      </c>
      <c r="J145" s="41">
        <f t="shared" si="69"/>
        <v>0.32692023952317295</v>
      </c>
      <c r="K145" s="41">
        <f t="shared" si="70"/>
        <v>361.20608028732238</v>
      </c>
      <c r="L145" s="6">
        <f t="shared" si="112"/>
        <v>205</v>
      </c>
      <c r="M145" s="41">
        <f t="shared" si="71"/>
        <v>214.00882327295392</v>
      </c>
      <c r="N145" s="41">
        <f t="shared" si="72"/>
        <v>141.89501412809591</v>
      </c>
      <c r="O145" s="41">
        <f t="shared" si="73"/>
        <v>2136703.2509448552</v>
      </c>
      <c r="P145" s="41">
        <f t="shared" si="74"/>
        <v>13719136.298609275</v>
      </c>
      <c r="Q145" s="41">
        <f t="shared" si="75"/>
        <v>2.8286430806530932E-3</v>
      </c>
      <c r="R145" s="41">
        <f t="shared" si="76"/>
        <v>2.2268866007387134E-2</v>
      </c>
      <c r="S145" s="27">
        <v>0</v>
      </c>
      <c r="T145" s="41">
        <f t="shared" ca="1" si="77"/>
        <v>0.51062180404763746</v>
      </c>
      <c r="U145" s="41">
        <f t="shared" ca="1" si="78"/>
        <v>3.8736010723849482E-2</v>
      </c>
      <c r="V145" s="41">
        <f t="shared" ca="1" si="79"/>
        <v>13.182095794217945</v>
      </c>
      <c r="W145" s="20">
        <f t="shared" ca="1" si="80"/>
        <v>1264.1827614531403</v>
      </c>
      <c r="X145" s="41">
        <f t="shared" si="81"/>
        <v>0.59379871799879946</v>
      </c>
      <c r="Y145" s="41">
        <f t="shared" ca="1" si="82"/>
        <v>178.11278023252399</v>
      </c>
      <c r="Z145" s="14">
        <f t="shared" ca="1" si="83"/>
        <v>1264.1827614531403</v>
      </c>
      <c r="AA145" s="14">
        <f t="shared" si="84"/>
        <v>5628.3916222821908</v>
      </c>
      <c r="AB145" s="25">
        <f t="shared" ca="1" si="85"/>
        <v>456630.50003129191</v>
      </c>
      <c r="AC145" s="41">
        <f t="shared" si="86"/>
        <v>2033009.2762065537</v>
      </c>
      <c r="AD145" s="5">
        <f t="shared" ca="1" si="87"/>
        <v>22.460817339866296</v>
      </c>
      <c r="AE145" s="7">
        <f t="shared" ca="1" si="88"/>
        <v>1264.1827614531403</v>
      </c>
      <c r="AF145" s="41">
        <f t="shared" ca="1" si="89"/>
        <v>0</v>
      </c>
      <c r="AG145" s="41">
        <f t="shared" ca="1" si="90"/>
        <v>94.594579671251253</v>
      </c>
      <c r="AH145" s="41">
        <f t="shared" ca="1" si="91"/>
        <v>986.38712722508888</v>
      </c>
      <c r="AI145" s="13">
        <f t="shared" ca="1" si="92"/>
        <v>0</v>
      </c>
      <c r="AJ145" s="10">
        <f t="shared" ca="1" si="93"/>
        <v>0</v>
      </c>
      <c r="AK145" s="11">
        <f t="shared" ca="1" si="94"/>
        <v>0.34058316332669969</v>
      </c>
      <c r="AL145" s="6">
        <v>0</v>
      </c>
      <c r="AM145" s="6">
        <v>14400</v>
      </c>
      <c r="AN145" s="41">
        <f t="shared" ca="1" si="113"/>
        <v>3945.5485089003555</v>
      </c>
      <c r="AO145" s="41">
        <f t="shared" si="114"/>
        <v>856.03529309181567</v>
      </c>
      <c r="AP145" s="67">
        <f t="shared" si="95"/>
        <v>0.78025674554466029</v>
      </c>
      <c r="AQ145" s="11">
        <f t="shared" si="96"/>
        <v>0.97937395000000005</v>
      </c>
      <c r="AR145" s="11">
        <f t="shared" si="97"/>
        <v>0.8962407041850623</v>
      </c>
      <c r="AS145" s="11">
        <f t="shared" si="98"/>
        <v>0.91511593113647982</v>
      </c>
      <c r="AT145" s="11">
        <f t="shared" si="99"/>
        <v>507.97188664649997</v>
      </c>
      <c r="AU145" s="11">
        <f t="shared" si="100"/>
        <v>1896.6425030105124</v>
      </c>
      <c r="AV145" s="11">
        <f t="shared" si="101"/>
        <v>2.1751390567182989E-3</v>
      </c>
      <c r="AW145" s="11">
        <f t="shared" si="102"/>
        <v>3.6770358841811742E-7</v>
      </c>
      <c r="AX145" s="41">
        <f t="shared" ca="1" si="115"/>
        <v>1.3200369178175351</v>
      </c>
      <c r="AY145" s="41">
        <f t="shared" ca="1" si="116"/>
        <v>0.70890871512423181</v>
      </c>
      <c r="AZ145" s="41">
        <f t="shared" si="117"/>
        <v>0.2371381247552147</v>
      </c>
      <c r="BA145" s="41">
        <f t="shared" ca="1" si="105"/>
        <v>18.447383888965359</v>
      </c>
      <c r="BB145" s="41">
        <f t="shared" ca="1" si="106"/>
        <v>9.4196364413428153</v>
      </c>
      <c r="BC145" s="41">
        <f t="shared" ca="1" si="118"/>
        <v>11.41569495779274</v>
      </c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</row>
    <row r="146" spans="1:67">
      <c r="A146" s="41">
        <f t="shared" si="107"/>
        <v>14400</v>
      </c>
      <c r="B146" s="41">
        <f t="shared" si="108"/>
        <v>240</v>
      </c>
      <c r="C146" s="41">
        <f t="shared" si="109"/>
        <v>4</v>
      </c>
      <c r="D146" s="23">
        <f t="shared" ca="1" si="119"/>
        <v>16664.578262874267</v>
      </c>
      <c r="E146" s="41">
        <f t="shared" si="110"/>
        <v>876.85777569158745</v>
      </c>
      <c r="F146" s="7">
        <f t="shared" si="111"/>
        <v>876.85777569158745</v>
      </c>
      <c r="G146" s="41"/>
      <c r="H146" s="6">
        <v>3000</v>
      </c>
      <c r="I146" s="5">
        <v>0</v>
      </c>
      <c r="J146" s="41">
        <f t="shared" si="69"/>
        <v>0.3348723544113314</v>
      </c>
      <c r="K146" s="41">
        <f t="shared" si="70"/>
        <v>369.9921751859913</v>
      </c>
      <c r="L146" s="6">
        <f t="shared" si="112"/>
        <v>210</v>
      </c>
      <c r="M146" s="41">
        <f t="shared" si="71"/>
        <v>219.21444392289686</v>
      </c>
      <c r="N146" s="41">
        <f t="shared" si="72"/>
        <v>148.88197107728908</v>
      </c>
      <c r="O146" s="41">
        <f t="shared" si="73"/>
        <v>2188677.1200396465</v>
      </c>
      <c r="P146" s="41">
        <f t="shared" si="74"/>
        <v>14052845.059412729</v>
      </c>
      <c r="Q146" s="41">
        <f t="shared" si="75"/>
        <v>2.8166324291162615E-3</v>
      </c>
      <c r="R146" s="41">
        <f t="shared" si="76"/>
        <v>2.2195540979754777E-2</v>
      </c>
      <c r="S146" s="27">
        <v>0</v>
      </c>
      <c r="T146" s="41">
        <f t="shared" ca="1" si="77"/>
        <v>0.48665857642252697</v>
      </c>
      <c r="U146" s="41">
        <f t="shared" ca="1" si="78"/>
        <v>3.7153362734247249E-2</v>
      </c>
      <c r="V146" s="41">
        <f t="shared" ca="1" si="79"/>
        <v>13.098641431289193</v>
      </c>
      <c r="W146" s="20">
        <f t="shared" ca="1" si="80"/>
        <v>1272.2371514855727</v>
      </c>
      <c r="X146" s="41">
        <f t="shared" si="81"/>
        <v>0.59282030697473742</v>
      </c>
      <c r="Y146" s="41">
        <f t="shared" ca="1" si="82"/>
        <v>178.11278023252399</v>
      </c>
      <c r="Z146" s="14">
        <f t="shared" ca="1" si="83"/>
        <v>1272.2371514855727</v>
      </c>
      <c r="AA146" s="14">
        <f t="shared" si="84"/>
        <v>5628.3916222821908</v>
      </c>
      <c r="AB146" s="25">
        <f t="shared" ca="1" si="85"/>
        <v>470717.79103057657</v>
      </c>
      <c r="AC146" s="41">
        <f t="shared" si="86"/>
        <v>2082460.8591267981</v>
      </c>
      <c r="AD146" s="5">
        <f t="shared" ca="1" si="87"/>
        <v>22.603920211396165</v>
      </c>
      <c r="AE146" s="7">
        <f t="shared" ca="1" si="88"/>
        <v>1272.2371514855727</v>
      </c>
      <c r="AF146" s="41">
        <f t="shared" ca="1" si="89"/>
        <v>0</v>
      </c>
      <c r="AG146" s="41">
        <f t="shared" ca="1" si="90"/>
        <v>96.716703097545519</v>
      </c>
      <c r="AH146" s="41">
        <f t="shared" ca="1" si="91"/>
        <v>994.60930833356178</v>
      </c>
      <c r="AI146" s="13">
        <f t="shared" ca="1" si="92"/>
        <v>0</v>
      </c>
      <c r="AJ146" s="10">
        <f t="shared" ca="1" si="93"/>
        <v>0</v>
      </c>
      <c r="AK146" s="11">
        <f t="shared" ca="1" si="94"/>
        <v>0.34822376506105729</v>
      </c>
      <c r="AL146" s="6">
        <v>0</v>
      </c>
      <c r="AM146" s="6">
        <v>14400</v>
      </c>
      <c r="AN146" s="41">
        <f t="shared" ca="1" si="113"/>
        <v>3978.4372333342471</v>
      </c>
      <c r="AO146" s="41">
        <f t="shared" si="114"/>
        <v>876.85777569158745</v>
      </c>
      <c r="AP146" s="67">
        <f t="shared" si="95"/>
        <v>0.78177980195922681</v>
      </c>
      <c r="AQ146" s="11">
        <f t="shared" si="96"/>
        <v>0.97937395000000005</v>
      </c>
      <c r="AR146" s="11">
        <f t="shared" si="97"/>
        <v>0.8962407041850623</v>
      </c>
      <c r="AS146" s="11">
        <f t="shared" si="98"/>
        <v>0.91511593113647982</v>
      </c>
      <c r="AT146" s="11">
        <f t="shared" si="99"/>
        <v>507.97188664649997</v>
      </c>
      <c r="AU146" s="11">
        <f t="shared" si="100"/>
        <v>1896.6425030105124</v>
      </c>
      <c r="AV146" s="11">
        <f t="shared" si="101"/>
        <v>2.1751390567182989E-3</v>
      </c>
      <c r="AW146" s="11">
        <f t="shared" si="102"/>
        <v>3.6770358841811742E-7</v>
      </c>
      <c r="AX146" s="41">
        <f t="shared" ca="1" si="115"/>
        <v>1.3662460825893332</v>
      </c>
      <c r="AY146" s="41">
        <f t="shared" ca="1" si="116"/>
        <v>0.73372474805723453</v>
      </c>
      <c r="AZ146" s="41">
        <f t="shared" si="117"/>
        <v>0.24241979540834424</v>
      </c>
      <c r="BA146" s="41">
        <f t="shared" ca="1" si="105"/>
        <v>18.776474985913893</v>
      </c>
      <c r="BB146" s="41">
        <f t="shared" ca="1" si="106"/>
        <v>9.137732586878041</v>
      </c>
      <c r="BC146" s="41">
        <f t="shared" ca="1" si="118"/>
        <v>11.343423479496442</v>
      </c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</row>
    <row r="147" spans="1:67">
      <c r="A147" s="41">
        <f t="shared" si="107"/>
        <v>14400</v>
      </c>
      <c r="B147" s="41">
        <f t="shared" si="108"/>
        <v>240</v>
      </c>
      <c r="C147" s="41">
        <f t="shared" si="109"/>
        <v>4</v>
      </c>
      <c r="D147" s="23">
        <f t="shared" ca="1" si="119"/>
        <v>16664.578262874267</v>
      </c>
      <c r="E147" s="41">
        <f t="shared" si="110"/>
        <v>897.67636572550953</v>
      </c>
      <c r="F147" s="7">
        <f t="shared" si="111"/>
        <v>897.67636572550953</v>
      </c>
      <c r="G147" s="41"/>
      <c r="H147" s="6">
        <v>3000</v>
      </c>
      <c r="I147" s="5">
        <v>0</v>
      </c>
      <c r="J147" s="41">
        <f t="shared" si="69"/>
        <v>0.34282298272694983</v>
      </c>
      <c r="K147" s="41">
        <f t="shared" si="70"/>
        <v>378.77662760745841</v>
      </c>
      <c r="L147" s="6">
        <f t="shared" si="112"/>
        <v>215</v>
      </c>
      <c r="M147" s="41">
        <f t="shared" si="71"/>
        <v>224.41909143137738</v>
      </c>
      <c r="N147" s="41">
        <f t="shared" si="72"/>
        <v>156.03548566779918</v>
      </c>
      <c r="O147" s="41">
        <f t="shared" si="73"/>
        <v>2240641.2731120107</v>
      </c>
      <c r="P147" s="41">
        <f t="shared" si="74"/>
        <v>14386491.436524905</v>
      </c>
      <c r="Q147" s="41">
        <f t="shared" si="75"/>
        <v>2.8049063859312945E-3</v>
      </c>
      <c r="R147" s="41">
        <f t="shared" si="76"/>
        <v>2.2123953486110553E-2</v>
      </c>
      <c r="S147" s="27">
        <v>0</v>
      </c>
      <c r="T147" s="41">
        <f t="shared" ca="1" si="77"/>
        <v>0.46434750268096042</v>
      </c>
      <c r="U147" s="41">
        <f t="shared" ca="1" si="78"/>
        <v>3.5741717981816176E-2</v>
      </c>
      <c r="V147" s="41">
        <f t="shared" ca="1" si="79"/>
        <v>12.991751065721019</v>
      </c>
      <c r="W147" s="20">
        <f t="shared" ca="1" si="80"/>
        <v>1282.7045544956657</v>
      </c>
      <c r="X147" s="41">
        <f t="shared" si="81"/>
        <v>0.59186352032478662</v>
      </c>
      <c r="Y147" s="41">
        <f t="shared" ca="1" si="82"/>
        <v>178.11278023252399</v>
      </c>
      <c r="Z147" s="14">
        <f t="shared" ca="1" si="83"/>
        <v>1282.7045544956657</v>
      </c>
      <c r="AA147" s="14">
        <f t="shared" si="84"/>
        <v>5628.3916222821908</v>
      </c>
      <c r="AB147" s="25">
        <f t="shared" ca="1" si="85"/>
        <v>485858.50536859559</v>
      </c>
      <c r="AC147" s="41">
        <f t="shared" si="86"/>
        <v>2131903.1975421202</v>
      </c>
      <c r="AD147" s="5">
        <f t="shared" ca="1" si="87"/>
        <v>22.789895241432344</v>
      </c>
      <c r="AE147" s="7">
        <f t="shared" ca="1" si="88"/>
        <v>1282.7045544956659</v>
      </c>
      <c r="AF147" s="41">
        <f t="shared" ca="1" si="89"/>
        <v>0</v>
      </c>
      <c r="AG147" s="41">
        <f t="shared" ca="1" si="90"/>
        <v>98.77505846281278</v>
      </c>
      <c r="AH147" s="41">
        <f t="shared" ca="1" si="91"/>
        <v>1004.7321022109393</v>
      </c>
      <c r="AI147" s="13">
        <f t="shared" ca="1" si="92"/>
        <v>5.1680776214402555E-15</v>
      </c>
      <c r="AJ147" s="10">
        <f t="shared" ca="1" si="93"/>
        <v>7.8175107523108737E-16</v>
      </c>
      <c r="AK147" s="11">
        <f t="shared" ca="1" si="94"/>
        <v>0.35563477300664537</v>
      </c>
      <c r="AL147" s="6">
        <v>0</v>
      </c>
      <c r="AM147" s="6">
        <v>14400</v>
      </c>
      <c r="AN147" s="41">
        <f t="shared" ca="1" si="113"/>
        <v>4018.9284088437571</v>
      </c>
      <c r="AO147" s="41">
        <f t="shared" si="114"/>
        <v>897.67636572550953</v>
      </c>
      <c r="AP147" s="67">
        <f t="shared" si="95"/>
        <v>0.7832919113676805</v>
      </c>
      <c r="AQ147" s="11">
        <f t="shared" si="96"/>
        <v>0.97937395000000005</v>
      </c>
      <c r="AR147" s="11">
        <f t="shared" si="97"/>
        <v>0.8962407041850623</v>
      </c>
      <c r="AS147" s="11">
        <f t="shared" si="98"/>
        <v>0.91511593113647982</v>
      </c>
      <c r="AT147" s="11">
        <f t="shared" si="99"/>
        <v>507.97188664649997</v>
      </c>
      <c r="AU147" s="11">
        <f t="shared" si="100"/>
        <v>1896.6425030105124</v>
      </c>
      <c r="AV147" s="11">
        <f t="shared" si="101"/>
        <v>2.1751390567182989E-3</v>
      </c>
      <c r="AW147" s="11">
        <f t="shared" si="102"/>
        <v>3.6770358841811742E-7</v>
      </c>
      <c r="AX147" s="41">
        <f t="shared" ca="1" si="115"/>
        <v>1.4145575199024951</v>
      </c>
      <c r="AY147" s="41">
        <f t="shared" ca="1" si="116"/>
        <v>0.7596697792068956</v>
      </c>
      <c r="AZ147" s="41">
        <f t="shared" si="117"/>
        <v>0.24766975456068355</v>
      </c>
      <c r="BA147" s="41">
        <f t="shared" ca="1" si="105"/>
        <v>19.065409306681975</v>
      </c>
      <c r="BB147" s="41">
        <f t="shared" ca="1" si="106"/>
        <v>8.8529751991481191</v>
      </c>
      <c r="BC147" s="41">
        <f t="shared" ca="1" si="118"/>
        <v>11.250856422914403</v>
      </c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</row>
    <row r="148" spans="1:67">
      <c r="A148" s="41">
        <f t="shared" si="107"/>
        <v>14400</v>
      </c>
      <c r="B148" s="41">
        <f t="shared" si="108"/>
        <v>240</v>
      </c>
      <c r="C148" s="41">
        <f t="shared" si="109"/>
        <v>4</v>
      </c>
      <c r="D148" s="23">
        <f t="shared" ca="1" si="119"/>
        <v>16664.578262874267</v>
      </c>
      <c r="E148" s="41">
        <f t="shared" si="110"/>
        <v>918.49099179158713</v>
      </c>
      <c r="F148" s="7">
        <f t="shared" si="111"/>
        <v>918.49099179158713</v>
      </c>
      <c r="G148" s="41"/>
      <c r="H148" s="6">
        <v>3000</v>
      </c>
      <c r="I148" s="5">
        <v>0</v>
      </c>
      <c r="J148" s="41">
        <f t="shared" si="69"/>
        <v>0.35077209720157648</v>
      </c>
      <c r="K148" s="41">
        <f t="shared" si="70"/>
        <v>387.55940742348616</v>
      </c>
      <c r="L148" s="6">
        <f t="shared" si="112"/>
        <v>220</v>
      </c>
      <c r="M148" s="41">
        <f t="shared" si="71"/>
        <v>229.62274794789678</v>
      </c>
      <c r="N148" s="41">
        <f t="shared" si="72"/>
        <v>163.3554383512195</v>
      </c>
      <c r="O148" s="41">
        <f t="shared" si="73"/>
        <v>2292595.5319393035</v>
      </c>
      <c r="P148" s="41">
        <f t="shared" si="74"/>
        <v>14720074.285631193</v>
      </c>
      <c r="Q148" s="41">
        <f t="shared" si="75"/>
        <v>2.7934494154118598E-3</v>
      </c>
      <c r="R148" s="41">
        <f t="shared" si="76"/>
        <v>2.2054008681089407E-2</v>
      </c>
      <c r="S148" s="27">
        <v>0</v>
      </c>
      <c r="T148" s="41">
        <f t="shared" ca="1" si="77"/>
        <v>0.44354010390320403</v>
      </c>
      <c r="U148" s="41">
        <f t="shared" ca="1" si="78"/>
        <v>3.4478693441716703E-2</v>
      </c>
      <c r="V148" s="41">
        <f t="shared" ca="1" si="79"/>
        <v>12.864179573769837</v>
      </c>
      <c r="W148" s="20">
        <f t="shared" ca="1" si="80"/>
        <v>1295.4248786182582</v>
      </c>
      <c r="X148" s="41">
        <f t="shared" si="81"/>
        <v>0.59092719241863345</v>
      </c>
      <c r="Y148" s="41">
        <f t="shared" ca="1" si="82"/>
        <v>178.11278023252399</v>
      </c>
      <c r="Z148" s="14">
        <f t="shared" ca="1" si="83"/>
        <v>1295.4248786182582</v>
      </c>
      <c r="AA148" s="14">
        <f t="shared" si="84"/>
        <v>5628.3916222821908</v>
      </c>
      <c r="AB148" s="25">
        <f t="shared" ca="1" si="85"/>
        <v>502054.09831893363</v>
      </c>
      <c r="AC148" s="41">
        <f t="shared" si="86"/>
        <v>2181336.1218789998</v>
      </c>
      <c r="AD148" s="5">
        <f t="shared" ca="1" si="87"/>
        <v>23.015898067394811</v>
      </c>
      <c r="AE148" s="7">
        <f t="shared" ca="1" si="88"/>
        <v>1295.4248786182582</v>
      </c>
      <c r="AF148" s="41">
        <f t="shared" ca="1" si="89"/>
        <v>0</v>
      </c>
      <c r="AG148" s="41">
        <f t="shared" ca="1" si="90"/>
        <v>100.76954826400915</v>
      </c>
      <c r="AH148" s="41">
        <f t="shared" ca="1" si="91"/>
        <v>1016.640514284323</v>
      </c>
      <c r="AI148" s="13">
        <f t="shared" ca="1" si="92"/>
        <v>0</v>
      </c>
      <c r="AJ148" s="10">
        <f t="shared" ca="1" si="93"/>
        <v>0</v>
      </c>
      <c r="AK148" s="11">
        <f t="shared" ca="1" si="94"/>
        <v>0.3628158361085172</v>
      </c>
      <c r="AL148" s="6">
        <v>0</v>
      </c>
      <c r="AM148" s="6">
        <v>14400</v>
      </c>
      <c r="AN148" s="41">
        <f t="shared" ca="1" si="113"/>
        <v>4066.562057137292</v>
      </c>
      <c r="AO148" s="41">
        <f t="shared" si="114"/>
        <v>918.49099179158713</v>
      </c>
      <c r="AP148" s="67">
        <f t="shared" si="95"/>
        <v>0.78479310615734388</v>
      </c>
      <c r="AQ148" s="11">
        <f t="shared" si="96"/>
        <v>0.97937395000000005</v>
      </c>
      <c r="AR148" s="11">
        <f t="shared" si="97"/>
        <v>0.8962407041850623</v>
      </c>
      <c r="AS148" s="11">
        <f t="shared" si="98"/>
        <v>0.91511593113647982</v>
      </c>
      <c r="AT148" s="11">
        <f t="shared" si="99"/>
        <v>507.97188664649997</v>
      </c>
      <c r="AU148" s="11">
        <f t="shared" si="100"/>
        <v>1896.6425030105124</v>
      </c>
      <c r="AV148" s="11">
        <f t="shared" si="101"/>
        <v>2.1751390567182989E-3</v>
      </c>
      <c r="AW148" s="11">
        <f t="shared" si="102"/>
        <v>3.6770358841811742E-7</v>
      </c>
      <c r="AX148" s="41">
        <f t="shared" ca="1" si="115"/>
        <v>1.4648841140057201</v>
      </c>
      <c r="AY148" s="41">
        <f t="shared" ca="1" si="116"/>
        <v>0.78669702418825715</v>
      </c>
      <c r="AZ148" s="41">
        <f t="shared" si="117"/>
        <v>0.25288800159672892</v>
      </c>
      <c r="BA148" s="41">
        <f t="shared" ca="1" si="105"/>
        <v>19.315931069495669</v>
      </c>
      <c r="BB148" s="41">
        <f t="shared" ca="1" si="106"/>
        <v>8.5673900735512358</v>
      </c>
      <c r="BC148" s="41">
        <f t="shared" ca="1" si="118"/>
        <v>11.140379510884678</v>
      </c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</row>
    <row r="149" spans="1:67">
      <c r="A149" s="41">
        <f t="shared" si="107"/>
        <v>14400</v>
      </c>
      <c r="B149" s="41">
        <f t="shared" si="108"/>
        <v>240</v>
      </c>
      <c r="C149" s="41">
        <f t="shared" si="109"/>
        <v>4</v>
      </c>
      <c r="D149" s="23">
        <f t="shared" ca="1" si="119"/>
        <v>16664.578262874267</v>
      </c>
      <c r="E149" s="41">
        <f t="shared" si="110"/>
        <v>939.3015838440316</v>
      </c>
      <c r="F149" s="7">
        <f t="shared" si="111"/>
        <v>939.3015838440316</v>
      </c>
      <c r="G149" s="41"/>
      <c r="H149" s="6">
        <v>3000</v>
      </c>
      <c r="I149" s="5">
        <v>0</v>
      </c>
      <c r="J149" s="41">
        <f t="shared" si="69"/>
        <v>0.35871967108469494</v>
      </c>
      <c r="K149" s="41">
        <f t="shared" si="70"/>
        <v>396.34048507809138</v>
      </c>
      <c r="L149" s="6">
        <f t="shared" si="112"/>
        <v>225</v>
      </c>
      <c r="M149" s="41">
        <f t="shared" si="71"/>
        <v>234.8253959610079</v>
      </c>
      <c r="N149" s="41">
        <f t="shared" si="72"/>
        <v>170.84170778826814</v>
      </c>
      <c r="O149" s="41">
        <f t="shared" si="73"/>
        <v>2344539.7216840317</v>
      </c>
      <c r="P149" s="41">
        <f t="shared" si="74"/>
        <v>15053592.484152032</v>
      </c>
      <c r="Q149" s="41">
        <f t="shared" si="75"/>
        <v>2.7822471219661614E-3</v>
      </c>
      <c r="R149" s="41">
        <f t="shared" si="76"/>
        <v>2.1985618679603417E-2</v>
      </c>
      <c r="S149" s="27">
        <v>0</v>
      </c>
      <c r="T149" s="41">
        <f t="shared" ca="1" si="77"/>
        <v>0.42410421341169052</v>
      </c>
      <c r="U149" s="41">
        <f t="shared" ca="1" si="78"/>
        <v>3.3345263827733285E-2</v>
      </c>
      <c r="V149" s="41">
        <f t="shared" ca="1" si="79"/>
        <v>12.718574235989781</v>
      </c>
      <c r="W149" s="20">
        <f t="shared" ca="1" si="80"/>
        <v>1310.255218365473</v>
      </c>
      <c r="X149" s="41">
        <f t="shared" si="81"/>
        <v>0.59001024140897917</v>
      </c>
      <c r="Y149" s="41">
        <f t="shared" ca="1" si="82"/>
        <v>178.11278023252399</v>
      </c>
      <c r="Z149" s="14">
        <f t="shared" ca="1" si="83"/>
        <v>1310.255218365473</v>
      </c>
      <c r="AA149" s="14">
        <f t="shared" si="84"/>
        <v>5628.3916222821908</v>
      </c>
      <c r="AB149" s="25">
        <f t="shared" ca="1" si="85"/>
        <v>519307.18882307207</v>
      </c>
      <c r="AC149" s="41">
        <f t="shared" si="86"/>
        <v>2230759.4657847891</v>
      </c>
      <c r="AD149" s="5">
        <f t="shared" ca="1" si="87"/>
        <v>23.27938967818648</v>
      </c>
      <c r="AE149" s="7">
        <f t="shared" ca="1" si="88"/>
        <v>1310.255218365473</v>
      </c>
      <c r="AF149" s="41">
        <f t="shared" ca="1" si="89"/>
        <v>0</v>
      </c>
      <c r="AG149" s="41">
        <f t="shared" ca="1" si="90"/>
        <v>102.70000536254373</v>
      </c>
      <c r="AH149" s="41">
        <f t="shared" ca="1" si="91"/>
        <v>1030.2319525137586</v>
      </c>
      <c r="AI149" s="13">
        <f t="shared" ca="1" si="92"/>
        <v>0</v>
      </c>
      <c r="AJ149" s="10">
        <f t="shared" ca="1" si="93"/>
        <v>0</v>
      </c>
      <c r="AK149" s="11">
        <f t="shared" ca="1" si="94"/>
        <v>0.36976635259234075</v>
      </c>
      <c r="AL149" s="6">
        <v>0</v>
      </c>
      <c r="AM149" s="6">
        <v>14400</v>
      </c>
      <c r="AN149" s="41">
        <f t="shared" ca="1" si="113"/>
        <v>4120.9278100550346</v>
      </c>
      <c r="AO149" s="41">
        <f t="shared" si="114"/>
        <v>939.3015838440316</v>
      </c>
      <c r="AP149" s="67">
        <f t="shared" si="95"/>
        <v>0.78628341873651164</v>
      </c>
      <c r="AQ149" s="11">
        <f t="shared" si="96"/>
        <v>0.97937395000000005</v>
      </c>
      <c r="AR149" s="11">
        <f t="shared" si="97"/>
        <v>0.8962407041850623</v>
      </c>
      <c r="AS149" s="11">
        <f t="shared" si="98"/>
        <v>0.91511593113647982</v>
      </c>
      <c r="AT149" s="11">
        <f t="shared" si="99"/>
        <v>507.97188664649997</v>
      </c>
      <c r="AU149" s="11">
        <f t="shared" si="100"/>
        <v>1896.6425030105124</v>
      </c>
      <c r="AV149" s="11">
        <f t="shared" si="101"/>
        <v>2.1751390567182989E-3</v>
      </c>
      <c r="AW149" s="11">
        <f t="shared" si="102"/>
        <v>3.6770358841811742E-7</v>
      </c>
      <c r="AX149" s="41">
        <f t="shared" ca="1" si="115"/>
        <v>1.517151078204825</v>
      </c>
      <c r="AY149" s="41">
        <f t="shared" ca="1" si="116"/>
        <v>0.81476631977666536</v>
      </c>
      <c r="AZ149" s="41">
        <f t="shared" si="117"/>
        <v>0.25807453665605712</v>
      </c>
      <c r="BA149" s="41">
        <f t="shared" ca="1" si="105"/>
        <v>19.529995160009971</v>
      </c>
      <c r="BB149" s="41">
        <f t="shared" ca="1" si="106"/>
        <v>8.2827532352701532</v>
      </c>
      <c r="BC149" s="41">
        <f t="shared" ca="1" si="118"/>
        <v>11.01428528836715</v>
      </c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</row>
    <row r="150" spans="1:67">
      <c r="A150" s="41">
        <f t="shared" si="107"/>
        <v>14400</v>
      </c>
      <c r="B150" s="41">
        <f t="shared" si="108"/>
        <v>240</v>
      </c>
      <c r="C150" s="41">
        <f t="shared" si="109"/>
        <v>4</v>
      </c>
      <c r="D150" s="23">
        <f t="shared" ca="1" si="119"/>
        <v>16664.578262874267</v>
      </c>
      <c r="E150" s="41">
        <f t="shared" si="110"/>
        <v>960.10807320907747</v>
      </c>
      <c r="F150" s="7">
        <f t="shared" si="111"/>
        <v>960.10807320907747</v>
      </c>
      <c r="G150" s="41"/>
      <c r="H150" s="6">
        <v>3000</v>
      </c>
      <c r="I150" s="5">
        <v>0</v>
      </c>
      <c r="J150" s="41">
        <f t="shared" si="69"/>
        <v>0.36666567814976525</v>
      </c>
      <c r="K150" s="41">
        <f t="shared" si="70"/>
        <v>405.11983159421919</v>
      </c>
      <c r="L150" s="6">
        <f t="shared" si="112"/>
        <v>230</v>
      </c>
      <c r="M150" s="41">
        <f t="shared" si="71"/>
        <v>240.02701830226937</v>
      </c>
      <c r="N150" s="41">
        <f t="shared" si="72"/>
        <v>178.49417091041488</v>
      </c>
      <c r="O150" s="41">
        <f t="shared" si="73"/>
        <v>2396473.6709333346</v>
      </c>
      <c r="P150" s="41">
        <f t="shared" si="74"/>
        <v>15387044.931496408</v>
      </c>
      <c r="Q150" s="41">
        <f t="shared" si="75"/>
        <v>2.7712861441500612E-3</v>
      </c>
      <c r="R150" s="41">
        <f t="shared" si="76"/>
        <v>2.1918701910036122E-2</v>
      </c>
      <c r="S150" s="27">
        <v>0</v>
      </c>
      <c r="T150" s="41">
        <f t="shared" ca="1" si="77"/>
        <v>0.40592187257374301</v>
      </c>
      <c r="U150" s="41">
        <f t="shared" ca="1" si="78"/>
        <v>3.2325197332934472E-2</v>
      </c>
      <c r="V150" s="41">
        <f t="shared" ca="1" si="79"/>
        <v>12.55744453445827</v>
      </c>
      <c r="W150" s="20">
        <f t="shared" ca="1" si="80"/>
        <v>1327.0676384152694</v>
      </c>
      <c r="X150" s="41">
        <f t="shared" si="81"/>
        <v>0.58911166157176176</v>
      </c>
      <c r="Y150" s="41">
        <f t="shared" ca="1" si="82"/>
        <v>178.11278023252399</v>
      </c>
      <c r="Z150" s="14">
        <f t="shared" ca="1" si="83"/>
        <v>1327.0676384152694</v>
      </c>
      <c r="AA150" s="14">
        <f t="shared" si="84"/>
        <v>5628.3916222821908</v>
      </c>
      <c r="AB150" s="25">
        <f t="shared" ca="1" si="85"/>
        <v>537621.41818893212</v>
      </c>
      <c r="AC150" s="41">
        <f t="shared" si="86"/>
        <v>2280173.0661652754</v>
      </c>
      <c r="AD150" s="5">
        <f t="shared" ca="1" si="87"/>
        <v>23.578097038620282</v>
      </c>
      <c r="AE150" s="7">
        <f t="shared" ca="1" si="88"/>
        <v>1327.0676384152694</v>
      </c>
      <c r="AF150" s="41">
        <f t="shared" ca="1" si="89"/>
        <v>0</v>
      </c>
      <c r="AG150" s="41">
        <f t="shared" ca="1" si="90"/>
        <v>104.56620146568247</v>
      </c>
      <c r="AH150" s="41">
        <f t="shared" ca="1" si="91"/>
        <v>1045.4146268250347</v>
      </c>
      <c r="AI150" s="13">
        <f t="shared" ca="1" si="92"/>
        <v>0</v>
      </c>
      <c r="AJ150" s="10">
        <f t="shared" ca="1" si="93"/>
        <v>0</v>
      </c>
      <c r="AK150" s="11">
        <f t="shared" ca="1" si="94"/>
        <v>0.37648550050127871</v>
      </c>
      <c r="AL150" s="6">
        <v>0</v>
      </c>
      <c r="AM150" s="6">
        <v>14400</v>
      </c>
      <c r="AN150" s="41">
        <f t="shared" ca="1" si="113"/>
        <v>4181.6585073001388</v>
      </c>
      <c r="AO150" s="41">
        <f t="shared" si="114"/>
        <v>960.10807320907747</v>
      </c>
      <c r="AP150" s="67">
        <f t="shared" si="95"/>
        <v>0.78776288153136398</v>
      </c>
      <c r="AQ150" s="11">
        <f t="shared" si="96"/>
        <v>0.97937395000000005</v>
      </c>
      <c r="AR150" s="11">
        <f t="shared" si="97"/>
        <v>0.8962407041850623</v>
      </c>
      <c r="AS150" s="11">
        <f t="shared" si="98"/>
        <v>0.91511593113647982</v>
      </c>
      <c r="AT150" s="11">
        <f t="shared" si="99"/>
        <v>507.97188664649997</v>
      </c>
      <c r="AU150" s="11">
        <f t="shared" si="100"/>
        <v>1896.6425030105124</v>
      </c>
      <c r="AV150" s="11">
        <f t="shared" si="101"/>
        <v>2.1751390567182989E-3</v>
      </c>
      <c r="AW150" s="11">
        <f t="shared" si="102"/>
        <v>3.6770358841811742E-7</v>
      </c>
      <c r="AX150" s="41">
        <f t="shared" ca="1" si="115"/>
        <v>1.5712938156796386</v>
      </c>
      <c r="AY150" s="41">
        <f t="shared" ca="1" si="116"/>
        <v>0.8438429750872134</v>
      </c>
      <c r="AZ150" s="41">
        <f t="shared" si="117"/>
        <v>0.26322936062703073</v>
      </c>
      <c r="BA150" s="41">
        <f t="shared" ca="1" si="105"/>
        <v>19.70970126830527</v>
      </c>
      <c r="BB150" s="41">
        <f t="shared" ca="1" si="106"/>
        <v>8.0005988466995532</v>
      </c>
      <c r="BC150" s="41">
        <f t="shared" ca="1" si="118"/>
        <v>10.874746966840862</v>
      </c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</row>
    <row r="151" spans="1:67">
      <c r="A151" s="41">
        <f t="shared" si="107"/>
        <v>14400</v>
      </c>
      <c r="B151" s="41">
        <f t="shared" si="108"/>
        <v>240</v>
      </c>
      <c r="C151" s="41">
        <f t="shared" si="109"/>
        <v>4</v>
      </c>
      <c r="D151" s="23">
        <f t="shared" ca="1" si="119"/>
        <v>16664.578262874267</v>
      </c>
      <c r="E151" s="41">
        <f t="shared" si="110"/>
        <v>980.91039259994523</v>
      </c>
      <c r="F151" s="7">
        <f t="shared" si="111"/>
        <v>980.91039259994523</v>
      </c>
      <c r="G151" s="41"/>
      <c r="H151" s="6">
        <v>3000</v>
      </c>
      <c r="I151" s="5">
        <v>0</v>
      </c>
      <c r="J151" s="41">
        <f t="shared" si="69"/>
        <v>0.37461009269993806</v>
      </c>
      <c r="K151" s="41">
        <f t="shared" si="70"/>
        <v>413.89741858005669</v>
      </c>
      <c r="L151" s="6">
        <f t="shared" si="112"/>
        <v>235</v>
      </c>
      <c r="M151" s="41">
        <f t="shared" si="71"/>
        <v>245.22759814998631</v>
      </c>
      <c r="N151" s="41">
        <f t="shared" si="72"/>
        <v>186.31270298193499</v>
      </c>
      <c r="O151" s="41">
        <f t="shared" si="73"/>
        <v>2448397.2117363345</v>
      </c>
      <c r="P151" s="41">
        <f t="shared" si="74"/>
        <v>15720430.549301665</v>
      </c>
      <c r="Q151" s="41">
        <f t="shared" si="75"/>
        <v>2.7605540606362865E-3</v>
      </c>
      <c r="R151" s="41">
        <f t="shared" si="76"/>
        <v>2.1853182540184528E-2</v>
      </c>
      <c r="S151" s="27">
        <v>0</v>
      </c>
      <c r="T151" s="41">
        <f t="shared" ca="1" si="77"/>
        <v>0.38888753659742997</v>
      </c>
      <c r="U151" s="41">
        <f t="shared" ca="1" si="78"/>
        <v>3.1404595894071803E-2</v>
      </c>
      <c r="V151" s="41">
        <f t="shared" ca="1" si="79"/>
        <v>12.383140923358917</v>
      </c>
      <c r="W151" s="20">
        <f t="shared" ca="1" si="80"/>
        <v>1345.7472838283759</v>
      </c>
      <c r="X151" s="41">
        <f t="shared" si="81"/>
        <v>0.58823051649675084</v>
      </c>
      <c r="Y151" s="41">
        <f t="shared" ca="1" si="82"/>
        <v>178.11278023252402</v>
      </c>
      <c r="Z151" s="14">
        <f t="shared" ca="1" si="83"/>
        <v>1345.7472838283759</v>
      </c>
      <c r="AA151" s="14">
        <f t="shared" si="84"/>
        <v>5628.3916222821908</v>
      </c>
      <c r="AB151" s="25">
        <f t="shared" ca="1" si="85"/>
        <v>557001.32683768764</v>
      </c>
      <c r="AC151" s="41">
        <f t="shared" si="86"/>
        <v>2329576.7632202161</v>
      </c>
      <c r="AD151" s="5">
        <f t="shared" ca="1" si="87"/>
        <v>23.909979513520501</v>
      </c>
      <c r="AE151" s="7">
        <f t="shared" ca="1" si="88"/>
        <v>1345.7472838283761</v>
      </c>
      <c r="AF151" s="41">
        <f t="shared" ca="1" si="89"/>
        <v>0</v>
      </c>
      <c r="AG151" s="41">
        <f t="shared" ca="1" si="90"/>
        <v>106.36785452479845</v>
      </c>
      <c r="AH151" s="41">
        <f t="shared" ca="1" si="91"/>
        <v>1062.1061837488453</v>
      </c>
      <c r="AI151" s="13">
        <f t="shared" ca="1" si="92"/>
        <v>5.647270265979213E-15</v>
      </c>
      <c r="AJ151" s="10">
        <f t="shared" ca="1" si="93"/>
        <v>7.8175107523108737E-16</v>
      </c>
      <c r="AK151" s="11">
        <f t="shared" ca="1" si="94"/>
        <v>0.38297226433302745</v>
      </c>
      <c r="AL151" s="6">
        <v>0</v>
      </c>
      <c r="AM151" s="6">
        <v>14400</v>
      </c>
      <c r="AN151" s="41">
        <f t="shared" ca="1" si="113"/>
        <v>4248.4247349953812</v>
      </c>
      <c r="AO151" s="41">
        <f t="shared" si="114"/>
        <v>980.91039259994523</v>
      </c>
      <c r="AP151" s="67">
        <f t="shared" si="95"/>
        <v>0.78923152698281518</v>
      </c>
      <c r="AQ151" s="11">
        <f t="shared" si="96"/>
        <v>0.97937395000000005</v>
      </c>
      <c r="AR151" s="11">
        <f t="shared" si="97"/>
        <v>0.8962407041850623</v>
      </c>
      <c r="AS151" s="11">
        <f t="shared" si="98"/>
        <v>0.91511593113647982</v>
      </c>
      <c r="AT151" s="11">
        <f t="shared" si="99"/>
        <v>507.97188664649997</v>
      </c>
      <c r="AU151" s="11">
        <f t="shared" si="100"/>
        <v>1896.6425030105124</v>
      </c>
      <c r="AV151" s="11">
        <f t="shared" si="101"/>
        <v>2.1751390567182989E-3</v>
      </c>
      <c r="AW151" s="11">
        <f t="shared" si="102"/>
        <v>3.6770358841811742E-7</v>
      </c>
      <c r="AX151" s="41">
        <f t="shared" ca="1" si="115"/>
        <v>1.6272562097295578</v>
      </c>
      <c r="AY151" s="41">
        <f t="shared" ca="1" si="116"/>
        <v>0.87389685337328116</v>
      </c>
      <c r="AZ151" s="41">
        <f t="shared" si="117"/>
        <v>0.26835247514015342</v>
      </c>
      <c r="BA151" s="41">
        <f t="shared" ca="1" si="105"/>
        <v>19.857236256742105</v>
      </c>
      <c r="BB151" s="41">
        <f t="shared" ca="1" si="106"/>
        <v>7.7222316915176075</v>
      </c>
      <c r="BC151" s="41">
        <f t="shared" ca="1" si="118"/>
        <v>10.723800039628822</v>
      </c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</row>
    <row r="152" spans="1:67">
      <c r="A152" s="41">
        <f t="shared" si="107"/>
        <v>14400</v>
      </c>
      <c r="B152" s="41">
        <f t="shared" si="108"/>
        <v>240</v>
      </c>
      <c r="C152" s="41">
        <f t="shared" si="109"/>
        <v>4</v>
      </c>
      <c r="D152" s="23">
        <f t="shared" ca="1" si="119"/>
        <v>16664.578262874267</v>
      </c>
      <c r="E152" s="41">
        <f t="shared" si="110"/>
        <v>1001.7084761308936</v>
      </c>
      <c r="F152" s="7">
        <f t="shared" si="111"/>
        <v>1001.7084761308936</v>
      </c>
      <c r="G152" s="41"/>
      <c r="H152" s="6">
        <v>3000</v>
      </c>
      <c r="I152" s="5">
        <v>0</v>
      </c>
      <c r="J152" s="41">
        <f t="shared" si="69"/>
        <v>0.38255288957342087</v>
      </c>
      <c r="K152" s="41">
        <f t="shared" si="70"/>
        <v>422.67321823496229</v>
      </c>
      <c r="L152" s="6">
        <f t="shared" si="112"/>
        <v>240</v>
      </c>
      <c r="M152" s="41">
        <f t="shared" si="71"/>
        <v>250.4271190327234</v>
      </c>
      <c r="N152" s="41">
        <f t="shared" si="72"/>
        <v>194.29717766231772</v>
      </c>
      <c r="O152" s="41">
        <f t="shared" si="73"/>
        <v>2500310.1796392049</v>
      </c>
      <c r="P152" s="41">
        <f t="shared" si="74"/>
        <v>16053748.281658685</v>
      </c>
      <c r="Q152" s="41">
        <f t="shared" si="75"/>
        <v>2.7500393065363741E-3</v>
      </c>
      <c r="R152" s="41">
        <f t="shared" si="76"/>
        <v>2.1788989966404562E-2</v>
      </c>
      <c r="S152" s="27">
        <v>0</v>
      </c>
      <c r="T152" s="41">
        <f t="shared" ca="1" si="77"/>
        <v>0.37290653920551159</v>
      </c>
      <c r="U152" s="41">
        <f t="shared" ca="1" si="78"/>
        <v>3.0571518897379416E-2</v>
      </c>
      <c r="V152" s="41">
        <f t="shared" ca="1" si="79"/>
        <v>12.197841411061754</v>
      </c>
      <c r="W152" s="20">
        <f t="shared" ca="1" si="80"/>
        <v>1366.1907628805375</v>
      </c>
      <c r="X152" s="41">
        <f t="shared" si="81"/>
        <v>0.58736593301816142</v>
      </c>
      <c r="Y152" s="41">
        <f t="shared" ca="1" si="82"/>
        <v>178.11278023252399</v>
      </c>
      <c r="Z152" s="14">
        <f t="shared" ca="1" si="83"/>
        <v>1366.1907628805375</v>
      </c>
      <c r="AA152" s="14">
        <f t="shared" si="84"/>
        <v>5628.3916222821908</v>
      </c>
      <c r="AB152" s="25">
        <f t="shared" ca="1" si="85"/>
        <v>577452.246469595</v>
      </c>
      <c r="AC152" s="41">
        <f t="shared" si="86"/>
        <v>2378970.4004767141</v>
      </c>
      <c r="AD152" s="5">
        <f t="shared" ca="1" si="87"/>
        <v>24.273200135398127</v>
      </c>
      <c r="AE152" s="7">
        <f t="shared" ca="1" si="88"/>
        <v>1366.1907628805375</v>
      </c>
      <c r="AF152" s="41">
        <f t="shared" ca="1" si="89"/>
        <v>0</v>
      </c>
      <c r="AG152" s="41">
        <f t="shared" ca="1" si="90"/>
        <v>108.10463520823583</v>
      </c>
      <c r="AH152" s="41">
        <f t="shared" ca="1" si="91"/>
        <v>1080.2325375693238</v>
      </c>
      <c r="AI152" s="13">
        <f t="shared" ca="1" si="92"/>
        <v>0</v>
      </c>
      <c r="AJ152" s="10">
        <f t="shared" ca="1" si="93"/>
        <v>0</v>
      </c>
      <c r="AK152" s="11">
        <f t="shared" ca="1" si="94"/>
        <v>0.3892254583450474</v>
      </c>
      <c r="AL152" s="6">
        <v>0</v>
      </c>
      <c r="AM152" s="6">
        <v>14400</v>
      </c>
      <c r="AN152" s="41">
        <f t="shared" ca="1" si="113"/>
        <v>4320.9301502772951</v>
      </c>
      <c r="AO152" s="41">
        <f t="shared" si="114"/>
        <v>1001.7084761308936</v>
      </c>
      <c r="AP152" s="67">
        <f t="shared" si="95"/>
        <v>0.79068938754329843</v>
      </c>
      <c r="AQ152" s="11">
        <f t="shared" si="96"/>
        <v>0.97937395000000005</v>
      </c>
      <c r="AR152" s="11">
        <f t="shared" si="97"/>
        <v>0.8962407041850623</v>
      </c>
      <c r="AS152" s="11">
        <f t="shared" si="98"/>
        <v>0.91511593113647982</v>
      </c>
      <c r="AT152" s="11">
        <f t="shared" si="99"/>
        <v>507.97188664649997</v>
      </c>
      <c r="AU152" s="11">
        <f t="shared" si="100"/>
        <v>1896.6425030105124</v>
      </c>
      <c r="AV152" s="11">
        <f t="shared" si="101"/>
        <v>2.1751390567182989E-3</v>
      </c>
      <c r="AW152" s="11">
        <f t="shared" si="102"/>
        <v>3.6770358841811742E-7</v>
      </c>
      <c r="AX152" s="41">
        <f t="shared" ca="1" si="115"/>
        <v>1.6849892467692584</v>
      </c>
      <c r="AY152" s="41">
        <f t="shared" ca="1" si="116"/>
        <v>0.9049016325242315</v>
      </c>
      <c r="AZ152" s="41">
        <f t="shared" si="117"/>
        <v>0.27344388256107555</v>
      </c>
      <c r="BA152" s="41">
        <f t="shared" ca="1" si="105"/>
        <v>19.974824996727556</v>
      </c>
      <c r="BB152" s="41">
        <f t="shared" ca="1" si="106"/>
        <v>7.4487428607654182</v>
      </c>
      <c r="BC152" s="41">
        <f t="shared" ca="1" si="118"/>
        <v>10.563330661979478</v>
      </c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</row>
    <row r="153" spans="1:67">
      <c r="A153" s="41">
        <f t="shared" si="107"/>
        <v>14400</v>
      </c>
      <c r="B153" s="41">
        <f t="shared" si="108"/>
        <v>240</v>
      </c>
      <c r="C153" s="41">
        <f t="shared" si="109"/>
        <v>4</v>
      </c>
      <c r="D153" s="23">
        <f t="shared" ca="1" si="119"/>
        <v>16664.578262874267</v>
      </c>
      <c r="E153" s="41">
        <f t="shared" si="110"/>
        <v>1022.5022593303978</v>
      </c>
      <c r="F153" s="7">
        <f t="shared" si="111"/>
        <v>1022.5022593303978</v>
      </c>
      <c r="G153" s="41"/>
      <c r="H153" s="6">
        <v>3000</v>
      </c>
      <c r="I153" s="5">
        <v>0</v>
      </c>
      <c r="J153" s="41">
        <f t="shared" si="69"/>
        <v>0.39049404414851119</v>
      </c>
      <c r="K153" s="41">
        <f t="shared" si="70"/>
        <v>431.44720335502637</v>
      </c>
      <c r="L153" s="6">
        <f t="shared" si="112"/>
        <v>245</v>
      </c>
      <c r="M153" s="41">
        <f t="shared" si="71"/>
        <v>255.62556483259945</v>
      </c>
      <c r="N153" s="41">
        <f t="shared" si="72"/>
        <v>202.44746706899184</v>
      </c>
      <c r="O153" s="41">
        <f t="shared" si="73"/>
        <v>2552212.4137180727</v>
      </c>
      <c r="P153" s="41">
        <f t="shared" si="74"/>
        <v>16386997.095323116</v>
      </c>
      <c r="Q153" s="41">
        <f t="shared" si="75"/>
        <v>2.7397310987451059E-3</v>
      </c>
      <c r="R153" s="41">
        <f t="shared" si="76"/>
        <v>2.1726058357838873E-2</v>
      </c>
      <c r="S153" s="27">
        <v>0</v>
      </c>
      <c r="T153" s="41">
        <f t="shared" ca="1" si="77"/>
        <v>0.35789377436251935</v>
      </c>
      <c r="U153" s="41">
        <f t="shared" ca="1" si="78"/>
        <v>2.9815673828572847E-2</v>
      </c>
      <c r="V153" s="41">
        <f t="shared" ca="1" si="79"/>
        <v>12.003544726852489</v>
      </c>
      <c r="W153" s="20">
        <f t="shared" ca="1" si="80"/>
        <v>1388.3047584764547</v>
      </c>
      <c r="X153" s="41">
        <f t="shared" si="81"/>
        <v>0.58651709579123656</v>
      </c>
      <c r="Y153" s="41">
        <f t="shared" ca="1" si="82"/>
        <v>178.11278023252399</v>
      </c>
      <c r="Z153" s="14">
        <f t="shared" ca="1" si="83"/>
        <v>1388.3047584764547</v>
      </c>
      <c r="AA153" s="14">
        <f t="shared" si="84"/>
        <v>5628.3916222821908</v>
      </c>
      <c r="AB153" s="25">
        <f t="shared" ca="1" si="85"/>
        <v>598980.20544914168</v>
      </c>
      <c r="AC153" s="41">
        <f t="shared" si="86"/>
        <v>2428353.824820511</v>
      </c>
      <c r="AD153" s="5">
        <f t="shared" ca="1" si="87"/>
        <v>24.666100933352027</v>
      </c>
      <c r="AE153" s="7">
        <f t="shared" ca="1" si="88"/>
        <v>1388.3047584764549</v>
      </c>
      <c r="AF153" s="41">
        <f t="shared" ca="1" si="89"/>
        <v>0</v>
      </c>
      <c r="AG153" s="41">
        <f t="shared" ca="1" si="90"/>
        <v>109.77617258079013</v>
      </c>
      <c r="AH153" s="41">
        <f t="shared" ca="1" si="91"/>
        <v>1099.7268663063726</v>
      </c>
      <c r="AI153" s="13">
        <f t="shared" ca="1" si="92"/>
        <v>5.8867218143218644E-15</v>
      </c>
      <c r="AJ153" s="10">
        <f t="shared" ca="1" si="93"/>
        <v>7.8175107523108737E-16</v>
      </c>
      <c r="AK153" s="11">
        <f t="shared" ca="1" si="94"/>
        <v>0.39524374700325432</v>
      </c>
      <c r="AL153" s="6">
        <v>0</v>
      </c>
      <c r="AM153" s="6">
        <v>14400</v>
      </c>
      <c r="AN153" s="41">
        <f t="shared" ca="1" si="113"/>
        <v>4398.9074652254903</v>
      </c>
      <c r="AO153" s="41">
        <f t="shared" si="114"/>
        <v>1022.5022593303978</v>
      </c>
      <c r="AP153" s="67">
        <f t="shared" si="95"/>
        <v>0.79213649567349198</v>
      </c>
      <c r="AQ153" s="11">
        <f t="shared" si="96"/>
        <v>0.97937395000000005</v>
      </c>
      <c r="AR153" s="11">
        <f t="shared" si="97"/>
        <v>0.8962407041850623</v>
      </c>
      <c r="AS153" s="11">
        <f t="shared" si="98"/>
        <v>0.91511593113647982</v>
      </c>
      <c r="AT153" s="11">
        <f t="shared" si="99"/>
        <v>507.97188664649997</v>
      </c>
      <c r="AU153" s="11">
        <f t="shared" si="100"/>
        <v>1896.6425030105124</v>
      </c>
      <c r="AV153" s="11">
        <f t="shared" si="101"/>
        <v>2.1751390567182989E-3</v>
      </c>
      <c r="AW153" s="11">
        <f t="shared" si="102"/>
        <v>3.6770358841811742E-7</v>
      </c>
      <c r="AX153" s="41">
        <f t="shared" ca="1" si="115"/>
        <v>1.744449899277692</v>
      </c>
      <c r="AY153" s="41">
        <f t="shared" ca="1" si="116"/>
        <v>0.93683420516764948</v>
      </c>
      <c r="AZ153" s="41">
        <f t="shared" si="117"/>
        <v>0.27850358598326508</v>
      </c>
      <c r="BA153" s="41">
        <f t="shared" ca="1" si="105"/>
        <v>20.064689486252409</v>
      </c>
      <c r="BB153" s="41">
        <f t="shared" ca="1" si="106"/>
        <v>7.1810274516468349</v>
      </c>
      <c r="BC153" s="41">
        <f t="shared" ca="1" si="118"/>
        <v>10.395069733454255</v>
      </c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</row>
    <row r="154" spans="1:67">
      <c r="A154" s="41">
        <f t="shared" si="107"/>
        <v>14400</v>
      </c>
      <c r="B154" s="41">
        <f t="shared" si="108"/>
        <v>240</v>
      </c>
      <c r="C154" s="41">
        <f t="shared" si="109"/>
        <v>4</v>
      </c>
      <c r="D154" s="23">
        <f t="shared" ca="1" si="119"/>
        <v>16664.578262874267</v>
      </c>
      <c r="E154" s="41">
        <f t="shared" si="110"/>
        <v>1043.291679153411</v>
      </c>
      <c r="F154" s="7">
        <f t="shared" si="111"/>
        <v>1043.291679153411</v>
      </c>
      <c r="G154" s="41"/>
      <c r="H154" s="6">
        <v>3000</v>
      </c>
      <c r="I154" s="5">
        <v>0</v>
      </c>
      <c r="J154" s="41">
        <f t="shared" si="69"/>
        <v>0.39843353234827905</v>
      </c>
      <c r="K154" s="41">
        <f t="shared" si="70"/>
        <v>440.21934733824503</v>
      </c>
      <c r="L154" s="6">
        <f t="shared" si="112"/>
        <v>250</v>
      </c>
      <c r="M154" s="41">
        <f t="shared" si="71"/>
        <v>260.82291978835275</v>
      </c>
      <c r="N154" s="41">
        <f t="shared" si="72"/>
        <v>210.7634418402989</v>
      </c>
      <c r="O154" s="41">
        <f t="shared" si="73"/>
        <v>2604103.7566096159</v>
      </c>
      <c r="P154" s="41">
        <f t="shared" si="74"/>
        <v>16720175.97991186</v>
      </c>
      <c r="Q154" s="41">
        <f t="shared" si="75"/>
        <v>2.729619369171544E-3</v>
      </c>
      <c r="R154" s="41">
        <f t="shared" si="76"/>
        <v>2.1664326248792276E-2</v>
      </c>
      <c r="S154" s="27">
        <v>0</v>
      </c>
      <c r="T154" s="41">
        <f t="shared" ca="1" si="77"/>
        <v>0.34377256068134526</v>
      </c>
      <c r="U154" s="41">
        <f t="shared" ca="1" si="78"/>
        <v>2.9128160888245266E-2</v>
      </c>
      <c r="V154" s="41">
        <f t="shared" ca="1" si="79"/>
        <v>11.802068863883385</v>
      </c>
      <c r="W154" s="20">
        <f t="shared" ca="1" si="80"/>
        <v>1412.0048319554464</v>
      </c>
      <c r="X154" s="41">
        <f t="shared" si="81"/>
        <v>0.58568324243435443</v>
      </c>
      <c r="Y154" s="41">
        <f t="shared" ca="1" si="82"/>
        <v>178.11278023252399</v>
      </c>
      <c r="Z154" s="14">
        <f t="shared" ca="1" si="83"/>
        <v>1412.0048319554464</v>
      </c>
      <c r="AA154" s="14">
        <f t="shared" si="84"/>
        <v>5628.3916222821908</v>
      </c>
      <c r="AB154" s="25">
        <f t="shared" ca="1" si="85"/>
        <v>621591.84556187503</v>
      </c>
      <c r="AC154" s="41">
        <f t="shared" si="86"/>
        <v>2477726.8865251122</v>
      </c>
      <c r="AD154" s="5">
        <f t="shared" ca="1" si="87"/>
        <v>25.087181680206346</v>
      </c>
      <c r="AE154" s="7">
        <f t="shared" ca="1" si="88"/>
        <v>1412.0048319554464</v>
      </c>
      <c r="AF154" s="41">
        <f t="shared" ca="1" si="89"/>
        <v>0</v>
      </c>
      <c r="AG154" s="41">
        <f t="shared" ca="1" si="90"/>
        <v>111.38205910067209</v>
      </c>
      <c r="AH154" s="41">
        <f t="shared" ca="1" si="91"/>
        <v>1120.5287464894684</v>
      </c>
      <c r="AI154" s="13">
        <f t="shared" ca="1" si="92"/>
        <v>0</v>
      </c>
      <c r="AJ154" s="10">
        <f t="shared" ca="1" si="93"/>
        <v>0</v>
      </c>
      <c r="AK154" s="11">
        <f t="shared" ca="1" si="94"/>
        <v>0.40102566297334369</v>
      </c>
      <c r="AL154" s="6">
        <v>0</v>
      </c>
      <c r="AM154" s="6">
        <v>14400</v>
      </c>
      <c r="AN154" s="41">
        <f t="shared" ca="1" si="113"/>
        <v>4482.1149859578736</v>
      </c>
      <c r="AO154" s="41">
        <f t="shared" si="114"/>
        <v>1043.291679153411</v>
      </c>
      <c r="AP154" s="67">
        <f t="shared" si="95"/>
        <v>0.79357288383898739</v>
      </c>
      <c r="AQ154" s="11">
        <f t="shared" si="96"/>
        <v>0.97937395000000005</v>
      </c>
      <c r="AR154" s="11">
        <f t="shared" si="97"/>
        <v>0.8962407041850623</v>
      </c>
      <c r="AS154" s="11">
        <f t="shared" si="98"/>
        <v>0.91511593113647982</v>
      </c>
      <c r="AT154" s="11">
        <f t="shared" si="99"/>
        <v>507.97188664649997</v>
      </c>
      <c r="AU154" s="11">
        <f t="shared" si="100"/>
        <v>1896.6425030105124</v>
      </c>
      <c r="AV154" s="11">
        <f t="shared" si="101"/>
        <v>2.1751390567182989E-3</v>
      </c>
      <c r="AW154" s="11">
        <f t="shared" si="102"/>
        <v>3.6770358841811742E-7</v>
      </c>
      <c r="AX154" s="41">
        <f t="shared" ca="1" si="115"/>
        <v>1.8056002134118856</v>
      </c>
      <c r="AY154" s="41">
        <f t="shared" ca="1" si="116"/>
        <v>0.96967418868416089</v>
      </c>
      <c r="AZ154" s="41">
        <f t="shared" si="117"/>
        <v>0.28353158922034516</v>
      </c>
      <c r="BA154" s="41">
        <f t="shared" ca="1" si="105"/>
        <v>20.12901575645186</v>
      </c>
      <c r="BB154" s="41">
        <f t="shared" ca="1" si="106"/>
        <v>6.9198032905906031</v>
      </c>
      <c r="BC154" s="41">
        <f t="shared" ca="1" si="118"/>
        <v>10.220591636123011</v>
      </c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</row>
    <row r="155" spans="1:67">
      <c r="A155" s="41">
        <f t="shared" si="107"/>
        <v>14400</v>
      </c>
      <c r="B155" s="41">
        <f t="shared" si="108"/>
        <v>240</v>
      </c>
      <c r="C155" s="41">
        <f t="shared" si="109"/>
        <v>4</v>
      </c>
      <c r="D155" s="23">
        <f t="shared" ca="1" si="119"/>
        <v>16664.578262874267</v>
      </c>
      <c r="E155" s="41">
        <f t="shared" si="110"/>
        <v>1064.0766739927292</v>
      </c>
      <c r="F155" s="7">
        <f t="shared" si="111"/>
        <v>1064.0766739927292</v>
      </c>
      <c r="G155" s="41"/>
      <c r="H155" s="6">
        <v>3000</v>
      </c>
      <c r="I155" s="5">
        <v>0</v>
      </c>
      <c r="J155" s="41">
        <f t="shared" si="69"/>
        <v>0.40637133064490721</v>
      </c>
      <c r="K155" s="41">
        <f t="shared" si="70"/>
        <v>448.98962418931535</v>
      </c>
      <c r="L155" s="6">
        <f t="shared" si="112"/>
        <v>255</v>
      </c>
      <c r="M155" s="41">
        <f t="shared" si="71"/>
        <v>266.0191684981823</v>
      </c>
      <c r="N155" s="41">
        <f t="shared" si="72"/>
        <v>219.24497119866953</v>
      </c>
      <c r="O155" s="41">
        <f t="shared" si="73"/>
        <v>2655984.0545394346</v>
      </c>
      <c r="P155" s="41">
        <f t="shared" si="74"/>
        <v>17053283.948085215</v>
      </c>
      <c r="Q155" s="41">
        <f t="shared" si="75"/>
        <v>2.7196947048834428E-3</v>
      </c>
      <c r="R155" s="41">
        <f t="shared" si="76"/>
        <v>2.1603736173313418E-2</v>
      </c>
      <c r="S155" s="27">
        <v>0</v>
      </c>
      <c r="T155" s="41">
        <f t="shared" ca="1" si="77"/>
        <v>0.33047366014063917</v>
      </c>
      <c r="U155" s="41">
        <f t="shared" ca="1" si="78"/>
        <v>2.8501261309243926E-2</v>
      </c>
      <c r="V155" s="41">
        <f t="shared" ca="1" si="79"/>
        <v>11.595053866386445</v>
      </c>
      <c r="W155" s="20">
        <f t="shared" ca="1" si="80"/>
        <v>1437.2143894203159</v>
      </c>
      <c r="X155" s="41">
        <f t="shared" si="81"/>
        <v>0.58486365916763405</v>
      </c>
      <c r="Y155" s="41">
        <f t="shared" ca="1" si="82"/>
        <v>178.11278023252399</v>
      </c>
      <c r="Z155" s="14">
        <f t="shared" ca="1" si="83"/>
        <v>1437.2143894203159</v>
      </c>
      <c r="AA155" s="14">
        <f t="shared" si="84"/>
        <v>5628.3916222821908</v>
      </c>
      <c r="AB155" s="25">
        <f t="shared" ca="1" si="85"/>
        <v>645294.34858530399</v>
      </c>
      <c r="AC155" s="41">
        <f t="shared" si="86"/>
        <v>2527089.4392787716</v>
      </c>
      <c r="AD155" s="5">
        <f t="shared" ca="1" si="87"/>
        <v>25.535081527208241</v>
      </c>
      <c r="AE155" s="7">
        <f t="shared" ca="1" si="88"/>
        <v>1437.2143894203159</v>
      </c>
      <c r="AF155" s="41">
        <f t="shared" ca="1" si="89"/>
        <v>0</v>
      </c>
      <c r="AG155" s="41">
        <f t="shared" ca="1" si="90"/>
        <v>112.92185502742511</v>
      </c>
      <c r="AH155" s="41">
        <f t="shared" ca="1" si="91"/>
        <v>1142.5834052221048</v>
      </c>
      <c r="AI155" s="13">
        <f t="shared" ca="1" si="92"/>
        <v>0</v>
      </c>
      <c r="AJ155" s="10">
        <f t="shared" ca="1" si="93"/>
        <v>0</v>
      </c>
      <c r="AK155" s="11">
        <f t="shared" ca="1" si="94"/>
        <v>0.40656962299128213</v>
      </c>
      <c r="AL155" s="6">
        <v>0</v>
      </c>
      <c r="AM155" s="6">
        <v>14400</v>
      </c>
      <c r="AN155" s="41">
        <f t="shared" ca="1" si="113"/>
        <v>4570.3336208884193</v>
      </c>
      <c r="AO155" s="41">
        <f t="shared" si="114"/>
        <v>1064.0766739927292</v>
      </c>
      <c r="AP155" s="67">
        <f t="shared" si="95"/>
        <v>0.79499858450690353</v>
      </c>
      <c r="AQ155" s="11">
        <f t="shared" si="96"/>
        <v>0.97937395000000005</v>
      </c>
      <c r="AR155" s="11">
        <f t="shared" si="97"/>
        <v>0.8962407041850623</v>
      </c>
      <c r="AS155" s="11">
        <f t="shared" si="98"/>
        <v>0.91511593113647982</v>
      </c>
      <c r="AT155" s="11">
        <f t="shared" si="99"/>
        <v>507.97188664649997</v>
      </c>
      <c r="AU155" s="11">
        <f t="shared" si="100"/>
        <v>1896.6425030105124</v>
      </c>
      <c r="AV155" s="11">
        <f t="shared" si="101"/>
        <v>2.1751390567182989E-3</v>
      </c>
      <c r="AW155" s="11">
        <f t="shared" si="102"/>
        <v>3.6770358841811742E-7</v>
      </c>
      <c r="AX155" s="41">
        <f t="shared" ca="1" si="115"/>
        <v>1.8684065589497878</v>
      </c>
      <c r="AY155" s="41">
        <f t="shared" ca="1" si="116"/>
        <v>1.0034035223989601</v>
      </c>
      <c r="AZ155" s="41">
        <f t="shared" si="117"/>
        <v>0.28852789679811108</v>
      </c>
      <c r="BA155" s="41">
        <f t="shared" ca="1" si="105"/>
        <v>20.169927878693866</v>
      </c>
      <c r="BB155" s="41">
        <f t="shared" ca="1" si="106"/>
        <v>6.6656298908446798</v>
      </c>
      <c r="BC155" s="41">
        <f t="shared" ca="1" si="118"/>
        <v>10.041316648290662</v>
      </c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</row>
    <row r="156" spans="1:67">
      <c r="A156" s="41">
        <f t="shared" si="107"/>
        <v>14400</v>
      </c>
      <c r="B156" s="41">
        <f t="shared" si="108"/>
        <v>240</v>
      </c>
      <c r="C156" s="41">
        <f t="shared" si="109"/>
        <v>4</v>
      </c>
      <c r="D156" s="23">
        <f t="shared" ca="1" si="119"/>
        <v>16664.578262874267</v>
      </c>
      <c r="E156" s="41">
        <f t="shared" si="110"/>
        <v>1084.8571836895178</v>
      </c>
      <c r="F156" s="7">
        <f t="shared" si="111"/>
        <v>1084.8571836895178</v>
      </c>
      <c r="G156" s="41"/>
      <c r="H156" s="6">
        <v>3000</v>
      </c>
      <c r="I156" s="5">
        <v>0</v>
      </c>
      <c r="J156" s="41">
        <f t="shared" si="69"/>
        <v>0.41430741606371135</v>
      </c>
      <c r="K156" s="41">
        <f t="shared" si="70"/>
        <v>457.75800852407735</v>
      </c>
      <c r="L156" s="6">
        <f t="shared" si="112"/>
        <v>260</v>
      </c>
      <c r="M156" s="41">
        <f t="shared" si="71"/>
        <v>271.21429592237945</v>
      </c>
      <c r="N156" s="41">
        <f t="shared" si="72"/>
        <v>227.89192301397574</v>
      </c>
      <c r="O156" s="41">
        <f t="shared" si="73"/>
        <v>2707853.1573483264</v>
      </c>
      <c r="P156" s="41">
        <f t="shared" si="74"/>
        <v>17386320.035715584</v>
      </c>
      <c r="Q156" s="41">
        <f t="shared" si="75"/>
        <v>2.7099482943284637E-3</v>
      </c>
      <c r="R156" s="41">
        <f t="shared" si="76"/>
        <v>2.154423433687527E-2</v>
      </c>
      <c r="S156" s="27">
        <v>0</v>
      </c>
      <c r="T156" s="41">
        <f t="shared" ca="1" si="77"/>
        <v>0.31793442760588742</v>
      </c>
      <c r="U156" s="41">
        <f t="shared" ca="1" si="78"/>
        <v>2.792826121981732E-2</v>
      </c>
      <c r="V156" s="41">
        <f t="shared" ca="1" si="79"/>
        <v>11.383967841875085</v>
      </c>
      <c r="W156" s="20">
        <f t="shared" ca="1" si="80"/>
        <v>1463.863785838787</v>
      </c>
      <c r="X156" s="41">
        <f t="shared" si="81"/>
        <v>0.58405767688860943</v>
      </c>
      <c r="Y156" s="41">
        <f t="shared" ca="1" si="82"/>
        <v>178.11278023252399</v>
      </c>
      <c r="Z156" s="14">
        <f t="shared" ca="1" si="83"/>
        <v>1463.863785838787</v>
      </c>
      <c r="AA156" s="14">
        <f t="shared" si="84"/>
        <v>5628.3916222821908</v>
      </c>
      <c r="AB156" s="25">
        <f t="shared" ca="1" si="85"/>
        <v>670095.37135607959</v>
      </c>
      <c r="AC156" s="41">
        <f t="shared" si="86"/>
        <v>2576441.3402094967</v>
      </c>
      <c r="AD156" s="5">
        <f t="shared" ca="1" si="87"/>
        <v>26.008563086539844</v>
      </c>
      <c r="AE156" s="7">
        <f t="shared" ca="1" si="88"/>
        <v>1463.863785838787</v>
      </c>
      <c r="AF156" s="41">
        <f t="shared" ca="1" si="89"/>
        <v>0</v>
      </c>
      <c r="AG156" s="41">
        <f t="shared" ca="1" si="90"/>
        <v>114.39509231988299</v>
      </c>
      <c r="AH156" s="41">
        <f t="shared" ca="1" si="91"/>
        <v>1165.8410717139463</v>
      </c>
      <c r="AI156" s="13">
        <f t="shared" ca="1" si="92"/>
        <v>0</v>
      </c>
      <c r="AJ156" s="10">
        <f t="shared" ca="1" si="93"/>
        <v>0</v>
      </c>
      <c r="AK156" s="11">
        <f t="shared" ca="1" si="94"/>
        <v>0.41187394189771376</v>
      </c>
      <c r="AL156" s="6">
        <v>0</v>
      </c>
      <c r="AM156" s="6">
        <v>14400</v>
      </c>
      <c r="AN156" s="41">
        <f t="shared" ca="1" si="113"/>
        <v>4663.3642868557854</v>
      </c>
      <c r="AO156" s="41">
        <f t="shared" si="114"/>
        <v>1084.8571836895178</v>
      </c>
      <c r="AP156" s="67">
        <f t="shared" si="95"/>
        <v>0.79641363014245548</v>
      </c>
      <c r="AQ156" s="11">
        <f t="shared" si="96"/>
        <v>0.97937395000000005</v>
      </c>
      <c r="AR156" s="11">
        <f t="shared" si="97"/>
        <v>0.8962407041850623</v>
      </c>
      <c r="AS156" s="11">
        <f t="shared" si="98"/>
        <v>0.91511593113647982</v>
      </c>
      <c r="AT156" s="11">
        <f t="shared" si="99"/>
        <v>507.97188664649997</v>
      </c>
      <c r="AU156" s="11">
        <f t="shared" si="100"/>
        <v>1896.6425030105124</v>
      </c>
      <c r="AV156" s="11">
        <f t="shared" si="101"/>
        <v>2.1751390567182989E-3</v>
      </c>
      <c r="AW156" s="11">
        <f t="shared" si="102"/>
        <v>3.6770358841811742E-7</v>
      </c>
      <c r="AX156" s="41">
        <f t="shared" ca="1" si="115"/>
        <v>1.9328390088908873</v>
      </c>
      <c r="AY156" s="41">
        <f t="shared" ca="1" si="116"/>
        <v>1.0380061344043656</v>
      </c>
      <c r="AZ156" s="41">
        <f t="shared" si="117"/>
        <v>0.29349251394625225</v>
      </c>
      <c r="BA156" s="41">
        <f t="shared" ca="1" si="105"/>
        <v>20.189468274820861</v>
      </c>
      <c r="BB156" s="41">
        <f t="shared" ca="1" si="106"/>
        <v>6.4189270396223943</v>
      </c>
      <c r="BC156" s="41">
        <f t="shared" ca="1" si="118"/>
        <v>9.8585161510638244</v>
      </c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</row>
    <row r="157" spans="1:67">
      <c r="A157" s="41">
        <f t="shared" si="107"/>
        <v>14400</v>
      </c>
      <c r="B157" s="41">
        <f t="shared" si="108"/>
        <v>240</v>
      </c>
      <c r="C157" s="41">
        <f t="shared" si="109"/>
        <v>4</v>
      </c>
      <c r="D157" s="23">
        <f t="shared" ca="1" si="119"/>
        <v>16664.578262874267</v>
      </c>
      <c r="E157" s="41">
        <f t="shared" si="110"/>
        <v>1105.6331495428583</v>
      </c>
      <c r="F157" s="7">
        <f t="shared" si="111"/>
        <v>1105.6331495428583</v>
      </c>
      <c r="G157" s="41"/>
      <c r="H157" s="6">
        <v>3000</v>
      </c>
      <c r="I157" s="5">
        <v>0</v>
      </c>
      <c r="J157" s="41">
        <f t="shared" si="69"/>
        <v>0.4222417661867861</v>
      </c>
      <c r="K157" s="41">
        <f t="shared" si="70"/>
        <v>466.52447557354219</v>
      </c>
      <c r="L157" s="6">
        <f t="shared" si="112"/>
        <v>265</v>
      </c>
      <c r="M157" s="41">
        <f t="shared" si="71"/>
        <v>276.40828738571457</v>
      </c>
      <c r="N157" s="41">
        <f t="shared" si="72"/>
        <v>236.70416386694885</v>
      </c>
      <c r="O157" s="41">
        <f t="shared" si="73"/>
        <v>2759710.918516113</v>
      </c>
      <c r="P157" s="41">
        <f t="shared" si="74"/>
        <v>17719283.302040465</v>
      </c>
      <c r="Q157" s="41">
        <f t="shared" si="75"/>
        <v>2.7003718789109202E-3</v>
      </c>
      <c r="R157" s="41">
        <f t="shared" si="76"/>
        <v>2.148577032075117E-2</v>
      </c>
      <c r="S157" s="27">
        <v>0</v>
      </c>
      <c r="T157" s="41">
        <f t="shared" ca="1" si="77"/>
        <v>0.30609807160037977</v>
      </c>
      <c r="U157" s="41">
        <f t="shared" ca="1" si="78"/>
        <v>2.7403304540218349E-2</v>
      </c>
      <c r="V157" s="41">
        <f t="shared" ca="1" si="79"/>
        <v>11.170115310404851</v>
      </c>
      <c r="W157" s="20">
        <f t="shared" ca="1" si="80"/>
        <v>1491.889546328262</v>
      </c>
      <c r="X157" s="41">
        <f t="shared" si="81"/>
        <v>0.58326466763365925</v>
      </c>
      <c r="Y157" s="41">
        <f t="shared" ca="1" si="82"/>
        <v>178.11278023252399</v>
      </c>
      <c r="Z157" s="14">
        <f t="shared" ca="1" si="83"/>
        <v>1491.889546328262</v>
      </c>
      <c r="AA157" s="14">
        <f t="shared" si="84"/>
        <v>5628.3916222821908</v>
      </c>
      <c r="AB157" s="25">
        <f t="shared" ca="1" si="85"/>
        <v>696002.98821444216</v>
      </c>
      <c r="AC157" s="41">
        <f t="shared" si="86"/>
        <v>2625782.4499077173</v>
      </c>
      <c r="AD157" s="5">
        <f t="shared" ca="1" si="87"/>
        <v>26.506498595833904</v>
      </c>
      <c r="AE157" s="7">
        <f t="shared" ca="1" si="88"/>
        <v>1491.889546328262</v>
      </c>
      <c r="AF157" s="41">
        <f t="shared" ca="1" si="89"/>
        <v>0</v>
      </c>
      <c r="AG157" s="41">
        <f t="shared" ca="1" si="90"/>
        <v>115.80127809129635</v>
      </c>
      <c r="AH157" s="41">
        <f t="shared" ca="1" si="91"/>
        <v>1190.2564134492027</v>
      </c>
      <c r="AI157" s="13">
        <f t="shared" ca="1" si="92"/>
        <v>0</v>
      </c>
      <c r="AJ157" s="10">
        <f t="shared" ca="1" si="93"/>
        <v>0</v>
      </c>
      <c r="AK157" s="11">
        <f t="shared" ca="1" si="94"/>
        <v>0.41693684507797402</v>
      </c>
      <c r="AL157" s="6">
        <v>0</v>
      </c>
      <c r="AM157" s="6">
        <v>14400</v>
      </c>
      <c r="AN157" s="41">
        <f t="shared" ca="1" si="113"/>
        <v>4761.0256537968107</v>
      </c>
      <c r="AO157" s="41">
        <f t="shared" si="114"/>
        <v>1105.6331495428583</v>
      </c>
      <c r="AP157" s="67">
        <f t="shared" si="95"/>
        <v>0.79781805320546784</v>
      </c>
      <c r="AQ157" s="11">
        <f t="shared" si="96"/>
        <v>0.97937395000000005</v>
      </c>
      <c r="AR157" s="11">
        <f t="shared" si="97"/>
        <v>0.8962407041850623</v>
      </c>
      <c r="AS157" s="11">
        <f t="shared" si="98"/>
        <v>0.91511593113647982</v>
      </c>
      <c r="AT157" s="11">
        <f t="shared" si="99"/>
        <v>507.97188664649997</v>
      </c>
      <c r="AU157" s="11">
        <f t="shared" si="100"/>
        <v>1896.6425030105124</v>
      </c>
      <c r="AV157" s="11">
        <f t="shared" si="101"/>
        <v>2.1751390567182989E-3</v>
      </c>
      <c r="AW157" s="11">
        <f t="shared" si="102"/>
        <v>3.6770358841811742E-7</v>
      </c>
      <c r="AX157" s="41">
        <f t="shared" ca="1" si="115"/>
        <v>1.9988708233128116</v>
      </c>
      <c r="AY157" s="41">
        <f t="shared" ca="1" si="116"/>
        <v>1.0734676643716952</v>
      </c>
      <c r="AZ157" s="41">
        <f t="shared" si="117"/>
        <v>0.29842544658975217</v>
      </c>
      <c r="BA157" s="41">
        <f t="shared" ca="1" si="105"/>
        <v>20.189583492714913</v>
      </c>
      <c r="BB157" s="41">
        <f t="shared" ca="1" si="106"/>
        <v>6.1799925735348946</v>
      </c>
      <c r="BC157" s="41">
        <f t="shared" ca="1" si="118"/>
        <v>9.6733198588106006</v>
      </c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</row>
    <row r="158" spans="1:67">
      <c r="A158" s="41">
        <f t="shared" si="107"/>
        <v>14400</v>
      </c>
      <c r="B158" s="41">
        <f t="shared" si="108"/>
        <v>240</v>
      </c>
      <c r="C158" s="41">
        <f t="shared" si="109"/>
        <v>4</v>
      </c>
      <c r="D158" s="23">
        <f t="shared" ca="1" si="119"/>
        <v>16664.578262874267</v>
      </c>
      <c r="E158" s="41">
        <f t="shared" si="110"/>
        <v>1126.4045143185024</v>
      </c>
      <c r="F158" s="7">
        <f t="shared" si="111"/>
        <v>1126.4045143185024</v>
      </c>
      <c r="G158" s="41"/>
      <c r="H158" s="6">
        <v>3000</v>
      </c>
      <c r="I158" s="5">
        <v>0</v>
      </c>
      <c r="J158" s="41">
        <f t="shared" si="69"/>
        <v>0.43017435915634772</v>
      </c>
      <c r="K158" s="41">
        <f t="shared" si="70"/>
        <v>475.28900118758582</v>
      </c>
      <c r="L158" s="6">
        <f t="shared" si="112"/>
        <v>270</v>
      </c>
      <c r="M158" s="41">
        <f t="shared" si="71"/>
        <v>281.60112857962559</v>
      </c>
      <c r="N158" s="41">
        <f t="shared" si="72"/>
        <v>245.68155911268823</v>
      </c>
      <c r="O158" s="41">
        <f t="shared" si="73"/>
        <v>2811557.1951834937</v>
      </c>
      <c r="P158" s="41">
        <f t="shared" si="74"/>
        <v>18052172.829802763</v>
      </c>
      <c r="Q158" s="41">
        <f t="shared" si="75"/>
        <v>2.6909577093002031E-3</v>
      </c>
      <c r="R158" s="41">
        <f t="shared" si="76"/>
        <v>2.1428296815277741E-2</v>
      </c>
      <c r="S158" s="27">
        <v>0</v>
      </c>
      <c r="T158" s="41">
        <f t="shared" ca="1" si="77"/>
        <v>0.29491301000015274</v>
      </c>
      <c r="U158" s="41">
        <f t="shared" ca="1" si="78"/>
        <v>2.6921269689380373E-2</v>
      </c>
      <c r="V158" s="41">
        <f t="shared" ca="1" si="79"/>
        <v>10.954647139710762</v>
      </c>
      <c r="W158" s="20">
        <f t="shared" ca="1" si="80"/>
        <v>1521.2336874334289</v>
      </c>
      <c r="X158" s="41">
        <f t="shared" si="81"/>
        <v>0.58248404138074317</v>
      </c>
      <c r="Y158" s="41">
        <f t="shared" ca="1" si="82"/>
        <v>178.11278023252399</v>
      </c>
      <c r="Z158" s="14">
        <f t="shared" ca="1" si="83"/>
        <v>1521.2336874334289</v>
      </c>
      <c r="AA158" s="14">
        <f t="shared" si="84"/>
        <v>5628.3916222821908</v>
      </c>
      <c r="AB158" s="25">
        <f t="shared" ca="1" si="85"/>
        <v>723025.63987314259</v>
      </c>
      <c r="AC158" s="41">
        <f t="shared" si="86"/>
        <v>2675112.6324470784</v>
      </c>
      <c r="AD158" s="5">
        <f t="shared" ca="1" si="87"/>
        <v>27.027857859268888</v>
      </c>
      <c r="AE158" s="7">
        <f t="shared" ca="1" si="88"/>
        <v>1521.2336874334289</v>
      </c>
      <c r="AF158" s="41">
        <f t="shared" ca="1" si="89"/>
        <v>0</v>
      </c>
      <c r="AG158" s="41">
        <f t="shared" ca="1" si="90"/>
        <v>117.13989767882937</v>
      </c>
      <c r="AH158" s="41">
        <f t="shared" ca="1" si="91"/>
        <v>1215.788044603803</v>
      </c>
      <c r="AI158" s="13">
        <f t="shared" ca="1" si="92"/>
        <v>0</v>
      </c>
      <c r="AJ158" s="10">
        <f t="shared" ca="1" si="93"/>
        <v>0</v>
      </c>
      <c r="AK158" s="11">
        <f t="shared" ca="1" si="94"/>
        <v>0.42175647951366291</v>
      </c>
      <c r="AL158" s="6">
        <v>0</v>
      </c>
      <c r="AM158" s="6">
        <v>14400</v>
      </c>
      <c r="AN158" s="41">
        <f t="shared" ca="1" si="113"/>
        <v>4863.1521784152119</v>
      </c>
      <c r="AO158" s="41">
        <f t="shared" si="114"/>
        <v>1126.4045143185024</v>
      </c>
      <c r="AP158" s="67">
        <f t="shared" si="95"/>
        <v>0.79921188614685301</v>
      </c>
      <c r="AQ158" s="11">
        <f t="shared" si="96"/>
        <v>0.97937395000000005</v>
      </c>
      <c r="AR158" s="11">
        <f t="shared" si="97"/>
        <v>0.8962407041850623</v>
      </c>
      <c r="AS158" s="11">
        <f t="shared" si="98"/>
        <v>0.91511593113647982</v>
      </c>
      <c r="AT158" s="11">
        <f t="shared" si="99"/>
        <v>507.97188664649997</v>
      </c>
      <c r="AU158" s="11">
        <f t="shared" si="100"/>
        <v>1896.6425030105124</v>
      </c>
      <c r="AV158" s="11">
        <f t="shared" si="101"/>
        <v>2.1751390567182989E-3</v>
      </c>
      <c r="AW158" s="11">
        <f t="shared" si="102"/>
        <v>3.6770358841811742E-7</v>
      </c>
      <c r="AX158" s="41">
        <f t="shared" ca="1" si="115"/>
        <v>2.0664780175948945</v>
      </c>
      <c r="AY158" s="41">
        <f t="shared" ca="1" si="116"/>
        <v>1.1097752316713323</v>
      </c>
      <c r="AZ158" s="41">
        <f t="shared" si="117"/>
        <v>0.30332670134002226</v>
      </c>
      <c r="BA158" s="41">
        <f t="shared" ca="1" si="105"/>
        <v>20.172114619241288</v>
      </c>
      <c r="BB158" s="41">
        <f t="shared" ca="1" si="106"/>
        <v>5.9490190404285341</v>
      </c>
      <c r="BC158" s="41">
        <f t="shared" ca="1" si="118"/>
        <v>9.4867244229895196</v>
      </c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</row>
    <row r="159" spans="1:67">
      <c r="A159" s="41">
        <f t="shared" si="107"/>
        <v>14400</v>
      </c>
      <c r="B159" s="41">
        <f t="shared" si="108"/>
        <v>240</v>
      </c>
      <c r="C159" s="41">
        <f t="shared" si="109"/>
        <v>4</v>
      </c>
      <c r="D159" s="23">
        <f t="shared" ca="1" si="119"/>
        <v>16664.578262874267</v>
      </c>
      <c r="E159" s="41">
        <f t="shared" si="110"/>
        <v>1147.1712222567023</v>
      </c>
      <c r="F159" s="7">
        <f t="shared" si="111"/>
        <v>1147.1712222567023</v>
      </c>
      <c r="G159" s="41"/>
      <c r="H159" s="6">
        <v>3000</v>
      </c>
      <c r="I159" s="5">
        <v>0</v>
      </c>
      <c r="J159" s="41">
        <f t="shared" si="69"/>
        <v>0.43810517367772506</v>
      </c>
      <c r="K159" s="41">
        <f t="shared" si="70"/>
        <v>484.05156183825312</v>
      </c>
      <c r="L159" s="6">
        <f t="shared" si="112"/>
        <v>275</v>
      </c>
      <c r="M159" s="41">
        <f t="shared" si="71"/>
        <v>286.79280556417558</v>
      </c>
      <c r="N159" s="41">
        <f t="shared" si="72"/>
        <v>254.82397294415719</v>
      </c>
      <c r="O159" s="41">
        <f t="shared" si="73"/>
        <v>2863391.8481715857</v>
      </c>
      <c r="P159" s="41">
        <f t="shared" si="74"/>
        <v>18384987.725376252</v>
      </c>
      <c r="Q159" s="41">
        <f t="shared" si="75"/>
        <v>2.6816985059298745E-3</v>
      </c>
      <c r="R159" s="41">
        <f t="shared" si="76"/>
        <v>2.1371769378701881E-2</v>
      </c>
      <c r="S159" s="27">
        <v>0</v>
      </c>
      <c r="T159" s="41">
        <f t="shared" ca="1" si="77"/>
        <v>0.28433230697384682</v>
      </c>
      <c r="U159" s="41">
        <f t="shared" ca="1" si="78"/>
        <v>2.6477665893843393E-2</v>
      </c>
      <c r="V159" s="41">
        <f t="shared" ca="1" si="79"/>
        <v>10.738571447869202</v>
      </c>
      <c r="W159" s="20">
        <f t="shared" ca="1" si="80"/>
        <v>1551.843123992152</v>
      </c>
      <c r="X159" s="41">
        <f t="shared" si="81"/>
        <v>0.58171524315484413</v>
      </c>
      <c r="Y159" s="41">
        <f t="shared" ca="1" si="82"/>
        <v>178.11278023252399</v>
      </c>
      <c r="Z159" s="14">
        <f t="shared" ca="1" si="83"/>
        <v>1551.843123992152</v>
      </c>
      <c r="AA159" s="14">
        <f t="shared" si="84"/>
        <v>5628.3916222821908</v>
      </c>
      <c r="AB159" s="25">
        <f t="shared" ca="1" si="85"/>
        <v>751172.08789635508</v>
      </c>
      <c r="AC159" s="41">
        <f t="shared" si="86"/>
        <v>2724431.7554030339</v>
      </c>
      <c r="AD159" s="5">
        <f t="shared" ca="1" si="87"/>
        <v>27.571697709316702</v>
      </c>
      <c r="AE159" s="7">
        <f t="shared" ca="1" si="88"/>
        <v>1551.843123992152</v>
      </c>
      <c r="AF159" s="41">
        <f t="shared" ca="1" si="89"/>
        <v>0</v>
      </c>
      <c r="AG159" s="41">
        <f t="shared" ca="1" si="90"/>
        <v>118.41041737628323</v>
      </c>
      <c r="AH159" s="41">
        <f t="shared" ca="1" si="91"/>
        <v>1242.3980963278048</v>
      </c>
      <c r="AI159" s="13">
        <f t="shared" ca="1" si="92"/>
        <v>0</v>
      </c>
      <c r="AJ159" s="10">
        <f t="shared" ca="1" si="93"/>
        <v>0</v>
      </c>
      <c r="AK159" s="11">
        <f t="shared" ca="1" si="94"/>
        <v>0.42633092362168212</v>
      </c>
      <c r="AL159" s="6">
        <v>0</v>
      </c>
      <c r="AM159" s="6">
        <v>14400</v>
      </c>
      <c r="AN159" s="41">
        <f t="shared" ca="1" si="113"/>
        <v>4969.592385311219</v>
      </c>
      <c r="AO159" s="41">
        <f t="shared" si="114"/>
        <v>1147.1712222567023</v>
      </c>
      <c r="AP159" s="67">
        <f t="shared" si="95"/>
        <v>0.80059516140504416</v>
      </c>
      <c r="AQ159" s="11">
        <f t="shared" si="96"/>
        <v>0.97937395000000005</v>
      </c>
      <c r="AR159" s="11">
        <f t="shared" si="97"/>
        <v>0.8962407041850623</v>
      </c>
      <c r="AS159" s="11">
        <f t="shared" si="98"/>
        <v>0.91511593113647982</v>
      </c>
      <c r="AT159" s="11">
        <f t="shared" si="99"/>
        <v>507.97188664649997</v>
      </c>
      <c r="AU159" s="11">
        <f t="shared" si="100"/>
        <v>1896.6425030105124</v>
      </c>
      <c r="AV159" s="11">
        <f t="shared" si="101"/>
        <v>2.1751390567182989E-3</v>
      </c>
      <c r="AW159" s="11">
        <f t="shared" si="102"/>
        <v>3.6770358841811742E-7</v>
      </c>
      <c r="AX159" s="41">
        <f t="shared" ca="1" si="115"/>
        <v>2.1356389993285618</v>
      </c>
      <c r="AY159" s="41">
        <f t="shared" ca="1" si="116"/>
        <v>1.1469172403801537</v>
      </c>
      <c r="AZ159" s="41">
        <f t="shared" si="117"/>
        <v>0.30819628548574807</v>
      </c>
      <c r="BA159" s="41">
        <f t="shared" ca="1" si="105"/>
        <v>20.138791547153168</v>
      </c>
      <c r="BB159" s="41">
        <f t="shared" ca="1" si="106"/>
        <v>5.7261090602674667</v>
      </c>
      <c r="BC159" s="41">
        <f t="shared" ca="1" si="118"/>
        <v>9.2996028738547292</v>
      </c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</row>
    <row r="160" spans="1:67">
      <c r="A160" s="41">
        <f t="shared" si="107"/>
        <v>14400</v>
      </c>
      <c r="B160" s="41">
        <f t="shared" si="108"/>
        <v>240</v>
      </c>
      <c r="C160" s="41">
        <f t="shared" si="109"/>
        <v>4</v>
      </c>
      <c r="D160" s="23">
        <f t="shared" ca="1" si="119"/>
        <v>16664.578262874267</v>
      </c>
      <c r="E160" s="41">
        <f t="shared" si="110"/>
        <v>1167.9332190791381</v>
      </c>
      <c r="F160" s="7">
        <f t="shared" si="111"/>
        <v>1167.9332190791381</v>
      </c>
      <c r="G160" s="41"/>
      <c r="H160" s="6">
        <v>3000</v>
      </c>
      <c r="I160" s="5">
        <v>0</v>
      </c>
      <c r="J160" s="41">
        <f t="shared" si="69"/>
        <v>0.44603418902200492</v>
      </c>
      <c r="K160" s="41">
        <f t="shared" si="70"/>
        <v>492.81213462268101</v>
      </c>
      <c r="L160" s="6">
        <f t="shared" si="112"/>
        <v>280</v>
      </c>
      <c r="M160" s="41">
        <f t="shared" si="71"/>
        <v>291.98330476978452</v>
      </c>
      <c r="N160" s="41">
        <f t="shared" si="72"/>
        <v>264.13126845562073</v>
      </c>
      <c r="O160" s="41">
        <f t="shared" si="73"/>
        <v>2915214.7419992206</v>
      </c>
      <c r="P160" s="41">
        <f t="shared" si="74"/>
        <v>18717727.118876632</v>
      </c>
      <c r="Q160" s="41">
        <f t="shared" si="75"/>
        <v>2.6725874232169317E-3</v>
      </c>
      <c r="R160" s="41">
        <f t="shared" si="76"/>
        <v>2.1316146218739368E-2</v>
      </c>
      <c r="S160" s="27">
        <v>0</v>
      </c>
      <c r="T160" s="41">
        <f t="shared" ca="1" si="77"/>
        <v>0.27431317966667451</v>
      </c>
      <c r="U160" s="41">
        <f t="shared" ca="1" si="78"/>
        <v>2.6068545694991001E-2</v>
      </c>
      <c r="V160" s="41">
        <f t="shared" ca="1" si="79"/>
        <v>10.522764978001172</v>
      </c>
      <c r="W160" s="20">
        <f t="shared" ca="1" si="80"/>
        <v>1583.6691494785955</v>
      </c>
      <c r="X160" s="41">
        <f t="shared" si="81"/>
        <v>0.58095775040249931</v>
      </c>
      <c r="Y160" s="41">
        <f t="shared" ca="1" si="82"/>
        <v>178.11278023252396</v>
      </c>
      <c r="Z160" s="14">
        <f t="shared" ca="1" si="83"/>
        <v>1583.6691494785955</v>
      </c>
      <c r="AA160" s="14">
        <f t="shared" si="84"/>
        <v>5628.3916222821908</v>
      </c>
      <c r="AB160" s="25">
        <f t="shared" ca="1" si="85"/>
        <v>780451.37409063231</v>
      </c>
      <c r="AC160" s="41">
        <f t="shared" si="86"/>
        <v>2773739.6898693009</v>
      </c>
      <c r="AD160" s="5">
        <f t="shared" ca="1" si="87"/>
        <v>28.137152773965145</v>
      </c>
      <c r="AE160" s="7">
        <f t="shared" ca="1" si="88"/>
        <v>1583.6691494785953</v>
      </c>
      <c r="AF160" s="41">
        <f t="shared" ca="1" si="89"/>
        <v>0</v>
      </c>
      <c r="AG160" s="41">
        <f t="shared" ca="1" si="90"/>
        <v>119.61228687193136</v>
      </c>
      <c r="AH160" s="41">
        <f t="shared" ca="1" si="91"/>
        <v>1270.0518401597492</v>
      </c>
      <c r="AI160" s="13">
        <f t="shared" ca="1" si="92"/>
        <v>-6.7239929258706185E-15</v>
      </c>
      <c r="AJ160" s="10">
        <f t="shared" ca="1" si="93"/>
        <v>-7.8175107523108737E-16</v>
      </c>
      <c r="AK160" s="11">
        <f t="shared" ca="1" si="94"/>
        <v>0.4306581960315421</v>
      </c>
      <c r="AL160" s="6">
        <v>0</v>
      </c>
      <c r="AM160" s="6">
        <v>14400</v>
      </c>
      <c r="AN160" s="41">
        <f t="shared" ca="1" si="113"/>
        <v>5080.2073606389968</v>
      </c>
      <c r="AO160" s="41">
        <f t="shared" si="114"/>
        <v>1167.9332190791381</v>
      </c>
      <c r="AP160" s="67">
        <f t="shared" si="95"/>
        <v>0.80196791140239043</v>
      </c>
      <c r="AQ160" s="11">
        <f t="shared" si="96"/>
        <v>0.97937395000000005</v>
      </c>
      <c r="AR160" s="11">
        <f t="shared" si="97"/>
        <v>0.8962407041850623</v>
      </c>
      <c r="AS160" s="11">
        <f t="shared" si="98"/>
        <v>0.91511593113647982</v>
      </c>
      <c r="AT160" s="11">
        <f t="shared" si="99"/>
        <v>507.97188664649997</v>
      </c>
      <c r="AU160" s="11">
        <f t="shared" si="100"/>
        <v>1896.6425030105124</v>
      </c>
      <c r="AV160" s="11">
        <f t="shared" si="101"/>
        <v>2.1751390567182989E-3</v>
      </c>
      <c r="AW160" s="11">
        <f t="shared" si="102"/>
        <v>3.6770358841811742E-7</v>
      </c>
      <c r="AX160" s="41">
        <f t="shared" ca="1" si="115"/>
        <v>2.2063342614733812</v>
      </c>
      <c r="AY160" s="41">
        <f t="shared" ca="1" si="116"/>
        <v>1.1848832144949641</v>
      </c>
      <c r="AZ160" s="41">
        <f t="shared" si="117"/>
        <v>0.31303420698346029</v>
      </c>
      <c r="BA160" s="41">
        <f t="shared" ca="1" si="105"/>
        <v>20.091230378825777</v>
      </c>
      <c r="BB160" s="41">
        <f t="shared" ca="1" si="106"/>
        <v>5.5112892886313842</v>
      </c>
      <c r="BC160" s="41">
        <f t="shared" ca="1" si="118"/>
        <v>9.1127144709490153</v>
      </c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</row>
    <row r="161" spans="1:67">
      <c r="A161" s="41">
        <f t="shared" si="107"/>
        <v>14400</v>
      </c>
      <c r="B161" s="41">
        <f t="shared" si="108"/>
        <v>240</v>
      </c>
      <c r="C161" s="41">
        <f t="shared" si="109"/>
        <v>4</v>
      </c>
      <c r="D161" s="23">
        <f t="shared" ca="1" si="119"/>
        <v>16664.578262874267</v>
      </c>
      <c r="E161" s="41">
        <f t="shared" si="110"/>
        <v>1188.6904519950674</v>
      </c>
      <c r="F161" s="7">
        <f t="shared" si="111"/>
        <v>1188.6904519950674</v>
      </c>
      <c r="G161" s="41"/>
      <c r="H161" s="6">
        <v>3000</v>
      </c>
      <c r="I161" s="5">
        <v>0</v>
      </c>
      <c r="J161" s="41">
        <f t="shared" si="69"/>
        <v>0.45396138502838035</v>
      </c>
      <c r="K161" s="41">
        <f t="shared" si="70"/>
        <v>501.57069726569301</v>
      </c>
      <c r="L161" s="6">
        <f t="shared" si="112"/>
        <v>285</v>
      </c>
      <c r="M161" s="41">
        <f t="shared" si="71"/>
        <v>297.17261299876685</v>
      </c>
      <c r="N161" s="41">
        <f t="shared" si="72"/>
        <v>273.60330770603156</v>
      </c>
      <c r="O161" s="41">
        <f t="shared" si="73"/>
        <v>2967025.7448982894</v>
      </c>
      <c r="P161" s="41">
        <f t="shared" si="74"/>
        <v>19050390.164260052</v>
      </c>
      <c r="Q161" s="41">
        <f t="shared" si="75"/>
        <v>2.6636180170908912E-3</v>
      </c>
      <c r="R161" s="41">
        <f t="shared" si="76"/>
        <v>2.1261387994339891E-2</v>
      </c>
      <c r="S161" s="27">
        <v>0</v>
      </c>
      <c r="T161" s="41">
        <f t="shared" ca="1" si="77"/>
        <v>0.26481656492728167</v>
      </c>
      <c r="U161" s="41">
        <f t="shared" ca="1" si="78"/>
        <v>2.5690430889857792E-2</v>
      </c>
      <c r="V161" s="41">
        <f t="shared" ca="1" si="79"/>
        <v>10.307984559022223</v>
      </c>
      <c r="W161" s="20">
        <f t="shared" ca="1" si="80"/>
        <v>1616.6669796074088</v>
      </c>
      <c r="X161" s="41">
        <f t="shared" si="81"/>
        <v>0.5802110706060577</v>
      </c>
      <c r="Y161" s="41">
        <f t="shared" ca="1" si="82"/>
        <v>178.11278023252399</v>
      </c>
      <c r="Z161" s="14">
        <f t="shared" ca="1" si="83"/>
        <v>1616.6669796074088</v>
      </c>
      <c r="AA161" s="14">
        <f t="shared" si="84"/>
        <v>5628.3916222821908</v>
      </c>
      <c r="AB161" s="25">
        <f t="shared" ca="1" si="85"/>
        <v>810872.78420810995</v>
      </c>
      <c r="AC161" s="41">
        <f t="shared" si="86"/>
        <v>2823036.3104724637</v>
      </c>
      <c r="AD161" s="5">
        <f t="shared" ca="1" si="87"/>
        <v>28.723427367903824</v>
      </c>
      <c r="AE161" s="7">
        <f t="shared" ca="1" si="88"/>
        <v>1616.6669796074088</v>
      </c>
      <c r="AF161" s="41">
        <f t="shared" ca="1" si="89"/>
        <v>0</v>
      </c>
      <c r="AG161" s="41">
        <f t="shared" ca="1" si="90"/>
        <v>120.74494142747663</v>
      </c>
      <c r="AH161" s="41">
        <f t="shared" ca="1" si="91"/>
        <v>1298.7173572035335</v>
      </c>
      <c r="AI161" s="13">
        <f t="shared" ca="1" si="92"/>
        <v>0</v>
      </c>
      <c r="AJ161" s="10">
        <f t="shared" ca="1" si="93"/>
        <v>0</v>
      </c>
      <c r="AK161" s="11">
        <f t="shared" ca="1" si="94"/>
        <v>0.43473626343059041</v>
      </c>
      <c r="AL161" s="6">
        <v>0</v>
      </c>
      <c r="AM161" s="6">
        <v>14400</v>
      </c>
      <c r="AN161" s="41">
        <f t="shared" ca="1" si="113"/>
        <v>5194.8694288141342</v>
      </c>
      <c r="AO161" s="41">
        <f t="shared" si="114"/>
        <v>1188.6904519950674</v>
      </c>
      <c r="AP161" s="67">
        <f t="shared" si="95"/>
        <v>0.80333016854152228</v>
      </c>
      <c r="AQ161" s="11">
        <f t="shared" si="96"/>
        <v>0.97937395000000005</v>
      </c>
      <c r="AR161" s="11">
        <f t="shared" si="97"/>
        <v>0.8962407041850623</v>
      </c>
      <c r="AS161" s="11">
        <f t="shared" si="98"/>
        <v>0.91511593113647982</v>
      </c>
      <c r="AT161" s="11">
        <f t="shared" si="99"/>
        <v>507.97188664649997</v>
      </c>
      <c r="AU161" s="11">
        <f t="shared" si="100"/>
        <v>1896.6425030105124</v>
      </c>
      <c r="AV161" s="11">
        <f t="shared" si="101"/>
        <v>2.1751390567182989E-3</v>
      </c>
      <c r="AW161" s="11">
        <f t="shared" si="102"/>
        <v>3.6770358841811742E-7</v>
      </c>
      <c r="AX161" s="41">
        <f t="shared" ca="1" si="115"/>
        <v>2.27854612182619</v>
      </c>
      <c r="AY161" s="41">
        <f t="shared" ca="1" si="116"/>
        <v>1.2236636580177689</v>
      </c>
      <c r="AZ161" s="41">
        <f t="shared" si="117"/>
        <v>0.31784047444787061</v>
      </c>
      <c r="BA161" s="41">
        <f t="shared" ca="1" si="105"/>
        <v>20.030933327659291</v>
      </c>
      <c r="BB161" s="41">
        <f t="shared" ca="1" si="106"/>
        <v>5.304522956118138</v>
      </c>
      <c r="BC161" s="41">
        <f t="shared" ca="1" si="118"/>
        <v>8.9267146281132455</v>
      </c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</row>
    <row r="162" spans="1:67">
      <c r="A162" s="41">
        <f t="shared" si="107"/>
        <v>14400</v>
      </c>
      <c r="B162" s="41">
        <f t="shared" si="108"/>
        <v>240</v>
      </c>
      <c r="C162" s="41">
        <f t="shared" si="109"/>
        <v>4</v>
      </c>
      <c r="D162" s="23">
        <f t="shared" ca="1" si="119"/>
        <v>16664.578262874267</v>
      </c>
      <c r="E162" s="41">
        <f t="shared" si="110"/>
        <v>1209.4428697065191</v>
      </c>
      <c r="F162" s="7">
        <f t="shared" si="111"/>
        <v>1209.4428697065191</v>
      </c>
      <c r="G162" s="41"/>
      <c r="H162" s="6">
        <v>3000</v>
      </c>
      <c r="I162" s="5">
        <v>0</v>
      </c>
      <c r="J162" s="41">
        <f t="shared" si="69"/>
        <v>0.46188674210613473</v>
      </c>
      <c r="K162" s="41">
        <f t="shared" si="70"/>
        <v>510.32722812199114</v>
      </c>
      <c r="L162" s="6">
        <f t="shared" si="112"/>
        <v>290</v>
      </c>
      <c r="M162" s="41">
        <f t="shared" si="71"/>
        <v>302.36071742662978</v>
      </c>
      <c r="N162" s="41">
        <f t="shared" si="72"/>
        <v>283.23995178223566</v>
      </c>
      <c r="O162" s="41">
        <f t="shared" si="73"/>
        <v>3018824.7288267105</v>
      </c>
      <c r="P162" s="41">
        <f t="shared" si="74"/>
        <v>19382976.03940637</v>
      </c>
      <c r="Q162" s="41">
        <f t="shared" si="75"/>
        <v>2.6547842154740573E-3</v>
      </c>
      <c r="R162" s="41">
        <f t="shared" si="76"/>
        <v>2.1207457635469121E-2</v>
      </c>
      <c r="S162" s="27">
        <v>0</v>
      </c>
      <c r="T162" s="41">
        <f t="shared" ca="1" si="77"/>
        <v>0.25580673786852964</v>
      </c>
      <c r="U162" s="41">
        <f t="shared" ca="1" si="78"/>
        <v>2.5340249651221967E-2</v>
      </c>
      <c r="V162" s="41">
        <f t="shared" ca="1" si="79"/>
        <v>10.094878361081737</v>
      </c>
      <c r="W162" s="20">
        <f t="shared" ca="1" si="80"/>
        <v>1650.7953505532425</v>
      </c>
      <c r="X162" s="41">
        <f t="shared" si="81"/>
        <v>0.57947473911197289</v>
      </c>
      <c r="Y162" s="41">
        <f t="shared" ca="1" si="82"/>
        <v>178.11278023252399</v>
      </c>
      <c r="Z162" s="14">
        <f t="shared" ca="1" si="83"/>
        <v>1650.7953505532425</v>
      </c>
      <c r="AA162" s="14">
        <f t="shared" si="84"/>
        <v>5628.3916222821908</v>
      </c>
      <c r="AB162" s="25">
        <f t="shared" ca="1" si="85"/>
        <v>842445.81544450694</v>
      </c>
      <c r="AC162" s="41">
        <f t="shared" si="86"/>
        <v>2872321.4953843076</v>
      </c>
      <c r="AD162" s="5">
        <f t="shared" ca="1" si="87"/>
        <v>29.329788354064117</v>
      </c>
      <c r="AE162" s="7">
        <f t="shared" ca="1" si="88"/>
        <v>1650.7953505532425</v>
      </c>
      <c r="AF162" s="41">
        <f t="shared" ca="1" si="89"/>
        <v>0</v>
      </c>
      <c r="AG162" s="41">
        <f t="shared" ca="1" si="90"/>
        <v>121.80780382915567</v>
      </c>
      <c r="AH162" s="41">
        <f t="shared" ca="1" si="91"/>
        <v>1328.3652468289836</v>
      </c>
      <c r="AI162" s="13">
        <f t="shared" ca="1" si="92"/>
        <v>0</v>
      </c>
      <c r="AJ162" s="10">
        <f t="shared" ca="1" si="93"/>
        <v>0</v>
      </c>
      <c r="AK162" s="11">
        <f t="shared" ca="1" si="94"/>
        <v>0.43856304758886788</v>
      </c>
      <c r="AL162" s="6">
        <v>0</v>
      </c>
      <c r="AM162" s="6">
        <v>14400</v>
      </c>
      <c r="AN162" s="41">
        <f t="shared" ca="1" si="113"/>
        <v>5313.4609873159343</v>
      </c>
      <c r="AO162" s="41">
        <f t="shared" si="114"/>
        <v>1209.4428697065191</v>
      </c>
      <c r="AP162" s="67">
        <f t="shared" si="95"/>
        <v>0.80468196520168256</v>
      </c>
      <c r="AQ162" s="11">
        <f t="shared" si="96"/>
        <v>0.97937395000000005</v>
      </c>
      <c r="AR162" s="11">
        <f t="shared" si="97"/>
        <v>0.8962407041850623</v>
      </c>
      <c r="AS162" s="11">
        <f t="shared" si="98"/>
        <v>0.91511593113647982</v>
      </c>
      <c r="AT162" s="11">
        <f t="shared" si="99"/>
        <v>507.97188664649997</v>
      </c>
      <c r="AU162" s="11">
        <f t="shared" si="100"/>
        <v>1896.6425030105124</v>
      </c>
      <c r="AV162" s="11">
        <f t="shared" si="101"/>
        <v>2.1751390567182989E-3</v>
      </c>
      <c r="AW162" s="11">
        <f t="shared" si="102"/>
        <v>3.6770358841811742E-7</v>
      </c>
      <c r="AX162" s="41">
        <f t="shared" ca="1" si="115"/>
        <v>2.3522585008251884</v>
      </c>
      <c r="AY162" s="41">
        <f t="shared" ca="1" si="116"/>
        <v>1.263249935628342</v>
      </c>
      <c r="AZ162" s="41">
        <f t="shared" si="117"/>
        <v>0.32261509714194031</v>
      </c>
      <c r="BA162" s="41">
        <f t="shared" ca="1" si="105"/>
        <v>19.959290560157331</v>
      </c>
      <c r="BB162" s="41">
        <f t="shared" ca="1" si="106"/>
        <v>5.105721008363985</v>
      </c>
      <c r="BC162" s="41">
        <f t="shared" ca="1" si="118"/>
        <v>8.7421646606967833</v>
      </c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</row>
    <row r="163" spans="1:67">
      <c r="A163" s="41">
        <f t="shared" si="107"/>
        <v>14400</v>
      </c>
      <c r="B163" s="41">
        <f t="shared" si="108"/>
        <v>240</v>
      </c>
      <c r="C163" s="41">
        <f t="shared" si="109"/>
        <v>4</v>
      </c>
      <c r="D163" s="23">
        <f t="shared" ca="1" si="119"/>
        <v>16664.578262874267</v>
      </c>
      <c r="E163" s="41">
        <f t="shared" si="110"/>
        <v>1230.1904224126856</v>
      </c>
      <c r="F163" s="7">
        <f t="shared" si="111"/>
        <v>1230.1904224126856</v>
      </c>
      <c r="G163" s="41"/>
      <c r="H163" s="6">
        <v>3000</v>
      </c>
      <c r="I163" s="5">
        <v>0</v>
      </c>
      <c r="J163" s="41">
        <f t="shared" si="69"/>
        <v>0.46981024123631843</v>
      </c>
      <c r="K163" s="41">
        <f t="shared" si="70"/>
        <v>519.08170617800886</v>
      </c>
      <c r="L163" s="6">
        <f t="shared" si="112"/>
        <v>295</v>
      </c>
      <c r="M163" s="41">
        <f t="shared" si="71"/>
        <v>307.54760560317141</v>
      </c>
      <c r="N163" s="41">
        <f t="shared" si="72"/>
        <v>293.04106086201517</v>
      </c>
      <c r="O163" s="41">
        <f t="shared" si="73"/>
        <v>3070611.5694793905</v>
      </c>
      <c r="P163" s="41">
        <f t="shared" si="74"/>
        <v>19715483.946189545</v>
      </c>
      <c r="Q163" s="41">
        <f t="shared" si="75"/>
        <v>2.6460802913985809E-3</v>
      </c>
      <c r="R163" s="41">
        <f t="shared" si="76"/>
        <v>2.1154320178988335E-2</v>
      </c>
      <c r="S163" s="27">
        <v>0</v>
      </c>
      <c r="T163" s="41">
        <f t="shared" ca="1" si="77"/>
        <v>0.24725097529444931</v>
      </c>
      <c r="U163" s="41">
        <f t="shared" ca="1" si="78"/>
        <v>2.5015282982020395E-2</v>
      </c>
      <c r="V163" s="41">
        <f t="shared" ca="1" si="79"/>
        <v>9.883996734002956</v>
      </c>
      <c r="W163" s="20">
        <f t="shared" ca="1" si="80"/>
        <v>1686.0161644473974</v>
      </c>
      <c r="X163" s="41">
        <f t="shared" si="81"/>
        <v>0.57874831715057296</v>
      </c>
      <c r="Y163" s="41">
        <f t="shared" ca="1" si="82"/>
        <v>178.11278023252399</v>
      </c>
      <c r="Z163" s="14">
        <f t="shared" ca="1" si="83"/>
        <v>1686.0161644473974</v>
      </c>
      <c r="AA163" s="14">
        <f t="shared" si="84"/>
        <v>5628.3916222821908</v>
      </c>
      <c r="AB163" s="25">
        <f t="shared" ca="1" si="85"/>
        <v>875180.14728505735</v>
      </c>
      <c r="AC163" s="41">
        <f t="shared" si="86"/>
        <v>2921595.1263322509</v>
      </c>
      <c r="AD163" s="5">
        <f t="shared" ca="1" si="87"/>
        <v>29.955558845135126</v>
      </c>
      <c r="AE163" s="7">
        <f t="shared" ca="1" si="88"/>
        <v>1686.0161644473974</v>
      </c>
      <c r="AF163" s="41">
        <f t="shared" ca="1" si="89"/>
        <v>0</v>
      </c>
      <c r="AG163" s="41">
        <f t="shared" ca="1" si="90"/>
        <v>122.80028613782829</v>
      </c>
      <c r="AH163" s="41">
        <f t="shared" ca="1" si="91"/>
        <v>1358.9683695990393</v>
      </c>
      <c r="AI163" s="13">
        <f t="shared" ca="1" si="92"/>
        <v>0</v>
      </c>
      <c r="AJ163" s="10">
        <f t="shared" ca="1" si="93"/>
        <v>0</v>
      </c>
      <c r="AK163" s="11">
        <f t="shared" ca="1" si="94"/>
        <v>0.4421364316602201</v>
      </c>
      <c r="AL163" s="6">
        <v>0</v>
      </c>
      <c r="AM163" s="6">
        <v>14400</v>
      </c>
      <c r="AN163" s="41">
        <f t="shared" ca="1" si="113"/>
        <v>5435.8734783961572</v>
      </c>
      <c r="AO163" s="41">
        <f t="shared" si="114"/>
        <v>1230.1904224126856</v>
      </c>
      <c r="AP163" s="67">
        <f t="shared" si="95"/>
        <v>0.80602333373502966</v>
      </c>
      <c r="AQ163" s="11">
        <f t="shared" si="96"/>
        <v>0.97937395000000005</v>
      </c>
      <c r="AR163" s="11">
        <f t="shared" si="97"/>
        <v>0.8962407041850623</v>
      </c>
      <c r="AS163" s="11">
        <f t="shared" si="98"/>
        <v>0.91511593113647982</v>
      </c>
      <c r="AT163" s="11">
        <f t="shared" si="99"/>
        <v>507.97188664649997</v>
      </c>
      <c r="AU163" s="11">
        <f t="shared" si="100"/>
        <v>1896.6425030105124</v>
      </c>
      <c r="AV163" s="11">
        <f t="shared" si="101"/>
        <v>2.1751390567182989E-3</v>
      </c>
      <c r="AW163" s="11">
        <f t="shared" si="102"/>
        <v>3.6770358841811742E-7</v>
      </c>
      <c r="AX163" s="41">
        <f t="shared" ca="1" si="115"/>
        <v>2.4274567312458699</v>
      </c>
      <c r="AY163" s="41">
        <f t="shared" ca="1" si="116"/>
        <v>1.3036341704838932</v>
      </c>
      <c r="AZ163" s="41">
        <f t="shared" si="117"/>
        <v>0.32735808496672447</v>
      </c>
      <c r="BA163" s="41">
        <f t="shared" ca="1" si="105"/>
        <v>19.877583502762256</v>
      </c>
      <c r="BB163" s="41">
        <f t="shared" ca="1" si="106"/>
        <v>4.9147519075548249</v>
      </c>
      <c r="BC163" s="41">
        <f t="shared" ca="1" si="118"/>
        <v>8.5595411716465595</v>
      </c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</row>
    <row r="164" spans="1:67">
      <c r="A164" s="41">
        <f t="shared" si="107"/>
        <v>14400</v>
      </c>
      <c r="B164" s="41">
        <f t="shared" si="108"/>
        <v>240</v>
      </c>
      <c r="C164" s="41">
        <f t="shared" si="109"/>
        <v>4</v>
      </c>
      <c r="D164" s="23">
        <f t="shared" ca="1" si="119"/>
        <v>16664.578262874267</v>
      </c>
      <c r="E164" s="41">
        <f t="shared" si="110"/>
        <v>1250.9330618134602</v>
      </c>
      <c r="F164" s="7">
        <f t="shared" si="111"/>
        <v>1250.9330618134602</v>
      </c>
      <c r="G164" s="41"/>
      <c r="H164" s="6">
        <v>3000</v>
      </c>
      <c r="I164" s="5">
        <v>0</v>
      </c>
      <c r="J164" s="41">
        <f t="shared" si="69"/>
        <v>0.47773186397310052</v>
      </c>
      <c r="K164" s="41">
        <f t="shared" si="70"/>
        <v>527.83411105340406</v>
      </c>
      <c r="L164" s="6">
        <f t="shared" si="112"/>
        <v>300</v>
      </c>
      <c r="M164" s="41">
        <f t="shared" si="71"/>
        <v>312.73326545336505</v>
      </c>
      <c r="N164" s="41">
        <f t="shared" si="72"/>
        <v>303.0064942768978</v>
      </c>
      <c r="O164" s="41">
        <f t="shared" si="73"/>
        <v>3122386.146297053</v>
      </c>
      <c r="P164" s="41">
        <f t="shared" si="74"/>
        <v>20047913.110534303</v>
      </c>
      <c r="Q164" s="41">
        <f t="shared" si="75"/>
        <v>2.6375008384842101E-3</v>
      </c>
      <c r="R164" s="41">
        <f t="shared" si="76"/>
        <v>2.1101942618946101E-2</v>
      </c>
      <c r="S164" s="27">
        <v>0</v>
      </c>
      <c r="T164" s="41">
        <f t="shared" ca="1" si="77"/>
        <v>0.23911925806197981</v>
      </c>
      <c r="U164" s="41">
        <f t="shared" ca="1" si="78"/>
        <v>2.4713118988685518E-2</v>
      </c>
      <c r="V164" s="41">
        <f t="shared" ca="1" si="79"/>
        <v>9.6758024825379785</v>
      </c>
      <c r="W164" s="20">
        <f t="shared" ca="1" si="80"/>
        <v>1722.2941759041696</v>
      </c>
      <c r="X164" s="41">
        <f t="shared" si="81"/>
        <v>0.57803139002747794</v>
      </c>
      <c r="Y164" s="41">
        <f t="shared" ca="1" si="82"/>
        <v>178.11278023252399</v>
      </c>
      <c r="Z164" s="14">
        <f t="shared" ca="1" si="83"/>
        <v>1722.2941759041696</v>
      </c>
      <c r="AA164" s="14">
        <f t="shared" si="84"/>
        <v>5628.3916222821908</v>
      </c>
      <c r="AB164" s="25">
        <f t="shared" ca="1" si="85"/>
        <v>909085.61531083251</v>
      </c>
      <c r="AC164" s="41">
        <f t="shared" si="86"/>
        <v>2970857.0886077471</v>
      </c>
      <c r="AD164" s="5">
        <f t="shared" ca="1" si="87"/>
        <v>30.600112634056842</v>
      </c>
      <c r="AE164" s="7">
        <f t="shared" ca="1" si="88"/>
        <v>1722.2941759041696</v>
      </c>
      <c r="AF164" s="41">
        <f t="shared" ca="1" si="89"/>
        <v>0</v>
      </c>
      <c r="AG164" s="41">
        <f t="shared" ca="1" si="90"/>
        <v>123.72179126129923</v>
      </c>
      <c r="AH164" s="41">
        <f t="shared" ca="1" si="91"/>
        <v>1390.5016199122356</v>
      </c>
      <c r="AI164" s="13">
        <f t="shared" ca="1" si="92"/>
        <v>0</v>
      </c>
      <c r="AJ164" s="10">
        <f t="shared" ca="1" si="93"/>
        <v>0</v>
      </c>
      <c r="AK164" s="11">
        <f t="shared" ca="1" si="94"/>
        <v>0.44545426584336489</v>
      </c>
      <c r="AL164" s="6">
        <v>0</v>
      </c>
      <c r="AM164" s="6">
        <v>14400</v>
      </c>
      <c r="AN164" s="41">
        <f t="shared" ca="1" si="113"/>
        <v>5562.0064796489423</v>
      </c>
      <c r="AO164" s="41">
        <f t="shared" si="114"/>
        <v>1250.9330618134602</v>
      </c>
      <c r="AP164" s="67">
        <f t="shared" si="95"/>
        <v>0.80735430646291906</v>
      </c>
      <c r="AQ164" s="11">
        <f t="shared" si="96"/>
        <v>0.97937395000000005</v>
      </c>
      <c r="AR164" s="11">
        <f t="shared" si="97"/>
        <v>0.8962407041850623</v>
      </c>
      <c r="AS164" s="11">
        <f t="shared" si="98"/>
        <v>0.91511593113647982</v>
      </c>
      <c r="AT164" s="11">
        <f t="shared" si="99"/>
        <v>507.97188664649997</v>
      </c>
      <c r="AU164" s="11">
        <f t="shared" si="100"/>
        <v>1896.6425030105124</v>
      </c>
      <c r="AV164" s="11">
        <f t="shared" si="101"/>
        <v>2.1751390567182989E-3</v>
      </c>
      <c r="AW164" s="11">
        <f t="shared" si="102"/>
        <v>3.6770358841811742E-7</v>
      </c>
      <c r="AX164" s="41">
        <f t="shared" ca="1" si="115"/>
        <v>2.5041273945557156</v>
      </c>
      <c r="AY164" s="41">
        <f t="shared" ca="1" si="116"/>
        <v>1.3448091563354772</v>
      </c>
      <c r="AZ164" s="41">
        <f t="shared" si="117"/>
        <v>0.33206944845099118</v>
      </c>
      <c r="BA164" s="41">
        <f t="shared" ca="1" si="105"/>
        <v>19.786989214024977</v>
      </c>
      <c r="BB164" s="41">
        <f t="shared" ca="1" si="106"/>
        <v>4.7314501801380491</v>
      </c>
      <c r="BC164" s="41">
        <f t="shared" ca="1" si="118"/>
        <v>8.37924494987789</v>
      </c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</row>
    <row r="165" spans="1:67">
      <c r="A165" s="41">
        <f t="shared" si="107"/>
        <v>14400</v>
      </c>
      <c r="B165" s="41">
        <f t="shared" si="108"/>
        <v>240</v>
      </c>
      <c r="C165" s="41">
        <f t="shared" si="109"/>
        <v>4</v>
      </c>
      <c r="D165" s="23">
        <f t="shared" ca="1" si="119"/>
        <v>16664.578262874267</v>
      </c>
      <c r="E165" s="41">
        <f t="shared" si="110"/>
        <v>1271.6707411121433</v>
      </c>
      <c r="F165" s="7">
        <f t="shared" si="111"/>
        <v>1271.6707411121433</v>
      </c>
      <c r="G165" s="41"/>
      <c r="H165" s="6">
        <v>3000</v>
      </c>
      <c r="I165" s="5">
        <v>0</v>
      </c>
      <c r="J165" s="41">
        <f t="shared" si="69"/>
        <v>0.48565159244480166</v>
      </c>
      <c r="K165" s="41">
        <f t="shared" si="70"/>
        <v>536.58442300220065</v>
      </c>
      <c r="L165" s="6">
        <f t="shared" si="112"/>
        <v>305</v>
      </c>
      <c r="M165" s="41">
        <f t="shared" si="71"/>
        <v>317.91768527803583</v>
      </c>
      <c r="N165" s="41">
        <f t="shared" si="72"/>
        <v>313.13611057469353</v>
      </c>
      <c r="O165" s="41">
        <f t="shared" si="73"/>
        <v>3174148.3424729938</v>
      </c>
      <c r="P165" s="41">
        <f t="shared" si="74"/>
        <v>20380262.782459527</v>
      </c>
      <c r="Q165" s="41">
        <f t="shared" si="75"/>
        <v>2.6290407485335841E-3</v>
      </c>
      <c r="R165" s="41">
        <f t="shared" si="76"/>
        <v>2.1050293769797529E-2</v>
      </c>
      <c r="S165" s="27">
        <v>0</v>
      </c>
      <c r="T165" s="41">
        <f t="shared" ca="1" si="77"/>
        <v>0.23138400731387526</v>
      </c>
      <c r="U165" s="41">
        <f t="shared" ca="1" si="78"/>
        <v>2.4431613724361877E-2</v>
      </c>
      <c r="V165" s="41">
        <f t="shared" ca="1" si="79"/>
        <v>9.4706804848977981</v>
      </c>
      <c r="W165" s="20">
        <f t="shared" ca="1" si="80"/>
        <v>1759.5967142432955</v>
      </c>
      <c r="X165" s="41">
        <f t="shared" si="81"/>
        <v>0.57732356546917318</v>
      </c>
      <c r="Y165" s="41">
        <f t="shared" ca="1" si="82"/>
        <v>178.11278023252399</v>
      </c>
      <c r="Z165" s="14">
        <f t="shared" ca="1" si="83"/>
        <v>1759.5967142432955</v>
      </c>
      <c r="AA165" s="14">
        <f t="shared" si="84"/>
        <v>5628.3916222821908</v>
      </c>
      <c r="AB165" s="25">
        <f t="shared" ca="1" si="85"/>
        <v>944172.18762880692</v>
      </c>
      <c r="AC165" s="41">
        <f t="shared" si="86"/>
        <v>3020107.2710727095</v>
      </c>
      <c r="AD165" s="5">
        <f t="shared" ca="1" si="87"/>
        <v>31.262869258728255</v>
      </c>
      <c r="AE165" s="7">
        <f t="shared" ca="1" si="88"/>
        <v>1759.5967142432955</v>
      </c>
      <c r="AF165" s="41">
        <f t="shared" ca="1" si="89"/>
        <v>0</v>
      </c>
      <c r="AG165" s="41">
        <f t="shared" ca="1" si="90"/>
        <v>124.57171436907699</v>
      </c>
      <c r="AH165" s="41">
        <f t="shared" ca="1" si="91"/>
        <v>1422.9417245077082</v>
      </c>
      <c r="AI165" s="13">
        <f t="shared" ca="1" si="92"/>
        <v>0</v>
      </c>
      <c r="AJ165" s="10">
        <f t="shared" ca="1" si="93"/>
        <v>0</v>
      </c>
      <c r="AK165" s="11">
        <f t="shared" ca="1" si="94"/>
        <v>0.44851437247566256</v>
      </c>
      <c r="AL165" s="6">
        <v>0</v>
      </c>
      <c r="AM165" s="6">
        <v>14400</v>
      </c>
      <c r="AN165" s="41">
        <f t="shared" ca="1" si="113"/>
        <v>5691.7668980308326</v>
      </c>
      <c r="AO165" s="41">
        <f t="shared" si="114"/>
        <v>1271.6707411121433</v>
      </c>
      <c r="AP165" s="67">
        <f t="shared" si="95"/>
        <v>0.80867491567216077</v>
      </c>
      <c r="AQ165" s="11">
        <f t="shared" si="96"/>
        <v>0.97937395000000005</v>
      </c>
      <c r="AR165" s="11">
        <f t="shared" si="97"/>
        <v>0.8962407041850623</v>
      </c>
      <c r="AS165" s="11">
        <f t="shared" si="98"/>
        <v>0.91511593113647982</v>
      </c>
      <c r="AT165" s="11">
        <f t="shared" si="99"/>
        <v>507.97188664649997</v>
      </c>
      <c r="AU165" s="11">
        <f t="shared" si="100"/>
        <v>1896.6425030105124</v>
      </c>
      <c r="AV165" s="11">
        <f t="shared" si="101"/>
        <v>2.1751390567182989E-3</v>
      </c>
      <c r="AW165" s="11">
        <f t="shared" si="102"/>
        <v>3.6770358841811742E-7</v>
      </c>
      <c r="AX165" s="41">
        <f t="shared" ca="1" si="115"/>
        <v>2.5822581796556774</v>
      </c>
      <c r="AY165" s="41">
        <f t="shared" ca="1" si="116"/>
        <v>1.386768281666938</v>
      </c>
      <c r="AZ165" s="41">
        <f t="shared" si="117"/>
        <v>0.33674919874062764</v>
      </c>
      <c r="BA165" s="41">
        <f t="shared" ca="1" si="105"/>
        <v>19.688585492512644</v>
      </c>
      <c r="BB165" s="41">
        <f t="shared" ca="1" si="106"/>
        <v>4.5556238095994033</v>
      </c>
      <c r="BC165" s="41">
        <f t="shared" ca="1" si="118"/>
        <v>8.2016092999214933</v>
      </c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</row>
    <row r="166" spans="1:67">
      <c r="A166" s="41">
        <f t="shared" si="107"/>
        <v>14400</v>
      </c>
      <c r="B166" s="41">
        <f t="shared" si="108"/>
        <v>240</v>
      </c>
      <c r="C166" s="41">
        <f t="shared" si="109"/>
        <v>4</v>
      </c>
      <c r="D166" s="23">
        <f t="shared" ca="1" si="119"/>
        <v>16664.578262874267</v>
      </c>
      <c r="E166" s="41">
        <f t="shared" si="110"/>
        <v>1292.4034150173147</v>
      </c>
      <c r="F166" s="7">
        <f t="shared" si="111"/>
        <v>1292.4034150173147</v>
      </c>
      <c r="G166" s="41"/>
      <c r="H166" s="6">
        <v>3000</v>
      </c>
      <c r="I166" s="5">
        <v>0</v>
      </c>
      <c r="J166" s="41">
        <f t="shared" si="69"/>
        <v>0.49356940935460919</v>
      </c>
      <c r="K166" s="41">
        <f t="shared" si="70"/>
        <v>545.33262291357858</v>
      </c>
      <c r="L166" s="6">
        <f t="shared" si="112"/>
        <v>310</v>
      </c>
      <c r="M166" s="41">
        <f t="shared" si="71"/>
        <v>323.10085375432868</v>
      </c>
      <c r="N166" s="41">
        <f t="shared" si="72"/>
        <v>323.42976758171056</v>
      </c>
      <c r="O166" s="41">
        <f t="shared" si="73"/>
        <v>3225898.0449577584</v>
      </c>
      <c r="P166" s="41">
        <f t="shared" si="74"/>
        <v>20712532.236108281</v>
      </c>
      <c r="Q166" s="41">
        <f t="shared" si="75"/>
        <v>2.6206951910305205E-3</v>
      </c>
      <c r="R166" s="41">
        <f t="shared" si="76"/>
        <v>2.0999344141241327E-2</v>
      </c>
      <c r="S166" s="27">
        <v>0</v>
      </c>
      <c r="T166" s="41">
        <f t="shared" ca="1" si="77"/>
        <v>0.22401985024816412</v>
      </c>
      <c r="U166" s="41">
        <f t="shared" ca="1" si="78"/>
        <v>2.416885756904431E-2</v>
      </c>
      <c r="V166" s="41">
        <f t="shared" ca="1" si="79"/>
        <v>9.2689466023868157</v>
      </c>
      <c r="W166" s="20">
        <f t="shared" ca="1" si="80"/>
        <v>1797.8934368424377</v>
      </c>
      <c r="X166" s="41">
        <f t="shared" si="81"/>
        <v>0.57662447210729029</v>
      </c>
      <c r="Y166" s="41">
        <f t="shared" ca="1" si="82"/>
        <v>178.11278023252396</v>
      </c>
      <c r="Z166" s="14">
        <f t="shared" ca="1" si="83"/>
        <v>1797.8934368424377</v>
      </c>
      <c r="AA166" s="14">
        <f t="shared" si="84"/>
        <v>5628.3916222821908</v>
      </c>
      <c r="AB166" s="25">
        <f t="shared" ca="1" si="85"/>
        <v>980449.94363239489</v>
      </c>
      <c r="AC166" s="41">
        <f t="shared" si="86"/>
        <v>3069345.566163959</v>
      </c>
      <c r="AD166" s="5">
        <f t="shared" ca="1" si="87"/>
        <v>31.943289619804936</v>
      </c>
      <c r="AE166" s="7">
        <f t="shared" ca="1" si="88"/>
        <v>1797.8934368424377</v>
      </c>
      <c r="AF166" s="41">
        <f t="shared" ca="1" si="89"/>
        <v>0</v>
      </c>
      <c r="AG166" s="41">
        <f t="shared" ca="1" si="90"/>
        <v>125.34944416716827</v>
      </c>
      <c r="AH166" s="41">
        <f t="shared" ca="1" si="91"/>
        <v>1456.2670635332352</v>
      </c>
      <c r="AI166" s="13">
        <f t="shared" ca="1" si="92"/>
        <v>0</v>
      </c>
      <c r="AJ166" s="10">
        <f t="shared" ca="1" si="93"/>
        <v>0</v>
      </c>
      <c r="AK166" s="11">
        <f t="shared" ca="1" si="94"/>
        <v>0.45131455062295089</v>
      </c>
      <c r="AL166" s="6">
        <v>0</v>
      </c>
      <c r="AM166" s="6">
        <v>14400</v>
      </c>
      <c r="AN166" s="41">
        <f t="shared" ca="1" si="113"/>
        <v>5825.0682541329406</v>
      </c>
      <c r="AO166" s="41">
        <f t="shared" si="114"/>
        <v>1292.4034150173147</v>
      </c>
      <c r="AP166" s="67">
        <f t="shared" si="95"/>
        <v>0.80998519361125976</v>
      </c>
      <c r="AQ166" s="11">
        <f t="shared" si="96"/>
        <v>0.97937395000000005</v>
      </c>
      <c r="AR166" s="11">
        <f t="shared" si="97"/>
        <v>0.8962407041850623</v>
      </c>
      <c r="AS166" s="11">
        <f t="shared" si="98"/>
        <v>0.91511593113647982</v>
      </c>
      <c r="AT166" s="11">
        <f t="shared" si="99"/>
        <v>507.97188664649997</v>
      </c>
      <c r="AU166" s="11">
        <f t="shared" si="100"/>
        <v>1896.6425030105124</v>
      </c>
      <c r="AV166" s="11">
        <f t="shared" si="101"/>
        <v>2.1751390567182989E-3</v>
      </c>
      <c r="AW166" s="11">
        <f t="shared" si="102"/>
        <v>3.6770358841811742E-7</v>
      </c>
      <c r="AX166" s="41">
        <f t="shared" ca="1" si="115"/>
        <v>2.6618377605034698</v>
      </c>
      <c r="AY166" s="41">
        <f t="shared" ca="1" si="116"/>
        <v>1.4295054639740858</v>
      </c>
      <c r="AZ166" s="41">
        <f t="shared" si="117"/>
        <v>0.34139734758784274</v>
      </c>
      <c r="BA166" s="41">
        <f t="shared" ca="1" si="105"/>
        <v>19.5833564529642</v>
      </c>
      <c r="BB166" s="41">
        <f t="shared" ca="1" si="106"/>
        <v>4.3870605799494591</v>
      </c>
      <c r="BC166" s="41">
        <f t="shared" ca="1" si="118"/>
        <v>8.0269077576669829</v>
      </c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</row>
    <row r="167" spans="1:67">
      <c r="A167" s="41">
        <f t="shared" si="107"/>
        <v>14400</v>
      </c>
      <c r="B167" s="41">
        <f t="shared" si="108"/>
        <v>240</v>
      </c>
      <c r="C167" s="41">
        <f t="shared" si="109"/>
        <v>4</v>
      </c>
      <c r="D167" s="23">
        <f t="shared" ca="1" si="119"/>
        <v>16664.578262874267</v>
      </c>
      <c r="E167" s="41">
        <f t="shared" si="110"/>
        <v>1313.1310397438817</v>
      </c>
      <c r="F167" s="7">
        <f t="shared" si="111"/>
        <v>1313.1310397438817</v>
      </c>
      <c r="G167" s="41"/>
      <c r="H167" s="6">
        <v>3000</v>
      </c>
      <c r="I167" s="5">
        <v>0</v>
      </c>
      <c r="J167" s="41">
        <f t="shared" si="69"/>
        <v>0.50148529798097796</v>
      </c>
      <c r="K167" s="41">
        <f t="shared" si="70"/>
        <v>554.07869231231632</v>
      </c>
      <c r="L167" s="6">
        <f t="shared" si="112"/>
        <v>315</v>
      </c>
      <c r="M167" s="41">
        <f t="shared" si="71"/>
        <v>328.28275993597043</v>
      </c>
      <c r="N167" s="41">
        <f t="shared" si="72"/>
        <v>333.88732246460773</v>
      </c>
      <c r="O167" s="41">
        <f t="shared" si="73"/>
        <v>3277635.1444617505</v>
      </c>
      <c r="P167" s="41">
        <f t="shared" si="74"/>
        <v>21044720.769764561</v>
      </c>
      <c r="Q167" s="41">
        <f t="shared" si="75"/>
        <v>2.6124595943516488E-3</v>
      </c>
      <c r="R167" s="41">
        <f t="shared" si="76"/>
        <v>2.0949065823516817E-2</v>
      </c>
      <c r="S167" s="27">
        <v>0</v>
      </c>
      <c r="T167" s="41">
        <f t="shared" ca="1" si="77"/>
        <v>0.21700341170375995</v>
      </c>
      <c r="U167" s="41">
        <f t="shared" ca="1" si="78"/>
        <v>2.392314628961106E-2</v>
      </c>
      <c r="V167" s="41">
        <f t="shared" ca="1" si="79"/>
        <v>9.0708558597075726</v>
      </c>
      <c r="W167" s="20">
        <f t="shared" ca="1" si="80"/>
        <v>1837.156109700491</v>
      </c>
      <c r="X167" s="41">
        <f t="shared" si="81"/>
        <v>0.57593375808792135</v>
      </c>
      <c r="Y167" s="41">
        <f t="shared" ca="1" si="82"/>
        <v>178.11278023252399</v>
      </c>
      <c r="Z167" s="14">
        <f t="shared" ca="1" si="83"/>
        <v>1837.156109700491</v>
      </c>
      <c r="AA167" s="14">
        <f t="shared" si="84"/>
        <v>5628.3916222821908</v>
      </c>
      <c r="AB167" s="25">
        <f t="shared" ca="1" si="85"/>
        <v>1017929.0548364304</v>
      </c>
      <c r="AC167" s="41">
        <f t="shared" si="86"/>
        <v>3118571.8698957129</v>
      </c>
      <c r="AD167" s="5">
        <f t="shared" ca="1" si="87"/>
        <v>32.640872081953034</v>
      </c>
      <c r="AE167" s="7">
        <f t="shared" ca="1" si="88"/>
        <v>1837.156109700491</v>
      </c>
      <c r="AF167" s="41">
        <f t="shared" ca="1" si="89"/>
        <v>0</v>
      </c>
      <c r="AG167" s="41">
        <f t="shared" ca="1" si="90"/>
        <v>126.05436404827259</v>
      </c>
      <c r="AH167" s="41">
        <f t="shared" ca="1" si="91"/>
        <v>1490.457511343247</v>
      </c>
      <c r="AI167" s="13">
        <f t="shared" ca="1" si="92"/>
        <v>0</v>
      </c>
      <c r="AJ167" s="10">
        <f t="shared" ca="1" si="93"/>
        <v>0</v>
      </c>
      <c r="AK167" s="11">
        <f t="shared" ca="1" si="94"/>
        <v>0.45385258022076475</v>
      </c>
      <c r="AL167" s="6">
        <v>0</v>
      </c>
      <c r="AM167" s="6">
        <v>14400</v>
      </c>
      <c r="AN167" s="41">
        <f t="shared" ca="1" si="113"/>
        <v>5961.830045372988</v>
      </c>
      <c r="AO167" s="41">
        <f t="shared" si="114"/>
        <v>1313.1310397438817</v>
      </c>
      <c r="AP167" s="67">
        <f t="shared" si="95"/>
        <v>0.81128517248663978</v>
      </c>
      <c r="AQ167" s="11">
        <f t="shared" si="96"/>
        <v>0.97937395000000005</v>
      </c>
      <c r="AR167" s="11">
        <f t="shared" si="97"/>
        <v>0.8962407041850623</v>
      </c>
      <c r="AS167" s="11">
        <f t="shared" si="98"/>
        <v>0.91511593113647982</v>
      </c>
      <c r="AT167" s="11">
        <f t="shared" si="99"/>
        <v>507.97188664649997</v>
      </c>
      <c r="AU167" s="11">
        <f t="shared" si="100"/>
        <v>1896.6425030105124</v>
      </c>
      <c r="AV167" s="11">
        <f t="shared" si="101"/>
        <v>2.1751390567182989E-3</v>
      </c>
      <c r="AW167" s="11">
        <f t="shared" si="102"/>
        <v>3.6770358841811742E-7</v>
      </c>
      <c r="AX167" s="41">
        <f t="shared" ca="1" si="115"/>
        <v>2.7428556897291703</v>
      </c>
      <c r="AY167" s="41">
        <f t="shared" ca="1" si="116"/>
        <v>1.4730150926323324</v>
      </c>
      <c r="AZ167" s="41">
        <f t="shared" si="117"/>
        <v>0.34601390734017673</v>
      </c>
      <c r="BA167" s="41">
        <f t="shared" ca="1" si="105"/>
        <v>19.472198357283112</v>
      </c>
      <c r="BB167" s="41">
        <f t="shared" ca="1" si="106"/>
        <v>4.2255334769027844</v>
      </c>
      <c r="BC167" s="41">
        <f t="shared" ca="1" si="118"/>
        <v>7.8553611745067577</v>
      </c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</row>
    <row r="168" spans="1:67">
      <c r="A168" s="41">
        <f t="shared" si="107"/>
        <v>14400</v>
      </c>
      <c r="B168" s="41">
        <f t="shared" si="108"/>
        <v>240</v>
      </c>
      <c r="C168" s="41">
        <f t="shared" si="109"/>
        <v>4</v>
      </c>
      <c r="D168" s="23">
        <f t="shared" ca="1" si="119"/>
        <v>16664.578262874267</v>
      </c>
      <c r="E168" s="41">
        <f t="shared" si="110"/>
        <v>1333.853573013361</v>
      </c>
      <c r="F168" s="7">
        <f t="shared" si="111"/>
        <v>1333.853573013361</v>
      </c>
      <c r="G168" s="41"/>
      <c r="H168" s="6">
        <v>3000</v>
      </c>
      <c r="I168" s="5">
        <v>0</v>
      </c>
      <c r="J168" s="41">
        <f t="shared" si="69"/>
        <v>0.50939924217773724</v>
      </c>
      <c r="K168" s="41">
        <f t="shared" si="70"/>
        <v>562.82261335890973</v>
      </c>
      <c r="L168" s="6">
        <f t="shared" si="112"/>
        <v>320</v>
      </c>
      <c r="M168" s="41">
        <f t="shared" si="71"/>
        <v>333.46339325334026</v>
      </c>
      <c r="N168" s="41">
        <f t="shared" si="72"/>
        <v>344.50863179186445</v>
      </c>
      <c r="O168" s="41">
        <f t="shared" si="73"/>
        <v>3329359.5354559431</v>
      </c>
      <c r="P168" s="41">
        <f t="shared" si="74"/>
        <v>21376827.705857862</v>
      </c>
      <c r="Q168" s="41">
        <f t="shared" si="75"/>
        <v>2.6043296285231752E-3</v>
      </c>
      <c r="R168" s="41">
        <f t="shared" si="76"/>
        <v>2.0899432382133983E-2</v>
      </c>
      <c r="S168" s="27">
        <v>0</v>
      </c>
      <c r="T168" s="41">
        <f t="shared" ca="1" si="77"/>
        <v>0.21031312836082139</v>
      </c>
      <c r="U168" s="41">
        <f t="shared" ca="1" si="78"/>
        <v>2.3692956066460286E-2</v>
      </c>
      <c r="V168" s="41">
        <f t="shared" ca="1" si="79"/>
        <v>8.876609899198705</v>
      </c>
      <c r="W168" s="20">
        <f t="shared" ca="1" si="80"/>
        <v>1877.358411839027</v>
      </c>
      <c r="X168" s="41">
        <f t="shared" si="81"/>
        <v>0.57525108979382222</v>
      </c>
      <c r="Y168" s="41">
        <f t="shared" ca="1" si="82"/>
        <v>178.11278023252399</v>
      </c>
      <c r="Z168" s="14">
        <f t="shared" ca="1" si="83"/>
        <v>1877.358411839027</v>
      </c>
      <c r="AA168" s="14">
        <f t="shared" si="84"/>
        <v>5628.3916222821908</v>
      </c>
      <c r="AB168" s="25">
        <f t="shared" ca="1" si="85"/>
        <v>1056619.7675625735</v>
      </c>
      <c r="AC168" s="41">
        <f t="shared" si="86"/>
        <v>3167786.0818602564</v>
      </c>
      <c r="AD168" s="5">
        <f t="shared" ca="1" si="87"/>
        <v>33.355148998636999</v>
      </c>
      <c r="AE168" s="7">
        <f t="shared" ca="1" si="88"/>
        <v>1877.3584118390268</v>
      </c>
      <c r="AF168" s="41">
        <f t="shared" ca="1" si="89"/>
        <v>0</v>
      </c>
      <c r="AG168" s="41">
        <f t="shared" ca="1" si="90"/>
        <v>126.68585313082826</v>
      </c>
      <c r="AH168" s="41">
        <f t="shared" ca="1" si="91"/>
        <v>1525.4942945879627</v>
      </c>
      <c r="AI168" s="13">
        <f t="shared" ca="1" si="92"/>
        <v>-7.6792250126771755E-15</v>
      </c>
      <c r="AJ168" s="10">
        <f t="shared" ca="1" si="93"/>
        <v>-7.8175107523108737E-16</v>
      </c>
      <c r="AK168" s="11">
        <f t="shared" ca="1" si="94"/>
        <v>0.4561262258153701</v>
      </c>
      <c r="AL168" s="6">
        <v>0</v>
      </c>
      <c r="AM168" s="6">
        <v>14400</v>
      </c>
      <c r="AN168" s="41">
        <f t="shared" ca="1" si="113"/>
        <v>6101.9771783518509</v>
      </c>
      <c r="AO168" s="41">
        <f t="shared" si="114"/>
        <v>1333.853573013361</v>
      </c>
      <c r="AP168" s="67">
        <f t="shared" si="95"/>
        <v>0.81257488445885817</v>
      </c>
      <c r="AQ168" s="11">
        <f t="shared" si="96"/>
        <v>0.97937395000000005</v>
      </c>
      <c r="AR168" s="11">
        <f t="shared" si="97"/>
        <v>0.8962407041850623</v>
      </c>
      <c r="AS168" s="11">
        <f t="shared" si="98"/>
        <v>0.91511593113647982</v>
      </c>
      <c r="AT168" s="11">
        <f t="shared" si="99"/>
        <v>507.97188664649997</v>
      </c>
      <c r="AU168" s="11">
        <f t="shared" si="100"/>
        <v>1896.6425030105124</v>
      </c>
      <c r="AV168" s="11">
        <f t="shared" si="101"/>
        <v>2.1751390567182989E-3</v>
      </c>
      <c r="AW168" s="11">
        <f t="shared" si="102"/>
        <v>3.6770358841811742E-7</v>
      </c>
      <c r="AX168" s="41">
        <f t="shared" ca="1" si="115"/>
        <v>2.8253023058502089</v>
      </c>
      <c r="AY168" s="41">
        <f t="shared" ca="1" si="116"/>
        <v>1.5172919790677049</v>
      </c>
      <c r="AZ168" s="41">
        <f t="shared" si="117"/>
        <v>0.35059889092933871</v>
      </c>
      <c r="BA168" s="41">
        <f t="shared" ca="1" si="105"/>
        <v>19.355925533205159</v>
      </c>
      <c r="BB168" s="41">
        <f t="shared" ca="1" si="106"/>
        <v>4.0708052512074762</v>
      </c>
      <c r="BC168" s="41">
        <f t="shared" ca="1" si="118"/>
        <v>7.6871441727060787</v>
      </c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</row>
    <row r="169" spans="1:67">
      <c r="A169" s="41">
        <f t="shared" si="107"/>
        <v>14400</v>
      </c>
      <c r="B169" s="41">
        <f t="shared" si="108"/>
        <v>240</v>
      </c>
      <c r="C169" s="41">
        <f t="shared" si="109"/>
        <v>4</v>
      </c>
      <c r="D169" s="23">
        <f t="shared" ca="1" si="119"/>
        <v>16664.578262874267</v>
      </c>
      <c r="E169" s="41">
        <f t="shared" si="110"/>
        <v>1354.5709740533216</v>
      </c>
      <c r="F169" s="7">
        <f t="shared" si="111"/>
        <v>1354.5709740533216</v>
      </c>
      <c r="G169" s="41"/>
      <c r="H169" s="6">
        <v>3000</v>
      </c>
      <c r="I169" s="5">
        <v>0</v>
      </c>
      <c r="J169" s="41">
        <f t="shared" si="69"/>
        <v>0.51731122637387839</v>
      </c>
      <c r="K169" s="41">
        <f t="shared" si="70"/>
        <v>571.56436884933669</v>
      </c>
      <c r="L169" s="6">
        <f t="shared" si="112"/>
        <v>325</v>
      </c>
      <c r="M169" s="41">
        <f t="shared" si="71"/>
        <v>338.6427435133304</v>
      </c>
      <c r="N169" s="41">
        <f t="shared" si="72"/>
        <v>355.29355159478791</v>
      </c>
      <c r="O169" s="41">
        <f t="shared" si="73"/>
        <v>3381071.1161704827</v>
      </c>
      <c r="P169" s="41">
        <f t="shared" si="74"/>
        <v>21708852.390954208</v>
      </c>
      <c r="Q169" s="41">
        <f t="shared" si="75"/>
        <v>2.5963011893736609E-3</v>
      </c>
      <c r="R169" s="41">
        <f t="shared" si="76"/>
        <v>2.0850418761126199E-2</v>
      </c>
      <c r="S169" s="27">
        <v>0</v>
      </c>
      <c r="T169" s="41">
        <f t="shared" ca="1" si="77"/>
        <v>0.203929082794297</v>
      </c>
      <c r="U169" s="41">
        <f t="shared" ca="1" si="78"/>
        <v>2.3476921891291466E-2</v>
      </c>
      <c r="V169" s="41">
        <f t="shared" ca="1" si="79"/>
        <v>8.6863637293925873</v>
      </c>
      <c r="W169" s="20">
        <f t="shared" ca="1" si="80"/>
        <v>1918.475760632185</v>
      </c>
      <c r="X169" s="41">
        <f t="shared" si="81"/>
        <v>0.57457615066872847</v>
      </c>
      <c r="Y169" s="41">
        <f t="shared" ca="1" si="82"/>
        <v>178.11278023252399</v>
      </c>
      <c r="Z169" s="14">
        <f t="shared" ca="1" si="83"/>
        <v>1918.475760632185</v>
      </c>
      <c r="AA169" s="14">
        <f t="shared" si="84"/>
        <v>5628.3916222821908</v>
      </c>
      <c r="AB169" s="25">
        <f t="shared" ca="1" si="85"/>
        <v>1096532.387278486</v>
      </c>
      <c r="AC169" s="41">
        <f t="shared" si="86"/>
        <v>3216988.1052266145</v>
      </c>
      <c r="AD169" s="5">
        <f t="shared" ca="1" si="87"/>
        <v>34.085683608744418</v>
      </c>
      <c r="AE169" s="7">
        <f t="shared" ca="1" si="88"/>
        <v>1918.4757606321846</v>
      </c>
      <c r="AF169" s="41">
        <f t="shared" ca="1" si="89"/>
        <v>0</v>
      </c>
      <c r="AG169" s="41">
        <f t="shared" ca="1" si="90"/>
        <v>127.2432871987003</v>
      </c>
      <c r="AH169" s="41">
        <f t="shared" ca="1" si="91"/>
        <v>1561.3598654888299</v>
      </c>
      <c r="AI169" s="13">
        <f t="shared" ca="1" si="92"/>
        <v>-1.5596997325421651E-14</v>
      </c>
      <c r="AJ169" s="10">
        <f t="shared" ca="1" si="93"/>
        <v>-1.5635021504621747E-15</v>
      </c>
      <c r="AK169" s="11">
        <f t="shared" ca="1" si="94"/>
        <v>0.45813323994706484</v>
      </c>
      <c r="AL169" s="6">
        <v>0</v>
      </c>
      <c r="AM169" s="6">
        <v>14400</v>
      </c>
      <c r="AN169" s="41">
        <f t="shared" ca="1" si="113"/>
        <v>6245.4394619553195</v>
      </c>
      <c r="AO169" s="41">
        <f t="shared" si="114"/>
        <v>1354.5709740533216</v>
      </c>
      <c r="AP169" s="67">
        <f t="shared" si="95"/>
        <v>0.81385436163880631</v>
      </c>
      <c r="AQ169" s="11">
        <f t="shared" si="96"/>
        <v>0.97937395000000005</v>
      </c>
      <c r="AR169" s="11">
        <f t="shared" si="97"/>
        <v>0.8962407041850623</v>
      </c>
      <c r="AS169" s="11">
        <f t="shared" si="98"/>
        <v>0.91511593113647982</v>
      </c>
      <c r="AT169" s="11">
        <f t="shared" si="99"/>
        <v>507.97188664649997</v>
      </c>
      <c r="AU169" s="11">
        <f t="shared" si="100"/>
        <v>1896.6425030105124</v>
      </c>
      <c r="AV169" s="11">
        <f t="shared" si="101"/>
        <v>2.1751390567182989E-3</v>
      </c>
      <c r="AW169" s="11">
        <f t="shared" si="102"/>
        <v>3.6770358841811742E-7</v>
      </c>
      <c r="AX169" s="41">
        <f t="shared" ca="1" si="115"/>
        <v>2.9091686520947273</v>
      </c>
      <c r="AY169" s="41">
        <f t="shared" ca="1" si="116"/>
        <v>1.5623313131619834</v>
      </c>
      <c r="AZ169" s="41">
        <f t="shared" si="117"/>
        <v>0.35515231185986523</v>
      </c>
      <c r="BA169" s="41">
        <f t="shared" ca="1" si="105"/>
        <v>19.235276252404496</v>
      </c>
      <c r="BB169" s="41">
        <f t="shared" ca="1" si="106"/>
        <v>3.9226322434477714</v>
      </c>
      <c r="BC169" s="41">
        <f t="shared" ca="1" si="118"/>
        <v>7.5223909896539807</v>
      </c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</row>
    <row r="170" spans="1:67">
      <c r="A170" s="41">
        <f t="shared" si="107"/>
        <v>14400</v>
      </c>
      <c r="B170" s="41">
        <f t="shared" si="108"/>
        <v>240</v>
      </c>
      <c r="C170" s="41">
        <f t="shared" si="109"/>
        <v>4</v>
      </c>
      <c r="D170" s="23">
        <f t="shared" ca="1" si="119"/>
        <v>16664.578262874267</v>
      </c>
      <c r="E170" s="41">
        <f t="shared" si="110"/>
        <v>1375.2832035960746</v>
      </c>
      <c r="F170" s="7">
        <f t="shared" si="111"/>
        <v>1375.2832035960746</v>
      </c>
      <c r="G170" s="41"/>
      <c r="H170" s="6">
        <v>3000</v>
      </c>
      <c r="I170" s="5">
        <v>0</v>
      </c>
      <c r="J170" s="41">
        <f t="shared" si="69"/>
        <v>0.52522123557305456</v>
      </c>
      <c r="K170" s="41">
        <f t="shared" si="70"/>
        <v>580.30394221450479</v>
      </c>
      <c r="L170" s="6">
        <f t="shared" si="112"/>
        <v>330</v>
      </c>
      <c r="M170" s="41">
        <f t="shared" si="71"/>
        <v>343.82080089901865</v>
      </c>
      <c r="N170" s="41">
        <f t="shared" si="72"/>
        <v>366.2419374280546</v>
      </c>
      <c r="O170" s="41">
        <f t="shared" si="73"/>
        <v>3432769.7885914217</v>
      </c>
      <c r="P170" s="41">
        <f t="shared" si="74"/>
        <v>22040794.195735183</v>
      </c>
      <c r="Q170" s="41">
        <f t="shared" si="75"/>
        <v>2.5883703839499096E-3</v>
      </c>
      <c r="R170" s="41">
        <f t="shared" si="76"/>
        <v>2.0802001194014198E-2</v>
      </c>
      <c r="S170" s="27">
        <v>0</v>
      </c>
      <c r="T170" s="41">
        <f t="shared" ca="1" si="77"/>
        <v>0.19783285499270958</v>
      </c>
      <c r="U170" s="41">
        <f t="shared" ca="1" si="78"/>
        <v>2.3273818837476746E-2</v>
      </c>
      <c r="V170" s="41">
        <f t="shared" ca="1" si="79"/>
        <v>8.500231800126782</v>
      </c>
      <c r="W170" s="20">
        <f t="shared" ca="1" si="80"/>
        <v>1960.4851555490184</v>
      </c>
      <c r="X170" s="41">
        <f t="shared" si="81"/>
        <v>0.57390864013416698</v>
      </c>
      <c r="Y170" s="41">
        <f t="shared" ca="1" si="82"/>
        <v>178.11278023252399</v>
      </c>
      <c r="Z170" s="14">
        <f t="shared" ca="1" si="83"/>
        <v>1960.4851555490184</v>
      </c>
      <c r="AA170" s="14">
        <f t="shared" si="84"/>
        <v>5628.3916222821908</v>
      </c>
      <c r="AB170" s="25">
        <f t="shared" ca="1" si="85"/>
        <v>1137677.2644181119</v>
      </c>
      <c r="AC170" s="41">
        <f t="shared" si="86"/>
        <v>3266177.8467374472</v>
      </c>
      <c r="AD170" s="5">
        <f t="shared" ca="1" si="87"/>
        <v>34.832067260346108</v>
      </c>
      <c r="AE170" s="7">
        <f t="shared" ca="1" si="88"/>
        <v>1960.4851555490181</v>
      </c>
      <c r="AF170" s="41">
        <f t="shared" ca="1" si="89"/>
        <v>0</v>
      </c>
      <c r="AG170" s="41">
        <f t="shared" ca="1" si="90"/>
        <v>127.7260395518834</v>
      </c>
      <c r="AH170" s="41">
        <f t="shared" ca="1" si="91"/>
        <v>1598.0377884796421</v>
      </c>
      <c r="AI170" s="13">
        <f t="shared" ca="1" si="92"/>
        <v>-7.9177425395433445E-15</v>
      </c>
      <c r="AJ170" s="10">
        <f t="shared" ca="1" si="93"/>
        <v>-7.8175107523108737E-16</v>
      </c>
      <c r="AK170" s="11">
        <f t="shared" ca="1" si="94"/>
        <v>0.45987136621309321</v>
      </c>
      <c r="AL170" s="6">
        <v>0</v>
      </c>
      <c r="AM170" s="6">
        <v>14400</v>
      </c>
      <c r="AN170" s="41">
        <f t="shared" ca="1" si="113"/>
        <v>6392.1511539185685</v>
      </c>
      <c r="AO170" s="41">
        <f t="shared" si="114"/>
        <v>1375.2832035960746</v>
      </c>
      <c r="AP170" s="67">
        <f t="shared" si="95"/>
        <v>0.81512363608390825</v>
      </c>
      <c r="AQ170" s="11">
        <f t="shared" si="96"/>
        <v>0.97937395000000005</v>
      </c>
      <c r="AR170" s="11">
        <f t="shared" si="97"/>
        <v>0.8962407041850623</v>
      </c>
      <c r="AS170" s="11">
        <f t="shared" si="98"/>
        <v>0.91511593113647982</v>
      </c>
      <c r="AT170" s="11">
        <f t="shared" si="99"/>
        <v>507.97188664649997</v>
      </c>
      <c r="AU170" s="11">
        <f t="shared" si="100"/>
        <v>1896.6425030105124</v>
      </c>
      <c r="AV170" s="11">
        <f t="shared" si="101"/>
        <v>2.1751390567182989E-3</v>
      </c>
      <c r="AW170" s="11">
        <f t="shared" si="102"/>
        <v>3.6770358841811742E-7</v>
      </c>
      <c r="AX170" s="41">
        <f t="shared" ca="1" si="115"/>
        <v>2.9944464051705308</v>
      </c>
      <c r="AY170" s="41">
        <f t="shared" ca="1" si="116"/>
        <v>1.608128624998989</v>
      </c>
      <c r="AZ170" s="41">
        <f t="shared" si="117"/>
        <v>0.3596741841976267</v>
      </c>
      <c r="BA170" s="41">
        <f t="shared" ca="1" si="105"/>
        <v>19.11091847209304</v>
      </c>
      <c r="BB170" s="41">
        <f t="shared" ca="1" si="106"/>
        <v>3.7807675628670778</v>
      </c>
      <c r="BC170" s="41">
        <f t="shared" ca="1" si="118"/>
        <v>7.3612007389097931</v>
      </c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</row>
    <row r="171" spans="1:67">
      <c r="A171" s="41">
        <f t="shared" si="107"/>
        <v>14400</v>
      </c>
      <c r="B171" s="41">
        <f t="shared" si="108"/>
        <v>240</v>
      </c>
      <c r="C171" s="41">
        <f t="shared" si="109"/>
        <v>4</v>
      </c>
      <c r="D171" s="23">
        <f t="shared" ca="1" si="119"/>
        <v>16664.578262874267</v>
      </c>
      <c r="E171" s="41">
        <f t="shared" si="110"/>
        <v>1395.9902238765976</v>
      </c>
      <c r="F171" s="7">
        <f t="shared" si="111"/>
        <v>1395.9902238765976</v>
      </c>
      <c r="G171" s="41"/>
      <c r="H171" s="6">
        <v>3000</v>
      </c>
      <c r="I171" s="5">
        <v>0</v>
      </c>
      <c r="J171" s="41">
        <f t="shared" si="69"/>
        <v>0.53312925535278777</v>
      </c>
      <c r="K171" s="41">
        <f t="shared" si="70"/>
        <v>589.04131751937507</v>
      </c>
      <c r="L171" s="6">
        <f t="shared" si="112"/>
        <v>335</v>
      </c>
      <c r="M171" s="41">
        <f t="shared" si="71"/>
        <v>348.9975559691494</v>
      </c>
      <c r="N171" s="41">
        <f t="shared" si="72"/>
        <v>377.35364442973543</v>
      </c>
      <c r="O171" s="41">
        <f t="shared" si="73"/>
        <v>3484455.4584555374</v>
      </c>
      <c r="P171" s="41">
        <f t="shared" si="74"/>
        <v>22372652.514964662</v>
      </c>
      <c r="Q171" s="41">
        <f t="shared" si="75"/>
        <v>2.5805335170777381E-3</v>
      </c>
      <c r="R171" s="41">
        <f t="shared" si="76"/>
        <v>2.0754157121759591E-2</v>
      </c>
      <c r="S171" s="27">
        <v>0</v>
      </c>
      <c r="T171" s="41">
        <f t="shared" ca="1" si="77"/>
        <v>0.19200738927259695</v>
      </c>
      <c r="U171" s="41">
        <f t="shared" ca="1" si="78"/>
        <v>2.3082545784420469E-2</v>
      </c>
      <c r="V171" s="41">
        <f t="shared" ca="1" si="79"/>
        <v>8.3182934441396004</v>
      </c>
      <c r="W171" s="20">
        <f t="shared" ca="1" si="80"/>
        <v>2003.3650381274765</v>
      </c>
      <c r="X171" s="41">
        <f t="shared" si="81"/>
        <v>0.57324827259019961</v>
      </c>
      <c r="Y171" s="41">
        <f t="shared" ca="1" si="82"/>
        <v>178.11278023252402</v>
      </c>
      <c r="Z171" s="14">
        <f t="shared" ca="1" si="83"/>
        <v>2003.3650381274765</v>
      </c>
      <c r="AA171" s="14">
        <f t="shared" si="84"/>
        <v>5628.3916222821908</v>
      </c>
      <c r="AB171" s="25">
        <f t="shared" ca="1" si="85"/>
        <v>1180064.7815308617</v>
      </c>
      <c r="AC171" s="41">
        <f t="shared" si="86"/>
        <v>3315355.2167041143</v>
      </c>
      <c r="AD171" s="5">
        <f t="shared" ca="1" si="87"/>
        <v>35.593916922844741</v>
      </c>
      <c r="AE171" s="7">
        <f t="shared" ca="1" si="88"/>
        <v>2003.3650381274765</v>
      </c>
      <c r="AF171" s="41">
        <f t="shared" ca="1" si="89"/>
        <v>0</v>
      </c>
      <c r="AG171" s="41">
        <f t="shared" ca="1" si="90"/>
        <v>128.13348177735179</v>
      </c>
      <c r="AH171" s="41">
        <f t="shared" ca="1" si="91"/>
        <v>1635.512638634649</v>
      </c>
      <c r="AI171" s="13">
        <f t="shared" ca="1" si="92"/>
        <v>0</v>
      </c>
      <c r="AJ171" s="10">
        <f t="shared" ca="1" si="93"/>
        <v>0</v>
      </c>
      <c r="AK171" s="11">
        <f t="shared" ca="1" si="94"/>
        <v>0.46133834204305257</v>
      </c>
      <c r="AL171" s="6">
        <v>0</v>
      </c>
      <c r="AM171" s="6">
        <v>14400</v>
      </c>
      <c r="AN171" s="41">
        <f t="shared" ca="1" si="113"/>
        <v>6542.0505545385959</v>
      </c>
      <c r="AO171" s="41">
        <f t="shared" si="114"/>
        <v>1395.9902238765976</v>
      </c>
      <c r="AP171" s="67">
        <f t="shared" si="95"/>
        <v>0.81638273979431364</v>
      </c>
      <c r="AQ171" s="11">
        <f t="shared" si="96"/>
        <v>0.97937395000000005</v>
      </c>
      <c r="AR171" s="11">
        <f t="shared" si="97"/>
        <v>0.8962407041850623</v>
      </c>
      <c r="AS171" s="11">
        <f t="shared" si="98"/>
        <v>0.91511593113647982</v>
      </c>
      <c r="AT171" s="11">
        <f t="shared" si="99"/>
        <v>507.97188664649997</v>
      </c>
      <c r="AU171" s="11">
        <f t="shared" si="100"/>
        <v>1896.6425030105124</v>
      </c>
      <c r="AV171" s="11">
        <f t="shared" si="101"/>
        <v>2.1751390567182989E-3</v>
      </c>
      <c r="AW171" s="11">
        <f t="shared" si="102"/>
        <v>3.6770358841811742E-7</v>
      </c>
      <c r="AX171" s="41">
        <f t="shared" ca="1" si="115"/>
        <v>3.0811278125845325</v>
      </c>
      <c r="AY171" s="41">
        <f t="shared" ca="1" si="116"/>
        <v>1.6546797512028046</v>
      </c>
      <c r="AZ171" s="41">
        <f t="shared" si="117"/>
        <v>0.36416452255818654</v>
      </c>
      <c r="BA171" s="41">
        <f t="shared" ca="1" si="105"/>
        <v>18.983455370591678</v>
      </c>
      <c r="BB171" s="41">
        <f t="shared" ca="1" si="106"/>
        <v>3.6449637050801673</v>
      </c>
      <c r="BC171" s="41">
        <f t="shared" ca="1" si="118"/>
        <v>7.2036421226248937</v>
      </c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</row>
    <row r="172" spans="1:67">
      <c r="A172" s="41">
        <f t="shared" si="107"/>
        <v>14400</v>
      </c>
      <c r="B172" s="41">
        <f t="shared" si="108"/>
        <v>240</v>
      </c>
      <c r="C172" s="41">
        <f t="shared" si="109"/>
        <v>4</v>
      </c>
      <c r="D172" s="23">
        <f t="shared" ca="1" si="119"/>
        <v>16664.578262874267</v>
      </c>
      <c r="E172" s="41">
        <f t="shared" si="110"/>
        <v>1416.6919986296832</v>
      </c>
      <c r="F172" s="7">
        <f t="shared" si="111"/>
        <v>1416.6919986296832</v>
      </c>
      <c r="G172" s="41"/>
      <c r="H172" s="6">
        <v>3000</v>
      </c>
      <c r="I172" s="5">
        <v>0</v>
      </c>
      <c r="J172" s="41">
        <f t="shared" si="69"/>
        <v>0.54103527186337996</v>
      </c>
      <c r="K172" s="41">
        <f t="shared" si="70"/>
        <v>597.77647946175898</v>
      </c>
      <c r="L172" s="6">
        <f t="shared" si="112"/>
        <v>340</v>
      </c>
      <c r="M172" s="41">
        <f t="shared" si="71"/>
        <v>354.1729996574208</v>
      </c>
      <c r="N172" s="41">
        <f t="shared" si="72"/>
        <v>388.62852738075662</v>
      </c>
      <c r="O172" s="41">
        <f t="shared" si="73"/>
        <v>3536128.0352432118</v>
      </c>
      <c r="P172" s="41">
        <f t="shared" si="74"/>
        <v>22704426.767443091</v>
      </c>
      <c r="Q172" s="41">
        <f t="shared" si="75"/>
        <v>2.5727870789618982E-3</v>
      </c>
      <c r="R172" s="41">
        <f t="shared" si="76"/>
        <v>2.0706865117062389E-2</v>
      </c>
      <c r="S172" s="27">
        <v>0</v>
      </c>
      <c r="T172" s="41">
        <f t="shared" ca="1" si="77"/>
        <v>0.18643687479088805</v>
      </c>
      <c r="U172" s="41">
        <f t="shared" ca="1" si="78"/>
        <v>2.2902111243465802E-2</v>
      </c>
      <c r="V172" s="41">
        <f t="shared" ca="1" si="79"/>
        <v>8.1405977295687233</v>
      </c>
      <c r="W172" s="20">
        <f t="shared" ca="1" si="80"/>
        <v>2047.0951662854281</v>
      </c>
      <c r="X172" s="41">
        <f t="shared" si="81"/>
        <v>0.57259477649242951</v>
      </c>
      <c r="Y172" s="41">
        <f t="shared" ca="1" si="82"/>
        <v>178.11278023252399</v>
      </c>
      <c r="Z172" s="14">
        <f t="shared" ca="1" si="83"/>
        <v>2047.0951662854281</v>
      </c>
      <c r="AA172" s="14">
        <f t="shared" si="84"/>
        <v>5628.3916222821908</v>
      </c>
      <c r="AB172" s="25">
        <f t="shared" ca="1" si="85"/>
        <v>1223705.3416252874</v>
      </c>
      <c r="AC172" s="41">
        <f t="shared" si="86"/>
        <v>3364520.1289999066</v>
      </c>
      <c r="AD172" s="5">
        <f t="shared" ca="1" si="87"/>
        <v>36.370872953850629</v>
      </c>
      <c r="AE172" s="7">
        <f t="shared" ca="1" si="88"/>
        <v>2047.0951662854281</v>
      </c>
      <c r="AF172" s="41">
        <f t="shared" ca="1" si="89"/>
        <v>0</v>
      </c>
      <c r="AG172" s="41">
        <f t="shared" ca="1" si="90"/>
        <v>128.46498444811988</v>
      </c>
      <c r="AH172" s="41">
        <f t="shared" ca="1" si="91"/>
        <v>1673.7699105116926</v>
      </c>
      <c r="AI172" s="13">
        <f t="shared" ca="1" si="92"/>
        <v>0</v>
      </c>
      <c r="AJ172" s="10">
        <f t="shared" ca="1" si="93"/>
        <v>0</v>
      </c>
      <c r="AK172" s="11">
        <f t="shared" ca="1" si="94"/>
        <v>0.46253190121582782</v>
      </c>
      <c r="AL172" s="6">
        <v>0</v>
      </c>
      <c r="AM172" s="6">
        <v>14400</v>
      </c>
      <c r="AN172" s="41">
        <f t="shared" ca="1" si="113"/>
        <v>6695.0796420467705</v>
      </c>
      <c r="AO172" s="41">
        <f t="shared" si="114"/>
        <v>1416.6919986296832</v>
      </c>
      <c r="AP172" s="67">
        <f t="shared" si="95"/>
        <v>0.81763170470908997</v>
      </c>
      <c r="AQ172" s="11">
        <f t="shared" si="96"/>
        <v>0.97937395000000005</v>
      </c>
      <c r="AR172" s="11">
        <f t="shared" si="97"/>
        <v>0.8962407041850623</v>
      </c>
      <c r="AS172" s="11">
        <f t="shared" si="98"/>
        <v>0.91511593113647982</v>
      </c>
      <c r="AT172" s="11">
        <f t="shared" si="99"/>
        <v>507.97188664649997</v>
      </c>
      <c r="AU172" s="11">
        <f t="shared" si="100"/>
        <v>1896.6425030105124</v>
      </c>
      <c r="AV172" s="11">
        <f t="shared" si="101"/>
        <v>2.1751390567182989E-3</v>
      </c>
      <c r="AW172" s="11">
        <f t="shared" si="102"/>
        <v>3.6770358841811742E-7</v>
      </c>
      <c r="AX172" s="41">
        <f t="shared" ca="1" si="115"/>
        <v>3.1692056373379094</v>
      </c>
      <c r="AY172" s="41">
        <f t="shared" ca="1" si="116"/>
        <v>1.7019808052370256</v>
      </c>
      <c r="AZ172" s="41">
        <f t="shared" si="117"/>
        <v>0.36862334209502001</v>
      </c>
      <c r="BA172" s="41">
        <f t="shared" ca="1" si="105"/>
        <v>18.853430628688301</v>
      </c>
      <c r="BB172" s="41">
        <f t="shared" ca="1" si="106"/>
        <v>3.5149746854994559</v>
      </c>
      <c r="BC172" s="41">
        <f t="shared" ca="1" si="118"/>
        <v>7.0497576338065144</v>
      </c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</row>
    <row r="173" spans="1:67">
      <c r="A173" s="41">
        <f t="shared" si="107"/>
        <v>14400</v>
      </c>
      <c r="B173" s="41">
        <f t="shared" si="108"/>
        <v>240</v>
      </c>
      <c r="C173" s="41">
        <f t="shared" si="109"/>
        <v>4</v>
      </c>
      <c r="D173" s="23">
        <f t="shared" ca="1" si="119"/>
        <v>16664.578262874267</v>
      </c>
      <c r="E173" s="41">
        <f t="shared" si="110"/>
        <v>1437.388493086364</v>
      </c>
      <c r="F173" s="7">
        <f t="shared" si="111"/>
        <v>1437.388493086364</v>
      </c>
      <c r="G173" s="41"/>
      <c r="H173" s="6">
        <v>3000</v>
      </c>
      <c r="I173" s="5">
        <v>0</v>
      </c>
      <c r="J173" s="41">
        <f t="shared" si="69"/>
        <v>0.54893927182654778</v>
      </c>
      <c r="K173" s="41">
        <f t="shared" si="70"/>
        <v>606.50941337080997</v>
      </c>
      <c r="L173" s="6">
        <f t="shared" si="112"/>
        <v>345</v>
      </c>
      <c r="M173" s="41">
        <f t="shared" si="71"/>
        <v>359.34712327159099</v>
      </c>
      <c r="N173" s="41">
        <f t="shared" si="72"/>
        <v>400.06644076378029</v>
      </c>
      <c r="O173" s="41">
        <f t="shared" si="73"/>
        <v>3587787.432169511</v>
      </c>
      <c r="P173" s="41">
        <f t="shared" si="74"/>
        <v>23036116.395950213</v>
      </c>
      <c r="Q173" s="41">
        <f t="shared" si="75"/>
        <v>2.5651277337306877E-3</v>
      </c>
      <c r="R173" s="41">
        <f t="shared" si="76"/>
        <v>2.0660104814425848E-2</v>
      </c>
      <c r="S173" s="27">
        <v>0</v>
      </c>
      <c r="T173" s="41">
        <f t="shared" ca="1" si="77"/>
        <v>0.18110663809023236</v>
      </c>
      <c r="U173" s="41">
        <f t="shared" ca="1" si="78"/>
        <v>2.2731620987821503E-2</v>
      </c>
      <c r="V173" s="41">
        <f t="shared" ca="1" si="79"/>
        <v>7.9671677698330665</v>
      </c>
      <c r="W173" s="20">
        <f t="shared" ca="1" si="80"/>
        <v>2091.656501319469</v>
      </c>
      <c r="X173" s="41">
        <f t="shared" si="81"/>
        <v>0.57194789349841357</v>
      </c>
      <c r="Y173" s="41">
        <f t="shared" ca="1" si="82"/>
        <v>178.11278023252399</v>
      </c>
      <c r="Z173" s="14">
        <f t="shared" ca="1" si="83"/>
        <v>2091.656501319469</v>
      </c>
      <c r="AA173" s="14">
        <f t="shared" si="84"/>
        <v>5628.3916222821908</v>
      </c>
      <c r="AB173" s="25">
        <f t="shared" ca="1" si="85"/>
        <v>1268609.3575885119</v>
      </c>
      <c r="AC173" s="41">
        <f t="shared" si="86"/>
        <v>3413672.5010515531</v>
      </c>
      <c r="AD173" s="5">
        <f t="shared" ca="1" si="87"/>
        <v>37.162597091482198</v>
      </c>
      <c r="AE173" s="7">
        <f t="shared" ca="1" si="88"/>
        <v>2091.656501319469</v>
      </c>
      <c r="AF173" s="41">
        <f t="shared" ca="1" si="89"/>
        <v>0</v>
      </c>
      <c r="AG173" s="41">
        <f t="shared" ca="1" si="90"/>
        <v>128.71991775764661</v>
      </c>
      <c r="AH173" s="41">
        <f t="shared" ca="1" si="91"/>
        <v>1712.7959362156439</v>
      </c>
      <c r="AI173" s="13">
        <f t="shared" ca="1" si="92"/>
        <v>0</v>
      </c>
      <c r="AJ173" s="10">
        <f t="shared" ca="1" si="93"/>
        <v>0</v>
      </c>
      <c r="AK173" s="11">
        <f t="shared" ca="1" si="94"/>
        <v>0.46344977614373295</v>
      </c>
      <c r="AL173" s="6">
        <v>0</v>
      </c>
      <c r="AM173" s="6">
        <v>14400</v>
      </c>
      <c r="AN173" s="41">
        <f t="shared" ca="1" si="113"/>
        <v>6851.1837448625756</v>
      </c>
      <c r="AO173" s="41">
        <f t="shared" si="114"/>
        <v>1437.388493086364</v>
      </c>
      <c r="AP173" s="67">
        <f t="shared" ref="AP173:AP189" si="120">0.71 + 0.304*AZ173 + -0.0326*AZ173^2</f>
        <v>0.81887056270241765</v>
      </c>
      <c r="AQ173" s="11">
        <f t="shared" si="96"/>
        <v>0.97937395000000005</v>
      </c>
      <c r="AR173" s="11">
        <f t="shared" si="97"/>
        <v>0.8962407041850623</v>
      </c>
      <c r="AS173" s="11">
        <f t="shared" si="98"/>
        <v>0.91511593113647982</v>
      </c>
      <c r="AT173" s="11">
        <f t="shared" si="99"/>
        <v>507.97188664649997</v>
      </c>
      <c r="AU173" s="11">
        <f t="shared" si="100"/>
        <v>1896.6425030105124</v>
      </c>
      <c r="AV173" s="11">
        <f t="shared" si="101"/>
        <v>2.1751390567182989E-3</v>
      </c>
      <c r="AW173" s="11">
        <f t="shared" si="102"/>
        <v>3.6770358841811742E-7</v>
      </c>
      <c r="AX173" s="41">
        <f t="shared" ca="1" si="115"/>
        <v>3.2586731090041541</v>
      </c>
      <c r="AY173" s="41">
        <f t="shared" ca="1" si="116"/>
        <v>1.7500281511318607</v>
      </c>
      <c r="AZ173" s="41">
        <f t="shared" si="117"/>
        <v>0.37305065848761099</v>
      </c>
      <c r="BA173" s="41">
        <f t="shared" ca="1" si="105"/>
        <v>18.721333425590409</v>
      </c>
      <c r="BB173" s="41">
        <f t="shared" ca="1" si="106"/>
        <v>3.3905577572749723</v>
      </c>
      <c r="BC173" s="41">
        <f t="shared" ca="1" si="118"/>
        <v>6.8995672886754358</v>
      </c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</row>
    <row r="174" spans="1:67">
      <c r="A174" s="41">
        <f t="shared" ref="A174:A189" si="121">AM174</f>
        <v>14400</v>
      </c>
      <c r="B174" s="41">
        <f t="shared" ref="B174:B189" si="122">(A174/60)</f>
        <v>240</v>
      </c>
      <c r="C174" s="41">
        <f t="shared" ref="C174:C189" si="123">(B174/60)</f>
        <v>4</v>
      </c>
      <c r="D174" s="23">
        <f t="shared" ca="1" si="119"/>
        <v>16664.578262874267</v>
      </c>
      <c r="E174" s="41">
        <f t="shared" ref="E174:E189" si="124">AO174</f>
        <v>1458.0796739696159</v>
      </c>
      <c r="F174" s="7">
        <f t="shared" ref="F174:F189" si="125">AO174</f>
        <v>1458.0796739696159</v>
      </c>
      <c r="G174" s="41"/>
      <c r="H174" s="6">
        <v>3000</v>
      </c>
      <c r="I174" s="5">
        <v>0</v>
      </c>
      <c r="J174" s="41">
        <f t="shared" si="69"/>
        <v>0.55684124253378176</v>
      </c>
      <c r="K174" s="41">
        <f t="shared" si="70"/>
        <v>615.24010520521051</v>
      </c>
      <c r="L174" s="6">
        <f t="shared" ref="L174:L189" si="126">L173+5</f>
        <v>350</v>
      </c>
      <c r="M174" s="41">
        <f t="shared" si="71"/>
        <v>364.51991849240397</v>
      </c>
      <c r="N174" s="41">
        <f t="shared" si="72"/>
        <v>411.66723882146528</v>
      </c>
      <c r="O174" s="41">
        <f t="shared" si="73"/>
        <v>3639433.5661734631</v>
      </c>
      <c r="P174" s="41">
        <f t="shared" si="74"/>
        <v>23367720.86717622</v>
      </c>
      <c r="Q174" s="41">
        <f t="shared" si="75"/>
        <v>2.5575523088405896E-3</v>
      </c>
      <c r="R174" s="41">
        <f t="shared" si="76"/>
        <v>2.06138568454718E-2</v>
      </c>
      <c r="S174" s="27">
        <v>0</v>
      </c>
      <c r="T174" s="41">
        <f t="shared" ca="1" si="77"/>
        <v>0.17600304631206271</v>
      </c>
      <c r="U174" s="41">
        <f t="shared" ca="1" si="78"/>
        <v>2.2570267234690369E-2</v>
      </c>
      <c r="V174" s="41">
        <f t="shared" ca="1" si="79"/>
        <v>7.7980045376488523</v>
      </c>
      <c r="W174" s="20">
        <f t="shared" ca="1" si="80"/>
        <v>2137.0311061525417</v>
      </c>
      <c r="X174" s="41">
        <f t="shared" si="81"/>
        <v>0.57130737767732775</v>
      </c>
      <c r="Y174" s="41">
        <f t="shared" ca="1" si="82"/>
        <v>178.11278023252399</v>
      </c>
      <c r="Z174" s="14">
        <f t="shared" ca="1" si="83"/>
        <v>2137.0311061525417</v>
      </c>
      <c r="AA174" s="14">
        <f t="shared" si="84"/>
        <v>5628.3916222821908</v>
      </c>
      <c r="AB174" s="25">
        <f t="shared" ca="1" si="85"/>
        <v>1314787.2425760971</v>
      </c>
      <c r="AC174" s="41">
        <f t="shared" si="86"/>
        <v>3462812.2538290205</v>
      </c>
      <c r="AD174" s="5">
        <f t="shared" ca="1" si="87"/>
        <v>37.968770646524803</v>
      </c>
      <c r="AE174" s="7">
        <f t="shared" ca="1" si="88"/>
        <v>2137.0311061525417</v>
      </c>
      <c r="AF174" s="41">
        <f t="shared" ca="1" si="89"/>
        <v>0</v>
      </c>
      <c r="AG174" s="41">
        <f t="shared" ca="1" si="90"/>
        <v>128.89765209590351</v>
      </c>
      <c r="AH174" s="41">
        <f t="shared" ca="1" si="91"/>
        <v>1752.5778116393528</v>
      </c>
      <c r="AI174" s="13">
        <f t="shared" ca="1" si="92"/>
        <v>0</v>
      </c>
      <c r="AJ174" s="10">
        <f t="shared" ca="1" si="93"/>
        <v>0</v>
      </c>
      <c r="AK174" s="11">
        <f t="shared" ca="1" si="94"/>
        <v>0.46408969994661553</v>
      </c>
      <c r="AL174" s="6">
        <v>0</v>
      </c>
      <c r="AM174" s="6">
        <v>14400</v>
      </c>
      <c r="AN174" s="41">
        <f t="shared" ref="AN174:AN188" ca="1" si="127">AH174*(AM174/3600)</f>
        <v>7010.3112465574113</v>
      </c>
      <c r="AO174" s="41">
        <f t="shared" ref="AO174:AO188" si="128">M174*(AM174/3600)</f>
        <v>1458.0796739696159</v>
      </c>
      <c r="AP174" s="67">
        <f t="shared" si="120"/>
        <v>0.82009934557978936</v>
      </c>
      <c r="AQ174" s="11">
        <f t="shared" si="96"/>
        <v>0.97937395000000005</v>
      </c>
      <c r="AR174" s="11">
        <f t="shared" si="97"/>
        <v>0.8962407041850623</v>
      </c>
      <c r="AS174" s="11">
        <f t="shared" si="98"/>
        <v>0.91511593113647982</v>
      </c>
      <c r="AT174" s="11">
        <f t="shared" si="99"/>
        <v>507.97188664649997</v>
      </c>
      <c r="AU174" s="11">
        <f t="shared" si="100"/>
        <v>1896.6425030105124</v>
      </c>
      <c r="AV174" s="11">
        <f t="shared" si="101"/>
        <v>2.1751390567182989E-3</v>
      </c>
      <c r="AW174" s="11">
        <f t="shared" si="102"/>
        <v>3.6770358841811742E-7</v>
      </c>
      <c r="AX174" s="41">
        <f t="shared" ref="AX174:AX189" ca="1" si="129">(1/T174)*(((1 + 0.2*(T174)^2)/1.2)^3)</f>
        <v>3.3495238803476726</v>
      </c>
      <c r="AY174" s="41">
        <f t="shared" ref="AY174:AY189" ca="1" si="130">($H$4/$H$3)*AX174</f>
        <v>1.7988183801867133</v>
      </c>
      <c r="AZ174" s="41">
        <f t="shared" ref="AZ174:AZ189" si="131">-6.6*10^(-3) + 0.825*J174 - 0.243*(J174^2)</f>
        <v>0.37744648792943442</v>
      </c>
      <c r="BA174" s="41">
        <f t="shared" ca="1" si="105"/>
        <v>18.587603131622348</v>
      </c>
      <c r="BB174" s="41">
        <f t="shared" ca="1" si="106"/>
        <v>3.2714747748051698</v>
      </c>
      <c r="BC174" s="41">
        <f t="shared" ref="BC174:BC189" ca="1" si="132">0.866*V174</f>
        <v>6.7530719296039061</v>
      </c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</row>
    <row r="175" spans="1:67">
      <c r="A175" s="41">
        <f t="shared" si="121"/>
        <v>14400</v>
      </c>
      <c r="B175" s="41">
        <f t="shared" si="122"/>
        <v>240</v>
      </c>
      <c r="C175" s="41">
        <f t="shared" si="123"/>
        <v>4</v>
      </c>
      <c r="D175" s="23">
        <f t="shared" ref="D175:D189" ca="1" si="133">D174</f>
        <v>16664.578262874267</v>
      </c>
      <c r="E175" s="41">
        <f t="shared" si="124"/>
        <v>1478.7655094893246</v>
      </c>
      <c r="F175" s="7">
        <f t="shared" si="125"/>
        <v>1478.7655094893246</v>
      </c>
      <c r="G175" s="41"/>
      <c r="H175" s="6">
        <v>3000</v>
      </c>
      <c r="I175" s="5">
        <v>0</v>
      </c>
      <c r="J175" s="41">
        <f t="shared" si="69"/>
        <v>0.56474117184442385</v>
      </c>
      <c r="K175" s="41">
        <f t="shared" si="70"/>
        <v>623.96854155104802</v>
      </c>
      <c r="L175" s="6">
        <f t="shared" si="126"/>
        <v>355</v>
      </c>
      <c r="M175" s="41">
        <f t="shared" si="71"/>
        <v>369.69137737233115</v>
      </c>
      <c r="N175" s="41">
        <f t="shared" si="72"/>
        <v>423.43077561405693</v>
      </c>
      <c r="O175" s="41">
        <f t="shared" si="73"/>
        <v>3691066.3579054885</v>
      </c>
      <c r="P175" s="41">
        <f t="shared" si="74"/>
        <v>23699239.671641052</v>
      </c>
      <c r="Q175" s="41">
        <f t="shared" si="75"/>
        <v>2.5500577852649343E-3</v>
      </c>
      <c r="R175" s="41">
        <f t="shared" si="76"/>
        <v>2.0568102779042426E-2</v>
      </c>
      <c r="S175" s="27">
        <v>0</v>
      </c>
      <c r="T175" s="41">
        <f t="shared" ca="1" si="77"/>
        <v>0.17111341988399392</v>
      </c>
      <c r="U175" s="41">
        <f t="shared" ca="1" si="78"/>
        <v>2.2417319165932457E-2</v>
      </c>
      <c r="V175" s="41">
        <f t="shared" ca="1" si="79"/>
        <v>7.633090228917049</v>
      </c>
      <c r="W175" s="20">
        <f t="shared" ca="1" si="80"/>
        <v>2183.2020535722882</v>
      </c>
      <c r="X175" s="41">
        <f t="shared" si="81"/>
        <v>0.57067299477735434</v>
      </c>
      <c r="Y175" s="41">
        <f t="shared" ca="1" si="82"/>
        <v>178.11278023252399</v>
      </c>
      <c r="Z175" s="14">
        <f t="shared" ca="1" si="83"/>
        <v>2183.2020535722882</v>
      </c>
      <c r="AA175" s="14">
        <f t="shared" si="84"/>
        <v>5628.3916222821908</v>
      </c>
      <c r="AB175" s="25">
        <f t="shared" ca="1" si="85"/>
        <v>1362249.4012787535</v>
      </c>
      <c r="AC175" s="41">
        <f t="shared" si="86"/>
        <v>3511939.3118335558</v>
      </c>
      <c r="AD175" s="5">
        <f t="shared" ca="1" si="87"/>
        <v>38.789092872095615</v>
      </c>
      <c r="AE175" s="7">
        <f t="shared" ca="1" si="88"/>
        <v>2183.2020535722882</v>
      </c>
      <c r="AF175" s="41">
        <f t="shared" ca="1" si="89"/>
        <v>0</v>
      </c>
      <c r="AG175" s="41">
        <f t="shared" ca="1" si="90"/>
        <v>128.99755857272012</v>
      </c>
      <c r="AH175" s="41">
        <f t="shared" ca="1" si="91"/>
        <v>1793.1033299700903</v>
      </c>
      <c r="AI175" s="13">
        <f t="shared" ca="1" si="92"/>
        <v>0</v>
      </c>
      <c r="AJ175" s="10">
        <f t="shared" ca="1" si="93"/>
        <v>0</v>
      </c>
      <c r="AK175" s="11">
        <f t="shared" ca="1" si="94"/>
        <v>0.46444940833613724</v>
      </c>
      <c r="AL175" s="6">
        <v>0</v>
      </c>
      <c r="AM175" s="6">
        <v>14400</v>
      </c>
      <c r="AN175" s="41">
        <f t="shared" ca="1" si="127"/>
        <v>7172.4133198803611</v>
      </c>
      <c r="AO175" s="41">
        <f t="shared" si="128"/>
        <v>1478.7655094893246</v>
      </c>
      <c r="AP175" s="67">
        <f t="shared" si="120"/>
        <v>0.82131808507421722</v>
      </c>
      <c r="AQ175" s="11">
        <f t="shared" si="96"/>
        <v>0.97937395000000005</v>
      </c>
      <c r="AR175" s="11">
        <f t="shared" si="97"/>
        <v>0.8962407041850623</v>
      </c>
      <c r="AS175" s="11">
        <f t="shared" si="98"/>
        <v>0.91511593113647982</v>
      </c>
      <c r="AT175" s="11">
        <f t="shared" si="99"/>
        <v>507.97188664649997</v>
      </c>
      <c r="AU175" s="11">
        <f t="shared" si="100"/>
        <v>1896.6425030105124</v>
      </c>
      <c r="AV175" s="11">
        <f t="shared" si="101"/>
        <v>2.1751390567182989E-3</v>
      </c>
      <c r="AW175" s="11">
        <f t="shared" si="102"/>
        <v>3.6770358841811742E-7</v>
      </c>
      <c r="AX175" s="41">
        <f t="shared" ca="1" si="129"/>
        <v>3.441751988765664</v>
      </c>
      <c r="AY175" s="41">
        <f t="shared" ca="1" si="130"/>
        <v>1.8483482902630419</v>
      </c>
      <c r="AZ175" s="41">
        <f t="shared" si="131"/>
        <v>0.38181084711582985</v>
      </c>
      <c r="BA175" s="41">
        <f t="shared" ca="1" si="105"/>
        <v>18.452633690126031</v>
      </c>
      <c r="BB175" s="41">
        <f t="shared" ca="1" si="106"/>
        <v>3.1574932565840679</v>
      </c>
      <c r="BC175" s="41">
        <f t="shared" ca="1" si="132"/>
        <v>6.6102561382421641</v>
      </c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</row>
    <row r="176" spans="1:67">
      <c r="A176" s="41">
        <f t="shared" si="121"/>
        <v>14400</v>
      </c>
      <c r="B176" s="41">
        <f t="shared" si="122"/>
        <v>240</v>
      </c>
      <c r="C176" s="41">
        <f t="shared" si="123"/>
        <v>4</v>
      </c>
      <c r="D176" s="23">
        <f t="shared" ca="1" si="133"/>
        <v>16664.578262874267</v>
      </c>
      <c r="E176" s="41">
        <f t="shared" si="124"/>
        <v>1499.4459693365716</v>
      </c>
      <c r="F176" s="7">
        <f t="shared" si="125"/>
        <v>1499.4459693365716</v>
      </c>
      <c r="G176" s="41"/>
      <c r="H176" s="6">
        <v>3000</v>
      </c>
      <c r="I176" s="5">
        <v>0</v>
      </c>
      <c r="J176" s="41">
        <f t="shared" si="69"/>
        <v>0.57263904818348532</v>
      </c>
      <c r="K176" s="41">
        <f t="shared" si="70"/>
        <v>632.69470961940385</v>
      </c>
      <c r="L176" s="6">
        <f t="shared" si="126"/>
        <v>360</v>
      </c>
      <c r="M176" s="41">
        <f t="shared" si="71"/>
        <v>374.86149233414289</v>
      </c>
      <c r="N176" s="41">
        <f t="shared" si="72"/>
        <v>435.35690507629914</v>
      </c>
      <c r="O176" s="41">
        <f t="shared" si="73"/>
        <v>3742685.7317131371</v>
      </c>
      <c r="P176" s="41">
        <f t="shared" si="74"/>
        <v>24030672.323602825</v>
      </c>
      <c r="Q176" s="41">
        <f t="shared" si="75"/>
        <v>2.5426412883983278E-3</v>
      </c>
      <c r="R176" s="41">
        <f t="shared" si="76"/>
        <v>2.0522825065671789E-2</v>
      </c>
      <c r="S176" s="27">
        <v>0</v>
      </c>
      <c r="T176" s="41">
        <f t="shared" ca="1" si="77"/>
        <v>0.16642595363625892</v>
      </c>
      <c r="U176" s="41">
        <f t="shared" ca="1" si="78"/>
        <v>2.2272114605526291E-2</v>
      </c>
      <c r="V176" s="41">
        <f t="shared" ca="1" si="79"/>
        <v>7.4723912203183573</v>
      </c>
      <c r="W176" s="20">
        <f t="shared" ca="1" si="80"/>
        <v>2230.1533433583099</v>
      </c>
      <c r="X176" s="41">
        <f t="shared" si="81"/>
        <v>0.57004452154582075</v>
      </c>
      <c r="Y176" s="41">
        <f t="shared" ca="1" si="82"/>
        <v>178.11278023252399</v>
      </c>
      <c r="Z176" s="14">
        <f t="shared" ca="1" si="83"/>
        <v>2230.1533433583099</v>
      </c>
      <c r="AA176" s="14">
        <f t="shared" si="84"/>
        <v>5628.3916222821908</v>
      </c>
      <c r="AB176" s="25">
        <f t="shared" ca="1" si="85"/>
        <v>1411006.2219828286</v>
      </c>
      <c r="AC176" s="41">
        <f t="shared" si="86"/>
        <v>3561053.6030841162</v>
      </c>
      <c r="AD176" s="5">
        <f t="shared" ca="1" si="87"/>
        <v>39.623279491238229</v>
      </c>
      <c r="AE176" s="7">
        <f t="shared" ca="1" si="88"/>
        <v>2230.1533433583099</v>
      </c>
      <c r="AF176" s="41">
        <f t="shared" ca="1" si="89"/>
        <v>0</v>
      </c>
      <c r="AG176" s="41">
        <f t="shared" ca="1" si="90"/>
        <v>129.01900949340032</v>
      </c>
      <c r="AH176" s="41">
        <f t="shared" ca="1" si="91"/>
        <v>1834.360921662442</v>
      </c>
      <c r="AI176" s="13">
        <f t="shared" ca="1" si="92"/>
        <v>0</v>
      </c>
      <c r="AJ176" s="10">
        <f t="shared" ca="1" si="93"/>
        <v>0</v>
      </c>
      <c r="AK176" s="11">
        <f t="shared" ca="1" si="94"/>
        <v>0.46452664132820637</v>
      </c>
      <c r="AL176" s="6">
        <v>0</v>
      </c>
      <c r="AM176" s="6">
        <v>14400</v>
      </c>
      <c r="AN176" s="41">
        <f t="shared" ca="1" si="127"/>
        <v>7337.4436866497681</v>
      </c>
      <c r="AO176" s="41">
        <f t="shared" si="128"/>
        <v>1499.4459693365716</v>
      </c>
      <c r="AP176" s="67">
        <f t="shared" si="120"/>
        <v>0.82252681284244877</v>
      </c>
      <c r="AQ176" s="11">
        <f t="shared" si="96"/>
        <v>0.97937395000000005</v>
      </c>
      <c r="AR176" s="11">
        <f t="shared" si="97"/>
        <v>0.8962407041850623</v>
      </c>
      <c r="AS176" s="11">
        <f t="shared" si="98"/>
        <v>0.91511593113647982</v>
      </c>
      <c r="AT176" s="11">
        <f t="shared" si="99"/>
        <v>507.97188664649997</v>
      </c>
      <c r="AU176" s="11">
        <f t="shared" si="100"/>
        <v>1896.6425030105124</v>
      </c>
      <c r="AV176" s="11">
        <f t="shared" si="101"/>
        <v>2.1751390567182989E-3</v>
      </c>
      <c r="AW176" s="11">
        <f t="shared" si="102"/>
        <v>3.6770358841811742E-7</v>
      </c>
      <c r="AX176" s="41">
        <f t="shared" ca="1" si="129"/>
        <v>3.5353518219410835</v>
      </c>
      <c r="AY176" s="41">
        <f t="shared" ca="1" si="130"/>
        <v>1.8986148673387302</v>
      </c>
      <c r="AZ176" s="41">
        <f t="shared" si="131"/>
        <v>0.38614375323178479</v>
      </c>
      <c r="BA176" s="41">
        <f t="shared" ca="1" si="105"/>
        <v>18.316777688840464</v>
      </c>
      <c r="BB176" s="41">
        <f t="shared" ca="1" si="106"/>
        <v>3.0483871944086252</v>
      </c>
      <c r="BC176" s="41">
        <f t="shared" ca="1" si="132"/>
        <v>6.4710907967956972</v>
      </c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</row>
    <row r="177" spans="1:67">
      <c r="A177" s="41">
        <f t="shared" si="121"/>
        <v>14400</v>
      </c>
      <c r="B177" s="41">
        <f t="shared" si="122"/>
        <v>240</v>
      </c>
      <c r="C177" s="41">
        <f t="shared" si="123"/>
        <v>4</v>
      </c>
      <c r="D177" s="23">
        <f t="shared" ca="1" si="133"/>
        <v>16664.578262874267</v>
      </c>
      <c r="E177" s="41">
        <f t="shared" si="124"/>
        <v>1520.1210246772541</v>
      </c>
      <c r="F177" s="7">
        <f t="shared" si="125"/>
        <v>1520.1210246772541</v>
      </c>
      <c r="G177" s="41"/>
      <c r="H177" s="6">
        <v>3000</v>
      </c>
      <c r="I177" s="5">
        <v>0</v>
      </c>
      <c r="J177" s="41">
        <f t="shared" si="69"/>
        <v>0.58053486053921011</v>
      </c>
      <c r="K177" s="41">
        <f t="shared" si="70"/>
        <v>641.41859724366145</v>
      </c>
      <c r="L177" s="6">
        <f t="shared" si="126"/>
        <v>365</v>
      </c>
      <c r="M177" s="41">
        <f t="shared" si="71"/>
        <v>380.03025616931353</v>
      </c>
      <c r="N177" s="41">
        <f t="shared" si="72"/>
        <v>447.44548107363693</v>
      </c>
      <c r="O177" s="41">
        <f t="shared" si="73"/>
        <v>3794291.6156251729</v>
      </c>
      <c r="P177" s="41">
        <f t="shared" si="74"/>
        <v>24362018.360955626</v>
      </c>
      <c r="Q177" s="41">
        <f t="shared" si="75"/>
        <v>2.5353000796152986E-3</v>
      </c>
      <c r="R177" s="41">
        <f t="shared" si="76"/>
        <v>2.0478006986051397E-2</v>
      </c>
      <c r="S177" s="27">
        <v>0</v>
      </c>
      <c r="T177" s="41">
        <f t="shared" ca="1" si="77"/>
        <v>0.16192964542987379</v>
      </c>
      <c r="U177" s="41">
        <f t="shared" ca="1" si="78"/>
        <v>2.2134052698884507E-2</v>
      </c>
      <c r="V177" s="41">
        <f t="shared" ca="1" si="79"/>
        <v>7.3158606619760409</v>
      </c>
      <c r="W177" s="20">
        <f t="shared" ca="1" si="80"/>
        <v>2277.8698273311702</v>
      </c>
      <c r="X177" s="41">
        <f t="shared" si="81"/>
        <v>0.56942174509760268</v>
      </c>
      <c r="Y177" s="41">
        <f t="shared" ca="1" si="82"/>
        <v>178.11278023252399</v>
      </c>
      <c r="Z177" s="14">
        <f t="shared" ca="1" si="83"/>
        <v>2277.8698273311702</v>
      </c>
      <c r="AA177" s="14">
        <f t="shared" si="84"/>
        <v>5628.3916222821908</v>
      </c>
      <c r="AB177" s="25">
        <f t="shared" ca="1" si="85"/>
        <v>1461068.0693504205</v>
      </c>
      <c r="AC177" s="41">
        <f t="shared" si="86"/>
        <v>3610155.0591022191</v>
      </c>
      <c r="AD177" s="5">
        <f t="shared" ca="1" si="87"/>
        <v>40.471061365263409</v>
      </c>
      <c r="AE177" s="7">
        <f t="shared" ca="1" si="88"/>
        <v>2277.8698273311702</v>
      </c>
      <c r="AF177" s="41">
        <f t="shared" ca="1" si="89"/>
        <v>0</v>
      </c>
      <c r="AG177" s="41">
        <f t="shared" ca="1" si="90"/>
        <v>128.96137879106033</v>
      </c>
      <c r="AH177" s="41">
        <f t="shared" ca="1" si="91"/>
        <v>1876.3396001760218</v>
      </c>
      <c r="AI177" s="13">
        <f t="shared" ca="1" si="92"/>
        <v>0</v>
      </c>
      <c r="AJ177" s="10">
        <f t="shared" ca="1" si="93"/>
        <v>0</v>
      </c>
      <c r="AK177" s="11">
        <f t="shared" ca="1" si="94"/>
        <v>0.46431914479959019</v>
      </c>
      <c r="AL177" s="6">
        <v>0</v>
      </c>
      <c r="AM177" s="6">
        <v>14400</v>
      </c>
      <c r="AN177" s="41">
        <f t="shared" ca="1" si="127"/>
        <v>7505.3584007040872</v>
      </c>
      <c r="AO177" s="41">
        <f t="shared" si="128"/>
        <v>1520.1210246772541</v>
      </c>
      <c r="AP177" s="67">
        <f t="shared" si="120"/>
        <v>0.8237255604611986</v>
      </c>
      <c r="AQ177" s="11">
        <f t="shared" si="96"/>
        <v>0.97937395000000005</v>
      </c>
      <c r="AR177" s="11">
        <f t="shared" si="97"/>
        <v>0.8962407041850623</v>
      </c>
      <c r="AS177" s="11">
        <f t="shared" si="98"/>
        <v>0.91511593113647982</v>
      </c>
      <c r="AT177" s="11">
        <f t="shared" si="99"/>
        <v>507.97188664649997</v>
      </c>
      <c r="AU177" s="11">
        <f t="shared" si="100"/>
        <v>1896.6425030105124</v>
      </c>
      <c r="AV177" s="11">
        <f t="shared" si="101"/>
        <v>2.1751390567182989E-3</v>
      </c>
      <c r="AW177" s="11">
        <f t="shared" si="102"/>
        <v>3.6770358841811742E-7</v>
      </c>
      <c r="AX177" s="41">
        <f t="shared" ca="1" si="129"/>
        <v>3.6303180871818266</v>
      </c>
      <c r="AY177" s="41">
        <f t="shared" ca="1" si="130"/>
        <v>1.9496152690420923</v>
      </c>
      <c r="AZ177" s="41">
        <f t="shared" si="131"/>
        <v>0.39044522393963726</v>
      </c>
      <c r="BA177" s="41">
        <f t="shared" ca="1" si="105"/>
        <v>18.180350126831453</v>
      </c>
      <c r="BB177" s="41">
        <f t="shared" ca="1" si="106"/>
        <v>2.9439376498287784</v>
      </c>
      <c r="BC177" s="41">
        <f t="shared" ca="1" si="132"/>
        <v>6.3355353332712516</v>
      </c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</row>
    <row r="178" spans="1:67">
      <c r="A178" s="41">
        <f t="shared" si="121"/>
        <v>14400</v>
      </c>
      <c r="B178" s="41">
        <f t="shared" si="122"/>
        <v>240</v>
      </c>
      <c r="C178" s="41">
        <f t="shared" si="123"/>
        <v>4</v>
      </c>
      <c r="D178" s="23">
        <f t="shared" ca="1" si="133"/>
        <v>16664.578262874267</v>
      </c>
      <c r="E178" s="41">
        <f t="shared" si="124"/>
        <v>1540.7906481449986</v>
      </c>
      <c r="F178" s="7">
        <f t="shared" si="125"/>
        <v>1540.7906481449986</v>
      </c>
      <c r="G178" s="41"/>
      <c r="H178" s="6">
        <v>3000</v>
      </c>
      <c r="I178" s="5">
        <v>0</v>
      </c>
      <c r="J178" s="41">
        <f t="shared" si="69"/>
        <v>0.58842859846036843</v>
      </c>
      <c r="K178" s="41">
        <f t="shared" si="70"/>
        <v>650.14019287651593</v>
      </c>
      <c r="L178" s="6">
        <f t="shared" si="126"/>
        <v>370</v>
      </c>
      <c r="M178" s="41">
        <f t="shared" si="71"/>
        <v>385.19766203624965</v>
      </c>
      <c r="N178" s="41">
        <f t="shared" si="72"/>
        <v>459.69635745764776</v>
      </c>
      <c r="O178" s="41">
        <f t="shared" si="73"/>
        <v>3845883.9413338737</v>
      </c>
      <c r="P178" s="41">
        <f t="shared" si="74"/>
        <v>24693277.345115881</v>
      </c>
      <c r="Q178" s="41">
        <f t="shared" si="75"/>
        <v>2.5280315484278314E-3</v>
      </c>
      <c r="R178" s="41">
        <f t="shared" si="76"/>
        <v>2.0433632603151911E-2</v>
      </c>
      <c r="S178" s="27">
        <v>0</v>
      </c>
      <c r="T178" s="41">
        <f t="shared" ca="1" si="77"/>
        <v>0.15761423149003015</v>
      </c>
      <c r="U178" s="41">
        <f t="shared" ca="1" si="78"/>
        <v>2.2002587461621193E-2</v>
      </c>
      <c r="V178" s="41">
        <f t="shared" ca="1" si="79"/>
        <v>7.1634407437286391</v>
      </c>
      <c r="W178" s="20">
        <f t="shared" ca="1" si="80"/>
        <v>2326.3371414726321</v>
      </c>
      <c r="X178" s="41">
        <f t="shared" si="81"/>
        <v>0.56880446232775217</v>
      </c>
      <c r="Y178" s="41">
        <f t="shared" ca="1" si="82"/>
        <v>178.11278023252399</v>
      </c>
      <c r="Z178" s="14">
        <f t="shared" ca="1" si="83"/>
        <v>2326.3371414726321</v>
      </c>
      <c r="AA178" s="14">
        <f t="shared" si="84"/>
        <v>5628.3916222821908</v>
      </c>
      <c r="AB178" s="25">
        <f t="shared" ca="1" si="85"/>
        <v>1512445.2778528198</v>
      </c>
      <c r="AC178" s="41">
        <f t="shared" si="86"/>
        <v>3659243.61489511</v>
      </c>
      <c r="AD178" s="5">
        <f t="shared" ca="1" si="87"/>
        <v>41.332183287724973</v>
      </c>
      <c r="AE178" s="7">
        <f t="shared" ca="1" si="88"/>
        <v>2326.3371414726321</v>
      </c>
      <c r="AF178" s="41">
        <f t="shared" ca="1" si="89"/>
        <v>0</v>
      </c>
      <c r="AG178" s="41">
        <f t="shared" ca="1" si="90"/>
        <v>128.82404241966191</v>
      </c>
      <c r="AH178" s="41">
        <f t="shared" ca="1" si="91"/>
        <v>1919.028912860738</v>
      </c>
      <c r="AI178" s="13">
        <f t="shared" ca="1" si="92"/>
        <v>0</v>
      </c>
      <c r="AJ178" s="10">
        <f t="shared" ca="1" si="93"/>
        <v>0</v>
      </c>
      <c r="AK178" s="11">
        <f t="shared" ca="1" si="94"/>
        <v>0.46382467190301152</v>
      </c>
      <c r="AL178" s="6">
        <v>0</v>
      </c>
      <c r="AM178" s="6">
        <v>14400</v>
      </c>
      <c r="AN178" s="41">
        <f t="shared" ca="1" si="127"/>
        <v>7676.1156514429522</v>
      </c>
      <c r="AO178" s="41">
        <f t="shared" si="128"/>
        <v>1540.7906481449986</v>
      </c>
      <c r="AP178" s="67">
        <f t="shared" si="120"/>
        <v>0.82491435942339064</v>
      </c>
      <c r="AQ178" s="11">
        <f t="shared" si="96"/>
        <v>0.97937395000000005</v>
      </c>
      <c r="AR178" s="11">
        <f t="shared" si="97"/>
        <v>0.8962407041850623</v>
      </c>
      <c r="AS178" s="11">
        <f t="shared" si="98"/>
        <v>0.91511593113647982</v>
      </c>
      <c r="AT178" s="11">
        <f t="shared" si="99"/>
        <v>507.97188664649997</v>
      </c>
      <c r="AU178" s="11">
        <f t="shared" si="100"/>
        <v>1896.6425030105124</v>
      </c>
      <c r="AV178" s="11">
        <f t="shared" si="101"/>
        <v>2.1751390567182989E-3</v>
      </c>
      <c r="AW178" s="11">
        <f t="shared" si="102"/>
        <v>3.6770358841811742E-7</v>
      </c>
      <c r="AX178" s="41">
        <f t="shared" ca="1" si="129"/>
        <v>3.726645783994821</v>
      </c>
      <c r="AY178" s="41">
        <f t="shared" ca="1" si="130"/>
        <v>2.0013468099231448</v>
      </c>
      <c r="AZ178" s="41">
        <f t="shared" si="131"/>
        <v>0.39471527736669781</v>
      </c>
      <c r="BA178" s="41">
        <f t="shared" ca="1" si="105"/>
        <v>18.043631887213014</v>
      </c>
      <c r="BB178" s="41">
        <f t="shared" ca="1" si="106"/>
        <v>2.8439331731920814</v>
      </c>
      <c r="BC178" s="41">
        <f t="shared" ca="1" si="132"/>
        <v>6.2035396840690016</v>
      </c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</row>
    <row r="179" spans="1:67">
      <c r="A179" s="41">
        <f t="shared" si="121"/>
        <v>14400</v>
      </c>
      <c r="B179" s="41">
        <f t="shared" si="122"/>
        <v>240</v>
      </c>
      <c r="C179" s="41">
        <f t="shared" si="123"/>
        <v>4</v>
      </c>
      <c r="D179" s="23">
        <f t="shared" ca="1" si="133"/>
        <v>16664.578262874267</v>
      </c>
      <c r="E179" s="41">
        <f t="shared" si="124"/>
        <v>1561.4548138334683</v>
      </c>
      <c r="F179" s="7">
        <f t="shared" si="125"/>
        <v>1561.4548138334683</v>
      </c>
      <c r="G179" s="41"/>
      <c r="H179" s="6">
        <v>3000</v>
      </c>
      <c r="I179" s="5">
        <v>0</v>
      </c>
      <c r="J179" s="41">
        <f t="shared" si="69"/>
        <v>0.59632025205331962</v>
      </c>
      <c r="K179" s="41">
        <f t="shared" si="70"/>
        <v>658.85948558672817</v>
      </c>
      <c r="L179" s="6">
        <f t="shared" si="126"/>
        <v>375</v>
      </c>
      <c r="M179" s="41">
        <f t="shared" si="71"/>
        <v>390.36370345836707</v>
      </c>
      <c r="N179" s="41">
        <f t="shared" si="72"/>
        <v>472.10938812072351</v>
      </c>
      <c r="O179" s="41">
        <f t="shared" si="73"/>
        <v>3897462.6441758373</v>
      </c>
      <c r="P179" s="41">
        <f t="shared" si="74"/>
        <v>25024448.860899113</v>
      </c>
      <c r="Q179" s="41">
        <f t="shared" si="75"/>
        <v>2.520833205191639E-3</v>
      </c>
      <c r="R179" s="41">
        <f t="shared" si="76"/>
        <v>2.0389686717694956E-2</v>
      </c>
      <c r="S179" s="27">
        <v>0</v>
      </c>
      <c r="T179" s="41">
        <f t="shared" ca="1" si="77"/>
        <v>0.15347012773430782</v>
      </c>
      <c r="U179" s="41">
        <f t="shared" ca="1" si="78"/>
        <v>2.1877222084375186E-2</v>
      </c>
      <c r="V179" s="41">
        <f t="shared" ca="1" si="79"/>
        <v>7.0150646705697115</v>
      </c>
      <c r="W179" s="20">
        <f t="shared" ca="1" si="80"/>
        <v>2375.5416443681761</v>
      </c>
      <c r="X179" s="41">
        <f t="shared" si="81"/>
        <v>0.5681924793646882</v>
      </c>
      <c r="Y179" s="41">
        <f t="shared" ca="1" si="82"/>
        <v>178.11278023252402</v>
      </c>
      <c r="Z179" s="14">
        <f t="shared" ca="1" si="83"/>
        <v>2375.5416443681761</v>
      </c>
      <c r="AA179" s="14">
        <f t="shared" si="84"/>
        <v>5628.3916222821908</v>
      </c>
      <c r="AB179" s="25">
        <f t="shared" ca="1" si="85"/>
        <v>1565148.1457982669</v>
      </c>
      <c r="AC179" s="41">
        <f t="shared" si="86"/>
        <v>3708319.2089374945</v>
      </c>
      <c r="AD179" s="5">
        <f t="shared" ca="1" si="87"/>
        <v>42.206402890723965</v>
      </c>
      <c r="AE179" s="7">
        <f t="shared" ca="1" si="88"/>
        <v>2375.5416443681761</v>
      </c>
      <c r="AF179" s="41">
        <f t="shared" ca="1" si="89"/>
        <v>0</v>
      </c>
      <c r="AG179" s="41">
        <f t="shared" ca="1" si="90"/>
        <v>128.60637871129532</v>
      </c>
      <c r="AH179" s="41">
        <f t="shared" ca="1" si="91"/>
        <v>1962.4188964459031</v>
      </c>
      <c r="AI179" s="13">
        <f t="shared" ca="1" si="92"/>
        <v>0</v>
      </c>
      <c r="AJ179" s="10">
        <f t="shared" ca="1" si="93"/>
        <v>0</v>
      </c>
      <c r="AK179" s="11">
        <f t="shared" ca="1" si="94"/>
        <v>0.46304098435352875</v>
      </c>
      <c r="AL179" s="6">
        <v>0</v>
      </c>
      <c r="AM179" s="6">
        <v>14400</v>
      </c>
      <c r="AN179" s="41">
        <f t="shared" ca="1" si="127"/>
        <v>7849.6755857836124</v>
      </c>
      <c r="AO179" s="41">
        <f t="shared" si="128"/>
        <v>1561.4548138334683</v>
      </c>
      <c r="AP179" s="67">
        <f t="shared" si="120"/>
        <v>0.82609324113442284</v>
      </c>
      <c r="AQ179" s="11">
        <f t="shared" si="96"/>
        <v>0.97937395000000005</v>
      </c>
      <c r="AR179" s="11">
        <f t="shared" si="97"/>
        <v>0.8962407041850623</v>
      </c>
      <c r="AS179" s="11">
        <f t="shared" si="98"/>
        <v>0.91511593113647982</v>
      </c>
      <c r="AT179" s="11">
        <f t="shared" si="99"/>
        <v>507.97188664649997</v>
      </c>
      <c r="AU179" s="11">
        <f t="shared" si="100"/>
        <v>1896.6425030105124</v>
      </c>
      <c r="AV179" s="11">
        <f t="shared" si="101"/>
        <v>2.1751390567182989E-3</v>
      </c>
      <c r="AW179" s="11">
        <f t="shared" si="102"/>
        <v>3.6770358841811742E-7</v>
      </c>
      <c r="AX179" s="41">
        <f t="shared" ca="1" si="129"/>
        <v>3.8243301795065676</v>
      </c>
      <c r="AY179" s="41">
        <f t="shared" ca="1" si="130"/>
        <v>2.0538069482535271</v>
      </c>
      <c r="AZ179" s="41">
        <f t="shared" si="131"/>
        <v>0.39895393209281754</v>
      </c>
      <c r="BA179" s="41">
        <f t="shared" ca="1" si="105"/>
        <v>17.906872928781084</v>
      </c>
      <c r="BB179" s="41">
        <f t="shared" ca="1" si="106"/>
        <v>2.7481700757020509</v>
      </c>
      <c r="BC179" s="41">
        <f t="shared" ca="1" si="132"/>
        <v>6.0750460047133705</v>
      </c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</row>
    <row r="180" spans="1:67">
      <c r="A180" s="41">
        <f t="shared" si="121"/>
        <v>14400</v>
      </c>
      <c r="B180" s="41">
        <f t="shared" si="122"/>
        <v>240</v>
      </c>
      <c r="C180" s="41">
        <f t="shared" si="123"/>
        <v>4</v>
      </c>
      <c r="D180" s="23">
        <f t="shared" ca="1" si="133"/>
        <v>16664.578262874267</v>
      </c>
      <c r="E180" s="41">
        <f t="shared" si="124"/>
        <v>1582.1134972879861</v>
      </c>
      <c r="F180" s="7">
        <f t="shared" si="125"/>
        <v>1582.1134972879861</v>
      </c>
      <c r="G180" s="41"/>
      <c r="H180" s="6">
        <v>3000</v>
      </c>
      <c r="I180" s="5">
        <v>0</v>
      </c>
      <c r="J180" s="41">
        <f t="shared" si="69"/>
        <v>0.60420981197881207</v>
      </c>
      <c r="K180" s="41">
        <f t="shared" si="70"/>
        <v>667.57646505559057</v>
      </c>
      <c r="L180" s="6">
        <f t="shared" si="126"/>
        <v>380</v>
      </c>
      <c r="M180" s="41">
        <f t="shared" si="71"/>
        <v>395.52837432199652</v>
      </c>
      <c r="N180" s="41">
        <f t="shared" si="72"/>
        <v>484.6844270499202</v>
      </c>
      <c r="O180" s="41">
        <f t="shared" si="73"/>
        <v>3949027.6631110725</v>
      </c>
      <c r="P180" s="41">
        <f t="shared" si="74"/>
        <v>25355532.516385682</v>
      </c>
      <c r="Q180" s="41">
        <f t="shared" si="75"/>
        <v>2.5137026743159898E-3</v>
      </c>
      <c r="R180" s="41">
        <f t="shared" si="76"/>
        <v>2.0346154826699117E-2</v>
      </c>
      <c r="S180" s="27">
        <v>0</v>
      </c>
      <c r="T180" s="41">
        <f t="shared" ca="1" si="77"/>
        <v>0.14948837646890364</v>
      </c>
      <c r="U180" s="41">
        <f t="shared" ca="1" si="78"/>
        <v>2.1757503896364147E-2</v>
      </c>
      <c r="V180" s="41">
        <f t="shared" ca="1" si="79"/>
        <v>6.8706583797916423</v>
      </c>
      <c r="W180" s="20">
        <f t="shared" ca="1" si="80"/>
        <v>2425.4703613105025</v>
      </c>
      <c r="X180" s="41">
        <f t="shared" si="81"/>
        <v>0.56758561106064576</v>
      </c>
      <c r="Y180" s="41">
        <f t="shared" ca="1" si="82"/>
        <v>178.11278023252399</v>
      </c>
      <c r="Z180" s="14">
        <f t="shared" ca="1" si="83"/>
        <v>2425.4703613105025</v>
      </c>
      <c r="AA180" s="14">
        <f t="shared" si="84"/>
        <v>5628.3916222821908</v>
      </c>
      <c r="AB180" s="25">
        <f t="shared" ca="1" si="85"/>
        <v>1619186.9299007712</v>
      </c>
      <c r="AC180" s="41">
        <f t="shared" si="86"/>
        <v>3757381.7831516457</v>
      </c>
      <c r="AD180" s="5">
        <f t="shared" ca="1" si="87"/>
        <v>43.093489651791977</v>
      </c>
      <c r="AE180" s="7">
        <f t="shared" ca="1" si="88"/>
        <v>2425.4703613105025</v>
      </c>
      <c r="AF180" s="41">
        <f t="shared" ca="1" si="89"/>
        <v>0</v>
      </c>
      <c r="AG180" s="41">
        <f t="shared" ca="1" si="90"/>
        <v>128.30776870089741</v>
      </c>
      <c r="AH180" s="41">
        <f t="shared" ca="1" si="91"/>
        <v>2006.5000366528643</v>
      </c>
      <c r="AI180" s="13">
        <f t="shared" ca="1" si="92"/>
        <v>0</v>
      </c>
      <c r="AJ180" s="10">
        <f t="shared" ca="1" si="93"/>
        <v>0</v>
      </c>
      <c r="AK180" s="11">
        <f t="shared" ca="1" si="94"/>
        <v>0.4619658535976674</v>
      </c>
      <c r="AL180" s="6">
        <v>0</v>
      </c>
      <c r="AM180" s="6">
        <v>14400</v>
      </c>
      <c r="AN180" s="41">
        <f t="shared" ca="1" si="127"/>
        <v>8026.0001466114572</v>
      </c>
      <c r="AO180" s="41">
        <f t="shared" si="128"/>
        <v>1582.1134972879861</v>
      </c>
      <c r="AP180" s="67">
        <f t="shared" si="120"/>
        <v>0.82726223690844647</v>
      </c>
      <c r="AQ180" s="11">
        <f t="shared" si="96"/>
        <v>0.97937395000000005</v>
      </c>
      <c r="AR180" s="11">
        <f t="shared" si="97"/>
        <v>0.8962407041850623</v>
      </c>
      <c r="AS180" s="11">
        <f t="shared" si="98"/>
        <v>0.91511593113647982</v>
      </c>
      <c r="AT180" s="11">
        <f t="shared" si="99"/>
        <v>507.97188664649997</v>
      </c>
      <c r="AU180" s="11">
        <f t="shared" si="100"/>
        <v>1896.6425030105124</v>
      </c>
      <c r="AV180" s="11">
        <f t="shared" si="101"/>
        <v>2.1751390567182989E-3</v>
      </c>
      <c r="AW180" s="11">
        <f t="shared" si="102"/>
        <v>3.6770358841811742E-7</v>
      </c>
      <c r="AX180" s="41">
        <f t="shared" ca="1" si="129"/>
        <v>3.9233667863934611</v>
      </c>
      <c r="AY180" s="41">
        <f t="shared" ca="1" si="130"/>
        <v>2.1069932741742665</v>
      </c>
      <c r="AZ180" s="41">
        <f t="shared" si="131"/>
        <v>0.40316120713789239</v>
      </c>
      <c r="BA180" s="41">
        <f t="shared" ca="1" si="105"/>
        <v>17.770295211546976</v>
      </c>
      <c r="BB180" s="41">
        <f t="shared" ca="1" si="106"/>
        <v>2.6564525805472905</v>
      </c>
      <c r="BC180" s="41">
        <f t="shared" ca="1" si="132"/>
        <v>5.9499901568995623</v>
      </c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</row>
    <row r="181" spans="1:67">
      <c r="A181" s="41">
        <f t="shared" si="121"/>
        <v>14400</v>
      </c>
      <c r="B181" s="41">
        <f t="shared" si="122"/>
        <v>240</v>
      </c>
      <c r="C181" s="41">
        <f t="shared" si="123"/>
        <v>4</v>
      </c>
      <c r="D181" s="23">
        <f t="shared" ca="1" si="133"/>
        <v>16664.578262874267</v>
      </c>
      <c r="E181" s="41">
        <f t="shared" si="124"/>
        <v>1602.7666754966053</v>
      </c>
      <c r="F181" s="7">
        <f t="shared" si="125"/>
        <v>1602.7666754966053</v>
      </c>
      <c r="G181" s="41"/>
      <c r="H181" s="6">
        <v>3000</v>
      </c>
      <c r="I181" s="5">
        <v>0</v>
      </c>
      <c r="J181" s="41">
        <f t="shared" si="69"/>
        <v>0.61209726944857368</v>
      </c>
      <c r="K181" s="41">
        <f t="shared" si="70"/>
        <v>676.29112157315865</v>
      </c>
      <c r="L181" s="6">
        <f t="shared" si="126"/>
        <v>385</v>
      </c>
      <c r="M181" s="41">
        <f t="shared" si="71"/>
        <v>400.69166887415133</v>
      </c>
      <c r="N181" s="41">
        <f t="shared" si="72"/>
        <v>497.42132838001834</v>
      </c>
      <c r="O181" s="41">
        <f t="shared" si="73"/>
        <v>4000578.9407007061</v>
      </c>
      <c r="P181" s="41">
        <f t="shared" si="74"/>
        <v>25686527.942777663</v>
      </c>
      <c r="Q181" s="41">
        <f t="shared" si="75"/>
        <v>2.5066376879360483E-3</v>
      </c>
      <c r="R181" s="41">
        <f t="shared" si="76"/>
        <v>2.0303023084849575E-2</v>
      </c>
      <c r="S181" s="27">
        <v>0</v>
      </c>
      <c r="T181" s="41">
        <f t="shared" ca="1" si="77"/>
        <v>0.14566059789880911</v>
      </c>
      <c r="U181" s="41">
        <f t="shared" ca="1" si="78"/>
        <v>2.1643019903958328E-2</v>
      </c>
      <c r="V181" s="41">
        <f t="shared" ca="1" si="79"/>
        <v>6.7301420294017751</v>
      </c>
      <c r="W181" s="20">
        <f t="shared" ca="1" si="80"/>
        <v>2476.1109334798894</v>
      </c>
      <c r="X181" s="41">
        <f t="shared" si="81"/>
        <v>0.56698368051637793</v>
      </c>
      <c r="Y181" s="41">
        <f t="shared" ca="1" si="82"/>
        <v>178.11278023252399</v>
      </c>
      <c r="Z181" s="14">
        <f t="shared" ca="1" si="83"/>
        <v>2476.1109334798894</v>
      </c>
      <c r="AA181" s="14">
        <f t="shared" si="84"/>
        <v>5628.3916222821908</v>
      </c>
      <c r="AB181" s="25">
        <f t="shared" ca="1" si="85"/>
        <v>1674571.8403426751</v>
      </c>
      <c r="AC181" s="41">
        <f t="shared" si="86"/>
        <v>3806431.2828861927</v>
      </c>
      <c r="AD181" s="5">
        <f t="shared" ca="1" si="87"/>
        <v>43.993223990975238</v>
      </c>
      <c r="AE181" s="7">
        <f t="shared" ca="1" si="88"/>
        <v>2476.1109334798894</v>
      </c>
      <c r="AF181" s="41">
        <f t="shared" ca="1" si="89"/>
        <v>0</v>
      </c>
      <c r="AG181" s="41">
        <f t="shared" ca="1" si="90"/>
        <v>127.92759642126219</v>
      </c>
      <c r="AH181" s="41">
        <f t="shared" ca="1" si="91"/>
        <v>2051.2632315068022</v>
      </c>
      <c r="AI181" s="13">
        <f t="shared" ca="1" si="92"/>
        <v>0</v>
      </c>
      <c r="AJ181" s="10">
        <f t="shared" ca="1" si="93"/>
        <v>0</v>
      </c>
      <c r="AK181" s="11">
        <f t="shared" ca="1" si="94"/>
        <v>0.46059706187559124</v>
      </c>
      <c r="AL181" s="6">
        <v>0</v>
      </c>
      <c r="AM181" s="6">
        <v>14400</v>
      </c>
      <c r="AN181" s="41">
        <f t="shared" ca="1" si="127"/>
        <v>8205.0529260272087</v>
      </c>
      <c r="AO181" s="41">
        <f t="shared" si="128"/>
        <v>1602.7666754966053</v>
      </c>
      <c r="AP181" s="67">
        <f t="shared" si="120"/>
        <v>0.82842137796467286</v>
      </c>
      <c r="AQ181" s="11">
        <f t="shared" si="96"/>
        <v>0.97937395000000005</v>
      </c>
      <c r="AR181" s="11">
        <f t="shared" si="97"/>
        <v>0.8962407041850623</v>
      </c>
      <c r="AS181" s="11">
        <f t="shared" si="98"/>
        <v>0.91511593113647982</v>
      </c>
      <c r="AT181" s="11">
        <f t="shared" si="99"/>
        <v>507.97188664649997</v>
      </c>
      <c r="AU181" s="11">
        <f t="shared" si="100"/>
        <v>1896.6425030105124</v>
      </c>
      <c r="AV181" s="11">
        <f t="shared" si="101"/>
        <v>2.1751390567182989E-3</v>
      </c>
      <c r="AW181" s="11">
        <f t="shared" si="102"/>
        <v>3.6770358841811742E-7</v>
      </c>
      <c r="AX181" s="41">
        <f t="shared" ca="1" si="129"/>
        <v>4.0237513430310115</v>
      </c>
      <c r="AY181" s="41">
        <f t="shared" ca="1" si="130"/>
        <v>2.160903499035173</v>
      </c>
      <c r="AZ181" s="41">
        <f t="shared" si="131"/>
        <v>0.40733712194933813</v>
      </c>
      <c r="BA181" s="41">
        <f t="shared" ca="1" si="105"/>
        <v>17.634095372236349</v>
      </c>
      <c r="BB181" s="41">
        <f t="shared" ca="1" si="106"/>
        <v>2.5685928753245699</v>
      </c>
      <c r="BC181" s="41">
        <f t="shared" ca="1" si="132"/>
        <v>5.8283029974619369</v>
      </c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</row>
    <row r="182" spans="1:67">
      <c r="A182" s="41">
        <f t="shared" si="121"/>
        <v>14400</v>
      </c>
      <c r="B182" s="41">
        <f t="shared" si="122"/>
        <v>240</v>
      </c>
      <c r="C182" s="41">
        <f t="shared" si="123"/>
        <v>4</v>
      </c>
      <c r="D182" s="23">
        <f t="shared" ca="1" si="133"/>
        <v>16664.578262874267</v>
      </c>
      <c r="E182" s="41">
        <f t="shared" si="124"/>
        <v>1623.4143268805124</v>
      </c>
      <c r="F182" s="7">
        <f t="shared" si="125"/>
        <v>1623.4143268805124</v>
      </c>
      <c r="G182" s="41"/>
      <c r="H182" s="6">
        <v>3000</v>
      </c>
      <c r="I182" s="5">
        <v>0</v>
      </c>
      <c r="J182" s="41">
        <f t="shared" si="69"/>
        <v>0.61998261622164641</v>
      </c>
      <c r="K182" s="41">
        <f t="shared" si="70"/>
        <v>685.00344603420194</v>
      </c>
      <c r="L182" s="6">
        <f t="shared" si="126"/>
        <v>390</v>
      </c>
      <c r="M182" s="41">
        <f t="shared" si="71"/>
        <v>405.85358172012809</v>
      </c>
      <c r="N182" s="41">
        <f t="shared" si="72"/>
        <v>510.31994644569158</v>
      </c>
      <c r="O182" s="41">
        <f t="shared" si="73"/>
        <v>4052116.4230830343</v>
      </c>
      <c r="P182" s="41">
        <f t="shared" si="74"/>
        <v>26017434.794245072</v>
      </c>
      <c r="Q182" s="41">
        <f t="shared" si="75"/>
        <v>2.4996360800106599E-3</v>
      </c>
      <c r="R182" s="41">
        <f t="shared" si="76"/>
        <v>2.026027826846508E-2</v>
      </c>
      <c r="S182" s="27">
        <v>0</v>
      </c>
      <c r="T182" s="41">
        <f t="shared" ca="1" si="77"/>
        <v>0.14197894596143124</v>
      </c>
      <c r="U182" s="41">
        <f t="shared" ca="1" si="78"/>
        <v>2.153339283212773E-2</v>
      </c>
      <c r="V182" s="41">
        <f t="shared" ca="1" si="79"/>
        <v>6.593431284530288</v>
      </c>
      <c r="W182" s="20">
        <f t="shared" ca="1" si="80"/>
        <v>2527.4515716836563</v>
      </c>
      <c r="X182" s="41">
        <f t="shared" si="81"/>
        <v>0.56638651863739653</v>
      </c>
      <c r="Y182" s="41">
        <f t="shared" ca="1" si="82"/>
        <v>178.11278023252396</v>
      </c>
      <c r="Z182" s="14">
        <f t="shared" ca="1" si="83"/>
        <v>2527.4515716836563</v>
      </c>
      <c r="AA182" s="14">
        <f t="shared" si="84"/>
        <v>5628.3916222821908</v>
      </c>
      <c r="AB182" s="25">
        <f t="shared" ca="1" si="85"/>
        <v>1731313.0362878644</v>
      </c>
      <c r="AC182" s="41">
        <f t="shared" si="86"/>
        <v>3855467.656893333</v>
      </c>
      <c r="AD182" s="5">
        <f t="shared" ca="1" si="87"/>
        <v>44.905396448920683</v>
      </c>
      <c r="AE182" s="7">
        <f t="shared" ca="1" si="88"/>
        <v>2527.4515716836559</v>
      </c>
      <c r="AF182" s="41">
        <f t="shared" ca="1" si="89"/>
        <v>0</v>
      </c>
      <c r="AG182" s="41">
        <f t="shared" ca="1" si="90"/>
        <v>127.46524917091419</v>
      </c>
      <c r="AH182" s="41">
        <f t="shared" ca="1" si="91"/>
        <v>2096.6997579713343</v>
      </c>
      <c r="AI182" s="13">
        <f t="shared" ca="1" si="92"/>
        <v>-1.8692552401768669E-14</v>
      </c>
      <c r="AJ182" s="10">
        <f t="shared" ca="1" si="93"/>
        <v>-1.5635021504621747E-15</v>
      </c>
      <c r="AK182" s="11">
        <f t="shared" ca="1" si="94"/>
        <v>0.45893240318556716</v>
      </c>
      <c r="AL182" s="6">
        <v>0</v>
      </c>
      <c r="AM182" s="6">
        <v>14400</v>
      </c>
      <c r="AN182" s="41">
        <f t="shared" ca="1" si="127"/>
        <v>8386.7990318853372</v>
      </c>
      <c r="AO182" s="41">
        <f t="shared" si="128"/>
        <v>1623.4143268805124</v>
      </c>
      <c r="AP182" s="67">
        <f t="shared" si="120"/>
        <v>0.82957069542370021</v>
      </c>
      <c r="AQ182" s="11">
        <f t="shared" si="96"/>
        <v>0.97937395000000005</v>
      </c>
      <c r="AR182" s="11">
        <f t="shared" si="97"/>
        <v>0.8962407041850623</v>
      </c>
      <c r="AS182" s="11">
        <f t="shared" si="98"/>
        <v>0.91511593113647982</v>
      </c>
      <c r="AT182" s="11">
        <f t="shared" si="99"/>
        <v>507.97188664649997</v>
      </c>
      <c r="AU182" s="11">
        <f t="shared" si="100"/>
        <v>1896.6425030105124</v>
      </c>
      <c r="AV182" s="11">
        <f t="shared" si="101"/>
        <v>2.1751390567182989E-3</v>
      </c>
      <c r="AW182" s="11">
        <f t="shared" si="102"/>
        <v>3.6770358841811742E-7</v>
      </c>
      <c r="AX182" s="41">
        <f t="shared" ca="1" si="129"/>
        <v>4.1254797956079567</v>
      </c>
      <c r="AY182" s="41">
        <f t="shared" ca="1" si="130"/>
        <v>2.2155354457894583</v>
      </c>
      <c r="AZ182" s="41">
        <f t="shared" si="131"/>
        <v>0.4114816963895182</v>
      </c>
      <c r="BA182" s="41">
        <f t="shared" ca="1" si="105"/>
        <v>17.498447166300185</v>
      </c>
      <c r="BB182" s="41">
        <f t="shared" ca="1" si="106"/>
        <v>2.4844110846330931</v>
      </c>
      <c r="BC182" s="41">
        <f t="shared" ca="1" si="132"/>
        <v>5.7099114924032293</v>
      </c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</row>
    <row r="183" spans="1:67">
      <c r="A183" s="41">
        <f t="shared" si="121"/>
        <v>14400</v>
      </c>
      <c r="B183" s="41">
        <f t="shared" si="122"/>
        <v>240</v>
      </c>
      <c r="C183" s="41">
        <f t="shared" si="123"/>
        <v>4</v>
      </c>
      <c r="D183" s="23">
        <f t="shared" ca="1" si="133"/>
        <v>16664.578262874267</v>
      </c>
      <c r="E183" s="41">
        <f t="shared" si="124"/>
        <v>1644.0564312838924</v>
      </c>
      <c r="F183" s="7">
        <f t="shared" si="125"/>
        <v>1644.0564312838924</v>
      </c>
      <c r="G183" s="41"/>
      <c r="H183" s="6">
        <v>3000</v>
      </c>
      <c r="I183" s="5">
        <v>0</v>
      </c>
      <c r="J183" s="41">
        <f t="shared" si="69"/>
        <v>0.62786584460051587</v>
      </c>
      <c r="K183" s="41">
        <f t="shared" si="70"/>
        <v>693.7134299339275</v>
      </c>
      <c r="L183" s="6">
        <f t="shared" si="126"/>
        <v>395</v>
      </c>
      <c r="M183" s="41">
        <f t="shared" si="71"/>
        <v>411.01410782097309</v>
      </c>
      <c r="N183" s="41">
        <f t="shared" si="72"/>
        <v>523.38013583282896</v>
      </c>
      <c r="O183" s="41">
        <f t="shared" si="73"/>
        <v>4103640.059948219</v>
      </c>
      <c r="P183" s="41">
        <f t="shared" si="74"/>
        <v>26348252.747763392</v>
      </c>
      <c r="Q183" s="41">
        <f t="shared" si="75"/>
        <v>2.4926957808117565E-3</v>
      </c>
      <c r="R183" s="41">
        <f t="shared" si="76"/>
        <v>2.0217907741855771E-2</v>
      </c>
      <c r="S183" s="27">
        <v>0</v>
      </c>
      <c r="T183" s="41">
        <f t="shared" ca="1" si="77"/>
        <v>0.13843606804862735</v>
      </c>
      <c r="U183" s="41">
        <f t="shared" ca="1" si="78"/>
        <v>2.1428277606456075E-2</v>
      </c>
      <c r="V183" s="41">
        <f t="shared" ca="1" si="79"/>
        <v>6.460438425854548</v>
      </c>
      <c r="W183" s="20">
        <f t="shared" ca="1" si="80"/>
        <v>2579.4810141960261</v>
      </c>
      <c r="X183" s="41">
        <f t="shared" si="81"/>
        <v>0.56579396371926971</v>
      </c>
      <c r="Y183" s="41">
        <f t="shared" ca="1" si="82"/>
        <v>178.11278023252399</v>
      </c>
      <c r="Z183" s="14">
        <f t="shared" ca="1" si="83"/>
        <v>2579.4810141960261</v>
      </c>
      <c r="AA183" s="14">
        <f t="shared" si="84"/>
        <v>5628.3916222821908</v>
      </c>
      <c r="AB183" s="25">
        <f t="shared" ca="1" si="85"/>
        <v>1789420.6218073713</v>
      </c>
      <c r="AC183" s="41">
        <f t="shared" si="86"/>
        <v>3904490.8573047612</v>
      </c>
      <c r="AD183" s="5">
        <f t="shared" ca="1" si="87"/>
        <v>45.829806937814013</v>
      </c>
      <c r="AE183" s="7">
        <f t="shared" ca="1" si="88"/>
        <v>2579.4810141960261</v>
      </c>
      <c r="AF183" s="41">
        <f t="shared" ca="1" si="89"/>
        <v>0</v>
      </c>
      <c r="AG183" s="41">
        <f t="shared" ca="1" si="90"/>
        <v>126.92011775715875</v>
      </c>
      <c r="AH183" s="41">
        <f t="shared" ca="1" si="91"/>
        <v>2142.8012415724284</v>
      </c>
      <c r="AI183" s="13">
        <f t="shared" ca="1" si="92"/>
        <v>0</v>
      </c>
      <c r="AJ183" s="10">
        <f t="shared" ca="1" si="93"/>
        <v>0</v>
      </c>
      <c r="AK183" s="11">
        <f t="shared" ca="1" si="94"/>
        <v>0.45696968415905603</v>
      </c>
      <c r="AL183" s="6">
        <v>0</v>
      </c>
      <c r="AM183" s="6">
        <v>14400</v>
      </c>
      <c r="AN183" s="41">
        <f t="shared" ca="1" si="127"/>
        <v>8571.2049662897134</v>
      </c>
      <c r="AO183" s="41">
        <f t="shared" si="128"/>
        <v>1644.0564312838924</v>
      </c>
      <c r="AP183" s="67">
        <f t="shared" si="120"/>
        <v>0.8307102203038691</v>
      </c>
      <c r="AQ183" s="11">
        <f t="shared" si="96"/>
        <v>0.97937395000000005</v>
      </c>
      <c r="AR183" s="11">
        <f t="shared" si="97"/>
        <v>0.8962407041850623</v>
      </c>
      <c r="AS183" s="11">
        <f t="shared" si="98"/>
        <v>0.91511593113647982</v>
      </c>
      <c r="AT183" s="11">
        <f t="shared" si="99"/>
        <v>507.97188664649997</v>
      </c>
      <c r="AU183" s="11">
        <f t="shared" si="100"/>
        <v>1896.6425030105124</v>
      </c>
      <c r="AV183" s="11">
        <f t="shared" si="101"/>
        <v>2.1751390567182989E-3</v>
      </c>
      <c r="AW183" s="11">
        <f t="shared" si="102"/>
        <v>3.6770358841811742E-7</v>
      </c>
      <c r="AX183" s="41">
        <f t="shared" ca="1" si="129"/>
        <v>4.2285482819850628</v>
      </c>
      <c r="AY183" s="41">
        <f t="shared" ca="1" si="130"/>
        <v>2.2708870403253116</v>
      </c>
      <c r="AZ183" s="41">
        <f t="shared" si="131"/>
        <v>0.41559495072315716</v>
      </c>
      <c r="BA183" s="41">
        <f t="shared" ca="1" si="105"/>
        <v>17.363503693011054</v>
      </c>
      <c r="BB183" s="41">
        <f t="shared" ca="1" si="106"/>
        <v>2.4037351788082706</v>
      </c>
      <c r="BC183" s="41">
        <f t="shared" ca="1" si="132"/>
        <v>5.5947396767900388</v>
      </c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</row>
    <row r="184" spans="1:67">
      <c r="A184" s="41">
        <f t="shared" si="121"/>
        <v>14400</v>
      </c>
      <c r="B184" s="41">
        <f t="shared" si="122"/>
        <v>240</v>
      </c>
      <c r="C184" s="41">
        <f t="shared" si="123"/>
        <v>4</v>
      </c>
      <c r="D184" s="23">
        <f t="shared" ca="1" si="133"/>
        <v>16664.578262874267</v>
      </c>
      <c r="E184" s="41">
        <f t="shared" si="124"/>
        <v>1664.6929699632121</v>
      </c>
      <c r="F184" s="7">
        <f t="shared" si="125"/>
        <v>1664.6929699632121</v>
      </c>
      <c r="G184" s="41"/>
      <c r="H184" s="6">
        <v>3000</v>
      </c>
      <c r="I184" s="5">
        <v>0</v>
      </c>
      <c r="J184" s="41">
        <f t="shared" si="69"/>
        <v>0.63574694742701909</v>
      </c>
      <c r="K184" s="41">
        <f t="shared" si="70"/>
        <v>702.42106536345796</v>
      </c>
      <c r="L184" s="6">
        <f t="shared" si="126"/>
        <v>400</v>
      </c>
      <c r="M184" s="41">
        <f t="shared" si="71"/>
        <v>416.17324249080303</v>
      </c>
      <c r="N184" s="41">
        <f t="shared" si="72"/>
        <v>536.60175142895025</v>
      </c>
      <c r="O184" s="41">
        <f t="shared" si="73"/>
        <v>4155149.8045115462</v>
      </c>
      <c r="P184" s="41">
        <f t="shared" si="74"/>
        <v>26678981.502941884</v>
      </c>
      <c r="Q184" s="41">
        <f t="shared" si="75"/>
        <v>2.4858148117747883E-3</v>
      </c>
      <c r="R184" s="41">
        <f t="shared" si="76"/>
        <v>2.0175899425885081E-2</v>
      </c>
      <c r="S184" s="27">
        <v>0</v>
      </c>
      <c r="T184" s="41">
        <f t="shared" ca="1" si="77"/>
        <v>0.13502506823078611</v>
      </c>
      <c r="U184" s="41">
        <f t="shared" ca="1" si="78"/>
        <v>2.132735822181098E-2</v>
      </c>
      <c r="V184" s="41">
        <f t="shared" ca="1" si="79"/>
        <v>6.3310733015540199</v>
      </c>
      <c r="W184" s="20">
        <f t="shared" ca="1" si="80"/>
        <v>2632.1884882905706</v>
      </c>
      <c r="X184" s="41">
        <f t="shared" si="81"/>
        <v>0.56520586105973158</v>
      </c>
      <c r="Y184" s="41">
        <f t="shared" ca="1" si="82"/>
        <v>178.11278023252399</v>
      </c>
      <c r="Z184" s="14">
        <f t="shared" ca="1" si="83"/>
        <v>2632.1884882905706</v>
      </c>
      <c r="AA184" s="14">
        <f t="shared" si="84"/>
        <v>5628.3916222821908</v>
      </c>
      <c r="AB184" s="25">
        <f t="shared" ca="1" si="85"/>
        <v>1848904.6421824924</v>
      </c>
      <c r="AC184" s="41">
        <f t="shared" si="86"/>
        <v>3953500.839606218</v>
      </c>
      <c r="AD184" s="5">
        <f t="shared" ca="1" si="87"/>
        <v>46.766264057924154</v>
      </c>
      <c r="AE184" s="7">
        <f t="shared" ca="1" si="88"/>
        <v>2632.1884882905706</v>
      </c>
      <c r="AF184" s="41">
        <f t="shared" ca="1" si="89"/>
        <v>0</v>
      </c>
      <c r="AG184" s="41">
        <f t="shared" ca="1" si="90"/>
        <v>126.29159671639536</v>
      </c>
      <c r="AH184" s="41">
        <f t="shared" ca="1" si="91"/>
        <v>2189.5596287149665</v>
      </c>
      <c r="AI184" s="13">
        <f t="shared" ca="1" si="92"/>
        <v>0</v>
      </c>
      <c r="AJ184" s="10">
        <f t="shared" ca="1" si="93"/>
        <v>0</v>
      </c>
      <c r="AK184" s="11">
        <f t="shared" ca="1" si="94"/>
        <v>0.4547067248539402</v>
      </c>
      <c r="AL184" s="6">
        <v>0</v>
      </c>
      <c r="AM184" s="6">
        <v>14400</v>
      </c>
      <c r="AN184" s="41">
        <f t="shared" ca="1" si="127"/>
        <v>8758.238514859866</v>
      </c>
      <c r="AO184" s="41">
        <f t="shared" si="128"/>
        <v>1664.6929699632121</v>
      </c>
      <c r="AP184" s="67">
        <f t="shared" si="120"/>
        <v>0.83183998351764621</v>
      </c>
      <c r="AQ184" s="11">
        <f t="shared" si="96"/>
        <v>0.97937395000000005</v>
      </c>
      <c r="AR184" s="11">
        <f t="shared" si="97"/>
        <v>0.8962407041850623</v>
      </c>
      <c r="AS184" s="11">
        <f t="shared" si="98"/>
        <v>0.91511593113647982</v>
      </c>
      <c r="AT184" s="11">
        <f t="shared" si="99"/>
        <v>507.97188664649997</v>
      </c>
      <c r="AU184" s="11">
        <f t="shared" si="100"/>
        <v>1896.6425030105124</v>
      </c>
      <c r="AV184" s="11">
        <f t="shared" si="101"/>
        <v>2.1751390567182989E-3</v>
      </c>
      <c r="AW184" s="11">
        <f t="shared" si="102"/>
        <v>3.6770358841811742E-7</v>
      </c>
      <c r="AX184" s="41">
        <f t="shared" ca="1" si="129"/>
        <v>4.3329531171054008</v>
      </c>
      <c r="AY184" s="41">
        <f t="shared" ca="1" si="130"/>
        <v>2.3269563036306784</v>
      </c>
      <c r="AZ184" s="41">
        <f t="shared" si="131"/>
        <v>0.41967690560473681</v>
      </c>
      <c r="BA184" s="41">
        <f t="shared" ca="1" si="105"/>
        <v>17.229399419915211</v>
      </c>
      <c r="BB184" s="41">
        <f t="shared" ca="1" si="106"/>
        <v>2.3264008322495187</v>
      </c>
      <c r="BC184" s="41">
        <f t="shared" ca="1" si="132"/>
        <v>5.4827094791457816</v>
      </c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</row>
    <row r="185" spans="1:67">
      <c r="A185" s="41">
        <f t="shared" si="121"/>
        <v>14400</v>
      </c>
      <c r="B185" s="41">
        <f t="shared" si="122"/>
        <v>240</v>
      </c>
      <c r="C185" s="41">
        <f t="shared" si="123"/>
        <v>4</v>
      </c>
      <c r="D185" s="23">
        <f t="shared" ca="1" si="133"/>
        <v>16664.578262874267</v>
      </c>
      <c r="E185" s="41">
        <f t="shared" si="124"/>
        <v>1685.3239255759506</v>
      </c>
      <c r="F185" s="7">
        <f t="shared" si="125"/>
        <v>1685.3239255759506</v>
      </c>
      <c r="G185" s="41"/>
      <c r="H185" s="6">
        <v>3000</v>
      </c>
      <c r="I185" s="5">
        <v>0</v>
      </c>
      <c r="J185" s="41">
        <f t="shared" si="69"/>
        <v>0.64362591807803993</v>
      </c>
      <c r="K185" s="41">
        <f t="shared" si="70"/>
        <v>711.12634500507636</v>
      </c>
      <c r="L185" s="6">
        <f t="shared" si="126"/>
        <v>405</v>
      </c>
      <c r="M185" s="41">
        <f t="shared" si="71"/>
        <v>421.33098139398766</v>
      </c>
      <c r="N185" s="41">
        <f t="shared" si="72"/>
        <v>549.98464847270441</v>
      </c>
      <c r="O185" s="41">
        <f t="shared" si="73"/>
        <v>4206645.6134852879</v>
      </c>
      <c r="P185" s="41">
        <f t="shared" si="74"/>
        <v>27009620.781842921</v>
      </c>
      <c r="Q185" s="41">
        <f t="shared" si="75"/>
        <v>2.4789912806822564E-3</v>
      </c>
      <c r="R185" s="41">
        <f t="shared" si="76"/>
        <v>2.0134241768565174E-2</v>
      </c>
      <c r="S185" s="27">
        <v>0</v>
      </c>
      <c r="T185" s="41">
        <f t="shared" ca="1" si="77"/>
        <v>0.13173947363923422</v>
      </c>
      <c r="U185" s="41">
        <f t="shared" ca="1" si="78"/>
        <v>2.1230344950933924E-2</v>
      </c>
      <c r="V185" s="41">
        <f t="shared" ca="1" si="79"/>
        <v>6.2052441419911544</v>
      </c>
      <c r="W185" s="20">
        <f t="shared" ca="1" si="80"/>
        <v>2685.563675102539</v>
      </c>
      <c r="X185" s="41">
        <f t="shared" si="81"/>
        <v>0.56462206259555126</v>
      </c>
      <c r="Y185" s="41">
        <f t="shared" ca="1" si="82"/>
        <v>178.11278023252399</v>
      </c>
      <c r="Z185" s="14">
        <f t="shared" ca="1" si="83"/>
        <v>2685.563675102539</v>
      </c>
      <c r="AA185" s="14">
        <f t="shared" si="84"/>
        <v>5628.3916222821908</v>
      </c>
      <c r="AB185" s="25">
        <f t="shared" ca="1" si="85"/>
        <v>1909775.080554069</v>
      </c>
      <c r="AC185" s="41">
        <f t="shared" si="86"/>
        <v>4002497.5626107268</v>
      </c>
      <c r="AD185" s="5">
        <f t="shared" ca="1" si="87"/>
        <v>47.714584473309998</v>
      </c>
      <c r="AE185" s="7">
        <f t="shared" ca="1" si="88"/>
        <v>2685.5636751025386</v>
      </c>
      <c r="AF185" s="41">
        <f t="shared" ca="1" si="89"/>
        <v>0</v>
      </c>
      <c r="AG185" s="41">
        <f t="shared" ca="1" si="90"/>
        <v>125.57908451358011</v>
      </c>
      <c r="AH185" s="41">
        <f t="shared" ca="1" si="91"/>
        <v>2236.9671614280378</v>
      </c>
      <c r="AI185" s="13">
        <f t="shared" ca="1" si="92"/>
        <v>-1.9405400870964249E-14</v>
      </c>
      <c r="AJ185" s="10">
        <f t="shared" ca="1" si="93"/>
        <v>-1.5635021504621747E-15</v>
      </c>
      <c r="AK185" s="11">
        <f t="shared" ca="1" si="94"/>
        <v>0.45214135947267781</v>
      </c>
      <c r="AL185" s="6">
        <v>0</v>
      </c>
      <c r="AM185" s="6">
        <v>14400</v>
      </c>
      <c r="AN185" s="41">
        <f t="shared" ca="1" si="127"/>
        <v>8947.8686457121512</v>
      </c>
      <c r="AO185" s="41">
        <f t="shared" si="128"/>
        <v>1685.3239255759506</v>
      </c>
      <c r="AP185" s="67">
        <f t="shared" si="120"/>
        <v>0.83296001586803825</v>
      </c>
      <c r="AQ185" s="11">
        <f t="shared" si="96"/>
        <v>0.97937395000000005</v>
      </c>
      <c r="AR185" s="11">
        <f t="shared" si="97"/>
        <v>0.8962407041850623</v>
      </c>
      <c r="AS185" s="11">
        <f t="shared" si="98"/>
        <v>0.91511593113647982</v>
      </c>
      <c r="AT185" s="11">
        <f t="shared" si="99"/>
        <v>507.97188664649997</v>
      </c>
      <c r="AU185" s="11">
        <f t="shared" si="100"/>
        <v>1896.6425030105124</v>
      </c>
      <c r="AV185" s="11">
        <f t="shared" si="101"/>
        <v>2.1751390567182989E-3</v>
      </c>
      <c r="AW185" s="11">
        <f t="shared" si="102"/>
        <v>3.6770358841811742E-7</v>
      </c>
      <c r="AX185" s="41">
        <f t="shared" ca="1" si="129"/>
        <v>4.4386907797872732</v>
      </c>
      <c r="AY185" s="41">
        <f t="shared" ca="1" si="130"/>
        <v>2.3837413447005731</v>
      </c>
      <c r="AZ185" s="41">
        <f t="shared" si="131"/>
        <v>0.42372758206588557</v>
      </c>
      <c r="BA185" s="41">
        <f t="shared" ca="1" si="105"/>
        <v>17.096252022371065</v>
      </c>
      <c r="BB185" s="41">
        <f t="shared" ca="1" si="106"/>
        <v>2.2522512426308574</v>
      </c>
      <c r="BC185" s="41">
        <f t="shared" ca="1" si="132"/>
        <v>5.3737414269643393</v>
      </c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</row>
    <row r="186" spans="1:67">
      <c r="A186" s="41">
        <f t="shared" si="121"/>
        <v>14400</v>
      </c>
      <c r="B186" s="41">
        <f t="shared" si="122"/>
        <v>240</v>
      </c>
      <c r="C186" s="41">
        <f t="shared" si="123"/>
        <v>4</v>
      </c>
      <c r="D186" s="23">
        <f t="shared" ca="1" si="133"/>
        <v>16664.578262874267</v>
      </c>
      <c r="E186" s="41">
        <f t="shared" si="124"/>
        <v>1705.9492821688073</v>
      </c>
      <c r="F186" s="7">
        <f t="shared" si="125"/>
        <v>1705.9492821688073</v>
      </c>
      <c r="G186" s="41"/>
      <c r="H186" s="6">
        <v>3000</v>
      </c>
      <c r="I186" s="5">
        <v>0</v>
      </c>
      <c r="J186" s="41">
        <f t="shared" si="69"/>
        <v>0.65150275046100614</v>
      </c>
      <c r="K186" s="41">
        <f t="shared" si="70"/>
        <v>719.82926212725033</v>
      </c>
      <c r="L186" s="6">
        <f t="shared" si="126"/>
        <v>410</v>
      </c>
      <c r="M186" s="41">
        <f t="shared" si="71"/>
        <v>426.48732054220181</v>
      </c>
      <c r="N186" s="41">
        <f t="shared" si="72"/>
        <v>563.52868260243577</v>
      </c>
      <c r="O186" s="41">
        <f t="shared" si="73"/>
        <v>4258127.447049276</v>
      </c>
      <c r="P186" s="41">
        <f t="shared" si="74"/>
        <v>27340170.328793045</v>
      </c>
      <c r="Q186" s="41">
        <f t="shared" si="75"/>
        <v>2.4722233771549023E-3</v>
      </c>
      <c r="R186" s="41">
        <f t="shared" si="76"/>
        <v>2.0092923717530679E-2</v>
      </c>
      <c r="S186" s="27">
        <v>0</v>
      </c>
      <c r="T186" s="41">
        <f t="shared" ca="1" si="77"/>
        <v>0.12857320370074124</v>
      </c>
      <c r="U186" s="41">
        <f t="shared" ca="1" si="78"/>
        <v>2.1136971852359222E-2</v>
      </c>
      <c r="V186" s="41">
        <f t="shared" ca="1" si="79"/>
        <v>6.0828582541917147</v>
      </c>
      <c r="W186" s="20">
        <f t="shared" ca="1" si="80"/>
        <v>2739.5966774978947</v>
      </c>
      <c r="X186" s="41">
        <f t="shared" si="81"/>
        <v>0.56404242656229142</v>
      </c>
      <c r="Y186" s="41">
        <f t="shared" ca="1" si="82"/>
        <v>178.11278023252399</v>
      </c>
      <c r="Z186" s="14">
        <f t="shared" ca="1" si="83"/>
        <v>2739.5966774978947</v>
      </c>
      <c r="AA186" s="14">
        <f t="shared" si="84"/>
        <v>5628.3916222821908</v>
      </c>
      <c r="AB186" s="25">
        <f t="shared" ca="1" si="85"/>
        <v>1972041.8548895761</v>
      </c>
      <c r="AC186" s="41">
        <f t="shared" si="86"/>
        <v>4051480.9884305871</v>
      </c>
      <c r="AD186" s="5">
        <f t="shared" ca="1" si="87"/>
        <v>48.674592340947441</v>
      </c>
      <c r="AE186" s="7">
        <f t="shared" ca="1" si="88"/>
        <v>2739.5966774978947</v>
      </c>
      <c r="AF186" s="41">
        <f t="shared" ca="1" si="89"/>
        <v>0</v>
      </c>
      <c r="AG186" s="41">
        <f t="shared" ca="1" si="90"/>
        <v>124.78198372254242</v>
      </c>
      <c r="AH186" s="41">
        <f t="shared" ca="1" si="91"/>
        <v>2285.0163543037011</v>
      </c>
      <c r="AI186" s="13">
        <f t="shared" ca="1" si="92"/>
        <v>0</v>
      </c>
      <c r="AJ186" s="10">
        <f t="shared" ca="1" si="93"/>
        <v>0</v>
      </c>
      <c r="AK186" s="11">
        <f t="shared" ca="1" si="94"/>
        <v>0.44927143701152505</v>
      </c>
      <c r="AL186" s="6">
        <v>0</v>
      </c>
      <c r="AM186" s="6">
        <v>14400</v>
      </c>
      <c r="AN186" s="41">
        <f t="shared" ca="1" si="127"/>
        <v>9140.0654172148043</v>
      </c>
      <c r="AO186" s="41">
        <f t="shared" si="128"/>
        <v>1705.9492821688073</v>
      </c>
      <c r="AP186" s="67">
        <f t="shared" si="120"/>
        <v>0.83407034804503888</v>
      </c>
      <c r="AQ186" s="11">
        <f t="shared" si="96"/>
        <v>0.97937395000000005</v>
      </c>
      <c r="AR186" s="11">
        <f t="shared" si="97"/>
        <v>0.8962407041850623</v>
      </c>
      <c r="AS186" s="11">
        <f t="shared" si="98"/>
        <v>0.91511593113647982</v>
      </c>
      <c r="AT186" s="11">
        <f t="shared" si="99"/>
        <v>507.97188664649997</v>
      </c>
      <c r="AU186" s="11">
        <f t="shared" si="100"/>
        <v>1896.6425030105124</v>
      </c>
      <c r="AV186" s="11">
        <f t="shared" si="101"/>
        <v>2.1751390567182989E-3</v>
      </c>
      <c r="AW186" s="11">
        <f t="shared" si="102"/>
        <v>3.6770358841811742E-7</v>
      </c>
      <c r="AX186" s="41">
        <f t="shared" ca="1" si="129"/>
        <v>4.5457579007515863</v>
      </c>
      <c r="AY186" s="41">
        <f t="shared" ca="1" si="130"/>
        <v>2.4412403541073338</v>
      </c>
      <c r="AZ186" s="41">
        <f t="shared" si="131"/>
        <v>0.42774700150277384</v>
      </c>
      <c r="BA186" s="41">
        <f t="shared" ca="1" si="105"/>
        <v>16.964164053202122</v>
      </c>
      <c r="BB186" s="41">
        <f t="shared" ca="1" si="106"/>
        <v>2.1811369204251494</v>
      </c>
      <c r="BC186" s="41">
        <f t="shared" ca="1" si="132"/>
        <v>5.2677552481300252</v>
      </c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</row>
    <row r="187" spans="1:67">
      <c r="A187" s="41">
        <f t="shared" si="121"/>
        <v>14400</v>
      </c>
      <c r="B187" s="41">
        <f t="shared" si="122"/>
        <v>240</v>
      </c>
      <c r="C187" s="41">
        <f t="shared" si="123"/>
        <v>4</v>
      </c>
      <c r="D187" s="23">
        <f t="shared" ca="1" si="133"/>
        <v>16664.578262874267</v>
      </c>
      <c r="E187" s="41">
        <f t="shared" si="124"/>
        <v>1726.5690251653825</v>
      </c>
      <c r="F187" s="7">
        <f t="shared" si="125"/>
        <v>1726.5690251653825</v>
      </c>
      <c r="G187" s="41"/>
      <c r="H187" s="6">
        <v>3000</v>
      </c>
      <c r="I187" s="5">
        <v>0</v>
      </c>
      <c r="J187" s="41">
        <f t="shared" si="69"/>
        <v>0.65937743900918455</v>
      </c>
      <c r="K187" s="41">
        <f t="shared" si="70"/>
        <v>728.52981057943441</v>
      </c>
      <c r="L187" s="6">
        <f t="shared" si="126"/>
        <v>415</v>
      </c>
      <c r="M187" s="41">
        <f t="shared" si="71"/>
        <v>431.64225629134563</v>
      </c>
      <c r="N187" s="41">
        <f t="shared" si="72"/>
        <v>577.23370990379135</v>
      </c>
      <c r="O187" s="41">
        <f t="shared" si="73"/>
        <v>4309595.2688201535</v>
      </c>
      <c r="P187" s="41">
        <f t="shared" si="74"/>
        <v>27670629.910185531</v>
      </c>
      <c r="Q187" s="41">
        <f t="shared" si="75"/>
        <v>2.4655093684273614E-3</v>
      </c>
      <c r="R187" s="41">
        <f t="shared" si="76"/>
        <v>2.0051934694249041E-2</v>
      </c>
      <c r="S187" s="27">
        <v>0</v>
      </c>
      <c r="T187" s="41">
        <f t="shared" ca="1" si="77"/>
        <v>0.12552054195090148</v>
      </c>
      <c r="U187" s="41">
        <f t="shared" ca="1" si="78"/>
        <v>2.1046994542344964E-2</v>
      </c>
      <c r="V187" s="41">
        <f t="shared" ca="1" si="79"/>
        <v>5.9638226112694444</v>
      </c>
      <c r="W187" s="20">
        <f t="shared" ca="1" si="80"/>
        <v>2794.2779906606056</v>
      </c>
      <c r="X187" s="41">
        <f t="shared" si="81"/>
        <v>0.56346681717524771</v>
      </c>
      <c r="Y187" s="41">
        <f t="shared" ca="1" si="82"/>
        <v>178.11278023252399</v>
      </c>
      <c r="Z187" s="14">
        <f t="shared" ca="1" si="83"/>
        <v>2794.2779906606056</v>
      </c>
      <c r="AA187" s="14">
        <f t="shared" si="84"/>
        <v>5628.3916222821908</v>
      </c>
      <c r="AB187" s="25">
        <f t="shared" ca="1" si="85"/>
        <v>2035714.8152422537</v>
      </c>
      <c r="AC187" s="41">
        <f t="shared" si="86"/>
        <v>4100451.0824481202</v>
      </c>
      <c r="AD187" s="5">
        <f t="shared" ca="1" si="87"/>
        <v>49.646118788151888</v>
      </c>
      <c r="AE187" s="7">
        <f t="shared" ca="1" si="88"/>
        <v>2794.2779906606056</v>
      </c>
      <c r="AF187" s="41">
        <f t="shared" ca="1" si="89"/>
        <v>0</v>
      </c>
      <c r="AG187" s="41">
        <f t="shared" ca="1" si="90"/>
        <v>123.89970118870237</v>
      </c>
      <c r="AH187" s="41">
        <f t="shared" ca="1" si="91"/>
        <v>2333.6999734191331</v>
      </c>
      <c r="AI187" s="13">
        <f t="shared" ca="1" si="92"/>
        <v>0</v>
      </c>
      <c r="AJ187" s="10">
        <f t="shared" ca="1" si="93"/>
        <v>0</v>
      </c>
      <c r="AK187" s="11">
        <f t="shared" ca="1" si="94"/>
        <v>0.44609482184639132</v>
      </c>
      <c r="AL187" s="6">
        <v>0</v>
      </c>
      <c r="AM187" s="6">
        <v>14400</v>
      </c>
      <c r="AN187" s="41">
        <f t="shared" ca="1" si="127"/>
        <v>9334.7998936765325</v>
      </c>
      <c r="AO187" s="41">
        <f t="shared" si="128"/>
        <v>1726.5690251653825</v>
      </c>
      <c r="AP187" s="67">
        <f t="shared" si="120"/>
        <v>0.83517101062210874</v>
      </c>
      <c r="AQ187" s="11">
        <f t="shared" si="96"/>
        <v>0.97937395000000005</v>
      </c>
      <c r="AR187" s="11">
        <f t="shared" si="97"/>
        <v>0.8962407041850623</v>
      </c>
      <c r="AS187" s="11">
        <f t="shared" si="98"/>
        <v>0.91511593113647982</v>
      </c>
      <c r="AT187" s="11">
        <f t="shared" si="99"/>
        <v>507.97188664649997</v>
      </c>
      <c r="AU187" s="11">
        <f t="shared" si="100"/>
        <v>1896.6425030105124</v>
      </c>
      <c r="AV187" s="11">
        <f t="shared" si="101"/>
        <v>2.1751390567182989E-3</v>
      </c>
      <c r="AW187" s="11">
        <f t="shared" si="102"/>
        <v>3.6770358841811742E-7</v>
      </c>
      <c r="AX187" s="41">
        <f t="shared" ca="1" si="129"/>
        <v>4.6541512517531842</v>
      </c>
      <c r="AY187" s="41">
        <f t="shared" ca="1" si="130"/>
        <v>2.4994515981637475</v>
      </c>
      <c r="AZ187" s="41">
        <f t="shared" si="131"/>
        <v>0.43173518566351959</v>
      </c>
      <c r="BA187" s="41">
        <f t="shared" ca="1" si="105"/>
        <v>16.833224456686562</v>
      </c>
      <c r="BB187" s="41">
        <f t="shared" ca="1" si="106"/>
        <v>2.1129154565844663</v>
      </c>
      <c r="BC187" s="41">
        <f t="shared" ca="1" si="132"/>
        <v>5.1646703813593389</v>
      </c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</row>
    <row r="188" spans="1:67">
      <c r="A188" s="41">
        <f t="shared" si="121"/>
        <v>14400</v>
      </c>
      <c r="B188" s="41">
        <f t="shared" si="122"/>
        <v>240</v>
      </c>
      <c r="C188" s="41">
        <f t="shared" si="123"/>
        <v>4</v>
      </c>
      <c r="D188" s="23">
        <f t="shared" ca="1" si="133"/>
        <v>16664.578262874267</v>
      </c>
      <c r="E188" s="41">
        <f t="shared" si="124"/>
        <v>1747.1831413533785</v>
      </c>
      <c r="F188" s="7">
        <f t="shared" si="125"/>
        <v>1747.1831413533785</v>
      </c>
      <c r="G188" s="41"/>
      <c r="H188" s="6">
        <v>3000</v>
      </c>
      <c r="I188" s="5">
        <v>0</v>
      </c>
      <c r="J188" s="41">
        <f t="shared" si="69"/>
        <v>0.66724997867679292</v>
      </c>
      <c r="K188" s="41">
        <f t="shared" si="70"/>
        <v>737.22798478666869</v>
      </c>
      <c r="L188" s="6">
        <f t="shared" si="126"/>
        <v>420</v>
      </c>
      <c r="M188" s="41">
        <f t="shared" si="71"/>
        <v>436.79578533834461</v>
      </c>
      <c r="N188" s="41">
        <f t="shared" si="72"/>
        <v>591.09958695636647</v>
      </c>
      <c r="O188" s="41">
        <f t="shared" si="73"/>
        <v>4361049.0458194176</v>
      </c>
      <c r="P188" s="41">
        <f t="shared" si="74"/>
        <v>28000999.314275216</v>
      </c>
      <c r="Q188" s="41">
        <f t="shared" si="75"/>
        <v>2.4588475953871173E-3</v>
      </c>
      <c r="R188" s="41">
        <f t="shared" si="76"/>
        <v>2.0011264569838351E-2</v>
      </c>
      <c r="S188" s="27">
        <v>0</v>
      </c>
      <c r="T188" s="41">
        <f t="shared" ca="1" si="77"/>
        <v>0.12257611018226235</v>
      </c>
      <c r="U188" s="41">
        <f t="shared" ca="1" si="78"/>
        <v>2.096018820003365E-2</v>
      </c>
      <c r="V188" s="41">
        <f t="shared" ca="1" si="79"/>
        <v>5.8480443501965098</v>
      </c>
      <c r="W188" s="20">
        <f t="shared" ca="1" si="80"/>
        <v>2849.5984751405472</v>
      </c>
      <c r="X188" s="41">
        <f t="shared" si="81"/>
        <v>0.56289510433001211</v>
      </c>
      <c r="Y188" s="41">
        <f t="shared" ca="1" si="82"/>
        <v>178.11278023252399</v>
      </c>
      <c r="Z188" s="14">
        <f t="shared" ca="1" si="83"/>
        <v>2849.5984751405472</v>
      </c>
      <c r="AA188" s="14">
        <f t="shared" si="84"/>
        <v>5628.3916222821908</v>
      </c>
      <c r="AB188" s="25">
        <f t="shared" ca="1" si="85"/>
        <v>2100803.7412790298</v>
      </c>
      <c r="AC188" s="41">
        <f t="shared" si="86"/>
        <v>4149407.8132852684</v>
      </c>
      <c r="AD188" s="5">
        <f t="shared" ca="1" si="87"/>
        <v>50.629001433718592</v>
      </c>
      <c r="AE188" s="7">
        <f t="shared" ca="1" si="88"/>
        <v>2849.5984751405476</v>
      </c>
      <c r="AF188" s="41">
        <f t="shared" ca="1" si="89"/>
        <v>0</v>
      </c>
      <c r="AG188" s="41">
        <f t="shared" ca="1" si="90"/>
        <v>122.93164817558967</v>
      </c>
      <c r="AH188" s="41">
        <f t="shared" ca="1" si="91"/>
        <v>2383.0110170544899</v>
      </c>
      <c r="AI188" s="13">
        <f t="shared" ca="1" si="92"/>
        <v>2.0117669213867074E-14</v>
      </c>
      <c r="AJ188" s="10">
        <f t="shared" ca="1" si="93"/>
        <v>1.5635021504621747E-15</v>
      </c>
      <c r="AK188" s="11">
        <f t="shared" ca="1" si="94"/>
        <v>0.44260939426037432</v>
      </c>
      <c r="AL188" s="6">
        <v>0</v>
      </c>
      <c r="AM188" s="6">
        <v>14400</v>
      </c>
      <c r="AN188" s="41">
        <f t="shared" ca="1" si="127"/>
        <v>9532.0440682179596</v>
      </c>
      <c r="AO188" s="41">
        <f t="shared" si="128"/>
        <v>1747.1831413533785</v>
      </c>
      <c r="AP188" s="67">
        <f t="shared" si="120"/>
        <v>0.83626203405269417</v>
      </c>
      <c r="AQ188" s="11">
        <f t="shared" si="96"/>
        <v>0.97937395000000005</v>
      </c>
      <c r="AR188" s="11">
        <f t="shared" si="97"/>
        <v>0.8962407041850623</v>
      </c>
      <c r="AS188" s="11">
        <f t="shared" si="98"/>
        <v>0.91511593113647982</v>
      </c>
      <c r="AT188" s="11">
        <f t="shared" si="99"/>
        <v>507.97188664649997</v>
      </c>
      <c r="AU188" s="11">
        <f t="shared" si="100"/>
        <v>1896.6425030105124</v>
      </c>
      <c r="AV188" s="11">
        <f t="shared" si="101"/>
        <v>2.1751390567182989E-3</v>
      </c>
      <c r="AW188" s="11">
        <f t="shared" si="102"/>
        <v>3.6770358841811742E-7</v>
      </c>
      <c r="AX188" s="41">
        <f t="shared" ca="1" si="129"/>
        <v>4.7638677357012904</v>
      </c>
      <c r="AY188" s="41">
        <f t="shared" ca="1" si="130"/>
        <v>2.5583734136173599</v>
      </c>
      <c r="AZ188" s="41">
        <f t="shared" si="131"/>
        <v>0.43569215663561817</v>
      </c>
      <c r="BA188" s="41">
        <f t="shared" ca="1" si="105"/>
        <v>16.703509940238661</v>
      </c>
      <c r="BB188" s="41">
        <f t="shared" ca="1" si="106"/>
        <v>2.0474512748652085</v>
      </c>
      <c r="BC188" s="41">
        <f t="shared" ca="1" si="132"/>
        <v>5.0644064072701775</v>
      </c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</row>
    <row r="189" spans="1:67">
      <c r="A189" s="41">
        <f t="shared" si="121"/>
        <v>14400</v>
      </c>
      <c r="B189" s="41">
        <f t="shared" si="122"/>
        <v>240</v>
      </c>
      <c r="C189" s="41">
        <f t="shared" si="123"/>
        <v>4</v>
      </c>
      <c r="D189" s="23">
        <f t="shared" ca="1" si="133"/>
        <v>16664.578262874267</v>
      </c>
      <c r="E189" s="41">
        <f t="shared" si="124"/>
        <v>1767.7916188713116</v>
      </c>
      <c r="F189" s="7">
        <f t="shared" si="125"/>
        <v>1767.7916188713116</v>
      </c>
      <c r="G189" s="41"/>
      <c r="H189" s="6">
        <v>3000</v>
      </c>
      <c r="I189" s="5">
        <v>0</v>
      </c>
      <c r="J189" s="41">
        <f t="shared" ref="J189" si="134">SQRT((((((((L189^2)*(0.2))/(661.477)^2) + 1)^(3.5) - 1)*(1/AR189) + 1)^(1/3.5) - 1)*(5))</f>
        <v>0.67512036493392591</v>
      </c>
      <c r="K189" s="41">
        <f t="shared" ref="K189" si="135">SQRT((1.4*2116.22*AR189*(J189)^2)/AV189)</f>
        <v>745.92377974397266</v>
      </c>
      <c r="L189" s="6">
        <f t="shared" si="126"/>
        <v>425</v>
      </c>
      <c r="M189" s="41">
        <f t="shared" ref="M189" si="136">K189*0.592484</f>
        <v>441.9479047178279</v>
      </c>
      <c r="N189" s="41">
        <f t="shared" ref="N189" si="137">0.5*AV189*K189^2</f>
        <v>605.12617087935996</v>
      </c>
      <c r="O189" s="41">
        <f t="shared" ref="O189" si="138">P189/$B$7</f>
        <v>4412488.7484402638</v>
      </c>
      <c r="P189" s="41">
        <f t="shared" ref="P189" si="139">(AV189*K189*$B$7)/(AW189)</f>
        <v>28331278.350965619</v>
      </c>
      <c r="Q189" s="41">
        <f t="shared" ref="Q189" si="140">0.455/(LOG10(P189)^2.58 * (1+0.144*J189*J189)^0.65)</f>
        <v>2.4522364688572885E-3</v>
      </c>
      <c r="R189" s="41">
        <f t="shared" ref="R189" si="141">(((Q189*$B$4)+$B$17)+(0.1*(Q189*$B$4)))</f>
        <v>1.9970903642373746E-2</v>
      </c>
      <c r="S189" s="27">
        <v>1</v>
      </c>
      <c r="T189" s="41">
        <f t="shared" ref="T189" ca="1" si="142">(D189*COS(RADIANS(S189)))/(N189*$B$3)</f>
        <v>0.11971660851197302</v>
      </c>
      <c r="U189" s="41">
        <f t="shared" ref="U189" ca="1" si="143">(W189)/(N189*$B$3)</f>
        <v>2.0876069993523708E-2</v>
      </c>
      <c r="V189" s="41">
        <f t="shared" ref="V189" ca="1" si="144">T189/U189</f>
        <v>5.734633412759786</v>
      </c>
      <c r="W189" s="20">
        <f t="shared" ref="W189" ca="1" si="145">(N189*$B$3*R189)+((N189*$B$3)*((T189^2)/(PI()*$B$6*$B$5)))</f>
        <v>2905.5109485838166</v>
      </c>
      <c r="X189" s="41">
        <f t="shared" ref="X189" si="146">SQRT(PI()*$B$6*$B$5*R189)</f>
        <v>0.56232716332122201</v>
      </c>
      <c r="Y189" s="41">
        <f t="shared" ref="Y189" ca="1" si="147">SQRT((2*((T189*N189*$B$3)/(D189))*D189)/(AV189*$B$3*$B$18))</f>
        <v>178.0992159964606</v>
      </c>
      <c r="Z189" s="14">
        <f t="shared" ref="Z189" ca="1" si="148">W189+(D189*(SIN(RADIANS(S189))))</f>
        <v>3196.3479415334182</v>
      </c>
      <c r="AA189" s="14">
        <f t="shared" ref="AA189" si="149">$B$15*AR189</f>
        <v>5628.3916222821908</v>
      </c>
      <c r="AB189" s="25">
        <f t="shared" ref="AB189" ca="1" si="150">Z189*K189</f>
        <v>2384231.9379254738</v>
      </c>
      <c r="AC189" s="41">
        <f t="shared" ref="AC189" si="151">AA189*K189</f>
        <v>4198351.152772042</v>
      </c>
      <c r="AD189" s="5">
        <f t="shared" ref="AD189" ca="1" si="152">(Z189/AA189)*100</f>
        <v>56.789721754247239</v>
      </c>
      <c r="AE189" s="7">
        <f t="shared" ref="AE189" ca="1" si="153">(AA189)*(AD189/100)</f>
        <v>3196.3479415334182</v>
      </c>
      <c r="AF189" s="41">
        <f t="shared" ref="AF189" ca="1" si="154">AE189-Z189</f>
        <v>0</v>
      </c>
      <c r="AG189" s="41">
        <f t="shared" ref="AG189" ca="1" si="155">(AC189-AB189)/D189</f>
        <v>108.86079360844703</v>
      </c>
      <c r="AH189" s="41">
        <f t="shared" ref="AH189" ca="1" si="156">(AP189*AE189)</f>
        <v>2676.4410085025588</v>
      </c>
      <c r="AI189" s="13">
        <f t="shared" ref="AI189" ca="1" si="157">K189*SIN(RADIANS(AJ189))</f>
        <v>13.018164975326551</v>
      </c>
      <c r="AJ189" s="10">
        <f t="shared" ref="AJ189" ca="1" si="158">DEGREES(ASIN(((AE189-W189)/(D189))))</f>
        <v>0.99999999999999967</v>
      </c>
      <c r="AK189" s="11">
        <f t="shared" ref="AK189" ca="1" si="159">(AG189/D189)*60</f>
        <v>0.39194796972799351</v>
      </c>
      <c r="AL189" s="6">
        <v>0</v>
      </c>
      <c r="AM189" s="6">
        <v>14400</v>
      </c>
      <c r="AN189" s="41">
        <f t="shared" ref="AN189" ca="1" si="160">AH189*(AM189/3600)</f>
        <v>10705.764034010235</v>
      </c>
      <c r="AO189" s="41">
        <f t="shared" ref="AO189" si="161">M189*(AM189/3600)</f>
        <v>1767.7916188713116</v>
      </c>
      <c r="AP189" s="67">
        <f t="shared" si="120"/>
        <v>0.83734344866678101</v>
      </c>
      <c r="AQ189" s="11">
        <f t="shared" ref="AQ189" si="162">IF(H189 &lt;= 36089, ((1 - 6.87535*10^(-6)*H189) + ((I189*1.8)/518.67)), 0.75187 + ((I189*1.8)/518.67))</f>
        <v>0.97937395000000005</v>
      </c>
      <c r="AR189" s="11">
        <f t="shared" ref="AR189" si="163">IF(H189 &lt;= 36089, (1 - 6.87535*10^(-6)*H189)^5.2561, 0.22336*EXP((36089 - H189)/(20806.7)))</f>
        <v>0.8962407041850623</v>
      </c>
      <c r="AS189" s="11">
        <f t="shared" ref="AS189" si="164">(AR189/AQ189)</f>
        <v>0.91511593113647982</v>
      </c>
      <c r="AT189" s="11">
        <f t="shared" ref="AT189" si="165">(518.67*AQ189)</f>
        <v>507.97188664649997</v>
      </c>
      <c r="AU189" s="11">
        <f t="shared" ref="AU189" si="166">2116.22*AR189</f>
        <v>1896.6425030105124</v>
      </c>
      <c r="AV189" s="11">
        <f t="shared" ref="AV189" si="167">(0.0023769*AS189)</f>
        <v>2.1751390567182989E-3</v>
      </c>
      <c r="AW189" s="11">
        <f t="shared" ref="AW189" si="168">((2.2697*10^-8)*(AT189^1.5))/(AT189+198.72)</f>
        <v>3.6770358841811742E-7</v>
      </c>
      <c r="AX189" s="41">
        <f t="shared" ca="1" si="129"/>
        <v>4.8756342246040907</v>
      </c>
      <c r="AY189" s="41">
        <f t="shared" ca="1" si="130"/>
        <v>2.6183961576577528</v>
      </c>
      <c r="AZ189" s="41">
        <f t="shared" si="131"/>
        <v>0.43961793683339911</v>
      </c>
      <c r="BA189" s="41">
        <f t="shared" ref="BA189" ca="1" si="169">(T189^(0.5))/(U189)</f>
        <v>16.574042885408176</v>
      </c>
      <c r="BB189" s="41">
        <f t="shared" ref="BB189" ca="1" si="170">(T189^(3/2))/(U189)</f>
        <v>1.9841882035730631</v>
      </c>
      <c r="BC189" s="41">
        <f t="shared" ca="1" si="132"/>
        <v>4.9661925354499745</v>
      </c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</row>
  </sheetData>
  <mergeCells count="1">
    <mergeCell ref="A1:B1"/>
  </mergeCells>
  <conditionalFormatting sqref="U1:X19">
    <cfRule type="notContainsBlanks" dxfId="6" priority="1">
      <formula>LEN(TRIM(U1))&gt;0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L190"/>
  <sheetViews>
    <sheetView topLeftCell="D1" zoomScale="60" zoomScaleNormal="60" workbookViewId="0">
      <selection activeCell="I25" sqref="I25:I104"/>
    </sheetView>
  </sheetViews>
  <sheetFormatPr defaultColWidth="12.6640625" defaultRowHeight="15" customHeight="1"/>
  <cols>
    <col min="1" max="1" width="14" customWidth="1"/>
    <col min="50" max="50" width="17.25" customWidth="1"/>
  </cols>
  <sheetData>
    <row r="1" spans="1:10">
      <c r="A1" s="181" t="s">
        <v>70</v>
      </c>
      <c r="B1" s="182"/>
      <c r="C1" s="26"/>
    </row>
    <row r="2" spans="1:10">
      <c r="A2" s="26" t="s">
        <v>74</v>
      </c>
      <c r="D2" s="106"/>
      <c r="E2" s="106" t="s">
        <v>224</v>
      </c>
      <c r="F2" s="106" t="s">
        <v>225</v>
      </c>
      <c r="G2" s="106" t="s">
        <v>226</v>
      </c>
      <c r="H2" s="106" t="s">
        <v>29</v>
      </c>
      <c r="I2" s="106"/>
      <c r="J2" s="106"/>
    </row>
    <row r="3" spans="1:10">
      <c r="A3" s="21" t="s">
        <v>76</v>
      </c>
      <c r="B3" s="21">
        <v>230</v>
      </c>
      <c r="D3" s="106" t="s">
        <v>227</v>
      </c>
      <c r="E3" s="106">
        <f ca="1">MAX(V25:V105)</f>
        <v>13.61768057777976</v>
      </c>
      <c r="F3" s="106">
        <f ca="1">MATCH(E3, V25:V105, 0)</f>
        <v>31</v>
      </c>
      <c r="G3" s="106">
        <f ca="1">24+F3</f>
        <v>55</v>
      </c>
      <c r="H3" s="106" cm="1">
        <f t="array" aca="1" ref="H3" ca="1">INDEX(L25:L105,F3)</f>
        <v>175</v>
      </c>
      <c r="I3" s="106"/>
      <c r="J3" s="106"/>
    </row>
    <row r="4" spans="1:10">
      <c r="A4" s="21" t="s">
        <v>12</v>
      </c>
      <c r="B4" s="21">
        <v>5.55</v>
      </c>
      <c r="D4" s="106">
        <v>0.5</v>
      </c>
      <c r="E4" s="106">
        <f ca="1">MAX(AX25:AX105)</f>
        <v>21.126370365770757</v>
      </c>
      <c r="F4" s="106">
        <f ca="1">MATCH(E4, AX25:AX105, 0)</f>
        <v>44</v>
      </c>
      <c r="G4" s="106">
        <f ca="1">F4+24</f>
        <v>68</v>
      </c>
      <c r="H4" s="106" cm="1">
        <f t="array" aca="1" ref="H4" ca="1">INDEX(L25:L105,F4)</f>
        <v>240</v>
      </c>
      <c r="I4" s="106"/>
      <c r="J4" s="106" t="s">
        <v>228</v>
      </c>
    </row>
    <row r="5" spans="1:10">
      <c r="A5" s="21" t="s">
        <v>11</v>
      </c>
      <c r="B5" s="21">
        <v>0.84</v>
      </c>
      <c r="D5" s="106">
        <v>1.5</v>
      </c>
      <c r="E5" s="106">
        <f ca="1">MAX(AY25:AY105)</f>
        <v>11.700823342224229</v>
      </c>
      <c r="F5" s="106">
        <f ca="1">MATCH(E5, AY25:AY105, 0)</f>
        <v>22</v>
      </c>
      <c r="G5" s="106">
        <f ca="1">F5+24</f>
        <v>46</v>
      </c>
      <c r="H5" s="106" cm="1">
        <f t="array" aca="1" ref="H5" ca="1">INDEX(L25:L105,F5)</f>
        <v>130</v>
      </c>
      <c r="I5" s="106"/>
      <c r="J5" s="106"/>
    </row>
    <row r="6" spans="1:10">
      <c r="A6" s="21" t="s">
        <v>10</v>
      </c>
      <c r="B6" s="30">
        <v>6</v>
      </c>
    </row>
    <row r="7" spans="1:10">
      <c r="A7" s="21" t="s">
        <v>84</v>
      </c>
      <c r="B7" s="76">
        <f>77.04843221/12</f>
        <v>6.4207026841666668</v>
      </c>
    </row>
    <row r="8" spans="1:10">
      <c r="A8" s="21" t="s">
        <v>15</v>
      </c>
      <c r="B8" s="21">
        <v>6.3156723449164801E-2</v>
      </c>
    </row>
    <row r="9" spans="1:10">
      <c r="A9" s="26" t="s">
        <v>89</v>
      </c>
    </row>
    <row r="10" spans="1:10">
      <c r="A10" s="21" t="s">
        <v>91</v>
      </c>
      <c r="B10" s="32">
        <f ca="1">Ashvat_Ferry_0!B10</f>
        <v>13483.605340663133</v>
      </c>
    </row>
    <row r="11" spans="1:10">
      <c r="A11" s="21" t="s">
        <v>94</v>
      </c>
      <c r="B11" s="21">
        <v>0.99</v>
      </c>
    </row>
    <row r="12" spans="1:10">
      <c r="A12" s="21" t="s">
        <v>96</v>
      </c>
      <c r="B12" s="1">
        <f ca="1">B10*B11</f>
        <v>13348.7692872565</v>
      </c>
      <c r="D12" t="s">
        <v>232</v>
      </c>
      <c r="E12">
        <f ca="1">Ashvat_Ferry_0!D73</f>
        <v>13131.093675641567</v>
      </c>
    </row>
    <row r="13" spans="1:10">
      <c r="A13" s="26" t="s">
        <v>98</v>
      </c>
    </row>
    <row r="14" spans="1:10">
      <c r="A14" s="21" t="s">
        <v>100</v>
      </c>
      <c r="B14" s="21">
        <v>0.78</v>
      </c>
    </row>
    <row r="15" spans="1:10">
      <c r="A15" s="21" t="s">
        <v>102</v>
      </c>
      <c r="B15" s="21">
        <v>6280</v>
      </c>
    </row>
    <row r="16" spans="1:10">
      <c r="A16" s="26" t="s">
        <v>104</v>
      </c>
    </row>
    <row r="17" spans="1:64">
      <c r="A17" s="6" t="s">
        <v>105</v>
      </c>
      <c r="B17" s="6">
        <v>3.0000000000000001E-3</v>
      </c>
    </row>
    <row r="18" spans="1:64">
      <c r="A18" s="33" t="s">
        <v>106</v>
      </c>
      <c r="B18" s="33">
        <v>2.1</v>
      </c>
    </row>
    <row r="20" spans="1:64">
      <c r="J20" s="21"/>
      <c r="S20" s="38"/>
      <c r="Z20" s="2"/>
      <c r="AC20" s="21"/>
    </row>
    <row r="21" spans="1:64">
      <c r="A21" s="21"/>
      <c r="B21" s="21"/>
      <c r="C21" s="21"/>
      <c r="L21" s="21"/>
      <c r="S21" s="21"/>
      <c r="AB21" s="38"/>
      <c r="AI21" s="2"/>
      <c r="AL21" s="21"/>
    </row>
    <row r="22" spans="1:64" s="89" customFormat="1">
      <c r="A22" s="123" t="s">
        <v>192</v>
      </c>
      <c r="B22" s="81" t="s">
        <v>120</v>
      </c>
      <c r="C22" s="81">
        <v>900</v>
      </c>
      <c r="D22" s="81" t="s">
        <v>49</v>
      </c>
      <c r="E22" s="82"/>
      <c r="F22" s="82"/>
      <c r="G22" s="82"/>
      <c r="H22" s="83"/>
      <c r="I22" s="83"/>
      <c r="J22" s="82"/>
      <c r="K22" s="82"/>
      <c r="L22" s="84" t="s">
        <v>60</v>
      </c>
      <c r="M22" s="82"/>
      <c r="N22" s="82"/>
      <c r="O22" s="82"/>
      <c r="P22" s="82"/>
      <c r="Q22" s="81"/>
      <c r="R22" s="82"/>
      <c r="S22" s="85"/>
      <c r="T22" s="81"/>
      <c r="U22" s="81"/>
      <c r="V22" s="81"/>
      <c r="W22" s="81"/>
      <c r="X22" s="82"/>
      <c r="Y22" s="82"/>
      <c r="Z22" s="87"/>
      <c r="AA22" s="87"/>
      <c r="AB22" s="81"/>
      <c r="AC22" s="81"/>
      <c r="AD22" s="83"/>
      <c r="AE22" s="81"/>
      <c r="AF22" s="82"/>
      <c r="AG22" s="82"/>
      <c r="AH22" s="82"/>
      <c r="AI22" s="81" t="s">
        <v>61</v>
      </c>
      <c r="AJ22" s="86"/>
      <c r="AK22" s="88"/>
      <c r="AL22" s="82"/>
      <c r="AM22" s="82"/>
      <c r="AN22" s="82"/>
      <c r="AO22" s="83"/>
      <c r="AP22" s="82"/>
      <c r="AQ22" s="88"/>
      <c r="AR22" s="88"/>
      <c r="AS22" s="88"/>
      <c r="AT22" s="88"/>
      <c r="AU22" s="88"/>
      <c r="AV22" s="88"/>
      <c r="AW22" s="88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</row>
    <row r="23" spans="1:64">
      <c r="A23" s="4" t="s">
        <v>2</v>
      </c>
      <c r="B23" s="4" t="s">
        <v>2</v>
      </c>
      <c r="C23" s="4" t="s">
        <v>2</v>
      </c>
      <c r="D23" s="23" t="s">
        <v>23</v>
      </c>
      <c r="E23" s="4" t="s">
        <v>24</v>
      </c>
      <c r="F23" s="4" t="s">
        <v>25</v>
      </c>
      <c r="G23" s="4"/>
      <c r="H23" s="5" t="s">
        <v>0</v>
      </c>
      <c r="I23" s="5" t="s">
        <v>26</v>
      </c>
      <c r="J23" s="4" t="s">
        <v>27</v>
      </c>
      <c r="K23" s="4" t="s">
        <v>28</v>
      </c>
      <c r="L23" s="12" t="s">
        <v>29</v>
      </c>
      <c r="M23" s="13" t="s">
        <v>30</v>
      </c>
      <c r="N23" s="4" t="s">
        <v>31</v>
      </c>
      <c r="O23" s="4" t="s">
        <v>32</v>
      </c>
      <c r="P23" s="4" t="s">
        <v>33</v>
      </c>
      <c r="Q23" s="4" t="s">
        <v>34</v>
      </c>
      <c r="R23" s="4" t="s">
        <v>13</v>
      </c>
      <c r="S23" s="8" t="s">
        <v>35</v>
      </c>
      <c r="T23" s="4" t="s">
        <v>36</v>
      </c>
      <c r="U23" s="4" t="s">
        <v>37</v>
      </c>
      <c r="V23" s="4" t="s">
        <v>38</v>
      </c>
      <c r="W23" s="4" t="s">
        <v>39</v>
      </c>
      <c r="X23" s="4" t="s">
        <v>40</v>
      </c>
      <c r="Y23" s="6" t="s">
        <v>108</v>
      </c>
      <c r="Z23" s="35" t="s">
        <v>109</v>
      </c>
      <c r="AA23" s="9" t="s">
        <v>110</v>
      </c>
      <c r="AB23" s="7" t="s">
        <v>111</v>
      </c>
      <c r="AC23" s="7" t="s">
        <v>112</v>
      </c>
      <c r="AD23" s="5" t="s">
        <v>41</v>
      </c>
      <c r="AE23" s="7" t="s">
        <v>113</v>
      </c>
      <c r="AF23" s="7" t="s">
        <v>114</v>
      </c>
      <c r="AG23" s="7" t="s">
        <v>187</v>
      </c>
      <c r="AH23" s="4" t="s">
        <v>42</v>
      </c>
      <c r="AI23" s="4" t="s">
        <v>43</v>
      </c>
      <c r="AJ23" s="10" t="s">
        <v>35</v>
      </c>
      <c r="AK23" s="36" t="s">
        <v>116</v>
      </c>
      <c r="AL23" s="4" t="s">
        <v>44</v>
      </c>
      <c r="AM23" s="4" t="s">
        <v>45</v>
      </c>
      <c r="AN23" s="4" t="s">
        <v>46</v>
      </c>
      <c r="AO23" s="5" t="s">
        <v>47</v>
      </c>
      <c r="AP23" s="7" t="s">
        <v>85</v>
      </c>
      <c r="AQ23" s="15" t="s">
        <v>62</v>
      </c>
      <c r="AR23" s="16" t="s">
        <v>63</v>
      </c>
      <c r="AS23" s="16" t="s">
        <v>64</v>
      </c>
      <c r="AT23" s="17" t="s">
        <v>65</v>
      </c>
      <c r="AU23" s="18" t="s">
        <v>66</v>
      </c>
      <c r="AV23" s="18" t="s">
        <v>67</v>
      </c>
      <c r="AW23" s="19" t="s">
        <v>68</v>
      </c>
      <c r="AX23" s="37" t="s">
        <v>188</v>
      </c>
      <c r="AY23" s="37" t="s">
        <v>189</v>
      </c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</row>
    <row r="24" spans="1:64">
      <c r="A24" s="4" t="s">
        <v>18</v>
      </c>
      <c r="B24" s="4" t="s">
        <v>21</v>
      </c>
      <c r="C24" s="4" t="s">
        <v>48</v>
      </c>
      <c r="D24" s="23" t="s">
        <v>8</v>
      </c>
      <c r="E24" s="4" t="s">
        <v>49</v>
      </c>
      <c r="F24" s="4" t="s">
        <v>49</v>
      </c>
      <c r="G24" s="4"/>
      <c r="H24" s="5" t="s">
        <v>9</v>
      </c>
      <c r="I24" s="5" t="s">
        <v>50</v>
      </c>
      <c r="J24" s="4"/>
      <c r="K24" s="4" t="s">
        <v>51</v>
      </c>
      <c r="L24" s="5" t="s">
        <v>52</v>
      </c>
      <c r="M24" s="4" t="s">
        <v>52</v>
      </c>
      <c r="N24" s="4" t="s">
        <v>53</v>
      </c>
      <c r="O24" s="4" t="s">
        <v>54</v>
      </c>
      <c r="P24" s="4"/>
      <c r="Q24" s="4"/>
      <c r="R24" s="4"/>
      <c r="S24" s="8" t="s">
        <v>55</v>
      </c>
      <c r="T24" s="4"/>
      <c r="U24" s="4"/>
      <c r="V24" s="4"/>
      <c r="W24" s="4"/>
      <c r="X24" s="4"/>
      <c r="Y24" s="4"/>
      <c r="Z24" s="9" t="s">
        <v>118</v>
      </c>
      <c r="AA24" s="9" t="s">
        <v>118</v>
      </c>
      <c r="AB24" s="7" t="s">
        <v>119</v>
      </c>
      <c r="AC24" s="7" t="s">
        <v>119</v>
      </c>
      <c r="AD24" s="5" t="s">
        <v>20</v>
      </c>
      <c r="AE24" s="7" t="s">
        <v>118</v>
      </c>
      <c r="AF24" s="7" t="s">
        <v>118</v>
      </c>
      <c r="AG24" s="7" t="s">
        <v>119</v>
      </c>
      <c r="AH24" s="4" t="s">
        <v>56</v>
      </c>
      <c r="AI24" s="4" t="s">
        <v>57</v>
      </c>
      <c r="AJ24" s="10" t="s">
        <v>55</v>
      </c>
      <c r="AK24" s="36" t="s">
        <v>121</v>
      </c>
      <c r="AL24" s="4" t="s">
        <v>9</v>
      </c>
      <c r="AM24" s="4" t="s">
        <v>18</v>
      </c>
      <c r="AN24" s="4" t="s">
        <v>8</v>
      </c>
      <c r="AO24" s="5" t="s">
        <v>49</v>
      </c>
      <c r="AP24" s="4"/>
      <c r="AQ24" s="11"/>
      <c r="AR24" s="11"/>
      <c r="AS24" s="11"/>
      <c r="AT24" s="11"/>
      <c r="AU24" s="11"/>
      <c r="AV24" s="11"/>
      <c r="AW24" s="11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</row>
    <row r="25" spans="1:64">
      <c r="A25" s="4">
        <f>AM25</f>
        <v>95072.0939797959</v>
      </c>
      <c r="B25" s="4">
        <f>(A25/60)</f>
        <v>1584.5348996632649</v>
      </c>
      <c r="C25" s="4">
        <f>(B25/60)</f>
        <v>26.40891499438775</v>
      </c>
      <c r="D25" s="23">
        <f ca="1">$E$12</f>
        <v>13131.093675641567</v>
      </c>
      <c r="E25" s="41">
        <f>AO25</f>
        <v>900</v>
      </c>
      <c r="F25" s="41">
        <f>AO25</f>
        <v>900</v>
      </c>
      <c r="G25" s="4"/>
      <c r="H25" s="6">
        <v>18000</v>
      </c>
      <c r="I25" s="5">
        <v>15</v>
      </c>
      <c r="J25" s="4">
        <f t="shared" ref="J25:J104" si="0">SQRT((((((((L25^2)*(0.2))/(661.477)^2) + 1)^(3.5) - 1)*(1/AR25) + 1)^(1/3.5) - 1)*(5))</f>
        <v>5.3472710352139949E-2</v>
      </c>
      <c r="K25" s="4">
        <f t="shared" ref="K25:K104" si="1">SQRT((1.4*2116.22*AR25*(J25)^2)/AV25)</f>
        <v>57.519529381276769</v>
      </c>
      <c r="L25" s="6">
        <v>25</v>
      </c>
      <c r="M25" s="4">
        <f t="shared" ref="M25:M104" si="2">K25*0.592484</f>
        <v>34.079400845936384</v>
      </c>
      <c r="N25" s="4">
        <f t="shared" ref="N25:N104" si="3">0.5*AV25*K25^2</f>
        <v>2.1152126313809876</v>
      </c>
      <c r="O25" s="4">
        <f t="shared" ref="O25:O104" si="4">P25/$B$7</f>
        <v>208626.05793963911</v>
      </c>
      <c r="P25" s="4">
        <f t="shared" ref="P25:P104" si="5">(AV25*K25*$B$7)/(AW25)</f>
        <v>1339525.8902001514</v>
      </c>
      <c r="Q25" s="4">
        <f t="shared" ref="Q25:Q104" si="6">0.455/(LOG10(P25)^2.58 * (1+0.144*J25*J25)^0.65)</f>
        <v>4.2345239944938792E-3</v>
      </c>
      <c r="R25" s="4">
        <f t="shared" ref="R25:R104" si="7">(((Q25*$B$4)+$B$17)+(0.1*(Q25*$B$4)))</f>
        <v>2.885176898638513E-2</v>
      </c>
      <c r="S25" s="27">
        <v>0</v>
      </c>
      <c r="T25" s="4">
        <f t="shared" ref="T25:T104" ca="1" si="8">(D25*COS(RADIANS(S25)))/(N25*$B$3)</f>
        <v>26.991003545563153</v>
      </c>
      <c r="U25" s="4">
        <f t="shared" ref="U25:U104" ca="1" si="9">(W25)/(N25*$B$3)</f>
        <v>46.039426199508149</v>
      </c>
      <c r="V25" s="4">
        <f t="shared" ref="V25:V104" ca="1" si="10">T25/U25</f>
        <v>0.58625846961254058</v>
      </c>
      <c r="W25" s="20">
        <f t="shared" ref="W25:W104" ca="1" si="11">(N25*$B$3*R25)+((N25*$B$3)*((T25^2)/(PI()*$B$6*$B$5)))</f>
        <v>22398.130442908456</v>
      </c>
      <c r="X25" s="4">
        <f t="shared" ref="X25:X104" si="12">SQRT(PI()*$B$6*$B$5*R25)</f>
        <v>0.67589063292304519</v>
      </c>
      <c r="Y25" s="4">
        <f t="shared" ref="Y25:Y104" ca="1" si="13">SQRT((2*((T25*N25*$B$3)/(D25))*D25)/(AV25*$B$3*$B$18))</f>
        <v>206.21259752142115</v>
      </c>
      <c r="Z25" s="14">
        <f t="shared" ref="Z25:Z104" ca="1" si="14">W25+(D25*(SIN(RADIANS(S25))))</f>
        <v>22398.130442908456</v>
      </c>
      <c r="AA25" s="14">
        <f t="shared" ref="AA25:AA104" si="15">$B$15*AR25</f>
        <v>3136.1037756224764</v>
      </c>
      <c r="AB25" s="25">
        <f t="shared" ref="AB25:AB104" ca="1" si="16">Z25*K25</f>
        <v>1288329.9220965425</v>
      </c>
      <c r="AC25" s="4">
        <f t="shared" ref="AC25:AC104" si="17">AA25*K25</f>
        <v>180387.21326465002</v>
      </c>
      <c r="AD25" s="5">
        <f t="shared" ref="AD25:AD104" ca="1" si="18">(Z25/AA25)*100</f>
        <v>714.20246412167</v>
      </c>
      <c r="AE25" s="7">
        <f t="shared" ref="AE25:AE104" ca="1" si="19">(AA25)*(AD25/100)</f>
        <v>22398.130442908456</v>
      </c>
      <c r="AF25" s="4">
        <f ca="1">AA25-Z25</f>
        <v>-19262.02666728598</v>
      </c>
      <c r="AG25" s="4">
        <f t="shared" ref="AG25:AG104" ca="1" si="20">(AC25-AB25)/D25</f>
        <v>-84.375508712358652</v>
      </c>
      <c r="AH25" s="4">
        <f t="shared" ref="AH25:AH104" ca="1" si="21">(AP25*AE25)</f>
        <v>14596.796493028543</v>
      </c>
      <c r="AI25" s="13">
        <f t="shared" ref="AI25:AI104" ca="1" si="22">K25*SIN(RADIANS(AJ25))</f>
        <v>0</v>
      </c>
      <c r="AJ25" s="10">
        <f t="shared" ref="AJ25:AJ104" ca="1" si="23">DEGREES(ASIN(((AE25-W25)/(D25))))</f>
        <v>0</v>
      </c>
      <c r="AK25" s="11">
        <f t="shared" ref="AK25:AK104" ca="1" si="24">(AG25/D25)*60</f>
        <v>-0.38553761383430019</v>
      </c>
      <c r="AL25" s="7">
        <v>0</v>
      </c>
      <c r="AM25" s="4">
        <f t="shared" ref="AM25:AM104" si="25">(AO25/M25)*3600</f>
        <v>95072.0939797959</v>
      </c>
      <c r="AN25" s="4">
        <f t="shared" ref="AN25:AN104" ca="1" si="26">AH25*(AM25/3600)</f>
        <v>385485.55777476804</v>
      </c>
      <c r="AO25" s="6">
        <v>900</v>
      </c>
      <c r="AP25" s="4">
        <f t="shared" ref="AP25:AP104" si="27">(-39.149*(J25)^6)+(63.432*(J25)^5)-(35.357*(J25)^4)+(7.316*(J25)^3)-(0.244*(J25)^2)+(0.3523*(J25))+0.6327</f>
        <v>0.65169709276561882</v>
      </c>
      <c r="AQ25" s="11">
        <f t="shared" ref="AQ25:AQ104" si="28">IF(H25 &lt;= 36089, ((1 - 6.87535*10^(-6)*H25) + ((I25*1.8)/518.67)), 0.75187 + ((I25*1.8)/518.67))</f>
        <v>0.92829992071837586</v>
      </c>
      <c r="AR25" s="11">
        <f t="shared" ref="AR25:AR104" si="29">IF(H25 &lt;= 36089, (1 - 6.87535*10^(-6)*H25)^5.2561, 0.22336*EXP((36089 - H25)/(20806.7)))</f>
        <v>0.49937958210548988</v>
      </c>
      <c r="AS25" s="11">
        <f t="shared" ref="AS25:AS104" si="30">(AR25/AQ25)</f>
        <v>0.53795068916847377</v>
      </c>
      <c r="AT25" s="11">
        <f t="shared" ref="AT25:AT104" si="31">(518.67*AQ25)</f>
        <v>481.48131987899995</v>
      </c>
      <c r="AU25" s="11">
        <f t="shared" ref="AU25:AU104" si="32">2116.22*AR25</f>
        <v>1056.7970592432796</v>
      </c>
      <c r="AV25" s="11">
        <f t="shared" ref="AV25:AV104" si="33">(0.0023769*AS25)</f>
        <v>1.2786549930845453E-3</v>
      </c>
      <c r="AW25" s="11">
        <f t="shared" ref="AW25:AW104" si="34">((2.2697*10^-8)*(AT25^1.5))/(AT25+198.72)</f>
        <v>3.5253330369939681E-7</v>
      </c>
      <c r="AX25" s="4">
        <f t="shared" ref="AX25:AX104" ca="1" si="35">(T25^(0.5))/(U25)</f>
        <v>0.11284429662171537</v>
      </c>
      <c r="AY25" s="4">
        <f t="shared" ref="AY25:AY104" ca="1" si="36">(T25^(3/2))/(U25)</f>
        <v>3.0457808102132997</v>
      </c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</row>
    <row r="26" spans="1:64">
      <c r="A26" s="41">
        <f t="shared" ref="A26:A89" si="37">AM26</f>
        <v>79232.972417664452</v>
      </c>
      <c r="B26" s="41">
        <f t="shared" ref="B26:C26" si="38">(A26/60)</f>
        <v>1320.5495402944075</v>
      </c>
      <c r="C26" s="41">
        <f t="shared" si="38"/>
        <v>22.009159004906792</v>
      </c>
      <c r="D26" s="23">
        <f ca="1">D25</f>
        <v>13131.093675641567</v>
      </c>
      <c r="E26" s="41">
        <f t="shared" ref="E26:E89" si="39">AO26</f>
        <v>900</v>
      </c>
      <c r="F26" s="41">
        <f t="shared" ref="F26:F89" si="40">AO26</f>
        <v>900</v>
      </c>
      <c r="G26" s="4"/>
      <c r="H26" s="6">
        <v>18000</v>
      </c>
      <c r="I26" s="5">
        <v>15</v>
      </c>
      <c r="J26" s="4">
        <f t="shared" si="0"/>
        <v>6.416220910096343E-2</v>
      </c>
      <c r="K26" s="4">
        <f t="shared" si="1"/>
        <v>69.018010256942119</v>
      </c>
      <c r="L26" s="6">
        <f t="shared" ref="L26:L104" si="41">L25+5</f>
        <v>30</v>
      </c>
      <c r="M26" s="4">
        <f t="shared" si="2"/>
        <v>40.892066789074093</v>
      </c>
      <c r="N26" s="4">
        <f t="shared" si="3"/>
        <v>3.0454274128586469</v>
      </c>
      <c r="O26" s="4">
        <f t="shared" si="4"/>
        <v>250331.59279342834</v>
      </c>
      <c r="P26" s="4">
        <f t="shared" si="5"/>
        <v>1607304.7297804824</v>
      </c>
      <c r="Q26" s="4">
        <f t="shared" si="6"/>
        <v>4.0961136250372556E-3</v>
      </c>
      <c r="R26" s="4">
        <f t="shared" si="7"/>
        <v>2.8006773680852443E-2</v>
      </c>
      <c r="S26" s="27">
        <v>0</v>
      </c>
      <c r="T26" s="4">
        <f t="shared" ca="1" si="8"/>
        <v>18.746699196364695</v>
      </c>
      <c r="U26" s="4">
        <f t="shared" ca="1" si="9"/>
        <v>22.223725501551289</v>
      </c>
      <c r="V26" s="4">
        <f t="shared" ca="1" si="10"/>
        <v>0.84354440010771881</v>
      </c>
      <c r="W26" s="20">
        <f t="shared" ca="1" si="11"/>
        <v>15566.570857402117</v>
      </c>
      <c r="X26" s="4">
        <f t="shared" si="12"/>
        <v>0.66591952007014388</v>
      </c>
      <c r="Y26" s="4">
        <f t="shared" ca="1" si="13"/>
        <v>206.21259752142115</v>
      </c>
      <c r="Z26" s="14">
        <f t="shared" ca="1" si="14"/>
        <v>15566.570857402117</v>
      </c>
      <c r="AA26" s="14">
        <f t="shared" si="15"/>
        <v>3136.1037756224764</v>
      </c>
      <c r="AB26" s="25">
        <f t="shared" ca="1" si="16"/>
        <v>1074373.7471015956</v>
      </c>
      <c r="AC26" s="4">
        <f t="shared" si="17"/>
        <v>216447.64255274698</v>
      </c>
      <c r="AD26" s="5">
        <f t="shared" ca="1" si="18"/>
        <v>496.36657365754269</v>
      </c>
      <c r="AE26" s="7">
        <f t="shared" ca="1" si="19"/>
        <v>15566.570857402117</v>
      </c>
      <c r="AF26" s="41">
        <f t="shared" ref="AF26:AF89" ca="1" si="42">AA26-Z26</f>
        <v>-12430.467081779641</v>
      </c>
      <c r="AG26" s="4">
        <f t="shared" ca="1" si="20"/>
        <v>-65.335464489170334</v>
      </c>
      <c r="AH26" s="4">
        <f t="shared" ca="1" si="21"/>
        <v>10206.990105657744</v>
      </c>
      <c r="AI26" s="13">
        <f t="shared" ca="1" si="22"/>
        <v>0</v>
      </c>
      <c r="AJ26" s="10">
        <f t="shared" ca="1" si="23"/>
        <v>0</v>
      </c>
      <c r="AK26" s="11">
        <f t="shared" ca="1" si="24"/>
        <v>-0.29853780394714063</v>
      </c>
      <c r="AL26" s="7">
        <v>0</v>
      </c>
      <c r="AM26" s="4">
        <f t="shared" si="25"/>
        <v>79232.972417664452</v>
      </c>
      <c r="AN26" s="4">
        <f t="shared" ca="1" si="26"/>
        <v>224647.26819693166</v>
      </c>
      <c r="AO26" s="6">
        <v>900</v>
      </c>
      <c r="AP26" s="4">
        <f t="shared" si="27"/>
        <v>0.65569933154572579</v>
      </c>
      <c r="AQ26" s="11">
        <f t="shared" si="28"/>
        <v>0.92829992071837586</v>
      </c>
      <c r="AR26" s="11">
        <f t="shared" si="29"/>
        <v>0.49937958210548988</v>
      </c>
      <c r="AS26" s="11">
        <f t="shared" si="30"/>
        <v>0.53795068916847377</v>
      </c>
      <c r="AT26" s="11">
        <f t="shared" si="31"/>
        <v>481.48131987899995</v>
      </c>
      <c r="AU26" s="11">
        <f t="shared" si="32"/>
        <v>1056.7970592432796</v>
      </c>
      <c r="AV26" s="11">
        <f t="shared" si="33"/>
        <v>1.2786549930845453E-3</v>
      </c>
      <c r="AW26" s="11">
        <f t="shared" si="34"/>
        <v>3.5253330369939681E-7</v>
      </c>
      <c r="AX26" s="4">
        <f t="shared" ca="1" si="35"/>
        <v>0.194825384154002</v>
      </c>
      <c r="AY26" s="4">
        <f t="shared" ca="1" si="36"/>
        <v>3.6523328725512707</v>
      </c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</row>
    <row r="27" spans="1:64">
      <c r="A27" s="41">
        <f t="shared" si="37"/>
        <v>67920.280239838074</v>
      </c>
      <c r="B27" s="41">
        <f t="shared" ref="B27:C27" si="43">(A27/60)</f>
        <v>1132.004670663968</v>
      </c>
      <c r="C27" s="41">
        <f t="shared" si="43"/>
        <v>18.866744511066134</v>
      </c>
      <c r="D27" s="23">
        <f t="shared" ref="D27:D90" ca="1" si="44">D26</f>
        <v>13131.093675641567</v>
      </c>
      <c r="E27" s="41">
        <f t="shared" si="39"/>
        <v>900</v>
      </c>
      <c r="F27" s="41">
        <f t="shared" si="40"/>
        <v>900</v>
      </c>
      <c r="G27" s="4"/>
      <c r="H27" s="6">
        <v>18000</v>
      </c>
      <c r="I27" s="5">
        <v>15</v>
      </c>
      <c r="J27" s="4">
        <f t="shared" si="0"/>
        <v>7.4848963019608042E-2</v>
      </c>
      <c r="K27" s="4">
        <f t="shared" si="1"/>
        <v>80.513538573459428</v>
      </c>
      <c r="L27" s="6">
        <f t="shared" si="41"/>
        <v>35</v>
      </c>
      <c r="M27" s="4">
        <f t="shared" si="2"/>
        <v>47.702983388157534</v>
      </c>
      <c r="N27" s="4">
        <f t="shared" si="3"/>
        <v>4.1443956753988269</v>
      </c>
      <c r="O27" s="4">
        <f t="shared" si="4"/>
        <v>292026.41857531597</v>
      </c>
      <c r="P27" s="4">
        <f t="shared" si="5"/>
        <v>1875014.8095941099</v>
      </c>
      <c r="Q27" s="4">
        <f t="shared" si="6"/>
        <v>3.983792142414325E-3</v>
      </c>
      <c r="R27" s="4">
        <f t="shared" si="7"/>
        <v>2.732105102943945E-2</v>
      </c>
      <c r="S27" s="27">
        <v>0</v>
      </c>
      <c r="T27" s="4">
        <f t="shared" ca="1" si="8"/>
        <v>13.775642121267802</v>
      </c>
      <c r="U27" s="4">
        <f t="shared" ca="1" si="9"/>
        <v>12.012466094786765</v>
      </c>
      <c r="V27" s="4">
        <f t="shared" ca="1" si="10"/>
        <v>1.1467788556128562</v>
      </c>
      <c r="W27" s="20">
        <f t="shared" ca="1" si="11"/>
        <v>11450.41488284514</v>
      </c>
      <c r="X27" s="4">
        <f t="shared" si="12"/>
        <v>0.65771675555689757</v>
      </c>
      <c r="Y27" s="4">
        <f t="shared" ca="1" si="13"/>
        <v>206.21259752142115</v>
      </c>
      <c r="Z27" s="14">
        <f t="shared" ca="1" si="14"/>
        <v>11450.41488284514</v>
      </c>
      <c r="AA27" s="14">
        <f t="shared" si="15"/>
        <v>3136.1037756224764</v>
      </c>
      <c r="AB27" s="25">
        <f t="shared" ca="1" si="16"/>
        <v>921913.42035206605</v>
      </c>
      <c r="AC27" s="4">
        <f t="shared" si="17"/>
        <v>252498.81230895201</v>
      </c>
      <c r="AD27" s="5">
        <f t="shared" ca="1" si="18"/>
        <v>365.11594328769877</v>
      </c>
      <c r="AE27" s="7">
        <f t="shared" ca="1" si="19"/>
        <v>11450.414882845142</v>
      </c>
      <c r="AF27" s="41">
        <f t="shared" ca="1" si="42"/>
        <v>-8314.3111072226638</v>
      </c>
      <c r="AG27" s="4">
        <f t="shared" ca="1" si="20"/>
        <v>-50.979349060991858</v>
      </c>
      <c r="AH27" s="4">
        <f t="shared" ca="1" si="21"/>
        <v>7555.0128340217916</v>
      </c>
      <c r="AI27" s="13">
        <f t="shared" ca="1" si="22"/>
        <v>1.1153166455493113E-14</v>
      </c>
      <c r="AJ27" s="10">
        <f t="shared" ca="1" si="23"/>
        <v>7.9369181559893538E-15</v>
      </c>
      <c r="AK27" s="11">
        <f t="shared" ca="1" si="24"/>
        <v>-0.23294030331483906</v>
      </c>
      <c r="AL27" s="7">
        <v>0</v>
      </c>
      <c r="AM27" s="4">
        <f t="shared" si="25"/>
        <v>67920.280239838074</v>
      </c>
      <c r="AN27" s="4">
        <f t="shared" ca="1" si="26"/>
        <v>142538.4969173148</v>
      </c>
      <c r="AO27" s="6">
        <v>900</v>
      </c>
      <c r="AP27" s="4">
        <f t="shared" si="27"/>
        <v>0.65980254089662815</v>
      </c>
      <c r="AQ27" s="11">
        <f t="shared" si="28"/>
        <v>0.92829992071837586</v>
      </c>
      <c r="AR27" s="11">
        <f t="shared" si="29"/>
        <v>0.49937958210548988</v>
      </c>
      <c r="AS27" s="11">
        <f t="shared" si="30"/>
        <v>0.53795068916847377</v>
      </c>
      <c r="AT27" s="11">
        <f t="shared" si="31"/>
        <v>481.48131987899995</v>
      </c>
      <c r="AU27" s="11">
        <f t="shared" si="32"/>
        <v>1056.7970592432796</v>
      </c>
      <c r="AV27" s="11">
        <f t="shared" si="33"/>
        <v>1.2786549930845453E-3</v>
      </c>
      <c r="AW27" s="11">
        <f t="shared" si="34"/>
        <v>3.5253330369939681E-7</v>
      </c>
      <c r="AX27" s="4">
        <f t="shared" ca="1" si="35"/>
        <v>0.30897529172554233</v>
      </c>
      <c r="AY27" s="4">
        <f t="shared" ca="1" si="36"/>
        <v>4.2563330431253865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</row>
    <row r="28" spans="1:64">
      <c r="A28" s="41">
        <f t="shared" si="37"/>
        <v>59436.604496961547</v>
      </c>
      <c r="B28" s="41">
        <f t="shared" ref="B28:C28" si="45">(A28/60)</f>
        <v>990.61007494935916</v>
      </c>
      <c r="C28" s="41">
        <f t="shared" si="45"/>
        <v>16.510167915822652</v>
      </c>
      <c r="D28" s="23">
        <f t="shared" ca="1" si="44"/>
        <v>13131.093675641567</v>
      </c>
      <c r="E28" s="41">
        <f t="shared" si="39"/>
        <v>900</v>
      </c>
      <c r="F28" s="41">
        <f t="shared" si="40"/>
        <v>900</v>
      </c>
      <c r="G28" s="4"/>
      <c r="H28" s="6">
        <v>18000</v>
      </c>
      <c r="I28" s="5">
        <v>15</v>
      </c>
      <c r="J28" s="4">
        <f t="shared" si="0"/>
        <v>8.5532519681755056E-2</v>
      </c>
      <c r="K28" s="4">
        <f t="shared" si="1"/>
        <v>92.005627664849726</v>
      </c>
      <c r="L28" s="6">
        <f t="shared" si="41"/>
        <v>40</v>
      </c>
      <c r="M28" s="4">
        <f t="shared" si="2"/>
        <v>54.511862301380823</v>
      </c>
      <c r="N28" s="4">
        <f t="shared" si="3"/>
        <v>5.4119299684235633</v>
      </c>
      <c r="O28" s="4">
        <f t="shared" si="4"/>
        <v>333708.77012474148</v>
      </c>
      <c r="P28" s="4">
        <f t="shared" si="5"/>
        <v>2142644.7960698847</v>
      </c>
      <c r="Q28" s="4">
        <f t="shared" si="6"/>
        <v>3.8897744029284024E-3</v>
      </c>
      <c r="R28" s="4">
        <f t="shared" si="7"/>
        <v>2.6747072729877894E-2</v>
      </c>
      <c r="S28" s="27">
        <v>0</v>
      </c>
      <c r="T28" s="4">
        <f t="shared" ca="1" si="8"/>
        <v>10.549233261762698</v>
      </c>
      <c r="U28" s="4">
        <f t="shared" ca="1" si="9"/>
        <v>7.0552265609210787</v>
      </c>
      <c r="V28" s="4">
        <f t="shared" ca="1" si="10"/>
        <v>1.4952366406197262</v>
      </c>
      <c r="W28" s="20">
        <f t="shared" ca="1" si="11"/>
        <v>8781.950173585341</v>
      </c>
      <c r="X28" s="4">
        <f t="shared" si="12"/>
        <v>0.65077121344894329</v>
      </c>
      <c r="Y28" s="4">
        <f t="shared" ca="1" si="13"/>
        <v>206.21259752142115</v>
      </c>
      <c r="Z28" s="14">
        <f t="shared" ca="1" si="14"/>
        <v>8781.950173585341</v>
      </c>
      <c r="AA28" s="14">
        <f t="shared" si="15"/>
        <v>3136.1037756224764</v>
      </c>
      <c r="AB28" s="25">
        <f t="shared" ca="1" si="16"/>
        <v>807988.83784215525</v>
      </c>
      <c r="AC28" s="4">
        <f t="shared" si="17"/>
        <v>288539.19629825099</v>
      </c>
      <c r="AD28" s="5">
        <f t="shared" ca="1" si="18"/>
        <v>280.02740986599639</v>
      </c>
      <c r="AE28" s="7">
        <f t="shared" ca="1" si="19"/>
        <v>8781.9501735853391</v>
      </c>
      <c r="AF28" s="41">
        <f t="shared" ca="1" si="42"/>
        <v>-5645.846397962865</v>
      </c>
      <c r="AG28" s="4">
        <f t="shared" ca="1" si="20"/>
        <v>-39.558749208186171</v>
      </c>
      <c r="AH28" s="4">
        <f t="shared" ca="1" si="21"/>
        <v>5831.2910139783689</v>
      </c>
      <c r="AI28" s="13">
        <f t="shared" ca="1" si="22"/>
        <v>-1.2745112168333559E-14</v>
      </c>
      <c r="AJ28" s="10">
        <f t="shared" ca="1" si="23"/>
        <v>-7.9369181559893538E-15</v>
      </c>
      <c r="AK28" s="11">
        <f t="shared" ca="1" si="24"/>
        <v>-0.18075607494097046</v>
      </c>
      <c r="AL28" s="7">
        <v>0</v>
      </c>
      <c r="AM28" s="4">
        <f t="shared" si="25"/>
        <v>59436.604496961547</v>
      </c>
      <c r="AN28" s="4">
        <f t="shared" ca="1" si="26"/>
        <v>96275.593806810604</v>
      </c>
      <c r="AO28" s="6">
        <v>900</v>
      </c>
      <c r="AP28" s="4">
        <f t="shared" si="27"/>
        <v>0.66400866535521152</v>
      </c>
      <c r="AQ28" s="11">
        <f t="shared" si="28"/>
        <v>0.92829992071837586</v>
      </c>
      <c r="AR28" s="11">
        <f t="shared" si="29"/>
        <v>0.49937958210548988</v>
      </c>
      <c r="AS28" s="11">
        <f t="shared" si="30"/>
        <v>0.53795068916847377</v>
      </c>
      <c r="AT28" s="11">
        <f t="shared" si="31"/>
        <v>481.48131987899995</v>
      </c>
      <c r="AU28" s="11">
        <f t="shared" si="32"/>
        <v>1056.7970592432796</v>
      </c>
      <c r="AV28" s="11">
        <f t="shared" si="33"/>
        <v>1.2786549930845453E-3</v>
      </c>
      <c r="AW28" s="11">
        <f t="shared" si="34"/>
        <v>3.5253330369939681E-7</v>
      </c>
      <c r="AX28" s="4">
        <f t="shared" ca="1" si="35"/>
        <v>0.4603620158761072</v>
      </c>
      <c r="AY28" s="4">
        <f t="shared" ca="1" si="36"/>
        <v>4.8564662903323557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</row>
    <row r="29" spans="1:64">
      <c r="A29" s="41">
        <f t="shared" si="37"/>
        <v>52838.937735914413</v>
      </c>
      <c r="B29" s="41">
        <f t="shared" ref="B29:C29" si="46">(A29/60)</f>
        <v>880.64896226524024</v>
      </c>
      <c r="C29" s="41">
        <f t="shared" si="46"/>
        <v>14.677482704420671</v>
      </c>
      <c r="D29" s="23">
        <f t="shared" ca="1" si="44"/>
        <v>13131.093675641567</v>
      </c>
      <c r="E29" s="41">
        <f t="shared" si="39"/>
        <v>900</v>
      </c>
      <c r="F29" s="41">
        <f t="shared" si="40"/>
        <v>900</v>
      </c>
      <c r="G29" s="4"/>
      <c r="H29" s="6">
        <v>18000</v>
      </c>
      <c r="I29" s="5">
        <v>15</v>
      </c>
      <c r="J29" s="4">
        <f t="shared" si="0"/>
        <v>9.621242897352271E-2</v>
      </c>
      <c r="K29" s="4">
        <f t="shared" si="1"/>
        <v>103.49379335257639</v>
      </c>
      <c r="L29" s="6">
        <f t="shared" si="41"/>
        <v>45</v>
      </c>
      <c r="M29" s="4">
        <f t="shared" si="2"/>
        <v>61.318416660707868</v>
      </c>
      <c r="N29" s="4">
        <f t="shared" si="3"/>
        <v>6.8478146068290693</v>
      </c>
      <c r="O29" s="4">
        <f t="shared" si="4"/>
        <v>375376.89130321547</v>
      </c>
      <c r="P29" s="4">
        <f t="shared" si="5"/>
        <v>2410183.4135646946</v>
      </c>
      <c r="Q29" s="4">
        <f t="shared" si="6"/>
        <v>3.8092372179890015E-3</v>
      </c>
      <c r="R29" s="4">
        <f t="shared" si="7"/>
        <v>2.6255393215822855E-2</v>
      </c>
      <c r="S29" s="27">
        <v>0</v>
      </c>
      <c r="T29" s="4">
        <f t="shared" ca="1" si="8"/>
        <v>8.3372163107758173</v>
      </c>
      <c r="U29" s="4">
        <f t="shared" ca="1" si="9"/>
        <v>4.4162271871957666</v>
      </c>
      <c r="V29" s="4">
        <f t="shared" ca="1" si="10"/>
        <v>1.8878594685863106</v>
      </c>
      <c r="W29" s="20">
        <f t="shared" ca="1" si="11"/>
        <v>6955.5461590976092</v>
      </c>
      <c r="X29" s="4">
        <f t="shared" si="12"/>
        <v>0.64476205086641036</v>
      </c>
      <c r="Y29" s="4">
        <f t="shared" ca="1" si="13"/>
        <v>206.21259752142115</v>
      </c>
      <c r="Z29" s="14">
        <f t="shared" ca="1" si="14"/>
        <v>6955.5461590976092</v>
      </c>
      <c r="AA29" s="14">
        <f t="shared" si="15"/>
        <v>3136.1037756224764</v>
      </c>
      <c r="AB29" s="25">
        <f t="shared" ca="1" si="16"/>
        <v>719855.85684395442</v>
      </c>
      <c r="AC29" s="4">
        <f t="shared" si="17"/>
        <v>324567.27608650719</v>
      </c>
      <c r="AD29" s="5">
        <f t="shared" ca="1" si="18"/>
        <v>221.78941312989627</v>
      </c>
      <c r="AE29" s="7">
        <f t="shared" ca="1" si="19"/>
        <v>6955.5461590976092</v>
      </c>
      <c r="AF29" s="41">
        <f t="shared" ca="1" si="42"/>
        <v>-3819.4423834751328</v>
      </c>
      <c r="AG29" s="4">
        <f t="shared" ca="1" si="20"/>
        <v>-30.10324886271394</v>
      </c>
      <c r="AH29" s="4">
        <f t="shared" ca="1" si="21"/>
        <v>4648.4955696089064</v>
      </c>
      <c r="AI29" s="13">
        <f t="shared" ca="1" si="22"/>
        <v>0</v>
      </c>
      <c r="AJ29" s="10">
        <f t="shared" ca="1" si="23"/>
        <v>0</v>
      </c>
      <c r="AK29" s="11">
        <f t="shared" ca="1" si="24"/>
        <v>-0.13755098976358404</v>
      </c>
      <c r="AL29" s="7">
        <v>0</v>
      </c>
      <c r="AM29" s="4">
        <f t="shared" si="25"/>
        <v>52838.937735914413</v>
      </c>
      <c r="AN29" s="4">
        <f t="shared" ca="1" si="26"/>
        <v>68228.213324510842</v>
      </c>
      <c r="AO29" s="6">
        <v>900</v>
      </c>
      <c r="AP29" s="4">
        <f t="shared" si="27"/>
        <v>0.66831496237413912</v>
      </c>
      <c r="AQ29" s="11">
        <f t="shared" si="28"/>
        <v>0.92829992071837586</v>
      </c>
      <c r="AR29" s="11">
        <f t="shared" si="29"/>
        <v>0.49937958210548988</v>
      </c>
      <c r="AS29" s="11">
        <f t="shared" si="30"/>
        <v>0.53795068916847377</v>
      </c>
      <c r="AT29" s="11">
        <f t="shared" si="31"/>
        <v>481.48131987899995</v>
      </c>
      <c r="AU29" s="11">
        <f t="shared" si="32"/>
        <v>1056.7970592432796</v>
      </c>
      <c r="AV29" s="11">
        <f t="shared" si="33"/>
        <v>1.2786549930845453E-3</v>
      </c>
      <c r="AW29" s="11">
        <f t="shared" si="34"/>
        <v>3.5253330369939681E-7</v>
      </c>
      <c r="AX29" s="4">
        <f t="shared" ca="1" si="35"/>
        <v>0.65382139474493084</v>
      </c>
      <c r="AY29" s="4">
        <f t="shared" ca="1" si="36"/>
        <v>5.451050396601631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</row>
    <row r="30" spans="1:64">
      <c r="A30" s="41">
        <f t="shared" si="37"/>
        <v>47561.47525356491</v>
      </c>
      <c r="B30" s="41">
        <f t="shared" ref="B30:C30" si="47">(A30/60)</f>
        <v>792.69125422608181</v>
      </c>
      <c r="C30" s="41">
        <f t="shared" si="47"/>
        <v>13.211520903768029</v>
      </c>
      <c r="D30" s="23">
        <f t="shared" ca="1" si="44"/>
        <v>13131.093675641567</v>
      </c>
      <c r="E30" s="41">
        <f t="shared" si="39"/>
        <v>900</v>
      </c>
      <c r="F30" s="41">
        <f t="shared" si="40"/>
        <v>900</v>
      </c>
      <c r="G30" s="4"/>
      <c r="H30" s="6">
        <v>18000</v>
      </c>
      <c r="I30" s="5">
        <v>15</v>
      </c>
      <c r="J30" s="4">
        <f t="shared" si="0"/>
        <v>0.10688824341234049</v>
      </c>
      <c r="K30" s="4">
        <f t="shared" si="1"/>
        <v>114.9775542885519</v>
      </c>
      <c r="L30" s="6">
        <f t="shared" si="41"/>
        <v>50</v>
      </c>
      <c r="M30" s="4">
        <f t="shared" si="2"/>
        <v>68.122361275098385</v>
      </c>
      <c r="N30" s="4">
        <f t="shared" si="3"/>
        <v>8.4518059269542274</v>
      </c>
      <c r="O30" s="4">
        <f t="shared" si="4"/>
        <v>417029.03623842169</v>
      </c>
      <c r="P30" s="4">
        <f t="shared" si="5"/>
        <v>2677619.4523514723</v>
      </c>
      <c r="Q30" s="4">
        <f t="shared" si="6"/>
        <v>3.7389993312538076E-3</v>
      </c>
      <c r="R30" s="4">
        <f t="shared" si="7"/>
        <v>2.5826590917304493E-2</v>
      </c>
      <c r="S30" s="27">
        <v>0</v>
      </c>
      <c r="T30" s="4">
        <f t="shared" ca="1" si="8"/>
        <v>6.7549719109319764</v>
      </c>
      <c r="U30" s="4">
        <f t="shared" ca="1" si="9"/>
        <v>2.9076454939482113</v>
      </c>
      <c r="V30" s="4">
        <f t="shared" ca="1" si="10"/>
        <v>2.3231758909369611</v>
      </c>
      <c r="W30" s="20">
        <f t="shared" ca="1" si="11"/>
        <v>5652.2167464236463</v>
      </c>
      <c r="X30" s="4">
        <f t="shared" si="12"/>
        <v>0.63947525878417399</v>
      </c>
      <c r="Y30" s="4">
        <f t="shared" ca="1" si="13"/>
        <v>206.21259752142115</v>
      </c>
      <c r="Z30" s="14">
        <f t="shared" ca="1" si="14"/>
        <v>5652.2167464236463</v>
      </c>
      <c r="AA30" s="14">
        <f t="shared" si="15"/>
        <v>3136.1037756224764</v>
      </c>
      <c r="AB30" s="25">
        <f t="shared" ca="1" si="16"/>
        <v>649878.05781258701</v>
      </c>
      <c r="AC30" s="4">
        <f t="shared" si="17"/>
        <v>360581.54211616586</v>
      </c>
      <c r="AD30" s="5">
        <f t="shared" ca="1" si="18"/>
        <v>180.23053925572836</v>
      </c>
      <c r="AE30" s="7">
        <f t="shared" ca="1" si="19"/>
        <v>5652.2167464236463</v>
      </c>
      <c r="AF30" s="41">
        <f t="shared" ca="1" si="42"/>
        <v>-2516.1129708011699</v>
      </c>
      <c r="AG30" s="4">
        <f t="shared" ca="1" si="20"/>
        <v>-22.031410546790308</v>
      </c>
      <c r="AH30" s="4">
        <f t="shared" ca="1" si="21"/>
        <v>3802.3296435096058</v>
      </c>
      <c r="AI30" s="13">
        <f t="shared" ca="1" si="22"/>
        <v>0</v>
      </c>
      <c r="AJ30" s="10">
        <f t="shared" ca="1" si="23"/>
        <v>0</v>
      </c>
      <c r="AK30" s="11">
        <f t="shared" ca="1" si="24"/>
        <v>-0.10066828136787571</v>
      </c>
      <c r="AL30" s="7">
        <v>0</v>
      </c>
      <c r="AM30" s="4">
        <f t="shared" si="25"/>
        <v>47561.47525356491</v>
      </c>
      <c r="AN30" s="4">
        <f t="shared" ca="1" si="26"/>
        <v>50234.557568244003</v>
      </c>
      <c r="AO30" s="6">
        <v>900</v>
      </c>
      <c r="AP30" s="4">
        <f t="shared" si="27"/>
        <v>0.67271476202951197</v>
      </c>
      <c r="AQ30" s="11">
        <f t="shared" si="28"/>
        <v>0.92829992071837586</v>
      </c>
      <c r="AR30" s="11">
        <f t="shared" si="29"/>
        <v>0.49937958210548988</v>
      </c>
      <c r="AS30" s="11">
        <f t="shared" si="30"/>
        <v>0.53795068916847377</v>
      </c>
      <c r="AT30" s="11">
        <f t="shared" si="31"/>
        <v>481.48131987899995</v>
      </c>
      <c r="AU30" s="11">
        <f t="shared" si="32"/>
        <v>1056.7970592432796</v>
      </c>
      <c r="AV30" s="11">
        <f t="shared" si="33"/>
        <v>1.2786549930845453E-3</v>
      </c>
      <c r="AW30" s="11">
        <f t="shared" si="34"/>
        <v>3.5253330369939681E-7</v>
      </c>
      <c r="AX30" s="4">
        <f t="shared" ca="1" si="35"/>
        <v>0.89386167788838222</v>
      </c>
      <c r="AY30" s="4">
        <f t="shared" ca="1" si="36"/>
        <v>6.0380105263945456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</row>
    <row r="31" spans="1:64">
      <c r="A31" s="41">
        <f t="shared" si="37"/>
        <v>43244.159303232766</v>
      </c>
      <c r="B31" s="41">
        <f t="shared" ref="B31:C31" si="48">(A31/60)</f>
        <v>720.73598838721273</v>
      </c>
      <c r="C31" s="41">
        <f t="shared" si="48"/>
        <v>12.012266473120212</v>
      </c>
      <c r="D31" s="23">
        <f t="shared" ca="1" si="44"/>
        <v>13131.093675641567</v>
      </c>
      <c r="E31" s="41">
        <f t="shared" si="39"/>
        <v>900</v>
      </c>
      <c r="F31" s="41">
        <f t="shared" si="40"/>
        <v>900</v>
      </c>
      <c r="G31" s="4"/>
      <c r="H31" s="6">
        <v>18000</v>
      </c>
      <c r="I31" s="5">
        <v>15</v>
      </c>
      <c r="J31" s="4">
        <f t="shared" si="0"/>
        <v>0.11755951846132921</v>
      </c>
      <c r="K31" s="4">
        <f t="shared" si="1"/>
        <v>126.45643229331023</v>
      </c>
      <c r="L31" s="6">
        <f t="shared" si="41"/>
        <v>55</v>
      </c>
      <c r="M31" s="4">
        <f t="shared" si="2"/>
        <v>74.923412830869623</v>
      </c>
      <c r="N31" s="4">
        <f t="shared" si="3"/>
        <v>10.223632574769356</v>
      </c>
      <c r="O31" s="4">
        <f t="shared" si="4"/>
        <v>458663.47055078397</v>
      </c>
      <c r="P31" s="4">
        <f t="shared" si="5"/>
        <v>2944941.7764946176</v>
      </c>
      <c r="Q31" s="4">
        <f t="shared" si="6"/>
        <v>3.6768594204258467E-3</v>
      </c>
      <c r="R31" s="4">
        <f t="shared" si="7"/>
        <v>2.5447226761699793E-2</v>
      </c>
      <c r="S31" s="27">
        <v>0</v>
      </c>
      <c r="T31" s="4">
        <f t="shared" ca="1" si="8"/>
        <v>5.5842882865449788</v>
      </c>
      <c r="U31" s="4">
        <f t="shared" ca="1" si="9"/>
        <v>1.9949439010403145</v>
      </c>
      <c r="V31" s="4">
        <f t="shared" ca="1" si="10"/>
        <v>2.7992207117367607</v>
      </c>
      <c r="W31" s="20">
        <f t="shared" ca="1" si="11"/>
        <v>4690.9818938480394</v>
      </c>
      <c r="X31" s="4">
        <f t="shared" si="12"/>
        <v>0.63476129062026132</v>
      </c>
      <c r="Y31" s="4">
        <f t="shared" ca="1" si="13"/>
        <v>206.21259752142112</v>
      </c>
      <c r="Z31" s="14">
        <f t="shared" ca="1" si="14"/>
        <v>4690.9818938480394</v>
      </c>
      <c r="AA31" s="14">
        <f t="shared" si="15"/>
        <v>3136.1037756224764</v>
      </c>
      <c r="AB31" s="25">
        <f t="shared" ca="1" si="16"/>
        <v>593204.83424853883</v>
      </c>
      <c r="AC31" s="4">
        <f t="shared" si="17"/>
        <v>396580.49476679828</v>
      </c>
      <c r="AD31" s="5">
        <f t="shared" ca="1" si="18"/>
        <v>149.57993196245363</v>
      </c>
      <c r="AE31" s="7">
        <f t="shared" ca="1" si="19"/>
        <v>4690.9818938480394</v>
      </c>
      <c r="AF31" s="41">
        <f t="shared" ca="1" si="42"/>
        <v>-1554.878118225563</v>
      </c>
      <c r="AG31" s="4">
        <f t="shared" ca="1" si="20"/>
        <v>-14.973949949537143</v>
      </c>
      <c r="AH31" s="4">
        <f t="shared" ca="1" si="21"/>
        <v>3176.7244217766006</v>
      </c>
      <c r="AI31" s="13">
        <f t="shared" ca="1" si="22"/>
        <v>0</v>
      </c>
      <c r="AJ31" s="10">
        <f t="shared" ca="1" si="23"/>
        <v>0</v>
      </c>
      <c r="AK31" s="11">
        <f t="shared" ca="1" si="24"/>
        <v>-6.8420576317938131E-2</v>
      </c>
      <c r="AL31" s="7">
        <v>0</v>
      </c>
      <c r="AM31" s="4">
        <f t="shared" si="25"/>
        <v>43244.159303232766</v>
      </c>
      <c r="AN31" s="4">
        <f t="shared" ca="1" si="26"/>
        <v>38159.66026604925</v>
      </c>
      <c r="AO31" s="6">
        <v>900</v>
      </c>
      <c r="AP31" s="4">
        <f t="shared" si="27"/>
        <v>0.6771981844446463</v>
      </c>
      <c r="AQ31" s="11">
        <f t="shared" si="28"/>
        <v>0.92829992071837586</v>
      </c>
      <c r="AR31" s="11">
        <f t="shared" si="29"/>
        <v>0.49937958210548988</v>
      </c>
      <c r="AS31" s="11">
        <f t="shared" si="30"/>
        <v>0.53795068916847377</v>
      </c>
      <c r="AT31" s="11">
        <f t="shared" si="31"/>
        <v>481.48131987899995</v>
      </c>
      <c r="AU31" s="11">
        <f t="shared" si="32"/>
        <v>1056.7970592432796</v>
      </c>
      <c r="AV31" s="11">
        <f t="shared" si="33"/>
        <v>1.2786549930845453E-3</v>
      </c>
      <c r="AW31" s="11">
        <f t="shared" si="34"/>
        <v>3.5253330369939681E-7</v>
      </c>
      <c r="AX31" s="4">
        <f t="shared" ca="1" si="35"/>
        <v>1.1845495378956241</v>
      </c>
      <c r="AY31" s="4">
        <f t="shared" ca="1" si="36"/>
        <v>6.6148661093027989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</row>
    <row r="32" spans="1:64">
      <c r="A32" s="41">
        <f t="shared" si="37"/>
        <v>39646.951198122872</v>
      </c>
      <c r="B32" s="41">
        <f t="shared" ref="B32:C32" si="49">(A32/60)</f>
        <v>660.7825199687145</v>
      </c>
      <c r="C32" s="41">
        <f t="shared" si="49"/>
        <v>11.013041999478576</v>
      </c>
      <c r="D32" s="23">
        <f t="shared" ca="1" si="44"/>
        <v>13131.093675641567</v>
      </c>
      <c r="E32" s="41">
        <f t="shared" si="39"/>
        <v>900</v>
      </c>
      <c r="F32" s="41">
        <f t="shared" si="40"/>
        <v>900</v>
      </c>
      <c r="G32" s="4"/>
      <c r="H32" s="6">
        <v>18000</v>
      </c>
      <c r="I32" s="5">
        <v>15</v>
      </c>
      <c r="J32" s="4">
        <f t="shared" si="0"/>
        <v>0.12822581283863638</v>
      </c>
      <c r="K32" s="4">
        <f t="shared" si="1"/>
        <v>137.92995268875273</v>
      </c>
      <c r="L32" s="6">
        <f t="shared" si="41"/>
        <v>60</v>
      </c>
      <c r="M32" s="4">
        <f t="shared" si="2"/>
        <v>81.721290088842977</v>
      </c>
      <c r="N32" s="4">
        <f t="shared" si="3"/>
        <v>12.162995825581412</v>
      </c>
      <c r="O32" s="4">
        <f t="shared" si="4"/>
        <v>500278.47256035154</v>
      </c>
      <c r="P32" s="4">
        <f t="shared" si="5"/>
        <v>3212139.3315990493</v>
      </c>
      <c r="Q32" s="4">
        <f t="shared" si="6"/>
        <v>3.6212353614627569E-3</v>
      </c>
      <c r="R32" s="4">
        <f t="shared" si="7"/>
        <v>2.510764188173013E-2</v>
      </c>
      <c r="S32" s="27">
        <v>0</v>
      </c>
      <c r="T32" s="4">
        <f t="shared" ca="1" si="8"/>
        <v>4.6938856554688595</v>
      </c>
      <c r="U32" s="4">
        <f t="shared" ca="1" si="9"/>
        <v>1.4166121015148039</v>
      </c>
      <c r="V32" s="4">
        <f t="shared" ca="1" si="10"/>
        <v>3.3134586740079515</v>
      </c>
      <c r="W32" s="20">
        <f t="shared" ca="1" si="11"/>
        <v>3962.9568277543144</v>
      </c>
      <c r="X32" s="4">
        <f t="shared" si="12"/>
        <v>0.63051172531081301</v>
      </c>
      <c r="Y32" s="4">
        <f t="shared" ca="1" si="13"/>
        <v>206.21259752142115</v>
      </c>
      <c r="Z32" s="14">
        <f t="shared" ca="1" si="14"/>
        <v>3962.9568277543144</v>
      </c>
      <c r="AA32" s="14">
        <f t="shared" si="15"/>
        <v>3136.1037756224764</v>
      </c>
      <c r="AB32" s="25">
        <f t="shared" ca="1" si="16"/>
        <v>546610.44775972224</v>
      </c>
      <c r="AC32" s="4">
        <f t="shared" si="17"/>
        <v>432562.64539862698</v>
      </c>
      <c r="AD32" s="5">
        <f t="shared" ca="1" si="18"/>
        <v>126.36561514829714</v>
      </c>
      <c r="AE32" s="7">
        <f t="shared" ca="1" si="19"/>
        <v>3962.9568277543144</v>
      </c>
      <c r="AF32" s="41">
        <f t="shared" ca="1" si="42"/>
        <v>-826.85305213183801</v>
      </c>
      <c r="AG32" s="4">
        <f t="shared" ca="1" si="20"/>
        <v>-8.6853239477421553</v>
      </c>
      <c r="AH32" s="4">
        <f t="shared" ca="1" si="21"/>
        <v>2701.7569697963486</v>
      </c>
      <c r="AI32" s="13">
        <f t="shared" ca="1" si="22"/>
        <v>0</v>
      </c>
      <c r="AJ32" s="10">
        <f t="shared" ca="1" si="23"/>
        <v>0</v>
      </c>
      <c r="AK32" s="11">
        <f t="shared" ca="1" si="24"/>
        <v>-3.9685912669347262E-2</v>
      </c>
      <c r="AL32" s="7">
        <v>0</v>
      </c>
      <c r="AM32" s="4">
        <f t="shared" si="25"/>
        <v>39646.951198122872</v>
      </c>
      <c r="AN32" s="4">
        <f t="shared" ca="1" si="26"/>
        <v>29754.562980751158</v>
      </c>
      <c r="AO32" s="6">
        <v>900</v>
      </c>
      <c r="AP32" s="4">
        <f t="shared" si="27"/>
        <v>0.68175281418025213</v>
      </c>
      <c r="AQ32" s="11">
        <f t="shared" si="28"/>
        <v>0.92829992071837586</v>
      </c>
      <c r="AR32" s="11">
        <f t="shared" si="29"/>
        <v>0.49937958210548988</v>
      </c>
      <c r="AS32" s="11">
        <f t="shared" si="30"/>
        <v>0.53795068916847377</v>
      </c>
      <c r="AT32" s="11">
        <f t="shared" si="31"/>
        <v>481.48131987899995</v>
      </c>
      <c r="AU32" s="11">
        <f t="shared" si="32"/>
        <v>1056.7970592432796</v>
      </c>
      <c r="AV32" s="11">
        <f t="shared" si="33"/>
        <v>1.2786549930845453E-3</v>
      </c>
      <c r="AW32" s="11">
        <f t="shared" si="34"/>
        <v>3.5253330369939681E-7</v>
      </c>
      <c r="AX32" s="4">
        <f t="shared" ca="1" si="35"/>
        <v>1.529379644018527</v>
      </c>
      <c r="AY32" s="4">
        <f t="shared" ca="1" si="36"/>
        <v>7.1787331728246349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</row>
    <row r="33" spans="1:64">
      <c r="A33" s="41">
        <f t="shared" si="37"/>
        <v>36603.670136433699</v>
      </c>
      <c r="B33" s="41">
        <f t="shared" ref="B33:C33" si="50">(A33/60)</f>
        <v>610.06116894056163</v>
      </c>
      <c r="C33" s="41">
        <f t="shared" si="50"/>
        <v>10.167686149009361</v>
      </c>
      <c r="D33" s="23">
        <f t="shared" ca="1" si="44"/>
        <v>13131.093675641567</v>
      </c>
      <c r="E33" s="41">
        <f t="shared" si="39"/>
        <v>900</v>
      </c>
      <c r="F33" s="41">
        <f t="shared" si="40"/>
        <v>900</v>
      </c>
      <c r="G33" s="4"/>
      <c r="H33" s="6">
        <v>18000</v>
      </c>
      <c r="I33" s="5">
        <v>15</v>
      </c>
      <c r="J33" s="4">
        <f t="shared" si="0"/>
        <v>0.13888668882120916</v>
      </c>
      <c r="K33" s="4">
        <f t="shared" si="1"/>
        <v>149.39764462491064</v>
      </c>
      <c r="L33" s="6">
        <f t="shared" si="41"/>
        <v>65</v>
      </c>
      <c r="M33" s="4">
        <f t="shared" si="2"/>
        <v>88.51571407794556</v>
      </c>
      <c r="N33" s="4">
        <f t="shared" si="3"/>
        <v>14.269569934478618</v>
      </c>
      <c r="O33" s="4">
        <f t="shared" si="4"/>
        <v>541872.33447198232</v>
      </c>
      <c r="P33" s="4">
        <f t="shared" si="5"/>
        <v>3479201.152419915</v>
      </c>
      <c r="Q33" s="4">
        <f t="shared" si="6"/>
        <v>3.5709545159419583E-3</v>
      </c>
      <c r="R33" s="4">
        <f t="shared" si="7"/>
        <v>2.4800677319825652E-2</v>
      </c>
      <c r="S33" s="27">
        <v>0</v>
      </c>
      <c r="T33" s="4">
        <f t="shared" ca="1" si="8"/>
        <v>4.0009412964350997</v>
      </c>
      <c r="U33" s="4">
        <f t="shared" ca="1" si="9"/>
        <v>1.0357839020548638</v>
      </c>
      <c r="V33" s="4">
        <f t="shared" ca="1" si="10"/>
        <v>3.8627181678511704</v>
      </c>
      <c r="W33" s="20">
        <f t="shared" ca="1" si="11"/>
        <v>3399.4438902971769</v>
      </c>
      <c r="X33" s="4">
        <f t="shared" si="12"/>
        <v>0.62664557238279195</v>
      </c>
      <c r="Y33" s="4">
        <f t="shared" ca="1" si="13"/>
        <v>206.21259752142115</v>
      </c>
      <c r="Z33" s="14">
        <f t="shared" ca="1" si="14"/>
        <v>3399.4438902971769</v>
      </c>
      <c r="AA33" s="14">
        <f t="shared" si="15"/>
        <v>3136.1037756224764</v>
      </c>
      <c r="AB33" s="25">
        <f t="shared" ca="1" si="16"/>
        <v>507868.91024494136</v>
      </c>
      <c r="AC33" s="4">
        <f t="shared" si="17"/>
        <v>468526.51737728721</v>
      </c>
      <c r="AD33" s="5">
        <f t="shared" ca="1" si="18"/>
        <v>108.39704721258565</v>
      </c>
      <c r="AE33" s="7">
        <f t="shared" ca="1" si="19"/>
        <v>3399.4438902971769</v>
      </c>
      <c r="AF33" s="41">
        <f t="shared" ca="1" si="42"/>
        <v>-263.34011467470054</v>
      </c>
      <c r="AG33" s="4">
        <f t="shared" ca="1" si="20"/>
        <v>-2.9961246061807523</v>
      </c>
      <c r="AH33" s="4">
        <f t="shared" ca="1" si="21"/>
        <v>2333.2570313667657</v>
      </c>
      <c r="AI33" s="13">
        <f t="shared" ca="1" si="22"/>
        <v>0</v>
      </c>
      <c r="AJ33" s="10">
        <f t="shared" ca="1" si="23"/>
        <v>0</v>
      </c>
      <c r="AK33" s="11">
        <f t="shared" ca="1" si="24"/>
        <v>-1.3690213535245528E-2</v>
      </c>
      <c r="AL33" s="7">
        <v>0</v>
      </c>
      <c r="AM33" s="4">
        <f t="shared" si="25"/>
        <v>36603.670136433699</v>
      </c>
      <c r="AN33" s="4">
        <f t="shared" ca="1" si="26"/>
        <v>23723.825199906565</v>
      </c>
      <c r="AO33" s="6">
        <v>900</v>
      </c>
      <c r="AP33" s="4">
        <f t="shared" si="27"/>
        <v>0.68636433095025851</v>
      </c>
      <c r="AQ33" s="11">
        <f t="shared" si="28"/>
        <v>0.92829992071837586</v>
      </c>
      <c r="AR33" s="11">
        <f t="shared" si="29"/>
        <v>0.49937958210548988</v>
      </c>
      <c r="AS33" s="11">
        <f t="shared" si="30"/>
        <v>0.53795068916847377</v>
      </c>
      <c r="AT33" s="11">
        <f t="shared" si="31"/>
        <v>481.48131987899995</v>
      </c>
      <c r="AU33" s="11">
        <f t="shared" si="32"/>
        <v>1056.7970592432796</v>
      </c>
      <c r="AV33" s="11">
        <f t="shared" si="33"/>
        <v>1.2786549930845453E-3</v>
      </c>
      <c r="AW33" s="11">
        <f t="shared" si="34"/>
        <v>3.5253330369939681E-7</v>
      </c>
      <c r="AX33" s="4">
        <f t="shared" ca="1" si="35"/>
        <v>1.9311318763477898</v>
      </c>
      <c r="AY33" s="4">
        <f t="shared" ca="1" si="36"/>
        <v>7.7263452729420719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</row>
    <row r="34" spans="1:64">
      <c r="A34" s="41">
        <f t="shared" si="37"/>
        <v>33995.615387282684</v>
      </c>
      <c r="B34" s="41">
        <f t="shared" ref="B34:C34" si="51">(A34/60)</f>
        <v>566.59358978804471</v>
      </c>
      <c r="C34" s="41">
        <f t="shared" si="51"/>
        <v>9.4432264964674122</v>
      </c>
      <c r="D34" s="23">
        <f t="shared" ca="1" si="44"/>
        <v>13131.093675641567</v>
      </c>
      <c r="E34" s="41">
        <f t="shared" si="39"/>
        <v>900</v>
      </c>
      <c r="F34" s="41">
        <f t="shared" si="40"/>
        <v>900</v>
      </c>
      <c r="G34" s="4"/>
      <c r="H34" s="6">
        <v>18000</v>
      </c>
      <c r="I34" s="5">
        <v>15</v>
      </c>
      <c r="J34" s="4">
        <f t="shared" si="0"/>
        <v>0.14954171254257759</v>
      </c>
      <c r="K34" s="4">
        <f t="shared" si="1"/>
        <v>160.85904140026457</v>
      </c>
      <c r="L34" s="6">
        <f t="shared" si="41"/>
        <v>70</v>
      </c>
      <c r="M34" s="4">
        <f t="shared" si="2"/>
        <v>95.306408284994362</v>
      </c>
      <c r="N34" s="4">
        <f t="shared" si="3"/>
        <v>16.54300251668268</v>
      </c>
      <c r="O34" s="4">
        <f t="shared" si="4"/>
        <v>583443.36353715637</v>
      </c>
      <c r="P34" s="4">
        <f t="shared" si="5"/>
        <v>3746116.370322248</v>
      </c>
      <c r="Q34" s="4">
        <f t="shared" si="6"/>
        <v>3.5251253118386621E-3</v>
      </c>
      <c r="R34" s="4">
        <f t="shared" si="7"/>
        <v>2.4520890028775031E-2</v>
      </c>
      <c r="S34" s="27">
        <v>0</v>
      </c>
      <c r="T34" s="4">
        <f t="shared" ca="1" si="8"/>
        <v>3.4511094086850584</v>
      </c>
      <c r="U34" s="4">
        <f t="shared" ca="1" si="9"/>
        <v>0.77672732827582214</v>
      </c>
      <c r="V34" s="4">
        <f t="shared" ca="1" si="10"/>
        <v>4.4431414771330688</v>
      </c>
      <c r="W34" s="20">
        <f t="shared" ca="1" si="11"/>
        <v>2955.3624936819224</v>
      </c>
      <c r="X34" s="4">
        <f t="shared" si="12"/>
        <v>0.62310081510809268</v>
      </c>
      <c r="Y34" s="4">
        <f t="shared" ca="1" si="13"/>
        <v>206.21259752142115</v>
      </c>
      <c r="Z34" s="14">
        <f t="shared" ca="1" si="14"/>
        <v>2955.3624936819224</v>
      </c>
      <c r="AA34" s="14">
        <f t="shared" si="15"/>
        <v>3136.1037756224764</v>
      </c>
      <c r="AB34" s="25">
        <f t="shared" ca="1" si="16"/>
        <v>475396.77772396948</v>
      </c>
      <c r="AC34" s="4">
        <f t="shared" si="17"/>
        <v>504470.64707838197</v>
      </c>
      <c r="AD34" s="5">
        <f t="shared" ca="1" si="18"/>
        <v>94.236756980253972</v>
      </c>
      <c r="AE34" s="7">
        <f t="shared" ca="1" si="19"/>
        <v>2955.3624936819224</v>
      </c>
      <c r="AF34" s="41">
        <f t="shared" ca="1" si="42"/>
        <v>180.74128194055402</v>
      </c>
      <c r="AG34" s="4">
        <f t="shared" ca="1" si="20"/>
        <v>2.2141239772240051</v>
      </c>
      <c r="AH34" s="4">
        <f t="shared" ca="1" si="21"/>
        <v>2042.206008403235</v>
      </c>
      <c r="AI34" s="13">
        <f t="shared" ca="1" si="22"/>
        <v>0</v>
      </c>
      <c r="AJ34" s="10">
        <f t="shared" ca="1" si="23"/>
        <v>0</v>
      </c>
      <c r="AK34" s="11">
        <f t="shared" ca="1" si="24"/>
        <v>1.0117012483116687E-2</v>
      </c>
      <c r="AL34" s="7">
        <v>0</v>
      </c>
      <c r="AM34" s="4">
        <f t="shared" si="25"/>
        <v>33995.615387282684</v>
      </c>
      <c r="AN34" s="4">
        <f t="shared" ca="1" si="26"/>
        <v>19285.013889798382</v>
      </c>
      <c r="AO34" s="6">
        <v>900</v>
      </c>
      <c r="AP34" s="4">
        <f t="shared" si="27"/>
        <v>0.69101709613258433</v>
      </c>
      <c r="AQ34" s="11">
        <f t="shared" si="28"/>
        <v>0.92829992071837586</v>
      </c>
      <c r="AR34" s="11">
        <f t="shared" si="29"/>
        <v>0.49937958210548988</v>
      </c>
      <c r="AS34" s="11">
        <f t="shared" si="30"/>
        <v>0.53795068916847377</v>
      </c>
      <c r="AT34" s="11">
        <f t="shared" si="31"/>
        <v>481.48131987899995</v>
      </c>
      <c r="AU34" s="11">
        <f t="shared" si="32"/>
        <v>1056.7970592432796</v>
      </c>
      <c r="AV34" s="11">
        <f t="shared" si="33"/>
        <v>1.2786549930845453E-3</v>
      </c>
      <c r="AW34" s="11">
        <f t="shared" si="34"/>
        <v>3.5253330369939681E-7</v>
      </c>
      <c r="AX34" s="4">
        <f t="shared" ca="1" si="35"/>
        <v>2.3917224400985422</v>
      </c>
      <c r="AY34" s="4">
        <f t="shared" ca="1" si="36"/>
        <v>8.2540958159872648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</row>
    <row r="35" spans="1:64">
      <c r="A35" s="41">
        <f t="shared" si="37"/>
        <v>31735.739602393776</v>
      </c>
      <c r="B35" s="41">
        <f t="shared" ref="B35:C35" si="52">(A35/60)</f>
        <v>528.92899337322956</v>
      </c>
      <c r="C35" s="41">
        <f t="shared" si="52"/>
        <v>8.8154832228871598</v>
      </c>
      <c r="D35" s="23">
        <f t="shared" ca="1" si="44"/>
        <v>13131.093675641567</v>
      </c>
      <c r="E35" s="41">
        <f t="shared" si="39"/>
        <v>900</v>
      </c>
      <c r="F35" s="41">
        <f t="shared" si="40"/>
        <v>900</v>
      </c>
      <c r="G35" s="4"/>
      <c r="H35" s="6">
        <v>18000</v>
      </c>
      <c r="I35" s="5">
        <v>15</v>
      </c>
      <c r="J35" s="4">
        <f t="shared" si="0"/>
        <v>0.16019045428421635</v>
      </c>
      <c r="K35" s="4">
        <f t="shared" si="1"/>
        <v>172.31368077515663</v>
      </c>
      <c r="L35" s="6">
        <f t="shared" si="41"/>
        <v>75</v>
      </c>
      <c r="M35" s="4">
        <f t="shared" si="2"/>
        <v>102.0930988403879</v>
      </c>
      <c r="N35" s="4">
        <f t="shared" si="3"/>
        <v>18.98291495691241</v>
      </c>
      <c r="O35" s="4">
        <f t="shared" si="4"/>
        <v>624989.88319073652</v>
      </c>
      <c r="P35" s="4">
        <f t="shared" si="5"/>
        <v>4012874.2205797732</v>
      </c>
      <c r="Q35" s="4">
        <f t="shared" si="6"/>
        <v>3.483055173033163E-3</v>
      </c>
      <c r="R35" s="4">
        <f t="shared" si="7"/>
        <v>2.4264051831367459E-2</v>
      </c>
      <c r="S35" s="27">
        <v>0</v>
      </c>
      <c r="T35" s="4">
        <f t="shared" ca="1" si="8"/>
        <v>3.0075313387228193</v>
      </c>
      <c r="U35" s="4">
        <f t="shared" ca="1" si="9"/>
        <v>0.59553207325185242</v>
      </c>
      <c r="V35" s="4">
        <f t="shared" ca="1" si="10"/>
        <v>5.0501584613242558</v>
      </c>
      <c r="W35" s="20">
        <f t="shared" ca="1" si="11"/>
        <v>2600.1349811503383</v>
      </c>
      <c r="X35" s="4">
        <f t="shared" si="12"/>
        <v>0.61982896477812299</v>
      </c>
      <c r="Y35" s="4">
        <f t="shared" ca="1" si="13"/>
        <v>206.21259752142115</v>
      </c>
      <c r="Z35" s="14">
        <f t="shared" ca="1" si="14"/>
        <v>2600.1349811503383</v>
      </c>
      <c r="AA35" s="14">
        <f t="shared" si="15"/>
        <v>3136.1037756224764</v>
      </c>
      <c r="AB35" s="25">
        <f t="shared" ca="1" si="16"/>
        <v>448038.8291142573</v>
      </c>
      <c r="AC35" s="4">
        <f t="shared" si="17"/>
        <v>540393.58487037488</v>
      </c>
      <c r="AD35" s="5">
        <f t="shared" ca="1" si="18"/>
        <v>82.909723886105937</v>
      </c>
      <c r="AE35" s="7">
        <f t="shared" ca="1" si="19"/>
        <v>2600.1349811503383</v>
      </c>
      <c r="AF35" s="41">
        <f t="shared" ca="1" si="42"/>
        <v>535.96879447213814</v>
      </c>
      <c r="AG35" s="4">
        <f t="shared" ca="1" si="20"/>
        <v>7.0332874044937661</v>
      </c>
      <c r="AH35" s="4">
        <f t="shared" ca="1" si="21"/>
        <v>1808.9001117723351</v>
      </c>
      <c r="AI35" s="13">
        <f t="shared" ca="1" si="22"/>
        <v>0</v>
      </c>
      <c r="AJ35" s="10">
        <f t="shared" ca="1" si="23"/>
        <v>0</v>
      </c>
      <c r="AK35" s="11">
        <f t="shared" ca="1" si="24"/>
        <v>3.2137250307827672E-2</v>
      </c>
      <c r="AL35" s="7">
        <v>0</v>
      </c>
      <c r="AM35" s="4">
        <f t="shared" si="25"/>
        <v>31735.739602393776</v>
      </c>
      <c r="AN35" s="4">
        <f t="shared" ca="1" si="26"/>
        <v>15946.328587207729</v>
      </c>
      <c r="AO35" s="6">
        <v>900</v>
      </c>
      <c r="AP35" s="4">
        <f t="shared" si="27"/>
        <v>0.69569469465467937</v>
      </c>
      <c r="AQ35" s="11">
        <f t="shared" si="28"/>
        <v>0.92829992071837586</v>
      </c>
      <c r="AR35" s="11">
        <f t="shared" si="29"/>
        <v>0.49937958210548988</v>
      </c>
      <c r="AS35" s="11">
        <f t="shared" si="30"/>
        <v>0.53795068916847377</v>
      </c>
      <c r="AT35" s="11">
        <f t="shared" si="31"/>
        <v>481.48131987899995</v>
      </c>
      <c r="AU35" s="11">
        <f t="shared" si="32"/>
        <v>1056.7970592432796</v>
      </c>
      <c r="AV35" s="11">
        <f t="shared" si="33"/>
        <v>1.2786549930845453E-3</v>
      </c>
      <c r="AW35" s="11">
        <f t="shared" si="34"/>
        <v>3.5253330369939681E-7</v>
      </c>
      <c r="AX35" s="4">
        <f t="shared" ca="1" si="35"/>
        <v>2.9120573565956636</v>
      </c>
      <c r="AY35" s="4">
        <f t="shared" ca="1" si="36"/>
        <v>8.7581037601197913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</row>
    <row r="36" spans="1:64">
      <c r="A36" s="41">
        <f t="shared" si="37"/>
        <v>29758.757136057513</v>
      </c>
      <c r="B36" s="41">
        <f t="shared" ref="B36:C36" si="53">(A36/60)</f>
        <v>495.97928560095858</v>
      </c>
      <c r="C36" s="41">
        <f t="shared" si="53"/>
        <v>8.2663214266826426</v>
      </c>
      <c r="D36" s="23">
        <f t="shared" ca="1" si="44"/>
        <v>13131.093675641567</v>
      </c>
      <c r="E36" s="41">
        <f t="shared" si="39"/>
        <v>900</v>
      </c>
      <c r="F36" s="41">
        <f t="shared" si="40"/>
        <v>900</v>
      </c>
      <c r="G36" s="4"/>
      <c r="H36" s="6">
        <v>18000</v>
      </c>
      <c r="I36" s="5">
        <v>15</v>
      </c>
      <c r="J36" s="4">
        <f t="shared" si="0"/>
        <v>0.17083248875986354</v>
      </c>
      <c r="K36" s="4">
        <f t="shared" si="1"/>
        <v>183.76110527762626</v>
      </c>
      <c r="L36" s="6">
        <f t="shared" si="41"/>
        <v>80</v>
      </c>
      <c r="M36" s="4">
        <f t="shared" si="2"/>
        <v>108.87551469930912</v>
      </c>
      <c r="N36" s="4">
        <f t="shared" si="3"/>
        <v>21.588902846751918</v>
      </c>
      <c r="O36" s="4">
        <f t="shared" si="4"/>
        <v>666510.23416025029</v>
      </c>
      <c r="P36" s="4">
        <f t="shared" si="5"/>
        <v>4279464.0494972728</v>
      </c>
      <c r="Q36" s="4">
        <f t="shared" si="6"/>
        <v>3.4441961595230914E-3</v>
      </c>
      <c r="R36" s="4">
        <f t="shared" si="7"/>
        <v>2.4026817553888472E-2</v>
      </c>
      <c r="S36" s="27">
        <v>0</v>
      </c>
      <c r="T36" s="4">
        <f t="shared" ca="1" si="8"/>
        <v>2.6444934250937968</v>
      </c>
      <c r="U36" s="4">
        <f t="shared" ca="1" si="9"/>
        <v>0.46570360372594111</v>
      </c>
      <c r="V36" s="4">
        <f t="shared" ca="1" si="10"/>
        <v>5.6784903615434281</v>
      </c>
      <c r="W36" s="20">
        <f t="shared" ca="1" si="11"/>
        <v>2312.4268669309672</v>
      </c>
      <c r="X36" s="4">
        <f t="shared" si="12"/>
        <v>0.61679142870410342</v>
      </c>
      <c r="Y36" s="4">
        <f t="shared" ca="1" si="13"/>
        <v>206.21259752142115</v>
      </c>
      <c r="Z36" s="14">
        <f t="shared" ca="1" si="14"/>
        <v>2312.4268669309672</v>
      </c>
      <c r="AA36" s="14">
        <f t="shared" si="15"/>
        <v>3136.1037756224764</v>
      </c>
      <c r="AB36" s="25">
        <f t="shared" ca="1" si="16"/>
        <v>424934.11694091291</v>
      </c>
      <c r="AC36" s="4">
        <f t="shared" si="17"/>
        <v>576293.8960737231</v>
      </c>
      <c r="AD36" s="5">
        <f t="shared" ca="1" si="18"/>
        <v>73.735661584476105</v>
      </c>
      <c r="AE36" s="7">
        <f t="shared" ca="1" si="19"/>
        <v>2312.4268669309672</v>
      </c>
      <c r="AF36" s="41">
        <f t="shared" ca="1" si="42"/>
        <v>823.6769086915092</v>
      </c>
      <c r="AG36" s="4">
        <f t="shared" ca="1" si="20"/>
        <v>11.52682197474423</v>
      </c>
      <c r="AH36" s="4">
        <f t="shared" ca="1" si="21"/>
        <v>1619.5785279002328</v>
      </c>
      <c r="AI36" s="13">
        <f t="shared" ca="1" si="22"/>
        <v>0</v>
      </c>
      <c r="AJ36" s="10">
        <f t="shared" ca="1" si="23"/>
        <v>0</v>
      </c>
      <c r="AK36" s="11">
        <f t="shared" ca="1" si="24"/>
        <v>5.2669589873355523E-2</v>
      </c>
      <c r="AL36" s="7">
        <v>0</v>
      </c>
      <c r="AM36" s="4">
        <f t="shared" si="25"/>
        <v>29758.757136057513</v>
      </c>
      <c r="AN36" s="4">
        <f t="shared" ca="1" si="26"/>
        <v>13387.956687376825</v>
      </c>
      <c r="AO36" s="6">
        <v>900</v>
      </c>
      <c r="AP36" s="4">
        <f t="shared" si="27"/>
        <v>0.70038043194409139</v>
      </c>
      <c r="AQ36" s="11">
        <f t="shared" si="28"/>
        <v>0.92829992071837586</v>
      </c>
      <c r="AR36" s="11">
        <f t="shared" si="29"/>
        <v>0.49937958210548988</v>
      </c>
      <c r="AS36" s="11">
        <f t="shared" si="30"/>
        <v>0.53795068916847377</v>
      </c>
      <c r="AT36" s="11">
        <f t="shared" si="31"/>
        <v>481.48131987899995</v>
      </c>
      <c r="AU36" s="11">
        <f t="shared" si="32"/>
        <v>1056.7970592432796</v>
      </c>
      <c r="AV36" s="11">
        <f t="shared" si="33"/>
        <v>1.2786549930845453E-3</v>
      </c>
      <c r="AW36" s="11">
        <f t="shared" si="34"/>
        <v>3.5253330369939681E-7</v>
      </c>
      <c r="AX36" s="4">
        <f t="shared" ca="1" si="35"/>
        <v>3.491898787170868</v>
      </c>
      <c r="AY36" s="4">
        <f t="shared" ca="1" si="36"/>
        <v>9.2343033837663633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</row>
    <row r="37" spans="1:64">
      <c r="A37" s="41">
        <f t="shared" si="37"/>
        <v>28014.743546380047</v>
      </c>
      <c r="B37" s="41">
        <f t="shared" ref="B37:C37" si="54">(A37/60)</f>
        <v>466.91239243966743</v>
      </c>
      <c r="C37" s="41">
        <f t="shared" si="54"/>
        <v>7.7818732073277905</v>
      </c>
      <c r="D37" s="23">
        <f t="shared" ca="1" si="44"/>
        <v>13131.093675641567</v>
      </c>
      <c r="E37" s="41">
        <f t="shared" si="39"/>
        <v>900</v>
      </c>
      <c r="F37" s="41">
        <f t="shared" si="40"/>
        <v>900</v>
      </c>
      <c r="G37" s="4"/>
      <c r="H37" s="6">
        <v>18000</v>
      </c>
      <c r="I37" s="5">
        <v>15</v>
      </c>
      <c r="J37" s="4">
        <f t="shared" si="0"/>
        <v>0.18146739539259349</v>
      </c>
      <c r="K37" s="4">
        <f t="shared" si="1"/>
        <v>195.20086250145221</v>
      </c>
      <c r="L37" s="6">
        <f t="shared" si="41"/>
        <v>85</v>
      </c>
      <c r="M37" s="4">
        <f t="shared" si="2"/>
        <v>115.65338781831041</v>
      </c>
      <c r="N37" s="4">
        <f t="shared" si="3"/>
        <v>24.360536449042776</v>
      </c>
      <c r="O37" s="4">
        <f t="shared" si="4"/>
        <v>708002.77554690139</v>
      </c>
      <c r="P37" s="4">
        <f t="shared" si="5"/>
        <v>4545875.3213514397</v>
      </c>
      <c r="Q37" s="4">
        <f t="shared" si="6"/>
        <v>3.4081078502958932E-3</v>
      </c>
      <c r="R37" s="4">
        <f t="shared" si="7"/>
        <v>2.3806498426056429E-2</v>
      </c>
      <c r="S37" s="27">
        <v>0</v>
      </c>
      <c r="T37" s="4">
        <f t="shared" ca="1" si="8"/>
        <v>2.3436147127813998</v>
      </c>
      <c r="U37" s="4">
        <f t="shared" ca="1" si="9"/>
        <v>0.37069669174389075</v>
      </c>
      <c r="V37" s="4">
        <f t="shared" ca="1" si="10"/>
        <v>6.3221894475405005</v>
      </c>
      <c r="W37" s="20">
        <f t="shared" ca="1" si="11"/>
        <v>2076.9851622763235</v>
      </c>
      <c r="X37" s="4">
        <f t="shared" si="12"/>
        <v>0.61395701448676276</v>
      </c>
      <c r="Y37" s="4">
        <f t="shared" ca="1" si="13"/>
        <v>206.21259752142115</v>
      </c>
      <c r="Z37" s="14">
        <f t="shared" ca="1" si="14"/>
        <v>2076.9851622763235</v>
      </c>
      <c r="AA37" s="14">
        <f t="shared" si="15"/>
        <v>3136.1037756224764</v>
      </c>
      <c r="AB37" s="25">
        <f t="shared" ca="1" si="16"/>
        <v>405429.29507905705</v>
      </c>
      <c r="AC37" s="4">
        <f t="shared" si="17"/>
        <v>612170.16189556813</v>
      </c>
      <c r="AD37" s="5">
        <f t="shared" ca="1" si="18"/>
        <v>66.228202600345028</v>
      </c>
      <c r="AE37" s="7">
        <f t="shared" ca="1" si="19"/>
        <v>2076.9851622763235</v>
      </c>
      <c r="AF37" s="41">
        <f t="shared" ca="1" si="42"/>
        <v>1059.1186133461529</v>
      </c>
      <c r="AG37" s="4">
        <f t="shared" ca="1" si="20"/>
        <v>15.744375291451878</v>
      </c>
      <c r="AH37" s="4">
        <f t="shared" ca="1" si="21"/>
        <v>1464.3945595386758</v>
      </c>
      <c r="AI37" s="13">
        <f t="shared" ca="1" si="22"/>
        <v>0</v>
      </c>
      <c r="AJ37" s="10">
        <f t="shared" ca="1" si="23"/>
        <v>0</v>
      </c>
      <c r="AK37" s="11">
        <f t="shared" ca="1" si="24"/>
        <v>7.194088632841604E-2</v>
      </c>
      <c r="AL37" s="7">
        <v>0</v>
      </c>
      <c r="AM37" s="4">
        <f t="shared" si="25"/>
        <v>28014.743546380047</v>
      </c>
      <c r="AN37" s="4">
        <f t="shared" ca="1" si="26"/>
        <v>11395.732787830602</v>
      </c>
      <c r="AO37" s="6">
        <v>900</v>
      </c>
      <c r="AP37" s="4">
        <f t="shared" si="27"/>
        <v>0.70505778574447597</v>
      </c>
      <c r="AQ37" s="11">
        <f t="shared" si="28"/>
        <v>0.92829992071837586</v>
      </c>
      <c r="AR37" s="11">
        <f t="shared" si="29"/>
        <v>0.49937958210548988</v>
      </c>
      <c r="AS37" s="11">
        <f t="shared" si="30"/>
        <v>0.53795068916847377</v>
      </c>
      <c r="AT37" s="11">
        <f t="shared" si="31"/>
        <v>481.48131987899995</v>
      </c>
      <c r="AU37" s="11">
        <f t="shared" si="32"/>
        <v>1056.7970592432796</v>
      </c>
      <c r="AV37" s="11">
        <f t="shared" si="33"/>
        <v>1.2786549930845453E-3</v>
      </c>
      <c r="AW37" s="11">
        <f t="shared" si="34"/>
        <v>3.5253330369939681E-7</v>
      </c>
      <c r="AX37" s="4">
        <f t="shared" ca="1" si="35"/>
        <v>4.1297560460532843</v>
      </c>
      <c r="AY37" s="4">
        <f t="shared" ca="1" si="36"/>
        <v>9.6785570297284202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64">
      <c r="A38" s="41">
        <f t="shared" si="37"/>
        <v>26464.868596231827</v>
      </c>
      <c r="B38" s="41">
        <f t="shared" ref="B38:C38" si="55">(A38/60)</f>
        <v>441.08114327053045</v>
      </c>
      <c r="C38" s="41">
        <f t="shared" si="55"/>
        <v>7.3513523878421738</v>
      </c>
      <c r="D38" s="23">
        <f t="shared" ca="1" si="44"/>
        <v>13131.093675641567</v>
      </c>
      <c r="E38" s="41">
        <f t="shared" si="39"/>
        <v>900</v>
      </c>
      <c r="F38" s="41">
        <f t="shared" si="40"/>
        <v>900</v>
      </c>
      <c r="G38" s="4"/>
      <c r="H38" s="6">
        <v>18000</v>
      </c>
      <c r="I38" s="5">
        <v>15</v>
      </c>
      <c r="J38" s="4">
        <f t="shared" si="0"/>
        <v>0.19209475858409894</v>
      </c>
      <c r="K38" s="4">
        <f t="shared" si="1"/>
        <v>206.63250539581381</v>
      </c>
      <c r="L38" s="6">
        <f t="shared" si="41"/>
        <v>90</v>
      </c>
      <c r="M38" s="4">
        <f t="shared" si="2"/>
        <v>122.42645332693336</v>
      </c>
      <c r="N38" s="4">
        <f t="shared" si="3"/>
        <v>27.297361188189658</v>
      </c>
      <c r="O38" s="4">
        <f t="shared" si="4"/>
        <v>749465.88587618491</v>
      </c>
      <c r="P38" s="4">
        <f t="shared" si="5"/>
        <v>4812097.6251365691</v>
      </c>
      <c r="Q38" s="4">
        <f t="shared" si="6"/>
        <v>3.3744313272740839E-3</v>
      </c>
      <c r="R38" s="4">
        <f t="shared" si="7"/>
        <v>2.360090325300828E-2</v>
      </c>
      <c r="S38" s="27">
        <v>0</v>
      </c>
      <c r="T38" s="4">
        <f t="shared" ca="1" si="8"/>
        <v>2.0914736497652826</v>
      </c>
      <c r="U38" s="4">
        <f t="shared" ca="1" si="9"/>
        <v>0.29986496042827254</v>
      </c>
      <c r="V38" s="4">
        <f t="shared" ca="1" si="10"/>
        <v>6.9747183758255789</v>
      </c>
      <c r="W38" s="20">
        <f t="shared" ca="1" si="11"/>
        <v>1882.6700904733336</v>
      </c>
      <c r="X38" s="4">
        <f t="shared" si="12"/>
        <v>0.61130017042348406</v>
      </c>
      <c r="Y38" s="4">
        <f t="shared" ca="1" si="13"/>
        <v>206.21259752142112</v>
      </c>
      <c r="Z38" s="14">
        <f t="shared" ca="1" si="14"/>
        <v>1882.6700904733336</v>
      </c>
      <c r="AA38" s="14">
        <f t="shared" si="15"/>
        <v>3136.1037756224764</v>
      </c>
      <c r="AB38" s="25">
        <f t="shared" ca="1" si="16"/>
        <v>389020.8376282684</v>
      </c>
      <c r="AC38" s="4">
        <f t="shared" si="17"/>
        <v>648020.98033814342</v>
      </c>
      <c r="AD38" s="5">
        <f t="shared" ca="1" si="18"/>
        <v>60.032136216527078</v>
      </c>
      <c r="AE38" s="7">
        <f t="shared" ca="1" si="19"/>
        <v>1882.6700904733336</v>
      </c>
      <c r="AF38" s="41">
        <f t="shared" ca="1" si="42"/>
        <v>1253.4336851491428</v>
      </c>
      <c r="AG38" s="4">
        <f t="shared" ca="1" si="20"/>
        <v>19.724186660119965</v>
      </c>
      <c r="AH38" s="4">
        <f t="shared" ca="1" si="21"/>
        <v>1336.1513199675567</v>
      </c>
      <c r="AI38" s="13">
        <f t="shared" ca="1" si="22"/>
        <v>0</v>
      </c>
      <c r="AJ38" s="10">
        <f t="shared" ca="1" si="23"/>
        <v>0</v>
      </c>
      <c r="AK38" s="11">
        <f t="shared" ca="1" si="24"/>
        <v>9.0125866804417282E-2</v>
      </c>
      <c r="AL38" s="7">
        <v>0</v>
      </c>
      <c r="AM38" s="4">
        <f t="shared" si="25"/>
        <v>26464.868596231827</v>
      </c>
      <c r="AN38" s="4">
        <f t="shared" ca="1" si="26"/>
        <v>9822.5191965619706</v>
      </c>
      <c r="AO38" s="6">
        <v>900</v>
      </c>
      <c r="AP38" s="4">
        <f t="shared" si="27"/>
        <v>0.70971081270623826</v>
      </c>
      <c r="AQ38" s="11">
        <f t="shared" si="28"/>
        <v>0.92829992071837586</v>
      </c>
      <c r="AR38" s="11">
        <f t="shared" si="29"/>
        <v>0.49937958210548988</v>
      </c>
      <c r="AS38" s="11">
        <f t="shared" si="30"/>
        <v>0.53795068916847377</v>
      </c>
      <c r="AT38" s="11">
        <f t="shared" si="31"/>
        <v>481.48131987899995</v>
      </c>
      <c r="AU38" s="11">
        <f t="shared" si="32"/>
        <v>1056.7970592432796</v>
      </c>
      <c r="AV38" s="11">
        <f t="shared" si="33"/>
        <v>1.2786549930845453E-3</v>
      </c>
      <c r="AW38" s="11">
        <f t="shared" si="34"/>
        <v>3.5253330369939681E-7</v>
      </c>
      <c r="AX38" s="4">
        <f t="shared" ca="1" si="35"/>
        <v>4.8228136092759621</v>
      </c>
      <c r="AY38" s="4">
        <f t="shared" ca="1" si="36"/>
        <v>10.086787581530073</v>
      </c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</row>
    <row r="39" spans="1:64">
      <c r="A39" s="41">
        <f t="shared" si="37"/>
        <v>25078.4767276772</v>
      </c>
      <c r="B39" s="41">
        <f t="shared" ref="B39:C39" si="56">(A39/60)</f>
        <v>417.97461212795332</v>
      </c>
      <c r="C39" s="41">
        <f t="shared" si="56"/>
        <v>6.9662435354658889</v>
      </c>
      <c r="D39" s="23">
        <f t="shared" ca="1" si="44"/>
        <v>13131.093675641567</v>
      </c>
      <c r="E39" s="41">
        <f t="shared" si="39"/>
        <v>900</v>
      </c>
      <c r="F39" s="41">
        <f t="shared" si="40"/>
        <v>900</v>
      </c>
      <c r="G39" s="4"/>
      <c r="H39" s="6">
        <v>18000</v>
      </c>
      <c r="I39" s="5">
        <v>15</v>
      </c>
      <c r="J39" s="4">
        <f t="shared" si="0"/>
        <v>0.20271416797586012</v>
      </c>
      <c r="K39" s="4">
        <f t="shared" si="1"/>
        <v>218.05559254622545</v>
      </c>
      <c r="L39" s="6">
        <f t="shared" si="41"/>
        <v>95</v>
      </c>
      <c r="M39" s="4">
        <f t="shared" si="2"/>
        <v>129.19444969415784</v>
      </c>
      <c r="N39" s="4">
        <f t="shared" si="3"/>
        <v>30.398898165261002</v>
      </c>
      <c r="O39" s="4">
        <f t="shared" si="4"/>
        <v>790897.96411685064</v>
      </c>
      <c r="P39" s="4">
        <f t="shared" si="5"/>
        <v>5078120.6811070153</v>
      </c>
      <c r="Q39" s="4">
        <f t="shared" si="6"/>
        <v>3.3428705198960693E-3</v>
      </c>
      <c r="R39" s="4">
        <f t="shared" si="7"/>
        <v>2.3408224523965501E-2</v>
      </c>
      <c r="S39" s="27">
        <v>0</v>
      </c>
      <c r="T39" s="4">
        <f t="shared" ca="1" si="8"/>
        <v>1.8780849004082323</v>
      </c>
      <c r="U39" s="4">
        <f t="shared" ca="1" si="9"/>
        <v>0.24617480219519097</v>
      </c>
      <c r="V39" s="4">
        <f t="shared" ca="1" si="10"/>
        <v>7.6290704152535751</v>
      </c>
      <c r="W39" s="20">
        <f t="shared" ca="1" si="11"/>
        <v>1721.1918308405225</v>
      </c>
      <c r="X39" s="4">
        <f t="shared" si="12"/>
        <v>0.60879971685134271</v>
      </c>
      <c r="Y39" s="4">
        <f t="shared" ca="1" si="13"/>
        <v>206.21259752142115</v>
      </c>
      <c r="Z39" s="14">
        <f t="shared" ca="1" si="14"/>
        <v>1721.1918308405225</v>
      </c>
      <c r="AA39" s="14">
        <f t="shared" si="15"/>
        <v>3136.1037756224764</v>
      </c>
      <c r="AB39" s="25">
        <f t="shared" ca="1" si="16"/>
        <v>375315.50455965276</v>
      </c>
      <c r="AC39" s="4">
        <f t="shared" si="17"/>
        <v>683844.96707981394</v>
      </c>
      <c r="AD39" s="5">
        <f t="shared" ca="1" si="18"/>
        <v>54.883127408591193</v>
      </c>
      <c r="AE39" s="7">
        <f t="shared" ca="1" si="19"/>
        <v>1721.1918308405225</v>
      </c>
      <c r="AF39" s="41">
        <f t="shared" ca="1" si="42"/>
        <v>1414.9119447819539</v>
      </c>
      <c r="AG39" s="4">
        <f t="shared" ca="1" si="20"/>
        <v>23.496097898721818</v>
      </c>
      <c r="AH39" s="4">
        <f t="shared" ca="1" si="21"/>
        <v>1229.489510782659</v>
      </c>
      <c r="AI39" s="13">
        <f t="shared" ca="1" si="22"/>
        <v>0</v>
      </c>
      <c r="AJ39" s="10">
        <f t="shared" ca="1" si="23"/>
        <v>0</v>
      </c>
      <c r="AK39" s="11">
        <f t="shared" ca="1" si="24"/>
        <v>0.10736088773309507</v>
      </c>
      <c r="AL39" s="7">
        <v>0</v>
      </c>
      <c r="AM39" s="4">
        <f t="shared" si="25"/>
        <v>25078.4767276772</v>
      </c>
      <c r="AN39" s="4">
        <f t="shared" ca="1" si="26"/>
        <v>8564.9233564128172</v>
      </c>
      <c r="AO39" s="6">
        <v>900</v>
      </c>
      <c r="AP39" s="4">
        <f t="shared" si="27"/>
        <v>0.71432450976847428</v>
      </c>
      <c r="AQ39" s="11">
        <f t="shared" si="28"/>
        <v>0.92829992071837586</v>
      </c>
      <c r="AR39" s="11">
        <f t="shared" si="29"/>
        <v>0.49937958210548988</v>
      </c>
      <c r="AS39" s="11">
        <f t="shared" si="30"/>
        <v>0.53795068916847377</v>
      </c>
      <c r="AT39" s="11">
        <f t="shared" si="31"/>
        <v>481.48131987899995</v>
      </c>
      <c r="AU39" s="11">
        <f t="shared" si="32"/>
        <v>1056.7970592432796</v>
      </c>
      <c r="AV39" s="11">
        <f t="shared" si="33"/>
        <v>1.2786549930845453E-3</v>
      </c>
      <c r="AW39" s="11">
        <f t="shared" si="34"/>
        <v>3.5253330369939681E-7</v>
      </c>
      <c r="AX39" s="4">
        <f t="shared" ca="1" si="35"/>
        <v>5.5669075996166315</v>
      </c>
      <c r="AY39" s="4">
        <f t="shared" ca="1" si="36"/>
        <v>10.455125104807834</v>
      </c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64">
      <c r="A40" s="41">
        <f t="shared" si="37"/>
        <v>23831.043394163662</v>
      </c>
      <c r="B40" s="41">
        <f t="shared" ref="B40:C40" si="57">(A40/60)</f>
        <v>397.18405656939439</v>
      </c>
      <c r="C40" s="41">
        <f t="shared" si="57"/>
        <v>6.6197342761565734</v>
      </c>
      <c r="D40" s="23">
        <f t="shared" ca="1" si="44"/>
        <v>13131.093675641567</v>
      </c>
      <c r="E40" s="41">
        <f t="shared" si="39"/>
        <v>900</v>
      </c>
      <c r="F40" s="41">
        <f t="shared" si="40"/>
        <v>900</v>
      </c>
      <c r="G40" s="4"/>
      <c r="H40" s="6">
        <v>18000</v>
      </c>
      <c r="I40" s="5">
        <v>15</v>
      </c>
      <c r="J40" s="4">
        <f t="shared" si="0"/>
        <v>0.21332521870184218</v>
      </c>
      <c r="K40" s="4">
        <f t="shared" si="1"/>
        <v>229.46968844635813</v>
      </c>
      <c r="L40" s="6">
        <f t="shared" si="41"/>
        <v>100</v>
      </c>
      <c r="M40" s="4">
        <f t="shared" si="2"/>
        <v>135.95711888945206</v>
      </c>
      <c r="N40" s="4">
        <f t="shared" si="3"/>
        <v>33.6646446967084</v>
      </c>
      <c r="O40" s="4">
        <f t="shared" si="4"/>
        <v>832297.43066681176</v>
      </c>
      <c r="P40" s="4">
        <f t="shared" si="5"/>
        <v>5343934.3471074188</v>
      </c>
      <c r="Q40" s="4">
        <f t="shared" si="6"/>
        <v>3.3131785573144849E-3</v>
      </c>
      <c r="R40" s="4">
        <f t="shared" si="7"/>
        <v>2.3226955092404931E-2</v>
      </c>
      <c r="S40" s="27">
        <v>0</v>
      </c>
      <c r="T40" s="4">
        <f t="shared" ca="1" si="8"/>
        <v>1.695895267797269</v>
      </c>
      <c r="U40" s="4">
        <f t="shared" ca="1" si="9"/>
        <v>0.20486952909285761</v>
      </c>
      <c r="V40" s="4">
        <f t="shared" ca="1" si="10"/>
        <v>8.2779282761400808</v>
      </c>
      <c r="W40" s="20">
        <f t="shared" ca="1" si="11"/>
        <v>1586.2777784013938</v>
      </c>
      <c r="X40" s="4">
        <f t="shared" si="12"/>
        <v>0.60643791329132712</v>
      </c>
      <c r="Y40" s="4">
        <f t="shared" ca="1" si="13"/>
        <v>206.21259752142115</v>
      </c>
      <c r="Z40" s="14">
        <f t="shared" ca="1" si="14"/>
        <v>1586.2777784013938</v>
      </c>
      <c r="AA40" s="14">
        <f t="shared" si="15"/>
        <v>3136.1037756224764</v>
      </c>
      <c r="AB40" s="25">
        <f t="shared" ca="1" si="16"/>
        <v>364002.66759914893</v>
      </c>
      <c r="AC40" s="4">
        <f t="shared" si="17"/>
        <v>719640.75632753712</v>
      </c>
      <c r="AD40" s="5">
        <f t="shared" ca="1" si="18"/>
        <v>50.581163503957647</v>
      </c>
      <c r="AE40" s="7">
        <f t="shared" ca="1" si="19"/>
        <v>1586.277778401394</v>
      </c>
      <c r="AF40" s="41">
        <f t="shared" ca="1" si="42"/>
        <v>1549.8259972210826</v>
      </c>
      <c r="AG40" s="4">
        <f t="shared" ca="1" si="20"/>
        <v>27.083660928267058</v>
      </c>
      <c r="AH40" s="4">
        <f t="shared" ca="1" si="21"/>
        <v>1140.3515076627118</v>
      </c>
      <c r="AI40" s="13">
        <f t="shared" ca="1" si="22"/>
        <v>3.9734212361646714E-15</v>
      </c>
      <c r="AJ40" s="10">
        <f t="shared" ca="1" si="23"/>
        <v>9.9211476949866922E-16</v>
      </c>
      <c r="AK40" s="11">
        <f t="shared" ca="1" si="24"/>
        <v>0.12375356507512139</v>
      </c>
      <c r="AL40" s="7">
        <v>0</v>
      </c>
      <c r="AM40" s="4">
        <f t="shared" si="25"/>
        <v>23831.043394163662</v>
      </c>
      <c r="AN40" s="4">
        <f t="shared" ca="1" si="26"/>
        <v>7548.8239621416778</v>
      </c>
      <c r="AO40" s="6">
        <v>900</v>
      </c>
      <c r="AP40" s="4">
        <f t="shared" si="27"/>
        <v>0.71888513045421709</v>
      </c>
      <c r="AQ40" s="11">
        <f t="shared" si="28"/>
        <v>0.92829992071837586</v>
      </c>
      <c r="AR40" s="11">
        <f t="shared" si="29"/>
        <v>0.49937958210548988</v>
      </c>
      <c r="AS40" s="11">
        <f t="shared" si="30"/>
        <v>0.53795068916847377</v>
      </c>
      <c r="AT40" s="11">
        <f t="shared" si="31"/>
        <v>481.48131987899995</v>
      </c>
      <c r="AU40" s="11">
        <f t="shared" si="32"/>
        <v>1056.7970592432796</v>
      </c>
      <c r="AV40" s="11">
        <f t="shared" si="33"/>
        <v>1.2786549930845453E-3</v>
      </c>
      <c r="AW40" s="11">
        <f t="shared" si="34"/>
        <v>3.5253330369939681E-7</v>
      </c>
      <c r="AX40" s="4">
        <f t="shared" ca="1" si="35"/>
        <v>6.3565599166115394</v>
      </c>
      <c r="AY40" s="4">
        <f t="shared" ca="1" si="36"/>
        <v>10.780059882051312</v>
      </c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</row>
    <row r="41" spans="1:64">
      <c r="A41" s="41">
        <f t="shared" si="37"/>
        <v>22702.715297880706</v>
      </c>
      <c r="B41" s="41">
        <f t="shared" ref="B41:C41" si="58">(A41/60)</f>
        <v>378.37858829801178</v>
      </c>
      <c r="C41" s="41">
        <f t="shared" si="58"/>
        <v>6.3063098049668627</v>
      </c>
      <c r="D41" s="23">
        <f t="shared" ca="1" si="44"/>
        <v>13131.093675641567</v>
      </c>
      <c r="E41" s="41">
        <f t="shared" si="39"/>
        <v>900</v>
      </c>
      <c r="F41" s="41">
        <f t="shared" si="40"/>
        <v>900</v>
      </c>
      <c r="G41" s="4"/>
      <c r="H41" s="6">
        <v>18000</v>
      </c>
      <c r="I41" s="5">
        <v>15</v>
      </c>
      <c r="J41" s="4">
        <f t="shared" si="0"/>
        <v>0.2239275116323915</v>
      </c>
      <c r="K41" s="4">
        <f t="shared" si="1"/>
        <v>240.87436376039392</v>
      </c>
      <c r="L41" s="6">
        <f t="shared" si="41"/>
        <v>105</v>
      </c>
      <c r="M41" s="4">
        <f t="shared" si="2"/>
        <v>142.71420653821323</v>
      </c>
      <c r="N41" s="4">
        <f t="shared" si="3"/>
        <v>37.09407487548863</v>
      </c>
      <c r="O41" s="4">
        <f t="shared" si="4"/>
        <v>873662.72830471781</v>
      </c>
      <c r="P41" s="4">
        <f t="shared" si="5"/>
        <v>5609528.6246824749</v>
      </c>
      <c r="Q41" s="4">
        <f t="shared" si="6"/>
        <v>3.2851476054317061E-3</v>
      </c>
      <c r="R41" s="4">
        <f t="shared" si="7"/>
        <v>2.3055826131160563E-2</v>
      </c>
      <c r="S41" s="27">
        <v>0</v>
      </c>
      <c r="T41" s="4">
        <f t="shared" ca="1" si="8"/>
        <v>1.5391059576188486</v>
      </c>
      <c r="U41" s="4">
        <f t="shared" ca="1" si="9"/>
        <v>0.17266445039986475</v>
      </c>
      <c r="V41" s="4">
        <f t="shared" ca="1" si="10"/>
        <v>8.9138554812789312</v>
      </c>
      <c r="W41" s="20">
        <f t="shared" ca="1" si="11"/>
        <v>1473.1104518375655</v>
      </c>
      <c r="X41" s="4">
        <f t="shared" si="12"/>
        <v>0.60419976046033974</v>
      </c>
      <c r="Y41" s="4">
        <f t="shared" ca="1" si="13"/>
        <v>206.21259752142115</v>
      </c>
      <c r="Z41" s="14">
        <f t="shared" ca="1" si="14"/>
        <v>1473.1104518375655</v>
      </c>
      <c r="AA41" s="14">
        <f t="shared" si="15"/>
        <v>3136.1037756224764</v>
      </c>
      <c r="AB41" s="25">
        <f t="shared" ca="1" si="16"/>
        <v>354834.54283515998</v>
      </c>
      <c r="AC41" s="4">
        <f t="shared" si="17"/>
        <v>755407.00163963321</v>
      </c>
      <c r="AD41" s="5">
        <f t="shared" ca="1" si="18"/>
        <v>46.97263092147427</v>
      </c>
      <c r="AE41" s="7">
        <f t="shared" ca="1" si="19"/>
        <v>1473.1104518375653</v>
      </c>
      <c r="AF41" s="41">
        <f t="shared" ca="1" si="42"/>
        <v>1662.9933237849109</v>
      </c>
      <c r="AG41" s="4">
        <f t="shared" ca="1" si="20"/>
        <v>30.505643223575724</v>
      </c>
      <c r="AH41" s="4">
        <f t="shared" ca="1" si="21"/>
        <v>1065.6193108362754</v>
      </c>
      <c r="AI41" s="13">
        <f t="shared" ca="1" si="22"/>
        <v>-4.1709008222100678E-15</v>
      </c>
      <c r="AJ41" s="10">
        <f t="shared" ca="1" si="23"/>
        <v>-9.9211476949866922E-16</v>
      </c>
      <c r="AK41" s="11">
        <f t="shared" ca="1" si="24"/>
        <v>0.13938965318706523</v>
      </c>
      <c r="AL41" s="7">
        <v>0</v>
      </c>
      <c r="AM41" s="4">
        <f t="shared" si="25"/>
        <v>22702.715297880706</v>
      </c>
      <c r="AN41" s="4">
        <f t="shared" ca="1" si="26"/>
        <v>6720.1255082888347</v>
      </c>
      <c r="AO41" s="6">
        <v>900</v>
      </c>
      <c r="AP41" s="4">
        <f t="shared" si="27"/>
        <v>0.72338045630388181</v>
      </c>
      <c r="AQ41" s="11">
        <f t="shared" si="28"/>
        <v>0.92829992071837586</v>
      </c>
      <c r="AR41" s="11">
        <f t="shared" si="29"/>
        <v>0.49937958210548988</v>
      </c>
      <c r="AS41" s="11">
        <f t="shared" si="30"/>
        <v>0.53795068916847377</v>
      </c>
      <c r="AT41" s="11">
        <f t="shared" si="31"/>
        <v>481.48131987899995</v>
      </c>
      <c r="AU41" s="11">
        <f t="shared" si="32"/>
        <v>1056.7970592432796</v>
      </c>
      <c r="AV41" s="11">
        <f t="shared" si="33"/>
        <v>1.2786549930845453E-3</v>
      </c>
      <c r="AW41" s="11">
        <f t="shared" si="34"/>
        <v>3.5253330369939681E-7</v>
      </c>
      <c r="AX41" s="4">
        <f t="shared" ca="1" si="35"/>
        <v>7.1850753845908786</v>
      </c>
      <c r="AY41" s="4">
        <f t="shared" ca="1" si="36"/>
        <v>11.058592330364361</v>
      </c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</row>
    <row r="42" spans="1:64">
      <c r="A42" s="41">
        <f t="shared" si="37"/>
        <v>21677.248744275435</v>
      </c>
      <c r="B42" s="41">
        <f t="shared" ref="B42:C42" si="59">(A42/60)</f>
        <v>361.28747907125728</v>
      </c>
      <c r="C42" s="41">
        <f t="shared" si="59"/>
        <v>6.0214579845209544</v>
      </c>
      <c r="D42" s="23">
        <f t="shared" ca="1" si="44"/>
        <v>13131.093675641567</v>
      </c>
      <c r="E42" s="41">
        <f t="shared" si="39"/>
        <v>900</v>
      </c>
      <c r="F42" s="41">
        <f t="shared" si="40"/>
        <v>900</v>
      </c>
      <c r="G42" s="4"/>
      <c r="H42" s="6">
        <v>18000</v>
      </c>
      <c r="I42" s="5">
        <v>15</v>
      </c>
      <c r="J42" s="4">
        <f t="shared" si="0"/>
        <v>0.23452065360903249</v>
      </c>
      <c r="K42" s="4">
        <f t="shared" si="1"/>
        <v>252.26919557559202</v>
      </c>
      <c r="L42" s="6">
        <f t="shared" si="41"/>
        <v>110</v>
      </c>
      <c r="M42" s="4">
        <f t="shared" si="2"/>
        <v>149.46546207140906</v>
      </c>
      <c r="N42" s="4">
        <f t="shared" si="3"/>
        <v>40.686640153337187</v>
      </c>
      <c r="O42" s="4">
        <f t="shared" si="4"/>
        <v>914992.3231060236</v>
      </c>
      <c r="P42" s="4">
        <f t="shared" si="5"/>
        <v>5874893.6649587397</v>
      </c>
      <c r="Q42" s="4">
        <f t="shared" si="6"/>
        <v>3.2586011783132958E-3</v>
      </c>
      <c r="R42" s="4">
        <f t="shared" si="7"/>
        <v>2.2893760193602671E-2</v>
      </c>
      <c r="S42" s="27">
        <v>0</v>
      </c>
      <c r="T42" s="4">
        <f t="shared" ca="1" si="8"/>
        <v>1.4032053622039236</v>
      </c>
      <c r="U42" s="4">
        <f t="shared" ca="1" si="9"/>
        <v>0.14724841953599818</v>
      </c>
      <c r="V42" s="4">
        <f t="shared" ca="1" si="10"/>
        <v>9.5295105144464962</v>
      </c>
      <c r="W42" s="20">
        <f t="shared" ca="1" si="11"/>
        <v>1377.9399955260201</v>
      </c>
      <c r="X42" s="4">
        <f t="shared" si="12"/>
        <v>0.60207246984049489</v>
      </c>
      <c r="Y42" s="4">
        <f t="shared" ca="1" si="13"/>
        <v>206.21259752142115</v>
      </c>
      <c r="Z42" s="14">
        <f t="shared" ca="1" si="14"/>
        <v>1377.9399955260201</v>
      </c>
      <c r="AA42" s="14">
        <f t="shared" si="15"/>
        <v>3136.1037756224764</v>
      </c>
      <c r="AB42" s="25">
        <f t="shared" ca="1" si="16"/>
        <v>347611.81422278396</v>
      </c>
      <c r="AC42" s="4">
        <f t="shared" si="17"/>
        <v>791142.37671785906</v>
      </c>
      <c r="AD42" s="5">
        <f t="shared" ca="1" si="18"/>
        <v>43.937959140160046</v>
      </c>
      <c r="AE42" s="7">
        <f t="shared" ca="1" si="19"/>
        <v>1377.9399955260203</v>
      </c>
      <c r="AF42" s="41">
        <f t="shared" ca="1" si="42"/>
        <v>1758.1637800964563</v>
      </c>
      <c r="AG42" s="4">
        <f t="shared" ca="1" si="20"/>
        <v>33.777122717343254</v>
      </c>
      <c r="AH42" s="4">
        <f t="shared" ca="1" si="21"/>
        <v>1002.8647614999296</v>
      </c>
      <c r="AI42" s="13">
        <f t="shared" ca="1" si="22"/>
        <v>4.3682099614849786E-15</v>
      </c>
      <c r="AJ42" s="10">
        <f t="shared" ca="1" si="23"/>
        <v>9.9211476949866922E-16</v>
      </c>
      <c r="AK42" s="11">
        <f t="shared" ca="1" si="24"/>
        <v>0.15433804777434712</v>
      </c>
      <c r="AL42" s="7">
        <v>0</v>
      </c>
      <c r="AM42" s="4">
        <f t="shared" si="25"/>
        <v>21677.248744275435</v>
      </c>
      <c r="AN42" s="4">
        <f t="shared" ca="1" si="26"/>
        <v>6038.7080255284536</v>
      </c>
      <c r="AO42" s="6">
        <v>900</v>
      </c>
      <c r="AP42" s="4">
        <f t="shared" si="27"/>
        <v>0.7278000237717841</v>
      </c>
      <c r="AQ42" s="11">
        <f t="shared" si="28"/>
        <v>0.92829992071837586</v>
      </c>
      <c r="AR42" s="11">
        <f t="shared" si="29"/>
        <v>0.49937958210548988</v>
      </c>
      <c r="AS42" s="11">
        <f t="shared" si="30"/>
        <v>0.53795068916847377</v>
      </c>
      <c r="AT42" s="11">
        <f t="shared" si="31"/>
        <v>481.48131987899995</v>
      </c>
      <c r="AU42" s="11">
        <f t="shared" si="32"/>
        <v>1056.7970592432796</v>
      </c>
      <c r="AV42" s="11">
        <f t="shared" si="33"/>
        <v>1.2786549930845453E-3</v>
      </c>
      <c r="AW42" s="11">
        <f t="shared" si="34"/>
        <v>3.5253330369939681E-7</v>
      </c>
      <c r="AX42" s="4">
        <f t="shared" ca="1" si="35"/>
        <v>8.044702270401082</v>
      </c>
      <c r="AY42" s="4">
        <f t="shared" ca="1" si="36"/>
        <v>11.288369363160875</v>
      </c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>
      <c r="A43" s="41">
        <f t="shared" si="37"/>
        <v>20741.22494763209</v>
      </c>
      <c r="B43" s="41">
        <f t="shared" ref="B43:C43" si="60">(A43/60)</f>
        <v>345.68708246053484</v>
      </c>
      <c r="C43" s="41">
        <f t="shared" si="60"/>
        <v>5.7614513743422471</v>
      </c>
      <c r="D43" s="23">
        <f t="shared" ca="1" si="44"/>
        <v>13131.093675641567</v>
      </c>
      <c r="E43" s="41">
        <f t="shared" si="39"/>
        <v>900</v>
      </c>
      <c r="F43" s="41">
        <f t="shared" si="40"/>
        <v>900</v>
      </c>
      <c r="G43" s="4"/>
      <c r="H43" s="6">
        <v>18000</v>
      </c>
      <c r="I43" s="5">
        <v>15</v>
      </c>
      <c r="J43" s="4">
        <f t="shared" si="0"/>
        <v>0.24510425766986535</v>
      </c>
      <c r="K43" s="4">
        <f t="shared" si="1"/>
        <v>263.6537676447449</v>
      </c>
      <c r="L43" s="6">
        <f t="shared" si="41"/>
        <v>115</v>
      </c>
      <c r="M43" s="4">
        <f t="shared" si="2"/>
        <v>156.21063886922903</v>
      </c>
      <c r="N43" s="4">
        <f t="shared" si="3"/>
        <v>44.441769942901701</v>
      </c>
      <c r="O43" s="4">
        <f t="shared" si="4"/>
        <v>956284.70532238821</v>
      </c>
      <c r="P43" s="4">
        <f t="shared" si="5"/>
        <v>6140019.7742909882</v>
      </c>
      <c r="Q43" s="4">
        <f t="shared" si="6"/>
        <v>3.2333882383770197E-3</v>
      </c>
      <c r="R43" s="4">
        <f t="shared" si="7"/>
        <v>2.2739835195291706E-2</v>
      </c>
      <c r="S43" s="27">
        <v>0</v>
      </c>
      <c r="T43" s="4">
        <f t="shared" ca="1" si="8"/>
        <v>1.2846408166590801</v>
      </c>
      <c r="U43" s="4">
        <f t="shared" ca="1" si="9"/>
        <v>0.12696750397432638</v>
      </c>
      <c r="V43" s="4">
        <f t="shared" ca="1" si="10"/>
        <v>10.117870923246963</v>
      </c>
      <c r="W43" s="20">
        <f t="shared" ca="1" si="11"/>
        <v>1297.8119384258382</v>
      </c>
      <c r="X43" s="4">
        <f t="shared" si="12"/>
        <v>0.60004505492053684</v>
      </c>
      <c r="Y43" s="4">
        <f t="shared" ca="1" si="13"/>
        <v>206.21259752142115</v>
      </c>
      <c r="Z43" s="14">
        <f t="shared" ca="1" si="14"/>
        <v>1297.8119384258382</v>
      </c>
      <c r="AA43" s="14">
        <f t="shared" si="15"/>
        <v>3136.1037756224764</v>
      </c>
      <c r="AB43" s="25">
        <f t="shared" ca="1" si="16"/>
        <v>342173.00726030191</v>
      </c>
      <c r="AC43" s="4">
        <f t="shared" si="17"/>
        <v>826845.57616777555</v>
      </c>
      <c r="AD43" s="5">
        <f t="shared" ca="1" si="18"/>
        <v>41.38293982852143</v>
      </c>
      <c r="AE43" s="7">
        <f t="shared" ca="1" si="19"/>
        <v>1297.8119384258382</v>
      </c>
      <c r="AF43" s="41">
        <f t="shared" ca="1" si="42"/>
        <v>1838.2918371966382</v>
      </c>
      <c r="AG43" s="4">
        <f t="shared" ca="1" si="20"/>
        <v>36.910297106976749</v>
      </c>
      <c r="AH43" s="4">
        <f t="shared" ca="1" si="21"/>
        <v>950.17394197708802</v>
      </c>
      <c r="AI43" s="13">
        <f t="shared" ca="1" si="22"/>
        <v>0</v>
      </c>
      <c r="AJ43" s="10">
        <f t="shared" ca="1" si="23"/>
        <v>0</v>
      </c>
      <c r="AK43" s="11">
        <f t="shared" ca="1" si="24"/>
        <v>0.16865448386273901</v>
      </c>
      <c r="AL43" s="7">
        <v>0</v>
      </c>
      <c r="AM43" s="4">
        <f t="shared" si="25"/>
        <v>20741.22494763209</v>
      </c>
      <c r="AN43" s="4">
        <f t="shared" ca="1" si="26"/>
        <v>5474.3809638680841</v>
      </c>
      <c r="AO43" s="6">
        <v>900</v>
      </c>
      <c r="AP43" s="4">
        <f t="shared" si="27"/>
        <v>0.73213530700725982</v>
      </c>
      <c r="AQ43" s="11">
        <f t="shared" si="28"/>
        <v>0.92829992071837586</v>
      </c>
      <c r="AR43" s="11">
        <f t="shared" si="29"/>
        <v>0.49937958210548988</v>
      </c>
      <c r="AS43" s="11">
        <f t="shared" si="30"/>
        <v>0.53795068916847377</v>
      </c>
      <c r="AT43" s="11">
        <f t="shared" si="31"/>
        <v>481.48131987899995</v>
      </c>
      <c r="AU43" s="11">
        <f t="shared" si="32"/>
        <v>1056.7970592432796</v>
      </c>
      <c r="AV43" s="11">
        <f t="shared" si="33"/>
        <v>1.2786549930845453E-3</v>
      </c>
      <c r="AW43" s="11">
        <f t="shared" si="34"/>
        <v>3.5253330369939681E-7</v>
      </c>
      <c r="AX43" s="4">
        <f t="shared" ca="1" si="35"/>
        <v>8.926850803116178</v>
      </c>
      <c r="AY43" s="4">
        <f t="shared" ca="1" si="36"/>
        <v>11.467796905908932</v>
      </c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>
      <c r="A44" s="41">
        <f t="shared" si="37"/>
        <v>19883.461510312896</v>
      </c>
      <c r="B44" s="41">
        <f t="shared" ref="B44:C44" si="61">(A44/60)</f>
        <v>331.39102517188161</v>
      </c>
      <c r="C44" s="41">
        <f t="shared" si="61"/>
        <v>5.5231837528646937</v>
      </c>
      <c r="D44" s="23">
        <f t="shared" ca="1" si="44"/>
        <v>13131.093675641567</v>
      </c>
      <c r="E44" s="41">
        <f t="shared" si="39"/>
        <v>900</v>
      </c>
      <c r="F44" s="41">
        <f t="shared" si="40"/>
        <v>900</v>
      </c>
      <c r="G44" s="4"/>
      <c r="H44" s="6">
        <v>18000</v>
      </c>
      <c r="I44" s="5">
        <v>15</v>
      </c>
      <c r="J44" s="4">
        <f t="shared" si="0"/>
        <v>0.2556779432653753</v>
      </c>
      <c r="K44" s="4">
        <f t="shared" si="1"/>
        <v>275.02767061831986</v>
      </c>
      <c r="L44" s="6">
        <f t="shared" si="41"/>
        <v>120</v>
      </c>
      <c r="M44" s="4">
        <f t="shared" si="2"/>
        <v>162.94949439862464</v>
      </c>
      <c r="N44" s="4">
        <f t="shared" si="3"/>
        <v>48.358872238444867</v>
      </c>
      <c r="O44" s="4">
        <f t="shared" si="4"/>
        <v>997538.39022366423</v>
      </c>
      <c r="P44" s="4">
        <f t="shared" si="5"/>
        <v>6404897.4196683764</v>
      </c>
      <c r="Q44" s="4">
        <f t="shared" si="6"/>
        <v>3.2093786107987919E-3</v>
      </c>
      <c r="R44" s="4">
        <f t="shared" si="7"/>
        <v>2.2593256418926625E-2</v>
      </c>
      <c r="S44" s="27">
        <v>0</v>
      </c>
      <c r="T44" s="4">
        <f t="shared" ca="1" si="8"/>
        <v>1.1805840167595307</v>
      </c>
      <c r="U44" s="4">
        <f t="shared" ca="1" si="9"/>
        <v>0.11061974731129194</v>
      </c>
      <c r="V44" s="4">
        <f t="shared" ca="1" si="10"/>
        <v>10.672452662880184</v>
      </c>
      <c r="W44" s="20">
        <f t="shared" ca="1" si="11"/>
        <v>1230.372632273439</v>
      </c>
      <c r="X44" s="4">
        <f t="shared" si="12"/>
        <v>0.59810801220791754</v>
      </c>
      <c r="Y44" s="4">
        <f t="shared" ca="1" si="13"/>
        <v>206.21259752142115</v>
      </c>
      <c r="Z44" s="14">
        <f t="shared" ca="1" si="14"/>
        <v>1230.372632273439</v>
      </c>
      <c r="AA44" s="14">
        <f t="shared" si="15"/>
        <v>3136.1037756224764</v>
      </c>
      <c r="AB44" s="25">
        <f t="shared" ca="1" si="16"/>
        <v>338386.51904669456</v>
      </c>
      <c r="AC44" s="4">
        <f t="shared" si="17"/>
        <v>862515.31622676773</v>
      </c>
      <c r="AD44" s="5">
        <f t="shared" ca="1" si="18"/>
        <v>39.232522910668855</v>
      </c>
      <c r="AE44" s="7">
        <f t="shared" ca="1" si="19"/>
        <v>1230.372632273439</v>
      </c>
      <c r="AF44" s="41">
        <f t="shared" ca="1" si="42"/>
        <v>1905.7311433490374</v>
      </c>
      <c r="AG44" s="4">
        <f t="shared" ca="1" si="20"/>
        <v>39.915090861954802</v>
      </c>
      <c r="AH44" s="4">
        <f t="shared" ca="1" si="21"/>
        <v>906.02162305320269</v>
      </c>
      <c r="AI44" s="13">
        <f t="shared" ca="1" si="22"/>
        <v>0</v>
      </c>
      <c r="AJ44" s="10">
        <f t="shared" ca="1" si="23"/>
        <v>0</v>
      </c>
      <c r="AK44" s="11">
        <f t="shared" ca="1" si="24"/>
        <v>0.18238430940142358</v>
      </c>
      <c r="AL44" s="7">
        <v>0</v>
      </c>
      <c r="AM44" s="4">
        <f t="shared" si="25"/>
        <v>19883.461510312896</v>
      </c>
      <c r="AN44" s="4">
        <f t="shared" ca="1" si="26"/>
        <v>5004.1239081915492</v>
      </c>
      <c r="AO44" s="6">
        <v>900</v>
      </c>
      <c r="AP44" s="4">
        <f t="shared" si="27"/>
        <v>0.7363798570349277</v>
      </c>
      <c r="AQ44" s="11">
        <f t="shared" si="28"/>
        <v>0.92829992071837586</v>
      </c>
      <c r="AR44" s="11">
        <f t="shared" si="29"/>
        <v>0.49937958210548988</v>
      </c>
      <c r="AS44" s="11">
        <f t="shared" si="30"/>
        <v>0.53795068916847377</v>
      </c>
      <c r="AT44" s="11">
        <f t="shared" si="31"/>
        <v>481.48131987899995</v>
      </c>
      <c r="AU44" s="11">
        <f t="shared" si="32"/>
        <v>1056.7970592432796</v>
      </c>
      <c r="AV44" s="11">
        <f t="shared" si="33"/>
        <v>1.2786549930845453E-3</v>
      </c>
      <c r="AW44" s="11">
        <f t="shared" si="34"/>
        <v>3.5253330369939681E-7</v>
      </c>
      <c r="AX44" s="4">
        <f t="shared" ca="1" si="35"/>
        <v>9.8223586455325815</v>
      </c>
      <c r="AY44" s="4">
        <f t="shared" ca="1" si="36"/>
        <v>11.596119623795557</v>
      </c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>
      <c r="A45" s="41">
        <f t="shared" si="37"/>
        <v>19094.565147037312</v>
      </c>
      <c r="B45" s="41">
        <f t="shared" ref="B45:C45" si="62">(A45/60)</f>
        <v>318.24275245062188</v>
      </c>
      <c r="C45" s="41">
        <f t="shared" si="62"/>
        <v>5.3040458741770315</v>
      </c>
      <c r="D45" s="23">
        <f t="shared" ca="1" si="44"/>
        <v>13131.093675641567</v>
      </c>
      <c r="E45" s="41">
        <f t="shared" si="39"/>
        <v>900</v>
      </c>
      <c r="F45" s="41">
        <f t="shared" si="40"/>
        <v>900</v>
      </c>
      <c r="G45" s="4"/>
      <c r="H45" s="6">
        <v>18000</v>
      </c>
      <c r="I45" s="5">
        <v>15</v>
      </c>
      <c r="J45" s="4">
        <f t="shared" si="0"/>
        <v>0.26624133646436265</v>
      </c>
      <c r="K45" s="4">
        <f t="shared" si="1"/>
        <v>286.39050226597391</v>
      </c>
      <c r="L45" s="6">
        <f t="shared" si="41"/>
        <v>125</v>
      </c>
      <c r="M45" s="4">
        <f t="shared" si="2"/>
        <v>169.68179034455329</v>
      </c>
      <c r="N45" s="4">
        <f t="shared" si="3"/>
        <v>52.437334253761684</v>
      </c>
      <c r="O45" s="4">
        <f t="shared" si="4"/>
        <v>1038751.9189013429</v>
      </c>
      <c r="P45" s="4">
        <f t="shared" si="5"/>
        <v>6669517.233873128</v>
      </c>
      <c r="Q45" s="4">
        <f t="shared" si="6"/>
        <v>3.1864593776983544E-3</v>
      </c>
      <c r="R45" s="4">
        <f t="shared" si="7"/>
        <v>2.2453334500848451E-2</v>
      </c>
      <c r="S45" s="27">
        <v>0</v>
      </c>
      <c r="T45" s="4">
        <f t="shared" ca="1" si="8"/>
        <v>1.0887607550173783</v>
      </c>
      <c r="U45" s="4">
        <f t="shared" ca="1" si="9"/>
        <v>9.7319313319573802E-2</v>
      </c>
      <c r="V45" s="4">
        <f t="shared" ca="1" si="10"/>
        <v>11.187509630715779</v>
      </c>
      <c r="W45" s="20">
        <f t="shared" ca="1" si="11"/>
        <v>1173.7280332335622</v>
      </c>
      <c r="X45" s="4">
        <f t="shared" si="12"/>
        <v>0.59625306943525003</v>
      </c>
      <c r="Y45" s="4">
        <f t="shared" ca="1" si="13"/>
        <v>206.21259752142115</v>
      </c>
      <c r="Z45" s="14">
        <f t="shared" ca="1" si="14"/>
        <v>1173.7280332335622</v>
      </c>
      <c r="AA45" s="14">
        <f t="shared" si="15"/>
        <v>3136.1037756224764</v>
      </c>
      <c r="AB45" s="25">
        <f t="shared" ca="1" si="16"/>
        <v>336144.5609614136</v>
      </c>
      <c r="AC45" s="4">
        <f t="shared" si="17"/>
        <v>898150.33545873815</v>
      </c>
      <c r="AD45" s="5">
        <f t="shared" ca="1" si="18"/>
        <v>37.426313579198833</v>
      </c>
      <c r="AE45" s="7">
        <f t="shared" ca="1" si="19"/>
        <v>1173.7280332335622</v>
      </c>
      <c r="AF45" s="41">
        <f t="shared" ca="1" si="42"/>
        <v>1962.3757423889142</v>
      </c>
      <c r="AG45" s="4">
        <f t="shared" ca="1" si="20"/>
        <v>42.799616572674083</v>
      </c>
      <c r="AH45" s="4">
        <f t="shared" ca="1" si="21"/>
        <v>869.18011379285247</v>
      </c>
      <c r="AI45" s="13">
        <f t="shared" ca="1" si="22"/>
        <v>0</v>
      </c>
      <c r="AJ45" s="10">
        <f t="shared" ca="1" si="23"/>
        <v>0</v>
      </c>
      <c r="AK45" s="11">
        <f t="shared" ca="1" si="24"/>
        <v>0.19556459330756981</v>
      </c>
      <c r="AL45" s="7">
        <v>0</v>
      </c>
      <c r="AM45" s="4">
        <f t="shared" si="25"/>
        <v>19094.565147037312</v>
      </c>
      <c r="AN45" s="4">
        <f t="shared" ca="1" si="26"/>
        <v>4610.1711964797023</v>
      </c>
      <c r="AO45" s="6">
        <v>900</v>
      </c>
      <c r="AP45" s="4">
        <f t="shared" si="27"/>
        <v>0.74052939793753125</v>
      </c>
      <c r="AQ45" s="11">
        <f t="shared" si="28"/>
        <v>0.92829992071837586</v>
      </c>
      <c r="AR45" s="11">
        <f t="shared" si="29"/>
        <v>0.49937958210548988</v>
      </c>
      <c r="AS45" s="11">
        <f t="shared" si="30"/>
        <v>0.53795068916847377</v>
      </c>
      <c r="AT45" s="11">
        <f t="shared" si="31"/>
        <v>481.48131987899995</v>
      </c>
      <c r="AU45" s="11">
        <f t="shared" si="32"/>
        <v>1056.7970592432796</v>
      </c>
      <c r="AV45" s="11">
        <f t="shared" si="33"/>
        <v>1.2786549930845453E-3</v>
      </c>
      <c r="AW45" s="11">
        <f t="shared" si="34"/>
        <v>3.5253330369939681E-7</v>
      </c>
      <c r="AX45" s="4">
        <f t="shared" ca="1" si="35"/>
        <v>10.7217874418353</v>
      </c>
      <c r="AY45" s="4">
        <f t="shared" ca="1" si="36"/>
        <v>11.673461390308445</v>
      </c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</row>
    <row r="46" spans="1:64">
      <c r="A46" s="41">
        <f t="shared" si="37"/>
        <v>18366.587626681776</v>
      </c>
      <c r="B46" s="41">
        <f t="shared" ref="B46:C46" si="63">(A46/60)</f>
        <v>306.1097937780296</v>
      </c>
      <c r="C46" s="41">
        <f t="shared" si="63"/>
        <v>5.1018298963004929</v>
      </c>
      <c r="D46" s="23">
        <f t="shared" ca="1" si="44"/>
        <v>13131.093675641567</v>
      </c>
      <c r="E46" s="41">
        <f t="shared" si="39"/>
        <v>900</v>
      </c>
      <c r="F46" s="41">
        <f t="shared" si="40"/>
        <v>900</v>
      </c>
      <c r="G46" s="4"/>
      <c r="H46" s="6">
        <v>18000</v>
      </c>
      <c r="I46" s="5">
        <v>15</v>
      </c>
      <c r="J46" s="4">
        <f t="shared" si="0"/>
        <v>0.27679407014984631</v>
      </c>
      <c r="K46" s="4">
        <f t="shared" si="1"/>
        <v>297.74186768728316</v>
      </c>
      <c r="L46" s="6">
        <f t="shared" si="41"/>
        <v>130</v>
      </c>
      <c r="M46" s="4">
        <f t="shared" si="2"/>
        <v>176.40729273483228</v>
      </c>
      <c r="N46" s="4">
        <f t="shared" si="3"/>
        <v>56.676523075977201</v>
      </c>
      <c r="O46" s="4">
        <f t="shared" si="4"/>
        <v>1079923.8590328794</v>
      </c>
      <c r="P46" s="4">
        <f t="shared" si="5"/>
        <v>6933870.0203880342</v>
      </c>
      <c r="Q46" s="4">
        <f t="shared" si="6"/>
        <v>3.1645320125454888E-3</v>
      </c>
      <c r="R46" s="4">
        <f t="shared" si="7"/>
        <v>2.2319467936590207E-2</v>
      </c>
      <c r="S46" s="27">
        <v>0</v>
      </c>
      <c r="T46" s="4">
        <f t="shared" ca="1" si="8"/>
        <v>1.0073255827053897</v>
      </c>
      <c r="U46" s="4">
        <f t="shared" ca="1" si="9"/>
        <v>8.6404900240448487E-2</v>
      </c>
      <c r="V46" s="4">
        <f t="shared" ca="1" si="10"/>
        <v>11.658199707449384</v>
      </c>
      <c r="W46" s="20">
        <f t="shared" ca="1" si="11"/>
        <v>1126.339744141716</v>
      </c>
      <c r="X46" s="4">
        <f t="shared" si="12"/>
        <v>0.59447298472528476</v>
      </c>
      <c r="Y46" s="4">
        <f t="shared" ca="1" si="13"/>
        <v>206.21259752142115</v>
      </c>
      <c r="Z46" s="14">
        <f t="shared" ca="1" si="14"/>
        <v>1126.339744141716</v>
      </c>
      <c r="AA46" s="14">
        <f t="shared" si="15"/>
        <v>3136.1037756224764</v>
      </c>
      <c r="AB46" s="25">
        <f t="shared" ca="1" si="16"/>
        <v>335358.49907117116</v>
      </c>
      <c r="AC46" s="4">
        <f t="shared" si="17"/>
        <v>933749.39541497652</v>
      </c>
      <c r="AD46" s="5">
        <f t="shared" ca="1" si="18"/>
        <v>35.915257425374961</v>
      </c>
      <c r="AE46" s="7">
        <f t="shared" ca="1" si="19"/>
        <v>1126.3397441417158</v>
      </c>
      <c r="AF46" s="41">
        <f t="shared" ca="1" si="42"/>
        <v>2009.7640314807604</v>
      </c>
      <c r="AG46" s="4">
        <f t="shared" ca="1" si="20"/>
        <v>45.570529852652875</v>
      </c>
      <c r="AH46" s="4">
        <f t="shared" ca="1" si="21"/>
        <v>838.65216503336535</v>
      </c>
      <c r="AI46" s="13">
        <f t="shared" ca="1" si="22"/>
        <v>-5.1555997132951995E-15</v>
      </c>
      <c r="AJ46" s="10">
        <f t="shared" ca="1" si="23"/>
        <v>-9.9211476949866922E-16</v>
      </c>
      <c r="AK46" s="11">
        <f t="shared" ca="1" si="24"/>
        <v>0.20822574712350314</v>
      </c>
      <c r="AL46" s="7">
        <v>0</v>
      </c>
      <c r="AM46" s="4">
        <f t="shared" si="25"/>
        <v>18366.587626681776</v>
      </c>
      <c r="AN46" s="4">
        <f t="shared" ca="1" si="26"/>
        <v>4278.6606881643584</v>
      </c>
      <c r="AO46" s="6">
        <v>900</v>
      </c>
      <c r="AP46" s="4">
        <f t="shared" si="27"/>
        <v>0.7445818807294492</v>
      </c>
      <c r="AQ46" s="11">
        <f t="shared" si="28"/>
        <v>0.92829992071837586</v>
      </c>
      <c r="AR46" s="11">
        <f t="shared" si="29"/>
        <v>0.49937958210548988</v>
      </c>
      <c r="AS46" s="11">
        <f t="shared" si="30"/>
        <v>0.53795068916847377</v>
      </c>
      <c r="AT46" s="11">
        <f t="shared" si="31"/>
        <v>481.48131987899995</v>
      </c>
      <c r="AU46" s="11">
        <f t="shared" si="32"/>
        <v>1056.7970592432796</v>
      </c>
      <c r="AV46" s="11">
        <f t="shared" si="33"/>
        <v>1.2786549930845453E-3</v>
      </c>
      <c r="AW46" s="11">
        <f t="shared" si="34"/>
        <v>3.5253330369939681E-7</v>
      </c>
      <c r="AX46" s="4">
        <f t="shared" ca="1" si="35"/>
        <v>11.615731341597774</v>
      </c>
      <c r="AY46" s="4">
        <f t="shared" ca="1" si="36"/>
        <v>11.700823342224238</v>
      </c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>
      <c r="A47" s="41">
        <f t="shared" si="37"/>
        <v>17692.758171499554</v>
      </c>
      <c r="B47" s="41">
        <f t="shared" ref="B47:C47" si="64">(A47/60)</f>
        <v>294.8793028583259</v>
      </c>
      <c r="C47" s="41">
        <f t="shared" si="64"/>
        <v>4.9146550476387647</v>
      </c>
      <c r="D47" s="23">
        <f t="shared" ca="1" si="44"/>
        <v>13131.093675641567</v>
      </c>
      <c r="E47" s="41">
        <f t="shared" si="39"/>
        <v>900</v>
      </c>
      <c r="F47" s="41">
        <f t="shared" si="40"/>
        <v>900</v>
      </c>
      <c r="G47" s="4"/>
      <c r="H47" s="6">
        <v>18000</v>
      </c>
      <c r="I47" s="5">
        <v>15</v>
      </c>
      <c r="J47" s="4">
        <f t="shared" si="0"/>
        <v>0.28733578420476308</v>
      </c>
      <c r="K47" s="4">
        <f t="shared" si="1"/>
        <v>309.0813795114961</v>
      </c>
      <c r="L47" s="6">
        <f t="shared" si="41"/>
        <v>135</v>
      </c>
      <c r="M47" s="4">
        <f t="shared" si="2"/>
        <v>183.12577205848925</v>
      </c>
      <c r="N47" s="4">
        <f t="shared" si="3"/>
        <v>61.075786333860094</v>
      </c>
      <c r="O47" s="4">
        <f t="shared" si="4"/>
        <v>1121052.8056062069</v>
      </c>
      <c r="P47" s="4">
        <f t="shared" si="5"/>
        <v>7197946.7580483444</v>
      </c>
      <c r="Q47" s="4">
        <f t="shared" si="6"/>
        <v>3.1435100806263103E-3</v>
      </c>
      <c r="R47" s="4">
        <f t="shared" si="7"/>
        <v>2.2191129042223624E-2</v>
      </c>
      <c r="S47" s="27">
        <v>0</v>
      </c>
      <c r="T47" s="4">
        <f t="shared" ca="1" si="8"/>
        <v>0.93476834372859907</v>
      </c>
      <c r="U47" s="4">
        <f t="shared" ca="1" si="9"/>
        <v>7.7376959671354412E-2</v>
      </c>
      <c r="V47" s="4">
        <f t="shared" ca="1" si="10"/>
        <v>12.080706552685321</v>
      </c>
      <c r="W47" s="20">
        <f t="shared" ca="1" si="11"/>
        <v>1086.9474908918107</v>
      </c>
      <c r="X47" s="4">
        <f t="shared" si="12"/>
        <v>0.59276138486622143</v>
      </c>
      <c r="Y47" s="4">
        <f t="shared" ca="1" si="13"/>
        <v>206.21259752142115</v>
      </c>
      <c r="Z47" s="14">
        <f t="shared" ca="1" si="14"/>
        <v>1086.9474908918107</v>
      </c>
      <c r="AA47" s="14">
        <f t="shared" si="15"/>
        <v>3136.1037756224764</v>
      </c>
      <c r="AB47" s="25">
        <f t="shared" ca="1" si="16"/>
        <v>335955.22994140018</v>
      </c>
      <c r="AC47" s="4">
        <f t="shared" si="17"/>
        <v>969311.28126060648</v>
      </c>
      <c r="AD47" s="5">
        <f t="shared" ca="1" si="18"/>
        <v>34.659168466963933</v>
      </c>
      <c r="AE47" s="7">
        <f t="shared" ca="1" si="19"/>
        <v>1086.9474908918107</v>
      </c>
      <c r="AF47" s="41">
        <f t="shared" ca="1" si="42"/>
        <v>2049.1562847306659</v>
      </c>
      <c r="AG47" s="4">
        <f t="shared" ca="1" si="20"/>
        <v>48.233305386747347</v>
      </c>
      <c r="AH47" s="4">
        <f t="shared" ca="1" si="21"/>
        <v>813.62095277752132</v>
      </c>
      <c r="AI47" s="13">
        <f t="shared" ca="1" si="22"/>
        <v>0</v>
      </c>
      <c r="AJ47" s="10">
        <f t="shared" ca="1" si="23"/>
        <v>0</v>
      </c>
      <c r="AK47" s="11">
        <f t="shared" ca="1" si="24"/>
        <v>0.22039278636578946</v>
      </c>
      <c r="AL47" s="7">
        <v>0</v>
      </c>
      <c r="AM47" s="4">
        <f t="shared" si="25"/>
        <v>17692.758171499554</v>
      </c>
      <c r="AN47" s="4">
        <f t="shared" ca="1" si="26"/>
        <v>3998.6663224327062</v>
      </c>
      <c r="AO47" s="6">
        <v>900</v>
      </c>
      <c r="AP47" s="4">
        <f t="shared" si="27"/>
        <v>0.74853749568892936</v>
      </c>
      <c r="AQ47" s="11">
        <f t="shared" si="28"/>
        <v>0.92829992071837586</v>
      </c>
      <c r="AR47" s="11">
        <f t="shared" si="29"/>
        <v>0.49937958210548988</v>
      </c>
      <c r="AS47" s="11">
        <f t="shared" si="30"/>
        <v>0.53795068916847377</v>
      </c>
      <c r="AT47" s="11">
        <f t="shared" si="31"/>
        <v>481.48131987899995</v>
      </c>
      <c r="AU47" s="11">
        <f t="shared" si="32"/>
        <v>1056.7970592432796</v>
      </c>
      <c r="AV47" s="11">
        <f t="shared" si="33"/>
        <v>1.2786549930845453E-3</v>
      </c>
      <c r="AW47" s="11">
        <f t="shared" si="34"/>
        <v>3.5253330369939681E-7</v>
      </c>
      <c r="AX47" s="4">
        <f t="shared" ca="1" si="35"/>
        <v>12.495117285176056</v>
      </c>
      <c r="AY47" s="4">
        <f t="shared" ca="1" si="36"/>
        <v>11.680040089358611</v>
      </c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</row>
    <row r="48" spans="1:64">
      <c r="A48" s="41">
        <f t="shared" si="37"/>
        <v>17067.27319940387</v>
      </c>
      <c r="B48" s="41">
        <f t="shared" ref="B48:C48" si="65">(A48/60)</f>
        <v>284.45455332339782</v>
      </c>
      <c r="C48" s="41">
        <f t="shared" si="65"/>
        <v>4.7409092220566302</v>
      </c>
      <c r="D48" s="23">
        <f t="shared" ca="1" si="44"/>
        <v>13131.093675641567</v>
      </c>
      <c r="E48" s="41">
        <f t="shared" si="39"/>
        <v>900</v>
      </c>
      <c r="F48" s="41">
        <f t="shared" si="40"/>
        <v>900</v>
      </c>
      <c r="G48" s="4"/>
      <c r="H48" s="6">
        <v>18000</v>
      </c>
      <c r="I48" s="5">
        <v>15</v>
      </c>
      <c r="J48" s="4">
        <f t="shared" si="0"/>
        <v>0.29786612568729609</v>
      </c>
      <c r="K48" s="4">
        <f t="shared" si="1"/>
        <v>320.40865808613069</v>
      </c>
      <c r="L48" s="6">
        <f t="shared" si="41"/>
        <v>140</v>
      </c>
      <c r="M48" s="4">
        <f t="shared" si="2"/>
        <v>189.83700337750307</v>
      </c>
      <c r="N48" s="4">
        <f t="shared" si="3"/>
        <v>65.63445287927027</v>
      </c>
      <c r="O48" s="4">
        <f t="shared" si="4"/>
        <v>1162137.3816037877</v>
      </c>
      <c r="P48" s="4">
        <f t="shared" si="5"/>
        <v>7461738.6054338608</v>
      </c>
      <c r="Q48" s="4">
        <f t="shared" si="6"/>
        <v>3.1233173772266623E-3</v>
      </c>
      <c r="R48" s="4">
        <f t="shared" si="7"/>
        <v>2.206785258796877E-2</v>
      </c>
      <c r="S48" s="27">
        <v>0</v>
      </c>
      <c r="T48" s="4">
        <f t="shared" ca="1" si="8"/>
        <v>0.86984364352423549</v>
      </c>
      <c r="U48" s="4">
        <f t="shared" ca="1" si="9"/>
        <v>6.9853995675559138E-2</v>
      </c>
      <c r="V48" s="4">
        <f t="shared" ca="1" si="10"/>
        <v>12.452310495798606</v>
      </c>
      <c r="W48" s="20">
        <f t="shared" ca="1" si="11"/>
        <v>1054.5106211471341</v>
      </c>
      <c r="X48" s="4">
        <f t="shared" si="12"/>
        <v>0.59111263393465086</v>
      </c>
      <c r="Y48" s="4">
        <f t="shared" ca="1" si="13"/>
        <v>206.21259752142115</v>
      </c>
      <c r="Z48" s="14">
        <f t="shared" ca="1" si="14"/>
        <v>1054.5106211471341</v>
      </c>
      <c r="AA48" s="14">
        <f t="shared" si="15"/>
        <v>3136.1037756224764</v>
      </c>
      <c r="AB48" s="25">
        <f t="shared" ca="1" si="16"/>
        <v>337874.33305932535</v>
      </c>
      <c r="AC48" s="4">
        <f t="shared" si="17"/>
        <v>1004834.8023660455</v>
      </c>
      <c r="AD48" s="5">
        <f t="shared" ca="1" si="18"/>
        <v>33.624863735187695</v>
      </c>
      <c r="AE48" s="7">
        <f t="shared" ca="1" si="19"/>
        <v>1054.5106211471341</v>
      </c>
      <c r="AF48" s="41">
        <f t="shared" ca="1" si="42"/>
        <v>2081.5931544753421</v>
      </c>
      <c r="AG48" s="4">
        <f t="shared" ca="1" si="20"/>
        <v>50.792453833753754</v>
      </c>
      <c r="AH48" s="4">
        <f t="shared" ca="1" si="21"/>
        <v>793.41236142649495</v>
      </c>
      <c r="AI48" s="13">
        <f t="shared" ca="1" si="22"/>
        <v>0</v>
      </c>
      <c r="AJ48" s="10">
        <f t="shared" ca="1" si="23"/>
        <v>0</v>
      </c>
      <c r="AK48" s="11">
        <f t="shared" ca="1" si="24"/>
        <v>0.23208632161984225</v>
      </c>
      <c r="AL48" s="7">
        <v>0</v>
      </c>
      <c r="AM48" s="4">
        <f t="shared" si="25"/>
        <v>17067.27319940387</v>
      </c>
      <c r="AN48" s="4">
        <f t="shared" ca="1" si="26"/>
        <v>3761.4959811805979</v>
      </c>
      <c r="AO48" s="6">
        <v>900</v>
      </c>
      <c r="AP48" s="4">
        <f t="shared" si="27"/>
        <v>0.75239864399221779</v>
      </c>
      <c r="AQ48" s="11">
        <f t="shared" si="28"/>
        <v>0.92829992071837586</v>
      </c>
      <c r="AR48" s="11">
        <f t="shared" si="29"/>
        <v>0.49937958210548988</v>
      </c>
      <c r="AS48" s="11">
        <f t="shared" si="30"/>
        <v>0.53795068916847377</v>
      </c>
      <c r="AT48" s="11">
        <f t="shared" si="31"/>
        <v>481.48131987899995</v>
      </c>
      <c r="AU48" s="11">
        <f t="shared" si="32"/>
        <v>1056.7970592432796</v>
      </c>
      <c r="AV48" s="11">
        <f t="shared" si="33"/>
        <v>1.2786549930845453E-3</v>
      </c>
      <c r="AW48" s="11">
        <f t="shared" si="34"/>
        <v>3.5253330369939681E-7</v>
      </c>
      <c r="AX48" s="4">
        <f t="shared" ca="1" si="35"/>
        <v>13.351477988541617</v>
      </c>
      <c r="AY48" s="4">
        <f t="shared" ca="1" si="36"/>
        <v>11.613698259986672</v>
      </c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</row>
    <row r="49" spans="1:64">
      <c r="A49" s="41">
        <f t="shared" si="37"/>
        <v>16485.129567878237</v>
      </c>
      <c r="B49" s="41">
        <f t="shared" ref="B49:C49" si="66">(A49/60)</f>
        <v>274.75215946463726</v>
      </c>
      <c r="C49" s="41">
        <f t="shared" si="66"/>
        <v>4.579202657743954</v>
      </c>
      <c r="D49" s="23">
        <f t="shared" ca="1" si="44"/>
        <v>13131.093675641567</v>
      </c>
      <c r="E49" s="41">
        <f t="shared" si="39"/>
        <v>900</v>
      </c>
      <c r="F49" s="41">
        <f t="shared" si="40"/>
        <v>900</v>
      </c>
      <c r="G49" s="4"/>
      <c r="H49" s="6">
        <v>18000</v>
      </c>
      <c r="I49" s="5">
        <v>15</v>
      </c>
      <c r="J49" s="4">
        <f t="shared" si="0"/>
        <v>0.30838474899578078</v>
      </c>
      <c r="K49" s="4">
        <f t="shared" si="1"/>
        <v>331.72333165436049</v>
      </c>
      <c r="L49" s="6">
        <f t="shared" si="41"/>
        <v>145</v>
      </c>
      <c r="M49" s="4">
        <f t="shared" si="2"/>
        <v>196.54076643190211</v>
      </c>
      <c r="N49" s="4">
        <f t="shared" si="3"/>
        <v>70.35183348039277</v>
      </c>
      <c r="O49" s="4">
        <f t="shared" si="4"/>
        <v>1203176.2386460011</v>
      </c>
      <c r="P49" s="4">
        <f t="shared" si="5"/>
        <v>7725236.9049999332</v>
      </c>
      <c r="Q49" s="4">
        <f t="shared" si="6"/>
        <v>3.103886407769256E-3</v>
      </c>
      <c r="R49" s="4">
        <f t="shared" si="7"/>
        <v>2.1949226519431306E-2</v>
      </c>
      <c r="S49" s="27">
        <v>0</v>
      </c>
      <c r="T49" s="4">
        <f t="shared" ca="1" si="8"/>
        <v>0.81151703955428267</v>
      </c>
      <c r="U49" s="4">
        <f t="shared" ca="1" si="9"/>
        <v>6.354171234497856E-2</v>
      </c>
      <c r="V49" s="4">
        <f t="shared" ca="1" si="10"/>
        <v>12.771406523456927</v>
      </c>
      <c r="W49" s="20">
        <f t="shared" ca="1" si="11"/>
        <v>1028.1634721691782</v>
      </c>
      <c r="X49" s="4">
        <f t="shared" si="12"/>
        <v>0.58952172570528316</v>
      </c>
      <c r="Y49" s="4">
        <f t="shared" ca="1" si="13"/>
        <v>206.21259752142115</v>
      </c>
      <c r="Z49" s="14">
        <f t="shared" ca="1" si="14"/>
        <v>1028.1634721691782</v>
      </c>
      <c r="AA49" s="14">
        <f t="shared" si="15"/>
        <v>3136.1037756224764</v>
      </c>
      <c r="AB49" s="25">
        <f t="shared" ca="1" si="16"/>
        <v>341065.81247327517</v>
      </c>
      <c r="AC49" s="4">
        <f t="shared" si="17"/>
        <v>1040318.7928633069</v>
      </c>
      <c r="AD49" s="5">
        <f t="shared" ca="1" si="18"/>
        <v>32.784740102074615</v>
      </c>
      <c r="AE49" s="7">
        <f t="shared" ca="1" si="19"/>
        <v>1028.1634721691782</v>
      </c>
      <c r="AF49" s="41">
        <f t="shared" ca="1" si="42"/>
        <v>2107.9403034532979</v>
      </c>
      <c r="AG49" s="4">
        <f t="shared" ca="1" si="20"/>
        <v>53.251693854500459</v>
      </c>
      <c r="AH49" s="4">
        <f t="shared" ca="1" si="21"/>
        <v>777.46623863944728</v>
      </c>
      <c r="AI49" s="13">
        <f t="shared" ca="1" si="22"/>
        <v>0</v>
      </c>
      <c r="AJ49" s="10">
        <f t="shared" ca="1" si="23"/>
        <v>0</v>
      </c>
      <c r="AK49" s="11">
        <f t="shared" ca="1" si="24"/>
        <v>0.2433233445891109</v>
      </c>
      <c r="AL49" s="7">
        <v>0</v>
      </c>
      <c r="AM49" s="4">
        <f t="shared" si="25"/>
        <v>16485.129567878237</v>
      </c>
      <c r="AN49" s="4">
        <f t="shared" ca="1" si="26"/>
        <v>3560.175466283953</v>
      </c>
      <c r="AO49" s="6">
        <v>900</v>
      </c>
      <c r="AP49" s="4">
        <f t="shared" si="27"/>
        <v>0.75616986956284304</v>
      </c>
      <c r="AQ49" s="11">
        <f t="shared" si="28"/>
        <v>0.92829992071837586</v>
      </c>
      <c r="AR49" s="11">
        <f t="shared" si="29"/>
        <v>0.49937958210548988</v>
      </c>
      <c r="AS49" s="11">
        <f t="shared" si="30"/>
        <v>0.53795068916847377</v>
      </c>
      <c r="AT49" s="11">
        <f t="shared" si="31"/>
        <v>481.48131987899995</v>
      </c>
      <c r="AU49" s="11">
        <f t="shared" si="32"/>
        <v>1056.7970592432796</v>
      </c>
      <c r="AV49" s="11">
        <f t="shared" si="33"/>
        <v>1.2786549930845453E-3</v>
      </c>
      <c r="AW49" s="11">
        <f t="shared" si="34"/>
        <v>3.5253330369939681E-7</v>
      </c>
      <c r="AX49" s="4">
        <f t="shared" ca="1" si="35"/>
        <v>14.177181763897135</v>
      </c>
      <c r="AY49" s="4">
        <f t="shared" ca="1" si="36"/>
        <v>11.505024574260766</v>
      </c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</row>
    <row r="50" spans="1:64">
      <c r="A50" s="41">
        <f t="shared" si="37"/>
        <v>15941.991169135546</v>
      </c>
      <c r="B50" s="41">
        <f t="shared" ref="B50:C50" si="67">(A50/60)</f>
        <v>265.69985281892576</v>
      </c>
      <c r="C50" s="41">
        <f t="shared" si="67"/>
        <v>4.4283308803154293</v>
      </c>
      <c r="D50" s="23">
        <f t="shared" ca="1" si="44"/>
        <v>13131.093675641567</v>
      </c>
      <c r="E50" s="41">
        <f t="shared" si="39"/>
        <v>900</v>
      </c>
      <c r="F50" s="41">
        <f t="shared" si="40"/>
        <v>900</v>
      </c>
      <c r="G50" s="4"/>
      <c r="H50" s="6">
        <v>18000</v>
      </c>
      <c r="I50" s="5">
        <v>15</v>
      </c>
      <c r="J50" s="4">
        <f t="shared" si="0"/>
        <v>0.31889131602302356</v>
      </c>
      <c r="K50" s="4">
        <f t="shared" si="1"/>
        <v>343.02503652101234</v>
      </c>
      <c r="L50" s="6">
        <f t="shared" si="41"/>
        <v>150</v>
      </c>
      <c r="M50" s="4">
        <f t="shared" si="2"/>
        <v>203.23684573811548</v>
      </c>
      <c r="N50" s="4">
        <f t="shared" si="3"/>
        <v>75.227221525352277</v>
      </c>
      <c r="O50" s="4">
        <f t="shared" si="4"/>
        <v>1244168.0575932248</v>
      </c>
      <c r="P50" s="4">
        <f t="shared" si="5"/>
        <v>7988433.1869432461</v>
      </c>
      <c r="Q50" s="4">
        <f t="shared" si="6"/>
        <v>3.0851571376275897E-3</v>
      </c>
      <c r="R50" s="4">
        <f t="shared" si="7"/>
        <v>2.1834884325216436E-2</v>
      </c>
      <c r="S50" s="27">
        <v>0</v>
      </c>
      <c r="T50" s="4">
        <f t="shared" ca="1" si="8"/>
        <v>0.75892357148912859</v>
      </c>
      <c r="U50" s="4">
        <f t="shared" ca="1" si="9"/>
        <v>5.8210945748428264E-2</v>
      </c>
      <c r="V50" s="4">
        <f t="shared" ca="1" si="10"/>
        <v>13.037471934728359</v>
      </c>
      <c r="W50" s="20">
        <f t="shared" ca="1" si="11"/>
        <v>1007.1809735339735</v>
      </c>
      <c r="X50" s="4">
        <f t="shared" si="12"/>
        <v>0.58798419487936726</v>
      </c>
      <c r="Y50" s="4">
        <f t="shared" ca="1" si="13"/>
        <v>206.21259752142115</v>
      </c>
      <c r="Z50" s="14">
        <f t="shared" ca="1" si="14"/>
        <v>1007.1809735339735</v>
      </c>
      <c r="AA50" s="14">
        <f t="shared" si="15"/>
        <v>3136.1037756224764</v>
      </c>
      <c r="AB50" s="25">
        <f t="shared" ca="1" si="16"/>
        <v>345488.29022976005</v>
      </c>
      <c r="AC50" s="4">
        <f t="shared" si="17"/>
        <v>1075762.1121665847</v>
      </c>
      <c r="AD50" s="5">
        <f t="shared" ca="1" si="18"/>
        <v>32.115677464597326</v>
      </c>
      <c r="AE50" s="7">
        <f t="shared" ca="1" si="19"/>
        <v>1007.1809735339735</v>
      </c>
      <c r="AF50" s="41">
        <f t="shared" ca="1" si="42"/>
        <v>2128.922802088503</v>
      </c>
      <c r="AG50" s="4">
        <f t="shared" ca="1" si="20"/>
        <v>55.614089730507118</v>
      </c>
      <c r="AH50" s="4">
        <f t="shared" ca="1" si="21"/>
        <v>765.3142705215904</v>
      </c>
      <c r="AI50" s="13">
        <f t="shared" ca="1" si="22"/>
        <v>0</v>
      </c>
      <c r="AJ50" s="10">
        <f t="shared" ca="1" si="23"/>
        <v>0</v>
      </c>
      <c r="AK50" s="11">
        <f t="shared" ca="1" si="24"/>
        <v>0.25411785691700151</v>
      </c>
      <c r="AL50" s="7">
        <v>0</v>
      </c>
      <c r="AM50" s="4">
        <f t="shared" si="25"/>
        <v>15941.991169135546</v>
      </c>
      <c r="AN50" s="4">
        <f t="shared" ca="1" si="26"/>
        <v>3389.0648172968349</v>
      </c>
      <c r="AO50" s="6">
        <v>900</v>
      </c>
      <c r="AP50" s="4">
        <f t="shared" si="27"/>
        <v>0.75985775211407458</v>
      </c>
      <c r="AQ50" s="11">
        <f t="shared" si="28"/>
        <v>0.92829992071837586</v>
      </c>
      <c r="AR50" s="11">
        <f t="shared" si="29"/>
        <v>0.49937958210548988</v>
      </c>
      <c r="AS50" s="11">
        <f t="shared" si="30"/>
        <v>0.53795068916847377</v>
      </c>
      <c r="AT50" s="11">
        <f t="shared" si="31"/>
        <v>481.48131987899995</v>
      </c>
      <c r="AU50" s="11">
        <f t="shared" si="32"/>
        <v>1056.7970592432796</v>
      </c>
      <c r="AV50" s="11">
        <f t="shared" si="33"/>
        <v>1.2786549930845453E-3</v>
      </c>
      <c r="AW50" s="11">
        <f t="shared" si="34"/>
        <v>3.5253330369939681E-7</v>
      </c>
      <c r="AX50" s="4">
        <f t="shared" ca="1" si="35"/>
        <v>14.965608008177705</v>
      </c>
      <c r="AY50" s="4">
        <f t="shared" ca="1" si="36"/>
        <v>11.357752679072529</v>
      </c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</row>
    <row r="51" spans="1:64">
      <c r="A51" s="41">
        <f t="shared" si="37"/>
        <v>15434.081345591554</v>
      </c>
      <c r="B51" s="41">
        <f t="shared" ref="B51:C51" si="68">(A51/60)</f>
        <v>257.23468909319257</v>
      </c>
      <c r="C51" s="41">
        <f t="shared" si="68"/>
        <v>4.2872448182198761</v>
      </c>
      <c r="D51" s="23">
        <f t="shared" ca="1" si="44"/>
        <v>13131.093675641567</v>
      </c>
      <c r="E51" s="41">
        <f t="shared" si="39"/>
        <v>900</v>
      </c>
      <c r="F51" s="41">
        <f t="shared" si="40"/>
        <v>900</v>
      </c>
      <c r="G51" s="4"/>
      <c r="H51" s="6">
        <v>18000</v>
      </c>
      <c r="I51" s="5">
        <v>15</v>
      </c>
      <c r="J51" s="4">
        <f t="shared" si="0"/>
        <v>0.32938549630005237</v>
      </c>
      <c r="K51" s="4">
        <f t="shared" si="1"/>
        <v>354.3134172071957</v>
      </c>
      <c r="L51" s="6">
        <f t="shared" si="41"/>
        <v>155</v>
      </c>
      <c r="M51" s="4">
        <f t="shared" si="2"/>
        <v>209.92503068058815</v>
      </c>
      <c r="N51" s="4">
        <f t="shared" si="3"/>
        <v>80.259893734874865</v>
      </c>
      <c r="O51" s="4">
        <f t="shared" si="4"/>
        <v>1285111.5491066827</v>
      </c>
      <c r="P51" s="4">
        <f t="shared" si="5"/>
        <v>8251319.1728028608</v>
      </c>
      <c r="Q51" s="4">
        <f t="shared" si="6"/>
        <v>3.0670759564843464E-3</v>
      </c>
      <c r="R51" s="4">
        <f t="shared" si="7"/>
        <v>2.1724498714336935E-2</v>
      </c>
      <c r="S51" s="27">
        <v>0</v>
      </c>
      <c r="T51" s="4">
        <f t="shared" ca="1" si="8"/>
        <v>0.71133549991751954</v>
      </c>
      <c r="U51" s="4">
        <f t="shared" ca="1" si="9"/>
        <v>5.3681686683387637E-2</v>
      </c>
      <c r="V51" s="4">
        <f t="shared" ca="1" si="10"/>
        <v>13.250990120950313</v>
      </c>
      <c r="W51" s="20">
        <f t="shared" ca="1" si="11"/>
        <v>990.95188780503395</v>
      </c>
      <c r="X51" s="4">
        <f t="shared" si="12"/>
        <v>0.58649604333018679</v>
      </c>
      <c r="Y51" s="4">
        <f t="shared" ca="1" si="13"/>
        <v>206.21259752142115</v>
      </c>
      <c r="Z51" s="14">
        <f t="shared" ca="1" si="14"/>
        <v>990.95188780503395</v>
      </c>
      <c r="AA51" s="14">
        <f t="shared" si="15"/>
        <v>3136.1037756224764</v>
      </c>
      <c r="AB51" s="25">
        <f t="shared" ca="1" si="16"/>
        <v>351107.54965612316</v>
      </c>
      <c r="AC51" s="4">
        <f t="shared" si="17"/>
        <v>1111163.6454571881</v>
      </c>
      <c r="AD51" s="5">
        <f t="shared" ca="1" si="18"/>
        <v>31.598185478040907</v>
      </c>
      <c r="AE51" s="7">
        <f t="shared" ca="1" si="19"/>
        <v>990.95188780503395</v>
      </c>
      <c r="AF51" s="41">
        <f t="shared" ca="1" si="42"/>
        <v>2145.1518878174425</v>
      </c>
      <c r="AG51" s="4">
        <f t="shared" ca="1" si="20"/>
        <v>57.882162337397972</v>
      </c>
      <c r="AH51" s="4">
        <f t="shared" ca="1" si="21"/>
        <v>756.56279330609084</v>
      </c>
      <c r="AI51" s="13">
        <f t="shared" ca="1" si="22"/>
        <v>0</v>
      </c>
      <c r="AJ51" s="10">
        <f t="shared" ca="1" si="23"/>
        <v>0</v>
      </c>
      <c r="AK51" s="11">
        <f t="shared" ca="1" si="24"/>
        <v>0.26448137725848614</v>
      </c>
      <c r="AL51" s="7">
        <v>0</v>
      </c>
      <c r="AM51" s="4">
        <f t="shared" si="25"/>
        <v>15434.081345591554</v>
      </c>
      <c r="AN51" s="4">
        <f t="shared" ca="1" si="26"/>
        <v>3243.569915259493</v>
      </c>
      <c r="AO51" s="6">
        <v>900</v>
      </c>
      <c r="AP51" s="4">
        <f t="shared" si="27"/>
        <v>0.76347076242206191</v>
      </c>
      <c r="AQ51" s="11">
        <f t="shared" si="28"/>
        <v>0.92829992071837586</v>
      </c>
      <c r="AR51" s="11">
        <f t="shared" si="29"/>
        <v>0.49937958210548988</v>
      </c>
      <c r="AS51" s="11">
        <f t="shared" si="30"/>
        <v>0.53795068916847377</v>
      </c>
      <c r="AT51" s="11">
        <f t="shared" si="31"/>
        <v>481.48131987899995</v>
      </c>
      <c r="AU51" s="11">
        <f t="shared" si="32"/>
        <v>1056.7970592432796</v>
      </c>
      <c r="AV51" s="11">
        <f t="shared" si="33"/>
        <v>1.2786549930845453E-3</v>
      </c>
      <c r="AW51" s="11">
        <f t="shared" si="34"/>
        <v>3.5253330369939681E-7</v>
      </c>
      <c r="AX51" s="4">
        <f t="shared" ca="1" si="35"/>
        <v>15.711262639484442</v>
      </c>
      <c r="AY51" s="4">
        <f t="shared" ca="1" si="36"/>
        <v>11.175978863993112</v>
      </c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</row>
    <row r="52" spans="1:64">
      <c r="A52" s="41">
        <f t="shared" si="37"/>
        <v>14958.095477460674</v>
      </c>
      <c r="B52" s="41">
        <f t="shared" ref="B52:C52" si="69">(A52/60)</f>
        <v>249.30159129101125</v>
      </c>
      <c r="C52" s="41">
        <f t="shared" si="69"/>
        <v>4.155026521516854</v>
      </c>
      <c r="D52" s="23">
        <f t="shared" ca="1" si="44"/>
        <v>13131.093675641567</v>
      </c>
      <c r="E52" s="41">
        <f t="shared" si="39"/>
        <v>900</v>
      </c>
      <c r="F52" s="41">
        <f t="shared" si="40"/>
        <v>900</v>
      </c>
      <c r="G52" s="4"/>
      <c r="H52" s="6">
        <v>18000</v>
      </c>
      <c r="I52" s="5">
        <v>15</v>
      </c>
      <c r="J52" s="4">
        <f t="shared" si="0"/>
        <v>0.33986696712916603</v>
      </c>
      <c r="K52" s="4">
        <f t="shared" si="1"/>
        <v>365.58812659342135</v>
      </c>
      <c r="L52" s="6">
        <f t="shared" si="41"/>
        <v>160</v>
      </c>
      <c r="M52" s="4">
        <f t="shared" si="2"/>
        <v>216.60511559657667</v>
      </c>
      <c r="N52" s="4">
        <f t="shared" si="3"/>
        <v>85.4491108825937</v>
      </c>
      <c r="O52" s="4">
        <f t="shared" si="4"/>
        <v>1326005.4541675432</v>
      </c>
      <c r="P52" s="4">
        <f t="shared" si="5"/>
        <v>8513886.7787931841</v>
      </c>
      <c r="Q52" s="4">
        <f t="shared" si="6"/>
        <v>3.0495948147656283E-3</v>
      </c>
      <c r="R52" s="4">
        <f t="shared" si="7"/>
        <v>2.1617776344144159E-2</v>
      </c>
      <c r="S52" s="27">
        <v>0</v>
      </c>
      <c r="T52" s="4">
        <f t="shared" ca="1" si="8"/>
        <v>0.66813698871212002</v>
      </c>
      <c r="U52" s="4">
        <f t="shared" ca="1" si="9"/>
        <v>4.9811382042682081E-2</v>
      </c>
      <c r="V52" s="4">
        <f t="shared" ca="1" si="10"/>
        <v>13.413339708976771</v>
      </c>
      <c r="W52" s="20">
        <f t="shared" ca="1" si="11"/>
        <v>978.95781069748693</v>
      </c>
      <c r="X52" s="4">
        <f t="shared" si="12"/>
        <v>0.5850536784283481</v>
      </c>
      <c r="Y52" s="4">
        <f t="shared" ca="1" si="13"/>
        <v>206.21259752142115</v>
      </c>
      <c r="Z52" s="14">
        <f t="shared" ca="1" si="14"/>
        <v>978.95781069748693</v>
      </c>
      <c r="AA52" s="14">
        <f t="shared" si="15"/>
        <v>3136.1037756224764</v>
      </c>
      <c r="AB52" s="25">
        <f t="shared" ca="1" si="16"/>
        <v>357895.35202689149</v>
      </c>
      <c r="AC52" s="4">
        <f t="shared" si="17"/>
        <v>1146522.3041323766</v>
      </c>
      <c r="AD52" s="5">
        <f t="shared" ca="1" si="18"/>
        <v>31.215733940538254</v>
      </c>
      <c r="AE52" s="7">
        <f t="shared" ca="1" si="19"/>
        <v>978.95781069748705</v>
      </c>
      <c r="AF52" s="41">
        <f t="shared" ca="1" si="42"/>
        <v>2157.1459649249896</v>
      </c>
      <c r="AG52" s="4">
        <f t="shared" ca="1" si="20"/>
        <v>60.057979295997519</v>
      </c>
      <c r="AH52" s="4">
        <f t="shared" ca="1" si="21"/>
        <v>750.87932022166069</v>
      </c>
      <c r="AI52" s="13">
        <f t="shared" ca="1" si="22"/>
        <v>3.1652015473833124E-15</v>
      </c>
      <c r="AJ52" s="10">
        <f t="shared" ca="1" si="23"/>
        <v>4.9605738474933461E-16</v>
      </c>
      <c r="AK52" s="11">
        <f t="shared" ca="1" si="24"/>
        <v>0.27442335320814698</v>
      </c>
      <c r="AL52" s="7">
        <v>0</v>
      </c>
      <c r="AM52" s="4">
        <f t="shared" si="25"/>
        <v>14958.095477460674</v>
      </c>
      <c r="AN52" s="4">
        <f t="shared" ca="1" si="26"/>
        <v>3119.923489979547</v>
      </c>
      <c r="AO52" s="6">
        <v>900</v>
      </c>
      <c r="AP52" s="4">
        <f t="shared" si="27"/>
        <v>0.76701908092104076</v>
      </c>
      <c r="AQ52" s="11">
        <f t="shared" si="28"/>
        <v>0.92829992071837586</v>
      </c>
      <c r="AR52" s="11">
        <f t="shared" si="29"/>
        <v>0.49937958210548988</v>
      </c>
      <c r="AS52" s="11">
        <f t="shared" si="30"/>
        <v>0.53795068916847377</v>
      </c>
      <c r="AT52" s="11">
        <f t="shared" si="31"/>
        <v>481.48131987899995</v>
      </c>
      <c r="AU52" s="11">
        <f t="shared" si="32"/>
        <v>1056.7970592432796</v>
      </c>
      <c r="AV52" s="11">
        <f t="shared" si="33"/>
        <v>1.2786549930845453E-3</v>
      </c>
      <c r="AW52" s="11">
        <f t="shared" si="34"/>
        <v>3.5253330369939681E-7</v>
      </c>
      <c r="AX52" s="4">
        <f t="shared" ca="1" si="35"/>
        <v>16.409833178699021</v>
      </c>
      <c r="AY52" s="4">
        <f t="shared" ca="1" si="36"/>
        <v>10.964016525284201</v>
      </c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</row>
    <row r="53" spans="1:64">
      <c r="A53" s="41">
        <f t="shared" si="37"/>
        <v>14511.129463529785</v>
      </c>
      <c r="B53" s="41">
        <f t="shared" ref="B53:C53" si="70">(A53/60)</f>
        <v>241.85215772549643</v>
      </c>
      <c r="C53" s="41">
        <f t="shared" si="70"/>
        <v>4.0308692954249405</v>
      </c>
      <c r="D53" s="23">
        <f t="shared" ca="1" si="44"/>
        <v>13131.093675641567</v>
      </c>
      <c r="E53" s="41">
        <f t="shared" si="39"/>
        <v>900</v>
      </c>
      <c r="F53" s="41">
        <f t="shared" si="40"/>
        <v>900</v>
      </c>
      <c r="G53" s="4"/>
      <c r="H53" s="6">
        <v>18000</v>
      </c>
      <c r="I53" s="5">
        <v>15</v>
      </c>
      <c r="J53" s="4">
        <f t="shared" si="0"/>
        <v>0.35033541370641491</v>
      </c>
      <c r="K53" s="4">
        <f t="shared" si="1"/>
        <v>376.84882605135141</v>
      </c>
      <c r="L53" s="6">
        <f t="shared" si="41"/>
        <v>165</v>
      </c>
      <c r="M53" s="4">
        <f t="shared" si="2"/>
        <v>223.27689985420889</v>
      </c>
      <c r="N53" s="4">
        <f t="shared" si="3"/>
        <v>90.794118521720264</v>
      </c>
      <c r="O53" s="4">
        <f t="shared" si="4"/>
        <v>1366848.5445547828</v>
      </c>
      <c r="P53" s="4">
        <f t="shared" si="5"/>
        <v>8776128.1188721955</v>
      </c>
      <c r="Q53" s="4">
        <f t="shared" si="6"/>
        <v>3.0326704991364664E-3</v>
      </c>
      <c r="R53" s="4">
        <f t="shared" si="7"/>
        <v>2.1514453397228125E-2</v>
      </c>
      <c r="S53" s="27">
        <v>0</v>
      </c>
      <c r="T53" s="4">
        <f t="shared" ca="1" si="8"/>
        <v>0.6288040741269646</v>
      </c>
      <c r="U53" s="4">
        <f t="shared" ca="1" si="9"/>
        <v>4.6486278506258756E-2</v>
      </c>
      <c r="V53" s="4">
        <f t="shared" ca="1" si="10"/>
        <v>13.52665978719515</v>
      </c>
      <c r="W53" s="20">
        <f t="shared" ca="1" si="11"/>
        <v>970.75655647611961</v>
      </c>
      <c r="X53" s="4">
        <f t="shared" si="12"/>
        <v>0.58365386115677198</v>
      </c>
      <c r="Y53" s="4">
        <f t="shared" ca="1" si="13"/>
        <v>206.21259752142115</v>
      </c>
      <c r="Z53" s="14">
        <f t="shared" ca="1" si="14"/>
        <v>970.75655647611961</v>
      </c>
      <c r="AA53" s="14">
        <f t="shared" si="15"/>
        <v>3136.1037756224764</v>
      </c>
      <c r="AB53" s="25">
        <f t="shared" ca="1" si="16"/>
        <v>365828.46868967806</v>
      </c>
      <c r="AC53" s="4">
        <f t="shared" si="17"/>
        <v>1181837.026218541</v>
      </c>
      <c r="AD53" s="5">
        <f t="shared" ca="1" si="18"/>
        <v>30.954223008243304</v>
      </c>
      <c r="AE53" s="7">
        <f t="shared" ca="1" si="19"/>
        <v>970.7565564761195</v>
      </c>
      <c r="AF53" s="41">
        <f t="shared" ca="1" si="42"/>
        <v>2165.347219146357</v>
      </c>
      <c r="AG53" s="4">
        <f t="shared" ca="1" si="20"/>
        <v>62.143228712363438</v>
      </c>
      <c r="AH53" s="4">
        <f t="shared" ca="1" si="21"/>
        <v>747.98188698236618</v>
      </c>
      <c r="AI53" s="13">
        <f t="shared" ca="1" si="22"/>
        <v>-3.2626948212513047E-15</v>
      </c>
      <c r="AJ53" s="10">
        <f t="shared" ca="1" si="23"/>
        <v>-4.9605738474933461E-16</v>
      </c>
      <c r="AK53" s="11">
        <f t="shared" ca="1" si="24"/>
        <v>0.28395149824103533</v>
      </c>
      <c r="AL53" s="7">
        <v>0</v>
      </c>
      <c r="AM53" s="4">
        <f t="shared" si="25"/>
        <v>14511.129463529785</v>
      </c>
      <c r="AN53" s="4">
        <f t="shared" ca="1" si="26"/>
        <v>3015.0172217712279</v>
      </c>
      <c r="AO53" s="6">
        <v>900</v>
      </c>
      <c r="AP53" s="4">
        <f t="shared" si="27"/>
        <v>0.77051438076047285</v>
      </c>
      <c r="AQ53" s="11">
        <f t="shared" si="28"/>
        <v>0.92829992071837586</v>
      </c>
      <c r="AR53" s="11">
        <f t="shared" si="29"/>
        <v>0.49937958210548988</v>
      </c>
      <c r="AS53" s="11">
        <f t="shared" si="30"/>
        <v>0.53795068916847377</v>
      </c>
      <c r="AT53" s="11">
        <f t="shared" si="31"/>
        <v>481.48131987899995</v>
      </c>
      <c r="AU53" s="11">
        <f t="shared" si="32"/>
        <v>1056.7970592432796</v>
      </c>
      <c r="AV53" s="11">
        <f t="shared" si="33"/>
        <v>1.2786549930845453E-3</v>
      </c>
      <c r="AW53" s="11">
        <f t="shared" si="34"/>
        <v>3.5253330369939681E-7</v>
      </c>
      <c r="AX53" s="4">
        <f t="shared" ca="1" si="35"/>
        <v>17.058187887841612</v>
      </c>
      <c r="AY53" s="4">
        <f t="shared" ca="1" si="36"/>
        <v>10.726258041098047</v>
      </c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</row>
    <row r="54" spans="1:64">
      <c r="A54" s="41">
        <f t="shared" si="37"/>
        <v>14090.620822989211</v>
      </c>
      <c r="B54" s="41">
        <f t="shared" ref="B54:C54" si="71">(A54/60)</f>
        <v>234.84368038315353</v>
      </c>
      <c r="C54" s="41">
        <f t="shared" si="71"/>
        <v>3.9140613397192254</v>
      </c>
      <c r="D54" s="23">
        <f t="shared" ca="1" si="44"/>
        <v>13131.093675641567</v>
      </c>
      <c r="E54" s="41">
        <f t="shared" si="39"/>
        <v>900</v>
      </c>
      <c r="F54" s="41">
        <f t="shared" si="40"/>
        <v>900</v>
      </c>
      <c r="G54" s="4"/>
      <c r="H54" s="6">
        <v>18000</v>
      </c>
      <c r="I54" s="5">
        <v>15</v>
      </c>
      <c r="J54" s="4">
        <f t="shared" si="0"/>
        <v>0.36079052923337235</v>
      </c>
      <c r="K54" s="4">
        <f t="shared" si="1"/>
        <v>388.09518556402952</v>
      </c>
      <c r="L54" s="6">
        <f t="shared" si="41"/>
        <v>170</v>
      </c>
      <c r="M54" s="4">
        <f t="shared" si="2"/>
        <v>229.94018792371847</v>
      </c>
      <c r="N54" s="4">
        <f t="shared" si="3"/>
        <v>96.29414771667922</v>
      </c>
      <c r="O54" s="4">
        <f t="shared" si="4"/>
        <v>1407639.6232812672</v>
      </c>
      <c r="P54" s="4">
        <f t="shared" si="5"/>
        <v>9038035.5075413883</v>
      </c>
      <c r="Q54" s="4">
        <f t="shared" si="6"/>
        <v>3.0162640211740775E-3</v>
      </c>
      <c r="R54" s="4">
        <f t="shared" si="7"/>
        <v>2.1414291849267741E-2</v>
      </c>
      <c r="S54" s="27">
        <v>0</v>
      </c>
      <c r="T54" s="4">
        <f t="shared" ca="1" si="8"/>
        <v>0.59288869559551938</v>
      </c>
      <c r="U54" s="4">
        <f t="shared" ca="1" si="9"/>
        <v>4.3614954144780886E-2</v>
      </c>
      <c r="V54" s="4">
        <f t="shared" ca="1" si="10"/>
        <v>13.593702142329695</v>
      </c>
      <c r="W54" s="20">
        <f t="shared" ca="1" si="11"/>
        <v>965.96891252695582</v>
      </c>
      <c r="X54" s="4">
        <f t="shared" si="12"/>
        <v>0.58229366221491374</v>
      </c>
      <c r="Y54" s="4">
        <f t="shared" ca="1" si="13"/>
        <v>206.21259752142115</v>
      </c>
      <c r="Z54" s="14">
        <f t="shared" ca="1" si="14"/>
        <v>965.96891252695582</v>
      </c>
      <c r="AA54" s="14">
        <f t="shared" si="15"/>
        <v>3136.1037756224764</v>
      </c>
      <c r="AB54" s="25">
        <f t="shared" ca="1" si="16"/>
        <v>374887.88435623271</v>
      </c>
      <c r="AC54" s="4">
        <f t="shared" si="17"/>
        <v>1217106.7767482586</v>
      </c>
      <c r="AD54" s="5">
        <f t="shared" ca="1" si="18"/>
        <v>30.801560842329696</v>
      </c>
      <c r="AE54" s="7">
        <f t="shared" ca="1" si="19"/>
        <v>965.96891252695582</v>
      </c>
      <c r="AF54" s="41">
        <f t="shared" ca="1" si="42"/>
        <v>2170.1348630955208</v>
      </c>
      <c r="AG54" s="4">
        <f t="shared" ca="1" si="20"/>
        <v>64.139279879965997</v>
      </c>
      <c r="AH54" s="4">
        <f t="shared" ca="1" si="21"/>
        <v>747.63055014711063</v>
      </c>
      <c r="AI54" s="13">
        <f t="shared" ca="1" si="22"/>
        <v>0</v>
      </c>
      <c r="AJ54" s="10">
        <f t="shared" ca="1" si="23"/>
        <v>0</v>
      </c>
      <c r="AK54" s="11">
        <f t="shared" ca="1" si="24"/>
        <v>0.29307206907957228</v>
      </c>
      <c r="AL54" s="7">
        <v>0</v>
      </c>
      <c r="AM54" s="4">
        <f t="shared" si="25"/>
        <v>14090.620822989211</v>
      </c>
      <c r="AN54" s="4">
        <f t="shared" ca="1" si="26"/>
        <v>2926.2718327238213</v>
      </c>
      <c r="AO54" s="6">
        <v>900</v>
      </c>
      <c r="AP54" s="4">
        <f t="shared" si="27"/>
        <v>0.77396957650668452</v>
      </c>
      <c r="AQ54" s="11">
        <f t="shared" si="28"/>
        <v>0.92829992071837586</v>
      </c>
      <c r="AR54" s="11">
        <f t="shared" si="29"/>
        <v>0.49937958210548988</v>
      </c>
      <c r="AS54" s="11">
        <f t="shared" si="30"/>
        <v>0.53795068916847377</v>
      </c>
      <c r="AT54" s="11">
        <f t="shared" si="31"/>
        <v>481.48131987899995</v>
      </c>
      <c r="AU54" s="11">
        <f t="shared" si="32"/>
        <v>1056.7970592432796</v>
      </c>
      <c r="AV54" s="11">
        <f t="shared" si="33"/>
        <v>1.2786549930845453E-3</v>
      </c>
      <c r="AW54" s="11">
        <f t="shared" si="34"/>
        <v>3.5253330369939681E-7</v>
      </c>
      <c r="AX54" s="4">
        <f t="shared" ca="1" si="35"/>
        <v>17.654326928479882</v>
      </c>
      <c r="AY54" s="4">
        <f t="shared" ca="1" si="36"/>
        <v>10.467050864243291</v>
      </c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</row>
    <row r="55" spans="1:64">
      <c r="A55" s="41">
        <f t="shared" si="37"/>
        <v>13694.299894101932</v>
      </c>
      <c r="B55" s="41">
        <f t="shared" ref="B55:C55" si="72">(A55/60)</f>
        <v>228.23833156836554</v>
      </c>
      <c r="C55" s="41">
        <f t="shared" si="72"/>
        <v>3.8039721928060923</v>
      </c>
      <c r="D55" s="23">
        <f t="shared" ca="1" si="44"/>
        <v>13131.093675641567</v>
      </c>
      <c r="E55" s="41">
        <f t="shared" si="39"/>
        <v>900</v>
      </c>
      <c r="F55" s="41">
        <f t="shared" si="40"/>
        <v>900</v>
      </c>
      <c r="G55" s="4"/>
      <c r="H55" s="6">
        <v>18000</v>
      </c>
      <c r="I55" s="5">
        <v>15</v>
      </c>
      <c r="J55" s="4">
        <f t="shared" si="0"/>
        <v>0.37123201501835124</v>
      </c>
      <c r="K55" s="4">
        <f t="shared" si="1"/>
        <v>399.32688383475767</v>
      </c>
      <c r="L55" s="6">
        <f t="shared" si="41"/>
        <v>175</v>
      </c>
      <c r="M55" s="4">
        <f t="shared" si="2"/>
        <v>236.59478944195257</v>
      </c>
      <c r="N55" s="4">
        <f t="shared" si="3"/>
        <v>101.94841577845496</v>
      </c>
      <c r="O55" s="4">
        <f t="shared" si="4"/>
        <v>1448377.524988652</v>
      </c>
      <c r="P55" s="4">
        <f t="shared" si="5"/>
        <v>9299601.4623813108</v>
      </c>
      <c r="Q55" s="4">
        <f t="shared" si="6"/>
        <v>3.0003400987634208E-3</v>
      </c>
      <c r="R55" s="4">
        <f t="shared" si="7"/>
        <v>2.1317076302950683E-2</v>
      </c>
      <c r="S55" s="27">
        <v>0</v>
      </c>
      <c r="T55" s="4">
        <f t="shared" ca="1" si="8"/>
        <v>0.56000587353206865</v>
      </c>
      <c r="U55" s="4">
        <f t="shared" ca="1" si="9"/>
        <v>4.1123440246192966E-2</v>
      </c>
      <c r="V55" s="4">
        <f t="shared" ca="1" si="10"/>
        <v>13.617680577779765</v>
      </c>
      <c r="W55" s="20">
        <f t="shared" ca="1" si="11"/>
        <v>964.2680044256457</v>
      </c>
      <c r="X55" s="4">
        <f t="shared" si="12"/>
        <v>0.58097042468544746</v>
      </c>
      <c r="Y55" s="4">
        <f t="shared" ca="1" si="13"/>
        <v>206.21259752142115</v>
      </c>
      <c r="Z55" s="14">
        <f t="shared" ca="1" si="14"/>
        <v>964.2680044256457</v>
      </c>
      <c r="AA55" s="14">
        <f t="shared" si="15"/>
        <v>3136.1037756224764</v>
      </c>
      <c r="AB55" s="25">
        <f t="shared" ca="1" si="16"/>
        <v>385058.13738885341</v>
      </c>
      <c r="AC55" s="4">
        <f t="shared" si="17"/>
        <v>1252330.5481017416</v>
      </c>
      <c r="AD55" s="5">
        <f t="shared" ca="1" si="18"/>
        <v>30.747324496117827</v>
      </c>
      <c r="AE55" s="7">
        <f t="shared" ca="1" si="19"/>
        <v>964.26800442564581</v>
      </c>
      <c r="AF55" s="41">
        <f t="shared" ca="1" si="42"/>
        <v>2171.8357711968306</v>
      </c>
      <c r="AG55" s="4">
        <f t="shared" ca="1" si="20"/>
        <v>66.047233546257871</v>
      </c>
      <c r="AH55" s="4">
        <f t="shared" ca="1" si="21"/>
        <v>749.62053852849317</v>
      </c>
      <c r="AI55" s="13">
        <f t="shared" ca="1" si="22"/>
        <v>3.4573061286292758E-15</v>
      </c>
      <c r="AJ55" s="10">
        <f t="shared" ca="1" si="23"/>
        <v>4.9605738474933461E-16</v>
      </c>
      <c r="AK55" s="11">
        <f t="shared" ca="1" si="24"/>
        <v>0.30179009537694534</v>
      </c>
      <c r="AL55" s="7">
        <v>0</v>
      </c>
      <c r="AM55" s="4">
        <f t="shared" si="25"/>
        <v>13694.299894101932</v>
      </c>
      <c r="AN55" s="4">
        <f t="shared" ca="1" si="26"/>
        <v>2851.535683718716</v>
      </c>
      <c r="AO55" s="6">
        <v>900</v>
      </c>
      <c r="AP55" s="4">
        <f t="shared" si="27"/>
        <v>0.77739853970888029</v>
      </c>
      <c r="AQ55" s="11">
        <f t="shared" si="28"/>
        <v>0.92829992071837586</v>
      </c>
      <c r="AR55" s="11">
        <f t="shared" si="29"/>
        <v>0.49937958210548988</v>
      </c>
      <c r="AS55" s="11">
        <f t="shared" si="30"/>
        <v>0.53795068916847377</v>
      </c>
      <c r="AT55" s="11">
        <f t="shared" si="31"/>
        <v>481.48131987899995</v>
      </c>
      <c r="AU55" s="11">
        <f t="shared" si="32"/>
        <v>1056.7970592432796</v>
      </c>
      <c r="AV55" s="11">
        <f t="shared" si="33"/>
        <v>1.2786549930845453E-3</v>
      </c>
      <c r="AW55" s="11">
        <f t="shared" si="34"/>
        <v>3.5253330369939681E-7</v>
      </c>
      <c r="AX55" s="4">
        <f t="shared" ca="1" si="35"/>
        <v>18.197295685456751</v>
      </c>
      <c r="AY55" s="4">
        <f t="shared" ca="1" si="36"/>
        <v>10.190592466255552</v>
      </c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</row>
    <row r="56" spans="1:64">
      <c r="A56" s="41">
        <f t="shared" si="37"/>
        <v>13320.149166436842</v>
      </c>
      <c r="B56" s="41">
        <f t="shared" ref="B56:C56" si="73">(A56/60)</f>
        <v>222.0024861072807</v>
      </c>
      <c r="C56" s="41">
        <f t="shared" si="73"/>
        <v>3.7000414351213449</v>
      </c>
      <c r="D56" s="23">
        <f t="shared" ca="1" si="44"/>
        <v>13131.093675641567</v>
      </c>
      <c r="E56" s="41">
        <f t="shared" si="39"/>
        <v>900</v>
      </c>
      <c r="F56" s="41">
        <f t="shared" si="40"/>
        <v>900</v>
      </c>
      <c r="G56" s="4"/>
      <c r="H56" s="6">
        <v>18000</v>
      </c>
      <c r="I56" s="5">
        <v>15</v>
      </c>
      <c r="J56" s="4">
        <f t="shared" si="0"/>
        <v>0.38165958056706711</v>
      </c>
      <c r="K56" s="4">
        <f t="shared" si="1"/>
        <v>410.54360838462054</v>
      </c>
      <c r="L56" s="6">
        <f t="shared" si="41"/>
        <v>180</v>
      </c>
      <c r="M56" s="4">
        <f t="shared" si="2"/>
        <v>243.24051927015353</v>
      </c>
      <c r="N56" s="4">
        <f t="shared" si="3"/>
        <v>107.75612700233687</v>
      </c>
      <c r="O56" s="4">
        <f t="shared" si="4"/>
        <v>1489061.1163011077</v>
      </c>
      <c r="P56" s="4">
        <f t="shared" si="5"/>
        <v>9560818.7063227352</v>
      </c>
      <c r="Q56" s="4">
        <f t="shared" si="6"/>
        <v>2.9848667139290392E-3</v>
      </c>
      <c r="R56" s="4">
        <f t="shared" si="7"/>
        <v>2.1222611288536784E-2</v>
      </c>
      <c r="S56" s="27">
        <v>0</v>
      </c>
      <c r="T56" s="4">
        <f t="shared" ca="1" si="8"/>
        <v>0.52982334481997551</v>
      </c>
      <c r="U56" s="4">
        <f t="shared" ca="1" si="9"/>
        <v>3.8951510496250667E-2</v>
      </c>
      <c r="V56" s="4">
        <f t="shared" ca="1" si="10"/>
        <v>13.602125773042214</v>
      </c>
      <c r="W56" s="20">
        <f t="shared" ca="1" si="11"/>
        <v>965.37069975237432</v>
      </c>
      <c r="X56" s="4">
        <f t="shared" si="12"/>
        <v>0.57968173212449714</v>
      </c>
      <c r="Y56" s="4">
        <f t="shared" ca="1" si="13"/>
        <v>206.21259752142115</v>
      </c>
      <c r="Z56" s="14">
        <f t="shared" ca="1" si="14"/>
        <v>965.37069975237432</v>
      </c>
      <c r="AA56" s="14">
        <f t="shared" si="15"/>
        <v>3136.1037756224764</v>
      </c>
      <c r="AB56" s="25">
        <f t="shared" ca="1" si="16"/>
        <v>396326.77050512587</v>
      </c>
      <c r="AC56" s="4">
        <f t="shared" si="17"/>
        <v>1287507.3603126837</v>
      </c>
      <c r="AD56" s="5">
        <f t="shared" ca="1" si="18"/>
        <v>30.78248581110045</v>
      </c>
      <c r="AE56" s="7">
        <f t="shared" ca="1" si="19"/>
        <v>965.37069975237432</v>
      </c>
      <c r="AF56" s="41">
        <f t="shared" ca="1" si="42"/>
        <v>2170.7330758701019</v>
      </c>
      <c r="AG56" s="4">
        <f t="shared" ca="1" si="20"/>
        <v>67.867963767611769</v>
      </c>
      <c r="AH56" s="4">
        <f t="shared" ca="1" si="21"/>
        <v>753.77667840791196</v>
      </c>
      <c r="AI56" s="13">
        <f t="shared" ca="1" si="22"/>
        <v>0</v>
      </c>
      <c r="AJ56" s="10">
        <f t="shared" ca="1" si="23"/>
        <v>0</v>
      </c>
      <c r="AK56" s="11">
        <f t="shared" ca="1" si="24"/>
        <v>0.31010957096517322</v>
      </c>
      <c r="AL56" s="7">
        <v>0</v>
      </c>
      <c r="AM56" s="4">
        <f t="shared" si="25"/>
        <v>13320.149166436842</v>
      </c>
      <c r="AN56" s="4">
        <f t="shared" ca="1" si="26"/>
        <v>2789.0049429374112</v>
      </c>
      <c r="AO56" s="6">
        <v>900</v>
      </c>
      <c r="AP56" s="4">
        <f t="shared" si="27"/>
        <v>0.78081578258099404</v>
      </c>
      <c r="AQ56" s="11">
        <f t="shared" si="28"/>
        <v>0.92829992071837586</v>
      </c>
      <c r="AR56" s="11">
        <f t="shared" si="29"/>
        <v>0.49937958210548988</v>
      </c>
      <c r="AS56" s="11">
        <f t="shared" si="30"/>
        <v>0.53795068916847377</v>
      </c>
      <c r="AT56" s="11">
        <f t="shared" si="31"/>
        <v>481.48131987899995</v>
      </c>
      <c r="AU56" s="11">
        <f t="shared" si="32"/>
        <v>1056.7970592432796</v>
      </c>
      <c r="AV56" s="11">
        <f t="shared" si="33"/>
        <v>1.2786549930845453E-3</v>
      </c>
      <c r="AW56" s="11">
        <f t="shared" si="34"/>
        <v>3.5253330369939681E-7</v>
      </c>
      <c r="AX56" s="4">
        <f t="shared" ca="1" si="35"/>
        <v>18.687071239784618</v>
      </c>
      <c r="AY56" s="4">
        <f t="shared" ca="1" si="36"/>
        <v>9.900846589151854</v>
      </c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</row>
    <row r="57" spans="1:64">
      <c r="A57" s="41">
        <f t="shared" si="37"/>
        <v>12966.369207880034</v>
      </c>
      <c r="B57" s="41">
        <f t="shared" ref="B57:C57" si="74">(A57/60)</f>
        <v>216.10615346466724</v>
      </c>
      <c r="C57" s="41">
        <f t="shared" si="74"/>
        <v>3.6017692244111208</v>
      </c>
      <c r="D57" s="23">
        <f t="shared" ca="1" si="44"/>
        <v>13131.093675641567</v>
      </c>
      <c r="E57" s="41">
        <f t="shared" si="39"/>
        <v>900</v>
      </c>
      <c r="F57" s="41">
        <f t="shared" si="40"/>
        <v>900</v>
      </c>
      <c r="G57" s="4"/>
      <c r="H57" s="6">
        <v>18000</v>
      </c>
      <c r="I57" s="5">
        <v>15</v>
      </c>
      <c r="J57" s="4">
        <f t="shared" si="0"/>
        <v>0.39207294366286488</v>
      </c>
      <c r="K57" s="4">
        <f t="shared" si="1"/>
        <v>421.7450556387837</v>
      </c>
      <c r="L57" s="6">
        <f t="shared" si="41"/>
        <v>185</v>
      </c>
      <c r="M57" s="4">
        <f t="shared" si="2"/>
        <v>249.87719754508913</v>
      </c>
      <c r="N57" s="4">
        <f t="shared" si="3"/>
        <v>113.71647340682449</v>
      </c>
      <c r="O57" s="4">
        <f t="shared" si="4"/>
        <v>1529689.296138329</v>
      </c>
      <c r="P57" s="4">
        <f t="shared" si="5"/>
        <v>9821680.1696563885</v>
      </c>
      <c r="Q57" s="4">
        <f t="shared" si="6"/>
        <v>2.9698147340456041E-3</v>
      </c>
      <c r="R57" s="4">
        <f t="shared" si="7"/>
        <v>2.1130718951348409E-2</v>
      </c>
      <c r="S57" s="27">
        <v>0</v>
      </c>
      <c r="T57" s="4">
        <f t="shared" ca="1" si="8"/>
        <v>0.50205313199413681</v>
      </c>
      <c r="U57" s="4">
        <f t="shared" ca="1" si="9"/>
        <v>3.7049835130954376E-2</v>
      </c>
      <c r="V57" s="4">
        <f t="shared" ca="1" si="10"/>
        <v>13.550752121287626</v>
      </c>
      <c r="W57" s="20">
        <f t="shared" ca="1" si="11"/>
        <v>969.03061602117305</v>
      </c>
      <c r="X57" s="4">
        <f t="shared" si="12"/>
        <v>0.57842538115995479</v>
      </c>
      <c r="Y57" s="4">
        <f t="shared" ca="1" si="13"/>
        <v>206.21259752142115</v>
      </c>
      <c r="Z57" s="14">
        <f t="shared" ca="1" si="14"/>
        <v>969.03061602117305</v>
      </c>
      <c r="AA57" s="14">
        <f t="shared" si="15"/>
        <v>3136.1037756224764</v>
      </c>
      <c r="AB57" s="25">
        <f t="shared" ca="1" si="16"/>
        <v>408683.87106953445</v>
      </c>
      <c r="AC57" s="4">
        <f t="shared" si="17"/>
        <v>1322636.261338901</v>
      </c>
      <c r="AD57" s="5">
        <f t="shared" ca="1" si="18"/>
        <v>30.899188462882833</v>
      </c>
      <c r="AE57" s="7">
        <f t="shared" ca="1" si="19"/>
        <v>969.03061602117316</v>
      </c>
      <c r="AF57" s="41">
        <f t="shared" ca="1" si="42"/>
        <v>2167.0731596013034</v>
      </c>
      <c r="AG57" s="4">
        <f t="shared" ca="1" si="20"/>
        <v>69.602152939078181</v>
      </c>
      <c r="AH57" s="4">
        <f t="shared" ca="1" si="21"/>
        <v>759.94880182301688</v>
      </c>
      <c r="AI57" s="13">
        <f t="shared" ca="1" si="22"/>
        <v>3.6513989531003562E-15</v>
      </c>
      <c r="AJ57" s="10">
        <f t="shared" ca="1" si="23"/>
        <v>4.9605738474933461E-16</v>
      </c>
      <c r="AK57" s="11">
        <f t="shared" ca="1" si="24"/>
        <v>0.31803361391682788</v>
      </c>
      <c r="AL57" s="7">
        <v>0</v>
      </c>
      <c r="AM57" s="4">
        <f t="shared" si="25"/>
        <v>12966.369207880034</v>
      </c>
      <c r="AN57" s="4">
        <f t="shared" ca="1" si="26"/>
        <v>2737.1602065342481</v>
      </c>
      <c r="AO57" s="6">
        <v>900</v>
      </c>
      <c r="AP57" s="4">
        <f t="shared" si="27"/>
        <v>0.78423611107702307</v>
      </c>
      <c r="AQ57" s="11">
        <f t="shared" si="28"/>
        <v>0.92829992071837586</v>
      </c>
      <c r="AR57" s="11">
        <f t="shared" si="29"/>
        <v>0.49937958210548988</v>
      </c>
      <c r="AS57" s="11">
        <f t="shared" si="30"/>
        <v>0.53795068916847377</v>
      </c>
      <c r="AT57" s="11">
        <f t="shared" si="31"/>
        <v>481.48131987899995</v>
      </c>
      <c r="AU57" s="11">
        <f t="shared" si="32"/>
        <v>1056.7970592432796</v>
      </c>
      <c r="AV57" s="11">
        <f t="shared" si="33"/>
        <v>1.2786549930845453E-3</v>
      </c>
      <c r="AW57" s="11">
        <f t="shared" si="34"/>
        <v>3.5253330369939681E-7</v>
      </c>
      <c r="AX57" s="4">
        <f t="shared" ca="1" si="35"/>
        <v>19.124432671245888</v>
      </c>
      <c r="AY57" s="4">
        <f t="shared" ca="1" si="36"/>
        <v>9.6014813202099933</v>
      </c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</row>
    <row r="58" spans="1:64">
      <c r="A58" s="41">
        <f t="shared" si="37"/>
        <v>12631.349971594806</v>
      </c>
      <c r="B58" s="41">
        <f t="shared" ref="B58:C58" si="75">(A58/60)</f>
        <v>210.52249952658011</v>
      </c>
      <c r="C58" s="41">
        <f t="shared" si="75"/>
        <v>3.5087083254430018</v>
      </c>
      <c r="D58" s="23">
        <f t="shared" ca="1" si="44"/>
        <v>13131.093675641567</v>
      </c>
      <c r="E58" s="41">
        <f t="shared" si="39"/>
        <v>900</v>
      </c>
      <c r="F58" s="41">
        <f t="shared" si="40"/>
        <v>900</v>
      </c>
      <c r="G58" s="4"/>
      <c r="H58" s="6">
        <v>18000</v>
      </c>
      <c r="I58" s="5">
        <v>15</v>
      </c>
      <c r="J58" s="4">
        <f t="shared" si="0"/>
        <v>0.40247183043659979</v>
      </c>
      <c r="K58" s="4">
        <f t="shared" si="1"/>
        <v>432.93093100166362</v>
      </c>
      <c r="L58" s="6">
        <f t="shared" si="41"/>
        <v>190</v>
      </c>
      <c r="M58" s="4">
        <f t="shared" si="2"/>
        <v>256.50464972358969</v>
      </c>
      <c r="N58" s="4">
        <f t="shared" si="3"/>
        <v>119.82863547246042</v>
      </c>
      <c r="O58" s="4">
        <f t="shared" si="4"/>
        <v>1570260.995988179</v>
      </c>
      <c r="P58" s="4">
        <f t="shared" si="5"/>
        <v>10082178.991783524</v>
      </c>
      <c r="Q58" s="4">
        <f t="shared" si="6"/>
        <v>2.9551575858891926E-3</v>
      </c>
      <c r="R58" s="4">
        <f t="shared" si="7"/>
        <v>2.104123706185352E-2</v>
      </c>
      <c r="S58" s="27">
        <v>0</v>
      </c>
      <c r="T58" s="4">
        <f t="shared" ca="1" si="8"/>
        <v>0.4764446445386194</v>
      </c>
      <c r="U58" s="4">
        <f t="shared" ca="1" si="9"/>
        <v>3.5377781662844478E-2</v>
      </c>
      <c r="V58" s="4">
        <f t="shared" ca="1" si="10"/>
        <v>13.467340860408031</v>
      </c>
      <c r="W58" s="20">
        <f t="shared" ca="1" si="11"/>
        <v>975.03239962129567</v>
      </c>
      <c r="X58" s="4">
        <f t="shared" si="12"/>
        <v>0.57719935785726573</v>
      </c>
      <c r="Y58" s="4">
        <f t="shared" ca="1" si="13"/>
        <v>206.21259752142115</v>
      </c>
      <c r="Z58" s="14">
        <f t="shared" ca="1" si="14"/>
        <v>975.03239962129567</v>
      </c>
      <c r="AA58" s="14">
        <f t="shared" si="15"/>
        <v>3136.1037756224764</v>
      </c>
      <c r="AB58" s="25">
        <f t="shared" ca="1" si="16"/>
        <v>422121.68452483369</v>
      </c>
      <c r="AC58" s="4">
        <f t="shared" si="17"/>
        <v>1357716.327298071</v>
      </c>
      <c r="AD58" s="5">
        <f t="shared" ca="1" si="18"/>
        <v>31.090565535503185</v>
      </c>
      <c r="AE58" s="7">
        <f t="shared" ca="1" si="19"/>
        <v>975.03239962129578</v>
      </c>
      <c r="AF58" s="41">
        <f t="shared" ca="1" si="42"/>
        <v>2161.0713760011809</v>
      </c>
      <c r="AG58" s="4">
        <f t="shared" ca="1" si="20"/>
        <v>71.25032125151796</v>
      </c>
      <c r="AH58" s="4">
        <f t="shared" ca="1" si="21"/>
        <v>768.00791278910322</v>
      </c>
      <c r="AI58" s="13">
        <f t="shared" ca="1" si="22"/>
        <v>3.7482444123261145E-15</v>
      </c>
      <c r="AJ58" s="10">
        <f t="shared" ca="1" si="23"/>
        <v>4.9605738474933461E-16</v>
      </c>
      <c r="AK58" s="11">
        <f t="shared" ca="1" si="24"/>
        <v>0.32556460114372054</v>
      </c>
      <c r="AL58" s="7">
        <v>0</v>
      </c>
      <c r="AM58" s="4">
        <f t="shared" si="25"/>
        <v>12631.349971594806</v>
      </c>
      <c r="AN58" s="4">
        <f t="shared" ca="1" si="26"/>
        <v>2694.7157576092291</v>
      </c>
      <c r="AO58" s="6">
        <v>900</v>
      </c>
      <c r="AP58" s="4">
        <f t="shared" si="27"/>
        <v>0.78767424865819713</v>
      </c>
      <c r="AQ58" s="11">
        <f t="shared" si="28"/>
        <v>0.92829992071837586</v>
      </c>
      <c r="AR58" s="11">
        <f t="shared" si="29"/>
        <v>0.49937958210548988</v>
      </c>
      <c r="AS58" s="11">
        <f t="shared" si="30"/>
        <v>0.53795068916847377</v>
      </c>
      <c r="AT58" s="11">
        <f t="shared" si="31"/>
        <v>481.48131987899995</v>
      </c>
      <c r="AU58" s="11">
        <f t="shared" si="32"/>
        <v>1056.7970592432796</v>
      </c>
      <c r="AV58" s="11">
        <f t="shared" si="33"/>
        <v>1.2786549930845453E-3</v>
      </c>
      <c r="AW58" s="11">
        <f t="shared" si="34"/>
        <v>3.5253330369939681E-7</v>
      </c>
      <c r="AX58" s="4">
        <f t="shared" ca="1" si="35"/>
        <v>19.510824726582527</v>
      </c>
      <c r="AY58" s="4">
        <f t="shared" ca="1" si="36"/>
        <v>9.2958279515119173</v>
      </c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</row>
    <row r="59" spans="1:64">
      <c r="A59" s="41">
        <f t="shared" si="37"/>
        <v>12313.646517296809</v>
      </c>
      <c r="B59" s="41">
        <f t="shared" ref="B59:C59" si="76">(A59/60)</f>
        <v>205.22744195494681</v>
      </c>
      <c r="C59" s="41">
        <f t="shared" si="76"/>
        <v>3.4204573659157802</v>
      </c>
      <c r="D59" s="23">
        <f t="shared" ca="1" si="44"/>
        <v>13131.093675641567</v>
      </c>
      <c r="E59" s="41">
        <f t="shared" si="39"/>
        <v>900</v>
      </c>
      <c r="F59" s="41">
        <f t="shared" si="40"/>
        <v>900</v>
      </c>
      <c r="G59" s="4"/>
      <c r="H59" s="6">
        <v>18000</v>
      </c>
      <c r="I59" s="5">
        <v>15</v>
      </c>
      <c r="J59" s="4">
        <f t="shared" si="0"/>
        <v>0.41285597542628522</v>
      </c>
      <c r="K59" s="4">
        <f t="shared" si="1"/>
        <v>444.10094892108907</v>
      </c>
      <c r="L59" s="6">
        <f t="shared" si="41"/>
        <v>195</v>
      </c>
      <c r="M59" s="4">
        <f t="shared" si="2"/>
        <v>263.12270662056255</v>
      </c>
      <c r="N59" s="4">
        <f t="shared" si="3"/>
        <v>126.09178287938906</v>
      </c>
      <c r="O59" s="4">
        <f t="shared" si="4"/>
        <v>1610775.1801394043</v>
      </c>
      <c r="P59" s="4">
        <f t="shared" si="5"/>
        <v>10342308.522710118</v>
      </c>
      <c r="Q59" s="4">
        <f t="shared" si="6"/>
        <v>2.9408709739718953E-3</v>
      </c>
      <c r="R59" s="4">
        <f t="shared" si="7"/>
        <v>2.0954017296098422E-2</v>
      </c>
      <c r="S59" s="27">
        <v>0</v>
      </c>
      <c r="T59" s="4">
        <f t="shared" ca="1" si="8"/>
        <v>0.45277900216411648</v>
      </c>
      <c r="U59" s="4">
        <f t="shared" ca="1" si="9"/>
        <v>3.3901702948676601E-2</v>
      </c>
      <c r="V59" s="4">
        <f t="shared" ca="1" si="10"/>
        <v>13.355641834558382</v>
      </c>
      <c r="W59" s="20">
        <f t="shared" ca="1" si="11"/>
        <v>983.18701851259698</v>
      </c>
      <c r="X59" s="4">
        <f t="shared" si="12"/>
        <v>0.57600181724982946</v>
      </c>
      <c r="Y59" s="4">
        <f t="shared" ca="1" si="13"/>
        <v>206.21259752142115</v>
      </c>
      <c r="Z59" s="14">
        <f t="shared" ca="1" si="14"/>
        <v>983.18701851259698</v>
      </c>
      <c r="AA59" s="14">
        <f t="shared" si="15"/>
        <v>3136.1037756224764</v>
      </c>
      <c r="AB59" s="25">
        <f t="shared" ca="1" si="16"/>
        <v>436634.28788834071</v>
      </c>
      <c r="AC59" s="4">
        <f t="shared" si="17"/>
        <v>1392746.662668952</v>
      </c>
      <c r="AD59" s="5">
        <f t="shared" ca="1" si="18"/>
        <v>31.350589421022807</v>
      </c>
      <c r="AE59" s="7">
        <f t="shared" ca="1" si="19"/>
        <v>983.18701851259686</v>
      </c>
      <c r="AF59" s="41">
        <f t="shared" ca="1" si="42"/>
        <v>2152.9167571098797</v>
      </c>
      <c r="AG59" s="4">
        <f t="shared" ca="1" si="20"/>
        <v>72.81285157185485</v>
      </c>
      <c r="AH59" s="4">
        <f t="shared" ca="1" si="21"/>
        <v>777.84293537557403</v>
      </c>
      <c r="AI59" s="13">
        <f t="shared" ca="1" si="22"/>
        <v>-3.8449525804285872E-15</v>
      </c>
      <c r="AJ59" s="10">
        <f t="shared" ca="1" si="23"/>
        <v>-4.9605738474933461E-16</v>
      </c>
      <c r="AK59" s="11">
        <f t="shared" ca="1" si="24"/>
        <v>0.33270428208241681</v>
      </c>
      <c r="AL59" s="7">
        <v>0</v>
      </c>
      <c r="AM59" s="4">
        <f t="shared" si="25"/>
        <v>12313.646517296809</v>
      </c>
      <c r="AN59" s="4">
        <f t="shared" ca="1" si="26"/>
        <v>2660.5785978309345</v>
      </c>
      <c r="AO59" s="6">
        <v>900</v>
      </c>
      <c r="AP59" s="4">
        <f t="shared" si="27"/>
        <v>0.79114443206575769</v>
      </c>
      <c r="AQ59" s="11">
        <f t="shared" si="28"/>
        <v>0.92829992071837586</v>
      </c>
      <c r="AR59" s="11">
        <f t="shared" si="29"/>
        <v>0.49937958210548988</v>
      </c>
      <c r="AS59" s="11">
        <f t="shared" si="30"/>
        <v>0.53795068916847377</v>
      </c>
      <c r="AT59" s="11">
        <f t="shared" si="31"/>
        <v>481.48131987899995</v>
      </c>
      <c r="AU59" s="11">
        <f t="shared" si="32"/>
        <v>1056.7970592432796</v>
      </c>
      <c r="AV59" s="11">
        <f t="shared" si="33"/>
        <v>1.2786549930845453E-3</v>
      </c>
      <c r="AW59" s="11">
        <f t="shared" si="34"/>
        <v>3.5253330369939681E-7</v>
      </c>
      <c r="AX59" s="4">
        <f t="shared" ca="1" si="35"/>
        <v>19.848222730608299</v>
      </c>
      <c r="AY59" s="4">
        <f t="shared" ca="1" si="36"/>
        <v>8.9868584826959612</v>
      </c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</row>
    <row r="60" spans="1:64">
      <c r="A60" s="41">
        <f t="shared" si="37"/>
        <v>12011.958374335811</v>
      </c>
      <c r="B60" s="41">
        <f t="shared" ref="B60:C60" si="77">(A60/60)</f>
        <v>200.19930623893018</v>
      </c>
      <c r="C60" s="41">
        <f t="shared" si="77"/>
        <v>3.3366551039821695</v>
      </c>
      <c r="D60" s="23">
        <f t="shared" ca="1" si="44"/>
        <v>13131.093675641567</v>
      </c>
      <c r="E60" s="41">
        <f t="shared" si="39"/>
        <v>900</v>
      </c>
      <c r="F60" s="41">
        <f t="shared" si="40"/>
        <v>900</v>
      </c>
      <c r="G60" s="4"/>
      <c r="H60" s="6">
        <v>18000</v>
      </c>
      <c r="I60" s="5">
        <v>15</v>
      </c>
      <c r="J60" s="4">
        <f t="shared" si="0"/>
        <v>0.42322512162669368</v>
      </c>
      <c r="K60" s="4">
        <f t="shared" si="1"/>
        <v>455.25483294165616</v>
      </c>
      <c r="L60" s="6">
        <f t="shared" si="41"/>
        <v>200</v>
      </c>
      <c r="M60" s="4">
        <f t="shared" si="2"/>
        <v>269.73120444060419</v>
      </c>
      <c r="N60" s="4">
        <f t="shared" si="3"/>
        <v>132.505075242511</v>
      </c>
      <c r="O60" s="4">
        <f t="shared" si="4"/>
        <v>1651230.8458751584</v>
      </c>
      <c r="P60" s="4">
        <f t="shared" si="5"/>
        <v>10602062.324289426</v>
      </c>
      <c r="Q60" s="4">
        <f t="shared" si="6"/>
        <v>2.9269326361698873E-3</v>
      </c>
      <c r="R60" s="4">
        <f t="shared" si="7"/>
        <v>2.0868923743817162E-2</v>
      </c>
      <c r="S60" s="27">
        <v>0</v>
      </c>
      <c r="T60" s="4">
        <f t="shared" ca="1" si="8"/>
        <v>0.43086433880917285</v>
      </c>
      <c r="U60" s="4">
        <f t="shared" ca="1" si="9"/>
        <v>3.2593595466930379E-2</v>
      </c>
      <c r="V60" s="4">
        <f t="shared" ca="1" si="10"/>
        <v>13.219294546572192</v>
      </c>
      <c r="W60" s="20">
        <f t="shared" ca="1" si="11"/>
        <v>993.32786854700237</v>
      </c>
      <c r="X60" s="4">
        <f t="shared" si="12"/>
        <v>0.57483106554046293</v>
      </c>
      <c r="Y60" s="4">
        <f t="shared" ca="1" si="13"/>
        <v>206.21259752142115</v>
      </c>
      <c r="Z60" s="14">
        <f t="shared" ca="1" si="14"/>
        <v>993.32786854700237</v>
      </c>
      <c r="AA60" s="14">
        <f t="shared" si="15"/>
        <v>3136.1037756224764</v>
      </c>
      <c r="AB60" s="25">
        <f t="shared" ca="1" si="16"/>
        <v>452217.31285165693</v>
      </c>
      <c r="AC60" s="4">
        <f t="shared" si="17"/>
        <v>1427726.4004587077</v>
      </c>
      <c r="AD60" s="5">
        <f t="shared" ca="1" si="18"/>
        <v>31.67394766296723</v>
      </c>
      <c r="AE60" s="7">
        <f t="shared" ca="1" si="19"/>
        <v>993.32786854700237</v>
      </c>
      <c r="AF60" s="41">
        <f t="shared" ca="1" si="42"/>
        <v>2142.7759070754742</v>
      </c>
      <c r="AG60" s="4">
        <f t="shared" ca="1" si="20"/>
        <v>74.290010543191769</v>
      </c>
      <c r="AH60" s="4">
        <f t="shared" ca="1" si="21"/>
        <v>789.35790457356359</v>
      </c>
      <c r="AI60" s="13">
        <f t="shared" ca="1" si="22"/>
        <v>0</v>
      </c>
      <c r="AJ60" s="10">
        <f t="shared" ca="1" si="23"/>
        <v>0</v>
      </c>
      <c r="AK60" s="11">
        <f t="shared" ca="1" si="24"/>
        <v>0.33945387510714897</v>
      </c>
      <c r="AL60" s="7">
        <v>0</v>
      </c>
      <c r="AM60" s="4">
        <f t="shared" si="25"/>
        <v>12011.958374335811</v>
      </c>
      <c r="AN60" s="4">
        <f t="shared" ca="1" si="26"/>
        <v>2633.8150811640512</v>
      </c>
      <c r="AO60" s="6">
        <v>900</v>
      </c>
      <c r="AP60" s="4">
        <f t="shared" si="27"/>
        <v>0.79465998042338493</v>
      </c>
      <c r="AQ60" s="11">
        <f t="shared" si="28"/>
        <v>0.92829992071837586</v>
      </c>
      <c r="AR60" s="11">
        <f t="shared" si="29"/>
        <v>0.49937958210548988</v>
      </c>
      <c r="AS60" s="11">
        <f t="shared" si="30"/>
        <v>0.53795068916847377</v>
      </c>
      <c r="AT60" s="11">
        <f t="shared" si="31"/>
        <v>481.48131987899995</v>
      </c>
      <c r="AU60" s="11">
        <f t="shared" si="32"/>
        <v>1056.7970592432796</v>
      </c>
      <c r="AV60" s="11">
        <f t="shared" si="33"/>
        <v>1.2786549930845453E-3</v>
      </c>
      <c r="AW60" s="11">
        <f t="shared" si="34"/>
        <v>3.5253330369939681E-7</v>
      </c>
      <c r="AX60" s="4">
        <f t="shared" ca="1" si="35"/>
        <v>20.139004744151588</v>
      </c>
      <c r="AY60" s="4">
        <f t="shared" ca="1" si="36"/>
        <v>8.6771789633636693</v>
      </c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</row>
    <row r="61" spans="1:64">
      <c r="A61" s="41">
        <f t="shared" si="37"/>
        <v>11725.111924811627</v>
      </c>
      <c r="B61" s="41">
        <f t="shared" ref="B61:C61" si="78">(A61/60)</f>
        <v>195.41853208019378</v>
      </c>
      <c r="C61" s="41">
        <f t="shared" si="78"/>
        <v>3.2569755346698965</v>
      </c>
      <c r="D61" s="23">
        <f t="shared" ca="1" si="44"/>
        <v>13131.093675641567</v>
      </c>
      <c r="E61" s="41">
        <f t="shared" si="39"/>
        <v>900</v>
      </c>
      <c r="F61" s="41">
        <f t="shared" si="40"/>
        <v>900</v>
      </c>
      <c r="G61" s="4"/>
      <c r="H61" s="6">
        <v>18000</v>
      </c>
      <c r="I61" s="5">
        <v>15</v>
      </c>
      <c r="J61" s="4">
        <f t="shared" si="0"/>
        <v>0.43357902052902825</v>
      </c>
      <c r="K61" s="4">
        <f t="shared" si="1"/>
        <v>466.39231574740234</v>
      </c>
      <c r="L61" s="6">
        <f t="shared" si="41"/>
        <v>205</v>
      </c>
      <c r="M61" s="4">
        <f t="shared" si="2"/>
        <v>276.32998480328393</v>
      </c>
      <c r="N61" s="4">
        <f t="shared" si="3"/>
        <v>139.06766284308614</v>
      </c>
      <c r="O61" s="4">
        <f t="shared" si="4"/>
        <v>1691627.0236277827</v>
      </c>
      <c r="P61" s="4">
        <f t="shared" si="5"/>
        <v>10861434.171215774</v>
      </c>
      <c r="Q61" s="4">
        <f t="shared" si="6"/>
        <v>2.9133221309041207E-3</v>
      </c>
      <c r="R61" s="4">
        <f t="shared" si="7"/>
        <v>2.0785831609169657E-2</v>
      </c>
      <c r="S61" s="27">
        <v>0</v>
      </c>
      <c r="T61" s="4">
        <f t="shared" ca="1" si="8"/>
        <v>0.41053189840144466</v>
      </c>
      <c r="U61" s="4">
        <f t="shared" ca="1" si="9"/>
        <v>3.1430040916415457E-2</v>
      </c>
      <c r="V61" s="4">
        <f t="shared" ca="1" si="10"/>
        <v>13.061767863847411</v>
      </c>
      <c r="W61" s="20">
        <f t="shared" ca="1" si="11"/>
        <v>1005.3075366609473</v>
      </c>
      <c r="X61" s="4">
        <f t="shared" si="12"/>
        <v>0.57368554456766152</v>
      </c>
      <c r="Y61" s="4">
        <f t="shared" ca="1" si="13"/>
        <v>206.21259752142115</v>
      </c>
      <c r="Z61" s="14">
        <f t="shared" ca="1" si="14"/>
        <v>1005.3075366609473</v>
      </c>
      <c r="AA61" s="14">
        <f t="shared" si="15"/>
        <v>3136.1037756224764</v>
      </c>
      <c r="AB61" s="25">
        <f t="shared" ca="1" si="16"/>
        <v>468867.7100616158</v>
      </c>
      <c r="AC61" s="4">
        <f t="shared" si="17"/>
        <v>1462654.7023367386</v>
      </c>
      <c r="AD61" s="5">
        <f t="shared" ca="1" si="18"/>
        <v>32.0559397452148</v>
      </c>
      <c r="AE61" s="7">
        <f t="shared" ca="1" si="19"/>
        <v>1005.3075366609474</v>
      </c>
      <c r="AF61" s="41">
        <f t="shared" ca="1" si="42"/>
        <v>2130.7962389615291</v>
      </c>
      <c r="AG61" s="4">
        <f t="shared" ca="1" si="20"/>
        <v>75.681966546215179</v>
      </c>
      <c r="AH61" s="4">
        <f t="shared" ca="1" si="21"/>
        <v>802.46948905547094</v>
      </c>
      <c r="AI61" s="13">
        <f t="shared" ca="1" si="22"/>
        <v>4.0379475483707582E-15</v>
      </c>
      <c r="AJ61" s="10">
        <f t="shared" ca="1" si="23"/>
        <v>4.9605738474933461E-16</v>
      </c>
      <c r="AK61" s="11">
        <f t="shared" ca="1" si="24"/>
        <v>0.34581414960098877</v>
      </c>
      <c r="AL61" s="7">
        <v>0</v>
      </c>
      <c r="AM61" s="4">
        <f t="shared" si="25"/>
        <v>11725.111924811627</v>
      </c>
      <c r="AN61" s="4">
        <f t="shared" ca="1" si="26"/>
        <v>2613.6234931727208</v>
      </c>
      <c r="AO61" s="6">
        <v>900</v>
      </c>
      <c r="AP61" s="4">
        <f t="shared" si="27"/>
        <v>0.79823283899851416</v>
      </c>
      <c r="AQ61" s="11">
        <f t="shared" si="28"/>
        <v>0.92829992071837586</v>
      </c>
      <c r="AR61" s="11">
        <f t="shared" si="29"/>
        <v>0.49937958210548988</v>
      </c>
      <c r="AS61" s="11">
        <f t="shared" si="30"/>
        <v>0.53795068916847377</v>
      </c>
      <c r="AT61" s="11">
        <f t="shared" si="31"/>
        <v>481.48131987899995</v>
      </c>
      <c r="AU61" s="11">
        <f t="shared" si="32"/>
        <v>1056.7970592432796</v>
      </c>
      <c r="AV61" s="11">
        <f t="shared" si="33"/>
        <v>1.2786549930845453E-3</v>
      </c>
      <c r="AW61" s="11">
        <f t="shared" si="34"/>
        <v>3.5253330369939681E-7</v>
      </c>
      <c r="AX61" s="4">
        <f t="shared" ca="1" si="35"/>
        <v>20.385835121836767</v>
      </c>
      <c r="AY61" s="4">
        <f t="shared" ca="1" si="36"/>
        <v>8.3690355930664939</v>
      </c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</row>
    <row r="62" spans="1:64">
      <c r="A62" s="41">
        <f t="shared" si="37"/>
        <v>11452.045303382463</v>
      </c>
      <c r="B62" s="41">
        <f t="shared" ref="B62:C62" si="79">(A62/60)</f>
        <v>190.86742172304105</v>
      </c>
      <c r="C62" s="41">
        <f t="shared" si="79"/>
        <v>3.1811236953840174</v>
      </c>
      <c r="D62" s="23">
        <f t="shared" ca="1" si="44"/>
        <v>13131.093675641567</v>
      </c>
      <c r="E62" s="41">
        <f t="shared" si="39"/>
        <v>900</v>
      </c>
      <c r="F62" s="41">
        <f t="shared" si="40"/>
        <v>900</v>
      </c>
      <c r="G62" s="4"/>
      <c r="H62" s="6">
        <v>18000</v>
      </c>
      <c r="I62" s="5">
        <v>15</v>
      </c>
      <c r="J62" s="4">
        <f t="shared" si="0"/>
        <v>0.44391743215087703</v>
      </c>
      <c r="K62" s="4">
        <f t="shared" si="1"/>
        <v>477.5131391940273</v>
      </c>
      <c r="L62" s="6">
        <f t="shared" si="41"/>
        <v>210</v>
      </c>
      <c r="M62" s="4">
        <f t="shared" si="2"/>
        <v>282.91889476223406</v>
      </c>
      <c r="N62" s="4">
        <f t="shared" si="3"/>
        <v>145.77868735572702</v>
      </c>
      <c r="O62" s="4">
        <f t="shared" si="4"/>
        <v>1731962.7770956701</v>
      </c>
      <c r="P62" s="4">
        <f t="shared" si="5"/>
        <v>11120418.051774923</v>
      </c>
      <c r="Q62" s="4">
        <f t="shared" si="6"/>
        <v>2.9000206511337039E-3</v>
      </c>
      <c r="R62" s="4">
        <f t="shared" si="7"/>
        <v>2.0704626075171262E-2</v>
      </c>
      <c r="S62" s="27">
        <v>0</v>
      </c>
      <c r="T62" s="4">
        <f t="shared" ca="1" si="8"/>
        <v>0.39163277341021629</v>
      </c>
      <c r="U62" s="4">
        <f t="shared" ca="1" si="9"/>
        <v>3.0391366166998387E-2</v>
      </c>
      <c r="V62" s="4">
        <f t="shared" ca="1" si="10"/>
        <v>12.886316832820945</v>
      </c>
      <c r="W62" s="20">
        <f t="shared" ca="1" si="11"/>
        <v>1018.9950973576239</v>
      </c>
      <c r="X62" s="4">
        <f t="shared" si="12"/>
        <v>0.57256381820049695</v>
      </c>
      <c r="Y62" s="4">
        <f t="shared" ca="1" si="13"/>
        <v>206.21259752142115</v>
      </c>
      <c r="Z62" s="14">
        <f t="shared" ca="1" si="14"/>
        <v>1018.9950973576239</v>
      </c>
      <c r="AA62" s="14">
        <f t="shared" si="15"/>
        <v>3136.1037756224764</v>
      </c>
      <c r="AB62" s="25">
        <f t="shared" ca="1" si="16"/>
        <v>486583.54776256246</v>
      </c>
      <c r="AC62" s="4">
        <f t="shared" si="17"/>
        <v>1497530.7587357301</v>
      </c>
      <c r="AD62" s="5">
        <f t="shared" ca="1" si="18"/>
        <v>32.492390885737393</v>
      </c>
      <c r="AE62" s="7">
        <f t="shared" ca="1" si="19"/>
        <v>1018.9950973576238</v>
      </c>
      <c r="AF62" s="41">
        <f t="shared" ca="1" si="42"/>
        <v>2117.1086782648526</v>
      </c>
      <c r="AG62" s="4">
        <f t="shared" ca="1" si="20"/>
        <v>76.988805041311537</v>
      </c>
      <c r="AH62" s="4">
        <f t="shared" ca="1" si="21"/>
        <v>817.10475653526669</v>
      </c>
      <c r="AI62" s="13">
        <f t="shared" ca="1" si="22"/>
        <v>-4.1342297988623894E-15</v>
      </c>
      <c r="AJ62" s="10">
        <f t="shared" ca="1" si="23"/>
        <v>-4.9605738474933461E-16</v>
      </c>
      <c r="AK62" s="11">
        <f t="shared" ca="1" si="24"/>
        <v>0.35178549605868975</v>
      </c>
      <c r="AL62" s="7">
        <v>0</v>
      </c>
      <c r="AM62" s="4">
        <f t="shared" si="25"/>
        <v>11452.045303382463</v>
      </c>
      <c r="AN62" s="4">
        <f t="shared" ca="1" si="26"/>
        <v>2599.3113026253254</v>
      </c>
      <c r="AO62" s="6">
        <v>900</v>
      </c>
      <c r="AP62" s="4">
        <f t="shared" si="27"/>
        <v>0.80187309895221004</v>
      </c>
      <c r="AQ62" s="11">
        <f t="shared" si="28"/>
        <v>0.92829992071837586</v>
      </c>
      <c r="AR62" s="11">
        <f t="shared" si="29"/>
        <v>0.49937958210548988</v>
      </c>
      <c r="AS62" s="11">
        <f t="shared" si="30"/>
        <v>0.53795068916847377</v>
      </c>
      <c r="AT62" s="11">
        <f t="shared" si="31"/>
        <v>481.48131987899995</v>
      </c>
      <c r="AU62" s="11">
        <f t="shared" si="32"/>
        <v>1056.7970592432796</v>
      </c>
      <c r="AV62" s="11">
        <f t="shared" si="33"/>
        <v>1.2786549930845453E-3</v>
      </c>
      <c r="AW62" s="11">
        <f t="shared" si="34"/>
        <v>3.5253330369939681E-7</v>
      </c>
      <c r="AX62" s="4">
        <f t="shared" ca="1" si="35"/>
        <v>20.591561957701668</v>
      </c>
      <c r="AY62" s="4">
        <f t="shared" ca="1" si="36"/>
        <v>8.0643305183430076</v>
      </c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</row>
    <row r="63" spans="1:64">
      <c r="A63" s="41">
        <f t="shared" si="37"/>
        <v>11191.795404070142</v>
      </c>
      <c r="B63" s="41">
        <f t="shared" ref="B63:C63" si="80">(A63/60)</f>
        <v>186.52992340116904</v>
      </c>
      <c r="C63" s="41">
        <f t="shared" si="80"/>
        <v>3.1088320566861509</v>
      </c>
      <c r="D63" s="23">
        <f t="shared" ca="1" si="44"/>
        <v>13131.093675641567</v>
      </c>
      <c r="E63" s="41">
        <f t="shared" si="39"/>
        <v>900</v>
      </c>
      <c r="F63" s="41">
        <f t="shared" si="40"/>
        <v>900</v>
      </c>
      <c r="G63" s="4"/>
      <c r="H63" s="6">
        <v>18000</v>
      </c>
      <c r="I63" s="5">
        <v>15</v>
      </c>
      <c r="J63" s="4">
        <f t="shared" si="0"/>
        <v>0.45424012505663147</v>
      </c>
      <c r="K63" s="4">
        <f t="shared" si="1"/>
        <v>488.61705433085706</v>
      </c>
      <c r="L63" s="6">
        <f t="shared" si="41"/>
        <v>215</v>
      </c>
      <c r="M63" s="4">
        <f t="shared" si="2"/>
        <v>289.49778681816349</v>
      </c>
      <c r="N63" s="4">
        <f t="shared" si="3"/>
        <v>152.63728256973701</v>
      </c>
      <c r="O63" s="4">
        <f t="shared" si="4"/>
        <v>1772237.2033229321</v>
      </c>
      <c r="P63" s="4">
        <f t="shared" si="5"/>
        <v>11379008.168355577</v>
      </c>
      <c r="Q63" s="4">
        <f t="shared" si="6"/>
        <v>2.8870108612291247E-3</v>
      </c>
      <c r="R63" s="4">
        <f t="shared" si="7"/>
        <v>2.0625201307803806E-2</v>
      </c>
      <c r="S63" s="27">
        <v>0</v>
      </c>
      <c r="T63" s="4">
        <f t="shared" ca="1" si="8"/>
        <v>0.37403516802744513</v>
      </c>
      <c r="U63" s="4">
        <f t="shared" ca="1" si="9"/>
        <v>2.9460972615933733E-2</v>
      </c>
      <c r="V63" s="4">
        <f t="shared" ca="1" si="10"/>
        <v>12.695954505763709</v>
      </c>
      <c r="W63" s="20">
        <f t="shared" ca="1" si="11"/>
        <v>1034.273844450239</v>
      </c>
      <c r="X63" s="4">
        <f t="shared" si="12"/>
        <v>0.57146456038264648</v>
      </c>
      <c r="Y63" s="4">
        <f t="shared" ca="1" si="13"/>
        <v>206.21259752142115</v>
      </c>
      <c r="Z63" s="14">
        <f t="shared" ca="1" si="14"/>
        <v>1034.273844450239</v>
      </c>
      <c r="AA63" s="14">
        <f t="shared" si="15"/>
        <v>3136.1037756224764</v>
      </c>
      <c r="AB63" s="25">
        <f t="shared" ca="1" si="16"/>
        <v>505363.83924672683</v>
      </c>
      <c r="AC63" s="4">
        <f t="shared" si="17"/>
        <v>1532353.7889205336</v>
      </c>
      <c r="AD63" s="5">
        <f t="shared" ca="1" si="18"/>
        <v>32.979579709378363</v>
      </c>
      <c r="AE63" s="7">
        <f t="shared" ca="1" si="19"/>
        <v>1034.273844450239</v>
      </c>
      <c r="AF63" s="41">
        <f t="shared" ca="1" si="42"/>
        <v>2101.8299311722376</v>
      </c>
      <c r="AG63" s="4">
        <f t="shared" ca="1" si="20"/>
        <v>78.210541714350342</v>
      </c>
      <c r="AH63" s="4">
        <f t="shared" ca="1" si="21"/>
        <v>833.19910915107255</v>
      </c>
      <c r="AI63" s="13">
        <f t="shared" ca="1" si="22"/>
        <v>0</v>
      </c>
      <c r="AJ63" s="10">
        <f t="shared" ca="1" si="23"/>
        <v>0</v>
      </c>
      <c r="AK63" s="11">
        <f t="shared" ca="1" si="24"/>
        <v>0.35736798615380716</v>
      </c>
      <c r="AL63" s="7">
        <v>0</v>
      </c>
      <c r="AM63" s="4">
        <f t="shared" si="25"/>
        <v>11191.795404070142</v>
      </c>
      <c r="AN63" s="4">
        <f t="shared" ca="1" si="26"/>
        <v>2590.2761001311974</v>
      </c>
      <c r="AO63" s="6">
        <v>900</v>
      </c>
      <c r="AP63" s="4">
        <f t="shared" si="27"/>
        <v>0.80558849440300184</v>
      </c>
      <c r="AQ63" s="11">
        <f t="shared" si="28"/>
        <v>0.92829992071837586</v>
      </c>
      <c r="AR63" s="11">
        <f t="shared" si="29"/>
        <v>0.49937958210548988</v>
      </c>
      <c r="AS63" s="11">
        <f t="shared" si="30"/>
        <v>0.53795068916847377</v>
      </c>
      <c r="AT63" s="11">
        <f t="shared" si="31"/>
        <v>481.48131987899995</v>
      </c>
      <c r="AU63" s="11">
        <f t="shared" si="32"/>
        <v>1056.7970592432796</v>
      </c>
      <c r="AV63" s="11">
        <f t="shared" si="33"/>
        <v>1.2786549930845453E-3</v>
      </c>
      <c r="AW63" s="11">
        <f t="shared" si="34"/>
        <v>3.5253330369939681E-7</v>
      </c>
      <c r="AX63" s="4">
        <f t="shared" ca="1" si="35"/>
        <v>20.75912951995247</v>
      </c>
      <c r="AY63" s="4">
        <f t="shared" ca="1" si="36"/>
        <v>7.7646444980989191</v>
      </c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</row>
    <row r="64" spans="1:64">
      <c r="A64" s="41">
        <f t="shared" si="37"/>
        <v>10943.486658856395</v>
      </c>
      <c r="B64" s="41">
        <f t="shared" ref="B64:C64" si="81">(A64/60)</f>
        <v>182.39144431427323</v>
      </c>
      <c r="C64" s="41">
        <f t="shared" si="81"/>
        <v>3.0398574052378873</v>
      </c>
      <c r="D64" s="23">
        <f t="shared" ca="1" si="44"/>
        <v>13131.093675641567</v>
      </c>
      <c r="E64" s="41">
        <f t="shared" si="39"/>
        <v>900</v>
      </c>
      <c r="F64" s="41">
        <f t="shared" si="40"/>
        <v>900</v>
      </c>
      <c r="G64" s="4"/>
      <c r="H64" s="6">
        <v>18000</v>
      </c>
      <c r="I64" s="5">
        <v>15</v>
      </c>
      <c r="J64" s="4">
        <f t="shared" si="0"/>
        <v>0.4645468763685881</v>
      </c>
      <c r="K64" s="4">
        <f t="shared" si="1"/>
        <v>499.70382141278554</v>
      </c>
      <c r="L64" s="6">
        <f t="shared" si="41"/>
        <v>220</v>
      </c>
      <c r="M64" s="4">
        <f t="shared" si="2"/>
        <v>296.06651892593283</v>
      </c>
      <c r="N64" s="4">
        <f t="shared" si="3"/>
        <v>159.64257510380526</v>
      </c>
      <c r="O64" s="4">
        <f t="shared" si="4"/>
        <v>1812449.4327427128</v>
      </c>
      <c r="P64" s="4">
        <f t="shared" si="5"/>
        <v>11637198.937727489</v>
      </c>
      <c r="Q64" s="4">
        <f t="shared" si="6"/>
        <v>2.8742767534466686E-3</v>
      </c>
      <c r="R64" s="4">
        <f t="shared" si="7"/>
        <v>2.0547459579791909E-2</v>
      </c>
      <c r="S64" s="27">
        <v>0</v>
      </c>
      <c r="T64" s="4">
        <f t="shared" ca="1" si="8"/>
        <v>0.35762209170142206</v>
      </c>
      <c r="U64" s="4">
        <f t="shared" ca="1" si="9"/>
        <v>2.8624797809507909E-2</v>
      </c>
      <c r="V64" s="4">
        <f t="shared" ca="1" si="10"/>
        <v>12.493436428139088</v>
      </c>
      <c r="W64" s="20">
        <f t="shared" ca="1" si="11"/>
        <v>1051.0393798511896</v>
      </c>
      <c r="X64" s="4">
        <f t="shared" si="12"/>
        <v>0.57038654459205962</v>
      </c>
      <c r="Y64" s="4">
        <f t="shared" ca="1" si="13"/>
        <v>206.21259752142115</v>
      </c>
      <c r="Z64" s="14">
        <f t="shared" ca="1" si="14"/>
        <v>1051.0393798511896</v>
      </c>
      <c r="AA64" s="14">
        <f t="shared" si="15"/>
        <v>3136.1037756224764</v>
      </c>
      <c r="AB64" s="25">
        <f t="shared" ca="1" si="16"/>
        <v>525208.39456696366</v>
      </c>
      <c r="AC64" s="4">
        <f t="shared" si="17"/>
        <v>1567123.0410256165</v>
      </c>
      <c r="AD64" s="5">
        <f t="shared" ca="1" si="18"/>
        <v>33.514177305646456</v>
      </c>
      <c r="AE64" s="7">
        <f t="shared" ca="1" si="19"/>
        <v>1051.0393798511896</v>
      </c>
      <c r="AF64" s="41">
        <f t="shared" ca="1" si="42"/>
        <v>2085.0643957712869</v>
      </c>
      <c r="AG64" s="4">
        <f t="shared" ca="1" si="20"/>
        <v>79.347133772369972</v>
      </c>
      <c r="AH64" s="4">
        <f t="shared" ca="1" si="21"/>
        <v>850.69432932229802</v>
      </c>
      <c r="AI64" s="13">
        <f t="shared" ca="1" si="22"/>
        <v>0</v>
      </c>
      <c r="AJ64" s="10">
        <f t="shared" ca="1" si="23"/>
        <v>0</v>
      </c>
      <c r="AK64" s="11">
        <f t="shared" ca="1" si="24"/>
        <v>0.36256142435215633</v>
      </c>
      <c r="AL64" s="7">
        <v>0</v>
      </c>
      <c r="AM64" s="4">
        <f t="shared" si="25"/>
        <v>10943.486658856395</v>
      </c>
      <c r="AN64" s="4">
        <f t="shared" ca="1" si="26"/>
        <v>2585.9894565842656</v>
      </c>
      <c r="AO64" s="6">
        <v>900</v>
      </c>
      <c r="AP64" s="4">
        <f t="shared" si="27"/>
        <v>0.80938387812142942</v>
      </c>
      <c r="AQ64" s="11">
        <f t="shared" si="28"/>
        <v>0.92829992071837586</v>
      </c>
      <c r="AR64" s="11">
        <f t="shared" si="29"/>
        <v>0.49937958210548988</v>
      </c>
      <c r="AS64" s="11">
        <f t="shared" si="30"/>
        <v>0.53795068916847377</v>
      </c>
      <c r="AT64" s="11">
        <f t="shared" si="31"/>
        <v>481.48131987899995</v>
      </c>
      <c r="AU64" s="11">
        <f t="shared" si="32"/>
        <v>1056.7970592432796</v>
      </c>
      <c r="AV64" s="11">
        <f t="shared" si="33"/>
        <v>1.2786549930845453E-3</v>
      </c>
      <c r="AW64" s="11">
        <f t="shared" si="34"/>
        <v>3.5253330369939681E-7</v>
      </c>
      <c r="AX64" s="4">
        <f t="shared" ca="1" si="35"/>
        <v>20.891505701769603</v>
      </c>
      <c r="AY64" s="4">
        <f t="shared" ca="1" si="36"/>
        <v>7.4712639678590307</v>
      </c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</row>
    <row r="65" spans="1:64">
      <c r="A65" s="41">
        <f t="shared" si="37"/>
        <v>10706.321312456654</v>
      </c>
      <c r="B65" s="41">
        <f t="shared" ref="B65:C65" si="82">(A65/60)</f>
        <v>178.43868854094424</v>
      </c>
      <c r="C65" s="41">
        <f t="shared" si="82"/>
        <v>2.9739781423490705</v>
      </c>
      <c r="D65" s="23">
        <f t="shared" ca="1" si="44"/>
        <v>13131.093675641567</v>
      </c>
      <c r="E65" s="41">
        <f t="shared" si="39"/>
        <v>900</v>
      </c>
      <c r="F65" s="41">
        <f t="shared" si="40"/>
        <v>900</v>
      </c>
      <c r="G65" s="4"/>
      <c r="H65" s="6">
        <v>18000</v>
      </c>
      <c r="I65" s="5">
        <v>15</v>
      </c>
      <c r="J65" s="4">
        <f t="shared" si="0"/>
        <v>0.4748374717689603</v>
      </c>
      <c r="K65" s="4">
        <f t="shared" si="1"/>
        <v>510.77320990243885</v>
      </c>
      <c r="L65" s="6">
        <f t="shared" si="41"/>
        <v>225</v>
      </c>
      <c r="M65" s="4">
        <f t="shared" si="2"/>
        <v>302.62495449583656</v>
      </c>
      <c r="N65" s="4">
        <f t="shared" si="3"/>
        <v>166.7936851131131</v>
      </c>
      <c r="O65" s="4">
        <f t="shared" si="4"/>
        <v>1852598.6291850344</v>
      </c>
      <c r="P65" s="4">
        <f t="shared" si="5"/>
        <v>11894984.991091838</v>
      </c>
      <c r="Q65" s="4">
        <f t="shared" si="6"/>
        <v>2.861803521258607E-3</v>
      </c>
      <c r="R65" s="4">
        <f t="shared" si="7"/>
        <v>2.0471310497283794E-2</v>
      </c>
      <c r="S65" s="27">
        <v>0</v>
      </c>
      <c r="T65" s="4">
        <f t="shared" ca="1" si="8"/>
        <v>0.34228940738677721</v>
      </c>
      <c r="U65" s="4">
        <f t="shared" ca="1" si="9"/>
        <v>2.7870880955833503E-2</v>
      </c>
      <c r="V65" s="4">
        <f t="shared" ca="1" si="10"/>
        <v>12.281255405209373</v>
      </c>
      <c r="W65" s="20">
        <f t="shared" ca="1" si="11"/>
        <v>1069.1979966536414</v>
      </c>
      <c r="X65" s="4">
        <f t="shared" si="12"/>
        <v>0.5693286345203592</v>
      </c>
      <c r="Y65" s="4">
        <f t="shared" ca="1" si="13"/>
        <v>206.21259752142115</v>
      </c>
      <c r="Z65" s="14">
        <f t="shared" ca="1" si="14"/>
        <v>1069.1979966536414</v>
      </c>
      <c r="AA65" s="14">
        <f t="shared" si="15"/>
        <v>3136.1037756224764</v>
      </c>
      <c r="AB65" s="25">
        <f t="shared" ca="1" si="16"/>
        <v>546117.69277203747</v>
      </c>
      <c r="AC65" s="4">
        <f t="shared" si="17"/>
        <v>1601837.7920618502</v>
      </c>
      <c r="AD65" s="5">
        <f t="shared" ca="1" si="18"/>
        <v>34.09319567052335</v>
      </c>
      <c r="AE65" s="7">
        <f t="shared" ca="1" si="19"/>
        <v>1069.1979966536414</v>
      </c>
      <c r="AF65" s="41">
        <f t="shared" ca="1" si="42"/>
        <v>2066.905778968835</v>
      </c>
      <c r="AG65" s="4">
        <f t="shared" ca="1" si="20"/>
        <v>80.398489674031794</v>
      </c>
      <c r="AH65" s="4">
        <f t="shared" ca="1" si="21"/>
        <v>869.53668677576866</v>
      </c>
      <c r="AI65" s="13">
        <f t="shared" ca="1" si="22"/>
        <v>0</v>
      </c>
      <c r="AJ65" s="10">
        <f t="shared" ca="1" si="23"/>
        <v>0</v>
      </c>
      <c r="AK65" s="11">
        <f t="shared" ca="1" si="24"/>
        <v>0.36736539237324561</v>
      </c>
      <c r="AL65" s="7">
        <v>0</v>
      </c>
      <c r="AM65" s="4">
        <f t="shared" si="25"/>
        <v>10706.321312456654</v>
      </c>
      <c r="AN65" s="4">
        <f t="shared" ca="1" si="26"/>
        <v>2585.9831004417661</v>
      </c>
      <c r="AO65" s="6">
        <v>900</v>
      </c>
      <c r="AP65" s="4">
        <f t="shared" si="27"/>
        <v>0.81326067715917028</v>
      </c>
      <c r="AQ65" s="11">
        <f t="shared" si="28"/>
        <v>0.92829992071837586</v>
      </c>
      <c r="AR65" s="11">
        <f t="shared" si="29"/>
        <v>0.49937958210548988</v>
      </c>
      <c r="AS65" s="11">
        <f t="shared" si="30"/>
        <v>0.53795068916847377</v>
      </c>
      <c r="AT65" s="11">
        <f t="shared" si="31"/>
        <v>481.48131987899995</v>
      </c>
      <c r="AU65" s="11">
        <f t="shared" si="32"/>
        <v>1056.7970592432796</v>
      </c>
      <c r="AV65" s="11">
        <f t="shared" si="33"/>
        <v>1.2786549930845453E-3</v>
      </c>
      <c r="AW65" s="11">
        <f t="shared" si="34"/>
        <v>3.5253330369939681E-7</v>
      </c>
      <c r="AX65" s="4">
        <f t="shared" ca="1" si="35"/>
        <v>20.991623744718158</v>
      </c>
      <c r="AY65" s="4">
        <f t="shared" ca="1" si="36"/>
        <v>7.18521045166578</v>
      </c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</row>
    <row r="66" spans="1:64">
      <c r="A66" s="41">
        <f t="shared" si="37"/>
        <v>10479.570965591101</v>
      </c>
      <c r="B66" s="41">
        <f t="shared" ref="B66:C66" si="83">(A66/60)</f>
        <v>174.65951609318503</v>
      </c>
      <c r="C66" s="41">
        <f t="shared" si="83"/>
        <v>2.9109919348864173</v>
      </c>
      <c r="D66" s="23">
        <f t="shared" ca="1" si="44"/>
        <v>13131.093675641567</v>
      </c>
      <c r="E66" s="41">
        <f t="shared" si="39"/>
        <v>900</v>
      </c>
      <c r="F66" s="41">
        <f t="shared" si="40"/>
        <v>900</v>
      </c>
      <c r="G66" s="4"/>
      <c r="H66" s="6">
        <v>18000</v>
      </c>
      <c r="I66" s="5">
        <v>15</v>
      </c>
      <c r="J66" s="4">
        <f t="shared" si="0"/>
        <v>0.48511170549302191</v>
      </c>
      <c r="K66" s="4">
        <f t="shared" si="1"/>
        <v>521.82499846279961</v>
      </c>
      <c r="L66" s="6">
        <f t="shared" si="41"/>
        <v>230</v>
      </c>
      <c r="M66" s="4">
        <f t="shared" si="2"/>
        <v>309.17296238923336</v>
      </c>
      <c r="N66" s="4">
        <f t="shared" si="3"/>
        <v>174.08972698793835</v>
      </c>
      <c r="O66" s="4">
        <f t="shared" si="4"/>
        <v>1892683.9898500503</v>
      </c>
      <c r="P66" s="4">
        <f t="shared" si="5"/>
        <v>12152361.173909495</v>
      </c>
      <c r="Q66" s="4">
        <f t="shared" si="6"/>
        <v>2.8495774472303108E-3</v>
      </c>
      <c r="R66" s="4">
        <f t="shared" si="7"/>
        <v>2.0396670315341047E-2</v>
      </c>
      <c r="S66" s="27">
        <v>0</v>
      </c>
      <c r="T66" s="4">
        <f t="shared" ca="1" si="8"/>
        <v>0.32794417350760591</v>
      </c>
      <c r="U66" s="4">
        <f t="shared" ca="1" si="9"/>
        <v>2.7189010510898191E-2</v>
      </c>
      <c r="V66" s="4">
        <f t="shared" ca="1" si="10"/>
        <v>12.061644294710755</v>
      </c>
      <c r="W66" s="20">
        <f t="shared" ca="1" si="11"/>
        <v>1088.6653058903241</v>
      </c>
      <c r="X66" s="4">
        <f t="shared" si="12"/>
        <v>0.56828977580690021</v>
      </c>
      <c r="Y66" s="4">
        <f t="shared" ca="1" si="13"/>
        <v>206.21259752142112</v>
      </c>
      <c r="Z66" s="14">
        <f t="shared" ca="1" si="14"/>
        <v>1088.6653058903241</v>
      </c>
      <c r="AA66" s="14">
        <f t="shared" si="15"/>
        <v>3136.1037756224764</v>
      </c>
      <c r="AB66" s="25">
        <f t="shared" ca="1" si="16"/>
        <v>568092.77157272166</v>
      </c>
      <c r="AC66" s="4">
        <f t="shared" si="17"/>
        <v>1636497.3478933787</v>
      </c>
      <c r="AD66" s="5">
        <f t="shared" ca="1" si="18"/>
        <v>34.713943918333442</v>
      </c>
      <c r="AE66" s="7">
        <f t="shared" ca="1" si="19"/>
        <v>1088.6653058903241</v>
      </c>
      <c r="AF66" s="41">
        <f t="shared" ca="1" si="42"/>
        <v>2047.4384697321523</v>
      </c>
      <c r="AG66" s="4">
        <f t="shared" ca="1" si="20"/>
        <v>81.364477530349831</v>
      </c>
      <c r="AH66" s="4">
        <f t="shared" ca="1" si="21"/>
        <v>889.67506555117495</v>
      </c>
      <c r="AI66" s="13">
        <f t="shared" ca="1" si="22"/>
        <v>0</v>
      </c>
      <c r="AJ66" s="10">
        <f t="shared" ca="1" si="23"/>
        <v>0</v>
      </c>
      <c r="AK66" s="11">
        <f t="shared" ca="1" si="24"/>
        <v>0.37177928757579048</v>
      </c>
      <c r="AL66" s="7">
        <v>0</v>
      </c>
      <c r="AM66" s="4">
        <f t="shared" si="25"/>
        <v>10479.570965591101</v>
      </c>
      <c r="AN66" s="4">
        <f t="shared" ca="1" si="26"/>
        <v>2589.836940489015</v>
      </c>
      <c r="AO66" s="6">
        <v>900</v>
      </c>
      <c r="AP66" s="4">
        <f t="shared" si="27"/>
        <v>0.81721632969977631</v>
      </c>
      <c r="AQ66" s="11">
        <f t="shared" si="28"/>
        <v>0.92829992071837586</v>
      </c>
      <c r="AR66" s="11">
        <f t="shared" si="29"/>
        <v>0.49937958210548988</v>
      </c>
      <c r="AS66" s="11">
        <f t="shared" si="30"/>
        <v>0.53795068916847377</v>
      </c>
      <c r="AT66" s="11">
        <f t="shared" si="31"/>
        <v>481.48131987899995</v>
      </c>
      <c r="AU66" s="11">
        <f t="shared" si="32"/>
        <v>1056.7970592432796</v>
      </c>
      <c r="AV66" s="11">
        <f t="shared" si="33"/>
        <v>1.2786549930845453E-3</v>
      </c>
      <c r="AW66" s="11">
        <f t="shared" si="34"/>
        <v>3.5253330369939681E-7</v>
      </c>
      <c r="AX66" s="4">
        <f t="shared" ca="1" si="35"/>
        <v>21.062336990361626</v>
      </c>
      <c r="AY66" s="4">
        <f t="shared" ca="1" si="36"/>
        <v>6.9072706964428185</v>
      </c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</row>
    <row r="67" spans="1:64">
      <c r="A67" s="41">
        <f t="shared" si="37"/>
        <v>10262.569197825916</v>
      </c>
      <c r="B67" s="41">
        <f t="shared" ref="B67:C67" si="84">(A67/60)</f>
        <v>171.04281996376528</v>
      </c>
      <c r="C67" s="41">
        <f t="shared" si="84"/>
        <v>2.8507136660627546</v>
      </c>
      <c r="D67" s="23">
        <f t="shared" ca="1" si="44"/>
        <v>13131.093675641567</v>
      </c>
      <c r="E67" s="41">
        <f t="shared" si="39"/>
        <v>900</v>
      </c>
      <c r="F67" s="41">
        <f t="shared" si="40"/>
        <v>900</v>
      </c>
      <c r="G67" s="4"/>
      <c r="H67" s="6">
        <v>18000</v>
      </c>
      <c r="I67" s="5">
        <v>15</v>
      </c>
      <c r="J67" s="4">
        <f t="shared" si="0"/>
        <v>0.49536938031365763</v>
      </c>
      <c r="K67" s="4">
        <f t="shared" si="1"/>
        <v>532.85897494058861</v>
      </c>
      <c r="L67" s="6">
        <f t="shared" si="41"/>
        <v>235</v>
      </c>
      <c r="M67" s="4">
        <f t="shared" si="2"/>
        <v>315.7104169086997</v>
      </c>
      <c r="N67" s="4">
        <f t="shared" si="3"/>
        <v>181.52981004292272</v>
      </c>
      <c r="O67" s="4">
        <f t="shared" si="4"/>
        <v>1932704.7452477671</v>
      </c>
      <c r="P67" s="4">
        <f t="shared" si="5"/>
        <v>12409322.545513991</v>
      </c>
      <c r="Q67" s="4">
        <f t="shared" si="6"/>
        <v>2.8375858034947795E-3</v>
      </c>
      <c r="R67" s="4">
        <f t="shared" si="7"/>
        <v>2.0323461330335628E-2</v>
      </c>
      <c r="S67" s="27">
        <v>0</v>
      </c>
      <c r="T67" s="4">
        <f t="shared" ca="1" si="8"/>
        <v>0.31450323018420429</v>
      </c>
      <c r="U67" s="4">
        <f t="shared" ca="1" si="9"/>
        <v>2.6570436957470314E-2</v>
      </c>
      <c r="V67" s="4">
        <f t="shared" ca="1" si="10"/>
        <v>11.836584798647102</v>
      </c>
      <c r="W67" s="20">
        <f t="shared" ca="1" si="11"/>
        <v>1109.365065938819</v>
      </c>
      <c r="X67" s="4">
        <f t="shared" si="12"/>
        <v>0.56726898868784392</v>
      </c>
      <c r="Y67" s="4">
        <f t="shared" ca="1" si="13"/>
        <v>206.21259752142115</v>
      </c>
      <c r="Z67" s="14">
        <f t="shared" ca="1" si="14"/>
        <v>1109.365065938819</v>
      </c>
      <c r="AA67" s="14">
        <f t="shared" si="15"/>
        <v>3136.1037756224764</v>
      </c>
      <c r="AB67" s="25">
        <f t="shared" ca="1" si="16"/>
        <v>591135.13187105756</v>
      </c>
      <c r="AC67" s="4">
        <f t="shared" si="17"/>
        <v>1671101.0431855025</v>
      </c>
      <c r="AD67" s="5">
        <f t="shared" ca="1" si="18"/>
        <v>35.373990955341526</v>
      </c>
      <c r="AE67" s="7">
        <f t="shared" ca="1" si="19"/>
        <v>1109.365065938819</v>
      </c>
      <c r="AF67" s="41">
        <f t="shared" ca="1" si="42"/>
        <v>2026.7387096836574</v>
      </c>
      <c r="AG67" s="4">
        <f t="shared" ca="1" si="20"/>
        <v>82.244932371307556</v>
      </c>
      <c r="AH67" s="4">
        <f t="shared" ca="1" si="21"/>
        <v>911.05907628078671</v>
      </c>
      <c r="AI67" s="13">
        <f t="shared" ca="1" si="22"/>
        <v>0</v>
      </c>
      <c r="AJ67" s="10">
        <f t="shared" ca="1" si="23"/>
        <v>0</v>
      </c>
      <c r="AK67" s="11">
        <f t="shared" ca="1" si="24"/>
        <v>0.37580235616111779</v>
      </c>
      <c r="AL67" s="7">
        <v>0</v>
      </c>
      <c r="AM67" s="4">
        <f t="shared" si="25"/>
        <v>10262.569197825916</v>
      </c>
      <c r="AN67" s="4">
        <f t="shared" ca="1" si="26"/>
        <v>2597.1685593441484</v>
      </c>
      <c r="AO67" s="6">
        <v>900</v>
      </c>
      <c r="AP67" s="4">
        <f t="shared" si="27"/>
        <v>0.82124370439751271</v>
      </c>
      <c r="AQ67" s="11">
        <f t="shared" si="28"/>
        <v>0.92829992071837586</v>
      </c>
      <c r="AR67" s="11">
        <f t="shared" si="29"/>
        <v>0.49937958210548988</v>
      </c>
      <c r="AS67" s="11">
        <f t="shared" si="30"/>
        <v>0.53795068916847377</v>
      </c>
      <c r="AT67" s="11">
        <f t="shared" si="31"/>
        <v>481.48131987899995</v>
      </c>
      <c r="AU67" s="11">
        <f t="shared" si="32"/>
        <v>1056.7970592432796</v>
      </c>
      <c r="AV67" s="11">
        <f t="shared" si="33"/>
        <v>1.2786549930845453E-3</v>
      </c>
      <c r="AW67" s="11">
        <f t="shared" si="34"/>
        <v>3.5253330369939681E-7</v>
      </c>
      <c r="AX67" s="4">
        <f t="shared" ca="1" si="35"/>
        <v>21.106385136460155</v>
      </c>
      <c r="AY67" s="4">
        <f t="shared" ca="1" si="36"/>
        <v>6.6380263029285942</v>
      </c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</row>
    <row r="68" spans="1:64">
      <c r="A68" s="41">
        <f t="shared" si="37"/>
        <v>10054.705112546531</v>
      </c>
      <c r="B68" s="41">
        <f t="shared" ref="B68:C68" si="85">(A68/60)</f>
        <v>167.57841854244219</v>
      </c>
      <c r="C68" s="41">
        <f t="shared" si="85"/>
        <v>2.7929736423740366</v>
      </c>
      <c r="D68" s="23">
        <f t="shared" ca="1" si="44"/>
        <v>13131.093675641567</v>
      </c>
      <c r="E68" s="41">
        <f t="shared" si="39"/>
        <v>900</v>
      </c>
      <c r="F68" s="41">
        <f t="shared" si="40"/>
        <v>900</v>
      </c>
      <c r="G68" s="4"/>
      <c r="H68" s="6">
        <v>18000</v>
      </c>
      <c r="I68" s="5">
        <v>15</v>
      </c>
      <c r="J68" s="4">
        <f t="shared" si="0"/>
        <v>0.50561030751756197</v>
      </c>
      <c r="K68" s="4">
        <f t="shared" si="1"/>
        <v>543.87493634066232</v>
      </c>
      <c r="L68" s="6">
        <f t="shared" si="41"/>
        <v>240</v>
      </c>
      <c r="M68" s="4">
        <f t="shared" si="2"/>
        <v>322.23719778286096</v>
      </c>
      <c r="N68" s="4">
        <f t="shared" si="3"/>
        <v>189.11303919618223</v>
      </c>
      <c r="O68" s="4">
        <f t="shared" si="4"/>
        <v>1972660.1591051805</v>
      </c>
      <c r="P68" s="4">
        <f t="shared" si="5"/>
        <v>12665864.378515277</v>
      </c>
      <c r="Q68" s="4">
        <f t="shared" si="6"/>
        <v>2.8258167631720421E-3</v>
      </c>
      <c r="R68" s="4">
        <f t="shared" si="7"/>
        <v>2.0251611339165317E-2</v>
      </c>
      <c r="S68" s="27">
        <v>0</v>
      </c>
      <c r="T68" s="4">
        <f t="shared" ca="1" si="8"/>
        <v>0.30189198944657836</v>
      </c>
      <c r="U68" s="4">
        <f t="shared" ca="1" si="9"/>
        <v>2.6007637639465109E-2</v>
      </c>
      <c r="V68" s="4">
        <f t="shared" ca="1" si="10"/>
        <v>11.607820503792103</v>
      </c>
      <c r="W68" s="20">
        <f t="shared" ca="1" si="11"/>
        <v>1131.2281811518219</v>
      </c>
      <c r="X68" s="4">
        <f t="shared" si="12"/>
        <v>0.56626536144165363</v>
      </c>
      <c r="Y68" s="4">
        <f t="shared" ca="1" si="13"/>
        <v>206.21259752142115</v>
      </c>
      <c r="Z68" s="14">
        <f t="shared" ca="1" si="14"/>
        <v>1131.2281811518219</v>
      </c>
      <c r="AA68" s="14">
        <f t="shared" si="15"/>
        <v>3136.1037756224764</v>
      </c>
      <c r="AB68" s="25">
        <f t="shared" ca="1" si="16"/>
        <v>615246.65501071035</v>
      </c>
      <c r="AC68" s="4">
        <f t="shared" si="17"/>
        <v>1705648.2413243852</v>
      </c>
      <c r="AD68" s="5">
        <f t="shared" ca="1" si="18"/>
        <v>36.071133549376491</v>
      </c>
      <c r="AE68" s="7">
        <f t="shared" ca="1" si="19"/>
        <v>1131.2281811518219</v>
      </c>
      <c r="AF68" s="41">
        <f t="shared" ca="1" si="42"/>
        <v>2004.8755944706545</v>
      </c>
      <c r="AG68" s="4">
        <f t="shared" ca="1" si="20"/>
        <v>83.039662441552053</v>
      </c>
      <c r="AH68" s="4">
        <f t="shared" ca="1" si="21"/>
        <v>933.6371242631858</v>
      </c>
      <c r="AI68" s="13">
        <f t="shared" ca="1" si="22"/>
        <v>0</v>
      </c>
      <c r="AJ68" s="10">
        <f t="shared" ca="1" si="23"/>
        <v>0</v>
      </c>
      <c r="AK68" s="11">
        <f t="shared" ca="1" si="24"/>
        <v>0.37943372194012553</v>
      </c>
      <c r="AL68" s="7">
        <v>0</v>
      </c>
      <c r="AM68" s="4">
        <f t="shared" si="25"/>
        <v>10054.705112546531</v>
      </c>
      <c r="AN68" s="4">
        <f t="shared" ca="1" si="26"/>
        <v>2607.623879608971</v>
      </c>
      <c r="AO68" s="6">
        <v>900</v>
      </c>
      <c r="AP68" s="4">
        <f t="shared" si="27"/>
        <v>0.82533050344675118</v>
      </c>
      <c r="AQ68" s="11">
        <f t="shared" si="28"/>
        <v>0.92829992071837586</v>
      </c>
      <c r="AR68" s="11">
        <f t="shared" si="29"/>
        <v>0.49937958210548988</v>
      </c>
      <c r="AS68" s="11">
        <f t="shared" si="30"/>
        <v>0.53795068916847377</v>
      </c>
      <c r="AT68" s="11">
        <f t="shared" si="31"/>
        <v>481.48131987899995</v>
      </c>
      <c r="AU68" s="11">
        <f t="shared" si="32"/>
        <v>1056.7970592432796</v>
      </c>
      <c r="AV68" s="11">
        <f t="shared" si="33"/>
        <v>1.2786549930845453E-3</v>
      </c>
      <c r="AW68" s="11">
        <f t="shared" si="34"/>
        <v>3.5253330369939681E-7</v>
      </c>
      <c r="AX68" s="4">
        <f t="shared" ca="1" si="35"/>
        <v>21.126370365770761</v>
      </c>
      <c r="AY68" s="4">
        <f t="shared" ca="1" si="36"/>
        <v>6.377881979507773</v>
      </c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</row>
    <row r="69" spans="1:64">
      <c r="A69" s="41">
        <f t="shared" si="37"/>
        <v>9855.4176723286473</v>
      </c>
      <c r="B69" s="41">
        <f t="shared" ref="B69:C69" si="86">(A69/60)</f>
        <v>164.25696120547747</v>
      </c>
      <c r="C69" s="41">
        <f t="shared" si="86"/>
        <v>2.7376160200912909</v>
      </c>
      <c r="D69" s="23">
        <f t="shared" ca="1" si="44"/>
        <v>13131.093675641567</v>
      </c>
      <c r="E69" s="41">
        <f t="shared" si="39"/>
        <v>900</v>
      </c>
      <c r="F69" s="41">
        <f t="shared" si="40"/>
        <v>900</v>
      </c>
      <c r="G69" s="4"/>
      <c r="H69" s="6">
        <v>18000</v>
      </c>
      <c r="I69" s="5">
        <v>15</v>
      </c>
      <c r="J69" s="4">
        <f t="shared" si="0"/>
        <v>0.5158343068733543</v>
      </c>
      <c r="K69" s="4">
        <f t="shared" si="1"/>
        <v>554.87268879171449</v>
      </c>
      <c r="L69" s="6">
        <f t="shared" si="41"/>
        <v>245</v>
      </c>
      <c r="M69" s="4">
        <f t="shared" si="2"/>
        <v>328.75319014607015</v>
      </c>
      <c r="N69" s="4">
        <f t="shared" si="3"/>
        <v>196.8385156375023</v>
      </c>
      <c r="O69" s="4">
        <f t="shared" si="4"/>
        <v>2012549.5282418809</v>
      </c>
      <c r="P69" s="4">
        <f t="shared" si="5"/>
        <v>12921982.158001004</v>
      </c>
      <c r="Q69" s="4">
        <f t="shared" si="6"/>
        <v>2.8142593213275591E-3</v>
      </c>
      <c r="R69" s="4">
        <f t="shared" si="7"/>
        <v>2.0181053156704747E-2</v>
      </c>
      <c r="S69" s="27">
        <v>0</v>
      </c>
      <c r="T69" s="4">
        <f t="shared" ca="1" si="8"/>
        <v>0.29004339647817845</v>
      </c>
      <c r="U69" s="4">
        <f t="shared" ca="1" si="9"/>
        <v>2.5494123369754849E-2</v>
      </c>
      <c r="V69" s="4">
        <f t="shared" ca="1" si="10"/>
        <v>11.376872711860871</v>
      </c>
      <c r="W69" s="20">
        <f t="shared" ca="1" si="11"/>
        <v>1154.1918423638376</v>
      </c>
      <c r="X69" s="4">
        <f t="shared" si="12"/>
        <v>0.56527804452994279</v>
      </c>
      <c r="Y69" s="4">
        <f t="shared" ca="1" si="13"/>
        <v>206.21259752142115</v>
      </c>
      <c r="Z69" s="14">
        <f t="shared" ca="1" si="14"/>
        <v>1154.1918423638376</v>
      </c>
      <c r="AA69" s="14">
        <f t="shared" si="15"/>
        <v>3136.1037756224764</v>
      </c>
      <c r="AB69" s="25">
        <f t="shared" ca="1" si="16"/>
        <v>640429.53095388529</v>
      </c>
      <c r="AC69" s="4">
        <f t="shared" si="17"/>
        <v>1740138.3343094911</v>
      </c>
      <c r="AD69" s="5">
        <f t="shared" ca="1" si="18"/>
        <v>36.803368923426184</v>
      </c>
      <c r="AE69" s="7">
        <f t="shared" ca="1" si="19"/>
        <v>1154.1918423638376</v>
      </c>
      <c r="AF69" s="41">
        <f t="shared" ca="1" si="42"/>
        <v>1981.9119332586388</v>
      </c>
      <c r="AG69" s="4">
        <f t="shared" ca="1" si="20"/>
        <v>83.748454661898194</v>
      </c>
      <c r="AH69" s="4">
        <f t="shared" ca="1" si="21"/>
        <v>957.35440809736485</v>
      </c>
      <c r="AI69" s="13">
        <f t="shared" ca="1" si="22"/>
        <v>0</v>
      </c>
      <c r="AJ69" s="10">
        <f t="shared" ca="1" si="23"/>
        <v>0</v>
      </c>
      <c r="AK69" s="11">
        <f t="shared" ca="1" si="24"/>
        <v>0.38267241128857321</v>
      </c>
      <c r="AL69" s="7">
        <v>0</v>
      </c>
      <c r="AM69" s="4">
        <f t="shared" si="25"/>
        <v>9855.4176723286473</v>
      </c>
      <c r="AN69" s="4">
        <f t="shared" ca="1" si="26"/>
        <v>2620.8687645123614</v>
      </c>
      <c r="AO69" s="6">
        <v>900</v>
      </c>
      <c r="AP69" s="4">
        <f t="shared" si="27"/>
        <v>0.82945865059716528</v>
      </c>
      <c r="AQ69" s="11">
        <f t="shared" si="28"/>
        <v>0.92829992071837586</v>
      </c>
      <c r="AR69" s="11">
        <f t="shared" si="29"/>
        <v>0.49937958210548988</v>
      </c>
      <c r="AS69" s="11">
        <f t="shared" si="30"/>
        <v>0.53795068916847377</v>
      </c>
      <c r="AT69" s="11">
        <f t="shared" si="31"/>
        <v>481.48131987899995</v>
      </c>
      <c r="AU69" s="11">
        <f t="shared" si="32"/>
        <v>1056.7970592432796</v>
      </c>
      <c r="AV69" s="11">
        <f t="shared" si="33"/>
        <v>1.2786549930845453E-3</v>
      </c>
      <c r="AW69" s="11">
        <f t="shared" si="34"/>
        <v>3.5253330369939681E-7</v>
      </c>
      <c r="AX69" s="4">
        <f t="shared" ca="1" si="35"/>
        <v>21.124741730227996</v>
      </c>
      <c r="AY69" s="4">
        <f t="shared" ca="1" si="36"/>
        <v>6.1270918411596389</v>
      </c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</row>
    <row r="70" spans="1:64">
      <c r="A70" s="41">
        <f t="shared" si="37"/>
        <v>9664.1907140497333</v>
      </c>
      <c r="B70" s="41">
        <f t="shared" ref="B70:C70" si="87">(A70/60)</f>
        <v>161.06984523416222</v>
      </c>
      <c r="C70" s="41">
        <f t="shared" si="87"/>
        <v>2.6844974205693704</v>
      </c>
      <c r="D70" s="23">
        <f t="shared" ca="1" si="44"/>
        <v>13131.093675641567</v>
      </c>
      <c r="E70" s="41">
        <f t="shared" si="39"/>
        <v>900</v>
      </c>
      <c r="F70" s="41">
        <f t="shared" si="40"/>
        <v>900</v>
      </c>
      <c r="G70" s="4"/>
      <c r="H70" s="6">
        <v>18000</v>
      </c>
      <c r="I70" s="5">
        <v>15</v>
      </c>
      <c r="J70" s="4">
        <f t="shared" si="0"/>
        <v>0.52604120659191012</v>
      </c>
      <c r="K70" s="4">
        <f t="shared" si="1"/>
        <v>565.85204750360595</v>
      </c>
      <c r="L70" s="6">
        <f t="shared" si="41"/>
        <v>250</v>
      </c>
      <c r="M70" s="4">
        <f t="shared" si="2"/>
        <v>335.25828451312645</v>
      </c>
      <c r="N70" s="4">
        <f t="shared" si="3"/>
        <v>204.70533748492605</v>
      </c>
      <c r="O70" s="4">
        <f t="shared" si="4"/>
        <v>2052372.1824152782</v>
      </c>
      <c r="P70" s="4">
        <f t="shared" si="5"/>
        <v>13177671.580542777</v>
      </c>
      <c r="Q70" s="4">
        <f t="shared" si="6"/>
        <v>2.802903224269068E-3</v>
      </c>
      <c r="R70" s="4">
        <f t="shared" si="7"/>
        <v>2.0111724184162658E-2</v>
      </c>
      <c r="S70" s="27">
        <v>0</v>
      </c>
      <c r="T70" s="4">
        <f t="shared" ca="1" si="8"/>
        <v>0.27889703480461658</v>
      </c>
      <c r="U70" s="4">
        <f t="shared" ca="1" si="9"/>
        <v>2.5024278720787729E-2</v>
      </c>
      <c r="V70" s="4">
        <f t="shared" ca="1" si="10"/>
        <v>11.145057882245219</v>
      </c>
      <c r="W70" s="20">
        <f t="shared" ca="1" si="11"/>
        <v>1178.1987867968123</v>
      </c>
      <c r="X70" s="4">
        <f t="shared" si="12"/>
        <v>0.56430624534721174</v>
      </c>
      <c r="Y70" s="4">
        <f t="shared" ca="1" si="13"/>
        <v>206.21259752142115</v>
      </c>
      <c r="Z70" s="14">
        <f t="shared" ca="1" si="14"/>
        <v>1178.1987867968123</v>
      </c>
      <c r="AA70" s="14">
        <f t="shared" si="15"/>
        <v>3136.1037756224764</v>
      </c>
      <c r="AB70" s="25">
        <f t="shared" ca="1" si="16"/>
        <v>666686.19587524072</v>
      </c>
      <c r="AC70" s="4">
        <f t="shared" si="17"/>
        <v>1774570.7426197676</v>
      </c>
      <c r="AD70" s="5">
        <f t="shared" ca="1" si="18"/>
        <v>37.568871156470415</v>
      </c>
      <c r="AE70" s="7">
        <f t="shared" ca="1" si="19"/>
        <v>1178.1987867968121</v>
      </c>
      <c r="AF70" s="41">
        <f t="shared" ca="1" si="42"/>
        <v>1957.9049888256641</v>
      </c>
      <c r="AG70" s="4">
        <f t="shared" ca="1" si="20"/>
        <v>84.371079371680523</v>
      </c>
      <c r="AH70" s="4">
        <f t="shared" ca="1" si="21"/>
        <v>982.15082712560752</v>
      </c>
      <c r="AI70" s="13">
        <f t="shared" ca="1" si="22"/>
        <v>-9.7981069190481651E-15</v>
      </c>
      <c r="AJ70" s="10">
        <f t="shared" ca="1" si="23"/>
        <v>-9.9211476949866922E-16</v>
      </c>
      <c r="AK70" s="11">
        <f t="shared" ca="1" si="24"/>
        <v>0.38551737481634379</v>
      </c>
      <c r="AL70" s="7">
        <v>0</v>
      </c>
      <c r="AM70" s="4">
        <f t="shared" si="25"/>
        <v>9664.1907140497333</v>
      </c>
      <c r="AN70" s="4">
        <f t="shared" ca="1" si="26"/>
        <v>2636.5813620287668</v>
      </c>
      <c r="AO70" s="6">
        <v>900</v>
      </c>
      <c r="AP70" s="4">
        <f t="shared" si="27"/>
        <v>0.83360366529980623</v>
      </c>
      <c r="AQ70" s="11">
        <f t="shared" si="28"/>
        <v>0.92829992071837586</v>
      </c>
      <c r="AR70" s="11">
        <f t="shared" si="29"/>
        <v>0.49937958210548988</v>
      </c>
      <c r="AS70" s="11">
        <f t="shared" si="30"/>
        <v>0.53795068916847377</v>
      </c>
      <c r="AT70" s="11">
        <f t="shared" si="31"/>
        <v>481.48131987899995</v>
      </c>
      <c r="AU70" s="11">
        <f t="shared" si="32"/>
        <v>1056.7970592432796</v>
      </c>
      <c r="AV70" s="11">
        <f t="shared" si="33"/>
        <v>1.2786549930845453E-3</v>
      </c>
      <c r="AW70" s="11">
        <f t="shared" si="34"/>
        <v>3.5253330369939681E-7</v>
      </c>
      <c r="AX70" s="4">
        <f t="shared" ca="1" si="35"/>
        <v>21.103786270095451</v>
      </c>
      <c r="AY70" s="4">
        <f t="shared" ca="1" si="36"/>
        <v>5.8857834138800014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</row>
    <row r="71" spans="1:64">
      <c r="A71" s="41">
        <f t="shared" si="37"/>
        <v>9480.5485504431017</v>
      </c>
      <c r="B71" s="41">
        <f t="shared" ref="B71:C71" si="88">(A71/60)</f>
        <v>158.00914250738504</v>
      </c>
      <c r="C71" s="41">
        <f t="shared" si="88"/>
        <v>2.6334857084564174</v>
      </c>
      <c r="D71" s="23">
        <f t="shared" ca="1" si="44"/>
        <v>13131.093675641567</v>
      </c>
      <c r="E71" s="41">
        <f t="shared" si="39"/>
        <v>900</v>
      </c>
      <c r="F71" s="41">
        <f t="shared" si="40"/>
        <v>900</v>
      </c>
      <c r="G71" s="4"/>
      <c r="H71" s="6">
        <v>18000</v>
      </c>
      <c r="I71" s="5">
        <v>15</v>
      </c>
      <c r="J71" s="4">
        <f t="shared" si="0"/>
        <v>0.53623084327915282</v>
      </c>
      <c r="K71" s="4">
        <f t="shared" si="1"/>
        <v>576.81283671658321</v>
      </c>
      <c r="L71" s="6">
        <f t="shared" si="41"/>
        <v>255</v>
      </c>
      <c r="M71" s="4">
        <f t="shared" si="2"/>
        <v>341.7523767491881</v>
      </c>
      <c r="N71" s="4">
        <f t="shared" si="3"/>
        <v>212.71260042904507</v>
      </c>
      <c r="O71" s="4">
        <f t="shared" si="4"/>
        <v>2092127.4841364205</v>
      </c>
      <c r="P71" s="4">
        <f t="shared" si="5"/>
        <v>13432928.553013571</v>
      </c>
      <c r="Q71" s="4">
        <f t="shared" si="6"/>
        <v>2.7917389061535907E-3</v>
      </c>
      <c r="R71" s="4">
        <f t="shared" si="7"/>
        <v>2.0043566022067673E-2</v>
      </c>
      <c r="S71" s="27">
        <v>0</v>
      </c>
      <c r="T71" s="4">
        <f t="shared" ca="1" si="8"/>
        <v>0.26839835307390919</v>
      </c>
      <c r="U71" s="4">
        <f t="shared" ca="1" si="9"/>
        <v>2.4593229598875246E-2</v>
      </c>
      <c r="V71" s="4">
        <f t="shared" ca="1" si="10"/>
        <v>10.913505767708696</v>
      </c>
      <c r="W71" s="20">
        <f t="shared" ca="1" si="11"/>
        <v>1203.1966588128223</v>
      </c>
      <c r="X71" s="4">
        <f t="shared" si="12"/>
        <v>0.56334922350529226</v>
      </c>
      <c r="Y71" s="4">
        <f t="shared" ca="1" si="13"/>
        <v>206.21259752142115</v>
      </c>
      <c r="Z71" s="14">
        <f t="shared" ca="1" si="14"/>
        <v>1203.1966588128223</v>
      </c>
      <c r="AA71" s="14">
        <f t="shared" si="15"/>
        <v>3136.1037756224764</v>
      </c>
      <c r="AB71" s="25">
        <f t="shared" ca="1" si="16"/>
        <v>694019.27789773897</v>
      </c>
      <c r="AC71" s="4">
        <f t="shared" si="17"/>
        <v>1808944.9150543876</v>
      </c>
      <c r="AD71" s="5">
        <f t="shared" ca="1" si="18"/>
        <v>38.365970799993796</v>
      </c>
      <c r="AE71" s="7">
        <f t="shared" ca="1" si="19"/>
        <v>1203.1966588128223</v>
      </c>
      <c r="AF71" s="41">
        <f t="shared" ca="1" si="42"/>
        <v>1932.9071168096541</v>
      </c>
      <c r="AG71" s="4">
        <f t="shared" ca="1" si="20"/>
        <v>84.907294449117913</v>
      </c>
      <c r="AH71" s="4">
        <f t="shared" ca="1" si="21"/>
        <v>1007.9587788145968</v>
      </c>
      <c r="AI71" s="13">
        <f t="shared" ca="1" si="22"/>
        <v>0</v>
      </c>
      <c r="AJ71" s="10">
        <f t="shared" ca="1" si="23"/>
        <v>0</v>
      </c>
      <c r="AK71" s="11">
        <f t="shared" ca="1" si="24"/>
        <v>0.38796750619465575</v>
      </c>
      <c r="AL71" s="7">
        <v>0</v>
      </c>
      <c r="AM71" s="4">
        <f t="shared" si="25"/>
        <v>9480.5485504431017</v>
      </c>
      <c r="AN71" s="4">
        <f t="shared" ca="1" si="26"/>
        <v>2654.4450387214233</v>
      </c>
      <c r="AO71" s="6">
        <v>900</v>
      </c>
      <c r="AP71" s="4">
        <f t="shared" si="27"/>
        <v>0.83773402413628373</v>
      </c>
      <c r="AQ71" s="11">
        <f t="shared" si="28"/>
        <v>0.92829992071837586</v>
      </c>
      <c r="AR71" s="11">
        <f t="shared" si="29"/>
        <v>0.49937958210548988</v>
      </c>
      <c r="AS71" s="11">
        <f t="shared" si="30"/>
        <v>0.53795068916847377</v>
      </c>
      <c r="AT71" s="11">
        <f t="shared" si="31"/>
        <v>481.48131987899995</v>
      </c>
      <c r="AU71" s="11">
        <f t="shared" si="32"/>
        <v>1056.7970592432796</v>
      </c>
      <c r="AV71" s="11">
        <f t="shared" si="33"/>
        <v>1.2786549930845453E-3</v>
      </c>
      <c r="AW71" s="11">
        <f t="shared" si="34"/>
        <v>3.5253330369939681E-7</v>
      </c>
      <c r="AX71" s="4">
        <f t="shared" ca="1" si="35"/>
        <v>21.065625493484845</v>
      </c>
      <c r="AY71" s="4">
        <f t="shared" ca="1" si="36"/>
        <v>5.6539791889230875</v>
      </c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</row>
    <row r="72" spans="1:64">
      <c r="A72" s="41">
        <f t="shared" si="37"/>
        <v>9304.0520791485123</v>
      </c>
      <c r="B72" s="41">
        <f t="shared" ref="B72:C72" si="89">(A72/60)</f>
        <v>155.06753465247522</v>
      </c>
      <c r="C72" s="41">
        <f t="shared" si="89"/>
        <v>2.584458910874587</v>
      </c>
      <c r="D72" s="23">
        <f t="shared" ca="1" si="44"/>
        <v>13131.093675641567</v>
      </c>
      <c r="E72" s="41">
        <f t="shared" si="39"/>
        <v>900</v>
      </c>
      <c r="F72" s="41">
        <f t="shared" si="40"/>
        <v>900</v>
      </c>
      <c r="G72" s="4"/>
      <c r="H72" s="6">
        <v>18000</v>
      </c>
      <c r="I72" s="5">
        <v>15</v>
      </c>
      <c r="J72" s="4">
        <f t="shared" si="0"/>
        <v>0.54640306188164733</v>
      </c>
      <c r="K72" s="4">
        <f t="shared" si="1"/>
        <v>587.75488964275462</v>
      </c>
      <c r="L72" s="6">
        <f t="shared" si="41"/>
        <v>260</v>
      </c>
      <c r="M72" s="4">
        <f t="shared" si="2"/>
        <v>348.23536803509785</v>
      </c>
      <c r="N72" s="4">
        <f t="shared" si="3"/>
        <v>220.8593983644206</v>
      </c>
      <c r="O72" s="4">
        <f t="shared" si="4"/>
        <v>2131814.8284577234</v>
      </c>
      <c r="P72" s="4">
        <f t="shared" si="5"/>
        <v>13687749.191224806</v>
      </c>
      <c r="Q72" s="4">
        <f t="shared" si="6"/>
        <v>2.7807574320206012E-3</v>
      </c>
      <c r="R72" s="4">
        <f t="shared" si="7"/>
        <v>1.9976524122485771E-2</v>
      </c>
      <c r="S72" s="27">
        <v>0</v>
      </c>
      <c r="T72" s="4">
        <f t="shared" ca="1" si="8"/>
        <v>0.25849799490543846</v>
      </c>
      <c r="U72" s="4">
        <f t="shared" ca="1" si="9"/>
        <v>2.4196733015840837E-2</v>
      </c>
      <c r="V72" s="4">
        <f t="shared" ca="1" si="10"/>
        <v>10.683177548647084</v>
      </c>
      <c r="W72" s="20">
        <f t="shared" ca="1" si="11"/>
        <v>1229.1374561405175</v>
      </c>
      <c r="X72" s="4">
        <f t="shared" si="12"/>
        <v>0.56240628658862035</v>
      </c>
      <c r="Y72" s="4">
        <f t="shared" ca="1" si="13"/>
        <v>206.21259752142115</v>
      </c>
      <c r="Z72" s="14">
        <f t="shared" ca="1" si="14"/>
        <v>1229.1374561405175</v>
      </c>
      <c r="AA72" s="14">
        <f t="shared" si="15"/>
        <v>3136.1037756224764</v>
      </c>
      <c r="AB72" s="25">
        <f t="shared" ca="1" si="16"/>
        <v>722431.549889646</v>
      </c>
      <c r="AC72" s="4">
        <f t="shared" si="17"/>
        <v>1843260.3285492146</v>
      </c>
      <c r="AD72" s="5">
        <f t="shared" ca="1" si="18"/>
        <v>39.193137219974474</v>
      </c>
      <c r="AE72" s="7">
        <f t="shared" ca="1" si="19"/>
        <v>1229.1374561405175</v>
      </c>
      <c r="AF72" s="41">
        <f t="shared" ca="1" si="42"/>
        <v>1906.9663194819589</v>
      </c>
      <c r="AG72" s="4">
        <f t="shared" ca="1" si="20"/>
        <v>85.356848892086404</v>
      </c>
      <c r="AH72" s="4">
        <f t="shared" ca="1" si="21"/>
        <v>1034.700829610302</v>
      </c>
      <c r="AI72" s="13">
        <f t="shared" ca="1" si="22"/>
        <v>0</v>
      </c>
      <c r="AJ72" s="10">
        <f t="shared" ca="1" si="23"/>
        <v>0</v>
      </c>
      <c r="AK72" s="11">
        <f t="shared" ca="1" si="24"/>
        <v>0.39002165851771364</v>
      </c>
      <c r="AL72" s="7">
        <v>0</v>
      </c>
      <c r="AM72" s="4">
        <f t="shared" si="25"/>
        <v>9304.0520791485123</v>
      </c>
      <c r="AN72" s="4">
        <f t="shared" ca="1" si="26"/>
        <v>2674.1417791756721</v>
      </c>
      <c r="AO72" s="6">
        <v>900</v>
      </c>
      <c r="AP72" s="4">
        <f t="shared" si="27"/>
        <v>0.84181051064805634</v>
      </c>
      <c r="AQ72" s="11">
        <f t="shared" si="28"/>
        <v>0.92829992071837586</v>
      </c>
      <c r="AR72" s="11">
        <f t="shared" si="29"/>
        <v>0.49937958210548988</v>
      </c>
      <c r="AS72" s="11">
        <f t="shared" si="30"/>
        <v>0.53795068916847377</v>
      </c>
      <c r="AT72" s="11">
        <f t="shared" si="31"/>
        <v>481.48131987899995</v>
      </c>
      <c r="AU72" s="11">
        <f t="shared" si="32"/>
        <v>1056.7970592432796</v>
      </c>
      <c r="AV72" s="11">
        <f t="shared" si="33"/>
        <v>1.2786549930845453E-3</v>
      </c>
      <c r="AW72" s="11">
        <f t="shared" si="34"/>
        <v>3.5253330369939681E-7</v>
      </c>
      <c r="AX72" s="4">
        <f t="shared" ca="1" si="35"/>
        <v>21.012216011373347</v>
      </c>
      <c r="AY72" s="4">
        <f t="shared" ca="1" si="36"/>
        <v>5.431615707459958</v>
      </c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</row>
    <row r="73" spans="1:64">
      <c r="A73" s="41">
        <f t="shared" si="37"/>
        <v>9134.2953322315007</v>
      </c>
      <c r="B73" s="41">
        <f t="shared" ref="B73:C73" si="90">(A73/60)</f>
        <v>152.23825553719169</v>
      </c>
      <c r="C73" s="41">
        <f t="shared" si="90"/>
        <v>2.5373042589531947</v>
      </c>
      <c r="D73" s="23">
        <f t="shared" ca="1" si="44"/>
        <v>13131.093675641567</v>
      </c>
      <c r="E73" s="41">
        <f t="shared" si="39"/>
        <v>900</v>
      </c>
      <c r="F73" s="41">
        <f t="shared" si="40"/>
        <v>900</v>
      </c>
      <c r="G73" s="4"/>
      <c r="H73" s="6">
        <v>18000</v>
      </c>
      <c r="I73" s="5">
        <v>15</v>
      </c>
      <c r="J73" s="4">
        <f t="shared" si="0"/>
        <v>0.5565577156252397</v>
      </c>
      <c r="K73" s="4">
        <f t="shared" si="1"/>
        <v>598.67804840008671</v>
      </c>
      <c r="L73" s="6">
        <f t="shared" si="41"/>
        <v>265</v>
      </c>
      <c r="M73" s="4">
        <f t="shared" si="2"/>
        <v>354.70716482827697</v>
      </c>
      <c r="N73" s="4">
        <f t="shared" si="3"/>
        <v>229.14482400753434</v>
      </c>
      <c r="O73" s="4">
        <f t="shared" si="4"/>
        <v>2171433.6427335721</v>
      </c>
      <c r="P73" s="4">
        <f t="shared" si="5"/>
        <v>13942129.81838925</v>
      </c>
      <c r="Q73" s="4">
        <f t="shared" si="6"/>
        <v>2.7699504464893058E-3</v>
      </c>
      <c r="R73" s="4">
        <f t="shared" si="7"/>
        <v>1.9910547475817213E-2</v>
      </c>
      <c r="S73" s="27">
        <v>0</v>
      </c>
      <c r="T73" s="4">
        <f t="shared" ca="1" si="8"/>
        <v>0.24915121639992627</v>
      </c>
      <c r="U73" s="4">
        <f t="shared" ca="1" si="9"/>
        <v>2.3831084996066617E-2</v>
      </c>
      <c r="V73" s="4">
        <f t="shared" ca="1" si="10"/>
        <v>10.454883461707654</v>
      </c>
      <c r="W73" s="20">
        <f t="shared" ca="1" si="11"/>
        <v>1255.9770487864237</v>
      </c>
      <c r="X73" s="4">
        <f t="shared" si="12"/>
        <v>0.56147678632517828</v>
      </c>
      <c r="Y73" s="4">
        <f t="shared" ca="1" si="13"/>
        <v>206.21259752142115</v>
      </c>
      <c r="Z73" s="14">
        <f t="shared" ca="1" si="14"/>
        <v>1255.9770487864237</v>
      </c>
      <c r="AA73" s="14">
        <f t="shared" si="15"/>
        <v>3136.1037756224764</v>
      </c>
      <c r="AB73" s="25">
        <f t="shared" ca="1" si="16"/>
        <v>751925.88840275665</v>
      </c>
      <c r="AC73" s="4">
        <f t="shared" si="17"/>
        <v>1877516.4879698076</v>
      </c>
      <c r="AD73" s="5">
        <f t="shared" ca="1" si="18"/>
        <v>40.048963256553215</v>
      </c>
      <c r="AE73" s="7">
        <f t="shared" ca="1" si="19"/>
        <v>1255.9770487864237</v>
      </c>
      <c r="AF73" s="41">
        <f t="shared" ca="1" si="42"/>
        <v>1880.1267268360527</v>
      </c>
      <c r="AG73" s="4">
        <f t="shared" ca="1" si="20"/>
        <v>85.719485929419832</v>
      </c>
      <c r="AH73" s="4">
        <f t="shared" ca="1" si="21"/>
        <v>1062.2872448297094</v>
      </c>
      <c r="AI73" s="13">
        <f t="shared" ca="1" si="22"/>
        <v>0</v>
      </c>
      <c r="AJ73" s="10">
        <f t="shared" ca="1" si="23"/>
        <v>0</v>
      </c>
      <c r="AK73" s="11">
        <f t="shared" ca="1" si="24"/>
        <v>0.3916786585191962</v>
      </c>
      <c r="AL73" s="7">
        <v>0</v>
      </c>
      <c r="AM73" s="4">
        <f t="shared" si="25"/>
        <v>9134.2953322315007</v>
      </c>
      <c r="AN73" s="4">
        <f t="shared" ca="1" si="26"/>
        <v>2695.3459505380765</v>
      </c>
      <c r="AO73" s="6">
        <v>900</v>
      </c>
      <c r="AP73" s="4">
        <f t="shared" si="27"/>
        <v>0.84578555464539318</v>
      </c>
      <c r="AQ73" s="11">
        <f t="shared" si="28"/>
        <v>0.92829992071837586</v>
      </c>
      <c r="AR73" s="11">
        <f t="shared" si="29"/>
        <v>0.49937958210548988</v>
      </c>
      <c r="AS73" s="11">
        <f t="shared" si="30"/>
        <v>0.53795068916847377</v>
      </c>
      <c r="AT73" s="11">
        <f t="shared" si="31"/>
        <v>481.48131987899995</v>
      </c>
      <c r="AU73" s="11">
        <f t="shared" si="32"/>
        <v>1056.7970592432796</v>
      </c>
      <c r="AV73" s="11">
        <f t="shared" si="33"/>
        <v>1.2786549930845453E-3</v>
      </c>
      <c r="AW73" s="11">
        <f t="shared" si="34"/>
        <v>3.5253330369939681E-7</v>
      </c>
      <c r="AX73" s="4">
        <f t="shared" ca="1" si="35"/>
        <v>20.945353298984365</v>
      </c>
      <c r="AY73" s="4">
        <f t="shared" ca="1" si="36"/>
        <v>5.2185602523681629</v>
      </c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</row>
    <row r="74" spans="1:64">
      <c r="A74" s="41">
        <f t="shared" si="37"/>
        <v>8970.9024090724506</v>
      </c>
      <c r="B74" s="41">
        <f t="shared" ref="B74:C74" si="91">(A74/60)</f>
        <v>149.5150401512075</v>
      </c>
      <c r="C74" s="41">
        <f t="shared" si="91"/>
        <v>2.4919173358534583</v>
      </c>
      <c r="D74" s="23">
        <f t="shared" ca="1" si="44"/>
        <v>13131.093675641567</v>
      </c>
      <c r="E74" s="41">
        <f t="shared" si="39"/>
        <v>900</v>
      </c>
      <c r="F74" s="41">
        <f t="shared" si="40"/>
        <v>900</v>
      </c>
      <c r="G74" s="4"/>
      <c r="H74" s="6">
        <v>18000</v>
      </c>
      <c r="I74" s="5">
        <v>15</v>
      </c>
      <c r="J74" s="4">
        <f t="shared" si="0"/>
        <v>0.56669466594706741</v>
      </c>
      <c r="K74" s="4">
        <f t="shared" si="1"/>
        <v>609.58216393926807</v>
      </c>
      <c r="L74" s="6">
        <f t="shared" si="41"/>
        <v>270</v>
      </c>
      <c r="M74" s="4">
        <f t="shared" si="2"/>
        <v>361.1676788193933</v>
      </c>
      <c r="N74" s="4">
        <f t="shared" si="3"/>
        <v>237.5679695007716</v>
      </c>
      <c r="O74" s="4">
        <f t="shared" si="4"/>
        <v>2210983.3863550536</v>
      </c>
      <c r="P74" s="4">
        <f t="shared" si="5"/>
        <v>14196066.963417798</v>
      </c>
      <c r="Q74" s="4">
        <f t="shared" si="6"/>
        <v>2.7593101274610132E-3</v>
      </c>
      <c r="R74" s="4">
        <f t="shared" si="7"/>
        <v>1.9845588328149484E-2</v>
      </c>
      <c r="S74" s="27">
        <v>0</v>
      </c>
      <c r="T74" s="4">
        <f t="shared" ca="1" si="8"/>
        <v>0.24031737844625042</v>
      </c>
      <c r="U74" s="4">
        <f t="shared" ca="1" si="9"/>
        <v>2.3493043360264018E-2</v>
      </c>
      <c r="V74" s="4">
        <f t="shared" ca="1" si="10"/>
        <v>10.229299574388973</v>
      </c>
      <c r="W74" s="20">
        <f t="shared" ca="1" si="11"/>
        <v>1283.6747599530465</v>
      </c>
      <c r="X74" s="4">
        <f t="shared" si="12"/>
        <v>0.56056011512533077</v>
      </c>
      <c r="Y74" s="4">
        <f t="shared" ca="1" si="13"/>
        <v>206.21259752142115</v>
      </c>
      <c r="Z74" s="14">
        <f t="shared" ca="1" si="14"/>
        <v>1283.6747599530465</v>
      </c>
      <c r="AA74" s="14">
        <f t="shared" si="15"/>
        <v>3136.1037756224764</v>
      </c>
      <c r="AB74" s="25">
        <f t="shared" ca="1" si="16"/>
        <v>782505.23796639859</v>
      </c>
      <c r="AC74" s="4">
        <f t="shared" si="17"/>
        <v>1911712.925882058</v>
      </c>
      <c r="AD74" s="5">
        <f t="shared" ca="1" si="18"/>
        <v>40.93215186089477</v>
      </c>
      <c r="AE74" s="7">
        <f t="shared" ca="1" si="19"/>
        <v>1283.6747599530468</v>
      </c>
      <c r="AF74" s="41">
        <f t="shared" ca="1" si="42"/>
        <v>1852.4290156694299</v>
      </c>
      <c r="AG74" s="4">
        <f t="shared" ca="1" si="20"/>
        <v>85.99494572263707</v>
      </c>
      <c r="AH74" s="4">
        <f t="shared" ca="1" si="21"/>
        <v>1090.6133648774314</v>
      </c>
      <c r="AI74" s="13">
        <f t="shared" ca="1" si="22"/>
        <v>1.0555323153060843E-14</v>
      </c>
      <c r="AJ74" s="10">
        <f t="shared" ca="1" si="23"/>
        <v>9.9211476949866922E-16</v>
      </c>
      <c r="AK74" s="11">
        <f t="shared" ca="1" si="24"/>
        <v>0.39293731891727812</v>
      </c>
      <c r="AL74" s="7">
        <v>0</v>
      </c>
      <c r="AM74" s="4">
        <f t="shared" si="25"/>
        <v>8970.9024090724506</v>
      </c>
      <c r="AN74" s="4">
        <f t="shared" ca="1" si="26"/>
        <v>2717.7183506515444</v>
      </c>
      <c r="AO74" s="6">
        <v>900</v>
      </c>
      <c r="AP74" s="4">
        <f t="shared" si="27"/>
        <v>0.84960256203629259</v>
      </c>
      <c r="AQ74" s="11">
        <f t="shared" si="28"/>
        <v>0.92829992071837586</v>
      </c>
      <c r="AR74" s="11">
        <f t="shared" si="29"/>
        <v>0.49937958210548988</v>
      </c>
      <c r="AS74" s="11">
        <f t="shared" si="30"/>
        <v>0.53795068916847377</v>
      </c>
      <c r="AT74" s="11">
        <f t="shared" si="31"/>
        <v>481.48131987899995</v>
      </c>
      <c r="AU74" s="11">
        <f t="shared" si="32"/>
        <v>1056.7970592432796</v>
      </c>
      <c r="AV74" s="11">
        <f t="shared" si="33"/>
        <v>1.2786549930845453E-3</v>
      </c>
      <c r="AW74" s="11">
        <f t="shared" si="34"/>
        <v>3.5253330369939681E-7</v>
      </c>
      <c r="AX74" s="4">
        <f t="shared" ca="1" si="35"/>
        <v>20.866677724140544</v>
      </c>
      <c r="AY74" s="4">
        <f t="shared" ca="1" si="36"/>
        <v>5.0146252875482249</v>
      </c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</row>
    <row r="75" spans="1:64">
      <c r="A75" s="41">
        <f t="shared" si="37"/>
        <v>8813.5247438318911</v>
      </c>
      <c r="B75" s="41">
        <f t="shared" ref="B75:C75" si="92">(A75/60)</f>
        <v>146.89207906386486</v>
      </c>
      <c r="C75" s="41">
        <f t="shared" si="92"/>
        <v>2.4482013177310811</v>
      </c>
      <c r="D75" s="23">
        <f t="shared" ca="1" si="44"/>
        <v>13131.093675641567</v>
      </c>
      <c r="E75" s="41">
        <f t="shared" si="39"/>
        <v>900</v>
      </c>
      <c r="F75" s="41">
        <f t="shared" si="40"/>
        <v>900</v>
      </c>
      <c r="G75" s="4"/>
      <c r="H75" s="6">
        <v>18000</v>
      </c>
      <c r="I75" s="5">
        <v>15</v>
      </c>
      <c r="J75" s="4">
        <f t="shared" si="0"/>
        <v>0.57681378242126169</v>
      </c>
      <c r="K75" s="4">
        <f t="shared" si="1"/>
        <v>620.46709596378969</v>
      </c>
      <c r="L75" s="6">
        <f t="shared" si="41"/>
        <v>275</v>
      </c>
      <c r="M75" s="4">
        <f t="shared" si="2"/>
        <v>367.61682688500997</v>
      </c>
      <c r="N75" s="4">
        <f t="shared" si="3"/>
        <v>246.12792700198949</v>
      </c>
      <c r="O75" s="4">
        <f t="shared" si="4"/>
        <v>2250463.5504600834</v>
      </c>
      <c r="P75" s="4">
        <f t="shared" si="5"/>
        <v>14449557.359058306</v>
      </c>
      <c r="Q75" s="4">
        <f t="shared" si="6"/>
        <v>2.7488291442550219E-3</v>
      </c>
      <c r="R75" s="4">
        <f t="shared" si="7"/>
        <v>1.9781601925676909E-2</v>
      </c>
      <c r="S75" s="27">
        <v>0</v>
      </c>
      <c r="T75" s="4">
        <f t="shared" ca="1" si="8"/>
        <v>0.23195950304640853</v>
      </c>
      <c r="U75" s="4">
        <f t="shared" ca="1" si="9"/>
        <v>2.3179762760309083E-2</v>
      </c>
      <c r="V75" s="4">
        <f t="shared" ca="1" si="10"/>
        <v>10.006983481452833</v>
      </c>
      <c r="W75" s="20">
        <f t="shared" ca="1" si="11"/>
        <v>1312.1930000163413</v>
      </c>
      <c r="X75" s="4">
        <f t="shared" si="12"/>
        <v>0.55965570294705225</v>
      </c>
      <c r="Y75" s="4">
        <f t="shared" ca="1" si="13"/>
        <v>206.21259752142115</v>
      </c>
      <c r="Z75" s="14">
        <f t="shared" ca="1" si="14"/>
        <v>1312.1930000163413</v>
      </c>
      <c r="AA75" s="14">
        <f t="shared" si="15"/>
        <v>3136.1037756224764</v>
      </c>
      <c r="AB75" s="25">
        <f t="shared" ca="1" si="16"/>
        <v>814172.58006415237</v>
      </c>
      <c r="AC75" s="4">
        <f t="shared" si="17"/>
        <v>1945849.2023015541</v>
      </c>
      <c r="AD75" s="5">
        <f t="shared" ca="1" si="18"/>
        <v>41.841504423937245</v>
      </c>
      <c r="AE75" s="7">
        <f t="shared" ca="1" si="19"/>
        <v>1312.1930000163413</v>
      </c>
      <c r="AF75" s="41">
        <f t="shared" ca="1" si="42"/>
        <v>1823.9107756061351</v>
      </c>
      <c r="AG75" s="4">
        <f t="shared" ca="1" si="20"/>
        <v>86.182967709436411</v>
      </c>
      <c r="AH75" s="4">
        <f t="shared" ca="1" si="21"/>
        <v>1119.5568165557829</v>
      </c>
      <c r="AI75" s="13">
        <f t="shared" ca="1" si="22"/>
        <v>0</v>
      </c>
      <c r="AJ75" s="10">
        <f t="shared" ca="1" si="23"/>
        <v>0</v>
      </c>
      <c r="AK75" s="11">
        <f t="shared" ca="1" si="24"/>
        <v>0.39379644912277562</v>
      </c>
      <c r="AL75" s="7">
        <v>0</v>
      </c>
      <c r="AM75" s="4">
        <f t="shared" si="25"/>
        <v>8813.5247438318911</v>
      </c>
      <c r="AN75" s="4">
        <f t="shared" ca="1" si="26"/>
        <v>2740.9004735666817</v>
      </c>
      <c r="AO75" s="6">
        <v>900</v>
      </c>
      <c r="AP75" s="4">
        <f t="shared" si="27"/>
        <v>0.85319523617473991</v>
      </c>
      <c r="AQ75" s="11">
        <f t="shared" si="28"/>
        <v>0.92829992071837586</v>
      </c>
      <c r="AR75" s="11">
        <f t="shared" si="29"/>
        <v>0.49937958210548988</v>
      </c>
      <c r="AS75" s="11">
        <f t="shared" si="30"/>
        <v>0.53795068916847377</v>
      </c>
      <c r="AT75" s="11">
        <f t="shared" si="31"/>
        <v>481.48131987899995</v>
      </c>
      <c r="AU75" s="11">
        <f t="shared" si="32"/>
        <v>1056.7970592432796</v>
      </c>
      <c r="AV75" s="11">
        <f t="shared" si="33"/>
        <v>1.2786549930845453E-3</v>
      </c>
      <c r="AW75" s="11">
        <f t="shared" si="34"/>
        <v>3.5253330369939681E-7</v>
      </c>
      <c r="AX75" s="4">
        <f t="shared" ca="1" si="35"/>
        <v>20.777682139607595</v>
      </c>
      <c r="AY75" s="4">
        <f t="shared" ca="1" si="36"/>
        <v>4.8195808235596163</v>
      </c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</row>
    <row r="76" spans="1:64">
      <c r="A76" s="41">
        <f t="shared" si="37"/>
        <v>8661.8386656703424</v>
      </c>
      <c r="B76" s="41">
        <f t="shared" ref="B76:C76" si="93">(A76/60)</f>
        <v>144.36397776117238</v>
      </c>
      <c r="C76" s="41">
        <f t="shared" si="93"/>
        <v>2.4060662960195396</v>
      </c>
      <c r="D76" s="23">
        <f t="shared" ca="1" si="44"/>
        <v>13131.093675641567</v>
      </c>
      <c r="E76" s="41">
        <f t="shared" si="39"/>
        <v>900</v>
      </c>
      <c r="F76" s="41">
        <f t="shared" si="40"/>
        <v>900</v>
      </c>
      <c r="G76" s="4"/>
      <c r="H76" s="6">
        <v>18000</v>
      </c>
      <c r="I76" s="5">
        <v>15</v>
      </c>
      <c r="J76" s="4">
        <f t="shared" si="0"/>
        <v>0.58691494267858435</v>
      </c>
      <c r="K76" s="4">
        <f t="shared" si="1"/>
        <v>631.33271284349973</v>
      </c>
      <c r="L76" s="6">
        <f t="shared" si="41"/>
        <v>280</v>
      </c>
      <c r="M76" s="4">
        <f t="shared" si="2"/>
        <v>374.05453103636808</v>
      </c>
      <c r="N76" s="4">
        <f t="shared" si="3"/>
        <v>254.82378925919764</v>
      </c>
      <c r="O76" s="4">
        <f t="shared" si="4"/>
        <v>2289873.6576198651</v>
      </c>
      <c r="P76" s="4">
        <f t="shared" si="5"/>
        <v>14702597.939882411</v>
      </c>
      <c r="Q76" s="4">
        <f t="shared" si="6"/>
        <v>2.7385006196810539E-3</v>
      </c>
      <c r="R76" s="4">
        <f t="shared" si="7"/>
        <v>1.9718546283152835E-2</v>
      </c>
      <c r="S76" s="27">
        <v>0</v>
      </c>
      <c r="T76" s="4">
        <f t="shared" ca="1" si="8"/>
        <v>0.22404388459647526</v>
      </c>
      <c r="U76" s="4">
        <f t="shared" ca="1" si="9"/>
        <v>2.2888739840649822E-2</v>
      </c>
      <c r="V76" s="4">
        <f t="shared" ca="1" si="10"/>
        <v>9.7883887953752264</v>
      </c>
      <c r="W76" s="20">
        <f t="shared" ca="1" si="11"/>
        <v>1341.4969460393406</v>
      </c>
      <c r="X76" s="4">
        <f t="shared" si="12"/>
        <v>0.55876301445140519</v>
      </c>
      <c r="Y76" s="4">
        <f t="shared" ca="1" si="13"/>
        <v>206.21259752142115</v>
      </c>
      <c r="Z76" s="14">
        <f t="shared" ca="1" si="14"/>
        <v>1341.4969460393406</v>
      </c>
      <c r="AA76" s="14">
        <f t="shared" si="15"/>
        <v>3136.1037756224764</v>
      </c>
      <c r="AB76" s="25">
        <f t="shared" ca="1" si="16"/>
        <v>846930.90621428692</v>
      </c>
      <c r="AC76" s="4">
        <f t="shared" si="17"/>
        <v>1979924.9044224801</v>
      </c>
      <c r="AD76" s="5">
        <f t="shared" ca="1" si="18"/>
        <v>42.775910557139355</v>
      </c>
      <c r="AE76" s="7">
        <f t="shared" ca="1" si="19"/>
        <v>1341.4969460393409</v>
      </c>
      <c r="AF76" s="41">
        <f t="shared" ca="1" si="42"/>
        <v>1794.6068295831358</v>
      </c>
      <c r="AG76" s="4">
        <f t="shared" ca="1" si="20"/>
        <v>86.283292633112424</v>
      </c>
      <c r="AH76" s="4">
        <f t="shared" ca="1" si="21"/>
        <v>1148.9745495185646</v>
      </c>
      <c r="AI76" s="13">
        <f t="shared" ca="1" si="22"/>
        <v>1.0931948464662793E-14</v>
      </c>
      <c r="AJ76" s="10">
        <f t="shared" ca="1" si="23"/>
        <v>9.9211476949866922E-16</v>
      </c>
      <c r="AK76" s="11">
        <f t="shared" ca="1" si="24"/>
        <v>0.39425486451217512</v>
      </c>
      <c r="AL76" s="7">
        <v>0</v>
      </c>
      <c r="AM76" s="4">
        <f t="shared" si="25"/>
        <v>8661.8386656703424</v>
      </c>
      <c r="AN76" s="4">
        <f t="shared" ca="1" si="26"/>
        <v>2764.5089385808519</v>
      </c>
      <c r="AO76" s="6">
        <v>900</v>
      </c>
      <c r="AP76" s="4">
        <f t="shared" si="27"/>
        <v>0.85648689168530523</v>
      </c>
      <c r="AQ76" s="11">
        <f t="shared" si="28"/>
        <v>0.92829992071837586</v>
      </c>
      <c r="AR76" s="11">
        <f t="shared" si="29"/>
        <v>0.49937958210548988</v>
      </c>
      <c r="AS76" s="11">
        <f t="shared" si="30"/>
        <v>0.53795068916847377</v>
      </c>
      <c r="AT76" s="11">
        <f t="shared" si="31"/>
        <v>481.48131987899995</v>
      </c>
      <c r="AU76" s="11">
        <f t="shared" si="32"/>
        <v>1056.7970592432796</v>
      </c>
      <c r="AV76" s="11">
        <f t="shared" si="33"/>
        <v>1.2786549930845453E-3</v>
      </c>
      <c r="AW76" s="11">
        <f t="shared" si="34"/>
        <v>3.5253330369939681E-7</v>
      </c>
      <c r="AX76" s="4">
        <f t="shared" ca="1" si="35"/>
        <v>20.679720475639165</v>
      </c>
      <c r="AY76" s="4">
        <f t="shared" ca="1" si="36"/>
        <v>4.6331649077314685</v>
      </c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</row>
    <row r="77" spans="1:64">
      <c r="A77" s="41">
        <f t="shared" si="37"/>
        <v>8515.543215768681</v>
      </c>
      <c r="B77" s="41">
        <f t="shared" ref="B77:C77" si="94">(A77/60)</f>
        <v>141.92572026281135</v>
      </c>
      <c r="C77" s="41">
        <f t="shared" si="94"/>
        <v>2.3654286710468559</v>
      </c>
      <c r="D77" s="23">
        <f t="shared" ca="1" si="44"/>
        <v>13131.093675641567</v>
      </c>
      <c r="E77" s="41">
        <f t="shared" si="39"/>
        <v>900</v>
      </c>
      <c r="F77" s="41">
        <f t="shared" si="40"/>
        <v>900</v>
      </c>
      <c r="G77" s="4"/>
      <c r="H77" s="6">
        <v>18000</v>
      </c>
      <c r="I77" s="5">
        <v>15</v>
      </c>
      <c r="J77" s="4">
        <f t="shared" si="0"/>
        <v>0.59699803232037885</v>
      </c>
      <c r="K77" s="4">
        <f t="shared" si="1"/>
        <v>642.17889152204191</v>
      </c>
      <c r="L77" s="6">
        <f t="shared" si="41"/>
        <v>285</v>
      </c>
      <c r="M77" s="4">
        <f t="shared" si="2"/>
        <v>380.48071836454551</v>
      </c>
      <c r="N77" s="4">
        <f t="shared" si="3"/>
        <v>263.6546501700393</v>
      </c>
      <c r="O77" s="4">
        <f t="shared" si="4"/>
        <v>2329213.2615031642</v>
      </c>
      <c r="P77" s="4">
        <f t="shared" si="5"/>
        <v>14955185.840129964</v>
      </c>
      <c r="Q77" s="4">
        <f t="shared" si="6"/>
        <v>2.7283180956148003E-3</v>
      </c>
      <c r="R77" s="4">
        <f t="shared" si="7"/>
        <v>1.9656381973728359E-2</v>
      </c>
      <c r="S77" s="27">
        <v>0</v>
      </c>
      <c r="T77" s="4">
        <f t="shared" ca="1" si="8"/>
        <v>0.21653974847932297</v>
      </c>
      <c r="U77" s="4">
        <f t="shared" ca="1" si="9"/>
        <v>2.2617766800351491E-2</v>
      </c>
      <c r="V77" s="4">
        <f t="shared" ca="1" si="10"/>
        <v>9.5738783758243464</v>
      </c>
      <c r="W77" s="20">
        <f t="shared" ca="1" si="11"/>
        <v>1371.5542604760665</v>
      </c>
      <c r="X77" s="4">
        <f t="shared" si="12"/>
        <v>0.55788154641670307</v>
      </c>
      <c r="Y77" s="4">
        <f t="shared" ca="1" si="13"/>
        <v>206.21259752142115</v>
      </c>
      <c r="Z77" s="14">
        <f t="shared" ca="1" si="14"/>
        <v>1371.5542604760665</v>
      </c>
      <c r="AA77" s="14">
        <f t="shared" si="15"/>
        <v>3136.1037756224764</v>
      </c>
      <c r="AB77" s="25">
        <f t="shared" ca="1" si="16"/>
        <v>880783.19465485425</v>
      </c>
      <c r="AC77" s="4">
        <f t="shared" si="17"/>
        <v>2013939.6463273324</v>
      </c>
      <c r="AD77" s="5">
        <f t="shared" ca="1" si="18"/>
        <v>43.734339122876456</v>
      </c>
      <c r="AE77" s="7">
        <f t="shared" ca="1" si="19"/>
        <v>1371.5542604760662</v>
      </c>
      <c r="AF77" s="41">
        <f t="shared" ca="1" si="42"/>
        <v>1764.5495151464099</v>
      </c>
      <c r="AG77" s="4">
        <f t="shared" ca="1" si="20"/>
        <v>86.295664295998833</v>
      </c>
      <c r="AH77" s="4">
        <f t="shared" ca="1" si="21"/>
        <v>1178.6996890385699</v>
      </c>
      <c r="AI77" s="13">
        <f t="shared" ca="1" si="22"/>
        <v>-1.1119757307670964E-14</v>
      </c>
      <c r="AJ77" s="10">
        <f t="shared" ca="1" si="23"/>
        <v>-9.9211476949866922E-16</v>
      </c>
      <c r="AK77" s="11">
        <f t="shared" ca="1" si="24"/>
        <v>0.39431139443965263</v>
      </c>
      <c r="AL77" s="7">
        <v>0</v>
      </c>
      <c r="AM77" s="4">
        <f t="shared" si="25"/>
        <v>8515.543215768681</v>
      </c>
      <c r="AN77" s="4">
        <f t="shared" ca="1" si="26"/>
        <v>2788.1300390058468</v>
      </c>
      <c r="AO77" s="6">
        <v>900</v>
      </c>
      <c r="AP77" s="4">
        <f t="shared" si="27"/>
        <v>0.85938976167770675</v>
      </c>
      <c r="AQ77" s="11">
        <f t="shared" si="28"/>
        <v>0.92829992071837586</v>
      </c>
      <c r="AR77" s="11">
        <f t="shared" si="29"/>
        <v>0.49937958210548988</v>
      </c>
      <c r="AS77" s="11">
        <f t="shared" si="30"/>
        <v>0.53795068916847377</v>
      </c>
      <c r="AT77" s="11">
        <f t="shared" si="31"/>
        <v>481.48131987899995</v>
      </c>
      <c r="AU77" s="11">
        <f t="shared" si="32"/>
        <v>1056.7970592432796</v>
      </c>
      <c r="AV77" s="11">
        <f t="shared" si="33"/>
        <v>1.2786549930845453E-3</v>
      </c>
      <c r="AW77" s="11">
        <f t="shared" si="34"/>
        <v>3.5253330369939681E-7</v>
      </c>
      <c r="AX77" s="4">
        <f t="shared" ca="1" si="35"/>
        <v>20.574016889453624</v>
      </c>
      <c r="AY77" s="4">
        <f t="shared" ca="1" si="36"/>
        <v>4.4550924424516296</v>
      </c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</row>
    <row r="78" spans="1:64">
      <c r="A78" s="41">
        <f t="shared" si="37"/>
        <v>8374.3581901563048</v>
      </c>
      <c r="B78" s="41">
        <f t="shared" ref="B78:C78" si="95">(A78/60)</f>
        <v>139.57263650260509</v>
      </c>
      <c r="C78" s="41">
        <f t="shared" si="95"/>
        <v>2.3262106083767518</v>
      </c>
      <c r="D78" s="23">
        <f t="shared" ca="1" si="44"/>
        <v>13131.093675641567</v>
      </c>
      <c r="E78" s="41">
        <f t="shared" si="39"/>
        <v>900</v>
      </c>
      <c r="F78" s="41">
        <f t="shared" si="40"/>
        <v>900</v>
      </c>
      <c r="G78" s="4"/>
      <c r="H78" s="6">
        <v>18000</v>
      </c>
      <c r="I78" s="5">
        <v>15</v>
      </c>
      <c r="J78" s="4">
        <f t="shared" si="0"/>
        <v>0.60706294482707901</v>
      </c>
      <c r="K78" s="4">
        <f t="shared" si="1"/>
        <v>653.00551741844095</v>
      </c>
      <c r="L78" s="6">
        <f t="shared" si="41"/>
        <v>290</v>
      </c>
      <c r="M78" s="4">
        <f t="shared" si="2"/>
        <v>386.89532098214755</v>
      </c>
      <c r="N78" s="4">
        <f t="shared" si="3"/>
        <v>272.6196053256952</v>
      </c>
      <c r="O78" s="4">
        <f t="shared" si="4"/>
        <v>2368481.9465193558</v>
      </c>
      <c r="P78" s="4">
        <f t="shared" si="5"/>
        <v>15207318.391417118</v>
      </c>
      <c r="Q78" s="4">
        <f t="shared" si="6"/>
        <v>2.7182755016977446E-3</v>
      </c>
      <c r="R78" s="4">
        <f t="shared" si="7"/>
        <v>1.9595071937864732E-2</v>
      </c>
      <c r="S78" s="27">
        <v>0</v>
      </c>
      <c r="T78" s="4">
        <f t="shared" ca="1" si="8"/>
        <v>0.20941895050070758</v>
      </c>
      <c r="U78" s="4">
        <f t="shared" ca="1" si="9"/>
        <v>2.236489194818686E-2</v>
      </c>
      <c r="V78" s="4">
        <f t="shared" ca="1" si="10"/>
        <v>9.3637362964181605</v>
      </c>
      <c r="W78" s="20">
        <f t="shared" ca="1" si="11"/>
        <v>1402.3348436952997</v>
      </c>
      <c r="X78" s="4">
        <f t="shared" si="12"/>
        <v>0.55701082538372548</v>
      </c>
      <c r="Y78" s="4">
        <f t="shared" ca="1" si="13"/>
        <v>206.21259752142115</v>
      </c>
      <c r="Z78" s="14">
        <f t="shared" ca="1" si="14"/>
        <v>1402.3348436952997</v>
      </c>
      <c r="AA78" s="14">
        <f t="shared" si="15"/>
        <v>3136.1037756224764</v>
      </c>
      <c r="AB78" s="25">
        <f t="shared" ca="1" si="16"/>
        <v>915732.39020115766</v>
      </c>
      <c r="AC78" s="4">
        <f t="shared" si="17"/>
        <v>2047893.0686782815</v>
      </c>
      <c r="AD78" s="5">
        <f t="shared" ca="1" si="18"/>
        <v>44.715830343240292</v>
      </c>
      <c r="AE78" s="7">
        <f t="shared" ca="1" si="19"/>
        <v>1402.3348436952997</v>
      </c>
      <c r="AF78" s="41">
        <f t="shared" ca="1" si="42"/>
        <v>1733.7689319271767</v>
      </c>
      <c r="AG78" s="4">
        <f t="shared" ca="1" si="20"/>
        <v>86.219831069921</v>
      </c>
      <c r="AH78" s="4">
        <f t="shared" ca="1" si="21"/>
        <v>1208.5381972433181</v>
      </c>
      <c r="AI78" s="13">
        <f t="shared" ca="1" si="22"/>
        <v>0</v>
      </c>
      <c r="AJ78" s="10">
        <f t="shared" ca="1" si="23"/>
        <v>0</v>
      </c>
      <c r="AK78" s="11">
        <f t="shared" ca="1" si="24"/>
        <v>0.39396488913879485</v>
      </c>
      <c r="AL78" s="7">
        <v>0</v>
      </c>
      <c r="AM78" s="4">
        <f t="shared" si="25"/>
        <v>8374.3581901563048</v>
      </c>
      <c r="AN78" s="4">
        <f t="shared" ca="1" si="26"/>
        <v>2811.3143750559211</v>
      </c>
      <c r="AO78" s="6">
        <v>900</v>
      </c>
      <c r="AP78" s="4">
        <f t="shared" si="27"/>
        <v>0.86180429922050061</v>
      </c>
      <c r="AQ78" s="11">
        <f t="shared" si="28"/>
        <v>0.92829992071837586</v>
      </c>
      <c r="AR78" s="11">
        <f t="shared" si="29"/>
        <v>0.49937958210548988</v>
      </c>
      <c r="AS78" s="11">
        <f t="shared" si="30"/>
        <v>0.53795068916847377</v>
      </c>
      <c r="AT78" s="11">
        <f t="shared" si="31"/>
        <v>481.48131987899995</v>
      </c>
      <c r="AU78" s="11">
        <f t="shared" si="32"/>
        <v>1056.7970592432796</v>
      </c>
      <c r="AV78" s="11">
        <f t="shared" si="33"/>
        <v>1.2786549930845453E-3</v>
      </c>
      <c r="AW78" s="11">
        <f t="shared" si="34"/>
        <v>3.5253330369939681E-7</v>
      </c>
      <c r="AX78" s="4">
        <f t="shared" ca="1" si="35"/>
        <v>20.461675130406451</v>
      </c>
      <c r="AY78" s="4">
        <f t="shared" ca="1" si="36"/>
        <v>4.2850625312961474</v>
      </c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</row>
    <row r="79" spans="1:64">
      <c r="A79" s="41">
        <f t="shared" si="37"/>
        <v>8238.0223815553782</v>
      </c>
      <c r="B79" s="41">
        <f t="shared" ref="B79:C79" si="96">(A79/60)</f>
        <v>137.30037302592297</v>
      </c>
      <c r="C79" s="41">
        <f t="shared" si="96"/>
        <v>2.2883395504320494</v>
      </c>
      <c r="D79" s="23">
        <f t="shared" ca="1" si="44"/>
        <v>13131.093675641567</v>
      </c>
      <c r="E79" s="41">
        <f t="shared" si="39"/>
        <v>900</v>
      </c>
      <c r="F79" s="41">
        <f t="shared" si="40"/>
        <v>900</v>
      </c>
      <c r="G79" s="4"/>
      <c r="H79" s="6">
        <v>18000</v>
      </c>
      <c r="I79" s="5">
        <v>15</v>
      </c>
      <c r="J79" s="4">
        <f t="shared" si="0"/>
        <v>0.61710958146161476</v>
      </c>
      <c r="K79" s="4">
        <f t="shared" si="1"/>
        <v>663.81248432319717</v>
      </c>
      <c r="L79" s="6">
        <f t="shared" si="41"/>
        <v>295</v>
      </c>
      <c r="M79" s="4">
        <f t="shared" si="2"/>
        <v>393.29827596174516</v>
      </c>
      <c r="N79" s="4">
        <f t="shared" si="3"/>
        <v>281.71775253895123</v>
      </c>
      <c r="O79" s="4">
        <f t="shared" si="4"/>
        <v>2407679.3274415531</v>
      </c>
      <c r="P79" s="4">
        <f t="shared" si="5"/>
        <v>15458993.120316574</v>
      </c>
      <c r="Q79" s="4">
        <f t="shared" si="6"/>
        <v>2.7083671268292022E-3</v>
      </c>
      <c r="R79" s="4">
        <f t="shared" si="7"/>
        <v>1.9534581309292278E-2</v>
      </c>
      <c r="S79" s="27">
        <v>0</v>
      </c>
      <c r="T79" s="4">
        <f t="shared" ca="1" si="8"/>
        <v>0.20265571167841301</v>
      </c>
      <c r="U79" s="4">
        <f t="shared" ca="1" si="9"/>
        <v>2.212838609849711E-2</v>
      </c>
      <c r="V79" s="4">
        <f t="shared" ca="1" si="10"/>
        <v>9.1581785845727239</v>
      </c>
      <c r="W79" s="20">
        <f t="shared" ca="1" si="11"/>
        <v>1433.8106157660386</v>
      </c>
      <c r="X79" s="4">
        <f t="shared" si="12"/>
        <v>0.55615040550773176</v>
      </c>
      <c r="Y79" s="4">
        <f t="shared" ca="1" si="13"/>
        <v>206.21259752142115</v>
      </c>
      <c r="Z79" s="14">
        <f t="shared" ca="1" si="14"/>
        <v>1433.8106157660386</v>
      </c>
      <c r="AA79" s="14">
        <f t="shared" si="15"/>
        <v>3136.1037756224764</v>
      </c>
      <c r="AB79" s="25">
        <f t="shared" ca="1" si="16"/>
        <v>951781.38690062717</v>
      </c>
      <c r="AC79" s="4">
        <f t="shared" si="17"/>
        <v>2081784.8383913145</v>
      </c>
      <c r="AD79" s="5">
        <f t="shared" ca="1" si="18"/>
        <v>45.719488841897316</v>
      </c>
      <c r="AE79" s="7">
        <f t="shared" ca="1" si="19"/>
        <v>1433.8106157660386</v>
      </c>
      <c r="AF79" s="41">
        <f t="shared" ca="1" si="42"/>
        <v>1702.2931598564378</v>
      </c>
      <c r="AG79" s="4">
        <f t="shared" ca="1" si="20"/>
        <v>86.055547192300168</v>
      </c>
      <c r="AH79" s="4">
        <f t="shared" ca="1" si="21"/>
        <v>1238.2653358467417</v>
      </c>
      <c r="AI79" s="13">
        <f t="shared" ca="1" si="22"/>
        <v>0</v>
      </c>
      <c r="AJ79" s="10">
        <f t="shared" ca="1" si="23"/>
        <v>0</v>
      </c>
      <c r="AK79" s="11">
        <f t="shared" ca="1" si="24"/>
        <v>0.39321422564489755</v>
      </c>
      <c r="AL79" s="7">
        <v>0</v>
      </c>
      <c r="AM79" s="4">
        <f t="shared" si="25"/>
        <v>8238.0223815553782</v>
      </c>
      <c r="AN79" s="4">
        <f t="shared" ca="1" si="26"/>
        <v>2833.5715419471235</v>
      </c>
      <c r="AO79" s="6">
        <v>900</v>
      </c>
      <c r="AP79" s="4">
        <f t="shared" si="27"/>
        <v>0.86361847389808633</v>
      </c>
      <c r="AQ79" s="11">
        <f t="shared" si="28"/>
        <v>0.92829992071837586</v>
      </c>
      <c r="AR79" s="11">
        <f t="shared" si="29"/>
        <v>0.49937958210548988</v>
      </c>
      <c r="AS79" s="11">
        <f t="shared" si="30"/>
        <v>0.53795068916847377</v>
      </c>
      <c r="AT79" s="11">
        <f t="shared" si="31"/>
        <v>481.48131987899995</v>
      </c>
      <c r="AU79" s="11">
        <f t="shared" si="32"/>
        <v>1056.7970592432796</v>
      </c>
      <c r="AV79" s="11">
        <f t="shared" si="33"/>
        <v>1.2786549930845453E-3</v>
      </c>
      <c r="AW79" s="11">
        <f t="shared" si="34"/>
        <v>3.5253330369939681E-7</v>
      </c>
      <c r="AX79" s="4">
        <f t="shared" ca="1" si="35"/>
        <v>20.343687864337149</v>
      </c>
      <c r="AY79" s="4">
        <f t="shared" ca="1" si="36"/>
        <v>4.1227645423107386</v>
      </c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</row>
    <row r="80" spans="1:64">
      <c r="A80" s="41">
        <f t="shared" si="37"/>
        <v>8106.2919970225175</v>
      </c>
      <c r="B80" s="41">
        <f t="shared" ref="B80:C80" si="97">(A80/60)</f>
        <v>135.10486661704195</v>
      </c>
      <c r="C80" s="41">
        <f t="shared" si="97"/>
        <v>2.2517477769506993</v>
      </c>
      <c r="D80" s="23">
        <f t="shared" ca="1" si="44"/>
        <v>13131.093675641567</v>
      </c>
      <c r="E80" s="41">
        <f t="shared" si="39"/>
        <v>900</v>
      </c>
      <c r="F80" s="41">
        <f t="shared" si="40"/>
        <v>900</v>
      </c>
      <c r="G80" s="4"/>
      <c r="H80" s="6">
        <v>18000</v>
      </c>
      <c r="I80" s="5">
        <v>15</v>
      </c>
      <c r="J80" s="4">
        <f t="shared" si="0"/>
        <v>0.62713785116799969</v>
      </c>
      <c r="K80" s="4">
        <f t="shared" si="1"/>
        <v>674.59969428919976</v>
      </c>
      <c r="L80" s="6">
        <f t="shared" si="41"/>
        <v>300</v>
      </c>
      <c r="M80" s="4">
        <f t="shared" si="2"/>
        <v>399.68952527124225</v>
      </c>
      <c r="N80" s="4">
        <f t="shared" si="3"/>
        <v>290.94819235617598</v>
      </c>
      <c r="O80" s="4">
        <f t="shared" si="4"/>
        <v>2446805.0490109455</v>
      </c>
      <c r="P80" s="4">
        <f t="shared" si="5"/>
        <v>15710207.74581713</v>
      </c>
      <c r="Q80" s="4">
        <f t="shared" si="6"/>
        <v>2.6985875931589466E-3</v>
      </c>
      <c r="R80" s="4">
        <f t="shared" si="7"/>
        <v>1.9474877256235368E-2</v>
      </c>
      <c r="S80" s="27">
        <v>0</v>
      </c>
      <c r="T80" s="4">
        <f t="shared" ca="1" si="8"/>
        <v>0.1962263837107229</v>
      </c>
      <c r="U80" s="4">
        <f t="shared" ca="1" si="9"/>
        <v>2.1906713861151637E-2</v>
      </c>
      <c r="V80" s="4">
        <f t="shared" ca="1" si="10"/>
        <v>8.9573627954625259</v>
      </c>
      <c r="W80" s="20">
        <f t="shared" ca="1" si="11"/>
        <v>1465.955323624192</v>
      </c>
      <c r="X80" s="4">
        <f t="shared" si="12"/>
        <v>0.55529986659594111</v>
      </c>
      <c r="Y80" s="4">
        <f t="shared" ca="1" si="13"/>
        <v>206.21259752142115</v>
      </c>
      <c r="Z80" s="14">
        <f t="shared" ca="1" si="14"/>
        <v>1465.955323624192</v>
      </c>
      <c r="AA80" s="14">
        <f t="shared" si="15"/>
        <v>3136.1037756224764</v>
      </c>
      <c r="AB80" s="25">
        <f t="shared" ca="1" si="16"/>
        <v>988933.01315850485</v>
      </c>
      <c r="AC80" s="4">
        <f t="shared" si="17"/>
        <v>2115614.6482941275</v>
      </c>
      <c r="AD80" s="5">
        <f t="shared" ca="1" si="18"/>
        <v>46.744477495270978</v>
      </c>
      <c r="AE80" s="7">
        <f t="shared" ca="1" si="19"/>
        <v>1465.9553236241918</v>
      </c>
      <c r="AF80" s="41">
        <f t="shared" ca="1" si="42"/>
        <v>1670.1484519982844</v>
      </c>
      <c r="AG80" s="4">
        <f t="shared" ca="1" si="20"/>
        <v>85.802573872855618</v>
      </c>
      <c r="AH80" s="4">
        <f t="shared" ca="1" si="21"/>
        <v>1267.6219241828587</v>
      </c>
      <c r="AI80" s="13">
        <f t="shared" ca="1" si="22"/>
        <v>-1.1681145206354782E-14</v>
      </c>
      <c r="AJ80" s="10">
        <f t="shared" ca="1" si="23"/>
        <v>-9.9211476949866922E-16</v>
      </c>
      <c r="AK80" s="11">
        <f t="shared" ca="1" si="24"/>
        <v>0.39205831285182768</v>
      </c>
      <c r="AL80" s="7">
        <v>0</v>
      </c>
      <c r="AM80" s="4">
        <f t="shared" si="25"/>
        <v>8106.2919970225175</v>
      </c>
      <c r="AN80" s="4">
        <f t="shared" ca="1" si="26"/>
        <v>2854.3648497927202</v>
      </c>
      <c r="AO80" s="6">
        <v>900</v>
      </c>
      <c r="AP80" s="4">
        <f t="shared" si="27"/>
        <v>0.86470706422962096</v>
      </c>
      <c r="AQ80" s="11">
        <f t="shared" si="28"/>
        <v>0.92829992071837586</v>
      </c>
      <c r="AR80" s="11">
        <f t="shared" si="29"/>
        <v>0.49937958210548988</v>
      </c>
      <c r="AS80" s="11">
        <f t="shared" si="30"/>
        <v>0.53795068916847377</v>
      </c>
      <c r="AT80" s="11">
        <f t="shared" si="31"/>
        <v>481.48131987899995</v>
      </c>
      <c r="AU80" s="11">
        <f t="shared" si="32"/>
        <v>1056.7970592432796</v>
      </c>
      <c r="AV80" s="11">
        <f t="shared" si="33"/>
        <v>1.2786549930845453E-3</v>
      </c>
      <c r="AW80" s="11">
        <f t="shared" si="34"/>
        <v>3.5253330369939681E-7</v>
      </c>
      <c r="AX80" s="4">
        <f t="shared" ca="1" si="35"/>
        <v>20.220945769699039</v>
      </c>
      <c r="AY80" s="4">
        <f t="shared" ca="1" si="36"/>
        <v>3.9678830635986824</v>
      </c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</row>
    <row r="81" spans="1:64">
      <c r="A81" s="41">
        <f t="shared" si="37"/>
        <v>7978.9392312139271</v>
      </c>
      <c r="B81" s="41">
        <f t="shared" ref="B81:C81" si="98">(A81/60)</f>
        <v>132.98232052023212</v>
      </c>
      <c r="C81" s="41">
        <f t="shared" si="98"/>
        <v>2.2163720086705352</v>
      </c>
      <c r="D81" s="23">
        <f t="shared" ca="1" si="44"/>
        <v>13131.093675641567</v>
      </c>
      <c r="E81" s="41">
        <f t="shared" si="39"/>
        <v>900</v>
      </c>
      <c r="F81" s="41">
        <f t="shared" si="40"/>
        <v>900</v>
      </c>
      <c r="G81" s="4"/>
      <c r="H81" s="6">
        <v>18000</v>
      </c>
      <c r="I81" s="5">
        <v>15</v>
      </c>
      <c r="J81" s="4">
        <f t="shared" si="0"/>
        <v>0.63714767046541398</v>
      </c>
      <c r="K81" s="4">
        <f t="shared" si="1"/>
        <v>685.3670575177938</v>
      </c>
      <c r="L81" s="6">
        <f t="shared" si="41"/>
        <v>305</v>
      </c>
      <c r="M81" s="4">
        <f t="shared" si="2"/>
        <v>406.06901570637257</v>
      </c>
      <c r="N81" s="4">
        <f t="shared" si="3"/>
        <v>300.31002855301762</v>
      </c>
      <c r="O81" s="4">
        <f t="shared" si="4"/>
        <v>2485858.7855235571</v>
      </c>
      <c r="P81" s="4">
        <f t="shared" si="5"/>
        <v>15960960.176670393</v>
      </c>
      <c r="Q81" s="4">
        <f t="shared" si="6"/>
        <v>2.6889318323236153E-3</v>
      </c>
      <c r="R81" s="4">
        <f t="shared" si="7"/>
        <v>1.9415928836335673E-2</v>
      </c>
      <c r="S81" s="27">
        <v>0</v>
      </c>
      <c r="T81" s="4">
        <f t="shared" ca="1" si="8"/>
        <v>0.19010924113426689</v>
      </c>
      <c r="U81" s="4">
        <f t="shared" ca="1" si="9"/>
        <v>2.1698509045139543E-2</v>
      </c>
      <c r="V81" s="4">
        <f t="shared" ca="1" si="10"/>
        <v>8.7613964968183513</v>
      </c>
      <c r="W81" s="20">
        <f t="shared" ca="1" si="11"/>
        <v>1498.7443703078666</v>
      </c>
      <c r="X81" s="4">
        <f t="shared" si="12"/>
        <v>0.55445881231166849</v>
      </c>
      <c r="Y81" s="4">
        <f t="shared" ca="1" si="13"/>
        <v>206.21259752142115</v>
      </c>
      <c r="Z81" s="14">
        <f t="shared" ca="1" si="14"/>
        <v>1498.7443703078666</v>
      </c>
      <c r="AA81" s="14">
        <f t="shared" si="15"/>
        <v>3136.1037756224764</v>
      </c>
      <c r="AB81" s="25">
        <f t="shared" ca="1" si="16"/>
        <v>1027190.0190492612</v>
      </c>
      <c r="AC81" s="4">
        <f t="shared" si="17"/>
        <v>2149382.2167688203</v>
      </c>
      <c r="AD81" s="5">
        <f t="shared" ca="1" si="18"/>
        <v>47.790011987418531</v>
      </c>
      <c r="AE81" s="7">
        <f t="shared" ca="1" si="19"/>
        <v>1498.7443703078666</v>
      </c>
      <c r="AF81" s="41">
        <f t="shared" ca="1" si="42"/>
        <v>1637.3594053146098</v>
      </c>
      <c r="AG81" s="4">
        <f t="shared" ca="1" si="20"/>
        <v>85.460680232694358</v>
      </c>
      <c r="AH81" s="4">
        <f t="shared" ca="1" si="21"/>
        <v>1296.3103870457132</v>
      </c>
      <c r="AI81" s="13">
        <f t="shared" ca="1" si="22"/>
        <v>0</v>
      </c>
      <c r="AJ81" s="10">
        <f t="shared" ca="1" si="23"/>
        <v>0</v>
      </c>
      <c r="AK81" s="11">
        <f t="shared" ca="1" si="24"/>
        <v>0.39049609580301253</v>
      </c>
      <c r="AL81" s="7">
        <v>0</v>
      </c>
      <c r="AM81" s="4">
        <f t="shared" si="25"/>
        <v>7978.9392312139271</v>
      </c>
      <c r="AN81" s="4">
        <f t="shared" ca="1" si="26"/>
        <v>2873.1060563969863</v>
      </c>
      <c r="AO81" s="6">
        <v>900</v>
      </c>
      <c r="AP81" s="4">
        <f t="shared" si="27"/>
        <v>0.86493094668267545</v>
      </c>
      <c r="AQ81" s="11">
        <f t="shared" si="28"/>
        <v>0.92829992071837586</v>
      </c>
      <c r="AR81" s="11">
        <f t="shared" si="29"/>
        <v>0.49937958210548988</v>
      </c>
      <c r="AS81" s="11">
        <f t="shared" si="30"/>
        <v>0.53795068916847377</v>
      </c>
      <c r="AT81" s="11">
        <f t="shared" si="31"/>
        <v>481.48131987899995</v>
      </c>
      <c r="AU81" s="11">
        <f t="shared" si="32"/>
        <v>1056.7970592432796</v>
      </c>
      <c r="AV81" s="11">
        <f t="shared" si="33"/>
        <v>1.2786549930845453E-3</v>
      </c>
      <c r="AW81" s="11">
        <f t="shared" si="34"/>
        <v>3.5253330369939681E-7</v>
      </c>
      <c r="AX81" s="4">
        <f t="shared" ca="1" si="35"/>
        <v>20.094246273582364</v>
      </c>
      <c r="AY81" s="4">
        <f t="shared" ca="1" si="36"/>
        <v>3.8201019102358149</v>
      </c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</row>
    <row r="82" spans="1:64">
      <c r="A82" s="41">
        <f t="shared" si="37"/>
        <v>7855.7509777034502</v>
      </c>
      <c r="B82" s="41">
        <f t="shared" ref="B82:C82" si="99">(A82/60)</f>
        <v>130.92918296172417</v>
      </c>
      <c r="C82" s="41">
        <f t="shared" si="99"/>
        <v>2.1821530493620696</v>
      </c>
      <c r="D82" s="23">
        <f t="shared" ca="1" si="44"/>
        <v>13131.093675641567</v>
      </c>
      <c r="E82" s="41">
        <f t="shared" si="39"/>
        <v>900</v>
      </c>
      <c r="F82" s="41">
        <f t="shared" si="40"/>
        <v>900</v>
      </c>
      <c r="G82" s="4"/>
      <c r="H82" s="6">
        <v>18000</v>
      </c>
      <c r="I82" s="5">
        <v>15</v>
      </c>
      <c r="J82" s="4">
        <f t="shared" si="0"/>
        <v>0.64713896333807175</v>
      </c>
      <c r="K82" s="4">
        <f t="shared" si="1"/>
        <v>696.11449224031264</v>
      </c>
      <c r="L82" s="6">
        <f t="shared" si="41"/>
        <v>310</v>
      </c>
      <c r="M82" s="4">
        <f t="shared" si="2"/>
        <v>412.43669882050938</v>
      </c>
      <c r="N82" s="4">
        <f t="shared" si="3"/>
        <v>309.80236861365148</v>
      </c>
      <c r="O82" s="4">
        <f t="shared" si="4"/>
        <v>2524840.2404005602</v>
      </c>
      <c r="P82" s="4">
        <f t="shared" si="5"/>
        <v>16211248.508631889</v>
      </c>
      <c r="Q82" s="4">
        <f t="shared" si="6"/>
        <v>2.6793950637002289E-3</v>
      </c>
      <c r="R82" s="4">
        <f t="shared" si="7"/>
        <v>1.9357706863889896E-2</v>
      </c>
      <c r="S82" s="27">
        <v>0</v>
      </c>
      <c r="T82" s="4">
        <f t="shared" ca="1" si="8"/>
        <v>0.18428429675572355</v>
      </c>
      <c r="U82" s="4">
        <f t="shared" ca="1" si="9"/>
        <v>2.1502553530185563E-2</v>
      </c>
      <c r="V82" s="4">
        <f t="shared" ca="1" si="10"/>
        <v>8.5703447498467042</v>
      </c>
      <c r="W82" s="20">
        <f t="shared" ca="1" si="11"/>
        <v>1532.1546634254637</v>
      </c>
      <c r="X82" s="4">
        <f t="shared" si="12"/>
        <v>0.55362686852849163</v>
      </c>
      <c r="Y82" s="4">
        <f t="shared" ca="1" si="13"/>
        <v>206.21259752142115</v>
      </c>
      <c r="Z82" s="14">
        <f t="shared" ca="1" si="14"/>
        <v>1532.1546634254637</v>
      </c>
      <c r="AA82" s="14">
        <f t="shared" si="15"/>
        <v>3136.1037756224764</v>
      </c>
      <c r="AB82" s="25">
        <f t="shared" ca="1" si="16"/>
        <v>1066555.0655640438</v>
      </c>
      <c r="AC82" s="4">
        <f t="shared" si="17"/>
        <v>2183087.2873803675</v>
      </c>
      <c r="AD82" s="5">
        <f t="shared" ca="1" si="18"/>
        <v>48.855355978178707</v>
      </c>
      <c r="AE82" s="7">
        <f t="shared" ca="1" si="19"/>
        <v>1532.1546634254637</v>
      </c>
      <c r="AF82" s="41">
        <f t="shared" ca="1" si="42"/>
        <v>1603.9491121970127</v>
      </c>
      <c r="AG82" s="4">
        <f t="shared" ca="1" si="20"/>
        <v>85.029644094879359</v>
      </c>
      <c r="AH82" s="4">
        <f t="shared" ca="1" si="21"/>
        <v>1323.9905874687752</v>
      </c>
      <c r="AI82" s="13">
        <f t="shared" ca="1" si="22"/>
        <v>0</v>
      </c>
      <c r="AJ82" s="10">
        <f t="shared" ca="1" si="23"/>
        <v>0</v>
      </c>
      <c r="AK82" s="11">
        <f t="shared" ca="1" si="24"/>
        <v>0.38852655930378893</v>
      </c>
      <c r="AL82" s="7">
        <v>0</v>
      </c>
      <c r="AM82" s="4">
        <f t="shared" si="25"/>
        <v>7855.7509777034502</v>
      </c>
      <c r="AN82" s="4">
        <f t="shared" ca="1" si="26"/>
        <v>2889.1500977716655</v>
      </c>
      <c r="AO82" s="6">
        <v>900</v>
      </c>
      <c r="AP82" s="4">
        <f t="shared" si="27"/>
        <v>0.864136381968585</v>
      </c>
      <c r="AQ82" s="11">
        <f t="shared" si="28"/>
        <v>0.92829992071837586</v>
      </c>
      <c r="AR82" s="11">
        <f t="shared" si="29"/>
        <v>0.49937958210548988</v>
      </c>
      <c r="AS82" s="11">
        <f t="shared" si="30"/>
        <v>0.53795068916847377</v>
      </c>
      <c r="AT82" s="11">
        <f t="shared" si="31"/>
        <v>481.48131987899995</v>
      </c>
      <c r="AU82" s="11">
        <f t="shared" si="32"/>
        <v>1056.7970592432796</v>
      </c>
      <c r="AV82" s="11">
        <f t="shared" si="33"/>
        <v>1.2786549930845453E-3</v>
      </c>
      <c r="AW82" s="11">
        <f t="shared" si="34"/>
        <v>3.5253330369939681E-7</v>
      </c>
      <c r="AX82" s="4">
        <f t="shared" ca="1" si="35"/>
        <v>19.964301839605206</v>
      </c>
      <c r="AY82" s="4">
        <f t="shared" ca="1" si="36"/>
        <v>3.6791073247306438</v>
      </c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</row>
    <row r="83" spans="1:64">
      <c r="A83" s="41">
        <f t="shared" si="37"/>
        <v>7736.5276630141989</v>
      </c>
      <c r="B83" s="41">
        <f t="shared" ref="B83:C83" si="100">(A83/60)</f>
        <v>128.94212771690331</v>
      </c>
      <c r="C83" s="41">
        <f t="shared" si="100"/>
        <v>2.1490354619483885</v>
      </c>
      <c r="D83" s="23">
        <f t="shared" ca="1" si="44"/>
        <v>13131.093675641567</v>
      </c>
      <c r="E83" s="41">
        <f t="shared" si="39"/>
        <v>900</v>
      </c>
      <c r="F83" s="41">
        <f t="shared" si="40"/>
        <v>900</v>
      </c>
      <c r="G83" s="4"/>
      <c r="H83" s="6">
        <v>18000</v>
      </c>
      <c r="I83" s="5">
        <v>15</v>
      </c>
      <c r="J83" s="4">
        <f t="shared" si="0"/>
        <v>0.6571116611211586</v>
      </c>
      <c r="K83" s="4">
        <f t="shared" si="1"/>
        <v>706.84192459538303</v>
      </c>
      <c r="L83" s="6">
        <f t="shared" si="41"/>
        <v>315</v>
      </c>
      <c r="M83" s="4">
        <f t="shared" si="2"/>
        <v>418.79253085197092</v>
      </c>
      <c r="N83" s="4">
        <f t="shared" si="3"/>
        <v>319.42432419345158</v>
      </c>
      <c r="O83" s="4">
        <f t="shared" si="4"/>
        <v>2563749.1457432555</v>
      </c>
      <c r="P83" s="4">
        <f t="shared" si="5"/>
        <v>16461071.02160372</v>
      </c>
      <c r="Q83" s="4">
        <f t="shared" si="6"/>
        <v>2.6699727744765164E-3</v>
      </c>
      <c r="R83" s="4">
        <f t="shared" si="7"/>
        <v>1.9300183788179135E-2</v>
      </c>
      <c r="S83" s="27">
        <v>0</v>
      </c>
      <c r="T83" s="4">
        <f t="shared" ca="1" si="8"/>
        <v>0.17873313742583985</v>
      </c>
      <c r="U83" s="4">
        <f t="shared" ca="1" si="9"/>
        <v>2.1317759070605225E-2</v>
      </c>
      <c r="V83" s="4">
        <f t="shared" ca="1" si="10"/>
        <v>8.3842366748713566</v>
      </c>
      <c r="W83" s="20">
        <f t="shared" ca="1" si="11"/>
        <v>1566.1644804227863</v>
      </c>
      <c r="X83" s="4">
        <f t="shared" si="12"/>
        <v>0.55280368181973705</v>
      </c>
      <c r="Y83" s="4">
        <f t="shared" ca="1" si="13"/>
        <v>206.21259752142115</v>
      </c>
      <c r="Z83" s="14">
        <f t="shared" ca="1" si="14"/>
        <v>1566.1644804227863</v>
      </c>
      <c r="AA83" s="14">
        <f t="shared" si="15"/>
        <v>3136.1037756224764</v>
      </c>
      <c r="AB83" s="25">
        <f t="shared" ca="1" si="16"/>
        <v>1107030.7155749702</v>
      </c>
      <c r="AC83" s="4">
        <f t="shared" si="17"/>
        <v>2216729.6284918385</v>
      </c>
      <c r="AD83" s="5">
        <f t="shared" ca="1" si="18"/>
        <v>49.939816806984417</v>
      </c>
      <c r="AE83" s="7">
        <f t="shared" ca="1" si="19"/>
        <v>1566.1644804227863</v>
      </c>
      <c r="AF83" s="41">
        <f t="shared" ca="1" si="42"/>
        <v>1569.9392951996902</v>
      </c>
      <c r="AG83" s="4">
        <f t="shared" ca="1" si="20"/>
        <v>84.509252643241837</v>
      </c>
      <c r="AH83" s="4">
        <f t="shared" ca="1" si="21"/>
        <v>1350.2754401458653</v>
      </c>
      <c r="AI83" s="13">
        <f t="shared" ca="1" si="22"/>
        <v>0</v>
      </c>
      <c r="AJ83" s="10">
        <f t="shared" ca="1" si="23"/>
        <v>0</v>
      </c>
      <c r="AK83" s="11">
        <f t="shared" ca="1" si="24"/>
        <v>0.38614873093171881</v>
      </c>
      <c r="AL83" s="7">
        <v>0</v>
      </c>
      <c r="AM83" s="4">
        <f t="shared" si="25"/>
        <v>7736.5276630141989</v>
      </c>
      <c r="AN83" s="4">
        <f t="shared" ca="1" si="26"/>
        <v>2901.7898042714332</v>
      </c>
      <c r="AO83" s="6">
        <v>900</v>
      </c>
      <c r="AP83" s="4">
        <f t="shared" si="27"/>
        <v>0.86215429926067433</v>
      </c>
      <c r="AQ83" s="11">
        <f t="shared" si="28"/>
        <v>0.92829992071837586</v>
      </c>
      <c r="AR83" s="11">
        <f t="shared" si="29"/>
        <v>0.49937958210548988</v>
      </c>
      <c r="AS83" s="11">
        <f t="shared" si="30"/>
        <v>0.53795068916847377</v>
      </c>
      <c r="AT83" s="11">
        <f t="shared" si="31"/>
        <v>481.48131987899995</v>
      </c>
      <c r="AU83" s="11">
        <f t="shared" si="32"/>
        <v>1056.7970592432796</v>
      </c>
      <c r="AV83" s="11">
        <f t="shared" si="33"/>
        <v>1.2786549930845453E-3</v>
      </c>
      <c r="AW83" s="11">
        <f t="shared" si="34"/>
        <v>3.5253330369939681E-7</v>
      </c>
      <c r="AX83" s="4">
        <f t="shared" ca="1" si="35"/>
        <v>19.831747753756559</v>
      </c>
      <c r="AY83" s="4">
        <f t="shared" ca="1" si="36"/>
        <v>3.544590496666761</v>
      </c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</row>
    <row r="84" spans="1:64">
      <c r="A84" s="41">
        <f t="shared" si="37"/>
        <v>7621.0821899414723</v>
      </c>
      <c r="B84" s="41">
        <f t="shared" ref="B84:C84" si="101">(A84/60)</f>
        <v>127.01803649902453</v>
      </c>
      <c r="C84" s="41">
        <f t="shared" si="101"/>
        <v>2.1169672749837423</v>
      </c>
      <c r="D84" s="23">
        <f t="shared" ca="1" si="44"/>
        <v>13131.093675641567</v>
      </c>
      <c r="E84" s="41">
        <f t="shared" si="39"/>
        <v>900</v>
      </c>
      <c r="F84" s="41">
        <f t="shared" si="40"/>
        <v>900</v>
      </c>
      <c r="G84" s="4"/>
      <c r="H84" s="6">
        <v>18000</v>
      </c>
      <c r="I84" s="5">
        <v>15</v>
      </c>
      <c r="J84" s="4">
        <f t="shared" si="0"/>
        <v>0.6670657023831541</v>
      </c>
      <c r="K84" s="4">
        <f t="shared" si="1"/>
        <v>717.54928850234239</v>
      </c>
      <c r="L84" s="6">
        <f t="shared" si="41"/>
        <v>320</v>
      </c>
      <c r="M84" s="4">
        <f t="shared" si="2"/>
        <v>425.13647264902181</v>
      </c>
      <c r="N84" s="4">
        <f t="shared" si="3"/>
        <v>329.17501156502334</v>
      </c>
      <c r="O84" s="4">
        <f t="shared" si="4"/>
        <v>2602585.2618739489</v>
      </c>
      <c r="P84" s="4">
        <f t="shared" si="5"/>
        <v>16710426.176686671</v>
      </c>
      <c r="Q84" s="4">
        <f t="shared" si="6"/>
        <v>2.6606607013603769E-3</v>
      </c>
      <c r="R84" s="4">
        <f t="shared" si="7"/>
        <v>1.9243333581805099E-2</v>
      </c>
      <c r="S84" s="27">
        <v>0</v>
      </c>
      <c r="T84" s="4">
        <f t="shared" ca="1" si="8"/>
        <v>0.17343877763317594</v>
      </c>
      <c r="U84" s="4">
        <f t="shared" ca="1" si="9"/>
        <v>2.1143151585355999E-2</v>
      </c>
      <c r="V84" s="4">
        <f t="shared" ca="1" si="10"/>
        <v>8.2030711898836177</v>
      </c>
      <c r="W84" s="20">
        <f t="shared" ca="1" si="11"/>
        <v>1600.7533485550387</v>
      </c>
      <c r="X84" s="4">
        <f t="shared" si="12"/>
        <v>0.55198891807021844</v>
      </c>
      <c r="Y84" s="4">
        <f t="shared" ca="1" si="13"/>
        <v>206.21259752142115</v>
      </c>
      <c r="Z84" s="14">
        <f t="shared" ca="1" si="14"/>
        <v>1600.7533485550387</v>
      </c>
      <c r="AA84" s="14">
        <f t="shared" si="15"/>
        <v>3136.1037756224764</v>
      </c>
      <c r="AB84" s="25">
        <f t="shared" ca="1" si="16"/>
        <v>1148619.4263234101</v>
      </c>
      <c r="AC84" s="4">
        <f t="shared" si="17"/>
        <v>2250309.0328674177</v>
      </c>
      <c r="AD84" s="5">
        <f t="shared" ca="1" si="18"/>
        <v>51.042741665565885</v>
      </c>
      <c r="AE84" s="7">
        <f t="shared" ca="1" si="19"/>
        <v>1600.7533485550387</v>
      </c>
      <c r="AF84" s="41">
        <f t="shared" ca="1" si="42"/>
        <v>1535.3504270674377</v>
      </c>
      <c r="AG84" s="4">
        <f t="shared" ca="1" si="20"/>
        <v>83.899302964204963</v>
      </c>
      <c r="AH84" s="4">
        <f t="shared" ca="1" si="21"/>
        <v>1374.7263017116322</v>
      </c>
      <c r="AI84" s="13">
        <f t="shared" ca="1" si="22"/>
        <v>0</v>
      </c>
      <c r="AJ84" s="10">
        <f t="shared" ca="1" si="23"/>
        <v>0</v>
      </c>
      <c r="AK84" s="11">
        <f t="shared" ca="1" si="24"/>
        <v>0.38336168351234812</v>
      </c>
      <c r="AL84" s="7">
        <v>0</v>
      </c>
      <c r="AM84" s="4">
        <f t="shared" si="25"/>
        <v>7621.0821899414723</v>
      </c>
      <c r="AN84" s="4">
        <f t="shared" ca="1" si="26"/>
        <v>2910.250592782952</v>
      </c>
      <c r="AO84" s="6">
        <v>900</v>
      </c>
      <c r="AP84" s="4">
        <f t="shared" si="27"/>
        <v>0.85879957893111036</v>
      </c>
      <c r="AQ84" s="11">
        <f t="shared" si="28"/>
        <v>0.92829992071837586</v>
      </c>
      <c r="AR84" s="11">
        <f t="shared" si="29"/>
        <v>0.49937958210548988</v>
      </c>
      <c r="AS84" s="11">
        <f t="shared" si="30"/>
        <v>0.53795068916847377</v>
      </c>
      <c r="AT84" s="11">
        <f t="shared" si="31"/>
        <v>481.48131987899995</v>
      </c>
      <c r="AU84" s="11">
        <f t="shared" si="32"/>
        <v>1056.7970592432796</v>
      </c>
      <c r="AV84" s="11">
        <f t="shared" si="33"/>
        <v>1.2786549930845453E-3</v>
      </c>
      <c r="AW84" s="11">
        <f t="shared" si="34"/>
        <v>3.5253330369939681E-7</v>
      </c>
      <c r="AX84" s="4">
        <f t="shared" ca="1" si="35"/>
        <v>19.69714938034728</v>
      </c>
      <c r="AY84" s="4">
        <f t="shared" ca="1" si="36"/>
        <v>3.4162495113855011</v>
      </c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</row>
    <row r="85" spans="1:64">
      <c r="A85" s="41">
        <f t="shared" si="37"/>
        <v>7509.238978397404</v>
      </c>
      <c r="B85" s="41">
        <f t="shared" ref="B85:C85" si="102">(A85/60)</f>
        <v>125.15398297329007</v>
      </c>
      <c r="C85" s="41">
        <f t="shared" si="102"/>
        <v>2.0858997162215012</v>
      </c>
      <c r="D85" s="23">
        <f t="shared" ca="1" si="44"/>
        <v>13131.093675641567</v>
      </c>
      <c r="E85" s="41">
        <f t="shared" si="39"/>
        <v>900</v>
      </c>
      <c r="F85" s="41">
        <f t="shared" si="40"/>
        <v>900</v>
      </c>
      <c r="G85" s="4"/>
      <c r="H85" s="6">
        <v>18000</v>
      </c>
      <c r="I85" s="5">
        <v>15</v>
      </c>
      <c r="J85" s="4">
        <f t="shared" si="0"/>
        <v>0.6770010328047934</v>
      </c>
      <c r="K85" s="4">
        <f t="shared" si="1"/>
        <v>728.23652553103932</v>
      </c>
      <c r="L85" s="6">
        <f t="shared" si="41"/>
        <v>325</v>
      </c>
      <c r="M85" s="4">
        <f t="shared" si="2"/>
        <v>431.46848959273228</v>
      </c>
      <c r="N85" s="4">
        <f t="shared" si="3"/>
        <v>339.05355204752021</v>
      </c>
      <c r="O85" s="4">
        <f t="shared" si="4"/>
        <v>2641348.3768637138</v>
      </c>
      <c r="P85" s="4">
        <f t="shared" si="5"/>
        <v>16959312.613148116</v>
      </c>
      <c r="Q85" s="4">
        <f t="shared" si="6"/>
        <v>2.651454813770807E-3</v>
      </c>
      <c r="R85" s="4">
        <f t="shared" si="7"/>
        <v>1.9187131638070776E-2</v>
      </c>
      <c r="S85" s="27">
        <v>0</v>
      </c>
      <c r="T85" s="4">
        <f t="shared" ca="1" si="8"/>
        <v>0.16838552874155552</v>
      </c>
      <c r="U85" s="4">
        <f t="shared" ca="1" si="9"/>
        <v>2.0977857561825727E-2</v>
      </c>
      <c r="V85" s="4">
        <f t="shared" ca="1" si="10"/>
        <v>8.0268220072183922</v>
      </c>
      <c r="W85" s="20">
        <f t="shared" ca="1" si="11"/>
        <v>1635.9019377573072</v>
      </c>
      <c r="X85" s="4">
        <f t="shared" si="12"/>
        <v>0.55118226119861857</v>
      </c>
      <c r="Y85" s="4">
        <f t="shared" ca="1" si="13"/>
        <v>206.21259752142115</v>
      </c>
      <c r="Z85" s="14">
        <f t="shared" ca="1" si="14"/>
        <v>1635.9019377573072</v>
      </c>
      <c r="AA85" s="14">
        <f t="shared" si="15"/>
        <v>3136.1037756224764</v>
      </c>
      <c r="AB85" s="25">
        <f t="shared" ca="1" si="16"/>
        <v>1191323.5432618759</v>
      </c>
      <c r="AC85" s="4">
        <f t="shared" si="17"/>
        <v>2283825.3172640866</v>
      </c>
      <c r="AD85" s="5">
        <f t="shared" ca="1" si="18"/>
        <v>52.16351418194386</v>
      </c>
      <c r="AE85" s="7">
        <f t="shared" ca="1" si="19"/>
        <v>1635.9019377573072</v>
      </c>
      <c r="AF85" s="41">
        <f t="shared" ca="1" si="42"/>
        <v>1500.2018378651692</v>
      </c>
      <c r="AG85" s="4">
        <f t="shared" ca="1" si="20"/>
        <v>83.199602484659948</v>
      </c>
      <c r="AH85" s="4">
        <f t="shared" ca="1" si="21"/>
        <v>1396.8481345680948</v>
      </c>
      <c r="AI85" s="13">
        <f t="shared" ca="1" si="22"/>
        <v>0</v>
      </c>
      <c r="AJ85" s="10">
        <f t="shared" ca="1" si="23"/>
        <v>0</v>
      </c>
      <c r="AK85" s="11">
        <f t="shared" ca="1" si="24"/>
        <v>0.38016453711999704</v>
      </c>
      <c r="AL85" s="7">
        <v>0</v>
      </c>
      <c r="AM85" s="4">
        <f t="shared" si="25"/>
        <v>7509.238978397404</v>
      </c>
      <c r="AN85" s="4">
        <f t="shared" ca="1" si="26"/>
        <v>2913.6851275001222</v>
      </c>
      <c r="AO85" s="6">
        <v>900</v>
      </c>
      <c r="AP85" s="4">
        <f t="shared" si="27"/>
        <v>0.85387033435699922</v>
      </c>
      <c r="AQ85" s="11">
        <f t="shared" si="28"/>
        <v>0.92829992071837586</v>
      </c>
      <c r="AR85" s="11">
        <f t="shared" si="29"/>
        <v>0.49937958210548988</v>
      </c>
      <c r="AS85" s="11">
        <f t="shared" si="30"/>
        <v>0.53795068916847377</v>
      </c>
      <c r="AT85" s="11">
        <f t="shared" si="31"/>
        <v>481.48131987899995</v>
      </c>
      <c r="AU85" s="11">
        <f t="shared" si="32"/>
        <v>1056.7970592432796</v>
      </c>
      <c r="AV85" s="11">
        <f t="shared" si="33"/>
        <v>1.2786549930845453E-3</v>
      </c>
      <c r="AW85" s="11">
        <f t="shared" si="34"/>
        <v>3.5253330369939681E-7</v>
      </c>
      <c r="AX85" s="4">
        <f t="shared" ca="1" si="35"/>
        <v>19.561008879764508</v>
      </c>
      <c r="AY85" s="4">
        <f t="shared" ca="1" si="36"/>
        <v>3.2937908229374102</v>
      </c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</row>
    <row r="86" spans="1:64">
      <c r="A86" s="41">
        <f t="shared" si="37"/>
        <v>7400.8330934336873</v>
      </c>
      <c r="B86" s="41">
        <f t="shared" ref="B86:C86" si="103">(A86/60)</f>
        <v>123.34721822389479</v>
      </c>
      <c r="C86" s="41">
        <f t="shared" si="103"/>
        <v>2.0557869703982465</v>
      </c>
      <c r="D86" s="23">
        <f t="shared" ca="1" si="44"/>
        <v>13131.093675641567</v>
      </c>
      <c r="E86" s="41">
        <f t="shared" si="39"/>
        <v>900</v>
      </c>
      <c r="F86" s="41">
        <f t="shared" si="40"/>
        <v>900</v>
      </c>
      <c r="G86" s="4"/>
      <c r="H86" s="6">
        <v>18000</v>
      </c>
      <c r="I86" s="5">
        <v>15</v>
      </c>
      <c r="J86" s="4">
        <f t="shared" si="0"/>
        <v>0.68691760505497268</v>
      </c>
      <c r="K86" s="4">
        <f t="shared" si="1"/>
        <v>738.90358476834831</v>
      </c>
      <c r="L86" s="6">
        <f t="shared" si="41"/>
        <v>330</v>
      </c>
      <c r="M86" s="4">
        <f t="shared" si="2"/>
        <v>437.78855151789008</v>
      </c>
      <c r="N86" s="4">
        <f t="shared" si="3"/>
        <v>349.05907241925536</v>
      </c>
      <c r="O86" s="4">
        <f t="shared" si="4"/>
        <v>2680038.3060482312</v>
      </c>
      <c r="P86" s="4">
        <f t="shared" si="5"/>
        <v>17207729.145313364</v>
      </c>
      <c r="Q86" s="4">
        <f t="shared" si="6"/>
        <v>2.6423512983700143E-3</v>
      </c>
      <c r="R86" s="4">
        <f t="shared" si="7"/>
        <v>1.9131554676548937E-2</v>
      </c>
      <c r="S86" s="27">
        <v>0</v>
      </c>
      <c r="T86" s="4">
        <f t="shared" ca="1" si="8"/>
        <v>0.16355888198961141</v>
      </c>
      <c r="U86" s="4">
        <f t="shared" ca="1" si="9"/>
        <v>2.0821092261428462E-2</v>
      </c>
      <c r="V86" s="4">
        <f t="shared" ca="1" si="10"/>
        <v>7.8554419689406929</v>
      </c>
      <c r="W86" s="20">
        <f t="shared" ca="1" si="11"/>
        <v>1671.5919648518895</v>
      </c>
      <c r="X86" s="4">
        <f t="shared" si="12"/>
        <v>0.55038341198016849</v>
      </c>
      <c r="Y86" s="4">
        <f t="shared" ca="1" si="13"/>
        <v>206.21259752142115</v>
      </c>
      <c r="Z86" s="14">
        <f t="shared" ca="1" si="14"/>
        <v>1671.5919648518895</v>
      </c>
      <c r="AA86" s="14">
        <f t="shared" si="15"/>
        <v>3136.1037756224764</v>
      </c>
      <c r="AB86" s="25">
        <f t="shared" ca="1" si="16"/>
        <v>1235145.2950990282</v>
      </c>
      <c r="AC86" s="4">
        <f t="shared" si="17"/>
        <v>2317278.3220129996</v>
      </c>
      <c r="AD86" s="5">
        <f t="shared" ca="1" si="18"/>
        <v>53.301551365917412</v>
      </c>
      <c r="AE86" s="7">
        <f t="shared" ca="1" si="19"/>
        <v>1671.5919648518895</v>
      </c>
      <c r="AF86" s="41">
        <f t="shared" ca="1" si="42"/>
        <v>1464.5118107705869</v>
      </c>
      <c r="AG86" s="4">
        <f t="shared" ca="1" si="20"/>
        <v>82.409969317433863</v>
      </c>
      <c r="AH86" s="4">
        <f t="shared" ca="1" si="21"/>
        <v>1416.084441370492</v>
      </c>
      <c r="AI86" s="13">
        <f t="shared" ca="1" si="22"/>
        <v>0</v>
      </c>
      <c r="AJ86" s="10">
        <f t="shared" ca="1" si="23"/>
        <v>0</v>
      </c>
      <c r="AK86" s="11">
        <f t="shared" ca="1" si="24"/>
        <v>0.37655646065630904</v>
      </c>
      <c r="AL86" s="7">
        <v>0</v>
      </c>
      <c r="AM86" s="4">
        <f t="shared" si="25"/>
        <v>7400.8330934336873</v>
      </c>
      <c r="AN86" s="4">
        <f t="shared" ca="1" si="26"/>
        <v>2911.1679435531369</v>
      </c>
      <c r="AO86" s="6">
        <v>900</v>
      </c>
      <c r="AP86" s="4">
        <f t="shared" si="27"/>
        <v>0.84714719330202293</v>
      </c>
      <c r="AQ86" s="11">
        <f t="shared" si="28"/>
        <v>0.92829992071837586</v>
      </c>
      <c r="AR86" s="11">
        <f t="shared" si="29"/>
        <v>0.49937958210548988</v>
      </c>
      <c r="AS86" s="11">
        <f t="shared" si="30"/>
        <v>0.53795068916847377</v>
      </c>
      <c r="AT86" s="11">
        <f t="shared" si="31"/>
        <v>481.48131987899995</v>
      </c>
      <c r="AU86" s="11">
        <f t="shared" si="32"/>
        <v>1056.7970592432796</v>
      </c>
      <c r="AV86" s="11">
        <f t="shared" si="33"/>
        <v>1.2786549930845453E-3</v>
      </c>
      <c r="AW86" s="11">
        <f t="shared" si="34"/>
        <v>3.5253330369939681E-7</v>
      </c>
      <c r="AX86" s="4">
        <f t="shared" ca="1" si="35"/>
        <v>19.423771394028194</v>
      </c>
      <c r="AY86" s="4">
        <f t="shared" ca="1" si="36"/>
        <v>3.1769303332290479</v>
      </c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</row>
    <row r="87" spans="1:64">
      <c r="A87" s="41">
        <f t="shared" si="37"/>
        <v>7295.7094513343391</v>
      </c>
      <c r="B87" s="41">
        <f t="shared" ref="B87:C87" si="104">(A87/60)</f>
        <v>121.59515752223898</v>
      </c>
      <c r="C87" s="41">
        <f t="shared" si="104"/>
        <v>2.0265859587039832</v>
      </c>
      <c r="D87" s="23">
        <f t="shared" ca="1" si="44"/>
        <v>13131.093675641567</v>
      </c>
      <c r="E87" s="41">
        <f t="shared" si="39"/>
        <v>900</v>
      </c>
      <c r="F87" s="41">
        <f t="shared" si="40"/>
        <v>900</v>
      </c>
      <c r="G87" s="4"/>
      <c r="H87" s="6">
        <v>18000</v>
      </c>
      <c r="I87" s="5">
        <v>15</v>
      </c>
      <c r="J87" s="4">
        <f t="shared" si="0"/>
        <v>0.6968153786638619</v>
      </c>
      <c r="K87" s="4">
        <f t="shared" si="1"/>
        <v>749.55042268167927</v>
      </c>
      <c r="L87" s="6">
        <f t="shared" si="41"/>
        <v>335</v>
      </c>
      <c r="M87" s="4">
        <f t="shared" si="2"/>
        <v>444.09663263213207</v>
      </c>
      <c r="N87" s="4">
        <f t="shared" si="3"/>
        <v>359.19070531361558</v>
      </c>
      <c r="O87" s="4">
        <f t="shared" si="4"/>
        <v>2718654.8915327354</v>
      </c>
      <c r="P87" s="4">
        <f t="shared" si="5"/>
        <v>17455674.759387072</v>
      </c>
      <c r="Q87" s="4">
        <f t="shared" si="6"/>
        <v>2.6333465448116272E-3</v>
      </c>
      <c r="R87" s="4">
        <f t="shared" si="7"/>
        <v>1.9076580656074982E-2</v>
      </c>
      <c r="S87" s="27">
        <v>0</v>
      </c>
      <c r="T87" s="4">
        <f t="shared" ca="1" si="8"/>
        <v>0.1589454036216679</v>
      </c>
      <c r="U87" s="4">
        <f t="shared" ca="1" si="9"/>
        <v>2.0672149465027729E-2</v>
      </c>
      <c r="V87" s="4">
        <f t="shared" ca="1" si="10"/>
        <v>7.6888667959064936</v>
      </c>
      <c r="W87" s="20">
        <f t="shared" ca="1" si="11"/>
        <v>1707.8061077391119</v>
      </c>
      <c r="X87" s="4">
        <f t="shared" si="12"/>
        <v>0.54959208696039386</v>
      </c>
      <c r="Y87" s="4">
        <f t="shared" ca="1" si="13"/>
        <v>206.21259752142115</v>
      </c>
      <c r="Z87" s="14">
        <f t="shared" ca="1" si="14"/>
        <v>1707.8061077391119</v>
      </c>
      <c r="AA87" s="14">
        <f t="shared" si="15"/>
        <v>3136.1037756224764</v>
      </c>
      <c r="AB87" s="25">
        <f t="shared" ca="1" si="16"/>
        <v>1280086.7899142047</v>
      </c>
      <c r="AC87" s="4">
        <f t="shared" si="17"/>
        <v>2350667.9105914375</v>
      </c>
      <c r="AD87" s="5">
        <f t="shared" ca="1" si="18"/>
        <v>54.456300872892328</v>
      </c>
      <c r="AE87" s="7">
        <f t="shared" ca="1" si="19"/>
        <v>1707.8061077391119</v>
      </c>
      <c r="AF87" s="41">
        <f t="shared" ca="1" si="42"/>
        <v>1428.2976678833645</v>
      </c>
      <c r="AG87" s="4">
        <f t="shared" ca="1" si="20"/>
        <v>81.530232524590204</v>
      </c>
      <c r="AH87" s="4">
        <f t="shared" ca="1" si="21"/>
        <v>1431.8119676732501</v>
      </c>
      <c r="AI87" s="13">
        <f t="shared" ca="1" si="22"/>
        <v>0</v>
      </c>
      <c r="AJ87" s="10">
        <f t="shared" ca="1" si="23"/>
        <v>0</v>
      </c>
      <c r="AK87" s="11">
        <f t="shared" ca="1" si="24"/>
        <v>0.37253667305335136</v>
      </c>
      <c r="AL87" s="7">
        <v>0</v>
      </c>
      <c r="AM87" s="4">
        <f t="shared" si="25"/>
        <v>7295.7094513343391</v>
      </c>
      <c r="AN87" s="4">
        <f t="shared" ca="1" si="26"/>
        <v>2901.6900291909301</v>
      </c>
      <c r="AO87" s="6">
        <v>900</v>
      </c>
      <c r="AP87" s="4">
        <f t="shared" si="27"/>
        <v>0.83839257933604761</v>
      </c>
      <c r="AQ87" s="11">
        <f t="shared" si="28"/>
        <v>0.92829992071837586</v>
      </c>
      <c r="AR87" s="11">
        <f t="shared" si="29"/>
        <v>0.49937958210548988</v>
      </c>
      <c r="AS87" s="11">
        <f t="shared" si="30"/>
        <v>0.53795068916847377</v>
      </c>
      <c r="AT87" s="11">
        <f t="shared" si="31"/>
        <v>481.48131987899995</v>
      </c>
      <c r="AU87" s="11">
        <f t="shared" si="32"/>
        <v>1056.7970592432796</v>
      </c>
      <c r="AV87" s="11">
        <f t="shared" si="33"/>
        <v>1.2786549930845453E-3</v>
      </c>
      <c r="AW87" s="11">
        <f t="shared" si="34"/>
        <v>3.5253330369939681E-7</v>
      </c>
      <c r="AX87" s="4">
        <f t="shared" ca="1" si="35"/>
        <v>19.285830716309412</v>
      </c>
      <c r="AY87" s="4">
        <f t="shared" ca="1" si="36"/>
        <v>3.06539414738296</v>
      </c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</row>
    <row r="88" spans="1:64">
      <c r="A88" s="41">
        <f t="shared" si="37"/>
        <v>7193.7220957419395</v>
      </c>
      <c r="B88" s="41">
        <f t="shared" ref="B88:C88" si="105">(A88/60)</f>
        <v>119.89536826236566</v>
      </c>
      <c r="C88" s="41">
        <f t="shared" si="105"/>
        <v>1.9982561377060943</v>
      </c>
      <c r="D88" s="23">
        <f t="shared" ca="1" si="44"/>
        <v>13131.093675641567</v>
      </c>
      <c r="E88" s="41">
        <f t="shared" si="39"/>
        <v>900</v>
      </c>
      <c r="F88" s="41">
        <f t="shared" si="40"/>
        <v>900</v>
      </c>
      <c r="G88" s="4"/>
      <c r="H88" s="6">
        <v>18000</v>
      </c>
      <c r="I88" s="5">
        <v>15</v>
      </c>
      <c r="J88" s="4">
        <f t="shared" si="0"/>
        <v>0.70669431989348075</v>
      </c>
      <c r="K88" s="4">
        <f t="shared" si="1"/>
        <v>760.17700297975875</v>
      </c>
      <c r="L88" s="6">
        <f t="shared" si="41"/>
        <v>340</v>
      </c>
      <c r="M88" s="4">
        <f t="shared" si="2"/>
        <v>450.3927114334594</v>
      </c>
      <c r="N88" s="4">
        <f t="shared" si="3"/>
        <v>369.44758959831529</v>
      </c>
      <c r="O88" s="4">
        <f t="shared" si="4"/>
        <v>2757198.0016870587</v>
      </c>
      <c r="P88" s="4">
        <f t="shared" si="5"/>
        <v>17703148.610211067</v>
      </c>
      <c r="Q88" s="4">
        <f t="shared" si="6"/>
        <v>2.624437132593355E-3</v>
      </c>
      <c r="R88" s="4">
        <f t="shared" si="7"/>
        <v>1.9022188694482432E-2</v>
      </c>
      <c r="S88" s="27">
        <v>0</v>
      </c>
      <c r="T88" s="4">
        <f t="shared" ca="1" si="8"/>
        <v>0.15453264073341932</v>
      </c>
      <c r="U88" s="4">
        <f t="shared" ca="1" si="9"/>
        <v>2.0530392537551224E-2</v>
      </c>
      <c r="V88" s="4">
        <f t="shared" ca="1" si="10"/>
        <v>7.5270183193414626</v>
      </c>
      <c r="W88" s="20">
        <f t="shared" ca="1" si="11"/>
        <v>1744.5279283962741</v>
      </c>
      <c r="X88" s="4">
        <f t="shared" si="12"/>
        <v>0.54880801745167274</v>
      </c>
      <c r="Y88" s="4">
        <f t="shared" ca="1" si="13"/>
        <v>206.21259752142115</v>
      </c>
      <c r="Z88" s="14">
        <f t="shared" ca="1" si="14"/>
        <v>1744.5279283962741</v>
      </c>
      <c r="AA88" s="14">
        <f t="shared" si="15"/>
        <v>3136.1037756224764</v>
      </c>
      <c r="AB88" s="25">
        <f t="shared" ca="1" si="16"/>
        <v>1326150.0122227669</v>
      </c>
      <c r="AC88" s="4">
        <f t="shared" si="17"/>
        <v>2383993.9691861998</v>
      </c>
      <c r="AD88" s="5">
        <f t="shared" ca="1" si="18"/>
        <v>55.627238548571555</v>
      </c>
      <c r="AE88" s="7">
        <f t="shared" ca="1" si="19"/>
        <v>1744.5279283962743</v>
      </c>
      <c r="AF88" s="41">
        <f t="shared" ca="1" si="42"/>
        <v>1391.5758472262023</v>
      </c>
      <c r="AG88" s="4">
        <f t="shared" ca="1" si="20"/>
        <v>80.560232307667874</v>
      </c>
      <c r="AH88" s="4">
        <f t="shared" ca="1" si="21"/>
        <v>1443.3351705896957</v>
      </c>
      <c r="AI88" s="13">
        <f t="shared" ca="1" si="22"/>
        <v>1.3162973581976491E-14</v>
      </c>
      <c r="AJ88" s="10">
        <f t="shared" ca="1" si="23"/>
        <v>9.9211476949866922E-16</v>
      </c>
      <c r="AK88" s="11">
        <f t="shared" ca="1" si="24"/>
        <v>0.36810444414287591</v>
      </c>
      <c r="AL88" s="7">
        <v>0</v>
      </c>
      <c r="AM88" s="4">
        <f t="shared" si="25"/>
        <v>7193.7220957419395</v>
      </c>
      <c r="AN88" s="4">
        <f t="shared" ca="1" si="26"/>
        <v>2884.153363397932</v>
      </c>
      <c r="AO88" s="6">
        <v>900</v>
      </c>
      <c r="AP88" s="4">
        <f t="shared" si="27"/>
        <v>0.82734999371236095</v>
      </c>
      <c r="AQ88" s="11">
        <f t="shared" si="28"/>
        <v>0.92829992071837586</v>
      </c>
      <c r="AR88" s="11">
        <f t="shared" si="29"/>
        <v>0.49937958210548988</v>
      </c>
      <c r="AS88" s="11">
        <f t="shared" si="30"/>
        <v>0.53795068916847377</v>
      </c>
      <c r="AT88" s="11">
        <f t="shared" si="31"/>
        <v>481.48131987899995</v>
      </c>
      <c r="AU88" s="11">
        <f t="shared" si="32"/>
        <v>1056.7970592432796</v>
      </c>
      <c r="AV88" s="11">
        <f t="shared" si="33"/>
        <v>1.2786549930845453E-3</v>
      </c>
      <c r="AW88" s="11">
        <f t="shared" si="34"/>
        <v>3.5253330369939681E-7</v>
      </c>
      <c r="AX88" s="4">
        <f t="shared" ca="1" si="35"/>
        <v>19.147534467493188</v>
      </c>
      <c r="AY88" s="4">
        <f t="shared" ca="1" si="36"/>
        <v>2.9589190647958885</v>
      </c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</row>
    <row r="89" spans="1:64">
      <c r="A89" s="41">
        <f t="shared" si="37"/>
        <v>7094.7335367122423</v>
      </c>
      <c r="B89" s="41">
        <f t="shared" ref="B89:C89" si="106">(A89/60)</f>
        <v>118.24555894520404</v>
      </c>
      <c r="C89" s="41">
        <f t="shared" si="106"/>
        <v>1.9707593157534007</v>
      </c>
      <c r="D89" s="23">
        <f t="shared" ca="1" si="44"/>
        <v>13131.093675641567</v>
      </c>
      <c r="E89" s="41">
        <f t="shared" si="39"/>
        <v>900</v>
      </c>
      <c r="F89" s="41">
        <f t="shared" si="40"/>
        <v>900</v>
      </c>
      <c r="G89" s="4"/>
      <c r="H89" s="6">
        <v>18000</v>
      </c>
      <c r="I89" s="5">
        <v>15</v>
      </c>
      <c r="J89" s="4">
        <f t="shared" si="0"/>
        <v>0.71655440160602724</v>
      </c>
      <c r="K89" s="4">
        <f t="shared" si="1"/>
        <v>770.78329647099406</v>
      </c>
      <c r="L89" s="6">
        <f t="shared" si="41"/>
        <v>345</v>
      </c>
      <c r="M89" s="4">
        <f t="shared" si="2"/>
        <v>456.67677062632043</v>
      </c>
      <c r="N89" s="4">
        <f t="shared" si="3"/>
        <v>379.8288707380986</v>
      </c>
      <c r="O89" s="4">
        <f t="shared" si="4"/>
        <v>2795667.5306319105</v>
      </c>
      <c r="P89" s="4">
        <f t="shared" si="5"/>
        <v>17950150.017965905</v>
      </c>
      <c r="Q89" s="4">
        <f t="shared" si="6"/>
        <v>2.6156198189141366E-3</v>
      </c>
      <c r="R89" s="4">
        <f t="shared" si="7"/>
        <v>1.8968358994470802E-2</v>
      </c>
      <c r="S89" s="27">
        <v>0</v>
      </c>
      <c r="T89" s="4">
        <f t="shared" ca="1" si="8"/>
        <v>0.1503090365992488</v>
      </c>
      <c r="U89" s="4">
        <f t="shared" ca="1" si="9"/>
        <v>2.0395246625483032E-2</v>
      </c>
      <c r="V89" s="4">
        <f t="shared" ca="1" si="10"/>
        <v>7.3698072575128242</v>
      </c>
      <c r="W89" s="20">
        <f t="shared" ca="1" si="11"/>
        <v>1781.7418036619144</v>
      </c>
      <c r="X89" s="4">
        <f t="shared" si="12"/>
        <v>0.54803094860520796</v>
      </c>
      <c r="Y89" s="4">
        <f t="shared" ca="1" si="13"/>
        <v>206.21259752142115</v>
      </c>
      <c r="Z89" s="14">
        <f t="shared" ca="1" si="14"/>
        <v>1781.7418036619144</v>
      </c>
      <c r="AA89" s="14">
        <f t="shared" si="15"/>
        <v>3136.1037756224764</v>
      </c>
      <c r="AB89" s="25">
        <f t="shared" ca="1" si="16"/>
        <v>1373336.8208867051</v>
      </c>
      <c r="AC89" s="4">
        <f t="shared" si="17"/>
        <v>2417256.406249423</v>
      </c>
      <c r="AD89" s="5">
        <f t="shared" ca="1" si="18"/>
        <v>56.813866221893804</v>
      </c>
      <c r="AE89" s="7">
        <f t="shared" ca="1" si="19"/>
        <v>1781.7418036619144</v>
      </c>
      <c r="AF89" s="41">
        <f t="shared" ca="1" si="42"/>
        <v>1354.361971960562</v>
      </c>
      <c r="AG89" s="4">
        <f t="shared" ca="1" si="20"/>
        <v>79.499820132972559</v>
      </c>
      <c r="AH89" s="4">
        <f t="shared" ca="1" si="21"/>
        <v>1449.8804516392222</v>
      </c>
      <c r="AI89" s="13">
        <f t="shared" ca="1" si="22"/>
        <v>0</v>
      </c>
      <c r="AJ89" s="10">
        <f t="shared" ca="1" si="23"/>
        <v>0</v>
      </c>
      <c r="AK89" s="11">
        <f t="shared" ca="1" si="24"/>
        <v>0.36325909522881372</v>
      </c>
      <c r="AL89" s="7">
        <v>0</v>
      </c>
      <c r="AM89" s="4">
        <f t="shared" si="25"/>
        <v>7094.7335367122423</v>
      </c>
      <c r="AN89" s="4">
        <f t="shared" ca="1" si="26"/>
        <v>2857.365406796745</v>
      </c>
      <c r="AO89" s="6">
        <v>900</v>
      </c>
      <c r="AP89" s="4">
        <f t="shared" si="27"/>
        <v>0.81374329808020662</v>
      </c>
      <c r="AQ89" s="11">
        <f t="shared" si="28"/>
        <v>0.92829992071837586</v>
      </c>
      <c r="AR89" s="11">
        <f t="shared" si="29"/>
        <v>0.49937958210548988</v>
      </c>
      <c r="AS89" s="11">
        <f t="shared" si="30"/>
        <v>0.53795068916847377</v>
      </c>
      <c r="AT89" s="11">
        <f t="shared" si="31"/>
        <v>481.48131987899995</v>
      </c>
      <c r="AU89" s="11">
        <f t="shared" si="32"/>
        <v>1056.7970592432796</v>
      </c>
      <c r="AV89" s="11">
        <f t="shared" si="33"/>
        <v>1.2786549930845453E-3</v>
      </c>
      <c r="AW89" s="11">
        <f t="shared" si="34"/>
        <v>3.5253330369939681E-7</v>
      </c>
      <c r="AX89" s="4">
        <f t="shared" ca="1" si="35"/>
        <v>19.009188807295597</v>
      </c>
      <c r="AY89" s="4">
        <f t="shared" ca="1" si="36"/>
        <v>2.857252856157825</v>
      </c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</row>
    <row r="90" spans="1:64">
      <c r="A90" s="41">
        <f t="shared" ref="A90:A104" si="107">AM90</f>
        <v>6998.614146404605</v>
      </c>
      <c r="B90" s="41">
        <f t="shared" ref="B90:C90" si="108">(A90/60)</f>
        <v>116.64356910674341</v>
      </c>
      <c r="C90" s="41">
        <f t="shared" si="108"/>
        <v>1.9440594851123902</v>
      </c>
      <c r="D90" s="23">
        <f t="shared" ca="1" si="44"/>
        <v>13131.093675641567</v>
      </c>
      <c r="E90" s="41">
        <f t="shared" ref="E90:E104" si="109">AO90</f>
        <v>900</v>
      </c>
      <c r="F90" s="41">
        <f t="shared" ref="F90:F104" si="110">AO90</f>
        <v>900</v>
      </c>
      <c r="G90" s="4"/>
      <c r="H90" s="6">
        <v>18000</v>
      </c>
      <c r="I90" s="5">
        <v>15</v>
      </c>
      <c r="J90" s="4">
        <f t="shared" si="0"/>
        <v>0.72639560313019014</v>
      </c>
      <c r="K90" s="4">
        <f t="shared" si="1"/>
        <v>781.36928091966718</v>
      </c>
      <c r="L90" s="6">
        <f t="shared" si="41"/>
        <v>350</v>
      </c>
      <c r="M90" s="4">
        <f t="shared" si="2"/>
        <v>462.94879703640811</v>
      </c>
      <c r="N90" s="4">
        <f t="shared" si="3"/>
        <v>390.33370114097016</v>
      </c>
      <c r="O90" s="4">
        <f t="shared" si="4"/>
        <v>2834063.3977172882</v>
      </c>
      <c r="P90" s="4">
        <f t="shared" si="5"/>
        <v>18196678.464821897</v>
      </c>
      <c r="Q90" s="4">
        <f t="shared" si="6"/>
        <v>2.6068915274462877E-3</v>
      </c>
      <c r="R90" s="4">
        <f t="shared" si="7"/>
        <v>1.8915072775059584E-2</v>
      </c>
      <c r="S90" s="27">
        <v>0</v>
      </c>
      <c r="T90" s="4">
        <f t="shared" ca="1" si="8"/>
        <v>0.14626385440545234</v>
      </c>
      <c r="U90" s="4">
        <f t="shared" ca="1" si="9"/>
        <v>2.026619182949628E-2</v>
      </c>
      <c r="V90" s="4">
        <f t="shared" ca="1" si="10"/>
        <v>7.2171355938994761</v>
      </c>
      <c r="W90" s="20">
        <f t="shared" ca="1" si="11"/>
        <v>1819.4328629132397</v>
      </c>
      <c r="X90" s="4">
        <f t="shared" si="12"/>
        <v>0.54726063855178475</v>
      </c>
      <c r="Y90" s="4">
        <f t="shared" ca="1" si="13"/>
        <v>206.21259752142115</v>
      </c>
      <c r="Z90" s="14">
        <f t="shared" ca="1" si="14"/>
        <v>1819.4328629132397</v>
      </c>
      <c r="AA90" s="14">
        <f t="shared" si="15"/>
        <v>3136.1037756224764</v>
      </c>
      <c r="AB90" s="25">
        <f t="shared" ca="1" si="16"/>
        <v>1421648.9477761295</v>
      </c>
      <c r="AC90" s="4">
        <f t="shared" si="17"/>
        <v>2450455.1520475876</v>
      </c>
      <c r="AD90" s="5">
        <f t="shared" ca="1" si="18"/>
        <v>58.015709717772509</v>
      </c>
      <c r="AE90" s="7">
        <f t="shared" ca="1" si="19"/>
        <v>1819.4328629132397</v>
      </c>
      <c r="AF90" s="41">
        <f t="shared" ref="AF90:AF104" ca="1" si="111">AA90-Z90</f>
        <v>1316.6709127092367</v>
      </c>
      <c r="AG90" s="4">
        <f t="shared" ca="1" si="20"/>
        <v>78.34885879916564</v>
      </c>
      <c r="AH90" s="4">
        <f t="shared" ca="1" si="21"/>
        <v>1450.59015224532</v>
      </c>
      <c r="AI90" s="13">
        <f t="shared" ca="1" si="22"/>
        <v>0</v>
      </c>
      <c r="AJ90" s="10">
        <f t="shared" ca="1" si="23"/>
        <v>0</v>
      </c>
      <c r="AK90" s="11">
        <f t="shared" ca="1" si="24"/>
        <v>0.35799999939610955</v>
      </c>
      <c r="AL90" s="7">
        <v>0</v>
      </c>
      <c r="AM90" s="4">
        <f t="shared" si="25"/>
        <v>6998.614146404605</v>
      </c>
      <c r="AN90" s="4">
        <f t="shared" ca="1" si="26"/>
        <v>2820.0335444831408</v>
      </c>
      <c r="AO90" s="6">
        <v>900</v>
      </c>
      <c r="AP90" s="4">
        <f t="shared" si="27"/>
        <v>0.79727599836943919</v>
      </c>
      <c r="AQ90" s="11">
        <f t="shared" si="28"/>
        <v>0.92829992071837586</v>
      </c>
      <c r="AR90" s="11">
        <f t="shared" si="29"/>
        <v>0.49937958210548988</v>
      </c>
      <c r="AS90" s="11">
        <f t="shared" si="30"/>
        <v>0.53795068916847377</v>
      </c>
      <c r="AT90" s="11">
        <f t="shared" si="31"/>
        <v>481.48131987899995</v>
      </c>
      <c r="AU90" s="11">
        <f t="shared" si="32"/>
        <v>1056.7970592432796</v>
      </c>
      <c r="AV90" s="11">
        <f t="shared" si="33"/>
        <v>1.2786549930845453E-3</v>
      </c>
      <c r="AW90" s="11">
        <f t="shared" si="34"/>
        <v>3.5253330369939681E-7</v>
      </c>
      <c r="AX90" s="4">
        <f t="shared" ca="1" si="35"/>
        <v>18.871062709976645</v>
      </c>
      <c r="AY90" s="4">
        <f t="shared" ca="1" si="36"/>
        <v>2.7601543686881858</v>
      </c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</row>
    <row r="91" spans="1:64">
      <c r="A91" s="41">
        <f t="shared" si="107"/>
        <v>6905.2416058243998</v>
      </c>
      <c r="B91" s="41">
        <f t="shared" ref="B91:C91" si="112">(A91/60)</f>
        <v>115.08736009707333</v>
      </c>
      <c r="C91" s="41">
        <f t="shared" si="112"/>
        <v>1.9181226682845556</v>
      </c>
      <c r="D91" s="23">
        <f t="shared" ref="D91:D104" ca="1" si="113">D90</f>
        <v>13131.093675641567</v>
      </c>
      <c r="E91" s="41">
        <f t="shared" si="109"/>
        <v>900</v>
      </c>
      <c r="F91" s="41">
        <f t="shared" si="110"/>
        <v>900</v>
      </c>
      <c r="G91" s="4"/>
      <c r="H91" s="6">
        <v>18000</v>
      </c>
      <c r="I91" s="5">
        <v>15</v>
      </c>
      <c r="J91" s="4">
        <f t="shared" si="0"/>
        <v>0.73621791012569737</v>
      </c>
      <c r="K91" s="4">
        <f t="shared" si="1"/>
        <v>791.93494090023307</v>
      </c>
      <c r="L91" s="6">
        <f t="shared" si="41"/>
        <v>355</v>
      </c>
      <c r="M91" s="4">
        <f t="shared" si="2"/>
        <v>469.20878152433369</v>
      </c>
      <c r="N91" s="4">
        <f t="shared" si="3"/>
        <v>400.96124048809702</v>
      </c>
      <c r="O91" s="4">
        <f t="shared" si="4"/>
        <v>2872385.5469940095</v>
      </c>
      <c r="P91" s="4">
        <f t="shared" si="5"/>
        <v>18442733.591545977</v>
      </c>
      <c r="Q91" s="4">
        <f t="shared" si="6"/>
        <v>2.5982493379422536E-3</v>
      </c>
      <c r="R91" s="4">
        <f t="shared" si="7"/>
        <v>1.8862312208137458E-2</v>
      </c>
      <c r="S91" s="27">
        <v>0</v>
      </c>
      <c r="T91" s="4">
        <f t="shared" ca="1" si="8"/>
        <v>0.14238710844899991</v>
      </c>
      <c r="U91" s="4">
        <f t="shared" ca="1" si="9"/>
        <v>2.0142757218345183E-2</v>
      </c>
      <c r="V91" s="4">
        <f t="shared" ca="1" si="10"/>
        <v>7.068898607352506</v>
      </c>
      <c r="W91" s="20">
        <f t="shared" ca="1" si="11"/>
        <v>1857.5869318571986</v>
      </c>
      <c r="X91" s="4">
        <f t="shared" si="12"/>
        <v>0.5464968576053485</v>
      </c>
      <c r="Y91" s="4">
        <f t="shared" ca="1" si="13"/>
        <v>206.21259752142115</v>
      </c>
      <c r="Z91" s="14">
        <f t="shared" ca="1" si="14"/>
        <v>1857.5869318571986</v>
      </c>
      <c r="AA91" s="14">
        <f t="shared" si="15"/>
        <v>3136.1037756224764</v>
      </c>
      <c r="AB91" s="25">
        <f t="shared" ca="1" si="16"/>
        <v>1471087.9970973758</v>
      </c>
      <c r="AC91" s="4">
        <f t="shared" si="17"/>
        <v>2483590.1582045835</v>
      </c>
      <c r="AD91" s="5">
        <f t="shared" ca="1" si="18"/>
        <v>59.23231706477862</v>
      </c>
      <c r="AE91" s="7">
        <f t="shared" ca="1" si="19"/>
        <v>1857.5869318571986</v>
      </c>
      <c r="AF91" s="41">
        <f t="shared" ca="1" si="111"/>
        <v>1278.5168437652778</v>
      </c>
      <c r="AG91" s="4">
        <f t="shared" ca="1" si="20"/>
        <v>77.10722245363452</v>
      </c>
      <c r="AH91" s="4">
        <f t="shared" ca="1" si="21"/>
        <v>1444.516310609383</v>
      </c>
      <c r="AI91" s="13">
        <f t="shared" ca="1" si="22"/>
        <v>0</v>
      </c>
      <c r="AJ91" s="10">
        <f t="shared" ca="1" si="23"/>
        <v>0</v>
      </c>
      <c r="AK91" s="11">
        <f t="shared" ca="1" si="24"/>
        <v>0.35232658158552282</v>
      </c>
      <c r="AL91" s="7">
        <v>0</v>
      </c>
      <c r="AM91" s="4">
        <f t="shared" si="25"/>
        <v>6905.2416058243998</v>
      </c>
      <c r="AN91" s="4">
        <f t="shared" ca="1" si="26"/>
        <v>2770.7594800866318</v>
      </c>
      <c r="AO91" s="6">
        <v>900</v>
      </c>
      <c r="AP91" s="4">
        <f t="shared" si="27"/>
        <v>0.77763053014437866</v>
      </c>
      <c r="AQ91" s="11">
        <f t="shared" si="28"/>
        <v>0.92829992071837586</v>
      </c>
      <c r="AR91" s="11">
        <f t="shared" si="29"/>
        <v>0.49937958210548988</v>
      </c>
      <c r="AS91" s="11">
        <f t="shared" si="30"/>
        <v>0.53795068916847377</v>
      </c>
      <c r="AT91" s="11">
        <f t="shared" si="31"/>
        <v>481.48131987899995</v>
      </c>
      <c r="AU91" s="11">
        <f t="shared" si="32"/>
        <v>1056.7970592432796</v>
      </c>
      <c r="AV91" s="11">
        <f t="shared" si="33"/>
        <v>1.2786549930845453E-3</v>
      </c>
      <c r="AW91" s="11">
        <f t="shared" si="34"/>
        <v>3.5253330369939681E-7</v>
      </c>
      <c r="AX91" s="4">
        <f t="shared" ca="1" si="35"/>
        <v>18.7333918358045</v>
      </c>
      <c r="AY91" s="4">
        <f t="shared" ca="1" si="36"/>
        <v>2.667393494942305</v>
      </c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</row>
    <row r="92" spans="1:64">
      <c r="A92" s="41">
        <f t="shared" si="107"/>
        <v>6814.500397654162</v>
      </c>
      <c r="B92" s="41">
        <f t="shared" ref="B92:C92" si="114">(A92/60)</f>
        <v>113.57500662756937</v>
      </c>
      <c r="C92" s="41">
        <f t="shared" si="114"/>
        <v>1.8929167771261561</v>
      </c>
      <c r="D92" s="23">
        <f t="shared" ca="1" si="113"/>
        <v>13131.093675641567</v>
      </c>
      <c r="E92" s="41">
        <f t="shared" si="109"/>
        <v>900</v>
      </c>
      <c r="F92" s="41">
        <f t="shared" si="110"/>
        <v>900</v>
      </c>
      <c r="G92" s="4"/>
      <c r="H92" s="6">
        <v>18000</v>
      </c>
      <c r="I92" s="5">
        <v>15</v>
      </c>
      <c r="J92" s="4">
        <f t="shared" si="0"/>
        <v>0.74602131444633846</v>
      </c>
      <c r="K92" s="4">
        <f t="shared" si="1"/>
        <v>802.48026764997553</v>
      </c>
      <c r="L92" s="6">
        <f t="shared" si="41"/>
        <v>360</v>
      </c>
      <c r="M92" s="4">
        <f t="shared" si="2"/>
        <v>475.45671889832812</v>
      </c>
      <c r="N92" s="4">
        <f t="shared" si="3"/>
        <v>411.71065604753215</v>
      </c>
      <c r="O92" s="4">
        <f t="shared" si="4"/>
        <v>2910633.9466792881</v>
      </c>
      <c r="P92" s="4">
        <f t="shared" si="5"/>
        <v>18688315.194070324</v>
      </c>
      <c r="Q92" s="4">
        <f t="shared" si="6"/>
        <v>2.589690476603707E-3</v>
      </c>
      <c r="R92" s="4">
        <f t="shared" si="7"/>
        <v>1.8810060359665631E-2</v>
      </c>
      <c r="S92" s="27">
        <v>0</v>
      </c>
      <c r="T92" s="4">
        <f t="shared" ca="1" si="8"/>
        <v>0.13866950197818767</v>
      </c>
      <c r="U92" s="4">
        <f t="shared" ca="1" si="9"/>
        <v>2.0024515570107433E-2</v>
      </c>
      <c r="V92" s="4">
        <f t="shared" ca="1" si="10"/>
        <v>6.9249865991861146</v>
      </c>
      <c r="W92" s="20">
        <f t="shared" ca="1" si="11"/>
        <v>1896.1904817526793</v>
      </c>
      <c r="X92" s="4">
        <f t="shared" si="12"/>
        <v>0.54573938752403683</v>
      </c>
      <c r="Y92" s="4">
        <f t="shared" ca="1" si="13"/>
        <v>206.21259752142115</v>
      </c>
      <c r="Z92" s="14">
        <f t="shared" ca="1" si="14"/>
        <v>1896.1904817526793</v>
      </c>
      <c r="AA92" s="14">
        <f t="shared" si="15"/>
        <v>3136.1037756224764</v>
      </c>
      <c r="AB92" s="25">
        <f t="shared" ca="1" si="16"/>
        <v>1521655.4453122262</v>
      </c>
      <c r="AC92" s="4">
        <f t="shared" si="17"/>
        <v>2516661.3972396236</v>
      </c>
      <c r="AD92" s="5">
        <f t="shared" ca="1" si="18"/>
        <v>60.463256876004031</v>
      </c>
      <c r="AE92" s="7">
        <f t="shared" ca="1" si="19"/>
        <v>1896.190481752679</v>
      </c>
      <c r="AF92" s="41">
        <f t="shared" ca="1" si="111"/>
        <v>1239.9132938697971</v>
      </c>
      <c r="AG92" s="4">
        <f t="shared" ca="1" si="20"/>
        <v>75.774796563454018</v>
      </c>
      <c r="AH92" s="4">
        <f t="shared" ca="1" si="21"/>
        <v>1430.6141789201829</v>
      </c>
      <c r="AI92" s="13">
        <f t="shared" ca="1" si="22"/>
        <v>-1.3895482922699405E-14</v>
      </c>
      <c r="AJ92" s="10">
        <f t="shared" ca="1" si="23"/>
        <v>-9.9211476949866922E-16</v>
      </c>
      <c r="AK92" s="11">
        <f t="shared" ca="1" si="24"/>
        <v>0.34623831846094161</v>
      </c>
      <c r="AL92" s="7">
        <v>0</v>
      </c>
      <c r="AM92" s="4">
        <f t="shared" si="25"/>
        <v>6814.500397654162</v>
      </c>
      <c r="AN92" s="4">
        <f t="shared" ca="1" si="26"/>
        <v>2708.0335808725745</v>
      </c>
      <c r="AO92" s="6">
        <v>900</v>
      </c>
      <c r="AP92" s="4">
        <f t="shared" si="27"/>
        <v>0.75446754568551755</v>
      </c>
      <c r="AQ92" s="11">
        <f t="shared" si="28"/>
        <v>0.92829992071837586</v>
      </c>
      <c r="AR92" s="11">
        <f t="shared" si="29"/>
        <v>0.49937958210548988</v>
      </c>
      <c r="AS92" s="11">
        <f t="shared" si="30"/>
        <v>0.53795068916847377</v>
      </c>
      <c r="AT92" s="11">
        <f t="shared" si="31"/>
        <v>481.48131987899995</v>
      </c>
      <c r="AU92" s="11">
        <f t="shared" si="32"/>
        <v>1056.7970592432796</v>
      </c>
      <c r="AV92" s="11">
        <f t="shared" si="33"/>
        <v>1.2786549930845453E-3</v>
      </c>
      <c r="AW92" s="11">
        <f t="shared" si="34"/>
        <v>3.5253330369939681E-7</v>
      </c>
      <c r="AX92" s="4">
        <f t="shared" ca="1" si="35"/>
        <v>18.596382029503363</v>
      </c>
      <c r="AY92" s="4">
        <f t="shared" ca="1" si="36"/>
        <v>2.5787510346273503</v>
      </c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</row>
    <row r="93" spans="1:64">
      <c r="A93" s="41">
        <f t="shared" si="107"/>
        <v>6726.2813407538551</v>
      </c>
      <c r="B93" s="41">
        <f t="shared" ref="B93:C93" si="115">(A93/60)</f>
        <v>112.10468901256425</v>
      </c>
      <c r="C93" s="41">
        <f t="shared" si="115"/>
        <v>1.8684114835427375</v>
      </c>
      <c r="D93" s="23">
        <f t="shared" ca="1" si="113"/>
        <v>13131.093675641567</v>
      </c>
      <c r="E93" s="41">
        <f t="shared" si="109"/>
        <v>900</v>
      </c>
      <c r="F93" s="41">
        <f t="shared" si="110"/>
        <v>900</v>
      </c>
      <c r="G93" s="4"/>
      <c r="H93" s="6">
        <v>18000</v>
      </c>
      <c r="I93" s="5">
        <v>15</v>
      </c>
      <c r="J93" s="4">
        <f t="shared" si="0"/>
        <v>0.75580581400172109</v>
      </c>
      <c r="K93" s="4">
        <f t="shared" si="1"/>
        <v>813.005258920301</v>
      </c>
      <c r="L93" s="6">
        <f t="shared" si="41"/>
        <v>365</v>
      </c>
      <c r="M93" s="4">
        <f t="shared" si="2"/>
        <v>481.6926078261356</v>
      </c>
      <c r="N93" s="4">
        <f t="shared" si="3"/>
        <v>422.58112297197277</v>
      </c>
      <c r="O93" s="4">
        <f t="shared" si="4"/>
        <v>2948808.5886173691</v>
      </c>
      <c r="P93" s="4">
        <f t="shared" si="5"/>
        <v>18933423.220029261</v>
      </c>
      <c r="Q93" s="4">
        <f t="shared" si="6"/>
        <v>2.5812123071478712E-3</v>
      </c>
      <c r="R93" s="4">
        <f t="shared" si="7"/>
        <v>1.8758301135137753E-2</v>
      </c>
      <c r="S93" s="27">
        <v>0</v>
      </c>
      <c r="T93" s="4">
        <f t="shared" ca="1" si="8"/>
        <v>0.13510237095235972</v>
      </c>
      <c r="U93" s="4">
        <f t="shared" ca="1" si="9"/>
        <v>1.9911078743629764E-2</v>
      </c>
      <c r="V93" s="4">
        <f t="shared" ca="1" si="10"/>
        <v>6.7852863570028115</v>
      </c>
      <c r="W93" s="20">
        <f t="shared" ca="1" si="11"/>
        <v>1935.2305834652818</v>
      </c>
      <c r="X93" s="4">
        <f t="shared" si="12"/>
        <v>0.54498802082382336</v>
      </c>
      <c r="Y93" s="4">
        <f t="shared" ca="1" si="13"/>
        <v>206.21259752142115</v>
      </c>
      <c r="Z93" s="14">
        <f t="shared" ca="1" si="14"/>
        <v>1935.2305834652818</v>
      </c>
      <c r="AA93" s="14">
        <f t="shared" si="15"/>
        <v>3136.1037756224764</v>
      </c>
      <c r="AB93" s="25">
        <f t="shared" ca="1" si="16"/>
        <v>1573352.6415806767</v>
      </c>
      <c r="AC93" s="4">
        <f t="shared" si="17"/>
        <v>2549668.8621008848</v>
      </c>
      <c r="AD93" s="5">
        <f t="shared" ca="1" si="18"/>
        <v>61.708116884019994</v>
      </c>
      <c r="AE93" s="7">
        <f t="shared" ca="1" si="19"/>
        <v>1935.2305834652818</v>
      </c>
      <c r="AF93" s="41">
        <f t="shared" ca="1" si="111"/>
        <v>1200.8731921571946</v>
      </c>
      <c r="AG93" s="4">
        <f t="shared" ca="1" si="20"/>
        <v>74.351477846151809</v>
      </c>
      <c r="AH93" s="4">
        <f t="shared" ca="1" si="21"/>
        <v>1407.7355000684167</v>
      </c>
      <c r="AI93" s="13">
        <f t="shared" ca="1" si="22"/>
        <v>0</v>
      </c>
      <c r="AJ93" s="10">
        <f t="shared" ca="1" si="23"/>
        <v>0</v>
      </c>
      <c r="AK93" s="11">
        <f t="shared" ca="1" si="24"/>
        <v>0.33973473809302834</v>
      </c>
      <c r="AL93" s="7">
        <v>0</v>
      </c>
      <c r="AM93" s="4">
        <f t="shared" si="25"/>
        <v>6726.2813407538551</v>
      </c>
      <c r="AN93" s="4">
        <f t="shared" ca="1" si="26"/>
        <v>2630.2291741186077</v>
      </c>
      <c r="AO93" s="6">
        <v>900</v>
      </c>
      <c r="AP93" s="4">
        <f t="shared" si="27"/>
        <v>0.72742520302034674</v>
      </c>
      <c r="AQ93" s="11">
        <f t="shared" si="28"/>
        <v>0.92829992071837586</v>
      </c>
      <c r="AR93" s="11">
        <f t="shared" si="29"/>
        <v>0.49937958210548988</v>
      </c>
      <c r="AS93" s="11">
        <f t="shared" si="30"/>
        <v>0.53795068916847377</v>
      </c>
      <c r="AT93" s="11">
        <f t="shared" si="31"/>
        <v>481.48131987899995</v>
      </c>
      <c r="AU93" s="11">
        <f t="shared" si="32"/>
        <v>1056.7970592432796</v>
      </c>
      <c r="AV93" s="11">
        <f t="shared" si="33"/>
        <v>1.2786549930845453E-3</v>
      </c>
      <c r="AW93" s="11">
        <f t="shared" si="34"/>
        <v>3.5253330369939681E-7</v>
      </c>
      <c r="AX93" s="4">
        <f t="shared" ca="1" si="35"/>
        <v>18.460212476252646</v>
      </c>
      <c r="AY93" s="4">
        <f t="shared" ca="1" si="36"/>
        <v>2.4940184738260638</v>
      </c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</row>
    <row r="94" spans="1:64">
      <c r="A94" s="41">
        <f t="shared" si="107"/>
        <v>6640.4811623892183</v>
      </c>
      <c r="B94" s="41">
        <f t="shared" ref="B94:C94" si="116">(A94/60)</f>
        <v>110.6746860398203</v>
      </c>
      <c r="C94" s="41">
        <f t="shared" si="116"/>
        <v>1.8445781006636717</v>
      </c>
      <c r="D94" s="23">
        <f t="shared" ca="1" si="113"/>
        <v>13131.093675641567</v>
      </c>
      <c r="E94" s="41">
        <f t="shared" si="109"/>
        <v>900</v>
      </c>
      <c r="F94" s="41">
        <f t="shared" si="110"/>
        <v>900</v>
      </c>
      <c r="G94" s="4"/>
      <c r="H94" s="6">
        <v>18000</v>
      </c>
      <c r="I94" s="5">
        <v>15</v>
      </c>
      <c r="J94" s="4">
        <f t="shared" si="0"/>
        <v>0.76557141261792805</v>
      </c>
      <c r="K94" s="4">
        <f t="shared" si="1"/>
        <v>823.50991882685082</v>
      </c>
      <c r="L94" s="6">
        <f t="shared" si="41"/>
        <v>370</v>
      </c>
      <c r="M94" s="4">
        <f t="shared" si="2"/>
        <v>487.91645074620789</v>
      </c>
      <c r="N94" s="4">
        <f t="shared" si="3"/>
        <v>433.5718245806919</v>
      </c>
      <c r="O94" s="4">
        <f t="shared" si="4"/>
        <v>2986909.4877358768</v>
      </c>
      <c r="P94" s="4">
        <f t="shared" si="5"/>
        <v>19178057.765268628</v>
      </c>
      <c r="Q94" s="4">
        <f t="shared" si="6"/>
        <v>2.5728123225124563E-3</v>
      </c>
      <c r="R94" s="4">
        <f t="shared" si="7"/>
        <v>1.8707019228938544E-2</v>
      </c>
      <c r="S94" s="27">
        <v>0</v>
      </c>
      <c r="T94" s="4">
        <f t="shared" ca="1" si="8"/>
        <v>0.13167763308521652</v>
      </c>
      <c r="U94" s="4">
        <f t="shared" ca="1" si="9"/>
        <v>1.9802093597135764E-2</v>
      </c>
      <c r="V94" s="4">
        <f t="shared" ca="1" si="10"/>
        <v>6.6496823903641573</v>
      </c>
      <c r="W94" s="20">
        <f t="shared" ca="1" si="11"/>
        <v>1974.6948658283918</v>
      </c>
      <c r="X94" s="4">
        <f t="shared" si="12"/>
        <v>0.5442425601404115</v>
      </c>
      <c r="Y94" s="4">
        <f t="shared" ca="1" si="13"/>
        <v>206.21259752142115</v>
      </c>
      <c r="Z94" s="14">
        <f t="shared" ca="1" si="14"/>
        <v>1974.6948658283918</v>
      </c>
      <c r="AA94" s="14">
        <f t="shared" si="15"/>
        <v>3136.1037756224764</v>
      </c>
      <c r="AB94" s="25">
        <f t="shared" ca="1" si="16"/>
        <v>1626180.808666138</v>
      </c>
      <c r="AC94" s="4">
        <f t="shared" si="17"/>
        <v>2582612.565695446</v>
      </c>
      <c r="AD94" s="5">
        <f t="shared" ca="1" si="18"/>
        <v>62.966502613149025</v>
      </c>
      <c r="AE94" s="7">
        <f t="shared" ca="1" si="19"/>
        <v>1974.6948658283918</v>
      </c>
      <c r="AF94" s="41">
        <f t="shared" ca="1" si="111"/>
        <v>1161.4089097940846</v>
      </c>
      <c r="AG94" s="4">
        <f t="shared" ca="1" si="20"/>
        <v>72.83717416497511</v>
      </c>
      <c r="AH94" s="4">
        <f t="shared" ca="1" si="21"/>
        <v>1374.6215432219983</v>
      </c>
      <c r="AI94" s="13">
        <f t="shared" ca="1" si="22"/>
        <v>0</v>
      </c>
      <c r="AJ94" s="10">
        <f t="shared" ca="1" si="23"/>
        <v>0</v>
      </c>
      <c r="AK94" s="11">
        <f t="shared" ca="1" si="24"/>
        <v>0.33281541948066129</v>
      </c>
      <c r="AL94" s="7">
        <v>0</v>
      </c>
      <c r="AM94" s="4">
        <f t="shared" si="25"/>
        <v>6640.4811623892183</v>
      </c>
      <c r="AN94" s="4">
        <f t="shared" ca="1" si="26"/>
        <v>2535.5967953277991</v>
      </c>
      <c r="AO94" s="6">
        <v>900</v>
      </c>
      <c r="AP94" s="4">
        <f t="shared" si="27"/>
        <v>0.69611845708898401</v>
      </c>
      <c r="AQ94" s="11">
        <f t="shared" si="28"/>
        <v>0.92829992071837586</v>
      </c>
      <c r="AR94" s="11">
        <f t="shared" si="29"/>
        <v>0.49937958210548988</v>
      </c>
      <c r="AS94" s="11">
        <f t="shared" si="30"/>
        <v>0.53795068916847377</v>
      </c>
      <c r="AT94" s="11">
        <f t="shared" si="31"/>
        <v>481.48131987899995</v>
      </c>
      <c r="AU94" s="11">
        <f t="shared" si="32"/>
        <v>1056.7970592432796</v>
      </c>
      <c r="AV94" s="11">
        <f t="shared" si="33"/>
        <v>1.2786549930845453E-3</v>
      </c>
      <c r="AW94" s="11">
        <f t="shared" si="34"/>
        <v>3.5253330369939681E-7</v>
      </c>
      <c r="AX94" s="4">
        <f t="shared" ca="1" si="35"/>
        <v>18.325038544631198</v>
      </c>
      <c r="AY94" s="4">
        <f t="shared" ca="1" si="36"/>
        <v>2.4129977017523969</v>
      </c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</row>
    <row r="95" spans="1:64">
      <c r="A95" s="41">
        <f t="shared" si="107"/>
        <v>6557.0021046665406</v>
      </c>
      <c r="B95" s="41">
        <f t="shared" ref="B95:C95" si="117">(A95/60)</f>
        <v>109.28336841110901</v>
      </c>
      <c r="C95" s="41">
        <f t="shared" si="117"/>
        <v>1.8213894735184835</v>
      </c>
      <c r="D95" s="23">
        <f t="shared" ca="1" si="113"/>
        <v>13131.093675641567</v>
      </c>
      <c r="E95" s="41">
        <f t="shared" si="109"/>
        <v>900</v>
      </c>
      <c r="F95" s="41">
        <f t="shared" si="110"/>
        <v>900</v>
      </c>
      <c r="G95" s="4"/>
      <c r="H95" s="6">
        <v>18000</v>
      </c>
      <c r="I95" s="5">
        <v>15</v>
      </c>
      <c r="J95" s="4">
        <f t="shared" si="0"/>
        <v>0.77531811989735377</v>
      </c>
      <c r="K95" s="4">
        <f t="shared" si="1"/>
        <v>833.99425769872926</v>
      </c>
      <c r="L95" s="6">
        <f t="shared" si="41"/>
        <v>375</v>
      </c>
      <c r="M95" s="4">
        <f t="shared" si="2"/>
        <v>494.1282537783739</v>
      </c>
      <c r="N95" s="4">
        <f t="shared" si="3"/>
        <v>444.68195262593042</v>
      </c>
      <c r="O95" s="4">
        <f t="shared" si="4"/>
        <v>3024936.681498962</v>
      </c>
      <c r="P95" s="4">
        <f t="shared" si="5"/>
        <v>19422219.070334595</v>
      </c>
      <c r="Q95" s="4">
        <f t="shared" si="6"/>
        <v>2.5644881371460885E-3</v>
      </c>
      <c r="R95" s="4">
        <f t="shared" si="7"/>
        <v>1.865620007727687E-2</v>
      </c>
      <c r="S95" s="27">
        <v>0</v>
      </c>
      <c r="T95" s="4">
        <f t="shared" ca="1" si="8"/>
        <v>0.12838774161192495</v>
      </c>
      <c r="U95" s="4">
        <f t="shared" ca="1" si="9"/>
        <v>1.9697238382851524E-2</v>
      </c>
      <c r="V95" s="4">
        <f t="shared" ca="1" si="10"/>
        <v>6.5180579691668719</v>
      </c>
      <c r="W95" s="20">
        <f t="shared" ca="1" si="11"/>
        <v>2014.5714778477129</v>
      </c>
      <c r="X95" s="4">
        <f t="shared" si="12"/>
        <v>0.54350281763541819</v>
      </c>
      <c r="Y95" s="4">
        <f t="shared" ca="1" si="13"/>
        <v>206.21259752142115</v>
      </c>
      <c r="Z95" s="14">
        <f t="shared" ca="1" si="14"/>
        <v>2014.5714778477129</v>
      </c>
      <c r="AA95" s="14">
        <f t="shared" si="15"/>
        <v>3136.1037756224764</v>
      </c>
      <c r="AB95" s="25">
        <f t="shared" ca="1" si="16"/>
        <v>1680141.0442486354</v>
      </c>
      <c r="AC95" s="4">
        <f t="shared" si="17"/>
        <v>2615492.5404164493</v>
      </c>
      <c r="AD95" s="5">
        <f t="shared" ca="1" si="18"/>
        <v>64.238036174292304</v>
      </c>
      <c r="AE95" s="7">
        <f t="shared" ca="1" si="19"/>
        <v>2014.5714778477131</v>
      </c>
      <c r="AF95" s="41">
        <f t="shared" ca="1" si="111"/>
        <v>1121.5322977747635</v>
      </c>
      <c r="AG95" s="4">
        <f t="shared" ca="1" si="20"/>
        <v>71.231804392874679</v>
      </c>
      <c r="AH95" s="4">
        <f t="shared" ca="1" si="21"/>
        <v>1329.8958977810455</v>
      </c>
      <c r="AI95" s="13">
        <f t="shared" ca="1" si="22"/>
        <v>1.4441168752247527E-14</v>
      </c>
      <c r="AJ95" s="10">
        <f t="shared" ca="1" si="23"/>
        <v>9.9211476949866922E-16</v>
      </c>
      <c r="AK95" s="11">
        <f t="shared" ca="1" si="24"/>
        <v>0.32547999192943566</v>
      </c>
      <c r="AL95" s="7">
        <v>0</v>
      </c>
      <c r="AM95" s="4">
        <f t="shared" si="25"/>
        <v>6557.0021046665406</v>
      </c>
      <c r="AN95" s="4">
        <f t="shared" ca="1" si="26"/>
        <v>2422.2583890938095</v>
      </c>
      <c r="AO95" s="6">
        <v>900</v>
      </c>
      <c r="AP95" s="4">
        <f t="shared" si="27"/>
        <v>0.66013835319551561</v>
      </c>
      <c r="AQ95" s="11">
        <f t="shared" si="28"/>
        <v>0.92829992071837586</v>
      </c>
      <c r="AR95" s="11">
        <f t="shared" si="29"/>
        <v>0.49937958210548988</v>
      </c>
      <c r="AS95" s="11">
        <f t="shared" si="30"/>
        <v>0.53795068916847377</v>
      </c>
      <c r="AT95" s="11">
        <f t="shared" si="31"/>
        <v>481.48131987899995</v>
      </c>
      <c r="AU95" s="11">
        <f t="shared" si="32"/>
        <v>1056.7970592432796</v>
      </c>
      <c r="AV95" s="11">
        <f t="shared" si="33"/>
        <v>1.2786549930845453E-3</v>
      </c>
      <c r="AW95" s="11">
        <f t="shared" si="34"/>
        <v>3.5253330369939681E-7</v>
      </c>
      <c r="AX95" s="4">
        <f t="shared" ca="1" si="35"/>
        <v>18.190994344389328</v>
      </c>
      <c r="AY95" s="4">
        <f t="shared" ca="1" si="36"/>
        <v>2.3355006815514443</v>
      </c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</row>
    <row r="96" spans="1:64">
      <c r="A96" s="41">
        <f t="shared" si="107"/>
        <v>6475.75156202382</v>
      </c>
      <c r="B96" s="41">
        <f t="shared" ref="B96:C96" si="118">(A96/60)</f>
        <v>107.929192700397</v>
      </c>
      <c r="C96" s="41">
        <f t="shared" si="118"/>
        <v>1.7988198783399498</v>
      </c>
      <c r="D96" s="23">
        <f t="shared" ca="1" si="113"/>
        <v>13131.093675641567</v>
      </c>
      <c r="E96" s="41">
        <f t="shared" si="109"/>
        <v>900</v>
      </c>
      <c r="F96" s="41">
        <f t="shared" si="110"/>
        <v>900</v>
      </c>
      <c r="G96" s="4"/>
      <c r="H96" s="6">
        <v>18000</v>
      </c>
      <c r="I96" s="5">
        <v>15</v>
      </c>
      <c r="J96" s="4">
        <f t="shared" si="0"/>
        <v>0.78504595107787956</v>
      </c>
      <c r="K96" s="4">
        <f t="shared" si="1"/>
        <v>844.45829192702149</v>
      </c>
      <c r="L96" s="6">
        <f t="shared" si="41"/>
        <v>380</v>
      </c>
      <c r="M96" s="4">
        <f t="shared" si="2"/>
        <v>500.32802663408938</v>
      </c>
      <c r="N96" s="4">
        <f t="shared" si="3"/>
        <v>455.91070754393849</v>
      </c>
      <c r="O96" s="4">
        <f t="shared" si="4"/>
        <v>3062890.2293578684</v>
      </c>
      <c r="P96" s="4">
        <f t="shared" si="5"/>
        <v>19665907.516945925</v>
      </c>
      <c r="Q96" s="4">
        <f t="shared" si="6"/>
        <v>2.5562374798363237E-3</v>
      </c>
      <c r="R96" s="4">
        <f t="shared" si="7"/>
        <v>1.8605829814400756E-2</v>
      </c>
      <c r="S96" s="27">
        <v>0</v>
      </c>
      <c r="T96" s="4">
        <f t="shared" ca="1" si="8"/>
        <v>0.12522564328612962</v>
      </c>
      <c r="U96" s="4">
        <f t="shared" ca="1" si="9"/>
        <v>1.9596219556566812E-2</v>
      </c>
      <c r="V96" s="4">
        <f t="shared" ca="1" si="10"/>
        <v>6.3902959917677462</v>
      </c>
      <c r="W96" s="20">
        <f t="shared" ca="1" si="11"/>
        <v>2054.8490543407702</v>
      </c>
      <c r="X96" s="4">
        <f t="shared" si="12"/>
        <v>0.54276861444327384</v>
      </c>
      <c r="Y96" s="4">
        <f t="shared" ca="1" si="13"/>
        <v>206.21259752142115</v>
      </c>
      <c r="Z96" s="14">
        <f t="shared" ca="1" si="14"/>
        <v>2054.8490543407702</v>
      </c>
      <c r="AA96" s="14">
        <f t="shared" si="15"/>
        <v>3136.1037756224764</v>
      </c>
      <c r="AB96" s="25">
        <f t="shared" ca="1" si="16"/>
        <v>1735234.3225964622</v>
      </c>
      <c r="AC96" s="4">
        <f t="shared" si="17"/>
        <v>2648308.8376680394</v>
      </c>
      <c r="AD96" s="5">
        <f t="shared" ca="1" si="18"/>
        <v>65.52235516928674</v>
      </c>
      <c r="AE96" s="7">
        <f t="shared" ca="1" si="19"/>
        <v>2054.8490543407702</v>
      </c>
      <c r="AF96" s="41">
        <f t="shared" ca="1" si="111"/>
        <v>1081.2547212817062</v>
      </c>
      <c r="AG96" s="4">
        <f t="shared" ca="1" si="20"/>
        <v>69.535298249021565</v>
      </c>
      <c r="AH96" s="4">
        <f t="shared" ca="1" si="21"/>
        <v>1272.0570253739058</v>
      </c>
      <c r="AI96" s="13">
        <f t="shared" ca="1" si="22"/>
        <v>0</v>
      </c>
      <c r="AJ96" s="10">
        <f t="shared" ca="1" si="23"/>
        <v>0</v>
      </c>
      <c r="AK96" s="11">
        <f t="shared" ca="1" si="24"/>
        <v>0.31772813430465841</v>
      </c>
      <c r="AL96" s="7">
        <v>0</v>
      </c>
      <c r="AM96" s="4">
        <f t="shared" si="25"/>
        <v>6475.75156202382</v>
      </c>
      <c r="AN96" s="4">
        <f t="shared" ca="1" si="26"/>
        <v>2288.2014636245681</v>
      </c>
      <c r="AO96" s="6">
        <v>900</v>
      </c>
      <c r="AP96" s="4">
        <f t="shared" si="27"/>
        <v>0.6190513228632275</v>
      </c>
      <c r="AQ96" s="11">
        <f t="shared" si="28"/>
        <v>0.92829992071837586</v>
      </c>
      <c r="AR96" s="11">
        <f t="shared" si="29"/>
        <v>0.49937958210548988</v>
      </c>
      <c r="AS96" s="11">
        <f t="shared" si="30"/>
        <v>0.53795068916847377</v>
      </c>
      <c r="AT96" s="11">
        <f t="shared" si="31"/>
        <v>481.48131987899995</v>
      </c>
      <c r="AU96" s="11">
        <f t="shared" si="32"/>
        <v>1056.7970592432796</v>
      </c>
      <c r="AV96" s="11">
        <f t="shared" si="33"/>
        <v>1.2786549930845453E-3</v>
      </c>
      <c r="AW96" s="11">
        <f t="shared" si="34"/>
        <v>3.5253330369939681E-7</v>
      </c>
      <c r="AX96" s="4">
        <f t="shared" ca="1" si="35"/>
        <v>18.058195025221636</v>
      </c>
      <c r="AY96" s="4">
        <f t="shared" ca="1" si="36"/>
        <v>2.2613490886197658</v>
      </c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</row>
    <row r="97" spans="1:64">
      <c r="A97" s="41">
        <f t="shared" si="107"/>
        <v>6396.641746954866</v>
      </c>
      <c r="B97" s="41">
        <f t="shared" ref="B97:C97" si="119">(A97/60)</f>
        <v>106.6106957825811</v>
      </c>
      <c r="C97" s="41">
        <f t="shared" si="119"/>
        <v>1.7768449297096851</v>
      </c>
      <c r="D97" s="23">
        <f t="shared" ca="1" si="113"/>
        <v>13131.093675641567</v>
      </c>
      <c r="E97" s="41">
        <f t="shared" si="109"/>
        <v>900</v>
      </c>
      <c r="F97" s="41">
        <f t="shared" si="110"/>
        <v>900</v>
      </c>
      <c r="G97" s="4"/>
      <c r="H97" s="6">
        <v>18000</v>
      </c>
      <c r="I97" s="5">
        <v>15</v>
      </c>
      <c r="J97" s="4">
        <f t="shared" si="0"/>
        <v>0.79475492689162874</v>
      </c>
      <c r="K97" s="4">
        <f t="shared" si="1"/>
        <v>854.9020438128598</v>
      </c>
      <c r="L97" s="6">
        <f t="shared" si="41"/>
        <v>385</v>
      </c>
      <c r="M97" s="4">
        <f t="shared" si="2"/>
        <v>506.51578252641843</v>
      </c>
      <c r="N97" s="4">
        <f t="shared" si="3"/>
        <v>467.25729869096648</v>
      </c>
      <c r="O97" s="4">
        <f t="shared" si="4"/>
        <v>3100770.2121998589</v>
      </c>
      <c r="P97" s="4">
        <f t="shared" si="5"/>
        <v>19909123.624455679</v>
      </c>
      <c r="Q97" s="4">
        <f t="shared" si="6"/>
        <v>2.54805818703177E-3</v>
      </c>
      <c r="R97" s="4">
        <f t="shared" si="7"/>
        <v>1.8555895231828958E-2</v>
      </c>
      <c r="S97" s="27">
        <v>0</v>
      </c>
      <c r="T97" s="4">
        <f t="shared" ca="1" si="8"/>
        <v>0.12218474017028332</v>
      </c>
      <c r="U97" s="4">
        <f t="shared" ca="1" si="9"/>
        <v>1.949876894957582E-2</v>
      </c>
      <c r="V97" s="4">
        <f t="shared" ca="1" si="10"/>
        <v>6.266279706490975</v>
      </c>
      <c r="W97" s="20">
        <f t="shared" ca="1" si="11"/>
        <v>2095.516684650961</v>
      </c>
      <c r="X97" s="4">
        <f t="shared" si="12"/>
        <v>0.54203978015559195</v>
      </c>
      <c r="Y97" s="4">
        <f t="shared" ca="1" si="13"/>
        <v>206.21259752142115</v>
      </c>
      <c r="Z97" s="14">
        <f t="shared" ca="1" si="14"/>
        <v>2095.516684650961</v>
      </c>
      <c r="AA97" s="14">
        <f t="shared" si="15"/>
        <v>3136.1037756224764</v>
      </c>
      <c r="AB97" s="25">
        <f t="shared" ca="1" si="16"/>
        <v>1791461.4965520545</v>
      </c>
      <c r="AC97" s="4">
        <f t="shared" si="17"/>
        <v>2681061.5273888814</v>
      </c>
      <c r="AD97" s="5">
        <f t="shared" ca="1" si="18"/>
        <v>66.819111693299362</v>
      </c>
      <c r="AE97" s="7">
        <f t="shared" ca="1" si="19"/>
        <v>2095.516684650961</v>
      </c>
      <c r="AF97" s="41">
        <f t="shared" ca="1" si="111"/>
        <v>1040.5870909715154</v>
      </c>
      <c r="AG97" s="4">
        <f t="shared" ca="1" si="20"/>
        <v>67.747596111286001</v>
      </c>
      <c r="AH97" s="4">
        <f t="shared" ca="1" si="21"/>
        <v>1199.4705696770695</v>
      </c>
      <c r="AI97" s="13">
        <f t="shared" ca="1" si="22"/>
        <v>0</v>
      </c>
      <c r="AJ97" s="10">
        <f t="shared" ca="1" si="23"/>
        <v>0</v>
      </c>
      <c r="AK97" s="11">
        <f t="shared" ca="1" si="24"/>
        <v>0.30955957417450658</v>
      </c>
      <c r="AL97" s="7">
        <v>0</v>
      </c>
      <c r="AM97" s="4">
        <f t="shared" si="25"/>
        <v>6396.641746954866</v>
      </c>
      <c r="AN97" s="4">
        <f t="shared" ca="1" si="26"/>
        <v>2131.2732000666888</v>
      </c>
      <c r="AO97" s="6">
        <v>900</v>
      </c>
      <c r="AP97" s="4">
        <f t="shared" si="27"/>
        <v>0.572398482179997</v>
      </c>
      <c r="AQ97" s="11">
        <f t="shared" si="28"/>
        <v>0.92829992071837586</v>
      </c>
      <c r="AR97" s="11">
        <f t="shared" si="29"/>
        <v>0.49937958210548988</v>
      </c>
      <c r="AS97" s="11">
        <f t="shared" si="30"/>
        <v>0.53795068916847377</v>
      </c>
      <c r="AT97" s="11">
        <f t="shared" si="31"/>
        <v>481.48131987899995</v>
      </c>
      <c r="AU97" s="11">
        <f t="shared" si="32"/>
        <v>1056.7970592432796</v>
      </c>
      <c r="AV97" s="11">
        <f t="shared" si="33"/>
        <v>1.2786549930845453E-3</v>
      </c>
      <c r="AW97" s="11">
        <f t="shared" si="34"/>
        <v>3.5253330369939681E-7</v>
      </c>
      <c r="AX97" s="4">
        <f t="shared" ca="1" si="35"/>
        <v>17.926738840899212</v>
      </c>
      <c r="AY97" s="4">
        <f t="shared" ca="1" si="36"/>
        <v>2.1903739273757958</v>
      </c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</row>
    <row r="98" spans="1:64">
      <c r="A98" s="41">
        <f t="shared" si="107"/>
        <v>6319.5893814331048</v>
      </c>
      <c r="B98" s="41">
        <f t="shared" ref="B98:C98" si="120">(A98/60)</f>
        <v>105.32648969055175</v>
      </c>
      <c r="C98" s="41">
        <f t="shared" si="120"/>
        <v>1.7554414948425292</v>
      </c>
      <c r="D98" s="23">
        <f t="shared" ca="1" si="113"/>
        <v>13131.093675641567</v>
      </c>
      <c r="E98" s="41">
        <f t="shared" si="109"/>
        <v>900</v>
      </c>
      <c r="F98" s="41">
        <f t="shared" si="110"/>
        <v>900</v>
      </c>
      <c r="G98" s="4"/>
      <c r="H98" s="6">
        <v>18000</v>
      </c>
      <c r="I98" s="5">
        <v>15</v>
      </c>
      <c r="J98" s="4">
        <f t="shared" si="0"/>
        <v>0.80444507342345717</v>
      </c>
      <c r="K98" s="4">
        <f t="shared" si="1"/>
        <v>865.32554141520416</v>
      </c>
      <c r="L98" s="6">
        <f t="shared" si="41"/>
        <v>390</v>
      </c>
      <c r="M98" s="4">
        <f t="shared" si="2"/>
        <v>512.69153807984583</v>
      </c>
      <c r="N98" s="4">
        <f t="shared" si="3"/>
        <v>478.72094456443392</v>
      </c>
      <c r="O98" s="4">
        <f t="shared" si="4"/>
        <v>3138576.73179611</v>
      </c>
      <c r="P98" s="4">
        <f t="shared" si="5"/>
        <v>20151868.046306327</v>
      </c>
      <c r="Q98" s="4">
        <f t="shared" si="6"/>
        <v>2.5399481966189063E-3</v>
      </c>
      <c r="R98" s="4">
        <f t="shared" si="7"/>
        <v>1.8506383740358422E-2</v>
      </c>
      <c r="S98" s="27">
        <v>0</v>
      </c>
      <c r="T98" s="4">
        <f t="shared" ca="1" si="8"/>
        <v>0.11925885483278639</v>
      </c>
      <c r="U98" s="4">
        <f t="shared" ca="1" si="9"/>
        <v>1.9404641257685259E-2</v>
      </c>
      <c r="V98" s="4">
        <f t="shared" ca="1" si="10"/>
        <v>6.1458933071258715</v>
      </c>
      <c r="W98" s="20">
        <f t="shared" ca="1" si="11"/>
        <v>2136.5638841170066</v>
      </c>
      <c r="X98" s="4">
        <f t="shared" si="12"/>
        <v>0.54131615234005992</v>
      </c>
      <c r="Y98" s="4">
        <f t="shared" ca="1" si="13"/>
        <v>206.21259752142115</v>
      </c>
      <c r="Z98" s="14">
        <f t="shared" ca="1" si="14"/>
        <v>2136.5638841170066</v>
      </c>
      <c r="AA98" s="14">
        <f t="shared" si="15"/>
        <v>3136.1037756224764</v>
      </c>
      <c r="AB98" s="25">
        <f t="shared" ca="1" si="16"/>
        <v>1848823.2997917202</v>
      </c>
      <c r="AC98" s="4">
        <f t="shared" si="17"/>
        <v>2713750.6975747854</v>
      </c>
      <c r="AD98" s="5">
        <f t="shared" ca="1" si="18"/>
        <v>68.127971425082251</v>
      </c>
      <c r="AE98" s="7">
        <f t="shared" ca="1" si="19"/>
        <v>2136.5638841170062</v>
      </c>
      <c r="AF98" s="41">
        <f t="shared" ca="1" si="111"/>
        <v>999.53989150546977</v>
      </c>
      <c r="AG98" s="4">
        <f t="shared" ca="1" si="20"/>
        <v>65.868648807792937</v>
      </c>
      <c r="AH98" s="4">
        <f t="shared" ca="1" si="21"/>
        <v>1110.3614239449248</v>
      </c>
      <c r="AI98" s="13">
        <f t="shared" ca="1" si="22"/>
        <v>-2.9967381798739118E-14</v>
      </c>
      <c r="AJ98" s="10">
        <f t="shared" ca="1" si="23"/>
        <v>-1.9842295389973384E-15</v>
      </c>
      <c r="AK98" s="11">
        <f t="shared" ca="1" si="24"/>
        <v>0.30097408685758092</v>
      </c>
      <c r="AL98" s="7">
        <v>0</v>
      </c>
      <c r="AM98" s="4">
        <f t="shared" si="25"/>
        <v>6319.5893814331048</v>
      </c>
      <c r="AN98" s="4">
        <f t="shared" ca="1" si="26"/>
        <v>1949.1745178653582</v>
      </c>
      <c r="AO98" s="6">
        <v>900</v>
      </c>
      <c r="AP98" s="4">
        <f t="shared" si="27"/>
        <v>0.5196949326903989</v>
      </c>
      <c r="AQ98" s="11">
        <f t="shared" si="28"/>
        <v>0.92829992071837586</v>
      </c>
      <c r="AR98" s="11">
        <f t="shared" si="29"/>
        <v>0.49937958210548988</v>
      </c>
      <c r="AS98" s="11">
        <f t="shared" si="30"/>
        <v>0.53795068916847377</v>
      </c>
      <c r="AT98" s="11">
        <f t="shared" si="31"/>
        <v>481.48131987899995</v>
      </c>
      <c r="AU98" s="11">
        <f t="shared" si="32"/>
        <v>1056.7970592432796</v>
      </c>
      <c r="AV98" s="11">
        <f t="shared" si="33"/>
        <v>1.2786549930845453E-3</v>
      </c>
      <c r="AW98" s="11">
        <f t="shared" si="34"/>
        <v>3.5253330369939681E-7</v>
      </c>
      <c r="AX98" s="4">
        <f t="shared" ca="1" si="35"/>
        <v>17.796709001278874</v>
      </c>
      <c r="AY98" s="4">
        <f t="shared" ca="1" si="36"/>
        <v>2.1224151352848599</v>
      </c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</row>
    <row r="99" spans="1:64">
      <c r="A99" s="41">
        <f t="shared" si="107"/>
        <v>6244.5154117579332</v>
      </c>
      <c r="B99" s="41">
        <f t="shared" ref="B99:C99" si="121">(A99/60)</f>
        <v>104.07525686263222</v>
      </c>
      <c r="C99" s="41">
        <f t="shared" si="121"/>
        <v>1.7345876143772037</v>
      </c>
      <c r="D99" s="23">
        <f t="shared" ca="1" si="113"/>
        <v>13131.093675641567</v>
      </c>
      <c r="E99" s="41">
        <f t="shared" si="109"/>
        <v>900</v>
      </c>
      <c r="F99" s="41">
        <f t="shared" si="110"/>
        <v>900</v>
      </c>
      <c r="G99" s="4"/>
      <c r="H99" s="6">
        <v>18000</v>
      </c>
      <c r="I99" s="5">
        <v>15</v>
      </c>
      <c r="J99" s="4">
        <f t="shared" si="0"/>
        <v>0.81411642196938572</v>
      </c>
      <c r="K99" s="4">
        <f t="shared" si="1"/>
        <v>875.72881839856063</v>
      </c>
      <c r="L99" s="6">
        <f t="shared" si="41"/>
        <v>395</v>
      </c>
      <c r="M99" s="4">
        <f t="shared" si="2"/>
        <v>518.85531324005285</v>
      </c>
      <c r="N99" s="4">
        <f t="shared" si="3"/>
        <v>490.30087300958979</v>
      </c>
      <c r="O99" s="4">
        <f t="shared" si="4"/>
        <v>3176309.9102493804</v>
      </c>
      <c r="P99" s="4">
        <f t="shared" si="5"/>
        <v>20394141.566483382</v>
      </c>
      <c r="Q99" s="4">
        <f t="shared" si="6"/>
        <v>2.5319055421177774E-3</v>
      </c>
      <c r="R99" s="4">
        <f t="shared" si="7"/>
        <v>1.8457283334629031E-2</v>
      </c>
      <c r="S99" s="27">
        <v>0</v>
      </c>
      <c r="T99" s="4">
        <f t="shared" ca="1" si="8"/>
        <v>0.1164421986091539</v>
      </c>
      <c r="U99" s="4">
        <f t="shared" ca="1" si="9"/>
        <v>1.9313611808144223E-2</v>
      </c>
      <c r="V99" s="4">
        <f t="shared" ca="1" si="10"/>
        <v>6.0290224203456448</v>
      </c>
      <c r="W99" s="20">
        <f t="shared" ca="1" si="11"/>
        <v>2177.9805680153299</v>
      </c>
      <c r="X99" s="4">
        <f t="shared" si="12"/>
        <v>0.54059757609117265</v>
      </c>
      <c r="Y99" s="4">
        <f t="shared" ca="1" si="13"/>
        <v>206.21259752142115</v>
      </c>
      <c r="Z99" s="14">
        <f t="shared" ca="1" si="14"/>
        <v>2177.9805680153299</v>
      </c>
      <c r="AA99" s="14">
        <f t="shared" si="15"/>
        <v>3136.1037756224764</v>
      </c>
      <c r="AB99" s="25">
        <f t="shared" ca="1" si="16"/>
        <v>1907320.3493230909</v>
      </c>
      <c r="AC99" s="4">
        <f t="shared" si="17"/>
        <v>2746376.453801136</v>
      </c>
      <c r="AD99" s="5">
        <f t="shared" ca="1" si="18"/>
        <v>69.44861279608098</v>
      </c>
      <c r="AE99" s="7">
        <f t="shared" ca="1" si="19"/>
        <v>2177.9805680153299</v>
      </c>
      <c r="AF99" s="41">
        <f t="shared" ca="1" si="111"/>
        <v>958.12320760714647</v>
      </c>
      <c r="AG99" s="4">
        <f t="shared" ca="1" si="20"/>
        <v>63.898417390358766</v>
      </c>
      <c r="AH99" s="4">
        <f t="shared" ca="1" si="21"/>
        <v>1002.8055562192651</v>
      </c>
      <c r="AI99" s="13">
        <f t="shared" ca="1" si="22"/>
        <v>0</v>
      </c>
      <c r="AJ99" s="10">
        <f t="shared" ca="1" si="23"/>
        <v>0</v>
      </c>
      <c r="AK99" s="11">
        <f t="shared" ca="1" si="24"/>
        <v>0.29197149438766812</v>
      </c>
      <c r="AL99" s="7">
        <v>0</v>
      </c>
      <c r="AM99" s="4">
        <f t="shared" si="25"/>
        <v>6244.5154117579332</v>
      </c>
      <c r="AN99" s="4">
        <f t="shared" ca="1" si="26"/>
        <v>1739.4540974465799</v>
      </c>
      <c r="AO99" s="6">
        <v>900</v>
      </c>
      <c r="AP99" s="4">
        <f t="shared" si="27"/>
        <v>0.46042906486216489</v>
      </c>
      <c r="AQ99" s="11">
        <f t="shared" si="28"/>
        <v>0.92829992071837586</v>
      </c>
      <c r="AR99" s="11">
        <f t="shared" si="29"/>
        <v>0.49937958210548988</v>
      </c>
      <c r="AS99" s="11">
        <f t="shared" si="30"/>
        <v>0.53795068916847377</v>
      </c>
      <c r="AT99" s="11">
        <f t="shared" si="31"/>
        <v>481.48131987899995</v>
      </c>
      <c r="AU99" s="11">
        <f t="shared" si="32"/>
        <v>1056.7970592432796</v>
      </c>
      <c r="AV99" s="11">
        <f t="shared" si="33"/>
        <v>1.2786549930845453E-3</v>
      </c>
      <c r="AW99" s="11">
        <f t="shared" si="34"/>
        <v>3.5253330369939681E-7</v>
      </c>
      <c r="AX99" s="4">
        <f t="shared" ca="1" si="35"/>
        <v>17.668175332886261</v>
      </c>
      <c r="AY99" s="4">
        <f t="shared" ca="1" si="36"/>
        <v>2.0573211811732963</v>
      </c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</row>
    <row r="100" spans="1:64">
      <c r="A100" s="41">
        <f t="shared" si="107"/>
        <v>6171.3447447743429</v>
      </c>
      <c r="B100" s="41">
        <f t="shared" ref="B100:C100" si="122">(A100/60)</f>
        <v>102.85574574623905</v>
      </c>
      <c r="C100" s="41">
        <f t="shared" si="122"/>
        <v>1.7142624291039843</v>
      </c>
      <c r="D100" s="23">
        <f t="shared" ca="1" si="113"/>
        <v>13131.093675641567</v>
      </c>
      <c r="E100" s="41">
        <f t="shared" si="109"/>
        <v>900</v>
      </c>
      <c r="F100" s="41">
        <f t="shared" si="110"/>
        <v>900</v>
      </c>
      <c r="G100" s="4"/>
      <c r="H100" s="6">
        <v>18000</v>
      </c>
      <c r="I100" s="5">
        <v>15</v>
      </c>
      <c r="J100" s="4">
        <f t="shared" si="0"/>
        <v>0.82376900889515026</v>
      </c>
      <c r="K100" s="4">
        <f t="shared" si="1"/>
        <v>886.11191388082705</v>
      </c>
      <c r="L100" s="6">
        <f t="shared" si="41"/>
        <v>400</v>
      </c>
      <c r="M100" s="4">
        <f t="shared" si="2"/>
        <v>525.00713118376791</v>
      </c>
      <c r="N100" s="4">
        <f t="shared" si="3"/>
        <v>501.99632141196196</v>
      </c>
      <c r="O100" s="4">
        <f t="shared" si="4"/>
        <v>3213969.8894421384</v>
      </c>
      <c r="P100" s="4">
        <f t="shared" si="5"/>
        <v>20635945.095971983</v>
      </c>
      <c r="Q100" s="4">
        <f t="shared" si="6"/>
        <v>2.5239283472639983E-3</v>
      </c>
      <c r="R100" s="4">
        <f t="shared" si="7"/>
        <v>1.840858256004671E-2</v>
      </c>
      <c r="S100" s="27">
        <v>0</v>
      </c>
      <c r="T100" s="4">
        <f t="shared" ca="1" si="8"/>
        <v>0.11372934262275607</v>
      </c>
      <c r="U100" s="4">
        <f t="shared" ca="1" si="9"/>
        <v>1.9225474570611807E-2</v>
      </c>
      <c r="V100" s="4">
        <f t="shared" ca="1" si="10"/>
        <v>5.9155545006209378</v>
      </c>
      <c r="W100" s="20">
        <f t="shared" ca="1" si="11"/>
        <v>2219.7570277246596</v>
      </c>
      <c r="X100" s="4">
        <f t="shared" si="12"/>
        <v>0.53988390361036454</v>
      </c>
      <c r="Y100" s="4">
        <f t="shared" ca="1" si="13"/>
        <v>206.21259752142115</v>
      </c>
      <c r="Z100" s="14">
        <f t="shared" ca="1" si="14"/>
        <v>2219.7570277246596</v>
      </c>
      <c r="AA100" s="14">
        <f t="shared" si="15"/>
        <v>3136.1037756224764</v>
      </c>
      <c r="AB100" s="25">
        <f t="shared" ca="1" si="16"/>
        <v>1966953.1481875142</v>
      </c>
      <c r="AC100" s="4">
        <f t="shared" si="17"/>
        <v>2778938.9187457203</v>
      </c>
      <c r="AD100" s="5">
        <f t="shared" ca="1" si="18"/>
        <v>70.78072623040245</v>
      </c>
      <c r="AE100" s="7">
        <f t="shared" ca="1" si="19"/>
        <v>2219.7570277246596</v>
      </c>
      <c r="AF100" s="41">
        <f t="shared" ca="1" si="111"/>
        <v>916.34674789781684</v>
      </c>
      <c r="AG100" s="4">
        <f t="shared" ca="1" si="20"/>
        <v>61.836872892351344</v>
      </c>
      <c r="AH100" s="4">
        <f t="shared" ca="1" si="21"/>
        <v>874.72159225575911</v>
      </c>
      <c r="AI100" s="13">
        <f t="shared" ca="1" si="22"/>
        <v>0</v>
      </c>
      <c r="AJ100" s="10">
        <f t="shared" ca="1" si="23"/>
        <v>0</v>
      </c>
      <c r="AK100" s="11">
        <f t="shared" ca="1" si="24"/>
        <v>0.28255166440732932</v>
      </c>
      <c r="AL100" s="7">
        <v>0</v>
      </c>
      <c r="AM100" s="4">
        <f t="shared" si="25"/>
        <v>6171.3447447743429</v>
      </c>
      <c r="AN100" s="4">
        <f t="shared" ca="1" si="26"/>
        <v>1499.5023615300622</v>
      </c>
      <c r="AO100" s="6">
        <v>900</v>
      </c>
      <c r="AP100" s="4">
        <f t="shared" si="27"/>
        <v>0.39406186412770772</v>
      </c>
      <c r="AQ100" s="11">
        <f t="shared" si="28"/>
        <v>0.92829992071837586</v>
      </c>
      <c r="AR100" s="11">
        <f t="shared" si="29"/>
        <v>0.49937958210548988</v>
      </c>
      <c r="AS100" s="11">
        <f t="shared" si="30"/>
        <v>0.53795068916847377</v>
      </c>
      <c r="AT100" s="11">
        <f t="shared" si="31"/>
        <v>481.48131987899995</v>
      </c>
      <c r="AU100" s="11">
        <f t="shared" si="32"/>
        <v>1056.7970592432796</v>
      </c>
      <c r="AV100" s="11">
        <f t="shared" si="33"/>
        <v>1.2786549930845453E-3</v>
      </c>
      <c r="AW100" s="11">
        <f t="shared" si="34"/>
        <v>3.5253330369939681E-7</v>
      </c>
      <c r="AX100" s="4">
        <f t="shared" ca="1" si="35"/>
        <v>17.541195767009437</v>
      </c>
      <c r="AY100" s="4">
        <f t="shared" ca="1" si="36"/>
        <v>1.9949486633990545</v>
      </c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</row>
    <row r="101" spans="1:64">
      <c r="A101" s="41">
        <f t="shared" si="107"/>
        <v>6100.0060036191244</v>
      </c>
      <c r="B101" s="41">
        <f t="shared" ref="B101:C101" si="123">(A101/60)</f>
        <v>101.6667667269854</v>
      </c>
      <c r="C101" s="41">
        <f t="shared" si="123"/>
        <v>1.6944461121164234</v>
      </c>
      <c r="D101" s="23">
        <f t="shared" ca="1" si="113"/>
        <v>13131.093675641567</v>
      </c>
      <c r="E101" s="41">
        <f t="shared" si="109"/>
        <v>900</v>
      </c>
      <c r="F101" s="41">
        <f t="shared" si="110"/>
        <v>900</v>
      </c>
      <c r="G101" s="4"/>
      <c r="H101" s="6">
        <v>18000</v>
      </c>
      <c r="I101" s="5">
        <v>15</v>
      </c>
      <c r="J101" s="4">
        <f t="shared" si="0"/>
        <v>0.83340287549501857</v>
      </c>
      <c r="K101" s="4">
        <f t="shared" si="1"/>
        <v>896.4748722814245</v>
      </c>
      <c r="L101" s="6">
        <f t="shared" si="41"/>
        <v>405</v>
      </c>
      <c r="M101" s="4">
        <f t="shared" si="2"/>
        <v>531.14701822878749</v>
      </c>
      <c r="N101" s="4">
        <f t="shared" si="3"/>
        <v>513.80653687588062</v>
      </c>
      <c r="O101" s="4">
        <f t="shared" si="4"/>
        <v>3251556.830485729</v>
      </c>
      <c r="P101" s="4">
        <f t="shared" si="5"/>
        <v>20877279.669220179</v>
      </c>
      <c r="Q101" s="4">
        <f t="shared" si="6"/>
        <v>2.5160148209474095E-3</v>
      </c>
      <c r="R101" s="4">
        <f t="shared" si="7"/>
        <v>1.8360270481883934E-2</v>
      </c>
      <c r="S101" s="27">
        <v>0</v>
      </c>
      <c r="T101" s="4">
        <f t="shared" ca="1" si="8"/>
        <v>0.11111519129429789</v>
      </c>
      <c r="U101" s="4">
        <f t="shared" ca="1" si="9"/>
        <v>1.9140040382777154E-2</v>
      </c>
      <c r="V101" s="4">
        <f t="shared" ca="1" si="10"/>
        <v>5.8053791461319513</v>
      </c>
      <c r="W101" s="20">
        <f t="shared" ca="1" si="11"/>
        <v>2261.883908890024</v>
      </c>
      <c r="X101" s="4">
        <f t="shared" si="12"/>
        <v>0.53917499381331924</v>
      </c>
      <c r="Y101" s="4">
        <f t="shared" ca="1" si="13"/>
        <v>206.21259752142115</v>
      </c>
      <c r="Z101" s="14">
        <f t="shared" ca="1" si="14"/>
        <v>2261.883908890024</v>
      </c>
      <c r="AA101" s="14">
        <f t="shared" si="15"/>
        <v>3136.1037756224764</v>
      </c>
      <c r="AB101" s="25">
        <f t="shared" ca="1" si="16"/>
        <v>2027722.0883375935</v>
      </c>
      <c r="AC101" s="4">
        <f t="shared" si="17"/>
        <v>2811438.2317124526</v>
      </c>
      <c r="AD101" s="5">
        <f t="shared" ca="1" si="18"/>
        <v>72.124013448536758</v>
      </c>
      <c r="AE101" s="7">
        <f t="shared" ca="1" si="19"/>
        <v>2261.883908890024</v>
      </c>
      <c r="AF101" s="41">
        <f t="shared" ca="1" si="111"/>
        <v>874.21986673245237</v>
      </c>
      <c r="AG101" s="4">
        <f t="shared" ca="1" si="20"/>
        <v>59.683996073279694</v>
      </c>
      <c r="AH101" s="4">
        <f t="shared" ca="1" si="21"/>
        <v>723.86215625525983</v>
      </c>
      <c r="AI101" s="13">
        <f t="shared" ca="1" si="22"/>
        <v>0</v>
      </c>
      <c r="AJ101" s="10">
        <f t="shared" ca="1" si="23"/>
        <v>0</v>
      </c>
      <c r="AK101" s="11">
        <f t="shared" ca="1" si="24"/>
        <v>0.27271450900085192</v>
      </c>
      <c r="AL101" s="7">
        <v>0</v>
      </c>
      <c r="AM101" s="4">
        <f t="shared" si="25"/>
        <v>6100.0060036191244</v>
      </c>
      <c r="AN101" s="4">
        <f t="shared" ca="1" si="26"/>
        <v>1226.5454163749359</v>
      </c>
      <c r="AO101" s="6">
        <v>900</v>
      </c>
      <c r="AP101" s="4">
        <f t="shared" si="27"/>
        <v>0.32002621947581794</v>
      </c>
      <c r="AQ101" s="11">
        <f t="shared" si="28"/>
        <v>0.92829992071837586</v>
      </c>
      <c r="AR101" s="11">
        <f t="shared" si="29"/>
        <v>0.49937958210548988</v>
      </c>
      <c r="AS101" s="11">
        <f t="shared" si="30"/>
        <v>0.53795068916847377</v>
      </c>
      <c r="AT101" s="11">
        <f t="shared" si="31"/>
        <v>481.48131987899995</v>
      </c>
      <c r="AU101" s="11">
        <f t="shared" si="32"/>
        <v>1056.7970592432796</v>
      </c>
      <c r="AV101" s="11">
        <f t="shared" si="33"/>
        <v>1.2786549930845453E-3</v>
      </c>
      <c r="AW101" s="11">
        <f t="shared" si="34"/>
        <v>3.5253330369939681E-7</v>
      </c>
      <c r="AX101" s="4">
        <f t="shared" ca="1" si="35"/>
        <v>17.415817672562376</v>
      </c>
      <c r="AY101" s="4">
        <f t="shared" ca="1" si="36"/>
        <v>1.9351619122333823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</row>
    <row r="102" spans="1:64">
      <c r="A102" s="41">
        <f t="shared" si="107"/>
        <v>6030.4313013268275</v>
      </c>
      <c r="B102" s="41">
        <f t="shared" ref="B102:C102" si="124">(A102/60)</f>
        <v>100.50718835544713</v>
      </c>
      <c r="C102" s="41">
        <f t="shared" si="124"/>
        <v>1.6751198059241188</v>
      </c>
      <c r="D102" s="23">
        <f t="shared" ca="1" si="113"/>
        <v>13131.093675641567</v>
      </c>
      <c r="E102" s="41">
        <f t="shared" si="109"/>
        <v>900</v>
      </c>
      <c r="F102" s="41">
        <f t="shared" si="110"/>
        <v>900</v>
      </c>
      <c r="G102" s="4"/>
      <c r="H102" s="6">
        <v>18000</v>
      </c>
      <c r="I102" s="5">
        <v>15</v>
      </c>
      <c r="J102" s="4">
        <f t="shared" si="0"/>
        <v>0.84301806785105304</v>
      </c>
      <c r="K102" s="4">
        <f t="shared" si="1"/>
        <v>906.81774316990982</v>
      </c>
      <c r="L102" s="6">
        <f t="shared" si="41"/>
        <v>410</v>
      </c>
      <c r="M102" s="4">
        <f t="shared" si="2"/>
        <v>537.27500374428087</v>
      </c>
      <c r="N102" s="4">
        <f t="shared" si="3"/>
        <v>525.73077638942107</v>
      </c>
      <c r="O102" s="4">
        <f t="shared" si="4"/>
        <v>3289070.913171282</v>
      </c>
      <c r="P102" s="4">
        <f t="shared" si="5"/>
        <v>21118146.440613359</v>
      </c>
      <c r="Q102" s="4">
        <f t="shared" si="6"/>
        <v>2.5081632524803052E-3</v>
      </c>
      <c r="R102" s="4">
        <f t="shared" si="7"/>
        <v>1.8312336656392262E-2</v>
      </c>
      <c r="S102" s="27">
        <v>0</v>
      </c>
      <c r="T102" s="4">
        <f t="shared" ca="1" si="8"/>
        <v>0.10859495809873425</v>
      </c>
      <c r="U102" s="4">
        <f t="shared" ca="1" si="9"/>
        <v>1.9057135365100109E-2</v>
      </c>
      <c r="V102" s="4">
        <f t="shared" ca="1" si="10"/>
        <v>5.6983883473697405</v>
      </c>
      <c r="W102" s="20">
        <f t="shared" ca="1" si="11"/>
        <v>2304.3521913880459</v>
      </c>
      <c r="X102" s="4">
        <f t="shared" si="12"/>
        <v>0.53847071196242091</v>
      </c>
      <c r="Y102" s="4">
        <f t="shared" ca="1" si="13"/>
        <v>206.21259752142115</v>
      </c>
      <c r="Z102" s="14">
        <f t="shared" ca="1" si="14"/>
        <v>2304.3521913880459</v>
      </c>
      <c r="AA102" s="14">
        <f t="shared" si="15"/>
        <v>3136.1037756224764</v>
      </c>
      <c r="AB102" s="25">
        <f t="shared" ca="1" si="16"/>
        <v>2089627.4536631438</v>
      </c>
      <c r="AC102" s="4">
        <f t="shared" si="17"/>
        <v>2843874.5481566074</v>
      </c>
      <c r="AD102" s="5">
        <f t="shared" ca="1" si="18"/>
        <v>73.478186828516584</v>
      </c>
      <c r="AE102" s="7">
        <f t="shared" ca="1" si="19"/>
        <v>2304.3521913880459</v>
      </c>
      <c r="AF102" s="41">
        <f t="shared" ca="1" si="111"/>
        <v>831.75158423443054</v>
      </c>
      <c r="AG102" s="4">
        <f t="shared" ca="1" si="20"/>
        <v>57.439777152196136</v>
      </c>
      <c r="AH102" s="4">
        <f t="shared" ca="1" si="21"/>
        <v>547.80496952303633</v>
      </c>
      <c r="AI102" s="13">
        <f t="shared" ca="1" si="22"/>
        <v>0</v>
      </c>
      <c r="AJ102" s="10">
        <f t="shared" ca="1" si="23"/>
        <v>0</v>
      </c>
      <c r="AK102" s="11">
        <f t="shared" ca="1" si="24"/>
        <v>0.26245998347608185</v>
      </c>
      <c r="AL102" s="7">
        <v>0</v>
      </c>
      <c r="AM102" s="4">
        <f t="shared" si="25"/>
        <v>6030.4313013268275</v>
      </c>
      <c r="AN102" s="4">
        <f t="shared" ca="1" si="26"/>
        <v>917.6389542316964</v>
      </c>
      <c r="AO102" s="6">
        <v>900</v>
      </c>
      <c r="AP102" s="4">
        <f t="shared" si="27"/>
        <v>0.23772623454449532</v>
      </c>
      <c r="AQ102" s="11">
        <f t="shared" si="28"/>
        <v>0.92829992071837586</v>
      </c>
      <c r="AR102" s="11">
        <f t="shared" si="29"/>
        <v>0.49937958210548988</v>
      </c>
      <c r="AS102" s="11">
        <f t="shared" si="30"/>
        <v>0.53795068916847377</v>
      </c>
      <c r="AT102" s="11">
        <f t="shared" si="31"/>
        <v>481.48131987899995</v>
      </c>
      <c r="AU102" s="11">
        <f t="shared" si="32"/>
        <v>1056.7970592432796</v>
      </c>
      <c r="AV102" s="11">
        <f t="shared" si="33"/>
        <v>1.2786549930845453E-3</v>
      </c>
      <c r="AW102" s="11">
        <f t="shared" si="34"/>
        <v>3.5253330369939681E-7</v>
      </c>
      <c r="AX102" s="4">
        <f t="shared" ca="1" si="35"/>
        <v>17.292079049397721</v>
      </c>
      <c r="AY102" s="4">
        <f t="shared" ca="1" si="36"/>
        <v>1.8778325998093459</v>
      </c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</row>
    <row r="103" spans="1:64">
      <c r="A103" s="41">
        <f t="shared" si="107"/>
        <v>5962.5560307895776</v>
      </c>
      <c r="B103" s="41">
        <f t="shared" ref="B103:C103" si="125">(A103/60)</f>
        <v>99.375933846492956</v>
      </c>
      <c r="C103" s="41">
        <f t="shared" si="125"/>
        <v>1.656265564108216</v>
      </c>
      <c r="D103" s="23">
        <f t="shared" ca="1" si="113"/>
        <v>13131.093675641567</v>
      </c>
      <c r="E103" s="41">
        <f t="shared" si="109"/>
        <v>900</v>
      </c>
      <c r="F103" s="41">
        <f t="shared" si="110"/>
        <v>900</v>
      </c>
      <c r="G103" s="4"/>
      <c r="H103" s="6">
        <v>18000</v>
      </c>
      <c r="I103" s="5">
        <v>15</v>
      </c>
      <c r="J103" s="4">
        <f t="shared" si="0"/>
        <v>0.85261463669295678</v>
      </c>
      <c r="K103" s="4">
        <f t="shared" si="1"/>
        <v>917.14058111521388</v>
      </c>
      <c r="L103" s="6">
        <f t="shared" si="41"/>
        <v>415</v>
      </c>
      <c r="M103" s="4">
        <f t="shared" si="2"/>
        <v>543.39112006146638</v>
      </c>
      <c r="N103" s="4">
        <f t="shared" si="3"/>
        <v>537.76830697607113</v>
      </c>
      <c r="O103" s="4">
        <f t="shared" si="4"/>
        <v>3326512.3354228963</v>
      </c>
      <c r="P103" s="4">
        <f t="shared" si="5"/>
        <v>21358546.680963319</v>
      </c>
      <c r="Q103" s="4">
        <f t="shared" si="6"/>
        <v>2.5003720071705587E-3</v>
      </c>
      <c r="R103" s="4">
        <f t="shared" si="7"/>
        <v>1.8264771103776261E-2</v>
      </c>
      <c r="S103" s="27">
        <v>0</v>
      </c>
      <c r="T103" s="4">
        <f t="shared" ca="1" si="8"/>
        <v>0.10616414335433232</v>
      </c>
      <c r="U103" s="4">
        <f t="shared" ca="1" si="9"/>
        <v>1.8976599502449596E-2</v>
      </c>
      <c r="V103" s="4">
        <f t="shared" ca="1" si="10"/>
        <v>5.5944766785339022</v>
      </c>
      <c r="W103" s="20">
        <f t="shared" ca="1" si="11"/>
        <v>2347.1531709169126</v>
      </c>
      <c r="X103" s="4">
        <f t="shared" si="12"/>
        <v>0.53777092932249326</v>
      </c>
      <c r="Y103" s="4">
        <f t="shared" ca="1" si="13"/>
        <v>206.21259752142115</v>
      </c>
      <c r="Z103" s="14">
        <f t="shared" ca="1" si="14"/>
        <v>2347.1531709169126</v>
      </c>
      <c r="AA103" s="14">
        <f t="shared" si="15"/>
        <v>3136.1037756224764</v>
      </c>
      <c r="AB103" s="25">
        <f t="shared" ca="1" si="16"/>
        <v>2152669.423141154</v>
      </c>
      <c r="AC103" s="4">
        <f t="shared" si="17"/>
        <v>2876248.0392120145</v>
      </c>
      <c r="AD103" s="5">
        <f t="shared" ca="1" si="18"/>
        <v>74.842968818882056</v>
      </c>
      <c r="AE103" s="7">
        <f t="shared" ca="1" si="19"/>
        <v>2347.153170916913</v>
      </c>
      <c r="AF103" s="41">
        <f t="shared" ca="1" si="111"/>
        <v>788.95060470556382</v>
      </c>
      <c r="AG103" s="4">
        <f t="shared" ca="1" si="20"/>
        <v>55.104215531803945</v>
      </c>
      <c r="AH103" s="4">
        <f t="shared" ca="1" si="21"/>
        <v>343.94370719967873</v>
      </c>
      <c r="AI103" s="13">
        <f t="shared" ca="1" si="22"/>
        <v>3.1761805981651296E-14</v>
      </c>
      <c r="AJ103" s="10">
        <f t="shared" ca="1" si="23"/>
        <v>1.9842295389973384E-15</v>
      </c>
      <c r="AK103" s="11">
        <f t="shared" ca="1" si="24"/>
        <v>0.25178808510378686</v>
      </c>
      <c r="AL103" s="7">
        <v>0</v>
      </c>
      <c r="AM103" s="4">
        <f t="shared" si="25"/>
        <v>5962.5560307895776</v>
      </c>
      <c r="AN103" s="4">
        <f t="shared" ca="1" si="26"/>
        <v>569.66211822654691</v>
      </c>
      <c r="AO103" s="6">
        <v>900</v>
      </c>
      <c r="AP103" s="4">
        <f t="shared" si="27"/>
        <v>0.14653654114329379</v>
      </c>
      <c r="AQ103" s="11">
        <f t="shared" si="28"/>
        <v>0.92829992071837586</v>
      </c>
      <c r="AR103" s="11">
        <f t="shared" si="29"/>
        <v>0.49937958210548988</v>
      </c>
      <c r="AS103" s="11">
        <f t="shared" si="30"/>
        <v>0.53795068916847377</v>
      </c>
      <c r="AT103" s="11">
        <f t="shared" si="31"/>
        <v>481.48131987899995</v>
      </c>
      <c r="AU103" s="11">
        <f t="shared" si="32"/>
        <v>1056.7970592432796</v>
      </c>
      <c r="AV103" s="11">
        <f t="shared" si="33"/>
        <v>1.2786549930845453E-3</v>
      </c>
      <c r="AW103" s="11">
        <f t="shared" si="34"/>
        <v>3.5253330369939681E-7</v>
      </c>
      <c r="AX103" s="4">
        <f t="shared" ca="1" si="35"/>
        <v>17.17000959627525</v>
      </c>
      <c r="AY103" s="4">
        <f t="shared" ca="1" si="36"/>
        <v>1.8228393601742277</v>
      </c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</row>
    <row r="104" spans="1:64">
      <c r="A104" s="41">
        <f t="shared" si="107"/>
        <v>5896.3186697080255</v>
      </c>
      <c r="B104" s="41">
        <f t="shared" ref="B104:C104" si="126">(A104/60)</f>
        <v>98.271977828467087</v>
      </c>
      <c r="C104" s="41">
        <f t="shared" si="126"/>
        <v>1.6378662971411182</v>
      </c>
      <c r="D104" s="23">
        <f t="shared" ca="1" si="113"/>
        <v>13131.093675641567</v>
      </c>
      <c r="E104" s="41">
        <f t="shared" si="109"/>
        <v>900</v>
      </c>
      <c r="F104" s="41">
        <f t="shared" si="110"/>
        <v>900</v>
      </c>
      <c r="G104" s="4"/>
      <c r="H104" s="6">
        <v>18000</v>
      </c>
      <c r="I104" s="5">
        <v>15</v>
      </c>
      <c r="J104" s="4">
        <f t="shared" si="0"/>
        <v>0.86219263725866313</v>
      </c>
      <c r="K104" s="4">
        <f t="shared" si="1"/>
        <v>927.44344553568146</v>
      </c>
      <c r="L104" s="6">
        <f t="shared" si="41"/>
        <v>420</v>
      </c>
      <c r="M104" s="4">
        <f t="shared" si="2"/>
        <v>549.49540238476266</v>
      </c>
      <c r="N104" s="4">
        <f t="shared" si="3"/>
        <v>549.91840583348437</v>
      </c>
      <c r="O104" s="4">
        <f t="shared" si="4"/>
        <v>3363881.3127537221</v>
      </c>
      <c r="P104" s="4">
        <f t="shared" si="5"/>
        <v>21598481.774015915</v>
      </c>
      <c r="Q104" s="4">
        <f t="shared" si="6"/>
        <v>2.4926395221770534E-3</v>
      </c>
      <c r="R104" s="4">
        <f t="shared" si="7"/>
        <v>1.8217564282890911E-2</v>
      </c>
      <c r="S104" s="27">
        <v>0</v>
      </c>
      <c r="T104" s="4">
        <f t="shared" ca="1" si="8"/>
        <v>0.10381851385151056</v>
      </c>
      <c r="U104" s="4">
        <f t="shared" ca="1" si="9"/>
        <v>1.8898285373262182E-2</v>
      </c>
      <c r="V104" s="4">
        <f t="shared" ca="1" si="10"/>
        <v>5.493541440452363</v>
      </c>
      <c r="W104" s="20">
        <f t="shared" ca="1" si="11"/>
        <v>2390.2784420536368</v>
      </c>
      <c r="X104" s="4">
        <f t="shared" si="12"/>
        <v>0.53707552283812621</v>
      </c>
      <c r="Y104" s="4">
        <f t="shared" ca="1" si="13"/>
        <v>206.21259752142115</v>
      </c>
      <c r="Z104" s="14">
        <f t="shared" ca="1" si="14"/>
        <v>2390.2784420536368</v>
      </c>
      <c r="AA104" s="14">
        <f t="shared" si="15"/>
        <v>3136.1037756224764</v>
      </c>
      <c r="AB104" s="25">
        <f t="shared" ca="1" si="16"/>
        <v>2216848.0740878857</v>
      </c>
      <c r="AC104" s="4">
        <f t="shared" si="17"/>
        <v>2908558.8912207694</v>
      </c>
      <c r="AD104" s="5">
        <f t="shared" ca="1" si="18"/>
        <v>76.218091398432662</v>
      </c>
      <c r="AE104" s="7">
        <f t="shared" ca="1" si="19"/>
        <v>2390.2784420536368</v>
      </c>
      <c r="AF104" s="41">
        <f t="shared" ca="1" si="111"/>
        <v>745.8253335688396</v>
      </c>
      <c r="AG104" s="4">
        <f t="shared" ca="1" si="20"/>
        <v>52.677319514978457</v>
      </c>
      <c r="AH104" s="4">
        <f t="shared" ca="1" si="21"/>
        <v>109.47861321397494</v>
      </c>
      <c r="AI104" s="13">
        <f t="shared" ca="1" si="22"/>
        <v>0</v>
      </c>
      <c r="AJ104" s="10">
        <f t="shared" ca="1" si="23"/>
        <v>0</v>
      </c>
      <c r="AK104" s="11">
        <f t="shared" ca="1" si="24"/>
        <v>0.24069885182235459</v>
      </c>
      <c r="AL104" s="7">
        <v>0</v>
      </c>
      <c r="AM104" s="4">
        <f t="shared" si="25"/>
        <v>5896.3186697080255</v>
      </c>
      <c r="AN104" s="4">
        <f t="shared" ca="1" si="26"/>
        <v>179.31133084091783</v>
      </c>
      <c r="AO104" s="6">
        <v>900</v>
      </c>
      <c r="AP104" s="4">
        <f t="shared" si="27"/>
        <v>4.5801615112218919E-2</v>
      </c>
      <c r="AQ104" s="11">
        <f t="shared" si="28"/>
        <v>0.92829992071837586</v>
      </c>
      <c r="AR104" s="11">
        <f t="shared" si="29"/>
        <v>0.49937958210548988</v>
      </c>
      <c r="AS104" s="11">
        <f t="shared" si="30"/>
        <v>0.53795068916847377</v>
      </c>
      <c r="AT104" s="11">
        <f t="shared" si="31"/>
        <v>481.48131987899995</v>
      </c>
      <c r="AU104" s="11">
        <f t="shared" si="32"/>
        <v>1056.7970592432796</v>
      </c>
      <c r="AV104" s="11">
        <f t="shared" si="33"/>
        <v>1.2786549930845453E-3</v>
      </c>
      <c r="AW104" s="11">
        <f t="shared" si="34"/>
        <v>3.5253330369939681E-7</v>
      </c>
      <c r="AX104" s="4">
        <f t="shared" ca="1" si="35"/>
        <v>17.049631666327905</v>
      </c>
      <c r="AY104" s="4">
        <f t="shared" ca="1" si="36"/>
        <v>1.7700674213138168</v>
      </c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</row>
    <row r="105" spans="1:64" s="119" customFormat="1">
      <c r="A105" s="107"/>
      <c r="B105" s="107"/>
      <c r="C105" s="107"/>
      <c r="D105" s="108"/>
      <c r="E105" s="107"/>
      <c r="F105" s="109"/>
      <c r="G105" s="107"/>
      <c r="H105" s="110"/>
      <c r="I105" s="111"/>
      <c r="J105" s="107"/>
      <c r="K105" s="107"/>
      <c r="L105" s="110"/>
      <c r="M105" s="107"/>
      <c r="N105" s="107"/>
      <c r="O105" s="107"/>
      <c r="P105" s="107"/>
      <c r="Q105" s="107"/>
      <c r="R105" s="107"/>
      <c r="S105" s="112"/>
      <c r="T105" s="107"/>
      <c r="U105" s="107"/>
      <c r="V105" s="107"/>
      <c r="W105" s="113"/>
      <c r="X105" s="107"/>
      <c r="Y105" s="107"/>
      <c r="Z105" s="114"/>
      <c r="AA105" s="114"/>
      <c r="AB105" s="115"/>
      <c r="AC105" s="107"/>
      <c r="AD105" s="111"/>
      <c r="AE105" s="109"/>
      <c r="AF105" s="107"/>
      <c r="AG105" s="107"/>
      <c r="AH105" s="107"/>
      <c r="AI105" s="116"/>
      <c r="AJ105" s="117"/>
      <c r="AK105" s="118"/>
      <c r="AL105" s="109"/>
      <c r="AM105" s="107"/>
      <c r="AN105" s="107"/>
      <c r="AO105" s="110"/>
      <c r="AP105" s="107"/>
      <c r="AQ105" s="118"/>
      <c r="AR105" s="118"/>
      <c r="AS105" s="118"/>
      <c r="AT105" s="118"/>
      <c r="AU105" s="118"/>
      <c r="AV105" s="118"/>
      <c r="AW105" s="118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</row>
    <row r="106" spans="1:64">
      <c r="A106" s="21" t="s">
        <v>193</v>
      </c>
      <c r="C106" s="21">
        <v>10059.74287</v>
      </c>
    </row>
    <row r="107" spans="1:64">
      <c r="A107" s="39" t="s">
        <v>194</v>
      </c>
      <c r="B107" s="7" t="s">
        <v>120</v>
      </c>
      <c r="C107" s="7">
        <v>100</v>
      </c>
      <c r="D107" s="7" t="s">
        <v>49</v>
      </c>
      <c r="E107" s="4"/>
      <c r="F107" s="4"/>
      <c r="G107" s="4"/>
      <c r="H107" s="5"/>
      <c r="I107" s="5"/>
      <c r="J107" s="4"/>
      <c r="K107" s="4"/>
      <c r="L107" s="6" t="s">
        <v>60</v>
      </c>
      <c r="M107" s="4"/>
      <c r="N107" s="4"/>
      <c r="O107" s="4"/>
      <c r="P107" s="4"/>
      <c r="Q107" s="7"/>
      <c r="R107" s="4"/>
      <c r="S107" s="8"/>
      <c r="T107" s="7"/>
      <c r="U107" s="7"/>
      <c r="V107" s="7"/>
      <c r="W107" s="7"/>
      <c r="X107" s="4"/>
      <c r="Y107" s="4"/>
      <c r="Z107" s="9"/>
      <c r="AA107" s="9"/>
      <c r="AB107" s="7"/>
      <c r="AC107" s="7"/>
      <c r="AD107" s="5"/>
      <c r="AE107" s="7"/>
      <c r="AF107" s="4"/>
      <c r="AG107" s="4"/>
      <c r="AH107" s="4"/>
      <c r="AI107" s="7" t="s">
        <v>61</v>
      </c>
      <c r="AJ107" s="10"/>
      <c r="AK107" s="11"/>
      <c r="AL107" s="4"/>
      <c r="AM107" s="4"/>
      <c r="AN107" s="4"/>
      <c r="AO107" s="5"/>
      <c r="AP107" s="4"/>
      <c r="AQ107" s="11"/>
      <c r="AR107" s="11"/>
      <c r="AS107" s="11"/>
      <c r="AT107" s="11"/>
      <c r="AU107" s="11"/>
      <c r="AV107" s="11"/>
      <c r="AW107" s="11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</row>
    <row r="108" spans="1:64">
      <c r="A108" s="4" t="s">
        <v>2</v>
      </c>
      <c r="B108" s="4" t="s">
        <v>2</v>
      </c>
      <c r="C108" s="4" t="s">
        <v>2</v>
      </c>
      <c r="D108" s="23" t="s">
        <v>23</v>
      </c>
      <c r="E108" s="4" t="s">
        <v>24</v>
      </c>
      <c r="F108" s="4" t="s">
        <v>25</v>
      </c>
      <c r="G108" s="4"/>
      <c r="H108" s="5" t="s">
        <v>0</v>
      </c>
      <c r="I108" s="5" t="s">
        <v>26</v>
      </c>
      <c r="J108" s="4" t="s">
        <v>27</v>
      </c>
      <c r="K108" s="4" t="s">
        <v>28</v>
      </c>
      <c r="L108" s="12" t="s">
        <v>29</v>
      </c>
      <c r="M108" s="13" t="s">
        <v>30</v>
      </c>
      <c r="N108" s="4" t="s">
        <v>31</v>
      </c>
      <c r="O108" s="4" t="s">
        <v>32</v>
      </c>
      <c r="P108" s="4" t="s">
        <v>33</v>
      </c>
      <c r="Q108" s="4" t="s">
        <v>34</v>
      </c>
      <c r="R108" s="4" t="s">
        <v>13</v>
      </c>
      <c r="S108" s="8" t="s">
        <v>35</v>
      </c>
      <c r="T108" s="4" t="s">
        <v>36</v>
      </c>
      <c r="U108" s="4" t="s">
        <v>37</v>
      </c>
      <c r="V108" s="4" t="s">
        <v>38</v>
      </c>
      <c r="W108" s="4" t="s">
        <v>39</v>
      </c>
      <c r="X108" s="4" t="s">
        <v>40</v>
      </c>
      <c r="Y108" s="6" t="s">
        <v>108</v>
      </c>
      <c r="Z108" s="35" t="s">
        <v>109</v>
      </c>
      <c r="AA108" s="9" t="s">
        <v>110</v>
      </c>
      <c r="AB108" s="7" t="s">
        <v>111</v>
      </c>
      <c r="AC108" s="7" t="s">
        <v>112</v>
      </c>
      <c r="AD108" s="5" t="s">
        <v>41</v>
      </c>
      <c r="AE108" s="7" t="s">
        <v>113</v>
      </c>
      <c r="AF108" s="7" t="s">
        <v>114</v>
      </c>
      <c r="AG108" s="7" t="s">
        <v>187</v>
      </c>
      <c r="AH108" s="4" t="s">
        <v>42</v>
      </c>
      <c r="AI108" s="4" t="s">
        <v>43</v>
      </c>
      <c r="AJ108" s="10" t="s">
        <v>35</v>
      </c>
      <c r="AK108" s="36" t="s">
        <v>116</v>
      </c>
      <c r="AL108" s="4" t="s">
        <v>44</v>
      </c>
      <c r="AM108" s="4" t="s">
        <v>45</v>
      </c>
      <c r="AN108" s="4" t="s">
        <v>46</v>
      </c>
      <c r="AO108" s="5" t="s">
        <v>47</v>
      </c>
      <c r="AP108" s="7" t="s">
        <v>85</v>
      </c>
      <c r="AQ108" s="15" t="s">
        <v>62</v>
      </c>
      <c r="AR108" s="16" t="s">
        <v>63</v>
      </c>
      <c r="AS108" s="16" t="s">
        <v>64</v>
      </c>
      <c r="AT108" s="17" t="s">
        <v>65</v>
      </c>
      <c r="AU108" s="18" t="s">
        <v>66</v>
      </c>
      <c r="AV108" s="18" t="s">
        <v>67</v>
      </c>
      <c r="AW108" s="19" t="s">
        <v>68</v>
      </c>
      <c r="AX108" s="37" t="s">
        <v>188</v>
      </c>
      <c r="AY108" s="37" t="s">
        <v>189</v>
      </c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</row>
    <row r="109" spans="1:64">
      <c r="A109" s="4" t="s">
        <v>18</v>
      </c>
      <c r="B109" s="4" t="s">
        <v>21</v>
      </c>
      <c r="C109" s="4" t="s">
        <v>48</v>
      </c>
      <c r="D109" s="23" t="s">
        <v>8</v>
      </c>
      <c r="E109" s="4" t="s">
        <v>49</v>
      </c>
      <c r="F109" s="4" t="s">
        <v>49</v>
      </c>
      <c r="G109" s="4"/>
      <c r="H109" s="5" t="s">
        <v>9</v>
      </c>
      <c r="I109" s="5" t="s">
        <v>50</v>
      </c>
      <c r="J109" s="4"/>
      <c r="K109" s="4" t="s">
        <v>51</v>
      </c>
      <c r="L109" s="5" t="s">
        <v>52</v>
      </c>
      <c r="M109" s="4" t="s">
        <v>52</v>
      </c>
      <c r="N109" s="4" t="s">
        <v>53</v>
      </c>
      <c r="O109" s="4" t="s">
        <v>54</v>
      </c>
      <c r="P109" s="4"/>
      <c r="Q109" s="4"/>
      <c r="R109" s="4"/>
      <c r="S109" s="8" t="s">
        <v>55</v>
      </c>
      <c r="T109" s="4"/>
      <c r="U109" s="4"/>
      <c r="V109" s="4"/>
      <c r="W109" s="4"/>
      <c r="X109" s="4"/>
      <c r="Y109" s="4"/>
      <c r="Z109" s="9" t="s">
        <v>118</v>
      </c>
      <c r="AA109" s="9" t="s">
        <v>118</v>
      </c>
      <c r="AB109" s="7" t="s">
        <v>119</v>
      </c>
      <c r="AC109" s="7" t="s">
        <v>119</v>
      </c>
      <c r="AD109" s="5" t="s">
        <v>20</v>
      </c>
      <c r="AE109" s="7" t="s">
        <v>118</v>
      </c>
      <c r="AF109" s="7" t="s">
        <v>118</v>
      </c>
      <c r="AG109" s="7" t="s">
        <v>119</v>
      </c>
      <c r="AH109" s="4" t="s">
        <v>56</v>
      </c>
      <c r="AI109" s="4" t="s">
        <v>57</v>
      </c>
      <c r="AJ109" s="10" t="s">
        <v>55</v>
      </c>
      <c r="AK109" s="36" t="s">
        <v>121</v>
      </c>
      <c r="AL109" s="4" t="s">
        <v>9</v>
      </c>
      <c r="AM109" s="4" t="s">
        <v>18</v>
      </c>
      <c r="AN109" s="4" t="s">
        <v>8</v>
      </c>
      <c r="AO109" s="5" t="s">
        <v>49</v>
      </c>
      <c r="AP109" s="4"/>
      <c r="AQ109" s="11"/>
      <c r="AR109" s="11"/>
      <c r="AS109" s="11"/>
      <c r="AT109" s="11"/>
      <c r="AU109" s="11"/>
      <c r="AV109" s="11"/>
      <c r="AW109" s="11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</row>
    <row r="110" spans="1:64">
      <c r="A110" s="4" t="e">
        <f>#REF!</f>
        <v>#REF!</v>
      </c>
      <c r="B110" s="4">
        <f t="shared" ref="B110:B189" si="127">($A$25/60)</f>
        <v>1584.5348996632649</v>
      </c>
      <c r="C110" s="4">
        <f t="shared" ref="C110:C189" si="128">($B$25/60)</f>
        <v>26.40891499438775</v>
      </c>
      <c r="D110" s="23">
        <f t="shared" ref="D110:D189" si="129">$C$106</f>
        <v>10059.74287</v>
      </c>
      <c r="E110" s="41" t="e">
        <f>#REF!</f>
        <v>#REF!</v>
      </c>
      <c r="F110" s="7">
        <v>0</v>
      </c>
      <c r="G110" s="4"/>
      <c r="H110" s="6">
        <v>3000</v>
      </c>
      <c r="I110" s="5">
        <v>0</v>
      </c>
      <c r="J110" s="4">
        <f t="shared" ref="J110:J189" si="130">SQRT((((((((L110^2)*(0.2))/(661.477)^2) + 1)^(3.5) - 1)*(1/AR110) + 1)^(1/3.5) - 1)*(5))</f>
        <v>3.992123383279695E-2</v>
      </c>
      <c r="K110" s="4">
        <f t="shared" ref="K110:K189" si="131">SQRT((1.4*2116.22*AR110*(J110)^2)/AV110)</f>
        <v>44.107983078717012</v>
      </c>
      <c r="L110" s="6">
        <v>25</v>
      </c>
      <c r="M110" s="4">
        <f t="shared" ref="M110:M189" si="132">K110*0.592484</f>
        <v>26.133274246410572</v>
      </c>
      <c r="N110" s="4">
        <f t="shared" ref="N110:N189" si="133">0.5*AV110*K110^2</f>
        <v>2.1158819296667506</v>
      </c>
      <c r="O110" s="4">
        <f t="shared" ref="O110:O189" si="134">P110/$B$7</f>
        <v>260919.3919491813</v>
      </c>
      <c r="P110" s="4">
        <f t="shared" ref="P110:P189" si="135">(AV110*K110*$B$7)/(AW110)</f>
        <v>1675285.8402392429</v>
      </c>
      <c r="Q110" s="4">
        <f t="shared" ref="Q110:Q189" si="136">0.455/(LOG10(P110)^2.58 * (1+0.144*J110*J110)^0.65)</f>
        <v>4.0665965324898036E-3</v>
      </c>
      <c r="R110" s="4">
        <f t="shared" ref="R110:R189" si="137">(((Q110*$B$4)+$B$17)+(0.1*(Q110*$B$4)))</f>
        <v>2.7826571830850248E-2</v>
      </c>
      <c r="S110" s="27">
        <v>0</v>
      </c>
      <c r="T110" s="4">
        <f t="shared" ref="T110:T189" si="138">(D110*COS(RADIANS(S110)))/(N110*$B$3)</f>
        <v>20.671291656217115</v>
      </c>
      <c r="U110" s="4">
        <f t="shared" ref="U110:U189" si="139">(W110)/(N110*$B$3)</f>
        <v>27.014839682317529</v>
      </c>
      <c r="V110" s="4">
        <f t="shared" ref="V110:V189" si="140">T110/U110</f>
        <v>0.76518283651882779</v>
      </c>
      <c r="W110" s="20">
        <f t="shared" ref="W110:W189" si="141">(N110*$B$3*R110)+((N110*$B$3)*((T110^2)/(PI()*$B$6*$B$5)))</f>
        <v>13146.848556831781</v>
      </c>
      <c r="X110" s="4">
        <f t="shared" ref="X110:X189" si="142">SQRT(PI()*$B$6*$B$5*R110)</f>
        <v>0.66377372525392608</v>
      </c>
      <c r="Y110" s="4">
        <f t="shared" ref="Y110:Y189" si="143">SQRT((2*((T110*N110*$B$3)/(D110))*D110)/(AV110*$B$3*$B$18))</f>
        <v>138.38574598989084</v>
      </c>
      <c r="Z110" s="14">
        <f t="shared" ref="Z110:Z189" si="144">W110+(D110*(SIN(RADIANS(S110))))</f>
        <v>13146.848556831781</v>
      </c>
      <c r="AA110" s="14">
        <f t="shared" ref="AA110:AA189" si="145">$B$15*AR110</f>
        <v>5628.3916222821908</v>
      </c>
      <c r="AB110" s="25">
        <f t="shared" ref="AB110:AB189" si="146">Z110*K110</f>
        <v>579880.97368319135</v>
      </c>
      <c r="AC110" s="4">
        <f t="shared" ref="AC110:AC189" si="147">AA110*K110</f>
        <v>248257.00243601546</v>
      </c>
      <c r="AD110" s="5">
        <f t="shared" ref="AD110:AD189" si="148">(Z110/AA110)*100</f>
        <v>233.58091332495127</v>
      </c>
      <c r="AE110" s="7">
        <f t="shared" ref="AE110:AE189" si="149">(AA110)*(AD110/100)</f>
        <v>13146.848556831783</v>
      </c>
      <c r="AF110" s="4">
        <f t="shared" ref="AF110:AF189" si="150">AE110-Z110</f>
        <v>0</v>
      </c>
      <c r="AG110" s="4">
        <f t="shared" ref="AG110:AG189" si="151">(AC110-AB110)/D110</f>
        <v>-32.965452053067821</v>
      </c>
      <c r="AH110" s="4">
        <f t="shared" ref="AH110:AH189" si="152">(AP110*AE110)</f>
        <v>8502.8205429459904</v>
      </c>
      <c r="AI110" s="13">
        <f t="shared" ref="AI110:AI189" si="153">K110*SIN(RADIANS(AJ110))</f>
        <v>7.9755471753888064E-15</v>
      </c>
      <c r="AJ110" s="10">
        <f t="shared" ref="AJ110:AJ189" si="154">DEGREES(ASIN(((AE110-W110)/(D110))))</f>
        <v>1.0360147088152813E-14</v>
      </c>
      <c r="AK110" s="11">
        <f t="shared" ref="AK110:AK189" si="155">(AG110/D110)*60</f>
        <v>-0.19661805960096762</v>
      </c>
      <c r="AL110" s="7">
        <v>0</v>
      </c>
      <c r="AM110" s="4">
        <f t="shared" ref="AM110:AM189" si="156">(AO110/M110)*3600</f>
        <v>688.777067514696</v>
      </c>
      <c r="AN110" s="4">
        <f t="shared" ref="AN110:AN189" si="157">AH110*(AM110/3600)</f>
        <v>1626.8188331039039</v>
      </c>
      <c r="AO110" s="6">
        <v>5</v>
      </c>
      <c r="AP110" s="4">
        <f t="shared" ref="AP110:AP189" si="158">(-39.149*(J110)^6)+(63.432*(J110)^5)-(35.357*(J110)^4)+(7.316*(J110)^3)-(0.244*(J110)^2)+(0.3523*(J110))+0.6327</f>
        <v>0.64675732029540156</v>
      </c>
      <c r="AQ110" s="11">
        <f t="shared" ref="AQ110:AQ189" si="159">IF(H110 &lt;= 36089, ((1 - 6.87535*10^(-6)*H110) + ((I110*1.8)/518.67)), 0.75187 + ((I110*1.8)/518.67))</f>
        <v>0.97937395000000005</v>
      </c>
      <c r="AR110" s="11">
        <f t="shared" ref="AR110:AR189" si="160">IF(H110 &lt;= 36089, (1 - 6.87535*10^(-6)*H110)^5.2561, 0.22336*EXP((36089 - H110)/(20806.7)))</f>
        <v>0.8962407041850623</v>
      </c>
      <c r="AS110" s="11">
        <f t="shared" ref="AS110:AS189" si="161">(AR110/AQ110)</f>
        <v>0.91511593113647982</v>
      </c>
      <c r="AT110" s="11">
        <f t="shared" ref="AT110:AT189" si="162">(518.67*AQ110)</f>
        <v>507.97188664649997</v>
      </c>
      <c r="AU110" s="11">
        <f t="shared" ref="AU110:AU189" si="163">2116.22*AR110</f>
        <v>1896.6425030105124</v>
      </c>
      <c r="AV110" s="11">
        <f t="shared" ref="AV110:AV189" si="164">(0.0023769*AS110)</f>
        <v>2.1751390567182989E-3</v>
      </c>
      <c r="AW110" s="11">
        <f t="shared" ref="AW110:AW189" si="165">((2.2697*10^-8)*(AT110^1.5))/(AT110+198.72)</f>
        <v>3.6770358841811742E-7</v>
      </c>
      <c r="AX110" s="4">
        <f t="shared" ref="AX110:AX189" si="166">(T110^(0.5))/(U110)</f>
        <v>0.16829895241660831</v>
      </c>
      <c r="AY110" s="4">
        <f t="shared" ref="AY110:AY189" si="167">(T110^(3/2))/(U110)</f>
        <v>3.4789567308395188</v>
      </c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</row>
    <row r="111" spans="1:64">
      <c r="A111" s="4" t="e">
        <f>#REF!</f>
        <v>#REF!</v>
      </c>
      <c r="B111" s="4">
        <f t="shared" si="127"/>
        <v>1584.5348996632649</v>
      </c>
      <c r="C111" s="4">
        <f t="shared" si="128"/>
        <v>26.40891499438775</v>
      </c>
      <c r="D111" s="23">
        <f t="shared" si="129"/>
        <v>10059.74287</v>
      </c>
      <c r="E111" s="41" t="e">
        <f>#REF!</f>
        <v>#REF!</v>
      </c>
      <c r="F111" s="7">
        <v>0</v>
      </c>
      <c r="G111" s="4"/>
      <c r="H111" s="6">
        <v>3000</v>
      </c>
      <c r="I111" s="5">
        <v>0</v>
      </c>
      <c r="J111" s="4">
        <f t="shared" si="130"/>
        <v>4.790504539159543E-2</v>
      </c>
      <c r="K111" s="4">
        <f t="shared" si="131"/>
        <v>52.92909884417822</v>
      </c>
      <c r="L111" s="6">
        <f t="shared" ref="L111:L189" si="168">L110+5</f>
        <v>30</v>
      </c>
      <c r="M111" s="4">
        <f t="shared" si="132"/>
        <v>31.35964419959409</v>
      </c>
      <c r="N111" s="4">
        <f t="shared" si="133"/>
        <v>3.0468146190651768</v>
      </c>
      <c r="O111" s="4">
        <f t="shared" si="134"/>
        <v>313100.42588423879</v>
      </c>
      <c r="P111" s="4">
        <f t="shared" si="135"/>
        <v>2010324.7448886586</v>
      </c>
      <c r="Q111" s="4">
        <f t="shared" si="136"/>
        <v>3.9358518969479566E-3</v>
      </c>
      <c r="R111" s="4">
        <f t="shared" si="137"/>
        <v>2.7028375830867271E-2</v>
      </c>
      <c r="S111" s="27">
        <v>0</v>
      </c>
      <c r="T111" s="4">
        <f t="shared" si="138"/>
        <v>14.355324477102766</v>
      </c>
      <c r="U111" s="4">
        <f t="shared" si="139"/>
        <v>13.04207168713865</v>
      </c>
      <c r="V111" s="4">
        <f t="shared" si="140"/>
        <v>1.1006935724221767</v>
      </c>
      <c r="W111" s="20">
        <f t="shared" si="141"/>
        <v>9139.4581762321159</v>
      </c>
      <c r="X111" s="4">
        <f t="shared" si="142"/>
        <v>0.65418439344081825</v>
      </c>
      <c r="Y111" s="4">
        <f t="shared" si="143"/>
        <v>138.38574598989084</v>
      </c>
      <c r="Z111" s="14">
        <f t="shared" si="144"/>
        <v>9139.4581762321159</v>
      </c>
      <c r="AA111" s="14">
        <f t="shared" si="145"/>
        <v>5628.3916222821908</v>
      </c>
      <c r="AB111" s="25">
        <f t="shared" si="146"/>
        <v>483743.28519202245</v>
      </c>
      <c r="AC111" s="4">
        <f t="shared" si="147"/>
        <v>297905.69650951866</v>
      </c>
      <c r="AD111" s="5">
        <f t="shared" si="148"/>
        <v>162.38134780902584</v>
      </c>
      <c r="AE111" s="7">
        <f t="shared" si="149"/>
        <v>9139.4581762321159</v>
      </c>
      <c r="AF111" s="4">
        <f t="shared" si="150"/>
        <v>0</v>
      </c>
      <c r="AG111" s="4">
        <f t="shared" si="151"/>
        <v>-18.473393513536571</v>
      </c>
      <c r="AH111" s="4">
        <f t="shared" si="152"/>
        <v>5937.4546141702212</v>
      </c>
      <c r="AI111" s="13">
        <f t="shared" si="153"/>
        <v>0</v>
      </c>
      <c r="AJ111" s="10">
        <f t="shared" si="154"/>
        <v>0</v>
      </c>
      <c r="AK111" s="11">
        <f t="shared" si="155"/>
        <v>-0.1101821015840929</v>
      </c>
      <c r="AL111" s="7">
        <v>0</v>
      </c>
      <c r="AM111" s="4">
        <f t="shared" si="156"/>
        <v>573.98610409722016</v>
      </c>
      <c r="AN111" s="4">
        <f t="shared" si="157"/>
        <v>946.671233956008</v>
      </c>
      <c r="AO111" s="6">
        <v>5</v>
      </c>
      <c r="AP111" s="4">
        <f t="shared" si="158"/>
        <v>0.64965061381986977</v>
      </c>
      <c r="AQ111" s="11">
        <f t="shared" si="159"/>
        <v>0.97937395000000005</v>
      </c>
      <c r="AR111" s="11">
        <f t="shared" si="160"/>
        <v>0.8962407041850623</v>
      </c>
      <c r="AS111" s="11">
        <f t="shared" si="161"/>
        <v>0.91511593113647982</v>
      </c>
      <c r="AT111" s="11">
        <f t="shared" si="162"/>
        <v>507.97188664649997</v>
      </c>
      <c r="AU111" s="11">
        <f t="shared" si="163"/>
        <v>1896.6425030105124</v>
      </c>
      <c r="AV111" s="11">
        <f t="shared" si="164"/>
        <v>2.1751390567182989E-3</v>
      </c>
      <c r="AW111" s="11">
        <f t="shared" si="165"/>
        <v>3.6770358841811742E-7</v>
      </c>
      <c r="AX111" s="4">
        <f t="shared" si="166"/>
        <v>0.29050922225497433</v>
      </c>
      <c r="AY111" s="4">
        <f t="shared" si="167"/>
        <v>4.1703541490609197</v>
      </c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</row>
    <row r="112" spans="1:64">
      <c r="A112" s="4" t="e">
        <f>#REF!</f>
        <v>#REF!</v>
      </c>
      <c r="B112" s="4">
        <f t="shared" si="127"/>
        <v>1584.5348996632649</v>
      </c>
      <c r="C112" s="4">
        <f t="shared" si="128"/>
        <v>26.40891499438775</v>
      </c>
      <c r="D112" s="23">
        <f t="shared" si="129"/>
        <v>10059.74287</v>
      </c>
      <c r="E112" s="41" t="e">
        <f>#REF!</f>
        <v>#REF!</v>
      </c>
      <c r="F112" s="7">
        <v>0</v>
      </c>
      <c r="G112" s="4"/>
      <c r="H112" s="6">
        <v>3000</v>
      </c>
      <c r="I112" s="5">
        <v>0</v>
      </c>
      <c r="J112" s="4">
        <f t="shared" si="130"/>
        <v>5.5888619843074555E-2</v>
      </c>
      <c r="K112" s="4">
        <f t="shared" si="131"/>
        <v>61.749952635631473</v>
      </c>
      <c r="L112" s="6">
        <f t="shared" si="168"/>
        <v>35</v>
      </c>
      <c r="M112" s="4">
        <f t="shared" si="132"/>
        <v>36.58585893736948</v>
      </c>
      <c r="N112" s="4">
        <f t="shared" si="133"/>
        <v>4.1469642229939723</v>
      </c>
      <c r="O112" s="4">
        <f t="shared" si="134"/>
        <v>365279.91012026015</v>
      </c>
      <c r="P112" s="4">
        <f t="shared" si="135"/>
        <v>2345353.6993813133</v>
      </c>
      <c r="Q112" s="4">
        <f t="shared" si="136"/>
        <v>3.8297292386650764E-3</v>
      </c>
      <c r="R112" s="4">
        <f t="shared" si="137"/>
        <v>2.638049700205029E-2</v>
      </c>
      <c r="S112" s="27">
        <v>0</v>
      </c>
      <c r="T112" s="4">
        <f t="shared" si="138"/>
        <v>10.546995374530495</v>
      </c>
      <c r="U112" s="4">
        <f t="shared" si="139"/>
        <v>7.0518782943406091</v>
      </c>
      <c r="V112" s="4">
        <f t="shared" si="140"/>
        <v>1.4956292400841411</v>
      </c>
      <c r="W112" s="20">
        <f t="shared" si="141"/>
        <v>6726.0940080538003</v>
      </c>
      <c r="X112" s="4">
        <f t="shared" si="142"/>
        <v>0.64629633212763271</v>
      </c>
      <c r="Y112" s="4">
        <f t="shared" si="143"/>
        <v>138.38574598989084</v>
      </c>
      <c r="Z112" s="14">
        <f t="shared" si="144"/>
        <v>6726.0940080538003</v>
      </c>
      <c r="AA112" s="14">
        <f t="shared" si="145"/>
        <v>5628.3916222821908</v>
      </c>
      <c r="AB112" s="25">
        <f t="shared" si="146"/>
        <v>415335.98642012681</v>
      </c>
      <c r="AC112" s="4">
        <f t="shared" si="147"/>
        <v>347552.91609071026</v>
      </c>
      <c r="AD112" s="5">
        <f t="shared" si="148"/>
        <v>119.5029496779493</v>
      </c>
      <c r="AE112" s="7">
        <f t="shared" si="149"/>
        <v>6726.0940080538003</v>
      </c>
      <c r="AF112" s="4">
        <f t="shared" si="150"/>
        <v>0</v>
      </c>
      <c r="AG112" s="4">
        <f t="shared" si="151"/>
        <v>-6.7380519766124545</v>
      </c>
      <c r="AH112" s="4">
        <f t="shared" si="152"/>
        <v>4389.4019209756379</v>
      </c>
      <c r="AI112" s="13">
        <f t="shared" si="153"/>
        <v>0</v>
      </c>
      <c r="AJ112" s="10">
        <f t="shared" si="154"/>
        <v>0</v>
      </c>
      <c r="AK112" s="11">
        <f t="shared" si="155"/>
        <v>-4.0188215923728406E-2</v>
      </c>
      <c r="AL112" s="7">
        <v>0</v>
      </c>
      <c r="AM112" s="4">
        <f t="shared" si="156"/>
        <v>491.99336909962398</v>
      </c>
      <c r="AN112" s="4">
        <f t="shared" si="157"/>
        <v>599.87684428699049</v>
      </c>
      <c r="AO112" s="6">
        <v>5</v>
      </c>
      <c r="AP112" s="4">
        <f t="shared" si="158"/>
        <v>0.65259300802513087</v>
      </c>
      <c r="AQ112" s="11">
        <f t="shared" si="159"/>
        <v>0.97937395000000005</v>
      </c>
      <c r="AR112" s="11">
        <f t="shared" si="160"/>
        <v>0.8962407041850623</v>
      </c>
      <c r="AS112" s="11">
        <f t="shared" si="161"/>
        <v>0.91511593113647982</v>
      </c>
      <c r="AT112" s="11">
        <f t="shared" si="162"/>
        <v>507.97188664649997</v>
      </c>
      <c r="AU112" s="11">
        <f t="shared" si="163"/>
        <v>1896.6425030105124</v>
      </c>
      <c r="AV112" s="11">
        <f t="shared" si="164"/>
        <v>2.1751390567182989E-3</v>
      </c>
      <c r="AW112" s="11">
        <f t="shared" si="165"/>
        <v>3.6770358841811742E-7</v>
      </c>
      <c r="AX112" s="4">
        <f t="shared" si="166"/>
        <v>0.46053174224751581</v>
      </c>
      <c r="AY112" s="4">
        <f t="shared" si="167"/>
        <v>4.8572261553090197</v>
      </c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</row>
    <row r="113" spans="1:64">
      <c r="A113" s="4" t="e">
        <f>#REF!</f>
        <v>#REF!</v>
      </c>
      <c r="B113" s="4">
        <f t="shared" si="127"/>
        <v>1584.5348996632649</v>
      </c>
      <c r="C113" s="4">
        <f t="shared" si="128"/>
        <v>26.40891499438775</v>
      </c>
      <c r="D113" s="23">
        <f t="shared" si="129"/>
        <v>10059.74287</v>
      </c>
      <c r="E113" s="41" t="e">
        <f>#REF!</f>
        <v>#REF!</v>
      </c>
      <c r="F113" s="7">
        <v>0</v>
      </c>
      <c r="G113" s="4"/>
      <c r="H113" s="6">
        <v>3000</v>
      </c>
      <c r="I113" s="5">
        <v>0</v>
      </c>
      <c r="J113" s="4">
        <f t="shared" si="130"/>
        <v>6.3871917901367176E-2</v>
      </c>
      <c r="K113" s="4">
        <f t="shared" si="131"/>
        <v>70.570501047094595</v>
      </c>
      <c r="L113" s="6">
        <f t="shared" si="168"/>
        <v>40</v>
      </c>
      <c r="M113" s="4">
        <f t="shared" si="132"/>
        <v>41.811892742386796</v>
      </c>
      <c r="N113" s="4">
        <f t="shared" si="133"/>
        <v>5.4163089994458682</v>
      </c>
      <c r="O113" s="4">
        <f t="shared" si="134"/>
        <v>417457.58789051784</v>
      </c>
      <c r="P113" s="4">
        <f t="shared" si="135"/>
        <v>2680371.0550943902</v>
      </c>
      <c r="Q113" s="4">
        <f t="shared" si="136"/>
        <v>3.7408982243027282E-3</v>
      </c>
      <c r="R113" s="4">
        <f t="shared" si="137"/>
        <v>2.5838183659368151E-2</v>
      </c>
      <c r="S113" s="27">
        <v>0</v>
      </c>
      <c r="T113" s="4">
        <f t="shared" si="138"/>
        <v>8.0752432113336994</v>
      </c>
      <c r="U113" s="4">
        <f t="shared" si="139"/>
        <v>4.1442598838098625</v>
      </c>
      <c r="V113" s="4">
        <f t="shared" si="140"/>
        <v>1.9485368769658435</v>
      </c>
      <c r="W113" s="20">
        <f t="shared" si="141"/>
        <v>5162.7161840860244</v>
      </c>
      <c r="X113" s="4">
        <f t="shared" si="142"/>
        <v>0.63961876281932906</v>
      </c>
      <c r="Y113" s="4">
        <f t="shared" si="143"/>
        <v>138.38574598989084</v>
      </c>
      <c r="Z113" s="14">
        <f t="shared" si="144"/>
        <v>5162.7161840860244</v>
      </c>
      <c r="AA113" s="14">
        <f t="shared" si="145"/>
        <v>5628.3916222821908</v>
      </c>
      <c r="AB113" s="25">
        <f t="shared" si="146"/>
        <v>364335.46787489502</v>
      </c>
      <c r="AC113" s="4">
        <f t="shared" si="147"/>
        <v>397198.41687372379</v>
      </c>
      <c r="AD113" s="5">
        <f t="shared" si="148"/>
        <v>91.726314203997319</v>
      </c>
      <c r="AE113" s="7">
        <f t="shared" si="149"/>
        <v>5162.7161840860244</v>
      </c>
      <c r="AF113" s="4">
        <f t="shared" si="150"/>
        <v>0</v>
      </c>
      <c r="AG113" s="4">
        <f t="shared" si="151"/>
        <v>3.2667782291764249</v>
      </c>
      <c r="AH113" s="4">
        <f t="shared" si="152"/>
        <v>3384.6215819251743</v>
      </c>
      <c r="AI113" s="13">
        <f t="shared" si="153"/>
        <v>0</v>
      </c>
      <c r="AJ113" s="10">
        <f t="shared" si="154"/>
        <v>0</v>
      </c>
      <c r="AK113" s="11">
        <f t="shared" si="155"/>
        <v>1.9484264785247486E-2</v>
      </c>
      <c r="AL113" s="7">
        <v>0</v>
      </c>
      <c r="AM113" s="4">
        <f t="shared" si="156"/>
        <v>430.49952583831498</v>
      </c>
      <c r="AN113" s="4">
        <f t="shared" si="157"/>
        <v>404.74388504469863</v>
      </c>
      <c r="AO113" s="6">
        <v>5</v>
      </c>
      <c r="AP113" s="4">
        <f t="shared" si="158"/>
        <v>0.65558931795596409</v>
      </c>
      <c r="AQ113" s="11">
        <f t="shared" si="159"/>
        <v>0.97937395000000005</v>
      </c>
      <c r="AR113" s="11">
        <f t="shared" si="160"/>
        <v>0.8962407041850623</v>
      </c>
      <c r="AS113" s="11">
        <f t="shared" si="161"/>
        <v>0.91511593113647982</v>
      </c>
      <c r="AT113" s="11">
        <f t="shared" si="162"/>
        <v>507.97188664649997</v>
      </c>
      <c r="AU113" s="11">
        <f t="shared" si="163"/>
        <v>1896.6425030105124</v>
      </c>
      <c r="AV113" s="11">
        <f t="shared" si="164"/>
        <v>2.1751390567182989E-3</v>
      </c>
      <c r="AW113" s="11">
        <f t="shared" si="165"/>
        <v>3.6770358841811742E-7</v>
      </c>
      <c r="AX113" s="4">
        <f t="shared" si="166"/>
        <v>0.68569474912104322</v>
      </c>
      <c r="AY113" s="4">
        <f t="shared" si="167"/>
        <v>5.5371518678868696</v>
      </c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</row>
    <row r="114" spans="1:64">
      <c r="A114" s="4" t="e">
        <f>#REF!</f>
        <v>#REF!</v>
      </c>
      <c r="B114" s="4">
        <f t="shared" si="127"/>
        <v>1584.5348996632649</v>
      </c>
      <c r="C114" s="4">
        <f t="shared" si="128"/>
        <v>26.40891499438775</v>
      </c>
      <c r="D114" s="23">
        <f t="shared" si="129"/>
        <v>10059.74287</v>
      </c>
      <c r="E114" s="41" t="e">
        <f>#REF!</f>
        <v>#REF!</v>
      </c>
      <c r="F114" s="7">
        <v>0</v>
      </c>
      <c r="G114" s="4"/>
      <c r="H114" s="6">
        <v>3000</v>
      </c>
      <c r="I114" s="5">
        <v>0</v>
      </c>
      <c r="J114" s="4">
        <f t="shared" si="130"/>
        <v>7.1854900387290588E-2</v>
      </c>
      <c r="K114" s="4">
        <f t="shared" si="131"/>
        <v>79.390700790458453</v>
      </c>
      <c r="L114" s="6">
        <f t="shared" si="168"/>
        <v>45</v>
      </c>
      <c r="M114" s="4">
        <f t="shared" si="132"/>
        <v>47.037719967133988</v>
      </c>
      <c r="N114" s="4">
        <f t="shared" si="133"/>
        <v>6.8548238961888748</v>
      </c>
      <c r="O114" s="4">
        <f t="shared" si="134"/>
        <v>469633.2031255585</v>
      </c>
      <c r="P114" s="4">
        <f t="shared" si="135"/>
        <v>3015375.167882063</v>
      </c>
      <c r="Q114" s="4">
        <f t="shared" si="136"/>
        <v>3.6648142983508897E-3</v>
      </c>
      <c r="R114" s="4">
        <f t="shared" si="137"/>
        <v>2.5373691291432181E-2</v>
      </c>
      <c r="S114" s="27">
        <v>0</v>
      </c>
      <c r="T114" s="4">
        <f t="shared" si="138"/>
        <v>6.3806179619841439</v>
      </c>
      <c r="U114" s="4">
        <f t="shared" si="139"/>
        <v>2.5966282524484763</v>
      </c>
      <c r="V114" s="4">
        <f t="shared" si="140"/>
        <v>2.4572704837388932</v>
      </c>
      <c r="W114" s="20">
        <f t="shared" si="141"/>
        <v>4093.868760712684</v>
      </c>
      <c r="X114" s="4">
        <f t="shared" si="142"/>
        <v>0.63384348451673622</v>
      </c>
      <c r="Y114" s="4">
        <f t="shared" si="143"/>
        <v>138.38574598989084</v>
      </c>
      <c r="Z114" s="14">
        <f t="shared" si="144"/>
        <v>4093.868760712684</v>
      </c>
      <c r="AA114" s="14">
        <f t="shared" si="145"/>
        <v>5628.3916222821908</v>
      </c>
      <c r="AB114" s="25">
        <f t="shared" si="146"/>
        <v>325015.10985714564</v>
      </c>
      <c r="AC114" s="4">
        <f t="shared" si="147"/>
        <v>446841.95521612844</v>
      </c>
      <c r="AD114" s="5">
        <f t="shared" si="148"/>
        <v>72.736032519583432</v>
      </c>
      <c r="AE114" s="7">
        <f t="shared" si="149"/>
        <v>4093.8687607126835</v>
      </c>
      <c r="AF114" s="4">
        <f t="shared" si="150"/>
        <v>0</v>
      </c>
      <c r="AG114" s="4">
        <f t="shared" si="151"/>
        <v>12.110333925362328</v>
      </c>
      <c r="AH114" s="4">
        <f t="shared" si="152"/>
        <v>2696.3957827845265</v>
      </c>
      <c r="AI114" s="13">
        <f t="shared" si="153"/>
        <v>-3.5888303842383299E-15</v>
      </c>
      <c r="AJ114" s="10">
        <f t="shared" si="154"/>
        <v>-2.5900367720382032E-15</v>
      </c>
      <c r="AK114" s="11">
        <f t="shared" si="155"/>
        <v>7.2230477946772773E-2</v>
      </c>
      <c r="AL114" s="7">
        <v>0</v>
      </c>
      <c r="AM114" s="4">
        <f t="shared" si="156"/>
        <v>382.67160935047212</v>
      </c>
      <c r="AN114" s="4">
        <f t="shared" si="157"/>
        <v>286.62058712332799</v>
      </c>
      <c r="AO114" s="6">
        <v>5</v>
      </c>
      <c r="AP114" s="4">
        <f t="shared" si="158"/>
        <v>0.65864245787769782</v>
      </c>
      <c r="AQ114" s="11">
        <f t="shared" si="159"/>
        <v>0.97937395000000005</v>
      </c>
      <c r="AR114" s="11">
        <f t="shared" si="160"/>
        <v>0.8962407041850623</v>
      </c>
      <c r="AS114" s="11">
        <f t="shared" si="161"/>
        <v>0.91511593113647982</v>
      </c>
      <c r="AT114" s="11">
        <f t="shared" si="162"/>
        <v>507.97188664649997</v>
      </c>
      <c r="AU114" s="11">
        <f t="shared" si="163"/>
        <v>1896.6425030105124</v>
      </c>
      <c r="AV114" s="11">
        <f t="shared" si="164"/>
        <v>2.1751390567182989E-3</v>
      </c>
      <c r="AW114" s="11">
        <f t="shared" si="165"/>
        <v>3.6770358841811742E-7</v>
      </c>
      <c r="AX114" s="4">
        <f t="shared" si="166"/>
        <v>0.9727955896133208</v>
      </c>
      <c r="AY114" s="4">
        <f t="shared" si="167"/>
        <v>6.207037012425709</v>
      </c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</row>
    <row r="115" spans="1:64">
      <c r="A115" s="4" t="e">
        <f>#REF!</f>
        <v>#REF!</v>
      </c>
      <c r="B115" s="4">
        <f t="shared" si="127"/>
        <v>1584.5348996632649</v>
      </c>
      <c r="C115" s="4">
        <f t="shared" si="128"/>
        <v>26.40891499438775</v>
      </c>
      <c r="D115" s="23">
        <f t="shared" si="129"/>
        <v>10059.74287</v>
      </c>
      <c r="E115" s="41" t="e">
        <f>#REF!</f>
        <v>#REF!</v>
      </c>
      <c r="F115" s="7">
        <v>0</v>
      </c>
      <c r="G115" s="4"/>
      <c r="H115" s="6">
        <v>3000</v>
      </c>
      <c r="I115" s="5">
        <v>0</v>
      </c>
      <c r="J115" s="4">
        <f t="shared" si="130"/>
        <v>7.9837528243412101E-2</v>
      </c>
      <c r="K115" s="4">
        <f t="shared" si="131"/>
        <v>88.210508712132466</v>
      </c>
      <c r="L115" s="6">
        <f t="shared" si="168"/>
        <v>50</v>
      </c>
      <c r="M115" s="4">
        <f t="shared" si="132"/>
        <v>52.263315043799096</v>
      </c>
      <c r="N115" s="4">
        <f t="shared" si="133"/>
        <v>8.46248056557544</v>
      </c>
      <c r="O115" s="4">
        <f t="shared" si="134"/>
        <v>521806.50055166904</v>
      </c>
      <c r="P115" s="4">
        <f t="shared" si="135"/>
        <v>3350364.3987077167</v>
      </c>
      <c r="Q115" s="4">
        <f t="shared" si="136"/>
        <v>3.5984781839185874E-3</v>
      </c>
      <c r="R115" s="4">
        <f t="shared" si="137"/>
        <v>2.4968709312822975E-2</v>
      </c>
      <c r="S115" s="27">
        <v>0</v>
      </c>
      <c r="T115" s="4">
        <f t="shared" si="138"/>
        <v>5.168462383970831</v>
      </c>
      <c r="U115" s="4">
        <f t="shared" si="139"/>
        <v>1.7120744784603492</v>
      </c>
      <c r="V115" s="4">
        <f t="shared" si="140"/>
        <v>3.0188303423685023</v>
      </c>
      <c r="W115" s="20">
        <f t="shared" si="141"/>
        <v>3332.3313101813351</v>
      </c>
      <c r="X115" s="4">
        <f t="shared" si="142"/>
        <v>0.62876484418563816</v>
      </c>
      <c r="Y115" s="4">
        <f t="shared" si="143"/>
        <v>138.38574598989081</v>
      </c>
      <c r="Z115" s="14">
        <f t="shared" si="144"/>
        <v>3332.3313101813351</v>
      </c>
      <c r="AA115" s="14">
        <f t="shared" si="145"/>
        <v>5628.3916222821908</v>
      </c>
      <c r="AB115" s="25">
        <f t="shared" si="146"/>
        <v>293946.64006846247</v>
      </c>
      <c r="AC115" s="4">
        <f t="shared" si="147"/>
        <v>496483.28823261656</v>
      </c>
      <c r="AD115" s="5">
        <f t="shared" si="148"/>
        <v>59.205747108800985</v>
      </c>
      <c r="AE115" s="7">
        <f t="shared" si="149"/>
        <v>3332.3313101813351</v>
      </c>
      <c r="AF115" s="4">
        <f t="shared" si="150"/>
        <v>0</v>
      </c>
      <c r="AG115" s="4">
        <f t="shared" si="151"/>
        <v>20.133382212795475</v>
      </c>
      <c r="AH115" s="4">
        <f t="shared" si="152"/>
        <v>2205.1823538849994</v>
      </c>
      <c r="AI115" s="13">
        <f t="shared" si="153"/>
        <v>0</v>
      </c>
      <c r="AJ115" s="10">
        <f t="shared" si="154"/>
        <v>0</v>
      </c>
      <c r="AK115" s="11">
        <f t="shared" si="155"/>
        <v>0.12008288366596476</v>
      </c>
      <c r="AL115" s="7">
        <v>0</v>
      </c>
      <c r="AM115" s="4">
        <f t="shared" si="156"/>
        <v>344.4098405337503</v>
      </c>
      <c r="AN115" s="4">
        <f t="shared" si="157"/>
        <v>210.96847301371466</v>
      </c>
      <c r="AO115" s="6">
        <v>5</v>
      </c>
      <c r="AP115" s="4">
        <f t="shared" si="158"/>
        <v>0.66175363390412711</v>
      </c>
      <c r="AQ115" s="11">
        <f t="shared" si="159"/>
        <v>0.97937395000000005</v>
      </c>
      <c r="AR115" s="11">
        <f t="shared" si="160"/>
        <v>0.8962407041850623</v>
      </c>
      <c r="AS115" s="11">
        <f t="shared" si="161"/>
        <v>0.91511593113647982</v>
      </c>
      <c r="AT115" s="11">
        <f t="shared" si="162"/>
        <v>507.97188664649997</v>
      </c>
      <c r="AU115" s="11">
        <f t="shared" si="163"/>
        <v>1896.6425030105124</v>
      </c>
      <c r="AV115" s="11">
        <f t="shared" si="164"/>
        <v>2.1751390567182989E-3</v>
      </c>
      <c r="AW115" s="11">
        <f t="shared" si="165"/>
        <v>3.6770358841811742E-7</v>
      </c>
      <c r="AX115" s="4">
        <f t="shared" si="166"/>
        <v>1.3278775440322337</v>
      </c>
      <c r="AY115" s="4">
        <f t="shared" si="167"/>
        <v>6.8630851368501693</v>
      </c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</row>
    <row r="116" spans="1:64">
      <c r="A116" s="4" t="e">
        <f>#REF!</f>
        <v>#REF!</v>
      </c>
      <c r="B116" s="4">
        <f t="shared" si="127"/>
        <v>1584.5348996632649</v>
      </c>
      <c r="C116" s="4">
        <f t="shared" si="128"/>
        <v>26.40891499438775</v>
      </c>
      <c r="D116" s="23">
        <f t="shared" si="129"/>
        <v>10059.74287</v>
      </c>
      <c r="E116" s="41" t="e">
        <f>#REF!</f>
        <v>#REF!</v>
      </c>
      <c r="F116" s="7">
        <v>0</v>
      </c>
      <c r="G116" s="4"/>
      <c r="H116" s="6">
        <v>3000</v>
      </c>
      <c r="I116" s="5">
        <v>0</v>
      </c>
      <c r="J116" s="4">
        <f t="shared" si="130"/>
        <v>8.781976254896609E-2</v>
      </c>
      <c r="K116" s="4">
        <f t="shared" si="131"/>
        <v>97.029881809526088</v>
      </c>
      <c r="L116" s="6">
        <f t="shared" si="168"/>
        <v>55</v>
      </c>
      <c r="M116" s="4">
        <f t="shared" si="132"/>
        <v>57.488652494035257</v>
      </c>
      <c r="N116" s="4">
        <f t="shared" si="133"/>
        <v>10.239247381272186</v>
      </c>
      <c r="O116" s="4">
        <f t="shared" si="134"/>
        <v>573977.22578837257</v>
      </c>
      <c r="P116" s="4">
        <f t="shared" si="135"/>
        <v>3685337.1142699406</v>
      </c>
      <c r="Q116" s="4">
        <f t="shared" si="136"/>
        <v>3.5398133679588038E-3</v>
      </c>
      <c r="R116" s="4">
        <f t="shared" si="137"/>
        <v>2.4610560611388495E-2</v>
      </c>
      <c r="S116" s="27">
        <v>0</v>
      </c>
      <c r="T116" s="4">
        <f t="shared" si="138"/>
        <v>4.2716042351177768</v>
      </c>
      <c r="U116" s="4">
        <f t="shared" si="139"/>
        <v>1.177006203841569</v>
      </c>
      <c r="V116" s="4">
        <f t="shared" si="140"/>
        <v>3.6292113169632505</v>
      </c>
      <c r="W116" s="20">
        <f t="shared" si="141"/>
        <v>2771.8812687979571</v>
      </c>
      <c r="X116" s="4">
        <f t="shared" si="142"/>
        <v>0.62423908588298171</v>
      </c>
      <c r="Y116" s="4">
        <f t="shared" si="143"/>
        <v>138.38574598989084</v>
      </c>
      <c r="Z116" s="14">
        <f t="shared" si="144"/>
        <v>2771.8812687979571</v>
      </c>
      <c r="AA116" s="14">
        <f t="shared" si="145"/>
        <v>5628.3916222821908</v>
      </c>
      <c r="AB116" s="25">
        <f t="shared" si="146"/>
        <v>268955.31190150499</v>
      </c>
      <c r="AC116" s="4">
        <f t="shared" si="147"/>
        <v>546122.17388776783</v>
      </c>
      <c r="AD116" s="5">
        <f t="shared" si="148"/>
        <v>49.248194774229646</v>
      </c>
      <c r="AE116" s="7">
        <f t="shared" si="149"/>
        <v>2771.8812687979571</v>
      </c>
      <c r="AF116" s="4">
        <f t="shared" si="150"/>
        <v>0</v>
      </c>
      <c r="AG116" s="4">
        <f t="shared" si="151"/>
        <v>27.552082152400267</v>
      </c>
      <c r="AH116" s="4">
        <f t="shared" si="152"/>
        <v>1843.0863044070979</v>
      </c>
      <c r="AI116" s="13">
        <f t="shared" si="153"/>
        <v>0</v>
      </c>
      <c r="AJ116" s="10">
        <f t="shared" si="154"/>
        <v>0</v>
      </c>
      <c r="AK116" s="11">
        <f t="shared" si="155"/>
        <v>0.1643307339468823</v>
      </c>
      <c r="AL116" s="7">
        <v>0</v>
      </c>
      <c r="AM116" s="4">
        <f t="shared" si="156"/>
        <v>313.10526893751063</v>
      </c>
      <c r="AN116" s="4">
        <f t="shared" si="157"/>
        <v>160.3000091712297</v>
      </c>
      <c r="AO116" s="6">
        <v>5</v>
      </c>
      <c r="AP116" s="4">
        <f t="shared" si="158"/>
        <v>0.66492252938610297</v>
      </c>
      <c r="AQ116" s="11">
        <f t="shared" si="159"/>
        <v>0.97937395000000005</v>
      </c>
      <c r="AR116" s="11">
        <f t="shared" si="160"/>
        <v>0.8962407041850623</v>
      </c>
      <c r="AS116" s="11">
        <f t="shared" si="161"/>
        <v>0.91511593113647982</v>
      </c>
      <c r="AT116" s="11">
        <f t="shared" si="162"/>
        <v>507.97188664649997</v>
      </c>
      <c r="AU116" s="11">
        <f t="shared" si="163"/>
        <v>1896.6425030105124</v>
      </c>
      <c r="AV116" s="11">
        <f t="shared" si="164"/>
        <v>2.1751390567182989E-3</v>
      </c>
      <c r="AW116" s="11">
        <f t="shared" si="165"/>
        <v>3.6770358841811742E-7</v>
      </c>
      <c r="AX116" s="4">
        <f t="shared" si="166"/>
        <v>1.7559686267351569</v>
      </c>
      <c r="AY116" s="4">
        <f t="shared" si="167"/>
        <v>7.5008030226958411</v>
      </c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</row>
    <row r="117" spans="1:64">
      <c r="A117" s="4" t="e">
        <f>#REF!</f>
        <v>#REF!</v>
      </c>
      <c r="B117" s="4">
        <f t="shared" si="127"/>
        <v>1584.5348996632649</v>
      </c>
      <c r="C117" s="4">
        <f t="shared" si="128"/>
        <v>26.40891499438775</v>
      </c>
      <c r="D117" s="23">
        <f t="shared" si="129"/>
        <v>10059.74287</v>
      </c>
      <c r="E117" s="41" t="e">
        <f>#REF!</f>
        <v>#REF!</v>
      </c>
      <c r="F117" s="7">
        <v>0</v>
      </c>
      <c r="G117" s="4"/>
      <c r="H117" s="6">
        <v>3000</v>
      </c>
      <c r="I117" s="5">
        <v>0</v>
      </c>
      <c r="J117" s="4">
        <f t="shared" si="130"/>
        <v>9.5801564534631137E-2</v>
      </c>
      <c r="K117" s="4">
        <f t="shared" si="131"/>
        <v>105.84877724737578</v>
      </c>
      <c r="L117" s="6">
        <f t="shared" si="168"/>
        <v>60</v>
      </c>
      <c r="M117" s="4">
        <f t="shared" si="132"/>
        <v>62.713706938634189</v>
      </c>
      <c r="N117" s="4">
        <f t="shared" si="133"/>
        <v>12.185089456889669</v>
      </c>
      <c r="O117" s="4">
        <f t="shared" si="134"/>
        <v>626145.12544500956</v>
      </c>
      <c r="P117" s="4">
        <f t="shared" si="135"/>
        <v>4020291.6876226473</v>
      </c>
      <c r="Q117" s="4">
        <f t="shared" si="136"/>
        <v>3.4873266945190575E-3</v>
      </c>
      <c r="R117" s="4">
        <f t="shared" si="137"/>
        <v>2.4290129470038845E-2</v>
      </c>
      <c r="S117" s="27">
        <v>0</v>
      </c>
      <c r="T117" s="4">
        <f t="shared" si="138"/>
        <v>3.5894699528472165</v>
      </c>
      <c r="U117" s="4">
        <f t="shared" si="139"/>
        <v>0.83801995672153717</v>
      </c>
      <c r="V117" s="4">
        <f t="shared" si="140"/>
        <v>4.2832750271124498</v>
      </c>
      <c r="W117" s="20">
        <f t="shared" si="141"/>
        <v>2348.6100720414697</v>
      </c>
      <c r="X117" s="4">
        <f t="shared" si="142"/>
        <v>0.62016195399347707</v>
      </c>
      <c r="Y117" s="4">
        <f t="shared" si="143"/>
        <v>138.38574598989084</v>
      </c>
      <c r="Z117" s="14">
        <f t="shared" si="144"/>
        <v>2348.6100720414697</v>
      </c>
      <c r="AA117" s="14">
        <f t="shared" si="145"/>
        <v>5628.3916222821908</v>
      </c>
      <c r="AB117" s="25">
        <f t="shared" si="146"/>
        <v>248597.5043564607</v>
      </c>
      <c r="AC117" s="4">
        <f t="shared" si="147"/>
        <v>595758.37108794355</v>
      </c>
      <c r="AD117" s="5">
        <f t="shared" si="148"/>
        <v>41.727907893679209</v>
      </c>
      <c r="AE117" s="7">
        <f t="shared" si="149"/>
        <v>2348.6100720414697</v>
      </c>
      <c r="AF117" s="4">
        <f t="shared" si="150"/>
        <v>0</v>
      </c>
      <c r="AG117" s="4">
        <f t="shared" si="151"/>
        <v>34.509914539344763</v>
      </c>
      <c r="AH117" s="4">
        <f t="shared" si="152"/>
        <v>1569.2179082644277</v>
      </c>
      <c r="AI117" s="13">
        <f t="shared" si="153"/>
        <v>0</v>
      </c>
      <c r="AJ117" s="10">
        <f t="shared" si="154"/>
        <v>0</v>
      </c>
      <c r="AK117" s="11">
        <f t="shared" si="155"/>
        <v>0.20582980093214706</v>
      </c>
      <c r="AL117" s="7">
        <v>0</v>
      </c>
      <c r="AM117" s="4">
        <f t="shared" si="156"/>
        <v>287.01859415858053</v>
      </c>
      <c r="AN117" s="4">
        <f t="shared" si="157"/>
        <v>125.10964387736789</v>
      </c>
      <c r="AO117" s="6">
        <v>5</v>
      </c>
      <c r="AP117" s="4">
        <f t="shared" si="158"/>
        <v>0.66814748303468907</v>
      </c>
      <c r="AQ117" s="11">
        <f t="shared" si="159"/>
        <v>0.97937395000000005</v>
      </c>
      <c r="AR117" s="11">
        <f t="shared" si="160"/>
        <v>0.8962407041850623</v>
      </c>
      <c r="AS117" s="11">
        <f t="shared" si="161"/>
        <v>0.91511593113647982</v>
      </c>
      <c r="AT117" s="11">
        <f t="shared" si="162"/>
        <v>507.97188664649997</v>
      </c>
      <c r="AU117" s="11">
        <f t="shared" si="163"/>
        <v>1896.6425030105124</v>
      </c>
      <c r="AV117" s="11">
        <f t="shared" si="164"/>
        <v>2.1751390567182989E-3</v>
      </c>
      <c r="AW117" s="11">
        <f t="shared" si="165"/>
        <v>3.6770358841811742E-7</v>
      </c>
      <c r="AX117" s="4">
        <f t="shared" si="166"/>
        <v>2.2607930010454615</v>
      </c>
      <c r="AY117" s="4">
        <f t="shared" si="167"/>
        <v>8.1150485468599687</v>
      </c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</row>
    <row r="118" spans="1:64">
      <c r="A118" s="4" t="e">
        <f>#REF!</f>
        <v>#REF!</v>
      </c>
      <c r="B118" s="4">
        <f t="shared" si="127"/>
        <v>1584.5348996632649</v>
      </c>
      <c r="C118" s="4">
        <f t="shared" si="128"/>
        <v>26.40891499438775</v>
      </c>
      <c r="D118" s="23">
        <f t="shared" si="129"/>
        <v>10059.74287</v>
      </c>
      <c r="E118" s="41" t="e">
        <f>#REF!</f>
        <v>#REF!</v>
      </c>
      <c r="F118" s="7">
        <v>0</v>
      </c>
      <c r="G118" s="4"/>
      <c r="H118" s="6">
        <v>3000</v>
      </c>
      <c r="I118" s="5">
        <v>0</v>
      </c>
      <c r="J118" s="4">
        <f t="shared" si="130"/>
        <v>0.10378289559724015</v>
      </c>
      <c r="K118" s="4">
        <f t="shared" si="131"/>
        <v>114.66715237399777</v>
      </c>
      <c r="L118" s="6">
        <f t="shared" si="168"/>
        <v>65</v>
      </c>
      <c r="M118" s="4">
        <f t="shared" si="132"/>
        <v>67.938453107155695</v>
      </c>
      <c r="N118" s="4">
        <f t="shared" si="133"/>
        <v>14.299968666510555</v>
      </c>
      <c r="O118" s="4">
        <f t="shared" si="134"/>
        <v>678309.94721688109</v>
      </c>
      <c r="P118" s="4">
        <f t="shared" si="135"/>
        <v>4355226.4987923782</v>
      </c>
      <c r="Q118" s="4">
        <f t="shared" si="136"/>
        <v>3.4399109567886397E-3</v>
      </c>
      <c r="R118" s="4">
        <f t="shared" si="137"/>
        <v>2.4000656391194641E-2</v>
      </c>
      <c r="S118" s="27">
        <v>0</v>
      </c>
      <c r="T118" s="4">
        <f t="shared" si="138"/>
        <v>3.0586089730876114</v>
      </c>
      <c r="U118" s="4">
        <f t="shared" si="139"/>
        <v>0.61483741574892881</v>
      </c>
      <c r="V118" s="4">
        <f t="shared" si="140"/>
        <v>4.9746630487052306</v>
      </c>
      <c r="W118" s="20">
        <f t="shared" si="141"/>
        <v>2022.1958294478413</v>
      </c>
      <c r="X118" s="4">
        <f t="shared" si="142"/>
        <v>0.61645554619254295</v>
      </c>
      <c r="Y118" s="4">
        <f t="shared" si="143"/>
        <v>138.38574598989084</v>
      </c>
      <c r="Z118" s="14">
        <f t="shared" si="144"/>
        <v>2022.1958294478413</v>
      </c>
      <c r="AA118" s="14">
        <f t="shared" si="145"/>
        <v>5628.3916222821908</v>
      </c>
      <c r="AB118" s="25">
        <f t="shared" si="146"/>
        <v>231879.43730535841</v>
      </c>
      <c r="AC118" s="4">
        <f t="shared" si="147"/>
        <v>645391.63977276441</v>
      </c>
      <c r="AD118" s="5">
        <f t="shared" si="148"/>
        <v>35.928484816909112</v>
      </c>
      <c r="AE118" s="7">
        <f t="shared" si="149"/>
        <v>2022.1958294478413</v>
      </c>
      <c r="AF118" s="4">
        <f t="shared" si="150"/>
        <v>0</v>
      </c>
      <c r="AG118" s="4">
        <f t="shared" si="151"/>
        <v>41.105643336130917</v>
      </c>
      <c r="AH118" s="4">
        <f t="shared" si="152"/>
        <v>1357.7541689405678</v>
      </c>
      <c r="AI118" s="13">
        <f t="shared" si="153"/>
        <v>0</v>
      </c>
      <c r="AJ118" s="10">
        <f t="shared" si="154"/>
        <v>0</v>
      </c>
      <c r="AK118" s="11">
        <f t="shared" si="155"/>
        <v>0.24516914915618065</v>
      </c>
      <c r="AL118" s="7">
        <v>0</v>
      </c>
      <c r="AM118" s="4">
        <f t="shared" si="156"/>
        <v>264.94568505422933</v>
      </c>
      <c r="AN118" s="4">
        <f t="shared" si="157"/>
        <v>99.925307895887372</v>
      </c>
      <c r="AO118" s="6">
        <v>5</v>
      </c>
      <c r="AP118" s="4">
        <f t="shared" si="158"/>
        <v>0.67142565975487212</v>
      </c>
      <c r="AQ118" s="11">
        <f t="shared" si="159"/>
        <v>0.97937395000000005</v>
      </c>
      <c r="AR118" s="11">
        <f t="shared" si="160"/>
        <v>0.8962407041850623</v>
      </c>
      <c r="AS118" s="11">
        <f t="shared" si="161"/>
        <v>0.91511593113647982</v>
      </c>
      <c r="AT118" s="11">
        <f t="shared" si="162"/>
        <v>507.97188664649997</v>
      </c>
      <c r="AU118" s="11">
        <f t="shared" si="163"/>
        <v>1896.6425030105124</v>
      </c>
      <c r="AV118" s="11">
        <f t="shared" si="164"/>
        <v>2.1751390567182989E-3</v>
      </c>
      <c r="AW118" s="11">
        <f t="shared" si="165"/>
        <v>3.6770358841811742E-7</v>
      </c>
      <c r="AX118" s="4">
        <f t="shared" si="166"/>
        <v>2.8444721805822053</v>
      </c>
      <c r="AY118" s="4">
        <f t="shared" si="167"/>
        <v>8.7001281352268158</v>
      </c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</row>
    <row r="119" spans="1:64">
      <c r="A119" s="4" t="e">
        <f>#REF!</f>
        <v>#REF!</v>
      </c>
      <c r="B119" s="4">
        <f t="shared" si="127"/>
        <v>1584.5348996632649</v>
      </c>
      <c r="C119" s="4">
        <f t="shared" si="128"/>
        <v>26.40891499438775</v>
      </c>
      <c r="D119" s="23">
        <f t="shared" si="129"/>
        <v>10059.74287</v>
      </c>
      <c r="E119" s="41" t="e">
        <f>#REF!</f>
        <v>#REF!</v>
      </c>
      <c r="F119" s="7">
        <v>0</v>
      </c>
      <c r="G119" s="4"/>
      <c r="H119" s="6">
        <v>3000</v>
      </c>
      <c r="I119" s="5">
        <v>0</v>
      </c>
      <c r="J119" s="4">
        <f t="shared" si="130"/>
        <v>0.11176371731429614</v>
      </c>
      <c r="K119" s="4">
        <f t="shared" si="131"/>
        <v>123.48496473732622</v>
      </c>
      <c r="L119" s="6">
        <f t="shared" si="168"/>
        <v>70</v>
      </c>
      <c r="M119" s="4">
        <f t="shared" si="132"/>
        <v>73.162865847429998</v>
      </c>
      <c r="N119" s="4">
        <f t="shared" si="133"/>
        <v>16.583843667067736</v>
      </c>
      <c r="O119" s="4">
        <f t="shared" si="134"/>
        <v>730471.43998012145</v>
      </c>
      <c r="P119" s="4">
        <f t="shared" si="135"/>
        <v>4690139.9353874559</v>
      </c>
      <c r="Q119" s="4">
        <f t="shared" si="136"/>
        <v>3.3967239610380486E-3</v>
      </c>
      <c r="R119" s="4">
        <f t="shared" si="137"/>
        <v>2.3736999782137287E-2</v>
      </c>
      <c r="S119" s="27">
        <v>0</v>
      </c>
      <c r="T119" s="4">
        <f t="shared" si="138"/>
        <v>2.6373869264768812</v>
      </c>
      <c r="U119" s="4">
        <f t="shared" si="139"/>
        <v>0.46304315568264376</v>
      </c>
      <c r="V119" s="4">
        <f t="shared" si="140"/>
        <v>5.6957691612754751</v>
      </c>
      <c r="W119" s="20">
        <f t="shared" si="141"/>
        <v>1766.1781201377346</v>
      </c>
      <c r="X119" s="4">
        <f t="shared" si="142"/>
        <v>0.61306019283140389</v>
      </c>
      <c r="Y119" s="4">
        <f t="shared" si="143"/>
        <v>138.38574598989084</v>
      </c>
      <c r="Z119" s="14">
        <f t="shared" si="144"/>
        <v>1766.1781201377346</v>
      </c>
      <c r="AA119" s="14">
        <f t="shared" si="145"/>
        <v>5628.3916222821908</v>
      </c>
      <c r="AB119" s="25">
        <f t="shared" si="146"/>
        <v>218096.44288504528</v>
      </c>
      <c r="AC119" s="4">
        <f t="shared" si="147"/>
        <v>695021.74100537866</v>
      </c>
      <c r="AD119" s="5">
        <f t="shared" si="148"/>
        <v>31.379801525281703</v>
      </c>
      <c r="AE119" s="7">
        <f t="shared" si="149"/>
        <v>1766.1781201377346</v>
      </c>
      <c r="AF119" s="4">
        <f t="shared" si="150"/>
        <v>0</v>
      </c>
      <c r="AG119" s="4">
        <f t="shared" si="151"/>
        <v>47.409293088654593</v>
      </c>
      <c r="AH119" s="4">
        <f t="shared" si="152"/>
        <v>1191.7343633558125</v>
      </c>
      <c r="AI119" s="13">
        <f t="shared" si="153"/>
        <v>0</v>
      </c>
      <c r="AJ119" s="10">
        <f t="shared" si="154"/>
        <v>0</v>
      </c>
      <c r="AK119" s="11">
        <f t="shared" si="155"/>
        <v>0.28276643072083563</v>
      </c>
      <c r="AL119" s="7">
        <v>0</v>
      </c>
      <c r="AM119" s="4">
        <f t="shared" si="156"/>
        <v>246.02644786408797</v>
      </c>
      <c r="AN119" s="4">
        <f t="shared" si="157"/>
        <v>81.44393672611136</v>
      </c>
      <c r="AO119" s="6">
        <v>5</v>
      </c>
      <c r="AP119" s="4">
        <f t="shared" si="158"/>
        <v>0.67475321416781886</v>
      </c>
      <c r="AQ119" s="11">
        <f t="shared" si="159"/>
        <v>0.97937395000000005</v>
      </c>
      <c r="AR119" s="11">
        <f t="shared" si="160"/>
        <v>0.8962407041850623</v>
      </c>
      <c r="AS119" s="11">
        <f t="shared" si="161"/>
        <v>0.91511593113647982</v>
      </c>
      <c r="AT119" s="11">
        <f t="shared" si="162"/>
        <v>507.97188664649997</v>
      </c>
      <c r="AU119" s="11">
        <f t="shared" si="163"/>
        <v>1896.6425030105124</v>
      </c>
      <c r="AV119" s="11">
        <f t="shared" si="164"/>
        <v>2.1751390567182989E-3</v>
      </c>
      <c r="AW119" s="11">
        <f t="shared" si="165"/>
        <v>3.6770358841811742E-7</v>
      </c>
      <c r="AX119" s="4">
        <f t="shared" si="166"/>
        <v>3.5072397553644858</v>
      </c>
      <c r="AY119" s="4">
        <f t="shared" si="167"/>
        <v>9.2499482788182714</v>
      </c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</row>
    <row r="120" spans="1:64">
      <c r="A120" s="4" t="e">
        <f>#REF!</f>
        <v>#REF!</v>
      </c>
      <c r="B120" s="4">
        <f t="shared" si="127"/>
        <v>1584.5348996632649</v>
      </c>
      <c r="C120" s="4">
        <f t="shared" si="128"/>
        <v>26.40891499438775</v>
      </c>
      <c r="D120" s="23">
        <f t="shared" si="129"/>
        <v>10059.74287</v>
      </c>
      <c r="E120" s="41" t="e">
        <f>#REF!</f>
        <v>#REF!</v>
      </c>
      <c r="F120" s="7">
        <v>0</v>
      </c>
      <c r="G120" s="4"/>
      <c r="H120" s="6">
        <v>3000</v>
      </c>
      <c r="I120" s="5">
        <v>0</v>
      </c>
      <c r="J120" s="4">
        <f t="shared" si="130"/>
        <v>0.11974399145846637</v>
      </c>
      <c r="K120" s="4">
        <f t="shared" si="131"/>
        <v>132.30217210092744</v>
      </c>
      <c r="L120" s="6">
        <f t="shared" si="168"/>
        <v>75</v>
      </c>
      <c r="M120" s="4">
        <f t="shared" si="132"/>
        <v>78.386920135045898</v>
      </c>
      <c r="N120" s="4">
        <f t="shared" si="133"/>
        <v>19.036669922597298</v>
      </c>
      <c r="O120" s="4">
        <f t="shared" si="134"/>
        <v>782629.35388643097</v>
      </c>
      <c r="P120" s="4">
        <f t="shared" si="135"/>
        <v>5025030.3932062313</v>
      </c>
      <c r="Q120" s="4">
        <f t="shared" si="136"/>
        <v>3.3571112087233492E-3</v>
      </c>
      <c r="R120" s="4">
        <f t="shared" si="137"/>
        <v>2.3495163929256047E-2</v>
      </c>
      <c r="S120" s="27">
        <v>0</v>
      </c>
      <c r="T120" s="4">
        <f t="shared" si="138"/>
        <v>2.2975663630298113</v>
      </c>
      <c r="U120" s="4">
        <f t="shared" si="139"/>
        <v>0.3568875825559788</v>
      </c>
      <c r="V120" s="4">
        <f t="shared" si="140"/>
        <v>6.4377873462981352</v>
      </c>
      <c r="W120" s="20">
        <f t="shared" si="141"/>
        <v>1562.608754976128</v>
      </c>
      <c r="X120" s="4">
        <f t="shared" si="142"/>
        <v>0.60992922650992465</v>
      </c>
      <c r="Y120" s="4">
        <f t="shared" si="143"/>
        <v>138.38574598989084</v>
      </c>
      <c r="Z120" s="14">
        <f t="shared" si="144"/>
        <v>1562.608754976128</v>
      </c>
      <c r="AA120" s="14">
        <f t="shared" si="145"/>
        <v>5628.3916222821908</v>
      </c>
      <c r="AB120" s="25">
        <f t="shared" si="146"/>
        <v>206736.53242726764</v>
      </c>
      <c r="AC120" s="4">
        <f t="shared" si="147"/>
        <v>744648.43706259655</v>
      </c>
      <c r="AD120" s="5">
        <f t="shared" si="148"/>
        <v>27.762971375160351</v>
      </c>
      <c r="AE120" s="7">
        <f t="shared" si="149"/>
        <v>1562.608754976128</v>
      </c>
      <c r="AF120" s="4">
        <f t="shared" si="150"/>
        <v>0</v>
      </c>
      <c r="AG120" s="4">
        <f t="shared" si="151"/>
        <v>53.471734972419718</v>
      </c>
      <c r="AH120" s="4">
        <f t="shared" si="152"/>
        <v>1059.6447601447642</v>
      </c>
      <c r="AI120" s="13">
        <f t="shared" si="153"/>
        <v>0</v>
      </c>
      <c r="AJ120" s="10">
        <f t="shared" si="154"/>
        <v>0</v>
      </c>
      <c r="AK120" s="11">
        <f t="shared" si="155"/>
        <v>0.31892505999461823</v>
      </c>
      <c r="AL120" s="7">
        <v>0</v>
      </c>
      <c r="AM120" s="4">
        <f t="shared" si="156"/>
        <v>229.63014708307702</v>
      </c>
      <c r="AN120" s="4">
        <f t="shared" si="157"/>
        <v>67.590661702181691</v>
      </c>
      <c r="AO120" s="6">
        <v>5</v>
      </c>
      <c r="AP120" s="4">
        <f t="shared" si="158"/>
        <v>0.67812544680191067</v>
      </c>
      <c r="AQ120" s="11">
        <f t="shared" si="159"/>
        <v>0.97937395000000005</v>
      </c>
      <c r="AR120" s="11">
        <f t="shared" si="160"/>
        <v>0.8962407041850623</v>
      </c>
      <c r="AS120" s="11">
        <f t="shared" si="161"/>
        <v>0.91511593113647982</v>
      </c>
      <c r="AT120" s="11">
        <f t="shared" si="162"/>
        <v>507.97188664649997</v>
      </c>
      <c r="AU120" s="11">
        <f t="shared" si="163"/>
        <v>1896.6425030105124</v>
      </c>
      <c r="AV120" s="11">
        <f t="shared" si="164"/>
        <v>2.1751390567182989E-3</v>
      </c>
      <c r="AW120" s="11">
        <f t="shared" si="165"/>
        <v>3.6770358841811742E-7</v>
      </c>
      <c r="AX120" s="4">
        <f t="shared" si="166"/>
        <v>4.2471988497111193</v>
      </c>
      <c r="AY120" s="4">
        <f t="shared" si="167"/>
        <v>9.7582212141951725</v>
      </c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</row>
    <row r="121" spans="1:64">
      <c r="A121" s="4" t="e">
        <f>#REF!</f>
        <v>#REF!</v>
      </c>
      <c r="B121" s="4">
        <f t="shared" si="127"/>
        <v>1584.5348996632649</v>
      </c>
      <c r="C121" s="4">
        <f t="shared" si="128"/>
        <v>26.40891499438775</v>
      </c>
      <c r="D121" s="23">
        <f t="shared" si="129"/>
        <v>10059.74287</v>
      </c>
      <c r="E121" s="41" t="e">
        <f>#REF!</f>
        <v>#REF!</v>
      </c>
      <c r="F121" s="7">
        <v>0</v>
      </c>
      <c r="G121" s="4"/>
      <c r="H121" s="6">
        <v>3000</v>
      </c>
      <c r="I121" s="5">
        <v>0</v>
      </c>
      <c r="J121" s="4">
        <f t="shared" si="130"/>
        <v>0.12772368001176299</v>
      </c>
      <c r="K121" s="4">
        <f t="shared" si="131"/>
        <v>141.11873245966771</v>
      </c>
      <c r="L121" s="6">
        <f t="shared" si="168"/>
        <v>80</v>
      </c>
      <c r="M121" s="4">
        <f t="shared" si="132"/>
        <v>83.610591082633761</v>
      </c>
      <c r="N121" s="4">
        <f t="shared" si="133"/>
        <v>21.658399730263241</v>
      </c>
      <c r="O121" s="4">
        <f t="shared" si="134"/>
        <v>834783.44045575673</v>
      </c>
      <c r="P121" s="4">
        <f t="shared" si="135"/>
        <v>5359896.2768321624</v>
      </c>
      <c r="Q121" s="4">
        <f t="shared" si="136"/>
        <v>3.3205546666850226E-3</v>
      </c>
      <c r="R121" s="4">
        <f t="shared" si="137"/>
        <v>2.327198624011206E-2</v>
      </c>
      <c r="S121" s="27">
        <v>0</v>
      </c>
      <c r="T121" s="4">
        <f t="shared" si="138"/>
        <v>2.0194480212287256</v>
      </c>
      <c r="U121" s="4">
        <f t="shared" si="139"/>
        <v>0.28083586071545724</v>
      </c>
      <c r="V121" s="4">
        <f t="shared" si="140"/>
        <v>7.1908481206209967</v>
      </c>
      <c r="W121" s="20">
        <f t="shared" si="141"/>
        <v>1398.9647258926182</v>
      </c>
      <c r="X121" s="4">
        <f t="shared" si="142"/>
        <v>0.60702549293431585</v>
      </c>
      <c r="Y121" s="4">
        <f t="shared" si="143"/>
        <v>138.38574598989081</v>
      </c>
      <c r="Z121" s="14">
        <f t="shared" si="144"/>
        <v>1398.9647258926182</v>
      </c>
      <c r="AA121" s="14">
        <f t="shared" si="145"/>
        <v>5628.3916222821908</v>
      </c>
      <c r="AB121" s="25">
        <f t="shared" si="146"/>
        <v>197420.12887375275</v>
      </c>
      <c r="AC121" s="4">
        <f t="shared" si="147"/>
        <v>794271.49152307562</v>
      </c>
      <c r="AD121" s="5">
        <f t="shared" si="148"/>
        <v>24.855497267714437</v>
      </c>
      <c r="AE121" s="7">
        <f t="shared" si="149"/>
        <v>1398.9647258926184</v>
      </c>
      <c r="AF121" s="4">
        <f t="shared" si="150"/>
        <v>0</v>
      </c>
      <c r="AG121" s="4">
        <f t="shared" si="151"/>
        <v>59.330677768041483</v>
      </c>
      <c r="AH121" s="4">
        <f t="shared" si="152"/>
        <v>953.44615654801601</v>
      </c>
      <c r="AI121" s="13">
        <f t="shared" si="153"/>
        <v>3.1896128248897067E-15</v>
      </c>
      <c r="AJ121" s="10">
        <f t="shared" si="154"/>
        <v>1.2950183860191016E-15</v>
      </c>
      <c r="AK121" s="11">
        <f t="shared" si="155"/>
        <v>0.35386994599022875</v>
      </c>
      <c r="AL121" s="7">
        <v>0</v>
      </c>
      <c r="AM121" s="4">
        <f t="shared" si="156"/>
        <v>215.28373100735882</v>
      </c>
      <c r="AN121" s="4">
        <f t="shared" si="157"/>
        <v>57.017068304523114</v>
      </c>
      <c r="AO121" s="6">
        <v>5</v>
      </c>
      <c r="AP121" s="4">
        <f t="shared" si="158"/>
        <v>0.68153695293472361</v>
      </c>
      <c r="AQ121" s="11">
        <f t="shared" si="159"/>
        <v>0.97937395000000005</v>
      </c>
      <c r="AR121" s="11">
        <f t="shared" si="160"/>
        <v>0.8962407041850623</v>
      </c>
      <c r="AS121" s="11">
        <f t="shared" si="161"/>
        <v>0.91511593113647982</v>
      </c>
      <c r="AT121" s="11">
        <f t="shared" si="162"/>
        <v>507.97188664649997</v>
      </c>
      <c r="AU121" s="11">
        <f t="shared" si="163"/>
        <v>1896.6425030105124</v>
      </c>
      <c r="AV121" s="11">
        <f t="shared" si="164"/>
        <v>2.1751390567182989E-3</v>
      </c>
      <c r="AW121" s="11">
        <f t="shared" si="165"/>
        <v>3.6770358841811742E-7</v>
      </c>
      <c r="AX121" s="4">
        <f t="shared" si="166"/>
        <v>5.0601544902895297</v>
      </c>
      <c r="AY121" s="4">
        <f t="shared" si="167"/>
        <v>10.218718972526842</v>
      </c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</row>
    <row r="122" spans="1:64">
      <c r="A122" s="4" t="e">
        <f>#REF!</f>
        <v>#REF!</v>
      </c>
      <c r="B122" s="4">
        <f t="shared" si="127"/>
        <v>1584.5348996632649</v>
      </c>
      <c r="C122" s="4">
        <f t="shared" si="128"/>
        <v>26.40891499438775</v>
      </c>
      <c r="D122" s="23">
        <f t="shared" si="129"/>
        <v>10059.74287</v>
      </c>
      <c r="E122" s="41" t="e">
        <f>#REF!</f>
        <v>#REF!</v>
      </c>
      <c r="F122" s="7">
        <v>0</v>
      </c>
      <c r="G122" s="4"/>
      <c r="H122" s="6">
        <v>3000</v>
      </c>
      <c r="I122" s="5">
        <v>0</v>
      </c>
      <c r="J122" s="4">
        <f t="shared" si="130"/>
        <v>0.13570274517970632</v>
      </c>
      <c r="K122" s="4">
        <f t="shared" si="131"/>
        <v>149.93460405536203</v>
      </c>
      <c r="L122" s="6">
        <f t="shared" si="168"/>
        <v>85</v>
      </c>
      <c r="M122" s="4">
        <f t="shared" si="132"/>
        <v>88.833853949137122</v>
      </c>
      <c r="N122" s="4">
        <f t="shared" si="133"/>
        <v>24.448982248212918</v>
      </c>
      <c r="O122" s="4">
        <f t="shared" si="134"/>
        <v>886933.45266886393</v>
      </c>
      <c r="P122" s="4">
        <f t="shared" si="135"/>
        <v>5694736.0002281843</v>
      </c>
      <c r="Q122" s="4">
        <f t="shared" si="136"/>
        <v>3.2866377759847138E-3</v>
      </c>
      <c r="R122" s="4">
        <f t="shared" si="137"/>
        <v>2.3064923622386675E-2</v>
      </c>
      <c r="S122" s="27">
        <v>0</v>
      </c>
      <c r="T122" s="4">
        <f t="shared" si="138"/>
        <v>1.7889502325381201</v>
      </c>
      <c r="U122" s="4">
        <f t="shared" si="139"/>
        <v>0.22518809727897771</v>
      </c>
      <c r="V122" s="4">
        <f t="shared" si="140"/>
        <v>7.9442486266130308</v>
      </c>
      <c r="W122" s="20">
        <f t="shared" si="141"/>
        <v>1266.292552362991</v>
      </c>
      <c r="X122" s="4">
        <f t="shared" si="142"/>
        <v>0.60431895289061244</v>
      </c>
      <c r="Y122" s="4">
        <f t="shared" si="143"/>
        <v>138.38574598989084</v>
      </c>
      <c r="Z122" s="14">
        <f t="shared" si="144"/>
        <v>1266.292552362991</v>
      </c>
      <c r="AA122" s="14">
        <f t="shared" si="145"/>
        <v>5628.3916222821908</v>
      </c>
      <c r="AB122" s="25">
        <f t="shared" si="146"/>
        <v>189861.07245679887</v>
      </c>
      <c r="AC122" s="4">
        <f t="shared" si="147"/>
        <v>843890.669355397</v>
      </c>
      <c r="AD122" s="5">
        <f t="shared" si="148"/>
        <v>22.498302132173539</v>
      </c>
      <c r="AE122" s="7">
        <f t="shared" si="149"/>
        <v>1266.292552362991</v>
      </c>
      <c r="AF122" s="4">
        <f t="shared" si="150"/>
        <v>0</v>
      </c>
      <c r="AG122" s="4">
        <f t="shared" si="151"/>
        <v>65.014544143969573</v>
      </c>
      <c r="AH122" s="4">
        <f t="shared" si="152"/>
        <v>867.3873063469623</v>
      </c>
      <c r="AI122" s="13">
        <f t="shared" si="153"/>
        <v>0</v>
      </c>
      <c r="AJ122" s="10">
        <f t="shared" si="154"/>
        <v>0</v>
      </c>
      <c r="AK122" s="11">
        <f t="shared" si="155"/>
        <v>0.38777061193793461</v>
      </c>
      <c r="AL122" s="7">
        <v>0</v>
      </c>
      <c r="AM122" s="4">
        <f t="shared" si="156"/>
        <v>202.62545414618748</v>
      </c>
      <c r="AN122" s="4">
        <f t="shared" si="157"/>
        <v>48.820763019219854</v>
      </c>
      <c r="AO122" s="6">
        <v>5</v>
      </c>
      <c r="AP122" s="4">
        <f t="shared" si="158"/>
        <v>0.68498176407051947</v>
      </c>
      <c r="AQ122" s="11">
        <f t="shared" si="159"/>
        <v>0.97937395000000005</v>
      </c>
      <c r="AR122" s="11">
        <f t="shared" si="160"/>
        <v>0.8962407041850623</v>
      </c>
      <c r="AS122" s="11">
        <f t="shared" si="161"/>
        <v>0.91511593113647982</v>
      </c>
      <c r="AT122" s="11">
        <f t="shared" si="162"/>
        <v>507.97188664649997</v>
      </c>
      <c r="AU122" s="11">
        <f t="shared" si="163"/>
        <v>1896.6425030105124</v>
      </c>
      <c r="AV122" s="11">
        <f t="shared" si="164"/>
        <v>2.1751390567182989E-3</v>
      </c>
      <c r="AW122" s="11">
        <f t="shared" si="165"/>
        <v>3.6770358841811742E-7</v>
      </c>
      <c r="AX122" s="4">
        <f t="shared" si="166"/>
        <v>5.9395521261155366</v>
      </c>
      <c r="AY122" s="4">
        <f t="shared" si="167"/>
        <v>10.625563157186674</v>
      </c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</row>
    <row r="123" spans="1:64">
      <c r="A123" s="4" t="e">
        <f>#REF!</f>
        <v>#REF!</v>
      </c>
      <c r="B123" s="4">
        <f t="shared" si="127"/>
        <v>1584.5348996632649</v>
      </c>
      <c r="C123" s="4">
        <f t="shared" si="128"/>
        <v>26.40891499438775</v>
      </c>
      <c r="D123" s="23">
        <f t="shared" si="129"/>
        <v>10059.74287</v>
      </c>
      <c r="E123" s="41" t="e">
        <f>#REF!</f>
        <v>#REF!</v>
      </c>
      <c r="F123" s="7">
        <v>0</v>
      </c>
      <c r="G123" s="4"/>
      <c r="H123" s="6">
        <v>3000</v>
      </c>
      <c r="I123" s="5">
        <v>0</v>
      </c>
      <c r="J123" s="4">
        <f t="shared" si="130"/>
        <v>0.14368114940522544</v>
      </c>
      <c r="K123" s="4">
        <f t="shared" si="131"/>
        <v>158.74974539213233</v>
      </c>
      <c r="L123" s="6">
        <f t="shared" si="168"/>
        <v>90</v>
      </c>
      <c r="M123" s="4">
        <f t="shared" si="132"/>
        <v>94.056684148912126</v>
      </c>
      <c r="N123" s="4">
        <f t="shared" si="133"/>
        <v>27.408363525165786</v>
      </c>
      <c r="O123" s="4">
        <f t="shared" si="134"/>
        <v>939079.14505818603</v>
      </c>
      <c r="P123" s="4">
        <f t="shared" si="135"/>
        <v>6029547.9873200338</v>
      </c>
      <c r="Q123" s="4">
        <f t="shared" si="136"/>
        <v>3.2550209187416548E-3</v>
      </c>
      <c r="R123" s="4">
        <f t="shared" si="137"/>
        <v>2.2871902708917802E-2</v>
      </c>
      <c r="S123" s="27">
        <v>0</v>
      </c>
      <c r="T123" s="4">
        <f t="shared" si="138"/>
        <v>1.5957907314714921</v>
      </c>
      <c r="U123" s="4">
        <f t="shared" si="139"/>
        <v>0.1837035341991036</v>
      </c>
      <c r="V123" s="4">
        <f t="shared" si="140"/>
        <v>8.6867720777866175</v>
      </c>
      <c r="W123" s="20">
        <f t="shared" si="141"/>
        <v>1158.0530466229541</v>
      </c>
      <c r="X123" s="4">
        <f t="shared" si="142"/>
        <v>0.60178499123918139</v>
      </c>
      <c r="Y123" s="4">
        <f t="shared" si="143"/>
        <v>138.38574598989084</v>
      </c>
      <c r="Z123" s="14">
        <f t="shared" si="144"/>
        <v>1158.0530466229541</v>
      </c>
      <c r="AA123" s="14">
        <f t="shared" si="145"/>
        <v>5628.3916222821908</v>
      </c>
      <c r="AB123" s="25">
        <f t="shared" si="146"/>
        <v>183840.62630197711</v>
      </c>
      <c r="AC123" s="4">
        <f t="shared" si="147"/>
        <v>893505.73700450838</v>
      </c>
      <c r="AD123" s="5">
        <f t="shared" si="148"/>
        <v>20.575203794248218</v>
      </c>
      <c r="AE123" s="7">
        <f t="shared" si="149"/>
        <v>1158.0530466229541</v>
      </c>
      <c r="AF123" s="4">
        <f t="shared" si="150"/>
        <v>0</v>
      </c>
      <c r="AG123" s="4">
        <f t="shared" si="151"/>
        <v>70.54505466724035</v>
      </c>
      <c r="AH123" s="4">
        <f t="shared" si="152"/>
        <v>797.26565233430529</v>
      </c>
      <c r="AI123" s="13">
        <f t="shared" si="153"/>
        <v>0</v>
      </c>
      <c r="AJ123" s="10">
        <f t="shared" si="154"/>
        <v>0</v>
      </c>
      <c r="AK123" s="11">
        <f t="shared" si="155"/>
        <v>0.42075660727443831</v>
      </c>
      <c r="AL123" s="7">
        <v>0</v>
      </c>
      <c r="AM123" s="4">
        <f t="shared" si="156"/>
        <v>191.37395882999763</v>
      </c>
      <c r="AN123" s="4">
        <f t="shared" si="157"/>
        <v>42.382190035110149</v>
      </c>
      <c r="AO123" s="6">
        <v>5</v>
      </c>
      <c r="AP123" s="4">
        <f t="shared" si="158"/>
        <v>0.68845348203974277</v>
      </c>
      <c r="AQ123" s="11">
        <f t="shared" si="159"/>
        <v>0.97937395000000005</v>
      </c>
      <c r="AR123" s="11">
        <f t="shared" si="160"/>
        <v>0.8962407041850623</v>
      </c>
      <c r="AS123" s="11">
        <f t="shared" si="161"/>
        <v>0.91511593113647982</v>
      </c>
      <c r="AT123" s="11">
        <f t="shared" si="162"/>
        <v>507.97188664649997</v>
      </c>
      <c r="AU123" s="11">
        <f t="shared" si="163"/>
        <v>1896.6425030105124</v>
      </c>
      <c r="AV123" s="11">
        <f t="shared" si="164"/>
        <v>2.1751390567182989E-3</v>
      </c>
      <c r="AW123" s="11">
        <f t="shared" si="165"/>
        <v>3.6770358841811742E-7</v>
      </c>
      <c r="AX123" s="4">
        <f t="shared" si="166"/>
        <v>6.876547663257301</v>
      </c>
      <c r="AY123" s="4">
        <f t="shared" si="167"/>
        <v>10.973531025547947</v>
      </c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</row>
    <row r="124" spans="1:64">
      <c r="A124" s="4" t="e">
        <f>#REF!</f>
        <v>#REF!</v>
      </c>
      <c r="B124" s="4">
        <f t="shared" si="127"/>
        <v>1584.5348996632649</v>
      </c>
      <c r="C124" s="4">
        <f t="shared" si="128"/>
        <v>26.40891499438775</v>
      </c>
      <c r="D124" s="23">
        <f t="shared" si="129"/>
        <v>10059.74287</v>
      </c>
      <c r="E124" s="41" t="e">
        <f>#REF!</f>
        <v>#REF!</v>
      </c>
      <c r="F124" s="7">
        <v>0</v>
      </c>
      <c r="G124" s="4"/>
      <c r="H124" s="6">
        <v>3000</v>
      </c>
      <c r="I124" s="5">
        <v>0</v>
      </c>
      <c r="J124" s="4">
        <f t="shared" si="130"/>
        <v>0.15165885538242183</v>
      </c>
      <c r="K124" s="4">
        <f t="shared" si="131"/>
        <v>167.56411525161482</v>
      </c>
      <c r="L124" s="6">
        <f t="shared" si="168"/>
        <v>95</v>
      </c>
      <c r="M124" s="4">
        <f t="shared" si="132"/>
        <v>99.279057260737758</v>
      </c>
      <c r="N124" s="4">
        <f t="shared" si="133"/>
        <v>30.536486531746057</v>
      </c>
      <c r="O124" s="4">
        <f t="shared" si="134"/>
        <v>991220.2737977833</v>
      </c>
      <c r="P124" s="4">
        <f t="shared" si="135"/>
        <v>6364330.6725738458</v>
      </c>
      <c r="Q124" s="4">
        <f t="shared" si="136"/>
        <v>3.2254238212540511E-3</v>
      </c>
      <c r="R124" s="4">
        <f t="shared" si="137"/>
        <v>2.2691212428755981E-2</v>
      </c>
      <c r="S124" s="27">
        <v>0</v>
      </c>
      <c r="T124" s="4">
        <f t="shared" si="138"/>
        <v>1.4323197409364814</v>
      </c>
      <c r="U124" s="4">
        <f t="shared" si="139"/>
        <v>0.15225974676603315</v>
      </c>
      <c r="V124" s="4">
        <f t="shared" si="140"/>
        <v>9.4070808034209232</v>
      </c>
      <c r="W124" s="20">
        <f t="shared" si="141"/>
        <v>1069.3798724830485</v>
      </c>
      <c r="X124" s="4">
        <f t="shared" si="142"/>
        <v>0.59940319751133708</v>
      </c>
      <c r="Y124" s="4">
        <f t="shared" si="143"/>
        <v>138.38574598989081</v>
      </c>
      <c r="Z124" s="14">
        <f t="shared" si="144"/>
        <v>1069.3798724830485</v>
      </c>
      <c r="AA124" s="14">
        <f t="shared" si="145"/>
        <v>5628.3916222821908</v>
      </c>
      <c r="AB124" s="25">
        <f t="shared" si="146"/>
        <v>179189.69220050672</v>
      </c>
      <c r="AC124" s="4">
        <f t="shared" si="147"/>
        <v>943116.46247731638</v>
      </c>
      <c r="AD124" s="5">
        <f t="shared" si="148"/>
        <v>18.999741742374319</v>
      </c>
      <c r="AE124" s="7">
        <f t="shared" si="149"/>
        <v>1069.3798724830485</v>
      </c>
      <c r="AF124" s="4">
        <f t="shared" si="150"/>
        <v>0</v>
      </c>
      <c r="AG124" s="4">
        <f t="shared" si="151"/>
        <v>75.938995673038477</v>
      </c>
      <c r="AH124" s="4">
        <f t="shared" si="152"/>
        <v>739.95248972268837</v>
      </c>
      <c r="AI124" s="13">
        <f t="shared" si="153"/>
        <v>0</v>
      </c>
      <c r="AJ124" s="10">
        <f t="shared" si="154"/>
        <v>0</v>
      </c>
      <c r="AK124" s="11">
        <f t="shared" si="155"/>
        <v>0.4529280518660323</v>
      </c>
      <c r="AL124" s="7">
        <v>0</v>
      </c>
      <c r="AM124" s="4">
        <f t="shared" si="156"/>
        <v>181.30712052116274</v>
      </c>
      <c r="AN124" s="4">
        <f t="shared" si="157"/>
        <v>37.266293120579419</v>
      </c>
      <c r="AO124" s="6">
        <v>5</v>
      </c>
      <c r="AP124" s="4">
        <f t="shared" si="158"/>
        <v>0.69194540570934293</v>
      </c>
      <c r="AQ124" s="11">
        <f t="shared" si="159"/>
        <v>0.97937395000000005</v>
      </c>
      <c r="AR124" s="11">
        <f t="shared" si="160"/>
        <v>0.8962407041850623</v>
      </c>
      <c r="AS124" s="11">
        <f t="shared" si="161"/>
        <v>0.91511593113647982</v>
      </c>
      <c r="AT124" s="11">
        <f t="shared" si="162"/>
        <v>507.97188664649997</v>
      </c>
      <c r="AU124" s="11">
        <f t="shared" si="163"/>
        <v>1896.6425030105124</v>
      </c>
      <c r="AV124" s="11">
        <f t="shared" si="164"/>
        <v>2.1751390567182989E-3</v>
      </c>
      <c r="AW124" s="11">
        <f t="shared" si="165"/>
        <v>3.6770358841811742E-7</v>
      </c>
      <c r="AX124" s="4">
        <f t="shared" si="166"/>
        <v>7.8602233295736177</v>
      </c>
      <c r="AY124" s="4">
        <f t="shared" si="167"/>
        <v>11.258353043117772</v>
      </c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</row>
    <row r="125" spans="1:64">
      <c r="A125" s="4" t="e">
        <f>#REF!</f>
        <v>#REF!</v>
      </c>
      <c r="B125" s="4">
        <f t="shared" si="127"/>
        <v>1584.5348996632649</v>
      </c>
      <c r="C125" s="4">
        <f t="shared" si="128"/>
        <v>26.40891499438775</v>
      </c>
      <c r="D125" s="23">
        <f t="shared" si="129"/>
        <v>10059.74287</v>
      </c>
      <c r="E125" s="41" t="e">
        <f>#REF!</f>
        <v>#REF!</v>
      </c>
      <c r="F125" s="7">
        <v>0</v>
      </c>
      <c r="G125" s="4"/>
      <c r="H125" s="6">
        <v>3000</v>
      </c>
      <c r="I125" s="5">
        <v>0</v>
      </c>
      <c r="J125" s="4">
        <f t="shared" si="130"/>
        <v>0.15963582607011134</v>
      </c>
      <c r="K125" s="4">
        <f t="shared" si="131"/>
        <v>176.37767270792202</v>
      </c>
      <c r="L125" s="6">
        <f t="shared" si="168"/>
        <v>100</v>
      </c>
      <c r="M125" s="4">
        <f t="shared" si="132"/>
        <v>104.50094903668047</v>
      </c>
      <c r="N125" s="4">
        <f t="shared" si="133"/>
        <v>33.833291193501381</v>
      </c>
      <c r="O125" s="4">
        <f t="shared" si="134"/>
        <v>1043356.5967918506</v>
      </c>
      <c r="P125" s="4">
        <f t="shared" si="135"/>
        <v>6699082.5015644338</v>
      </c>
      <c r="Q125" s="4">
        <f t="shared" si="136"/>
        <v>3.1976126773363722E-3</v>
      </c>
      <c r="R125" s="4">
        <f t="shared" si="137"/>
        <v>2.2521425395138552E-2</v>
      </c>
      <c r="S125" s="27">
        <v>0</v>
      </c>
      <c r="T125" s="4">
        <f t="shared" si="138"/>
        <v>1.2927507474254223</v>
      </c>
      <c r="U125" s="4">
        <f t="shared" si="139"/>
        <v>0.12806922551089608</v>
      </c>
      <c r="V125" s="4">
        <f t="shared" si="140"/>
        <v>10.094156049342514</v>
      </c>
      <c r="W125" s="20">
        <f t="shared" si="141"/>
        <v>996.59078191635876</v>
      </c>
      <c r="X125" s="4">
        <f t="shared" si="142"/>
        <v>0.59715646913642229</v>
      </c>
      <c r="Y125" s="4">
        <f t="shared" si="143"/>
        <v>138.38574598989084</v>
      </c>
      <c r="Z125" s="14">
        <f t="shared" si="144"/>
        <v>996.59078191635876</v>
      </c>
      <c r="AA125" s="14">
        <f t="shared" si="145"/>
        <v>5628.3916222821908</v>
      </c>
      <c r="AB125" s="25">
        <f t="shared" si="146"/>
        <v>175776.3627565756</v>
      </c>
      <c r="AC125" s="4">
        <f t="shared" si="147"/>
        <v>992722.61542689847</v>
      </c>
      <c r="AD125" s="5">
        <f t="shared" si="148"/>
        <v>17.706493236379718</v>
      </c>
      <c r="AE125" s="7">
        <f t="shared" si="149"/>
        <v>996.59078191635876</v>
      </c>
      <c r="AF125" s="4">
        <f t="shared" si="150"/>
        <v>0</v>
      </c>
      <c r="AG125" s="4">
        <f t="shared" si="151"/>
        <v>81.20945666579675</v>
      </c>
      <c r="AH125" s="4">
        <f t="shared" si="152"/>
        <v>693.07970736155971</v>
      </c>
      <c r="AI125" s="13">
        <f t="shared" si="153"/>
        <v>0</v>
      </c>
      <c r="AJ125" s="10">
        <f t="shared" si="154"/>
        <v>0</v>
      </c>
      <c r="AK125" s="11">
        <f t="shared" si="155"/>
        <v>0.48436301632308071</v>
      </c>
      <c r="AL125" s="7">
        <v>0</v>
      </c>
      <c r="AM125" s="4">
        <f t="shared" si="156"/>
        <v>172.247239531594</v>
      </c>
      <c r="AN125" s="4">
        <f t="shared" si="157"/>
        <v>33.161407324553792</v>
      </c>
      <c r="AO125" s="6">
        <v>5</v>
      </c>
      <c r="AP125" s="4">
        <f t="shared" si="158"/>
        <v>0.69545065029482489</v>
      </c>
      <c r="AQ125" s="11">
        <f t="shared" si="159"/>
        <v>0.97937395000000005</v>
      </c>
      <c r="AR125" s="11">
        <f t="shared" si="160"/>
        <v>0.8962407041850623</v>
      </c>
      <c r="AS125" s="11">
        <f t="shared" si="161"/>
        <v>0.91511593113647982</v>
      </c>
      <c r="AT125" s="11">
        <f t="shared" si="162"/>
        <v>507.97188664649997</v>
      </c>
      <c r="AU125" s="11">
        <f t="shared" si="163"/>
        <v>1896.6425030105124</v>
      </c>
      <c r="AV125" s="11">
        <f t="shared" si="164"/>
        <v>2.1751390567182989E-3</v>
      </c>
      <c r="AW125" s="11">
        <f t="shared" si="165"/>
        <v>3.6770358841811742E-7</v>
      </c>
      <c r="AX125" s="4">
        <f t="shared" si="166"/>
        <v>8.8779483814168607</v>
      </c>
      <c r="AY125" s="4">
        <f t="shared" si="167"/>
        <v>11.476974405680965</v>
      </c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</row>
    <row r="126" spans="1:64">
      <c r="A126" s="4" t="e">
        <f>#REF!</f>
        <v>#REF!</v>
      </c>
      <c r="B126" s="4">
        <f t="shared" si="127"/>
        <v>1584.5348996632649</v>
      </c>
      <c r="C126" s="4">
        <f t="shared" si="128"/>
        <v>26.40891499438775</v>
      </c>
      <c r="D126" s="23">
        <f t="shared" si="129"/>
        <v>10059.74287</v>
      </c>
      <c r="E126" s="41" t="e">
        <f>#REF!</f>
        <v>#REF!</v>
      </c>
      <c r="F126" s="7">
        <v>0</v>
      </c>
      <c r="G126" s="4"/>
      <c r="H126" s="6">
        <v>3000</v>
      </c>
      <c r="I126" s="5">
        <v>0</v>
      </c>
      <c r="J126" s="4">
        <f t="shared" si="130"/>
        <v>0.16761202470519201</v>
      </c>
      <c r="K126" s="4">
        <f t="shared" si="131"/>
        <v>185.19037714241259</v>
      </c>
      <c r="L126" s="6">
        <f t="shared" si="168"/>
        <v>105</v>
      </c>
      <c r="M126" s="4">
        <f t="shared" si="132"/>
        <v>109.72233541084518</v>
      </c>
      <c r="N126" s="4">
        <f t="shared" si="133"/>
        <v>37.298714425594703</v>
      </c>
      <c r="O126" s="4">
        <f t="shared" si="134"/>
        <v>1095487.8737620879</v>
      </c>
      <c r="P126" s="4">
        <f t="shared" si="135"/>
        <v>7033801.9315362722</v>
      </c>
      <c r="Q126" s="4">
        <f t="shared" si="136"/>
        <v>3.1713905573313305E-3</v>
      </c>
      <c r="R126" s="4">
        <f t="shared" si="137"/>
        <v>2.236133935250777E-2</v>
      </c>
      <c r="S126" s="27">
        <v>0</v>
      </c>
      <c r="T126" s="4">
        <f t="shared" si="138"/>
        <v>1.1726412867529681</v>
      </c>
      <c r="U126" s="4">
        <f t="shared" si="139"/>
        <v>0.10920736582816083</v>
      </c>
      <c r="V126" s="4">
        <f t="shared" si="140"/>
        <v>10.737749032406239</v>
      </c>
      <c r="W126" s="20">
        <f t="shared" si="141"/>
        <v>936.85770077508482</v>
      </c>
      <c r="X126" s="4">
        <f t="shared" si="142"/>
        <v>0.59503034035980418</v>
      </c>
      <c r="Y126" s="4">
        <f t="shared" si="143"/>
        <v>138.38574598989081</v>
      </c>
      <c r="Z126" s="14">
        <f t="shared" si="144"/>
        <v>936.85770077508482</v>
      </c>
      <c r="AA126" s="14">
        <f t="shared" si="145"/>
        <v>5628.3916222821908</v>
      </c>
      <c r="AB126" s="25">
        <f t="shared" si="146"/>
        <v>173497.03093531149</v>
      </c>
      <c r="AC126" s="4">
        <f t="shared" si="147"/>
        <v>1042323.9672356343</v>
      </c>
      <c r="AD126" s="5">
        <f t="shared" si="148"/>
        <v>16.645211698954405</v>
      </c>
      <c r="AE126" s="7">
        <f t="shared" si="149"/>
        <v>936.85770077508482</v>
      </c>
      <c r="AF126" s="4">
        <f t="shared" si="150"/>
        <v>0</v>
      </c>
      <c r="AG126" s="4">
        <f t="shared" si="151"/>
        <v>86.366714092794979</v>
      </c>
      <c r="AH126" s="4">
        <f t="shared" si="152"/>
        <v>654.82817514558212</v>
      </c>
      <c r="AI126" s="13">
        <f t="shared" si="153"/>
        <v>0</v>
      </c>
      <c r="AJ126" s="10">
        <f t="shared" si="154"/>
        <v>0</v>
      </c>
      <c r="AK126" s="11">
        <f t="shared" si="155"/>
        <v>0.51512279315024867</v>
      </c>
      <c r="AL126" s="7">
        <v>0</v>
      </c>
      <c r="AM126" s="4">
        <f t="shared" si="156"/>
        <v>164.05046367816232</v>
      </c>
      <c r="AN126" s="4">
        <f t="shared" si="157"/>
        <v>29.840240489488231</v>
      </c>
      <c r="AO126" s="6">
        <v>5</v>
      </c>
      <c r="AP126" s="4">
        <f t="shared" si="158"/>
        <v>0.69896225926715128</v>
      </c>
      <c r="AQ126" s="11">
        <f t="shared" si="159"/>
        <v>0.97937395000000005</v>
      </c>
      <c r="AR126" s="11">
        <f t="shared" si="160"/>
        <v>0.8962407041850623</v>
      </c>
      <c r="AS126" s="11">
        <f t="shared" si="161"/>
        <v>0.91511593113647982</v>
      </c>
      <c r="AT126" s="11">
        <f t="shared" si="162"/>
        <v>507.97188664649997</v>
      </c>
      <c r="AU126" s="11">
        <f t="shared" si="163"/>
        <v>1896.6425030105124</v>
      </c>
      <c r="AV126" s="11">
        <f t="shared" si="164"/>
        <v>2.1751390567182989E-3</v>
      </c>
      <c r="AW126" s="11">
        <f t="shared" si="165"/>
        <v>3.6770358841811742E-7</v>
      </c>
      <c r="AX126" s="4">
        <f t="shared" si="166"/>
        <v>9.9158662180800299</v>
      </c>
      <c r="AY126" s="4">
        <f t="shared" si="167"/>
        <v>11.627754121239652</v>
      </c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</row>
    <row r="127" spans="1:64">
      <c r="A127" s="4" t="e">
        <f>#REF!</f>
        <v>#REF!</v>
      </c>
      <c r="B127" s="4">
        <f t="shared" si="127"/>
        <v>1584.5348996632649</v>
      </c>
      <c r="C127" s="4">
        <f t="shared" si="128"/>
        <v>26.40891499438775</v>
      </c>
      <c r="D127" s="23">
        <f t="shared" si="129"/>
        <v>10059.74287</v>
      </c>
      <c r="E127" s="41" t="e">
        <f>#REF!</f>
        <v>#REF!</v>
      </c>
      <c r="F127" s="7">
        <v>0</v>
      </c>
      <c r="G127" s="4"/>
      <c r="H127" s="6">
        <v>3000</v>
      </c>
      <c r="I127" s="5">
        <v>0</v>
      </c>
      <c r="J127" s="4">
        <f t="shared" si="130"/>
        <v>0.17558741481577891</v>
      </c>
      <c r="K127" s="4">
        <f t="shared" si="131"/>
        <v>194.00218825820363</v>
      </c>
      <c r="L127" s="6">
        <f t="shared" si="168"/>
        <v>110</v>
      </c>
      <c r="M127" s="4">
        <f t="shared" si="132"/>
        <v>114.94319250797352</v>
      </c>
      <c r="N127" s="4">
        <f t="shared" si="133"/>
        <v>40.932690169114416</v>
      </c>
      <c r="O127" s="4">
        <f t="shared" si="134"/>
        <v>1147613.8663335468</v>
      </c>
      <c r="P127" s="4">
        <f t="shared" si="135"/>
        <v>7368487.4319546903</v>
      </c>
      <c r="Q127" s="4">
        <f t="shared" si="136"/>
        <v>3.1465901506485287E-3</v>
      </c>
      <c r="R127" s="4">
        <f t="shared" si="137"/>
        <v>2.2209932869709268E-2</v>
      </c>
      <c r="S127" s="27">
        <v>0</v>
      </c>
      <c r="T127" s="4">
        <f t="shared" si="138"/>
        <v>1.0685350094888999</v>
      </c>
      <c r="U127" s="4">
        <f t="shared" si="139"/>
        <v>9.4320199732231408E-2</v>
      </c>
      <c r="V127" s="4">
        <f t="shared" si="140"/>
        <v>11.328803506803396</v>
      </c>
      <c r="W127" s="20">
        <f t="shared" si="141"/>
        <v>887.97928783553584</v>
      </c>
      <c r="X127" s="4">
        <f t="shared" si="142"/>
        <v>0.59301247219482112</v>
      </c>
      <c r="Y127" s="4">
        <f t="shared" si="143"/>
        <v>138.38574598989084</v>
      </c>
      <c r="Z127" s="14">
        <f t="shared" si="144"/>
        <v>887.97928783553584</v>
      </c>
      <c r="AA127" s="14">
        <f t="shared" si="145"/>
        <v>5628.3916222821908</v>
      </c>
      <c r="AB127" s="25">
        <f t="shared" si="146"/>
        <v>172269.92496805522</v>
      </c>
      <c r="AC127" s="4">
        <f t="shared" si="147"/>
        <v>1091920.2910968857</v>
      </c>
      <c r="AD127" s="5">
        <f t="shared" si="148"/>
        <v>15.776785757411094</v>
      </c>
      <c r="AE127" s="7">
        <f t="shared" si="149"/>
        <v>887.97928783553584</v>
      </c>
      <c r="AF127" s="4">
        <f t="shared" si="150"/>
        <v>0</v>
      </c>
      <c r="AG127" s="4">
        <f t="shared" si="151"/>
        <v>91.418874022257242</v>
      </c>
      <c r="AH127" s="4">
        <f t="shared" si="152"/>
        <v>623.78174851586823</v>
      </c>
      <c r="AI127" s="13">
        <f t="shared" si="153"/>
        <v>0</v>
      </c>
      <c r="AJ127" s="10">
        <f t="shared" si="154"/>
        <v>0</v>
      </c>
      <c r="AK127" s="11">
        <f t="shared" si="155"/>
        <v>0.54525572991463889</v>
      </c>
      <c r="AL127" s="7">
        <v>0</v>
      </c>
      <c r="AM127" s="4">
        <f t="shared" si="156"/>
        <v>156.59909566850908</v>
      </c>
      <c r="AN127" s="4">
        <f t="shared" si="157"/>
        <v>27.134349364473977</v>
      </c>
      <c r="AO127" s="6">
        <v>5</v>
      </c>
      <c r="AP127" s="4">
        <f t="shared" si="158"/>
        <v>0.70247330884974413</v>
      </c>
      <c r="AQ127" s="11">
        <f t="shared" si="159"/>
        <v>0.97937395000000005</v>
      </c>
      <c r="AR127" s="11">
        <f t="shared" si="160"/>
        <v>0.8962407041850623</v>
      </c>
      <c r="AS127" s="11">
        <f t="shared" si="161"/>
        <v>0.91511593113647982</v>
      </c>
      <c r="AT127" s="11">
        <f t="shared" si="162"/>
        <v>507.97188664649997</v>
      </c>
      <c r="AU127" s="11">
        <f t="shared" si="163"/>
        <v>1896.6425030105124</v>
      </c>
      <c r="AV127" s="11">
        <f t="shared" si="164"/>
        <v>2.1751390567182989E-3</v>
      </c>
      <c r="AW127" s="11">
        <f t="shared" si="165"/>
        <v>3.6770358841811742E-7</v>
      </c>
      <c r="AX127" s="4">
        <f t="shared" si="166"/>
        <v>10.959472878257099</v>
      </c>
      <c r="AY127" s="4">
        <f t="shared" si="167"/>
        <v>11.710580455961791</v>
      </c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</row>
    <row r="128" spans="1:64">
      <c r="A128" s="4" t="e">
        <f>#REF!</f>
        <v>#REF!</v>
      </c>
      <c r="B128" s="4">
        <f t="shared" si="127"/>
        <v>1584.5348996632649</v>
      </c>
      <c r="C128" s="4">
        <f t="shared" si="128"/>
        <v>26.40891499438775</v>
      </c>
      <c r="D128" s="23">
        <f t="shared" si="129"/>
        <v>10059.74287</v>
      </c>
      <c r="E128" s="41" t="e">
        <f>#REF!</f>
        <v>#REF!</v>
      </c>
      <c r="F128" s="7">
        <v>0</v>
      </c>
      <c r="G128" s="4"/>
      <c r="H128" s="6">
        <v>3000</v>
      </c>
      <c r="I128" s="5">
        <v>0</v>
      </c>
      <c r="J128" s="4">
        <f t="shared" si="130"/>
        <v>0.18356196023412286</v>
      </c>
      <c r="K128" s="4">
        <f t="shared" si="131"/>
        <v>202.81306609444437</v>
      </c>
      <c r="L128" s="6">
        <f t="shared" si="168"/>
        <v>115</v>
      </c>
      <c r="M128" s="4">
        <f t="shared" si="132"/>
        <v>120.16349665190077</v>
      </c>
      <c r="N128" s="4">
        <f t="shared" si="133"/>
        <v>44.735149428975014</v>
      </c>
      <c r="O128" s="4">
        <f t="shared" si="134"/>
        <v>1199734.3381190666</v>
      </c>
      <c r="P128" s="4">
        <f t="shared" si="135"/>
        <v>7703137.48504801</v>
      </c>
      <c r="Q128" s="4">
        <f t="shared" si="136"/>
        <v>3.1230681956379682E-3</v>
      </c>
      <c r="R128" s="4">
        <f t="shared" si="137"/>
        <v>2.2066331334369797E-2</v>
      </c>
      <c r="S128" s="27">
        <v>0</v>
      </c>
      <c r="T128" s="4">
        <f t="shared" si="138"/>
        <v>0.97771021303287975</v>
      </c>
      <c r="U128" s="4">
        <f t="shared" si="139"/>
        <v>8.243893340671235E-2</v>
      </c>
      <c r="V128" s="4">
        <f t="shared" si="140"/>
        <v>11.85981153115298</v>
      </c>
      <c r="W128" s="20">
        <f t="shared" si="141"/>
        <v>848.22114108435733</v>
      </c>
      <c r="X128" s="4">
        <f t="shared" si="142"/>
        <v>0.59109225932602216</v>
      </c>
      <c r="Y128" s="4">
        <f t="shared" si="143"/>
        <v>138.38574598989084</v>
      </c>
      <c r="Z128" s="14">
        <f t="shared" si="144"/>
        <v>848.22114108435733</v>
      </c>
      <c r="AA128" s="14">
        <f t="shared" si="145"/>
        <v>5628.3916222821908</v>
      </c>
      <c r="AB128" s="25">
        <f t="shared" si="146"/>
        <v>172030.33034944677</v>
      </c>
      <c r="AC128" s="4">
        <f t="shared" si="147"/>
        <v>1141511.362095335</v>
      </c>
      <c r="AD128" s="5">
        <f t="shared" si="148"/>
        <v>15.070400178380302</v>
      </c>
      <c r="AE128" s="7">
        <f t="shared" si="149"/>
        <v>848.22114108435733</v>
      </c>
      <c r="AF128" s="4">
        <f t="shared" si="150"/>
        <v>0</v>
      </c>
      <c r="AG128" s="4">
        <f t="shared" si="151"/>
        <v>96.372347114065775</v>
      </c>
      <c r="AH128" s="4">
        <f t="shared" si="152"/>
        <v>598.82462084779672</v>
      </c>
      <c r="AI128" s="13">
        <f t="shared" si="153"/>
        <v>0</v>
      </c>
      <c r="AJ128" s="10">
        <f t="shared" si="154"/>
        <v>0</v>
      </c>
      <c r="AK128" s="11">
        <f t="shared" si="155"/>
        <v>0.57480006214551949</v>
      </c>
      <c r="AL128" s="7">
        <v>0</v>
      </c>
      <c r="AM128" s="4">
        <f t="shared" si="156"/>
        <v>149.79590725579365</v>
      </c>
      <c r="AN128" s="4">
        <f t="shared" si="157"/>
        <v>24.91707704638954</v>
      </c>
      <c r="AO128" s="6">
        <v>5</v>
      </c>
      <c r="AP128" s="4">
        <f t="shared" si="158"/>
        <v>0.7059770051030152</v>
      </c>
      <c r="AQ128" s="11">
        <f t="shared" si="159"/>
        <v>0.97937395000000005</v>
      </c>
      <c r="AR128" s="11">
        <f t="shared" si="160"/>
        <v>0.8962407041850623</v>
      </c>
      <c r="AS128" s="11">
        <f t="shared" si="161"/>
        <v>0.91511593113647982</v>
      </c>
      <c r="AT128" s="11">
        <f t="shared" si="162"/>
        <v>507.97188664649997</v>
      </c>
      <c r="AU128" s="11">
        <f t="shared" si="163"/>
        <v>1896.6425030105124</v>
      </c>
      <c r="AV128" s="11">
        <f t="shared" si="164"/>
        <v>2.1751390567182989E-3</v>
      </c>
      <c r="AW128" s="11">
        <f t="shared" si="165"/>
        <v>3.6770358841811742E-7</v>
      </c>
      <c r="AX128" s="4">
        <f t="shared" si="166"/>
        <v>11.994239364686912</v>
      </c>
      <c r="AY128" s="4">
        <f t="shared" si="167"/>
        <v>11.726890324415393</v>
      </c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</row>
    <row r="129" spans="1:64">
      <c r="A129" s="4" t="e">
        <f>#REF!</f>
        <v>#REF!</v>
      </c>
      <c r="B129" s="4">
        <f t="shared" si="127"/>
        <v>1584.5348996632649</v>
      </c>
      <c r="C129" s="4">
        <f t="shared" si="128"/>
        <v>26.40891499438775</v>
      </c>
      <c r="D129" s="23">
        <f t="shared" si="129"/>
        <v>10059.74287</v>
      </c>
      <c r="E129" s="41" t="e">
        <f>#REF!</f>
        <v>#REF!</v>
      </c>
      <c r="F129" s="7">
        <v>0</v>
      </c>
      <c r="G129" s="4"/>
      <c r="H129" s="6">
        <v>3000</v>
      </c>
      <c r="I129" s="5">
        <v>0</v>
      </c>
      <c r="J129" s="4">
        <f t="shared" si="130"/>
        <v>0.19153562510930061</v>
      </c>
      <c r="K129" s="4">
        <f t="shared" si="131"/>
        <v>211.62297104033718</v>
      </c>
      <c r="L129" s="6">
        <f t="shared" si="168"/>
        <v>120</v>
      </c>
      <c r="M129" s="4">
        <f t="shared" si="132"/>
        <v>125.38322437386313</v>
      </c>
      <c r="N129" s="4">
        <f t="shared" si="133"/>
        <v>48.706020313368327</v>
      </c>
      <c r="O129" s="4">
        <f t="shared" si="134"/>
        <v>1251849.0548022147</v>
      </c>
      <c r="P129" s="4">
        <f t="shared" si="135"/>
        <v>8037750.5863400847</v>
      </c>
      <c r="Q129" s="4">
        <f t="shared" si="136"/>
        <v>3.1007011494185274E-3</v>
      </c>
      <c r="R129" s="4">
        <f t="shared" si="137"/>
        <v>2.1929780517200109E-2</v>
      </c>
      <c r="S129" s="27">
        <v>0</v>
      </c>
      <c r="T129" s="4">
        <f t="shared" si="138"/>
        <v>0.89800012805103091</v>
      </c>
      <c r="U129" s="4">
        <f t="shared" si="139"/>
        <v>7.2859629458262687E-2</v>
      </c>
      <c r="V129" s="4">
        <f t="shared" si="140"/>
        <v>12.325071301185332</v>
      </c>
      <c r="W129" s="20">
        <f t="shared" si="141"/>
        <v>816.20159625628537</v>
      </c>
      <c r="X129" s="4">
        <f t="shared" si="142"/>
        <v>0.58926052331126766</v>
      </c>
      <c r="Y129" s="4">
        <f t="shared" si="143"/>
        <v>138.38574598989084</v>
      </c>
      <c r="Z129" s="14">
        <f t="shared" si="144"/>
        <v>816.20159625628537</v>
      </c>
      <c r="AA129" s="14">
        <f t="shared" si="145"/>
        <v>5628.3916222821908</v>
      </c>
      <c r="AB129" s="25">
        <f t="shared" si="146"/>
        <v>172727.00676762086</v>
      </c>
      <c r="AC129" s="4">
        <f t="shared" si="147"/>
        <v>1191096.9572859004</v>
      </c>
      <c r="AD129" s="5">
        <f t="shared" si="148"/>
        <v>14.501506843003458</v>
      </c>
      <c r="AE129" s="7">
        <f t="shared" si="149"/>
        <v>816.20159625628526</v>
      </c>
      <c r="AF129" s="4">
        <f t="shared" si="150"/>
        <v>0</v>
      </c>
      <c r="AG129" s="4">
        <f t="shared" si="151"/>
        <v>101.23220480667013</v>
      </c>
      <c r="AH129" s="4">
        <f t="shared" si="152"/>
        <v>579.06791309984294</v>
      </c>
      <c r="AI129" s="13">
        <f t="shared" si="153"/>
        <v>-2.3915866118781884E-15</v>
      </c>
      <c r="AJ129" s="10">
        <f t="shared" si="154"/>
        <v>-6.4750919300955079E-16</v>
      </c>
      <c r="AK129" s="11">
        <f t="shared" si="155"/>
        <v>0.60378603776382678</v>
      </c>
      <c r="AL129" s="7">
        <v>0</v>
      </c>
      <c r="AM129" s="4">
        <f t="shared" si="156"/>
        <v>143.55987485477527</v>
      </c>
      <c r="AN129" s="4">
        <f t="shared" si="157"/>
        <v>23.091921426952595</v>
      </c>
      <c r="AO129" s="6">
        <v>5</v>
      </c>
      <c r="AP129" s="4">
        <f t="shared" si="158"/>
        <v>0.7094667735959892</v>
      </c>
      <c r="AQ129" s="11">
        <f t="shared" si="159"/>
        <v>0.97937395000000005</v>
      </c>
      <c r="AR129" s="11">
        <f t="shared" si="160"/>
        <v>0.8962407041850623</v>
      </c>
      <c r="AS129" s="11">
        <f t="shared" si="161"/>
        <v>0.91511593113647982</v>
      </c>
      <c r="AT129" s="11">
        <f t="shared" si="162"/>
        <v>507.97188664649997</v>
      </c>
      <c r="AU129" s="11">
        <f t="shared" si="163"/>
        <v>1896.6425030105124</v>
      </c>
      <c r="AV129" s="11">
        <f t="shared" si="164"/>
        <v>2.1751390567182989E-3</v>
      </c>
      <c r="AW129" s="11">
        <f t="shared" si="165"/>
        <v>3.6770358841811742E-7</v>
      </c>
      <c r="AX129" s="4">
        <f t="shared" si="166"/>
        <v>13.006224350143656</v>
      </c>
      <c r="AY129" s="4">
        <f t="shared" si="167"/>
        <v>11.679591131889438</v>
      </c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</row>
    <row r="130" spans="1:64">
      <c r="A130" s="4" t="e">
        <f>#REF!</f>
        <v>#REF!</v>
      </c>
      <c r="B130" s="4">
        <f t="shared" si="127"/>
        <v>1584.5348996632649</v>
      </c>
      <c r="C130" s="4">
        <f t="shared" si="128"/>
        <v>26.40891499438775</v>
      </c>
      <c r="D130" s="23">
        <f t="shared" si="129"/>
        <v>10059.74287</v>
      </c>
      <c r="E130" s="41" t="e">
        <f>#REF!</f>
        <v>#REF!</v>
      </c>
      <c r="F130" s="7">
        <v>0</v>
      </c>
      <c r="G130" s="4"/>
      <c r="H130" s="6">
        <v>3000</v>
      </c>
      <c r="I130" s="5">
        <v>0</v>
      </c>
      <c r="J130" s="4">
        <f t="shared" si="130"/>
        <v>0.19950837391967999</v>
      </c>
      <c r="K130" s="4">
        <f t="shared" si="131"/>
        <v>220.43186384890987</v>
      </c>
      <c r="L130" s="6">
        <f t="shared" si="168"/>
        <v>125</v>
      </c>
      <c r="M130" s="4">
        <f t="shared" si="132"/>
        <v>130.60235242065752</v>
      </c>
      <c r="N130" s="4">
        <f t="shared" si="133"/>
        <v>52.845228074731594</v>
      </c>
      <c r="O130" s="4">
        <f t="shared" si="134"/>
        <v>1303957.7842187574</v>
      </c>
      <c r="P130" s="4">
        <f t="shared" si="135"/>
        <v>8372325.2451733947</v>
      </c>
      <c r="Q130" s="4">
        <f t="shared" si="136"/>
        <v>3.0793817823107691E-3</v>
      </c>
      <c r="R130" s="4">
        <f t="shared" si="137"/>
        <v>2.1799625781007245E-2</v>
      </c>
      <c r="S130" s="27">
        <v>0</v>
      </c>
      <c r="T130" s="4">
        <f t="shared" si="138"/>
        <v>0.82766247912504665</v>
      </c>
      <c r="U130" s="4">
        <f t="shared" si="139"/>
        <v>6.5063571589019306E-2</v>
      </c>
      <c r="V130" s="4">
        <f t="shared" si="140"/>
        <v>12.720827629215641</v>
      </c>
      <c r="W130" s="20">
        <f t="shared" si="141"/>
        <v>790.80883439502099</v>
      </c>
      <c r="X130" s="4">
        <f t="shared" si="142"/>
        <v>0.58750927038752321</v>
      </c>
      <c r="Y130" s="4">
        <f t="shared" si="143"/>
        <v>138.38574598989084</v>
      </c>
      <c r="Z130" s="14">
        <f t="shared" si="144"/>
        <v>790.80883439502099</v>
      </c>
      <c r="AA130" s="14">
        <f t="shared" si="145"/>
        <v>5628.3916222821908</v>
      </c>
      <c r="AB130" s="25">
        <f t="shared" si="146"/>
        <v>174319.46531387838</v>
      </c>
      <c r="AC130" s="4">
        <f t="shared" si="147"/>
        <v>1240676.8557712529</v>
      </c>
      <c r="AD130" s="5">
        <f t="shared" si="148"/>
        <v>14.050351991575974</v>
      </c>
      <c r="AE130" s="7">
        <f t="shared" si="149"/>
        <v>790.80883439502111</v>
      </c>
      <c r="AF130" s="4">
        <f t="shared" si="150"/>
        <v>0</v>
      </c>
      <c r="AG130" s="4">
        <f t="shared" si="151"/>
        <v>106.00244998681308</v>
      </c>
      <c r="AH130" s="4">
        <f t="shared" si="152"/>
        <v>563.79635735130023</v>
      </c>
      <c r="AI130" s="13">
        <f t="shared" si="153"/>
        <v>2.4911373837196671E-15</v>
      </c>
      <c r="AJ130" s="10">
        <f t="shared" si="154"/>
        <v>6.4750919300955079E-16</v>
      </c>
      <c r="AK130" s="11">
        <f t="shared" si="155"/>
        <v>0.63223753145579009</v>
      </c>
      <c r="AL130" s="7">
        <v>0</v>
      </c>
      <c r="AM130" s="4">
        <f t="shared" si="156"/>
        <v>137.82293861004695</v>
      </c>
      <c r="AN130" s="4">
        <f t="shared" si="157"/>
        <v>21.584464096610098</v>
      </c>
      <c r="AO130" s="6">
        <v>5</v>
      </c>
      <c r="AP130" s="4">
        <f t="shared" si="158"/>
        <v>0.7129363416667085</v>
      </c>
      <c r="AQ130" s="11">
        <f t="shared" si="159"/>
        <v>0.97937395000000005</v>
      </c>
      <c r="AR130" s="11">
        <f t="shared" si="160"/>
        <v>0.8962407041850623</v>
      </c>
      <c r="AS130" s="11">
        <f t="shared" si="161"/>
        <v>0.91511593113647982</v>
      </c>
      <c r="AT130" s="11">
        <f t="shared" si="162"/>
        <v>507.97188664649997</v>
      </c>
      <c r="AU130" s="11">
        <f t="shared" si="163"/>
        <v>1896.6425030105124</v>
      </c>
      <c r="AV130" s="11">
        <f t="shared" si="164"/>
        <v>2.1751390567182989E-3</v>
      </c>
      <c r="AW130" s="11">
        <f t="shared" si="165"/>
        <v>3.6770358841811742E-7</v>
      </c>
      <c r="AX130" s="4">
        <f t="shared" si="166"/>
        <v>13.982625760235837</v>
      </c>
      <c r="AY130" s="4">
        <f t="shared" si="167"/>
        <v>11.572894701394533</v>
      </c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</row>
    <row r="131" spans="1:64">
      <c r="A131" s="4" t="e">
        <f>#REF!</f>
        <v>#REF!</v>
      </c>
      <c r="B131" s="4">
        <f t="shared" si="127"/>
        <v>1584.5348996632649</v>
      </c>
      <c r="C131" s="4">
        <f t="shared" si="128"/>
        <v>26.40891499438775</v>
      </c>
      <c r="D131" s="23">
        <f t="shared" si="129"/>
        <v>10059.74287</v>
      </c>
      <c r="E131" s="41" t="e">
        <f>#REF!</f>
        <v>#REF!</v>
      </c>
      <c r="F131" s="7">
        <v>0</v>
      </c>
      <c r="G131" s="4"/>
      <c r="H131" s="6">
        <v>3000</v>
      </c>
      <c r="I131" s="5">
        <v>0</v>
      </c>
      <c r="J131" s="4">
        <f t="shared" si="130"/>
        <v>0.20748017148511044</v>
      </c>
      <c r="K131" s="4">
        <f t="shared" si="131"/>
        <v>229.23970565048498</v>
      </c>
      <c r="L131" s="6">
        <f t="shared" si="168"/>
        <v>130</v>
      </c>
      <c r="M131" s="4">
        <f t="shared" si="132"/>
        <v>135.82085776262196</v>
      </c>
      <c r="N131" s="4">
        <f t="shared" si="133"/>
        <v>57.152695152170224</v>
      </c>
      <c r="O131" s="4">
        <f t="shared" si="134"/>
        <v>1356060.2964363347</v>
      </c>
      <c r="P131" s="4">
        <f t="shared" si="135"/>
        <v>8706859.9852206204</v>
      </c>
      <c r="Q131" s="4">
        <f t="shared" si="136"/>
        <v>3.0590164709412694E-3</v>
      </c>
      <c r="R131" s="4">
        <f t="shared" si="137"/>
        <v>2.1675295555096445E-2</v>
      </c>
      <c r="S131" s="27">
        <v>0</v>
      </c>
      <c r="T131" s="4">
        <f t="shared" si="138"/>
        <v>0.76528346321739527</v>
      </c>
      <c r="U131" s="4">
        <f t="shared" si="139"/>
        <v>5.8663585100649236E-2</v>
      </c>
      <c r="V131" s="4">
        <f t="shared" si="140"/>
        <v>13.045289712594224</v>
      </c>
      <c r="W131" s="20">
        <f t="shared" si="141"/>
        <v>771.13985903188427</v>
      </c>
      <c r="X131" s="4">
        <f t="shared" si="142"/>
        <v>0.58583149827625658</v>
      </c>
      <c r="Y131" s="4">
        <f t="shared" si="143"/>
        <v>138.38574598989081</v>
      </c>
      <c r="Z131" s="14">
        <f t="shared" si="144"/>
        <v>771.13985903188427</v>
      </c>
      <c r="AA131" s="14">
        <f t="shared" si="145"/>
        <v>5628.3916222821908</v>
      </c>
      <c r="AB131" s="25">
        <f t="shared" si="146"/>
        <v>176775.87429982563</v>
      </c>
      <c r="AC131" s="4">
        <f t="shared" si="147"/>
        <v>1290250.838777625</v>
      </c>
      <c r="AD131" s="5">
        <f t="shared" si="148"/>
        <v>13.700892027111713</v>
      </c>
      <c r="AE131" s="7">
        <f t="shared" si="149"/>
        <v>771.13985903188427</v>
      </c>
      <c r="AF131" s="4">
        <f t="shared" si="150"/>
        <v>0</v>
      </c>
      <c r="AG131" s="4">
        <f t="shared" si="151"/>
        <v>110.68622517165782</v>
      </c>
      <c r="AH131" s="4">
        <f t="shared" si="152"/>
        <v>552.4290282223227</v>
      </c>
      <c r="AI131" s="13">
        <f t="shared" si="153"/>
        <v>0</v>
      </c>
      <c r="AJ131" s="10">
        <f t="shared" si="154"/>
        <v>0</v>
      </c>
      <c r="AK131" s="11">
        <f t="shared" si="155"/>
        <v>0.66017328634757333</v>
      </c>
      <c r="AL131" s="7">
        <v>0</v>
      </c>
      <c r="AM131" s="4">
        <f t="shared" si="156"/>
        <v>132.52750937163952</v>
      </c>
      <c r="AN131" s="4">
        <f t="shared" si="157"/>
        <v>20.336678670805441</v>
      </c>
      <c r="AO131" s="6">
        <v>5</v>
      </c>
      <c r="AP131" s="4">
        <f t="shared" si="158"/>
        <v>0.71637981327519662</v>
      </c>
      <c r="AQ131" s="11">
        <f t="shared" si="159"/>
        <v>0.97937395000000005</v>
      </c>
      <c r="AR131" s="11">
        <f t="shared" si="160"/>
        <v>0.8962407041850623</v>
      </c>
      <c r="AS131" s="11">
        <f t="shared" si="161"/>
        <v>0.91511593113647982</v>
      </c>
      <c r="AT131" s="11">
        <f t="shared" si="162"/>
        <v>507.97188664649997</v>
      </c>
      <c r="AU131" s="11">
        <f t="shared" si="163"/>
        <v>1896.6425030105124</v>
      </c>
      <c r="AV131" s="11">
        <f t="shared" si="164"/>
        <v>2.1751390567182989E-3</v>
      </c>
      <c r="AW131" s="11">
        <f t="shared" si="165"/>
        <v>3.6770358841811742E-7</v>
      </c>
      <c r="AX131" s="4">
        <f t="shared" si="166"/>
        <v>14.912228989301589</v>
      </c>
      <c r="AY131" s="4">
        <f t="shared" si="167"/>
        <v>11.412082245223559</v>
      </c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</row>
    <row r="132" spans="1:64">
      <c r="A132" s="4" t="e">
        <f>#REF!</f>
        <v>#REF!</v>
      </c>
      <c r="B132" s="4">
        <f t="shared" si="127"/>
        <v>1584.5348996632649</v>
      </c>
      <c r="C132" s="4">
        <f t="shared" si="128"/>
        <v>26.40891499438775</v>
      </c>
      <c r="D132" s="23">
        <f t="shared" si="129"/>
        <v>10059.74287</v>
      </c>
      <c r="E132" s="41" t="e">
        <f>#REF!</f>
        <v>#REF!</v>
      </c>
      <c r="F132" s="7">
        <v>0</v>
      </c>
      <c r="G132" s="4"/>
      <c r="H132" s="6">
        <v>3000</v>
      </c>
      <c r="I132" s="5">
        <v>0</v>
      </c>
      <c r="J132" s="4">
        <f t="shared" si="130"/>
        <v>0.21545098297887788</v>
      </c>
      <c r="K132" s="4">
        <f t="shared" si="131"/>
        <v>238.04645796588818</v>
      </c>
      <c r="L132" s="6">
        <f t="shared" si="168"/>
        <v>135</v>
      </c>
      <c r="M132" s="4">
        <f t="shared" si="132"/>
        <v>141.03871760146129</v>
      </c>
      <c r="N132" s="4">
        <f t="shared" si="133"/>
        <v>61.628341215314876</v>
      </c>
      <c r="O132" s="4">
        <f t="shared" si="134"/>
        <v>1408156.3638325976</v>
      </c>
      <c r="P132" s="4">
        <f t="shared" si="135"/>
        <v>9041353.3449863326</v>
      </c>
      <c r="Q132" s="4">
        <f t="shared" si="136"/>
        <v>3.0395230257325868E-3</v>
      </c>
      <c r="R132" s="4">
        <f t="shared" si="137"/>
        <v>2.1556288072097439E-2</v>
      </c>
      <c r="S132" s="27">
        <v>0</v>
      </c>
      <c r="T132" s="4">
        <f t="shared" si="138"/>
        <v>0.70970614518814612</v>
      </c>
      <c r="U132" s="4">
        <f t="shared" si="139"/>
        <v>5.3367244168382802E-2</v>
      </c>
      <c r="V132" s="4">
        <f t="shared" si="140"/>
        <v>13.298534639504743</v>
      </c>
      <c r="W132" s="20">
        <f t="shared" si="141"/>
        <v>756.4549886659272</v>
      </c>
      <c r="X132" s="4">
        <f t="shared" si="142"/>
        <v>0.58422104059993563</v>
      </c>
      <c r="Y132" s="4">
        <f t="shared" si="143"/>
        <v>138.38574598989084</v>
      </c>
      <c r="Z132" s="14">
        <f t="shared" si="144"/>
        <v>756.4549886659272</v>
      </c>
      <c r="AA132" s="14">
        <f t="shared" si="145"/>
        <v>5628.3916222821908</v>
      </c>
      <c r="AB132" s="25">
        <f t="shared" si="146"/>
        <v>180071.43066255006</v>
      </c>
      <c r="AC132" s="4">
        <f t="shared" si="147"/>
        <v>1339818.6897291548</v>
      </c>
      <c r="AD132" s="5">
        <f t="shared" si="148"/>
        <v>13.439984980277565</v>
      </c>
      <c r="AE132" s="7">
        <f t="shared" si="149"/>
        <v>756.4549886659272</v>
      </c>
      <c r="AF132" s="4">
        <f t="shared" si="150"/>
        <v>0</v>
      </c>
      <c r="AG132" s="4">
        <f t="shared" si="151"/>
        <v>115.28597440846963</v>
      </c>
      <c r="AH132" s="4">
        <f t="shared" si="152"/>
        <v>544.49004984179328</v>
      </c>
      <c r="AI132" s="13">
        <f t="shared" si="153"/>
        <v>0</v>
      </c>
      <c r="AJ132" s="10">
        <f t="shared" si="154"/>
        <v>0</v>
      </c>
      <c r="AK132" s="11">
        <f t="shared" si="155"/>
        <v>0.68760787963442027</v>
      </c>
      <c r="AL132" s="7">
        <v>0</v>
      </c>
      <c r="AM132" s="4">
        <f t="shared" si="156"/>
        <v>127.62452967605191</v>
      </c>
      <c r="AN132" s="4">
        <f t="shared" si="157"/>
        <v>19.302857367874701</v>
      </c>
      <c r="AO132" s="6">
        <v>5</v>
      </c>
      <c r="AP132" s="4">
        <f t="shared" si="158"/>
        <v>0.71979173645486538</v>
      </c>
      <c r="AQ132" s="11">
        <f t="shared" si="159"/>
        <v>0.97937395000000005</v>
      </c>
      <c r="AR132" s="11">
        <f t="shared" si="160"/>
        <v>0.8962407041850623</v>
      </c>
      <c r="AS132" s="11">
        <f t="shared" si="161"/>
        <v>0.91511593113647982</v>
      </c>
      <c r="AT132" s="11">
        <f t="shared" si="162"/>
        <v>507.97188664649997</v>
      </c>
      <c r="AU132" s="11">
        <f t="shared" si="163"/>
        <v>1896.6425030105124</v>
      </c>
      <c r="AV132" s="11">
        <f t="shared" si="164"/>
        <v>2.1751390567182989E-3</v>
      </c>
      <c r="AW132" s="11">
        <f t="shared" si="165"/>
        <v>3.6770358841811742E-7</v>
      </c>
      <c r="AX132" s="4">
        <f t="shared" si="166"/>
        <v>15.785724026956956</v>
      </c>
      <c r="AY132" s="4">
        <f t="shared" si="167"/>
        <v>11.20322534817552</v>
      </c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</row>
    <row r="133" spans="1:64">
      <c r="A133" s="4" t="e">
        <f>#REF!</f>
        <v>#REF!</v>
      </c>
      <c r="B133" s="4">
        <f t="shared" si="127"/>
        <v>1584.5348996632649</v>
      </c>
      <c r="C133" s="4">
        <f t="shared" si="128"/>
        <v>26.40891499438775</v>
      </c>
      <c r="D133" s="23">
        <f t="shared" si="129"/>
        <v>10059.74287</v>
      </c>
      <c r="E133" s="41" t="e">
        <f>#REF!</f>
        <v>#REF!</v>
      </c>
      <c r="F133" s="7">
        <v>0</v>
      </c>
      <c r="G133" s="4"/>
      <c r="H133" s="6">
        <v>3000</v>
      </c>
      <c r="I133" s="5">
        <v>0</v>
      </c>
      <c r="J133" s="4">
        <f t="shared" si="130"/>
        <v>0.22342077393939572</v>
      </c>
      <c r="K133" s="4">
        <f t="shared" si="131"/>
        <v>246.85208271936551</v>
      </c>
      <c r="L133" s="6">
        <f t="shared" si="168"/>
        <v>140</v>
      </c>
      <c r="M133" s="4">
        <f t="shared" si="132"/>
        <v>146.25590937790057</v>
      </c>
      <c r="N133" s="4">
        <f t="shared" si="133"/>
        <v>66.272083209559582</v>
      </c>
      <c r="O133" s="4">
        <f t="shared" si="134"/>
        <v>1460245.7611716152</v>
      </c>
      <c r="P133" s="4">
        <f t="shared" si="135"/>
        <v>9375803.8782975879</v>
      </c>
      <c r="Q133" s="4">
        <f t="shared" si="136"/>
        <v>3.0208289316905118E-3</v>
      </c>
      <c r="R133" s="4">
        <f t="shared" si="137"/>
        <v>2.1442160627970573E-2</v>
      </c>
      <c r="S133" s="27">
        <v>0</v>
      </c>
      <c r="T133" s="4">
        <f t="shared" si="138"/>
        <v>0.65997642385793864</v>
      </c>
      <c r="U133" s="4">
        <f t="shared" si="139"/>
        <v>4.8951263928244351E-2</v>
      </c>
      <c r="V133" s="4">
        <f t="shared" si="140"/>
        <v>13.482316305976715</v>
      </c>
      <c r="W133" s="20">
        <f t="shared" si="141"/>
        <v>746.14351434111609</v>
      </c>
      <c r="X133" s="4">
        <f t="shared" si="142"/>
        <v>0.58267244048595634</v>
      </c>
      <c r="Y133" s="4">
        <f t="shared" si="143"/>
        <v>138.38574598989084</v>
      </c>
      <c r="Z133" s="14">
        <f t="shared" si="144"/>
        <v>746.14351434111609</v>
      </c>
      <c r="AA133" s="14">
        <f t="shared" si="145"/>
        <v>5628.3916222821908</v>
      </c>
      <c r="AB133" s="25">
        <f t="shared" si="146"/>
        <v>184187.08052265129</v>
      </c>
      <c r="AC133" s="4">
        <f t="shared" si="147"/>
        <v>1389380.1943205872</v>
      </c>
      <c r="AD133" s="5">
        <f t="shared" si="148"/>
        <v>13.256780345333736</v>
      </c>
      <c r="AE133" s="7">
        <f t="shared" si="149"/>
        <v>746.14351434111609</v>
      </c>
      <c r="AF133" s="4">
        <f t="shared" si="150"/>
        <v>0</v>
      </c>
      <c r="AG133" s="4">
        <f t="shared" si="151"/>
        <v>119.80357046620377</v>
      </c>
      <c r="AH133" s="4">
        <f t="shared" si="152"/>
        <v>539.5864887331976</v>
      </c>
      <c r="AI133" s="13">
        <f t="shared" si="153"/>
        <v>0</v>
      </c>
      <c r="AJ133" s="10">
        <f t="shared" si="154"/>
        <v>0</v>
      </c>
      <c r="AK133" s="11">
        <f t="shared" si="155"/>
        <v>0.71455248119798376</v>
      </c>
      <c r="AL133" s="7">
        <v>0</v>
      </c>
      <c r="AM133" s="4">
        <f t="shared" si="156"/>
        <v>123.07195023136495</v>
      </c>
      <c r="AN133" s="4">
        <f t="shared" si="157"/>
        <v>18.446655968580295</v>
      </c>
      <c r="AO133" s="6">
        <v>5</v>
      </c>
      <c r="AP133" s="4">
        <f t="shared" si="158"/>
        <v>0.72316716337028109</v>
      </c>
      <c r="AQ133" s="11">
        <f t="shared" si="159"/>
        <v>0.97937395000000005</v>
      </c>
      <c r="AR133" s="11">
        <f t="shared" si="160"/>
        <v>0.8962407041850623</v>
      </c>
      <c r="AS133" s="11">
        <f t="shared" si="161"/>
        <v>0.91511593113647982</v>
      </c>
      <c r="AT133" s="11">
        <f t="shared" si="162"/>
        <v>507.97188664649997</v>
      </c>
      <c r="AU133" s="11">
        <f t="shared" si="163"/>
        <v>1896.6425030105124</v>
      </c>
      <c r="AV133" s="11">
        <f t="shared" si="164"/>
        <v>2.1751390567182989E-3</v>
      </c>
      <c r="AW133" s="11">
        <f t="shared" si="165"/>
        <v>3.6770358841811742E-7</v>
      </c>
      <c r="AX133" s="4">
        <f t="shared" si="166"/>
        <v>16.59588057649486</v>
      </c>
      <c r="AY133" s="4">
        <f t="shared" si="167"/>
        <v>10.952889913648502</v>
      </c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</row>
    <row r="134" spans="1:64">
      <c r="A134" s="4" t="e">
        <f>#REF!</f>
        <v>#REF!</v>
      </c>
      <c r="B134" s="4">
        <f t="shared" si="127"/>
        <v>1584.5348996632649</v>
      </c>
      <c r="C134" s="4">
        <f t="shared" si="128"/>
        <v>26.40891499438775</v>
      </c>
      <c r="D134" s="23">
        <f t="shared" si="129"/>
        <v>10059.74287</v>
      </c>
      <c r="E134" s="41" t="e">
        <f>#REF!</f>
        <v>#REF!</v>
      </c>
      <c r="F134" s="7">
        <v>0</v>
      </c>
      <c r="G134" s="4"/>
      <c r="H134" s="6">
        <v>3000</v>
      </c>
      <c r="I134" s="5">
        <v>0</v>
      </c>
      <c r="J134" s="4">
        <f t="shared" si="130"/>
        <v>0.23138951028162422</v>
      </c>
      <c r="K134" s="4">
        <f t="shared" si="131"/>
        <v>255.65654225120022</v>
      </c>
      <c r="L134" s="6">
        <f t="shared" si="168"/>
        <v>145</v>
      </c>
      <c r="M134" s="4">
        <f t="shared" si="132"/>
        <v>151.47241077916013</v>
      </c>
      <c r="N134" s="4">
        <f t="shared" si="133"/>
        <v>71.083835402635202</v>
      </c>
      <c r="O134" s="4">
        <f t="shared" si="134"/>
        <v>1512328.2656785138</v>
      </c>
      <c r="P134" s="4">
        <f t="shared" si="135"/>
        <v>9710210.1547831539</v>
      </c>
      <c r="Q134" s="4">
        <f t="shared" si="136"/>
        <v>3.0028699121224744E-3</v>
      </c>
      <c r="R134" s="4">
        <f t="shared" si="137"/>
        <v>2.1332520813507706E-2</v>
      </c>
      <c r="S134" s="27">
        <v>0</v>
      </c>
      <c r="T134" s="4">
        <f t="shared" si="138"/>
        <v>0.61530180849863692</v>
      </c>
      <c r="U134" s="4">
        <f t="shared" si="139"/>
        <v>4.5243423613047166E-2</v>
      </c>
      <c r="V134" s="4">
        <f t="shared" si="140"/>
        <v>13.59980654340221</v>
      </c>
      <c r="W134" s="20">
        <f t="shared" si="141"/>
        <v>739.69749774715501</v>
      </c>
      <c r="X134" s="4">
        <f t="shared" si="142"/>
        <v>0.58118084705033635</v>
      </c>
      <c r="Y134" s="4">
        <f t="shared" si="143"/>
        <v>138.38574598989084</v>
      </c>
      <c r="Z134" s="14">
        <f t="shared" si="144"/>
        <v>739.69749774715501</v>
      </c>
      <c r="AA134" s="14">
        <f t="shared" si="145"/>
        <v>5628.3916222821908</v>
      </c>
      <c r="AB134" s="25">
        <f t="shared" si="146"/>
        <v>189108.50458590261</v>
      </c>
      <c r="AC134" s="4">
        <f t="shared" si="147"/>
        <v>1438935.1405882882</v>
      </c>
      <c r="AD134" s="5">
        <f t="shared" si="148"/>
        <v>13.142253549287028</v>
      </c>
      <c r="AE134" s="7">
        <f t="shared" si="149"/>
        <v>739.69749774715501</v>
      </c>
      <c r="AF134" s="4">
        <f t="shared" si="150"/>
        <v>0</v>
      </c>
      <c r="AG134" s="4">
        <f t="shared" si="151"/>
        <v>124.24041569984836</v>
      </c>
      <c r="AH134" s="4">
        <f t="shared" si="152"/>
        <v>537.39149181165442</v>
      </c>
      <c r="AI134" s="13">
        <f t="shared" si="153"/>
        <v>0</v>
      </c>
      <c r="AJ134" s="10">
        <f t="shared" si="154"/>
        <v>0</v>
      </c>
      <c r="AK134" s="11">
        <f t="shared" si="155"/>
        <v>0.74101545519829992</v>
      </c>
      <c r="AL134" s="7">
        <v>0</v>
      </c>
      <c r="AM134" s="4">
        <f t="shared" si="156"/>
        <v>118.83352161234946</v>
      </c>
      <c r="AN134" s="4">
        <f t="shared" si="157"/>
        <v>17.738923182359155</v>
      </c>
      <c r="AO134" s="6">
        <v>5</v>
      </c>
      <c r="AP134" s="4">
        <f t="shared" si="158"/>
        <v>0.72650170299122296</v>
      </c>
      <c r="AQ134" s="11">
        <f t="shared" si="159"/>
        <v>0.97937395000000005</v>
      </c>
      <c r="AR134" s="11">
        <f t="shared" si="160"/>
        <v>0.8962407041850623</v>
      </c>
      <c r="AS134" s="11">
        <f t="shared" si="161"/>
        <v>0.91511593113647982</v>
      </c>
      <c r="AT134" s="11">
        <f t="shared" si="162"/>
        <v>507.97188664649997</v>
      </c>
      <c r="AU134" s="11">
        <f t="shared" si="163"/>
        <v>1896.6425030105124</v>
      </c>
      <c r="AV134" s="11">
        <f t="shared" si="164"/>
        <v>2.1751390567182989E-3</v>
      </c>
      <c r="AW134" s="11">
        <f t="shared" si="165"/>
        <v>3.6770358841811742E-7</v>
      </c>
      <c r="AX134" s="4">
        <f t="shared" si="166"/>
        <v>17.337586258834044</v>
      </c>
      <c r="AY134" s="4">
        <f t="shared" si="167"/>
        <v>10.667848180061704</v>
      </c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</row>
    <row r="135" spans="1:64">
      <c r="A135" s="4" t="e">
        <f>#REF!</f>
        <v>#REF!</v>
      </c>
      <c r="B135" s="4">
        <f t="shared" si="127"/>
        <v>1584.5348996632649</v>
      </c>
      <c r="C135" s="4">
        <f t="shared" si="128"/>
        <v>26.40891499438775</v>
      </c>
      <c r="D135" s="23">
        <f t="shared" si="129"/>
        <v>10059.74287</v>
      </c>
      <c r="E135" s="41" t="e">
        <f>#REF!</f>
        <v>#REF!</v>
      </c>
      <c r="F135" s="7">
        <v>0</v>
      </c>
      <c r="G135" s="4"/>
      <c r="H135" s="6">
        <v>3000</v>
      </c>
      <c r="I135" s="5">
        <v>0</v>
      </c>
      <c r="J135" s="4">
        <f t="shared" si="130"/>
        <v>0.23935715830821067</v>
      </c>
      <c r="K135" s="4">
        <f t="shared" si="131"/>
        <v>264.4597993300215</v>
      </c>
      <c r="L135" s="6">
        <f t="shared" si="168"/>
        <v>150</v>
      </c>
      <c r="M135" s="4">
        <f t="shared" si="132"/>
        <v>156.68819974624847</v>
      </c>
      <c r="N135" s="4">
        <f t="shared" si="133"/>
        <v>76.063509432471548</v>
      </c>
      <c r="O135" s="4">
        <f t="shared" si="134"/>
        <v>1564403.6571122855</v>
      </c>
      <c r="P135" s="4">
        <f t="shared" si="135"/>
        <v>10044570.760341002</v>
      </c>
      <c r="Q135" s="4">
        <f t="shared" si="136"/>
        <v>2.985588747071772E-3</v>
      </c>
      <c r="R135" s="4">
        <f t="shared" si="137"/>
        <v>2.1227019300873166E-2</v>
      </c>
      <c r="S135" s="27">
        <v>0</v>
      </c>
      <c r="T135" s="4">
        <f t="shared" si="138"/>
        <v>0.57501964877246492</v>
      </c>
      <c r="U135" s="4">
        <f t="shared" si="139"/>
        <v>4.2109638110538458E-2</v>
      </c>
      <c r="V135" s="4">
        <f t="shared" si="140"/>
        <v>13.65529780291698</v>
      </c>
      <c r="W135" s="20">
        <f t="shared" si="141"/>
        <v>736.69157679234831</v>
      </c>
      <c r="X135" s="4">
        <f t="shared" si="142"/>
        <v>0.5797419299842721</v>
      </c>
      <c r="Y135" s="4">
        <f t="shared" si="143"/>
        <v>138.38574598989081</v>
      </c>
      <c r="Z135" s="14">
        <f t="shared" si="144"/>
        <v>736.69157679234831</v>
      </c>
      <c r="AA135" s="14">
        <f t="shared" si="145"/>
        <v>5628.3916222821908</v>
      </c>
      <c r="AB135" s="25">
        <f t="shared" si="146"/>
        <v>194825.30656662156</v>
      </c>
      <c r="AC135" s="4">
        <f t="shared" si="147"/>
        <v>1488483.3189795224</v>
      </c>
      <c r="AD135" s="5">
        <f t="shared" si="148"/>
        <v>13.088847156190525</v>
      </c>
      <c r="AE135" s="7">
        <f t="shared" si="149"/>
        <v>736.69157679234831</v>
      </c>
      <c r="AF135" s="4">
        <f t="shared" si="150"/>
        <v>0</v>
      </c>
      <c r="AG135" s="4">
        <f t="shared" si="151"/>
        <v>128.59752273299415</v>
      </c>
      <c r="AH135" s="4">
        <f t="shared" si="152"/>
        <v>537.63129977725953</v>
      </c>
      <c r="AI135" s="13">
        <f t="shared" si="153"/>
        <v>0</v>
      </c>
      <c r="AJ135" s="10">
        <f t="shared" si="154"/>
        <v>0</v>
      </c>
      <c r="AK135" s="11">
        <f t="shared" si="155"/>
        <v>0.76700284129425755</v>
      </c>
      <c r="AL135" s="7">
        <v>0</v>
      </c>
      <c r="AM135" s="4">
        <f t="shared" si="156"/>
        <v>114.87782761656861</v>
      </c>
      <c r="AN135" s="4">
        <f t="shared" si="157"/>
        <v>17.156087715856597</v>
      </c>
      <c r="AO135" s="6">
        <v>5</v>
      </c>
      <c r="AP135" s="4">
        <f t="shared" si="158"/>
        <v>0.72979156639495824</v>
      </c>
      <c r="AQ135" s="11">
        <f t="shared" si="159"/>
        <v>0.97937395000000005</v>
      </c>
      <c r="AR135" s="11">
        <f t="shared" si="160"/>
        <v>0.8962407041850623</v>
      </c>
      <c r="AS135" s="11">
        <f t="shared" si="161"/>
        <v>0.91511593113647982</v>
      </c>
      <c r="AT135" s="11">
        <f t="shared" si="162"/>
        <v>507.97188664649997</v>
      </c>
      <c r="AU135" s="11">
        <f t="shared" si="163"/>
        <v>1896.6425030105124</v>
      </c>
      <c r="AV135" s="11">
        <f t="shared" si="164"/>
        <v>2.1751390567182989E-3</v>
      </c>
      <c r="AW135" s="11">
        <f t="shared" si="165"/>
        <v>3.6770358841811742E-7</v>
      </c>
      <c r="AX135" s="4">
        <f t="shared" si="166"/>
        <v>18.007765783235023</v>
      </c>
      <c r="AY135" s="4">
        <f t="shared" si="167"/>
        <v>10.354819155852615</v>
      </c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</row>
    <row r="136" spans="1:64">
      <c r="A136" s="4" t="e">
        <f>#REF!</f>
        <v>#REF!</v>
      </c>
      <c r="B136" s="4">
        <f t="shared" si="127"/>
        <v>1584.5348996632649</v>
      </c>
      <c r="C136" s="4">
        <f t="shared" si="128"/>
        <v>26.40891499438775</v>
      </c>
      <c r="D136" s="23">
        <f t="shared" si="129"/>
        <v>10059.74287</v>
      </c>
      <c r="E136" s="41" t="e">
        <f>#REF!</f>
        <v>#REF!</v>
      </c>
      <c r="F136" s="7">
        <v>0</v>
      </c>
      <c r="G136" s="4"/>
      <c r="H136" s="6">
        <v>3000</v>
      </c>
      <c r="I136" s="5">
        <v>0</v>
      </c>
      <c r="J136" s="4">
        <f t="shared" si="130"/>
        <v>0.24732368472035268</v>
      </c>
      <c r="K136" s="4">
        <f t="shared" si="131"/>
        <v>273.26181716480676</v>
      </c>
      <c r="L136" s="6">
        <f t="shared" si="168"/>
        <v>155</v>
      </c>
      <c r="M136" s="4">
        <f t="shared" si="132"/>
        <v>161.90325448107336</v>
      </c>
      <c r="N136" s="4">
        <f t="shared" si="133"/>
        <v>81.21101435630591</v>
      </c>
      <c r="O136" s="4">
        <f t="shared" si="134"/>
        <v>1616471.7178367891</v>
      </c>
      <c r="P136" s="4">
        <f t="shared" si="135"/>
        <v>10378884.297594175</v>
      </c>
      <c r="Q136" s="4">
        <f t="shared" si="136"/>
        <v>2.9689342944254223E-3</v>
      </c>
      <c r="R136" s="4">
        <f t="shared" si="137"/>
        <v>2.1125343867467204E-2</v>
      </c>
      <c r="S136" s="27">
        <v>0</v>
      </c>
      <c r="T136" s="4">
        <f t="shared" si="138"/>
        <v>0.53857241933174649</v>
      </c>
      <c r="U136" s="4">
        <f t="shared" si="139"/>
        <v>3.9444598914933945E-2</v>
      </c>
      <c r="V136" s="4">
        <f t="shared" si="140"/>
        <v>13.653895188368615</v>
      </c>
      <c r="W136" s="20">
        <f t="shared" si="141"/>
        <v>736.76725441466874</v>
      </c>
      <c r="X136" s="4">
        <f t="shared" si="142"/>
        <v>0.57835180858791257</v>
      </c>
      <c r="Y136" s="4">
        <f t="shared" si="143"/>
        <v>138.38574598989084</v>
      </c>
      <c r="Z136" s="14">
        <f t="shared" si="144"/>
        <v>736.76725441466874</v>
      </c>
      <c r="AA136" s="14">
        <f t="shared" si="145"/>
        <v>5628.3916222821908</v>
      </c>
      <c r="AB136" s="25">
        <f t="shared" si="146"/>
        <v>201330.35876887786</v>
      </c>
      <c r="AC136" s="4">
        <f t="shared" si="147"/>
        <v>1538024.5224200061</v>
      </c>
      <c r="AD136" s="5">
        <f t="shared" si="148"/>
        <v>13.090191725428046</v>
      </c>
      <c r="AE136" s="7">
        <f t="shared" si="149"/>
        <v>736.76725441466874</v>
      </c>
      <c r="AF136" s="4">
        <f t="shared" si="150"/>
        <v>0</v>
      </c>
      <c r="AG136" s="4">
        <f t="shared" si="151"/>
        <v>132.87557951778228</v>
      </c>
      <c r="AH136" s="4">
        <f t="shared" si="152"/>
        <v>540.07515633631579</v>
      </c>
      <c r="AI136" s="13">
        <f t="shared" si="153"/>
        <v>0</v>
      </c>
      <c r="AJ136" s="10">
        <f t="shared" si="154"/>
        <v>0</v>
      </c>
      <c r="AK136" s="11">
        <f t="shared" si="155"/>
        <v>0.79251874268501421</v>
      </c>
      <c r="AL136" s="7">
        <v>0</v>
      </c>
      <c r="AM136" s="4">
        <f t="shared" si="156"/>
        <v>111.17750571285902</v>
      </c>
      <c r="AN136" s="4">
        <f t="shared" si="157"/>
        <v>16.678946883042769</v>
      </c>
      <c r="AO136" s="6">
        <v>5</v>
      </c>
      <c r="AP136" s="4">
        <f t="shared" si="158"/>
        <v>0.73303360471059931</v>
      </c>
      <c r="AQ136" s="11">
        <f t="shared" si="159"/>
        <v>0.97937395000000005</v>
      </c>
      <c r="AR136" s="11">
        <f t="shared" si="160"/>
        <v>0.8962407041850623</v>
      </c>
      <c r="AS136" s="11">
        <f t="shared" si="161"/>
        <v>0.91511593113647982</v>
      </c>
      <c r="AT136" s="11">
        <f t="shared" si="162"/>
        <v>507.97188664649997</v>
      </c>
      <c r="AU136" s="11">
        <f t="shared" si="163"/>
        <v>1896.6425030105124</v>
      </c>
      <c r="AV136" s="11">
        <f t="shared" si="164"/>
        <v>2.1751390567182989E-3</v>
      </c>
      <c r="AW136" s="11">
        <f t="shared" si="165"/>
        <v>3.6770358841811742E-7</v>
      </c>
      <c r="AX136" s="4">
        <f t="shared" si="166"/>
        <v>18.60520716604665</v>
      </c>
      <c r="AY136" s="4">
        <f t="shared" si="167"/>
        <v>10.020251435586092</v>
      </c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</row>
    <row r="137" spans="1:64">
      <c r="A137" s="4" t="e">
        <f>#REF!</f>
        <v>#REF!</v>
      </c>
      <c r="B137" s="4">
        <f t="shared" si="127"/>
        <v>1584.5348996632649</v>
      </c>
      <c r="C137" s="4">
        <f t="shared" si="128"/>
        <v>26.40891499438775</v>
      </c>
      <c r="D137" s="23">
        <f t="shared" si="129"/>
        <v>10059.74287</v>
      </c>
      <c r="E137" s="41" t="e">
        <f>#REF!</f>
        <v>#REF!</v>
      </c>
      <c r="F137" s="7">
        <v>0</v>
      </c>
      <c r="G137" s="4"/>
      <c r="H137" s="6">
        <v>3000</v>
      </c>
      <c r="I137" s="5">
        <v>0</v>
      </c>
      <c r="J137" s="4">
        <f t="shared" si="130"/>
        <v>0.25528905662835483</v>
      </c>
      <c r="K137" s="4">
        <f t="shared" si="131"/>
        <v>282.0625594165457</v>
      </c>
      <c r="L137" s="6">
        <f t="shared" si="168"/>
        <v>160</v>
      </c>
      <c r="M137" s="4">
        <f t="shared" si="132"/>
        <v>167.11755345335266</v>
      </c>
      <c r="N137" s="4">
        <f t="shared" si="133"/>
        <v>86.526256700975679</v>
      </c>
      <c r="O137" s="4">
        <f t="shared" si="134"/>
        <v>1668532.2328897479</v>
      </c>
      <c r="P137" s="4">
        <f t="shared" si="135"/>
        <v>10713149.386333806</v>
      </c>
      <c r="Q137" s="4">
        <f t="shared" si="136"/>
        <v>2.9528606736005524E-3</v>
      </c>
      <c r="R137" s="4">
        <f t="shared" si="137"/>
        <v>2.1027214412331373E-2</v>
      </c>
      <c r="S137" s="27">
        <v>0</v>
      </c>
      <c r="T137" s="4">
        <f t="shared" si="138"/>
        <v>0.50548832395944476</v>
      </c>
      <c r="U137" s="4">
        <f t="shared" si="139"/>
        <v>3.7164922220998035E-2</v>
      </c>
      <c r="V137" s="4">
        <f t="shared" si="140"/>
        <v>13.601221091049286</v>
      </c>
      <c r="W137" s="20">
        <f t="shared" si="141"/>
        <v>739.62056808415036</v>
      </c>
      <c r="X137" s="4">
        <f t="shared" si="142"/>
        <v>0.57700699242653708</v>
      </c>
      <c r="Y137" s="4">
        <f t="shared" si="143"/>
        <v>138.38574598989084</v>
      </c>
      <c r="Z137" s="14">
        <f t="shared" si="144"/>
        <v>739.62056808415036</v>
      </c>
      <c r="AA137" s="14">
        <f t="shared" si="145"/>
        <v>5628.3916222821908</v>
      </c>
      <c r="AB137" s="25">
        <f t="shared" si="146"/>
        <v>208619.27043093494</v>
      </c>
      <c r="AC137" s="4">
        <f t="shared" si="147"/>
        <v>1587558.5463795585</v>
      </c>
      <c r="AD137" s="5">
        <f t="shared" si="148"/>
        <v>13.140886734961244</v>
      </c>
      <c r="AE137" s="7">
        <f t="shared" si="149"/>
        <v>739.62056808415036</v>
      </c>
      <c r="AF137" s="4">
        <f t="shared" si="150"/>
        <v>0</v>
      </c>
      <c r="AG137" s="4">
        <f t="shared" si="151"/>
        <v>137.07500219124623</v>
      </c>
      <c r="AH137" s="4">
        <f t="shared" si="152"/>
        <v>544.52740400261496</v>
      </c>
      <c r="AI137" s="13">
        <f t="shared" si="153"/>
        <v>0</v>
      </c>
      <c r="AJ137" s="10">
        <f t="shared" si="154"/>
        <v>0</v>
      </c>
      <c r="AK137" s="11">
        <f t="shared" si="155"/>
        <v>0.81756564136462606</v>
      </c>
      <c r="AL137" s="7">
        <v>0</v>
      </c>
      <c r="AM137" s="4">
        <f t="shared" si="156"/>
        <v>107.70861365574216</v>
      </c>
      <c r="AN137" s="4">
        <f t="shared" si="157"/>
        <v>16.291747717411631</v>
      </c>
      <c r="AO137" s="6">
        <v>5</v>
      </c>
      <c r="AP137" s="4">
        <f t="shared" si="158"/>
        <v>0.73622533972130066</v>
      </c>
      <c r="AQ137" s="11">
        <f t="shared" si="159"/>
        <v>0.97937395000000005</v>
      </c>
      <c r="AR137" s="11">
        <f t="shared" si="160"/>
        <v>0.8962407041850623</v>
      </c>
      <c r="AS137" s="11">
        <f t="shared" si="161"/>
        <v>0.91511593113647982</v>
      </c>
      <c r="AT137" s="11">
        <f t="shared" si="162"/>
        <v>507.97188664649997</v>
      </c>
      <c r="AU137" s="11">
        <f t="shared" si="163"/>
        <v>1896.6425030105124</v>
      </c>
      <c r="AV137" s="11">
        <f t="shared" si="164"/>
        <v>2.1751390567182989E-3</v>
      </c>
      <c r="AW137" s="11">
        <f t="shared" si="165"/>
        <v>3.6770358841811742E-7</v>
      </c>
      <c r="AX137" s="4">
        <f t="shared" si="166"/>
        <v>19.130324462121038</v>
      </c>
      <c r="AY137" s="4">
        <f t="shared" si="167"/>
        <v>9.6701556491579321</v>
      </c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</row>
    <row r="138" spans="1:64">
      <c r="A138" s="4" t="e">
        <f>#REF!</f>
        <v>#REF!</v>
      </c>
      <c r="B138" s="4">
        <f t="shared" si="127"/>
        <v>1584.5348996632649</v>
      </c>
      <c r="C138" s="4">
        <f t="shared" si="128"/>
        <v>26.40891499438775</v>
      </c>
      <c r="D138" s="23">
        <f t="shared" si="129"/>
        <v>10059.74287</v>
      </c>
      <c r="E138" s="41" t="e">
        <f>#REF!</f>
        <v>#REF!</v>
      </c>
      <c r="F138" s="7">
        <v>0</v>
      </c>
      <c r="G138" s="4"/>
      <c r="H138" s="6">
        <v>3000</v>
      </c>
      <c r="I138" s="5">
        <v>0</v>
      </c>
      <c r="J138" s="4">
        <f t="shared" si="130"/>
        <v>0.2632532415619146</v>
      </c>
      <c r="K138" s="4">
        <f t="shared" si="131"/>
        <v>290.86199020960487</v>
      </c>
      <c r="L138" s="6">
        <f t="shared" si="168"/>
        <v>165</v>
      </c>
      <c r="M138" s="4">
        <f t="shared" si="132"/>
        <v>172.33107540734753</v>
      </c>
      <c r="N138" s="4">
        <f t="shared" si="133"/>
        <v>92.009140514372405</v>
      </c>
      <c r="O138" s="4">
        <f t="shared" si="134"/>
        <v>1720584.9900499759</v>
      </c>
      <c r="P138" s="4">
        <f t="shared" si="135"/>
        <v>11047364.663950758</v>
      </c>
      <c r="Q138" s="4">
        <f t="shared" si="136"/>
        <v>2.937326580635561E-3</v>
      </c>
      <c r="R138" s="4">
        <f t="shared" si="137"/>
        <v>2.0932378774780099E-2</v>
      </c>
      <c r="S138" s="27">
        <v>0</v>
      </c>
      <c r="T138" s="4">
        <f t="shared" si="138"/>
        <v>0.47536594988004172</v>
      </c>
      <c r="U138" s="4">
        <f t="shared" si="139"/>
        <v>3.5204079546504584E-2</v>
      </c>
      <c r="V138" s="4">
        <f t="shared" si="140"/>
        <v>13.503149521409398</v>
      </c>
      <c r="W138" s="20">
        <f t="shared" si="141"/>
        <v>744.99233338490126</v>
      </c>
      <c r="X138" s="4">
        <f t="shared" si="142"/>
        <v>0.57570433140656552</v>
      </c>
      <c r="Y138" s="4">
        <f t="shared" si="143"/>
        <v>138.38574598989084</v>
      </c>
      <c r="Z138" s="14">
        <f t="shared" si="144"/>
        <v>744.99233338490126</v>
      </c>
      <c r="AA138" s="14">
        <f t="shared" si="145"/>
        <v>5628.3916222821908</v>
      </c>
      <c r="AB138" s="25">
        <f t="shared" si="146"/>
        <v>216689.95277922985</v>
      </c>
      <c r="AC138" s="4">
        <f t="shared" si="147"/>
        <v>1637085.1889360647</v>
      </c>
      <c r="AD138" s="5">
        <f t="shared" si="148"/>
        <v>13.236327238416701</v>
      </c>
      <c r="AE138" s="7">
        <f t="shared" si="149"/>
        <v>744.99233338490126</v>
      </c>
      <c r="AF138" s="4">
        <f t="shared" si="150"/>
        <v>0</v>
      </c>
      <c r="AG138" s="4">
        <f t="shared" si="151"/>
        <v>141.19597831796617</v>
      </c>
      <c r="AH138" s="4">
        <f t="shared" si="152"/>
        <v>550.82124699396866</v>
      </c>
      <c r="AI138" s="13">
        <f t="shared" si="153"/>
        <v>0</v>
      </c>
      <c r="AJ138" s="10">
        <f t="shared" si="154"/>
        <v>0</v>
      </c>
      <c r="AK138" s="11">
        <f t="shared" si="155"/>
        <v>0.84214465603711508</v>
      </c>
      <c r="AL138" s="7">
        <v>0</v>
      </c>
      <c r="AM138" s="4">
        <f t="shared" si="156"/>
        <v>104.4501112608536</v>
      </c>
      <c r="AN138" s="4">
        <f t="shared" si="157"/>
        <v>15.981483481489485</v>
      </c>
      <c r="AO138" s="6">
        <v>5</v>
      </c>
      <c r="AP138" s="4">
        <f t="shared" si="158"/>
        <v>0.73936498714193633</v>
      </c>
      <c r="AQ138" s="11">
        <f t="shared" si="159"/>
        <v>0.97937395000000005</v>
      </c>
      <c r="AR138" s="11">
        <f t="shared" si="160"/>
        <v>0.8962407041850623</v>
      </c>
      <c r="AS138" s="11">
        <f t="shared" si="161"/>
        <v>0.91511593113647982</v>
      </c>
      <c r="AT138" s="11">
        <f t="shared" si="162"/>
        <v>507.97188664649997</v>
      </c>
      <c r="AU138" s="11">
        <f t="shared" si="163"/>
        <v>1896.6425030105124</v>
      </c>
      <c r="AV138" s="11">
        <f t="shared" si="164"/>
        <v>2.1751390567182989E-3</v>
      </c>
      <c r="AW138" s="11">
        <f t="shared" si="165"/>
        <v>3.6770358841811742E-7</v>
      </c>
      <c r="AX138" s="4">
        <f t="shared" si="166"/>
        <v>19.584885709786956</v>
      </c>
      <c r="AY138" s="4">
        <f t="shared" si="167"/>
        <v>9.3099877987249329</v>
      </c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</row>
    <row r="139" spans="1:64">
      <c r="A139" s="4" t="e">
        <f>#REF!</f>
        <v>#REF!</v>
      </c>
      <c r="B139" s="4">
        <f t="shared" si="127"/>
        <v>1584.5348996632649</v>
      </c>
      <c r="C139" s="4">
        <f t="shared" si="128"/>
        <v>26.40891499438775</v>
      </c>
      <c r="D139" s="23">
        <f t="shared" si="129"/>
        <v>10059.74287</v>
      </c>
      <c r="E139" s="41" t="e">
        <f>#REF!</f>
        <v>#REF!</v>
      </c>
      <c r="F139" s="7">
        <v>0</v>
      </c>
      <c r="G139" s="4"/>
      <c r="H139" s="6">
        <v>3000</v>
      </c>
      <c r="I139" s="5">
        <v>0</v>
      </c>
      <c r="J139" s="4">
        <f t="shared" si="130"/>
        <v>0.27121620748008923</v>
      </c>
      <c r="K139" s="4">
        <f t="shared" si="131"/>
        <v>299.66007414273963</v>
      </c>
      <c r="L139" s="6">
        <f t="shared" si="168"/>
        <v>170</v>
      </c>
      <c r="M139" s="4">
        <f t="shared" si="132"/>
        <v>177.54379936838694</v>
      </c>
      <c r="N139" s="4">
        <f t="shared" si="133"/>
        <v>97.659567417980199</v>
      </c>
      <c r="O139" s="4">
        <f t="shared" si="134"/>
        <v>1772629.7799025197</v>
      </c>
      <c r="P139" s="4">
        <f t="shared" si="135"/>
        <v>11381528.785853876</v>
      </c>
      <c r="Q139" s="4">
        <f t="shared" si="136"/>
        <v>2.922294710241774E-3</v>
      </c>
      <c r="R139" s="4">
        <f t="shared" si="137"/>
        <v>2.0840609206026029E-2</v>
      </c>
      <c r="S139" s="27">
        <v>0</v>
      </c>
      <c r="T139" s="4">
        <f t="shared" si="138"/>
        <v>0.44786203374282219</v>
      </c>
      <c r="U139" s="4">
        <f t="shared" si="139"/>
        <v>3.3508610138247831E-2</v>
      </c>
      <c r="V139" s="4">
        <f t="shared" si="140"/>
        <v>13.365580723732188</v>
      </c>
      <c r="W139" s="20">
        <f t="shared" si="141"/>
        <v>752.66036530217673</v>
      </c>
      <c r="X139" s="4">
        <f t="shared" si="142"/>
        <v>0.57444097353954082</v>
      </c>
      <c r="Y139" s="4">
        <f t="shared" si="143"/>
        <v>138.38574598989081</v>
      </c>
      <c r="Z139" s="14">
        <f t="shared" si="144"/>
        <v>752.66036530217673</v>
      </c>
      <c r="AA139" s="14">
        <f t="shared" si="145"/>
        <v>5628.3916222821908</v>
      </c>
      <c r="AB139" s="25">
        <f t="shared" si="146"/>
        <v>225542.26087075178</v>
      </c>
      <c r="AC139" s="4">
        <f t="shared" si="147"/>
        <v>1686604.250837456</v>
      </c>
      <c r="AD139" s="5">
        <f t="shared" si="148"/>
        <v>13.372565660187471</v>
      </c>
      <c r="AE139" s="7">
        <f t="shared" si="149"/>
        <v>752.66036530217684</v>
      </c>
      <c r="AF139" s="4">
        <f t="shared" si="150"/>
        <v>0</v>
      </c>
      <c r="AG139" s="4">
        <f t="shared" si="151"/>
        <v>145.23850249928947</v>
      </c>
      <c r="AH139" s="4">
        <f t="shared" si="152"/>
        <v>558.81379657998593</v>
      </c>
      <c r="AI139" s="13">
        <f t="shared" si="153"/>
        <v>3.3865086474832601E-15</v>
      </c>
      <c r="AJ139" s="10">
        <f t="shared" si="154"/>
        <v>6.4750919300955079E-16</v>
      </c>
      <c r="AK139" s="11">
        <f t="shared" si="155"/>
        <v>0.86625575450293468</v>
      </c>
      <c r="AL139" s="7">
        <v>0</v>
      </c>
      <c r="AM139" s="4">
        <f t="shared" si="156"/>
        <v>101.38343363178608</v>
      </c>
      <c r="AN139" s="4">
        <f t="shared" si="157"/>
        <v>15.737350405025948</v>
      </c>
      <c r="AO139" s="6">
        <v>5</v>
      </c>
      <c r="AP139" s="4">
        <f t="shared" si="158"/>
        <v>0.74245147259167055</v>
      </c>
      <c r="AQ139" s="11">
        <f t="shared" si="159"/>
        <v>0.97937395000000005</v>
      </c>
      <c r="AR139" s="11">
        <f t="shared" si="160"/>
        <v>0.8962407041850623</v>
      </c>
      <c r="AS139" s="11">
        <f t="shared" si="161"/>
        <v>0.91511593113647982</v>
      </c>
      <c r="AT139" s="11">
        <f t="shared" si="162"/>
        <v>507.97188664649997</v>
      </c>
      <c r="AU139" s="11">
        <f t="shared" si="163"/>
        <v>1896.6425030105124</v>
      </c>
      <c r="AV139" s="11">
        <f t="shared" si="164"/>
        <v>2.1751390567182989E-3</v>
      </c>
      <c r="AW139" s="11">
        <f t="shared" si="165"/>
        <v>3.6770358841811742E-7</v>
      </c>
      <c r="AX139" s="4">
        <f t="shared" si="166"/>
        <v>19.971731064615202</v>
      </c>
      <c r="AY139" s="4">
        <f t="shared" si="167"/>
        <v>8.9445800919632639</v>
      </c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</row>
    <row r="140" spans="1:64">
      <c r="A140" s="4" t="e">
        <f>#REF!</f>
        <v>#REF!</v>
      </c>
      <c r="B140" s="4">
        <f t="shared" si="127"/>
        <v>1584.5348996632649</v>
      </c>
      <c r="C140" s="4">
        <f t="shared" si="128"/>
        <v>26.40891499438775</v>
      </c>
      <c r="D140" s="23">
        <f t="shared" si="129"/>
        <v>10059.74287</v>
      </c>
      <c r="E140" s="41" t="e">
        <f>#REF!</f>
        <v>#REF!</v>
      </c>
      <c r="F140" s="7">
        <v>0</v>
      </c>
      <c r="G140" s="4"/>
      <c r="H140" s="6">
        <v>3000</v>
      </c>
      <c r="I140" s="5">
        <v>0</v>
      </c>
      <c r="J140" s="4">
        <f t="shared" si="130"/>
        <v>0.27917792278096465</v>
      </c>
      <c r="K140" s="4">
        <f t="shared" si="131"/>
        <v>308.4567762997774</v>
      </c>
      <c r="L140" s="6">
        <f t="shared" si="168"/>
        <v>175</v>
      </c>
      <c r="M140" s="4">
        <f t="shared" si="132"/>
        <v>182.75570464919733</v>
      </c>
      <c r="N140" s="4">
        <f t="shared" si="133"/>
        <v>103.47743666046591</v>
      </c>
      <c r="O140" s="4">
        <f t="shared" si="134"/>
        <v>1824666.3959018544</v>
      </c>
      <c r="P140" s="4">
        <f t="shared" si="135"/>
        <v>11715640.425875755</v>
      </c>
      <c r="Q140" s="4">
        <f t="shared" si="136"/>
        <v>2.9077312654949626E-3</v>
      </c>
      <c r="R140" s="4">
        <f t="shared" si="137"/>
        <v>2.0751699375846745E-2</v>
      </c>
      <c r="S140" s="27">
        <v>0</v>
      </c>
      <c r="T140" s="4">
        <f t="shared" si="138"/>
        <v>0.42268163852739887</v>
      </c>
      <c r="U140" s="4">
        <f t="shared" si="139"/>
        <v>3.2035264906380909E-2</v>
      </c>
      <c r="V140" s="4">
        <f t="shared" si="140"/>
        <v>13.19426075490974</v>
      </c>
      <c r="W140" s="20">
        <f t="shared" si="141"/>
        <v>762.4332319077937</v>
      </c>
      <c r="X140" s="4">
        <f t="shared" si="142"/>
        <v>0.57321432902158564</v>
      </c>
      <c r="Y140" s="4">
        <f t="shared" si="143"/>
        <v>138.38574598989081</v>
      </c>
      <c r="Z140" s="14">
        <f t="shared" si="144"/>
        <v>762.4332319077937</v>
      </c>
      <c r="AA140" s="14">
        <f t="shared" si="145"/>
        <v>5628.3916222821908</v>
      </c>
      <c r="AB140" s="25">
        <f t="shared" si="146"/>
        <v>235177.69685809861</v>
      </c>
      <c r="AC140" s="4">
        <f t="shared" si="147"/>
        <v>1736115.5355618389</v>
      </c>
      <c r="AD140" s="5">
        <f t="shared" si="148"/>
        <v>13.546200816755597</v>
      </c>
      <c r="AE140" s="7">
        <f t="shared" si="149"/>
        <v>762.4332319077937</v>
      </c>
      <c r="AF140" s="4">
        <f t="shared" si="150"/>
        <v>0</v>
      </c>
      <c r="AG140" s="4">
        <f t="shared" si="151"/>
        <v>149.20240587657688</v>
      </c>
      <c r="AH140" s="4">
        <f t="shared" si="152"/>
        <v>568.3821111416537</v>
      </c>
      <c r="AI140" s="13">
        <f t="shared" si="153"/>
        <v>0</v>
      </c>
      <c r="AJ140" s="10">
        <f t="shared" si="154"/>
        <v>0</v>
      </c>
      <c r="AK140" s="11">
        <f t="shared" si="155"/>
        <v>0.88989792962716274</v>
      </c>
      <c r="AL140" s="7">
        <v>0</v>
      </c>
      <c r="AM140" s="4">
        <f t="shared" si="156"/>
        <v>98.492137548052497</v>
      </c>
      <c r="AN140" s="4">
        <f t="shared" si="157"/>
        <v>15.550324741782282</v>
      </c>
      <c r="AO140" s="6">
        <v>5</v>
      </c>
      <c r="AP140" s="4">
        <f t="shared" si="158"/>
        <v>0.74548444028262406</v>
      </c>
      <c r="AQ140" s="11">
        <f t="shared" si="159"/>
        <v>0.97937395000000005</v>
      </c>
      <c r="AR140" s="11">
        <f t="shared" si="160"/>
        <v>0.8962407041850623</v>
      </c>
      <c r="AS140" s="11">
        <f t="shared" si="161"/>
        <v>0.91511593113647982</v>
      </c>
      <c r="AT140" s="11">
        <f t="shared" si="162"/>
        <v>507.97188664649997</v>
      </c>
      <c r="AU140" s="11">
        <f t="shared" si="163"/>
        <v>1896.6425030105124</v>
      </c>
      <c r="AV140" s="11">
        <f t="shared" si="164"/>
        <v>2.1751390567182989E-3</v>
      </c>
      <c r="AW140" s="11">
        <f t="shared" si="165"/>
        <v>3.6770358841811742E-7</v>
      </c>
      <c r="AX140" s="4">
        <f t="shared" si="166"/>
        <v>20.29450072694074</v>
      </c>
      <c r="AY140" s="4">
        <f t="shared" si="167"/>
        <v>8.5781128203588004</v>
      </c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</row>
    <row r="141" spans="1:64">
      <c r="A141" s="4" t="e">
        <f>#REF!</f>
        <v>#REF!</v>
      </c>
      <c r="B141" s="4">
        <f t="shared" si="127"/>
        <v>1584.5348996632649</v>
      </c>
      <c r="C141" s="4">
        <f t="shared" si="128"/>
        <v>26.40891499438775</v>
      </c>
      <c r="D141" s="23">
        <f t="shared" si="129"/>
        <v>10059.74287</v>
      </c>
      <c r="E141" s="41" t="e">
        <f>#REF!</f>
        <v>#REF!</v>
      </c>
      <c r="F141" s="7">
        <v>0</v>
      </c>
      <c r="G141" s="4"/>
      <c r="H141" s="6">
        <v>3000</v>
      </c>
      <c r="I141" s="5">
        <v>0</v>
      </c>
      <c r="J141" s="4">
        <f t="shared" si="130"/>
        <v>0.28713835631100121</v>
      </c>
      <c r="K141" s="4">
        <f t="shared" si="131"/>
        <v>317.25206225994344</v>
      </c>
      <c r="L141" s="6">
        <f t="shared" si="168"/>
        <v>180</v>
      </c>
      <c r="M141" s="4">
        <f t="shared" si="132"/>
        <v>187.96677085602033</v>
      </c>
      <c r="N141" s="4">
        <f t="shared" si="133"/>
        <v>109.46264517225485</v>
      </c>
      <c r="O141" s="4">
        <f t="shared" si="134"/>
        <v>1876694.6344329654</v>
      </c>
      <c r="P141" s="4">
        <f t="shared" si="135"/>
        <v>12049698.276664922</v>
      </c>
      <c r="Q141" s="4">
        <f t="shared" si="136"/>
        <v>2.8936055397819796E-3</v>
      </c>
      <c r="R141" s="4">
        <f t="shared" si="137"/>
        <v>2.0665461820368984E-2</v>
      </c>
      <c r="S141" s="27">
        <v>0</v>
      </c>
      <c r="T141" s="4">
        <f t="shared" si="138"/>
        <v>0.39957021328539027</v>
      </c>
      <c r="U141" s="4">
        <f t="shared" si="139"/>
        <v>3.0748834101790461E-2</v>
      </c>
      <c r="V141" s="4">
        <f t="shared" si="140"/>
        <v>12.994645974629778</v>
      </c>
      <c r="W141" s="20">
        <f t="shared" si="141"/>
        <v>774.14520485130834</v>
      </c>
      <c r="X141" s="4">
        <f t="shared" si="142"/>
        <v>0.57202203953263386</v>
      </c>
      <c r="Y141" s="4">
        <f t="shared" si="143"/>
        <v>138.38574598989084</v>
      </c>
      <c r="Z141" s="14">
        <f t="shared" si="144"/>
        <v>774.14520485130834</v>
      </c>
      <c r="AA141" s="14">
        <f t="shared" si="145"/>
        <v>5628.3916222821908</v>
      </c>
      <c r="AB141" s="25">
        <f t="shared" si="146"/>
        <v>245599.16272772395</v>
      </c>
      <c r="AC141" s="4">
        <f t="shared" si="147"/>
        <v>1785618.8493756137</v>
      </c>
      <c r="AD141" s="5">
        <f t="shared" si="148"/>
        <v>13.754288201740469</v>
      </c>
      <c r="AE141" s="7">
        <f t="shared" si="149"/>
        <v>774.14520485130834</v>
      </c>
      <c r="AF141" s="4">
        <f t="shared" si="150"/>
        <v>0</v>
      </c>
      <c r="AG141" s="4">
        <f t="shared" si="151"/>
        <v>153.08738071631146</v>
      </c>
      <c r="AH141" s="4">
        <f t="shared" si="152"/>
        <v>579.4200135831569</v>
      </c>
      <c r="AI141" s="13">
        <f t="shared" si="153"/>
        <v>0</v>
      </c>
      <c r="AJ141" s="10">
        <f t="shared" si="154"/>
        <v>0</v>
      </c>
      <c r="AK141" s="11">
        <f t="shared" si="155"/>
        <v>0.91306934597411704</v>
      </c>
      <c r="AL141" s="7">
        <v>0</v>
      </c>
      <c r="AM141" s="4">
        <f t="shared" si="156"/>
        <v>95.761606788402645</v>
      </c>
      <c r="AN141" s="4">
        <f t="shared" si="157"/>
        <v>15.412830973911444</v>
      </c>
      <c r="AO141" s="6">
        <v>5</v>
      </c>
      <c r="AP141" s="4">
        <f t="shared" si="158"/>
        <v>0.74846425444751974</v>
      </c>
      <c r="AQ141" s="11">
        <f t="shared" si="159"/>
        <v>0.97937395000000005</v>
      </c>
      <c r="AR141" s="11">
        <f t="shared" si="160"/>
        <v>0.8962407041850623</v>
      </c>
      <c r="AS141" s="11">
        <f t="shared" si="161"/>
        <v>0.91511593113647982</v>
      </c>
      <c r="AT141" s="11">
        <f t="shared" si="162"/>
        <v>507.97188664649997</v>
      </c>
      <c r="AU141" s="11">
        <f t="shared" si="163"/>
        <v>1896.6425030105124</v>
      </c>
      <c r="AV141" s="11">
        <f t="shared" si="164"/>
        <v>2.1751390567182989E-3</v>
      </c>
      <c r="AW141" s="11">
        <f t="shared" si="165"/>
        <v>3.6770358841811742E-7</v>
      </c>
      <c r="AX141" s="4">
        <f t="shared" si="166"/>
        <v>20.557386416373813</v>
      </c>
      <c r="AY141" s="4">
        <f t="shared" si="167"/>
        <v>8.2141192749806695</v>
      </c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</row>
    <row r="142" spans="1:64">
      <c r="A142" s="4" t="e">
        <f>#REF!</f>
        <v>#REF!</v>
      </c>
      <c r="B142" s="4">
        <f t="shared" si="127"/>
        <v>1584.5348996632649</v>
      </c>
      <c r="C142" s="4">
        <f t="shared" si="128"/>
        <v>26.40891499438775</v>
      </c>
      <c r="D142" s="23">
        <f t="shared" si="129"/>
        <v>10059.74287</v>
      </c>
      <c r="E142" s="41" t="e">
        <f>#REF!</f>
        <v>#REF!</v>
      </c>
      <c r="F142" s="7">
        <v>0</v>
      </c>
      <c r="G142" s="4"/>
      <c r="H142" s="6">
        <v>3000</v>
      </c>
      <c r="I142" s="5">
        <v>0</v>
      </c>
      <c r="J142" s="4">
        <f t="shared" si="130"/>
        <v>0.29509747737407888</v>
      </c>
      <c r="K142" s="4">
        <f t="shared" si="131"/>
        <v>326.0458981078545</v>
      </c>
      <c r="L142" s="6">
        <f t="shared" si="168"/>
        <v>185</v>
      </c>
      <c r="M142" s="4">
        <f t="shared" si="132"/>
        <v>193.17697789453408</v>
      </c>
      <c r="N142" s="4">
        <f t="shared" si="133"/>
        <v>115.61508762106017</v>
      </c>
      <c r="O142" s="4">
        <f t="shared" si="134"/>
        <v>1928714.2948704655</v>
      </c>
      <c r="P142" s="4">
        <f t="shared" si="135"/>
        <v>12383701.050065419</v>
      </c>
      <c r="Q142" s="4">
        <f t="shared" si="136"/>
        <v>2.8798895586658537E-3</v>
      </c>
      <c r="R142" s="4">
        <f t="shared" si="137"/>
        <v>2.0581725755655037E-2</v>
      </c>
      <c r="S142" s="27">
        <v>0</v>
      </c>
      <c r="T142" s="4">
        <f t="shared" si="138"/>
        <v>0.37830713428697571</v>
      </c>
      <c r="U142" s="4">
        <f t="shared" si="139"/>
        <v>2.962048156862164E-2</v>
      </c>
      <c r="V142" s="4">
        <f t="shared" si="140"/>
        <v>12.771809040665095</v>
      </c>
      <c r="W142" s="20">
        <f t="shared" si="141"/>
        <v>787.65215154486339</v>
      </c>
      <c r="X142" s="4">
        <f t="shared" si="142"/>
        <v>0.5708619518746324</v>
      </c>
      <c r="Y142" s="4">
        <f t="shared" si="143"/>
        <v>138.38574598989084</v>
      </c>
      <c r="Z142" s="14">
        <f t="shared" si="144"/>
        <v>787.65215154486339</v>
      </c>
      <c r="AA142" s="14">
        <f t="shared" si="145"/>
        <v>5628.3916222821908</v>
      </c>
      <c r="AB142" s="25">
        <f t="shared" si="146"/>
        <v>256810.75314702891</v>
      </c>
      <c r="AC142" s="4">
        <f t="shared" si="147"/>
        <v>1835114.0013897212</v>
      </c>
      <c r="AD142" s="5">
        <f t="shared" si="148"/>
        <v>13.99426700207985</v>
      </c>
      <c r="AE142" s="7">
        <f t="shared" si="149"/>
        <v>787.65215154486339</v>
      </c>
      <c r="AF142" s="4">
        <f t="shared" si="150"/>
        <v>0</v>
      </c>
      <c r="AG142" s="4">
        <f t="shared" si="151"/>
        <v>156.8930010079564</v>
      </c>
      <c r="AH142" s="4">
        <f t="shared" si="152"/>
        <v>591.83552035816763</v>
      </c>
      <c r="AI142" s="13">
        <f t="shared" si="153"/>
        <v>0</v>
      </c>
      <c r="AJ142" s="10">
        <f t="shared" si="154"/>
        <v>0</v>
      </c>
      <c r="AK142" s="11">
        <f t="shared" si="155"/>
        <v>0.93576746266054256</v>
      </c>
      <c r="AL142" s="7">
        <v>0</v>
      </c>
      <c r="AM142" s="4">
        <f t="shared" si="156"/>
        <v>93.178805239551835</v>
      </c>
      <c r="AN142" s="4">
        <f t="shared" si="157"/>
        <v>15.318479634806254</v>
      </c>
      <c r="AO142" s="6">
        <v>5</v>
      </c>
      <c r="AP142" s="4">
        <f t="shared" si="158"/>
        <v>0.75139199353086217</v>
      </c>
      <c r="AQ142" s="11">
        <f t="shared" si="159"/>
        <v>0.97937395000000005</v>
      </c>
      <c r="AR142" s="11">
        <f t="shared" si="160"/>
        <v>0.8962407041850623</v>
      </c>
      <c r="AS142" s="11">
        <f t="shared" si="161"/>
        <v>0.91511593113647982</v>
      </c>
      <c r="AT142" s="11">
        <f t="shared" si="162"/>
        <v>507.97188664649997</v>
      </c>
      <c r="AU142" s="11">
        <f t="shared" si="163"/>
        <v>1896.6425030105124</v>
      </c>
      <c r="AV142" s="11">
        <f t="shared" si="164"/>
        <v>2.1751390567182989E-3</v>
      </c>
      <c r="AW142" s="11">
        <f t="shared" si="165"/>
        <v>3.6770358841811742E-7</v>
      </c>
      <c r="AX142" s="4">
        <f t="shared" si="166"/>
        <v>20.764914668700666</v>
      </c>
      <c r="AY142" s="4">
        <f t="shared" si="167"/>
        <v>7.8555153620297355</v>
      </c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</row>
    <row r="143" spans="1:64">
      <c r="A143" s="4" t="e">
        <f>#REF!</f>
        <v>#REF!</v>
      </c>
      <c r="B143" s="4">
        <f t="shared" si="127"/>
        <v>1584.5348996632649</v>
      </c>
      <c r="C143" s="4">
        <f t="shared" si="128"/>
        <v>26.40891499438775</v>
      </c>
      <c r="D143" s="23">
        <f t="shared" si="129"/>
        <v>10059.74287</v>
      </c>
      <c r="E143" s="41" t="e">
        <f>#REF!</f>
        <v>#REF!</v>
      </c>
      <c r="F143" s="7">
        <v>0</v>
      </c>
      <c r="G143" s="4"/>
      <c r="H143" s="6">
        <v>3000</v>
      </c>
      <c r="I143" s="5">
        <v>0</v>
      </c>
      <c r="J143" s="4">
        <f t="shared" si="130"/>
        <v>0.30305525574021658</v>
      </c>
      <c r="K143" s="4">
        <f t="shared" si="131"/>
        <v>334.83825044315284</v>
      </c>
      <c r="L143" s="6">
        <f t="shared" si="168"/>
        <v>190</v>
      </c>
      <c r="M143" s="4">
        <f t="shared" si="132"/>
        <v>198.38630597556099</v>
      </c>
      <c r="N143" s="4">
        <f t="shared" si="133"/>
        <v>121.93465646829995</v>
      </c>
      <c r="O143" s="4">
        <f t="shared" si="134"/>
        <v>1980725.1796355851</v>
      </c>
      <c r="P143" s="4">
        <f t="shared" si="135"/>
        <v>12717647.477482704</v>
      </c>
      <c r="Q143" s="4">
        <f t="shared" si="136"/>
        <v>2.8665577717118871E-3</v>
      </c>
      <c r="R143" s="4">
        <f t="shared" si="137"/>
        <v>2.0500335196301071E-2</v>
      </c>
      <c r="S143" s="27">
        <v>0</v>
      </c>
      <c r="T143" s="4">
        <f t="shared" si="138"/>
        <v>0.35870041992230234</v>
      </c>
      <c r="U143" s="4">
        <f t="shared" si="139"/>
        <v>2.8626457623143833E-2</v>
      </c>
      <c r="V143" s="4">
        <f t="shared" si="140"/>
        <v>12.530380972890663</v>
      </c>
      <c r="W143" s="20">
        <f t="shared" si="141"/>
        <v>802.82817352194957</v>
      </c>
      <c r="X143" s="4">
        <f t="shared" si="142"/>
        <v>0.56973209523607815</v>
      </c>
      <c r="Y143" s="4">
        <f t="shared" si="143"/>
        <v>138.38574598989084</v>
      </c>
      <c r="Z143" s="14">
        <f t="shared" si="144"/>
        <v>802.82817352194957</v>
      </c>
      <c r="AA143" s="14">
        <f t="shared" si="145"/>
        <v>5628.3916222821908</v>
      </c>
      <c r="AB143" s="25">
        <f t="shared" si="146"/>
        <v>268817.58102856152</v>
      </c>
      <c r="AC143" s="4">
        <f t="shared" si="147"/>
        <v>1884600.8036138676</v>
      </c>
      <c r="AD143" s="5">
        <f t="shared" si="148"/>
        <v>14.263900371531363</v>
      </c>
      <c r="AE143" s="7">
        <f t="shared" si="149"/>
        <v>802.82817352194957</v>
      </c>
      <c r="AF143" s="4">
        <f t="shared" si="150"/>
        <v>0</v>
      </c>
      <c r="AG143" s="4">
        <f t="shared" si="151"/>
        <v>160.61873980933134</v>
      </c>
      <c r="AH143" s="4">
        <f t="shared" si="152"/>
        <v>605.54875458643914</v>
      </c>
      <c r="AI143" s="13">
        <f t="shared" si="153"/>
        <v>0</v>
      </c>
      <c r="AJ143" s="10">
        <f t="shared" si="154"/>
        <v>0</v>
      </c>
      <c r="AK143" s="11">
        <f t="shared" si="155"/>
        <v>0.95798913680980413</v>
      </c>
      <c r="AL143" s="7">
        <v>0</v>
      </c>
      <c r="AM143" s="4">
        <f t="shared" si="156"/>
        <v>90.732068987752626</v>
      </c>
      <c r="AN143" s="4">
        <f t="shared" si="157"/>
        <v>15.261858715717912</v>
      </c>
      <c r="AO143" s="6">
        <v>5</v>
      </c>
      <c r="AP143" s="4">
        <f t="shared" si="158"/>
        <v>0.75426943716977468</v>
      </c>
      <c r="AQ143" s="11">
        <f t="shared" si="159"/>
        <v>0.97937395000000005</v>
      </c>
      <c r="AR143" s="11">
        <f t="shared" si="160"/>
        <v>0.8962407041850623</v>
      </c>
      <c r="AS143" s="11">
        <f t="shared" si="161"/>
        <v>0.91511593113647982</v>
      </c>
      <c r="AT143" s="11">
        <f t="shared" si="162"/>
        <v>507.97188664649997</v>
      </c>
      <c r="AU143" s="11">
        <f t="shared" si="163"/>
        <v>1896.6425030105124</v>
      </c>
      <c r="AV143" s="11">
        <f t="shared" si="164"/>
        <v>2.1751390567182989E-3</v>
      </c>
      <c r="AW143" s="11">
        <f t="shared" si="165"/>
        <v>3.6770358841811742E-7</v>
      </c>
      <c r="AX143" s="4">
        <f t="shared" si="166"/>
        <v>20.921765638653287</v>
      </c>
      <c r="AY143" s="4">
        <f t="shared" si="167"/>
        <v>7.5046461201009311</v>
      </c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</row>
    <row r="144" spans="1:64">
      <c r="A144" s="4" t="e">
        <f>#REF!</f>
        <v>#REF!</v>
      </c>
      <c r="B144" s="4">
        <f t="shared" si="127"/>
        <v>1584.5348996632649</v>
      </c>
      <c r="C144" s="4">
        <f t="shared" si="128"/>
        <v>26.40891499438775</v>
      </c>
      <c r="D144" s="23">
        <f t="shared" si="129"/>
        <v>10059.74287</v>
      </c>
      <c r="E144" s="41" t="e">
        <f>#REF!</f>
        <v>#REF!</v>
      </c>
      <c r="F144" s="7">
        <v>0</v>
      </c>
      <c r="G144" s="4"/>
      <c r="H144" s="6">
        <v>3000</v>
      </c>
      <c r="I144" s="5">
        <v>0</v>
      </c>
      <c r="J144" s="4">
        <f t="shared" si="130"/>
        <v>0.31101166165396116</v>
      </c>
      <c r="K144" s="4">
        <f t="shared" si="131"/>
        <v>343.62908638977473</v>
      </c>
      <c r="L144" s="6">
        <f t="shared" si="168"/>
        <v>195</v>
      </c>
      <c r="M144" s="4">
        <f t="shared" si="132"/>
        <v>203.59473562055931</v>
      </c>
      <c r="N144" s="4">
        <f t="shared" si="133"/>
        <v>128.42124202634668</v>
      </c>
      <c r="O144" s="4">
        <f t="shared" si="134"/>
        <v>2032727.0942510001</v>
      </c>
      <c r="P144" s="4">
        <f t="shared" si="135"/>
        <v>13051536.310235705</v>
      </c>
      <c r="Q144" s="4">
        <f t="shared" si="136"/>
        <v>2.8535867861875638E-3</v>
      </c>
      <c r="R144" s="4">
        <f t="shared" si="137"/>
        <v>2.0421147329675076E-2</v>
      </c>
      <c r="S144" s="27">
        <v>0</v>
      </c>
      <c r="T144" s="4">
        <f t="shared" si="138"/>
        <v>0.34058238176272781</v>
      </c>
      <c r="U144" s="4">
        <f t="shared" si="139"/>
        <v>2.7747097281443492E-2</v>
      </c>
      <c r="V144" s="4">
        <f t="shared" si="140"/>
        <v>12.274522927863165</v>
      </c>
      <c r="W144" s="20">
        <f t="shared" si="141"/>
        <v>819.56283996703326</v>
      </c>
      <c r="X144" s="4">
        <f t="shared" si="142"/>
        <v>0.56863066150275565</v>
      </c>
      <c r="Y144" s="4">
        <f t="shared" si="143"/>
        <v>138.38574598989084</v>
      </c>
      <c r="Z144" s="14">
        <f t="shared" si="144"/>
        <v>819.56283996703326</v>
      </c>
      <c r="AA144" s="14">
        <f t="shared" si="145"/>
        <v>5628.3916222821908</v>
      </c>
      <c r="AB144" s="25">
        <f t="shared" si="146"/>
        <v>281625.62993688078</v>
      </c>
      <c r="AC144" s="4">
        <f t="shared" si="147"/>
        <v>1934079.0710086913</v>
      </c>
      <c r="AD144" s="5">
        <f t="shared" si="148"/>
        <v>14.561226278613468</v>
      </c>
      <c r="AE144" s="7">
        <f t="shared" si="149"/>
        <v>819.56283996703326</v>
      </c>
      <c r="AF144" s="4">
        <f t="shared" si="150"/>
        <v>0</v>
      </c>
      <c r="AG144" s="4">
        <f t="shared" si="151"/>
        <v>164.26398392345894</v>
      </c>
      <c r="AH144" s="4">
        <f t="shared" si="152"/>
        <v>620.49024426966275</v>
      </c>
      <c r="AI144" s="13">
        <f t="shared" si="153"/>
        <v>0</v>
      </c>
      <c r="AJ144" s="10">
        <f t="shared" si="154"/>
        <v>0</v>
      </c>
      <c r="AK144" s="11">
        <f t="shared" si="155"/>
        <v>0.97973071108998799</v>
      </c>
      <c r="AL144" s="7">
        <v>0</v>
      </c>
      <c r="AM144" s="4">
        <f t="shared" si="156"/>
        <v>88.410930396288364</v>
      </c>
      <c r="AN144" s="4">
        <f t="shared" si="157"/>
        <v>15.238366610472534</v>
      </c>
      <c r="AO144" s="6">
        <v>5</v>
      </c>
      <c r="AP144" s="4">
        <f t="shared" si="158"/>
        <v>0.75709904599215583</v>
      </c>
      <c r="AQ144" s="11">
        <f t="shared" si="159"/>
        <v>0.97937395000000005</v>
      </c>
      <c r="AR144" s="11">
        <f t="shared" si="160"/>
        <v>0.8962407041850623</v>
      </c>
      <c r="AS144" s="11">
        <f t="shared" si="161"/>
        <v>0.91511593113647982</v>
      </c>
      <c r="AT144" s="11">
        <f t="shared" si="162"/>
        <v>507.97188664649997</v>
      </c>
      <c r="AU144" s="11">
        <f t="shared" si="163"/>
        <v>1896.6425030105124</v>
      </c>
      <c r="AV144" s="11">
        <f t="shared" si="164"/>
        <v>2.1751390567182989E-3</v>
      </c>
      <c r="AW144" s="11">
        <f t="shared" si="165"/>
        <v>3.6770358841811742E-7</v>
      </c>
      <c r="AX144" s="4">
        <f t="shared" si="166"/>
        <v>21.03262759850578</v>
      </c>
      <c r="AY144" s="4">
        <f t="shared" si="167"/>
        <v>7.1633424022275811</v>
      </c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</row>
    <row r="145" spans="1:64">
      <c r="A145" s="4" t="e">
        <f>#REF!</f>
        <v>#REF!</v>
      </c>
      <c r="B145" s="4">
        <f t="shared" si="127"/>
        <v>1584.5348996632649</v>
      </c>
      <c r="C145" s="4">
        <f t="shared" si="128"/>
        <v>26.40891499438775</v>
      </c>
      <c r="D145" s="23">
        <f t="shared" si="129"/>
        <v>10059.74287</v>
      </c>
      <c r="E145" s="41" t="e">
        <f>#REF!</f>
        <v>#REF!</v>
      </c>
      <c r="F145" s="7">
        <v>0</v>
      </c>
      <c r="G145" s="4"/>
      <c r="H145" s="6">
        <v>3000</v>
      </c>
      <c r="I145" s="5">
        <v>0</v>
      </c>
      <c r="J145" s="4">
        <f t="shared" si="130"/>
        <v>0.31896666584245287</v>
      </c>
      <c r="K145" s="4">
        <f t="shared" si="131"/>
        <v>352.41837360486204</v>
      </c>
      <c r="L145" s="6">
        <f t="shared" si="168"/>
        <v>200</v>
      </c>
      <c r="M145" s="4">
        <f t="shared" si="132"/>
        <v>208.80224766690307</v>
      </c>
      <c r="N145" s="4">
        <f t="shared" si="133"/>
        <v>135.0747325165656</v>
      </c>
      <c r="O145" s="4">
        <f t="shared" si="134"/>
        <v>2084719.8473935451</v>
      </c>
      <c r="P145" s="4">
        <f t="shared" si="135"/>
        <v>13385366.319895258</v>
      </c>
      <c r="Q145" s="4">
        <f t="shared" si="136"/>
        <v>2.8409551360298671E-3</v>
      </c>
      <c r="R145" s="4">
        <f t="shared" si="137"/>
        <v>2.0344031105462335E-2</v>
      </c>
      <c r="S145" s="27">
        <v>0</v>
      </c>
      <c r="T145" s="4">
        <f t="shared" si="138"/>
        <v>0.32380602695546207</v>
      </c>
      <c r="U145" s="4">
        <f t="shared" si="139"/>
        <v>2.6966035227716866E-2</v>
      </c>
      <c r="V145" s="4">
        <f t="shared" si="140"/>
        <v>12.007921232063071</v>
      </c>
      <c r="W145" s="20">
        <f t="shared" si="141"/>
        <v>837.75889894571242</v>
      </c>
      <c r="X145" s="4">
        <f t="shared" si="142"/>
        <v>0.56755598813969577</v>
      </c>
      <c r="Y145" s="4">
        <f t="shared" si="143"/>
        <v>138.38574598989084</v>
      </c>
      <c r="Z145" s="14">
        <f t="shared" si="144"/>
        <v>837.75889894571242</v>
      </c>
      <c r="AA145" s="14">
        <f t="shared" si="145"/>
        <v>5628.3916222821908</v>
      </c>
      <c r="AB145" s="25">
        <f t="shared" si="146"/>
        <v>295241.62863944797</v>
      </c>
      <c r="AC145" s="4">
        <f t="shared" si="147"/>
        <v>1983548.6215359208</v>
      </c>
      <c r="AD145" s="5">
        <f t="shared" si="148"/>
        <v>14.884516841882785</v>
      </c>
      <c r="AE145" s="7">
        <f t="shared" si="149"/>
        <v>837.75889894571242</v>
      </c>
      <c r="AF145" s="4">
        <f t="shared" si="150"/>
        <v>0</v>
      </c>
      <c r="AG145" s="4">
        <f t="shared" si="151"/>
        <v>167.82804637395992</v>
      </c>
      <c r="AH145" s="4">
        <f t="shared" si="152"/>
        <v>636.59952809327399</v>
      </c>
      <c r="AI145" s="13">
        <f t="shared" si="153"/>
        <v>0</v>
      </c>
      <c r="AJ145" s="10">
        <f t="shared" si="154"/>
        <v>0</v>
      </c>
      <c r="AK145" s="11">
        <f t="shared" si="155"/>
        <v>1.000988088121739</v>
      </c>
      <c r="AL145" s="7">
        <v>0</v>
      </c>
      <c r="AM145" s="4">
        <f t="shared" si="156"/>
        <v>86.205968571348635</v>
      </c>
      <c r="AN145" s="4">
        <f t="shared" si="157"/>
        <v>15.244077475373375</v>
      </c>
      <c r="AO145" s="6">
        <v>5</v>
      </c>
      <c r="AP145" s="4">
        <f t="shared" si="158"/>
        <v>0.75988393426128953</v>
      </c>
      <c r="AQ145" s="11">
        <f t="shared" si="159"/>
        <v>0.97937395000000005</v>
      </c>
      <c r="AR145" s="11">
        <f t="shared" si="160"/>
        <v>0.8962407041850623</v>
      </c>
      <c r="AS145" s="11">
        <f t="shared" si="161"/>
        <v>0.91511593113647982</v>
      </c>
      <c r="AT145" s="11">
        <f t="shared" si="162"/>
        <v>507.97188664649997</v>
      </c>
      <c r="AU145" s="11">
        <f t="shared" si="163"/>
        <v>1896.6425030105124</v>
      </c>
      <c r="AV145" s="11">
        <f t="shared" si="164"/>
        <v>2.1751390567182989E-3</v>
      </c>
      <c r="AW145" s="11">
        <f t="shared" si="165"/>
        <v>3.6770358841811742E-7</v>
      </c>
      <c r="AX145" s="4">
        <f t="shared" si="166"/>
        <v>21.102084921413411</v>
      </c>
      <c r="AY145" s="4">
        <f t="shared" si="167"/>
        <v>6.8329822788796397</v>
      </c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</row>
    <row r="146" spans="1:64">
      <c r="A146" s="4" t="e">
        <f>#REF!</f>
        <v>#REF!</v>
      </c>
      <c r="B146" s="4">
        <f t="shared" si="127"/>
        <v>1584.5348996632649</v>
      </c>
      <c r="C146" s="4">
        <f t="shared" si="128"/>
        <v>26.40891499438775</v>
      </c>
      <c r="D146" s="23">
        <f t="shared" si="129"/>
        <v>10059.74287</v>
      </c>
      <c r="E146" s="41" t="e">
        <f>#REF!</f>
        <v>#REF!</v>
      </c>
      <c r="F146" s="7">
        <v>0</v>
      </c>
      <c r="G146" s="4"/>
      <c r="H146" s="6">
        <v>3000</v>
      </c>
      <c r="I146" s="5">
        <v>0</v>
      </c>
      <c r="J146" s="4">
        <f t="shared" si="130"/>
        <v>0.32692023952317295</v>
      </c>
      <c r="K146" s="4">
        <f t="shared" si="131"/>
        <v>361.20608028732238</v>
      </c>
      <c r="L146" s="6">
        <f t="shared" si="168"/>
        <v>205</v>
      </c>
      <c r="M146" s="4">
        <f t="shared" si="132"/>
        <v>214.00882327295392</v>
      </c>
      <c r="N146" s="4">
        <f t="shared" si="133"/>
        <v>141.89501412809591</v>
      </c>
      <c r="O146" s="4">
        <f t="shared" si="134"/>
        <v>2136703.2509448552</v>
      </c>
      <c r="P146" s="4">
        <f t="shared" si="135"/>
        <v>13719136.298609275</v>
      </c>
      <c r="Q146" s="4">
        <f t="shared" si="136"/>
        <v>2.8286430806530932E-3</v>
      </c>
      <c r="R146" s="4">
        <f t="shared" si="137"/>
        <v>2.0268866007387133E-2</v>
      </c>
      <c r="S146" s="27">
        <v>0</v>
      </c>
      <c r="T146" s="4">
        <f t="shared" si="138"/>
        <v>0.30824206718621078</v>
      </c>
      <c r="U146" s="4">
        <f t="shared" si="139"/>
        <v>2.626958663435983E-2</v>
      </c>
      <c r="V146" s="4">
        <f t="shared" si="140"/>
        <v>11.73379967780077</v>
      </c>
      <c r="W146" s="20">
        <f t="shared" si="141"/>
        <v>857.33037432299739</v>
      </c>
      <c r="X146" s="4">
        <f t="shared" si="142"/>
        <v>0.56650654325332606</v>
      </c>
      <c r="Y146" s="4">
        <f t="shared" si="143"/>
        <v>138.38574598989081</v>
      </c>
      <c r="Z146" s="14">
        <f t="shared" si="144"/>
        <v>857.33037432299739</v>
      </c>
      <c r="AA146" s="14">
        <f t="shared" si="145"/>
        <v>5628.3916222821908</v>
      </c>
      <c r="AB146" s="25">
        <f t="shared" si="146"/>
        <v>309672.94402047276</v>
      </c>
      <c r="AC146" s="4">
        <f t="shared" si="147"/>
        <v>2033009.2762065537</v>
      </c>
      <c r="AD146" s="5">
        <f t="shared" si="148"/>
        <v>15.232244517757429</v>
      </c>
      <c r="AE146" s="7">
        <f t="shared" si="149"/>
        <v>857.33037432299739</v>
      </c>
      <c r="AF146" s="4">
        <f t="shared" si="150"/>
        <v>0</v>
      </c>
      <c r="AG146" s="4">
        <f t="shared" si="151"/>
        <v>171.31017705486153</v>
      </c>
      <c r="AH146" s="4">
        <f t="shared" si="152"/>
        <v>653.82400759042798</v>
      </c>
      <c r="AI146" s="13">
        <f t="shared" si="153"/>
        <v>0</v>
      </c>
      <c r="AJ146" s="10">
        <f t="shared" si="154"/>
        <v>0</v>
      </c>
      <c r="AK146" s="11">
        <f t="shared" si="155"/>
        <v>1.0217567939976275</v>
      </c>
      <c r="AL146" s="7">
        <v>0</v>
      </c>
      <c r="AM146" s="4">
        <f t="shared" si="156"/>
        <v>84.10868171095079</v>
      </c>
      <c r="AN146" s="4">
        <f t="shared" si="157"/>
        <v>15.275632041500439</v>
      </c>
      <c r="AO146" s="6">
        <v>5</v>
      </c>
      <c r="AP146" s="4">
        <f t="shared" si="158"/>
        <v>0.76262783539744405</v>
      </c>
      <c r="AQ146" s="11">
        <f t="shared" si="159"/>
        <v>0.97937395000000005</v>
      </c>
      <c r="AR146" s="11">
        <f t="shared" si="160"/>
        <v>0.8962407041850623</v>
      </c>
      <c r="AS146" s="11">
        <f t="shared" si="161"/>
        <v>0.91511593113647982</v>
      </c>
      <c r="AT146" s="11">
        <f t="shared" si="162"/>
        <v>507.97188664649997</v>
      </c>
      <c r="AU146" s="11">
        <f t="shared" si="163"/>
        <v>1896.6425030105124</v>
      </c>
      <c r="AV146" s="11">
        <f t="shared" si="164"/>
        <v>2.1751390567182989E-3</v>
      </c>
      <c r="AW146" s="11">
        <f t="shared" si="165"/>
        <v>3.6770358841811742E-7</v>
      </c>
      <c r="AX146" s="4">
        <f t="shared" si="166"/>
        <v>21.134535891675334</v>
      </c>
      <c r="AY146" s="4">
        <f t="shared" si="167"/>
        <v>6.5145530322711709</v>
      </c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</row>
    <row r="147" spans="1:64">
      <c r="A147" s="4" t="e">
        <f>#REF!</f>
        <v>#REF!</v>
      </c>
      <c r="B147" s="4">
        <f t="shared" si="127"/>
        <v>1584.5348996632649</v>
      </c>
      <c r="C147" s="4">
        <f t="shared" si="128"/>
        <v>26.40891499438775</v>
      </c>
      <c r="D147" s="23">
        <f t="shared" si="129"/>
        <v>10059.74287</v>
      </c>
      <c r="E147" s="41" t="e">
        <f>#REF!</f>
        <v>#REF!</v>
      </c>
      <c r="F147" s="7">
        <v>0</v>
      </c>
      <c r="G147" s="4"/>
      <c r="H147" s="6">
        <v>3000</v>
      </c>
      <c r="I147" s="5">
        <v>0</v>
      </c>
      <c r="J147" s="4">
        <f t="shared" si="130"/>
        <v>0.3348723544113314</v>
      </c>
      <c r="K147" s="4">
        <f t="shared" si="131"/>
        <v>369.9921751859913</v>
      </c>
      <c r="L147" s="6">
        <f t="shared" si="168"/>
        <v>210</v>
      </c>
      <c r="M147" s="4">
        <f t="shared" si="132"/>
        <v>219.21444392289686</v>
      </c>
      <c r="N147" s="4">
        <f t="shared" si="133"/>
        <v>148.88197107728908</v>
      </c>
      <c r="O147" s="4">
        <f t="shared" si="134"/>
        <v>2188677.1200396465</v>
      </c>
      <c r="P147" s="4">
        <f t="shared" si="135"/>
        <v>14052845.059412729</v>
      </c>
      <c r="Q147" s="4">
        <f t="shared" si="136"/>
        <v>2.8166324291162615E-3</v>
      </c>
      <c r="R147" s="4">
        <f t="shared" si="137"/>
        <v>2.0195540979754775E-2</v>
      </c>
      <c r="S147" s="27">
        <v>0</v>
      </c>
      <c r="T147" s="4">
        <f t="shared" si="138"/>
        <v>0.29377642008484134</v>
      </c>
      <c r="U147" s="4">
        <f t="shared" si="139"/>
        <v>2.5646255786859886E-2</v>
      </c>
      <c r="V147" s="4">
        <f t="shared" si="140"/>
        <v>11.454943853260662</v>
      </c>
      <c r="W147" s="20">
        <f t="shared" si="141"/>
        <v>878.20097582900712</v>
      </c>
      <c r="X147" s="4">
        <f t="shared" si="142"/>
        <v>0.56548091251026045</v>
      </c>
      <c r="Y147" s="4">
        <f t="shared" si="143"/>
        <v>138.38574598989084</v>
      </c>
      <c r="Z147" s="14">
        <f t="shared" si="144"/>
        <v>878.20097582900712</v>
      </c>
      <c r="AA147" s="14">
        <f t="shared" si="145"/>
        <v>5628.3916222821908</v>
      </c>
      <c r="AB147" s="25">
        <f t="shared" si="146"/>
        <v>324927.48929743451</v>
      </c>
      <c r="AC147" s="4">
        <f t="shared" si="147"/>
        <v>2082460.8591267981</v>
      </c>
      <c r="AD147" s="5">
        <f t="shared" si="148"/>
        <v>15.603053852050822</v>
      </c>
      <c r="AE147" s="7">
        <f t="shared" si="149"/>
        <v>878.20097582900712</v>
      </c>
      <c r="AF147" s="4">
        <f t="shared" si="150"/>
        <v>0</v>
      </c>
      <c r="AG147" s="4">
        <f t="shared" si="151"/>
        <v>174.70957185900355</v>
      </c>
      <c r="AH147" s="4">
        <f t="shared" si="152"/>
        <v>672.11799688673557</v>
      </c>
      <c r="AI147" s="13">
        <f t="shared" si="153"/>
        <v>0</v>
      </c>
      <c r="AJ147" s="10">
        <f t="shared" si="154"/>
        <v>0</v>
      </c>
      <c r="AK147" s="11">
        <f t="shared" si="155"/>
        <v>1.0420320327273149</v>
      </c>
      <c r="AL147" s="7">
        <v>0</v>
      </c>
      <c r="AM147" s="4">
        <f t="shared" si="156"/>
        <v>82.111377689743122</v>
      </c>
      <c r="AN147" s="4">
        <f t="shared" si="157"/>
        <v>15.330148526233428</v>
      </c>
      <c r="AO147" s="6">
        <v>5</v>
      </c>
      <c r="AP147" s="4">
        <f t="shared" si="158"/>
        <v>0.76533506040831645</v>
      </c>
      <c r="AQ147" s="11">
        <f t="shared" si="159"/>
        <v>0.97937395000000005</v>
      </c>
      <c r="AR147" s="11">
        <f t="shared" si="160"/>
        <v>0.8962407041850623</v>
      </c>
      <c r="AS147" s="11">
        <f t="shared" si="161"/>
        <v>0.91511593113647982</v>
      </c>
      <c r="AT147" s="11">
        <f t="shared" si="162"/>
        <v>507.97188664649997</v>
      </c>
      <c r="AU147" s="11">
        <f t="shared" si="163"/>
        <v>1896.6425030105124</v>
      </c>
      <c r="AV147" s="11">
        <f t="shared" si="164"/>
        <v>2.1751390567182989E-3</v>
      </c>
      <c r="AW147" s="11">
        <f t="shared" si="165"/>
        <v>3.6770358841811742E-7</v>
      </c>
      <c r="AX147" s="4">
        <f t="shared" si="166"/>
        <v>21.134135993428142</v>
      </c>
      <c r="AY147" s="4">
        <f t="shared" si="167"/>
        <v>6.2087108137355118</v>
      </c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</row>
    <row r="148" spans="1:64">
      <c r="A148" s="4" t="e">
        <f>#REF!</f>
        <v>#REF!</v>
      </c>
      <c r="B148" s="4">
        <f t="shared" si="127"/>
        <v>1584.5348996632649</v>
      </c>
      <c r="C148" s="4">
        <f t="shared" si="128"/>
        <v>26.40891499438775</v>
      </c>
      <c r="D148" s="23">
        <f t="shared" si="129"/>
        <v>10059.74287</v>
      </c>
      <c r="E148" s="41" t="e">
        <f>#REF!</f>
        <v>#REF!</v>
      </c>
      <c r="F148" s="7">
        <v>0</v>
      </c>
      <c r="G148" s="4"/>
      <c r="H148" s="6">
        <v>3000</v>
      </c>
      <c r="I148" s="5">
        <v>0</v>
      </c>
      <c r="J148" s="4">
        <f t="shared" si="130"/>
        <v>0.34282298272694983</v>
      </c>
      <c r="K148" s="4">
        <f t="shared" si="131"/>
        <v>378.77662760745841</v>
      </c>
      <c r="L148" s="6">
        <f t="shared" si="168"/>
        <v>215</v>
      </c>
      <c r="M148" s="4">
        <f t="shared" si="132"/>
        <v>224.41909143137738</v>
      </c>
      <c r="N148" s="4">
        <f t="shared" si="133"/>
        <v>156.03548566779918</v>
      </c>
      <c r="O148" s="4">
        <f t="shared" si="134"/>
        <v>2240641.2731120107</v>
      </c>
      <c r="P148" s="4">
        <f t="shared" si="135"/>
        <v>14386491.436524905</v>
      </c>
      <c r="Q148" s="4">
        <f t="shared" si="136"/>
        <v>2.8049063859312945E-3</v>
      </c>
      <c r="R148" s="4">
        <f t="shared" si="137"/>
        <v>2.0123953486110551E-2</v>
      </c>
      <c r="S148" s="27">
        <v>0</v>
      </c>
      <c r="T148" s="4">
        <f t="shared" si="138"/>
        <v>0.28030811254934312</v>
      </c>
      <c r="U148" s="4">
        <f t="shared" si="139"/>
        <v>2.5086343852483213E-2</v>
      </c>
      <c r="V148" s="4">
        <f t="shared" si="140"/>
        <v>11.173733175215023</v>
      </c>
      <c r="W148" s="20">
        <f t="shared" si="141"/>
        <v>900.30276472987407</v>
      </c>
      <c r="X148" s="4">
        <f t="shared" si="142"/>
        <v>0.56447778764364498</v>
      </c>
      <c r="Y148" s="4">
        <f t="shared" si="143"/>
        <v>138.38574598989084</v>
      </c>
      <c r="Z148" s="14">
        <f t="shared" si="144"/>
        <v>900.30276472987407</v>
      </c>
      <c r="AA148" s="14">
        <f t="shared" si="145"/>
        <v>5628.3916222821908</v>
      </c>
      <c r="AB148" s="25">
        <f t="shared" si="146"/>
        <v>341013.64505005273</v>
      </c>
      <c r="AC148" s="4">
        <f t="shared" si="147"/>
        <v>2131903.1975421202</v>
      </c>
      <c r="AD148" s="5">
        <f t="shared" si="148"/>
        <v>15.995737772859892</v>
      </c>
      <c r="AE148" s="7">
        <f t="shared" si="149"/>
        <v>900.30276472987407</v>
      </c>
      <c r="AF148" s="4">
        <f t="shared" si="150"/>
        <v>0</v>
      </c>
      <c r="AG148" s="4">
        <f t="shared" si="151"/>
        <v>178.02538053262066</v>
      </c>
      <c r="AH148" s="4">
        <f t="shared" si="152"/>
        <v>691.44193081154424</v>
      </c>
      <c r="AI148" s="13">
        <f t="shared" si="153"/>
        <v>0</v>
      </c>
      <c r="AJ148" s="10">
        <f t="shared" si="154"/>
        <v>0</v>
      </c>
      <c r="AK148" s="11">
        <f t="shared" si="155"/>
        <v>1.0618087330851669</v>
      </c>
      <c r="AL148" s="7">
        <v>0</v>
      </c>
      <c r="AM148" s="4">
        <f t="shared" si="156"/>
        <v>80.207079911042328</v>
      </c>
      <c r="AN148" s="4">
        <f t="shared" si="157"/>
        <v>15.405149499568592</v>
      </c>
      <c r="AO148" s="6">
        <v>5</v>
      </c>
      <c r="AP148" s="4">
        <f t="shared" si="158"/>
        <v>0.76801044926148121</v>
      </c>
      <c r="AQ148" s="11">
        <f t="shared" si="159"/>
        <v>0.97937395000000005</v>
      </c>
      <c r="AR148" s="11">
        <f t="shared" si="160"/>
        <v>0.8962407041850623</v>
      </c>
      <c r="AS148" s="11">
        <f t="shared" si="161"/>
        <v>0.91511593113647982</v>
      </c>
      <c r="AT148" s="11">
        <f t="shared" si="162"/>
        <v>507.97188664649997</v>
      </c>
      <c r="AU148" s="11">
        <f t="shared" si="163"/>
        <v>1896.6425030105124</v>
      </c>
      <c r="AV148" s="11">
        <f t="shared" si="164"/>
        <v>2.1751390567182989E-3</v>
      </c>
      <c r="AW148" s="11">
        <f t="shared" si="165"/>
        <v>3.6770358841811742E-7</v>
      </c>
      <c r="AX148" s="4">
        <f t="shared" si="166"/>
        <v>21.104762187392936</v>
      </c>
      <c r="AY148" s="4">
        <f t="shared" si="167"/>
        <v>5.9158360545508586</v>
      </c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</row>
    <row r="149" spans="1:64">
      <c r="A149" s="4" t="e">
        <f>#REF!</f>
        <v>#REF!</v>
      </c>
      <c r="B149" s="4">
        <f t="shared" si="127"/>
        <v>1584.5348996632649</v>
      </c>
      <c r="C149" s="4">
        <f t="shared" si="128"/>
        <v>26.40891499438775</v>
      </c>
      <c r="D149" s="23">
        <f t="shared" si="129"/>
        <v>10059.74287</v>
      </c>
      <c r="E149" s="41" t="e">
        <f>#REF!</f>
        <v>#REF!</v>
      </c>
      <c r="F149" s="7">
        <v>0</v>
      </c>
      <c r="G149" s="4"/>
      <c r="H149" s="6">
        <v>3000</v>
      </c>
      <c r="I149" s="5">
        <v>0</v>
      </c>
      <c r="J149" s="4">
        <f t="shared" si="130"/>
        <v>0.35077209720157648</v>
      </c>
      <c r="K149" s="4">
        <f t="shared" si="131"/>
        <v>387.55940742348616</v>
      </c>
      <c r="L149" s="6">
        <f t="shared" si="168"/>
        <v>220</v>
      </c>
      <c r="M149" s="4">
        <f t="shared" si="132"/>
        <v>229.62274794789678</v>
      </c>
      <c r="N149" s="4">
        <f t="shared" si="133"/>
        <v>163.3554383512195</v>
      </c>
      <c r="O149" s="4">
        <f t="shared" si="134"/>
        <v>2292595.5319393035</v>
      </c>
      <c r="P149" s="4">
        <f t="shared" si="135"/>
        <v>14720074.285631193</v>
      </c>
      <c r="Q149" s="4">
        <f t="shared" si="136"/>
        <v>2.7934494154118598E-3</v>
      </c>
      <c r="R149" s="4">
        <f t="shared" si="137"/>
        <v>2.0054008681089405E-2</v>
      </c>
      <c r="S149" s="27">
        <v>0</v>
      </c>
      <c r="T149" s="4">
        <f t="shared" si="138"/>
        <v>0.26774751376334788</v>
      </c>
      <c r="U149" s="4">
        <f t="shared" si="139"/>
        <v>2.4581634047264402E-2</v>
      </c>
      <c r="V149" s="4">
        <f t="shared" si="140"/>
        <v>10.892177194100915</v>
      </c>
      <c r="W149" s="20">
        <f t="shared" si="141"/>
        <v>923.5750291914319</v>
      </c>
      <c r="X149" s="4">
        <f t="shared" si="142"/>
        <v>0.5634959563223001</v>
      </c>
      <c r="Y149" s="4">
        <f t="shared" si="143"/>
        <v>138.38574598989084</v>
      </c>
      <c r="Z149" s="14">
        <f t="shared" si="144"/>
        <v>923.5750291914319</v>
      </c>
      <c r="AA149" s="14">
        <f t="shared" si="145"/>
        <v>5628.3916222821908</v>
      </c>
      <c r="AB149" s="25">
        <f t="shared" si="146"/>
        <v>357940.19102456031</v>
      </c>
      <c r="AC149" s="4">
        <f t="shared" si="147"/>
        <v>2181336.1218789998</v>
      </c>
      <c r="AD149" s="5">
        <f t="shared" si="148"/>
        <v>16.409217609078564</v>
      </c>
      <c r="AE149" s="7">
        <f t="shared" si="149"/>
        <v>923.5750291914319</v>
      </c>
      <c r="AF149" s="4">
        <f t="shared" si="150"/>
        <v>0</v>
      </c>
      <c r="AG149" s="4">
        <f t="shared" si="151"/>
        <v>181.25671345856571</v>
      </c>
      <c r="AH149" s="4">
        <f t="shared" si="152"/>
        <v>711.76169956312037</v>
      </c>
      <c r="AI149" s="13">
        <f t="shared" si="153"/>
        <v>0</v>
      </c>
      <c r="AJ149" s="10">
        <f t="shared" si="154"/>
        <v>0</v>
      </c>
      <c r="AK149" s="11">
        <f t="shared" si="155"/>
        <v>1.0810815890678867</v>
      </c>
      <c r="AL149" s="7">
        <v>0</v>
      </c>
      <c r="AM149" s="4">
        <f t="shared" si="156"/>
        <v>78.389445997242149</v>
      </c>
      <c r="AN149" s="4">
        <f t="shared" si="157"/>
        <v>15.498501475224588</v>
      </c>
      <c r="AO149" s="6">
        <v>5</v>
      </c>
      <c r="AP149" s="4">
        <f t="shared" si="158"/>
        <v>0.77065931523316622</v>
      </c>
      <c r="AQ149" s="11">
        <f t="shared" si="159"/>
        <v>0.97937395000000005</v>
      </c>
      <c r="AR149" s="11">
        <f t="shared" si="160"/>
        <v>0.8962407041850623</v>
      </c>
      <c r="AS149" s="11">
        <f t="shared" si="161"/>
        <v>0.91511593113647982</v>
      </c>
      <c r="AT149" s="11">
        <f t="shared" si="162"/>
        <v>507.97188664649997</v>
      </c>
      <c r="AU149" s="11">
        <f t="shared" si="163"/>
        <v>1896.6425030105124</v>
      </c>
      <c r="AV149" s="11">
        <f t="shared" si="164"/>
        <v>2.1751390567182989E-3</v>
      </c>
      <c r="AW149" s="11">
        <f t="shared" si="165"/>
        <v>3.6770358841811742E-7</v>
      </c>
      <c r="AX149" s="4">
        <f t="shared" si="166"/>
        <v>21.049993906262973</v>
      </c>
      <c r="AY149" s="4">
        <f t="shared" si="167"/>
        <v>5.6360835331355341</v>
      </c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</row>
    <row r="150" spans="1:64">
      <c r="A150" s="4" t="e">
        <f>#REF!</f>
        <v>#REF!</v>
      </c>
      <c r="B150" s="4">
        <f t="shared" si="127"/>
        <v>1584.5348996632649</v>
      </c>
      <c r="C150" s="4">
        <f t="shared" si="128"/>
        <v>26.40891499438775</v>
      </c>
      <c r="D150" s="23">
        <f t="shared" si="129"/>
        <v>10059.74287</v>
      </c>
      <c r="E150" s="41" t="e">
        <f>#REF!</f>
        <v>#REF!</v>
      </c>
      <c r="F150" s="7">
        <v>0</v>
      </c>
      <c r="G150" s="4"/>
      <c r="H150" s="6">
        <v>3000</v>
      </c>
      <c r="I150" s="5">
        <v>0</v>
      </c>
      <c r="J150" s="4">
        <f t="shared" si="130"/>
        <v>0.35871967108469494</v>
      </c>
      <c r="K150" s="4">
        <f t="shared" si="131"/>
        <v>396.34048507809138</v>
      </c>
      <c r="L150" s="6">
        <f t="shared" si="168"/>
        <v>225</v>
      </c>
      <c r="M150" s="4">
        <f t="shared" si="132"/>
        <v>234.8253959610079</v>
      </c>
      <c r="N150" s="4">
        <f t="shared" si="133"/>
        <v>170.84170778826814</v>
      </c>
      <c r="O150" s="4">
        <f t="shared" si="134"/>
        <v>2344539.7216840317</v>
      </c>
      <c r="P150" s="4">
        <f t="shared" si="135"/>
        <v>15053592.484152032</v>
      </c>
      <c r="Q150" s="4">
        <f t="shared" si="136"/>
        <v>2.7822471219661614E-3</v>
      </c>
      <c r="R150" s="4">
        <f t="shared" si="137"/>
        <v>1.9985618679603415E-2</v>
      </c>
      <c r="S150" s="27">
        <v>0</v>
      </c>
      <c r="T150" s="4">
        <f t="shared" si="138"/>
        <v>0.25601483996207397</v>
      </c>
      <c r="U150" s="4">
        <f t="shared" si="139"/>
        <v>2.4125137590087456E-2</v>
      </c>
      <c r="V150" s="4">
        <f t="shared" si="140"/>
        <v>10.611953569428156</v>
      </c>
      <c r="W150" s="20">
        <f t="shared" si="141"/>
        <v>947.96333249902148</v>
      </c>
      <c r="X150" s="4">
        <f t="shared" si="142"/>
        <v>0.56253429319402093</v>
      </c>
      <c r="Y150" s="4">
        <f t="shared" si="143"/>
        <v>138.38574598989084</v>
      </c>
      <c r="Z150" s="14">
        <f t="shared" si="144"/>
        <v>947.96333249902148</v>
      </c>
      <c r="AA150" s="14">
        <f t="shared" si="145"/>
        <v>5628.3916222821908</v>
      </c>
      <c r="AB150" s="25">
        <f t="shared" si="146"/>
        <v>375716.24703890621</v>
      </c>
      <c r="AC150" s="4">
        <f t="shared" si="147"/>
        <v>2230759.4657847891</v>
      </c>
      <c r="AD150" s="5">
        <f t="shared" si="148"/>
        <v>16.842526180057153</v>
      </c>
      <c r="AE150" s="7">
        <f t="shared" si="149"/>
        <v>947.96333249902148</v>
      </c>
      <c r="AF150" s="4">
        <f t="shared" si="150"/>
        <v>0</v>
      </c>
      <c r="AG150" s="4">
        <f t="shared" si="151"/>
        <v>184.40264753465641</v>
      </c>
      <c r="AH150" s="4">
        <f t="shared" si="152"/>
        <v>733.04808387502112</v>
      </c>
      <c r="AI150" s="13">
        <f t="shared" si="153"/>
        <v>0</v>
      </c>
      <c r="AJ150" s="10">
        <f t="shared" si="154"/>
        <v>0</v>
      </c>
      <c r="AK150" s="11">
        <f t="shared" si="155"/>
        <v>1.0998450949551342</v>
      </c>
      <c r="AL150" s="7">
        <v>0</v>
      </c>
      <c r="AM150" s="4">
        <f t="shared" si="156"/>
        <v>76.652697321497755</v>
      </c>
      <c r="AN150" s="4">
        <f t="shared" si="157"/>
        <v>15.608364693159972</v>
      </c>
      <c r="AO150" s="6">
        <v>5</v>
      </c>
      <c r="AP150" s="4">
        <f t="shared" si="158"/>
        <v>0.77328738226884719</v>
      </c>
      <c r="AQ150" s="11">
        <f t="shared" si="159"/>
        <v>0.97937395000000005</v>
      </c>
      <c r="AR150" s="11">
        <f t="shared" si="160"/>
        <v>0.8962407041850623</v>
      </c>
      <c r="AS150" s="11">
        <f t="shared" si="161"/>
        <v>0.91511593113647982</v>
      </c>
      <c r="AT150" s="11">
        <f t="shared" si="162"/>
        <v>507.97188664649997</v>
      </c>
      <c r="AU150" s="11">
        <f t="shared" si="163"/>
        <v>1896.6425030105124</v>
      </c>
      <c r="AV150" s="11">
        <f t="shared" si="164"/>
        <v>2.1751390567182989E-3</v>
      </c>
      <c r="AW150" s="11">
        <f t="shared" si="165"/>
        <v>3.6770358841811742E-7</v>
      </c>
      <c r="AX150" s="4">
        <f t="shared" si="166"/>
        <v>20.97310693255843</v>
      </c>
      <c r="AY150" s="4">
        <f t="shared" si="167"/>
        <v>5.3694266148464118</v>
      </c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</row>
    <row r="151" spans="1:64">
      <c r="A151" s="4" t="e">
        <f>#REF!</f>
        <v>#REF!</v>
      </c>
      <c r="B151" s="4">
        <f t="shared" si="127"/>
        <v>1584.5348996632649</v>
      </c>
      <c r="C151" s="4">
        <f t="shared" si="128"/>
        <v>26.40891499438775</v>
      </c>
      <c r="D151" s="23">
        <f t="shared" si="129"/>
        <v>10059.74287</v>
      </c>
      <c r="E151" s="41" t="e">
        <f>#REF!</f>
        <v>#REF!</v>
      </c>
      <c r="F151" s="7">
        <v>0</v>
      </c>
      <c r="G151" s="4"/>
      <c r="H151" s="6">
        <v>3000</v>
      </c>
      <c r="I151" s="5">
        <v>0</v>
      </c>
      <c r="J151" s="4">
        <f t="shared" si="130"/>
        <v>0.36666567814976525</v>
      </c>
      <c r="K151" s="4">
        <f t="shared" si="131"/>
        <v>405.11983159421919</v>
      </c>
      <c r="L151" s="6">
        <f t="shared" si="168"/>
        <v>230</v>
      </c>
      <c r="M151" s="4">
        <f t="shared" si="132"/>
        <v>240.02701830226937</v>
      </c>
      <c r="N151" s="4">
        <f t="shared" si="133"/>
        <v>178.49417091041488</v>
      </c>
      <c r="O151" s="4">
        <f t="shared" si="134"/>
        <v>2396473.6709333346</v>
      </c>
      <c r="P151" s="4">
        <f t="shared" si="135"/>
        <v>15387044.931496408</v>
      </c>
      <c r="Q151" s="4">
        <f t="shared" si="136"/>
        <v>2.7712861441500612E-3</v>
      </c>
      <c r="R151" s="4">
        <f t="shared" si="137"/>
        <v>1.9918701910036127E-2</v>
      </c>
      <c r="S151" s="27">
        <v>0</v>
      </c>
      <c r="T151" s="4">
        <f t="shared" si="138"/>
        <v>0.24503888421215003</v>
      </c>
      <c r="U151" s="4">
        <f t="shared" si="139"/>
        <v>2.3710887672286386E-2</v>
      </c>
      <c r="V151" s="4">
        <f t="shared" si="140"/>
        <v>10.334445829227848</v>
      </c>
      <c r="W151" s="20">
        <f t="shared" si="141"/>
        <v>973.41870442138918</v>
      </c>
      <c r="X151" s="4">
        <f t="shared" si="142"/>
        <v>0.56159175194411193</v>
      </c>
      <c r="Y151" s="4">
        <f t="shared" si="143"/>
        <v>138.38574598989084</v>
      </c>
      <c r="Z151" s="14">
        <f t="shared" si="144"/>
        <v>973.41870442138918</v>
      </c>
      <c r="AA151" s="14">
        <f t="shared" si="145"/>
        <v>5628.3916222821908</v>
      </c>
      <c r="AB151" s="25">
        <f t="shared" si="146"/>
        <v>394351.2216058562</v>
      </c>
      <c r="AC151" s="4">
        <f t="shared" si="147"/>
        <v>2280173.0661652754</v>
      </c>
      <c r="AD151" s="5">
        <f t="shared" si="148"/>
        <v>17.294793428512158</v>
      </c>
      <c r="AE151" s="7">
        <f t="shared" si="149"/>
        <v>973.41870442138907</v>
      </c>
      <c r="AF151" s="4">
        <f t="shared" si="150"/>
        <v>0</v>
      </c>
      <c r="AG151" s="4">
        <f t="shared" si="151"/>
        <v>187.4622312845874</v>
      </c>
      <c r="AH151" s="4">
        <f t="shared" si="152"/>
        <v>755.276269136682</v>
      </c>
      <c r="AI151" s="13">
        <f t="shared" si="153"/>
        <v>-4.5783270156546671E-15</v>
      </c>
      <c r="AJ151" s="10">
        <f t="shared" si="154"/>
        <v>-6.4750919300955079E-16</v>
      </c>
      <c r="AK151" s="11">
        <f t="shared" si="155"/>
        <v>1.1180935757928816</v>
      </c>
      <c r="AL151" s="7">
        <v>0</v>
      </c>
      <c r="AM151" s="4">
        <f t="shared" si="156"/>
        <v>74.991557730939888</v>
      </c>
      <c r="AN151" s="4">
        <f t="shared" si="157"/>
        <v>15.733151094381219</v>
      </c>
      <c r="AO151" s="6">
        <v>5</v>
      </c>
      <c r="AP151" s="4">
        <f t="shared" si="158"/>
        <v>0.7759007153921772</v>
      </c>
      <c r="AQ151" s="11">
        <f t="shared" si="159"/>
        <v>0.97937395000000005</v>
      </c>
      <c r="AR151" s="11">
        <f t="shared" si="160"/>
        <v>0.8962407041850623</v>
      </c>
      <c r="AS151" s="11">
        <f t="shared" si="161"/>
        <v>0.91511593113647982</v>
      </c>
      <c r="AT151" s="11">
        <f t="shared" si="162"/>
        <v>507.97188664649997</v>
      </c>
      <c r="AU151" s="11">
        <f t="shared" si="163"/>
        <v>1896.6425030105124</v>
      </c>
      <c r="AV151" s="11">
        <f t="shared" si="164"/>
        <v>2.1751390567182989E-3</v>
      </c>
      <c r="AW151" s="11">
        <f t="shared" si="165"/>
        <v>3.6770358841811742E-7</v>
      </c>
      <c r="AX151" s="4">
        <f t="shared" si="166"/>
        <v>20.877076855989241</v>
      </c>
      <c r="AY151" s="4">
        <f t="shared" si="167"/>
        <v>5.1156956184029045</v>
      </c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</row>
    <row r="152" spans="1:64">
      <c r="A152" s="4" t="e">
        <f>#REF!</f>
        <v>#REF!</v>
      </c>
      <c r="B152" s="4">
        <f t="shared" si="127"/>
        <v>1584.5348996632649</v>
      </c>
      <c r="C152" s="4">
        <f t="shared" si="128"/>
        <v>26.40891499438775</v>
      </c>
      <c r="D152" s="23">
        <f t="shared" si="129"/>
        <v>10059.74287</v>
      </c>
      <c r="E152" s="41" t="e">
        <f>#REF!</f>
        <v>#REF!</v>
      </c>
      <c r="F152" s="7">
        <v>0</v>
      </c>
      <c r="G152" s="4"/>
      <c r="H152" s="6">
        <v>3000</v>
      </c>
      <c r="I152" s="5">
        <v>0</v>
      </c>
      <c r="J152" s="4">
        <f t="shared" si="130"/>
        <v>0.37461009269993806</v>
      </c>
      <c r="K152" s="4">
        <f t="shared" si="131"/>
        <v>413.89741858005669</v>
      </c>
      <c r="L152" s="6">
        <f t="shared" si="168"/>
        <v>235</v>
      </c>
      <c r="M152" s="4">
        <f t="shared" si="132"/>
        <v>245.22759814998631</v>
      </c>
      <c r="N152" s="4">
        <f t="shared" si="133"/>
        <v>186.31270298193499</v>
      </c>
      <c r="O152" s="4">
        <f t="shared" si="134"/>
        <v>2448397.2117363345</v>
      </c>
      <c r="P152" s="4">
        <f t="shared" si="135"/>
        <v>15720430.549301665</v>
      </c>
      <c r="Q152" s="4">
        <f t="shared" si="136"/>
        <v>2.7605540606362865E-3</v>
      </c>
      <c r="R152" s="4">
        <f t="shared" si="137"/>
        <v>1.9853182540184526E-2</v>
      </c>
      <c r="S152" s="27">
        <v>0</v>
      </c>
      <c r="T152" s="4">
        <f t="shared" si="138"/>
        <v>0.23475593332195788</v>
      </c>
      <c r="U152" s="4">
        <f t="shared" si="139"/>
        <v>2.3333771562525186E-2</v>
      </c>
      <c r="V152" s="4">
        <f t="shared" si="140"/>
        <v>10.060779616913011</v>
      </c>
      <c r="W152" s="20">
        <f t="shared" si="141"/>
        <v>999.89695163272745</v>
      </c>
      <c r="X152" s="4">
        <f t="shared" si="142"/>
        <v>0.56066735823467473</v>
      </c>
      <c r="Y152" s="4">
        <f t="shared" si="143"/>
        <v>138.38574598989084</v>
      </c>
      <c r="Z152" s="14">
        <f t="shared" si="144"/>
        <v>999.89695163272745</v>
      </c>
      <c r="AA152" s="14">
        <f t="shared" si="145"/>
        <v>5628.3916222821908</v>
      </c>
      <c r="AB152" s="25">
        <f t="shared" si="146"/>
        <v>413854.76712685369</v>
      </c>
      <c r="AC152" s="4">
        <f t="shared" si="147"/>
        <v>2329576.7632202161</v>
      </c>
      <c r="AD152" s="5">
        <f t="shared" si="148"/>
        <v>17.765234168749807</v>
      </c>
      <c r="AE152" s="7">
        <f t="shared" si="149"/>
        <v>999.89695163272734</v>
      </c>
      <c r="AF152" s="4">
        <f t="shared" si="150"/>
        <v>0</v>
      </c>
      <c r="AG152" s="4">
        <f t="shared" si="151"/>
        <v>190.43448931546723</v>
      </c>
      <c r="AH152" s="4">
        <f t="shared" si="152"/>
        <v>778.42542046423875</v>
      </c>
      <c r="AI152" s="13">
        <f t="shared" si="153"/>
        <v>-4.6775239951542314E-15</v>
      </c>
      <c r="AJ152" s="10">
        <f t="shared" si="154"/>
        <v>-6.4750919300955079E-16</v>
      </c>
      <c r="AK152" s="11">
        <f t="shared" si="155"/>
        <v>1.1358212139797996</v>
      </c>
      <c r="AL152" s="7">
        <v>0</v>
      </c>
      <c r="AM152" s="4">
        <f t="shared" si="156"/>
        <v>73.401200092457884</v>
      </c>
      <c r="AN152" s="4">
        <f t="shared" si="157"/>
        <v>15.871488901264238</v>
      </c>
      <c r="AO152" s="6">
        <v>5</v>
      </c>
      <c r="AP152" s="4">
        <f t="shared" si="158"/>
        <v>0.77850564419978607</v>
      </c>
      <c r="AQ152" s="11">
        <f t="shared" si="159"/>
        <v>0.97937395000000005</v>
      </c>
      <c r="AR152" s="11">
        <f t="shared" si="160"/>
        <v>0.8962407041850623</v>
      </c>
      <c r="AS152" s="11">
        <f t="shared" si="161"/>
        <v>0.91511593113647982</v>
      </c>
      <c r="AT152" s="11">
        <f t="shared" si="162"/>
        <v>507.97188664649997</v>
      </c>
      <c r="AU152" s="11">
        <f t="shared" si="163"/>
        <v>1896.6425030105124</v>
      </c>
      <c r="AV152" s="11">
        <f t="shared" si="164"/>
        <v>2.1751390567182989E-3</v>
      </c>
      <c r="AW152" s="11">
        <f t="shared" si="165"/>
        <v>3.6770358841811742E-7</v>
      </c>
      <c r="AX152" s="4">
        <f t="shared" si="166"/>
        <v>20.764589363110147</v>
      </c>
      <c r="AY152" s="4">
        <f t="shared" si="167"/>
        <v>4.8746105559841224</v>
      </c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</row>
    <row r="153" spans="1:64">
      <c r="A153" s="4" t="e">
        <f>#REF!</f>
        <v>#REF!</v>
      </c>
      <c r="B153" s="4">
        <f t="shared" si="127"/>
        <v>1584.5348996632649</v>
      </c>
      <c r="C153" s="4">
        <f t="shared" si="128"/>
        <v>26.40891499438775</v>
      </c>
      <c r="D153" s="23">
        <f t="shared" si="129"/>
        <v>10059.74287</v>
      </c>
      <c r="E153" s="41" t="e">
        <f>#REF!</f>
        <v>#REF!</v>
      </c>
      <c r="F153" s="7">
        <v>0</v>
      </c>
      <c r="G153" s="4"/>
      <c r="H153" s="6">
        <v>3000</v>
      </c>
      <c r="I153" s="5">
        <v>0</v>
      </c>
      <c r="J153" s="4">
        <f t="shared" si="130"/>
        <v>0.38255288957342087</v>
      </c>
      <c r="K153" s="4">
        <f t="shared" si="131"/>
        <v>422.67321823496229</v>
      </c>
      <c r="L153" s="6">
        <f t="shared" si="168"/>
        <v>240</v>
      </c>
      <c r="M153" s="4">
        <f t="shared" si="132"/>
        <v>250.4271190327234</v>
      </c>
      <c r="N153" s="4">
        <f t="shared" si="133"/>
        <v>194.29717766231772</v>
      </c>
      <c r="O153" s="4">
        <f t="shared" si="134"/>
        <v>2500310.1796392049</v>
      </c>
      <c r="P153" s="4">
        <f t="shared" si="135"/>
        <v>16053748.281658685</v>
      </c>
      <c r="Q153" s="4">
        <f t="shared" si="136"/>
        <v>2.7500393065363741E-3</v>
      </c>
      <c r="R153" s="4">
        <f t="shared" si="137"/>
        <v>1.9788989966404564E-2</v>
      </c>
      <c r="S153" s="27">
        <v>0</v>
      </c>
      <c r="T153" s="4">
        <f t="shared" si="138"/>
        <v>0.22510884102637937</v>
      </c>
      <c r="U153" s="4">
        <f t="shared" si="139"/>
        <v>2.2989393158367719E-2</v>
      </c>
      <c r="V153" s="4">
        <f t="shared" si="140"/>
        <v>9.7918565955902093</v>
      </c>
      <c r="W153" s="20">
        <f t="shared" si="141"/>
        <v>1027.3580675732562</v>
      </c>
      <c r="X153" s="4">
        <f t="shared" si="142"/>
        <v>0.55976020341045174</v>
      </c>
      <c r="Y153" s="4">
        <f t="shared" si="143"/>
        <v>138.38574598989084</v>
      </c>
      <c r="Z153" s="14">
        <f t="shared" si="144"/>
        <v>1027.3580675732562</v>
      </c>
      <c r="AA153" s="14">
        <f t="shared" si="145"/>
        <v>5628.3916222821908</v>
      </c>
      <c r="AB153" s="25">
        <f t="shared" si="146"/>
        <v>434236.74070084008</v>
      </c>
      <c r="AC153" s="4">
        <f t="shared" si="147"/>
        <v>2378970.4004767141</v>
      </c>
      <c r="AD153" s="5">
        <f t="shared" si="148"/>
        <v>18.253137601620633</v>
      </c>
      <c r="AE153" s="7">
        <f t="shared" si="149"/>
        <v>1027.3580675732562</v>
      </c>
      <c r="AF153" s="4">
        <f t="shared" si="150"/>
        <v>0</v>
      </c>
      <c r="AG153" s="4">
        <f t="shared" si="151"/>
        <v>193.31842621697885</v>
      </c>
      <c r="AH153" s="4">
        <f t="shared" si="152"/>
        <v>802.47830351566722</v>
      </c>
      <c r="AI153" s="13">
        <f t="shared" si="153"/>
        <v>0</v>
      </c>
      <c r="AJ153" s="10">
        <f t="shared" si="154"/>
        <v>0</v>
      </c>
      <c r="AK153" s="11">
        <f t="shared" si="155"/>
        <v>1.153022072523284</v>
      </c>
      <c r="AL153" s="7">
        <v>0</v>
      </c>
      <c r="AM153" s="4">
        <f t="shared" si="156"/>
        <v>71.877199520264156</v>
      </c>
      <c r="AN153" s="4">
        <f t="shared" si="157"/>
        <v>16.02219253679964</v>
      </c>
      <c r="AO153" s="6">
        <v>5</v>
      </c>
      <c r="AP153" s="4">
        <f t="shared" si="158"/>
        <v>0.78110867948038587</v>
      </c>
      <c r="AQ153" s="11">
        <f t="shared" si="159"/>
        <v>0.97937395000000005</v>
      </c>
      <c r="AR153" s="11">
        <f t="shared" si="160"/>
        <v>0.8962407041850623</v>
      </c>
      <c r="AS153" s="11">
        <f t="shared" si="161"/>
        <v>0.91511593113647982</v>
      </c>
      <c r="AT153" s="11">
        <f t="shared" si="162"/>
        <v>507.97188664649997</v>
      </c>
      <c r="AU153" s="11">
        <f t="shared" si="163"/>
        <v>1896.6425030105124</v>
      </c>
      <c r="AV153" s="11">
        <f t="shared" si="164"/>
        <v>2.1751390567182989E-3</v>
      </c>
      <c r="AW153" s="11">
        <f t="shared" si="165"/>
        <v>3.6770358841811742E-7</v>
      </c>
      <c r="AX153" s="4">
        <f t="shared" si="166"/>
        <v>20.638055141385731</v>
      </c>
      <c r="AY153" s="4">
        <f t="shared" si="167"/>
        <v>4.6458086739158526</v>
      </c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</row>
    <row r="154" spans="1:64">
      <c r="A154" s="4" t="e">
        <f>#REF!</f>
        <v>#REF!</v>
      </c>
      <c r="B154" s="4">
        <f t="shared" si="127"/>
        <v>1584.5348996632649</v>
      </c>
      <c r="C154" s="4">
        <f t="shared" si="128"/>
        <v>26.40891499438775</v>
      </c>
      <c r="D154" s="23">
        <f t="shared" si="129"/>
        <v>10059.74287</v>
      </c>
      <c r="E154" s="41" t="e">
        <f>#REF!</f>
        <v>#REF!</v>
      </c>
      <c r="F154" s="7">
        <v>0</v>
      </c>
      <c r="G154" s="4"/>
      <c r="H154" s="6">
        <v>3000</v>
      </c>
      <c r="I154" s="5">
        <v>0</v>
      </c>
      <c r="J154" s="4">
        <f t="shared" si="130"/>
        <v>0.39049404414851119</v>
      </c>
      <c r="K154" s="4">
        <f t="shared" si="131"/>
        <v>431.44720335502637</v>
      </c>
      <c r="L154" s="6">
        <f t="shared" si="168"/>
        <v>245</v>
      </c>
      <c r="M154" s="4">
        <f t="shared" si="132"/>
        <v>255.62556483259945</v>
      </c>
      <c r="N154" s="4">
        <f t="shared" si="133"/>
        <v>202.44746706899184</v>
      </c>
      <c r="O154" s="4">
        <f t="shared" si="134"/>
        <v>2552212.4137180727</v>
      </c>
      <c r="P154" s="4">
        <f t="shared" si="135"/>
        <v>16386997.095323116</v>
      </c>
      <c r="Q154" s="4">
        <f t="shared" si="136"/>
        <v>2.7397310987451059E-3</v>
      </c>
      <c r="R154" s="4">
        <f t="shared" si="137"/>
        <v>1.9726058357838871E-2</v>
      </c>
      <c r="S154" s="27">
        <v>0</v>
      </c>
      <c r="T154" s="4">
        <f t="shared" si="138"/>
        <v>0.21604623219788391</v>
      </c>
      <c r="U154" s="4">
        <f t="shared" si="139"/>
        <v>2.2673959967702141E-2</v>
      </c>
      <c r="V154" s="4">
        <f t="shared" si="140"/>
        <v>9.5283855359024336</v>
      </c>
      <c r="W154" s="20">
        <f t="shared" si="141"/>
        <v>1055.7657256935543</v>
      </c>
      <c r="X154" s="4">
        <f t="shared" si="142"/>
        <v>0.55886943887387641</v>
      </c>
      <c r="Y154" s="4">
        <f t="shared" si="143"/>
        <v>138.38574598989084</v>
      </c>
      <c r="Z154" s="14">
        <f t="shared" si="144"/>
        <v>1055.7657256935543</v>
      </c>
      <c r="AA154" s="14">
        <f t="shared" si="145"/>
        <v>5628.3916222821908</v>
      </c>
      <c r="AB154" s="25">
        <f t="shared" si="146"/>
        <v>455507.16974857391</v>
      </c>
      <c r="AC154" s="4">
        <f t="shared" si="147"/>
        <v>2428353.824820511</v>
      </c>
      <c r="AD154" s="5">
        <f t="shared" si="148"/>
        <v>18.757858310958543</v>
      </c>
      <c r="AE154" s="7">
        <f t="shared" si="149"/>
        <v>1055.7657256935543</v>
      </c>
      <c r="AF154" s="4">
        <f t="shared" si="150"/>
        <v>0</v>
      </c>
      <c r="AG154" s="4">
        <f t="shared" si="151"/>
        <v>196.11302998164376</v>
      </c>
      <c r="AH154" s="4">
        <f t="shared" si="152"/>
        <v>827.42093806388209</v>
      </c>
      <c r="AI154" s="13">
        <f t="shared" si="153"/>
        <v>0</v>
      </c>
      <c r="AJ154" s="10">
        <f t="shared" si="154"/>
        <v>0</v>
      </c>
      <c r="AK154" s="11">
        <f t="shared" si="155"/>
        <v>1.1696901154391659</v>
      </c>
      <c r="AL154" s="7">
        <v>0</v>
      </c>
      <c r="AM154" s="4">
        <f t="shared" si="156"/>
        <v>70.41549233069702</v>
      </c>
      <c r="AN154" s="4">
        <f t="shared" si="157"/>
        <v>16.184236866248728</v>
      </c>
      <c r="AO154" s="6">
        <v>5</v>
      </c>
      <c r="AP154" s="4">
        <f t="shared" si="158"/>
        <v>0.78371642299747157</v>
      </c>
      <c r="AQ154" s="11">
        <f t="shared" si="159"/>
        <v>0.97937395000000005</v>
      </c>
      <c r="AR154" s="11">
        <f t="shared" si="160"/>
        <v>0.8962407041850623</v>
      </c>
      <c r="AS154" s="11">
        <f t="shared" si="161"/>
        <v>0.91511593113647982</v>
      </c>
      <c r="AT154" s="11">
        <f t="shared" si="162"/>
        <v>507.97188664649997</v>
      </c>
      <c r="AU154" s="11">
        <f t="shared" si="163"/>
        <v>1896.6425030105124</v>
      </c>
      <c r="AV154" s="11">
        <f t="shared" si="164"/>
        <v>2.1751390567182989E-3</v>
      </c>
      <c r="AW154" s="11">
        <f t="shared" si="165"/>
        <v>3.6770358841811742E-7</v>
      </c>
      <c r="AX154" s="4">
        <f t="shared" si="166"/>
        <v>20.499627655314825</v>
      </c>
      <c r="AY154" s="4">
        <f t="shared" si="167"/>
        <v>4.428867316390309</v>
      </c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</row>
    <row r="155" spans="1:64">
      <c r="A155" s="4" t="e">
        <f>#REF!</f>
        <v>#REF!</v>
      </c>
      <c r="B155" s="4">
        <f t="shared" si="127"/>
        <v>1584.5348996632649</v>
      </c>
      <c r="C155" s="4">
        <f t="shared" si="128"/>
        <v>26.40891499438775</v>
      </c>
      <c r="D155" s="23">
        <f t="shared" si="129"/>
        <v>10059.74287</v>
      </c>
      <c r="E155" s="41" t="e">
        <f>#REF!</f>
        <v>#REF!</v>
      </c>
      <c r="F155" s="7">
        <v>0</v>
      </c>
      <c r="G155" s="4"/>
      <c r="H155" s="6">
        <v>3000</v>
      </c>
      <c r="I155" s="5">
        <v>0</v>
      </c>
      <c r="J155" s="4">
        <f t="shared" si="130"/>
        <v>0.39843353234827905</v>
      </c>
      <c r="K155" s="4">
        <f t="shared" si="131"/>
        <v>440.21934733824503</v>
      </c>
      <c r="L155" s="6">
        <f t="shared" si="168"/>
        <v>250</v>
      </c>
      <c r="M155" s="4">
        <f t="shared" si="132"/>
        <v>260.82291978835275</v>
      </c>
      <c r="N155" s="4">
        <f t="shared" si="133"/>
        <v>210.7634418402989</v>
      </c>
      <c r="O155" s="4">
        <f t="shared" si="134"/>
        <v>2604103.7566096159</v>
      </c>
      <c r="P155" s="4">
        <f t="shared" si="135"/>
        <v>16720175.97991186</v>
      </c>
      <c r="Q155" s="4">
        <f t="shared" si="136"/>
        <v>2.729619369171544E-3</v>
      </c>
      <c r="R155" s="4">
        <f t="shared" si="137"/>
        <v>1.9664326248792274E-2</v>
      </c>
      <c r="S155" s="27">
        <v>0</v>
      </c>
      <c r="T155" s="4">
        <f t="shared" si="138"/>
        <v>0.20752181733396788</v>
      </c>
      <c r="U155" s="4">
        <f t="shared" si="139"/>
        <v>2.2384189786063768E-2</v>
      </c>
      <c r="V155" s="4">
        <f t="shared" si="140"/>
        <v>9.2709103754637319</v>
      </c>
      <c r="W155" s="20">
        <f t="shared" si="141"/>
        <v>1085.0868428869705</v>
      </c>
      <c r="X155" s="4">
        <f t="shared" si="142"/>
        <v>0.5579942710460688</v>
      </c>
      <c r="Y155" s="4">
        <f t="shared" si="143"/>
        <v>138.38574598989084</v>
      </c>
      <c r="Z155" s="14">
        <f t="shared" si="144"/>
        <v>1085.0868428869705</v>
      </c>
      <c r="AA155" s="14">
        <f t="shared" si="145"/>
        <v>5628.3916222821908</v>
      </c>
      <c r="AB155" s="25">
        <f t="shared" si="146"/>
        <v>477676.221781019</v>
      </c>
      <c r="AC155" s="4">
        <f t="shared" si="147"/>
        <v>2477726.8865251122</v>
      </c>
      <c r="AD155" s="5">
        <f t="shared" si="148"/>
        <v>19.278808507056077</v>
      </c>
      <c r="AE155" s="7">
        <f t="shared" si="149"/>
        <v>1085.0868428869705</v>
      </c>
      <c r="AF155" s="4">
        <f t="shared" si="150"/>
        <v>0</v>
      </c>
      <c r="AG155" s="4">
        <f t="shared" si="151"/>
        <v>198.81727501292417</v>
      </c>
      <c r="AH155" s="4">
        <f t="shared" si="152"/>
        <v>853.24227310848369</v>
      </c>
      <c r="AI155" s="13">
        <f t="shared" si="153"/>
        <v>0</v>
      </c>
      <c r="AJ155" s="10">
        <f t="shared" si="154"/>
        <v>0</v>
      </c>
      <c r="AK155" s="11">
        <f t="shared" si="155"/>
        <v>1.1858192256931366</v>
      </c>
      <c r="AL155" s="7">
        <v>0</v>
      </c>
      <c r="AM155" s="4">
        <f t="shared" si="156"/>
        <v>69.012339922451105</v>
      </c>
      <c r="AN155" s="4">
        <f t="shared" si="157"/>
        <v>16.356734941102093</v>
      </c>
      <c r="AO155" s="6">
        <v>5</v>
      </c>
      <c r="AP155" s="4">
        <f t="shared" si="158"/>
        <v>0.78633547047566843</v>
      </c>
      <c r="AQ155" s="11">
        <f t="shared" si="159"/>
        <v>0.97937395000000005</v>
      </c>
      <c r="AR155" s="11">
        <f t="shared" si="160"/>
        <v>0.8962407041850623</v>
      </c>
      <c r="AS155" s="11">
        <f t="shared" si="161"/>
        <v>0.91511593113647982</v>
      </c>
      <c r="AT155" s="11">
        <f t="shared" si="162"/>
        <v>507.97188664649997</v>
      </c>
      <c r="AU155" s="11">
        <f t="shared" si="163"/>
        <v>1896.6425030105124</v>
      </c>
      <c r="AV155" s="11">
        <f t="shared" si="164"/>
        <v>2.1751390567182989E-3</v>
      </c>
      <c r="AW155" s="11">
        <f t="shared" si="165"/>
        <v>3.6770358841811742E-7</v>
      </c>
      <c r="AX155" s="4">
        <f t="shared" si="166"/>
        <v>20.351222461782399</v>
      </c>
      <c r="AY155" s="4">
        <f t="shared" si="167"/>
        <v>4.2233226702369517</v>
      </c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</row>
    <row r="156" spans="1:64">
      <c r="A156" s="4" t="e">
        <f>#REF!</f>
        <v>#REF!</v>
      </c>
      <c r="B156" s="4">
        <f t="shared" si="127"/>
        <v>1584.5348996632649</v>
      </c>
      <c r="C156" s="4">
        <f t="shared" si="128"/>
        <v>26.40891499438775</v>
      </c>
      <c r="D156" s="23">
        <f t="shared" si="129"/>
        <v>10059.74287</v>
      </c>
      <c r="E156" s="41" t="e">
        <f>#REF!</f>
        <v>#REF!</v>
      </c>
      <c r="F156" s="7">
        <v>0</v>
      </c>
      <c r="G156" s="4"/>
      <c r="H156" s="6">
        <v>3000</v>
      </c>
      <c r="I156" s="5">
        <v>0</v>
      </c>
      <c r="J156" s="4">
        <f t="shared" si="130"/>
        <v>0.40637133064490721</v>
      </c>
      <c r="K156" s="4">
        <f t="shared" si="131"/>
        <v>448.98962418931535</v>
      </c>
      <c r="L156" s="6">
        <f t="shared" si="168"/>
        <v>255</v>
      </c>
      <c r="M156" s="4">
        <f t="shared" si="132"/>
        <v>266.0191684981823</v>
      </c>
      <c r="N156" s="4">
        <f t="shared" si="133"/>
        <v>219.24497119866953</v>
      </c>
      <c r="O156" s="4">
        <f t="shared" si="134"/>
        <v>2655984.0545394346</v>
      </c>
      <c r="P156" s="4">
        <f t="shared" si="135"/>
        <v>17053283.948085215</v>
      </c>
      <c r="Q156" s="4">
        <f t="shared" si="136"/>
        <v>2.7196947048834428E-3</v>
      </c>
      <c r="R156" s="4">
        <f t="shared" si="137"/>
        <v>1.9603736173313416E-2</v>
      </c>
      <c r="S156" s="27">
        <v>0</v>
      </c>
      <c r="T156" s="4">
        <f t="shared" si="138"/>
        <v>0.19949380019588925</v>
      </c>
      <c r="U156" s="4">
        <f t="shared" si="139"/>
        <v>2.2117233326032475E-2</v>
      </c>
      <c r="V156" s="4">
        <f t="shared" si="140"/>
        <v>9.0198352232908174</v>
      </c>
      <c r="W156" s="20">
        <f t="shared" si="141"/>
        <v>1115.2912022188561</v>
      </c>
      <c r="X156" s="4">
        <f t="shared" si="142"/>
        <v>0.55713395684231026</v>
      </c>
      <c r="Y156" s="4">
        <f t="shared" si="143"/>
        <v>138.38574598989084</v>
      </c>
      <c r="Z156" s="14">
        <f t="shared" si="144"/>
        <v>1115.2912022188561</v>
      </c>
      <c r="AA156" s="14">
        <f t="shared" si="145"/>
        <v>5628.3916222821908</v>
      </c>
      <c r="AB156" s="25">
        <f t="shared" si="146"/>
        <v>500754.17774589395</v>
      </c>
      <c r="AC156" s="4">
        <f t="shared" si="147"/>
        <v>2527089.4392787716</v>
      </c>
      <c r="AD156" s="5">
        <f t="shared" si="148"/>
        <v>19.81545132367015</v>
      </c>
      <c r="AE156" s="7">
        <f t="shared" si="149"/>
        <v>1115.2912022188561</v>
      </c>
      <c r="AF156" s="4">
        <f t="shared" si="150"/>
        <v>0</v>
      </c>
      <c r="AG156" s="4">
        <f t="shared" si="151"/>
        <v>201.43012477742164</v>
      </c>
      <c r="AH156" s="4">
        <f t="shared" si="152"/>
        <v>879.93387371876565</v>
      </c>
      <c r="AI156" s="13">
        <f t="shared" si="153"/>
        <v>0</v>
      </c>
      <c r="AJ156" s="10">
        <f t="shared" si="154"/>
        <v>0</v>
      </c>
      <c r="AK156" s="11">
        <f t="shared" si="155"/>
        <v>1.2014032210194354</v>
      </c>
      <c r="AL156" s="7">
        <v>0</v>
      </c>
      <c r="AM156" s="4">
        <f t="shared" si="156"/>
        <v>67.664296906194537</v>
      </c>
      <c r="AN156" s="4">
        <f t="shared" si="157"/>
        <v>16.538918580312348</v>
      </c>
      <c r="AO156" s="6">
        <v>5</v>
      </c>
      <c r="AP156" s="4">
        <f t="shared" si="158"/>
        <v>0.78897230783148797</v>
      </c>
      <c r="AQ156" s="11">
        <f t="shared" si="159"/>
        <v>0.97937395000000005</v>
      </c>
      <c r="AR156" s="11">
        <f t="shared" si="160"/>
        <v>0.8962407041850623</v>
      </c>
      <c r="AS156" s="11">
        <f t="shared" si="161"/>
        <v>0.91511593113647982</v>
      </c>
      <c r="AT156" s="11">
        <f t="shared" si="162"/>
        <v>507.97188664649997</v>
      </c>
      <c r="AU156" s="11">
        <f t="shared" si="163"/>
        <v>1896.6425030105124</v>
      </c>
      <c r="AV156" s="11">
        <f t="shared" si="164"/>
        <v>2.1751390567182989E-3</v>
      </c>
      <c r="AW156" s="11">
        <f t="shared" si="165"/>
        <v>3.6770358841811742E-7</v>
      </c>
      <c r="AX156" s="4">
        <f t="shared" si="166"/>
        <v>20.194537073062484</v>
      </c>
      <c r="AY156" s="4">
        <f t="shared" si="167"/>
        <v>4.0286849439020056</v>
      </c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</row>
    <row r="157" spans="1:64">
      <c r="A157" s="4" t="e">
        <f>#REF!</f>
        <v>#REF!</v>
      </c>
      <c r="B157" s="4">
        <f t="shared" si="127"/>
        <v>1584.5348996632649</v>
      </c>
      <c r="C157" s="4">
        <f t="shared" si="128"/>
        <v>26.40891499438775</v>
      </c>
      <c r="D157" s="23">
        <f t="shared" si="129"/>
        <v>10059.74287</v>
      </c>
      <c r="E157" s="41" t="e">
        <f>#REF!</f>
        <v>#REF!</v>
      </c>
      <c r="F157" s="7">
        <v>0</v>
      </c>
      <c r="G157" s="4"/>
      <c r="H157" s="6">
        <v>3000</v>
      </c>
      <c r="I157" s="5">
        <v>0</v>
      </c>
      <c r="J157" s="4">
        <f t="shared" si="130"/>
        <v>0.41430741606371135</v>
      </c>
      <c r="K157" s="4">
        <f t="shared" si="131"/>
        <v>457.75800852407735</v>
      </c>
      <c r="L157" s="6">
        <f t="shared" si="168"/>
        <v>260</v>
      </c>
      <c r="M157" s="4">
        <f t="shared" si="132"/>
        <v>271.21429592237945</v>
      </c>
      <c r="N157" s="4">
        <f t="shared" si="133"/>
        <v>227.89192301397574</v>
      </c>
      <c r="O157" s="4">
        <f t="shared" si="134"/>
        <v>2707853.1573483264</v>
      </c>
      <c r="P157" s="4">
        <f t="shared" si="135"/>
        <v>17386320.035715584</v>
      </c>
      <c r="Q157" s="4">
        <f t="shared" si="136"/>
        <v>2.7099482943284637E-3</v>
      </c>
      <c r="R157" s="4">
        <f t="shared" si="137"/>
        <v>1.9544234336875268E-2</v>
      </c>
      <c r="S157" s="27">
        <v>0</v>
      </c>
      <c r="T157" s="4">
        <f t="shared" si="138"/>
        <v>0.19192436440838048</v>
      </c>
      <c r="U157" s="4">
        <f t="shared" si="139"/>
        <v>2.18706098232898E-2</v>
      </c>
      <c r="V157" s="4">
        <f t="shared" si="140"/>
        <v>8.775446407717542</v>
      </c>
      <c r="W157" s="20">
        <f t="shared" si="141"/>
        <v>1146.3511259271079</v>
      </c>
      <c r="X157" s="4">
        <f t="shared" si="142"/>
        <v>0.55628779960047137</v>
      </c>
      <c r="Y157" s="4">
        <f t="shared" si="143"/>
        <v>138.38574598989084</v>
      </c>
      <c r="Z157" s="14">
        <f t="shared" si="144"/>
        <v>1146.3511259271079</v>
      </c>
      <c r="AA157" s="14">
        <f t="shared" si="145"/>
        <v>5628.3916222821908</v>
      </c>
      <c r="AB157" s="25">
        <f t="shared" si="146"/>
        <v>524751.40847372671</v>
      </c>
      <c r="AC157" s="4">
        <f t="shared" si="147"/>
        <v>2576441.3402094967</v>
      </c>
      <c r="AD157" s="5">
        <f t="shared" si="148"/>
        <v>20.367295008201424</v>
      </c>
      <c r="AE157" s="7">
        <f t="shared" si="149"/>
        <v>1146.3511259271079</v>
      </c>
      <c r="AF157" s="4">
        <f t="shared" si="150"/>
        <v>0</v>
      </c>
      <c r="AG157" s="4">
        <f t="shared" si="151"/>
        <v>203.95053414876892</v>
      </c>
      <c r="AH157" s="4">
        <f t="shared" si="152"/>
        <v>907.48961093212415</v>
      </c>
      <c r="AI157" s="13">
        <f t="shared" si="153"/>
        <v>0</v>
      </c>
      <c r="AJ157" s="10">
        <f t="shared" si="154"/>
        <v>0</v>
      </c>
      <c r="AK157" s="11">
        <f t="shared" si="155"/>
        <v>1.2164358679006808</v>
      </c>
      <c r="AL157" s="7">
        <v>0</v>
      </c>
      <c r="AM157" s="4">
        <f t="shared" si="156"/>
        <v>66.368182911536252</v>
      </c>
      <c r="AN157" s="4">
        <f t="shared" si="157"/>
        <v>16.73012124685058</v>
      </c>
      <c r="AO157" s="6">
        <v>5</v>
      </c>
      <c r="AP157" s="4">
        <f t="shared" si="158"/>
        <v>0.79163320068988008</v>
      </c>
      <c r="AQ157" s="11">
        <f t="shared" si="159"/>
        <v>0.97937395000000005</v>
      </c>
      <c r="AR157" s="11">
        <f t="shared" si="160"/>
        <v>0.8962407041850623</v>
      </c>
      <c r="AS157" s="11">
        <f t="shared" si="161"/>
        <v>0.91511593113647982</v>
      </c>
      <c r="AT157" s="11">
        <f t="shared" si="162"/>
        <v>507.97188664649997</v>
      </c>
      <c r="AU157" s="11">
        <f t="shared" si="163"/>
        <v>1896.6425030105124</v>
      </c>
      <c r="AV157" s="11">
        <f t="shared" si="164"/>
        <v>2.1751390567182989E-3</v>
      </c>
      <c r="AW157" s="11">
        <f t="shared" si="165"/>
        <v>3.6770358841811742E-7</v>
      </c>
      <c r="AX157" s="4">
        <f t="shared" si="166"/>
        <v>20.031070652639112</v>
      </c>
      <c r="AY157" s="4">
        <f t="shared" si="167"/>
        <v>3.8444505034271246</v>
      </c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</row>
    <row r="158" spans="1:64">
      <c r="A158" s="4" t="e">
        <f>#REF!</f>
        <v>#REF!</v>
      </c>
      <c r="B158" s="4">
        <f t="shared" si="127"/>
        <v>1584.5348996632649</v>
      </c>
      <c r="C158" s="4">
        <f t="shared" si="128"/>
        <v>26.40891499438775</v>
      </c>
      <c r="D158" s="23">
        <f t="shared" si="129"/>
        <v>10059.74287</v>
      </c>
      <c r="E158" s="41" t="e">
        <f>#REF!</f>
        <v>#REF!</v>
      </c>
      <c r="F158" s="7">
        <v>0</v>
      </c>
      <c r="G158" s="4"/>
      <c r="H158" s="6">
        <v>3000</v>
      </c>
      <c r="I158" s="5">
        <v>0</v>
      </c>
      <c r="J158" s="4">
        <f t="shared" si="130"/>
        <v>0.4222417661867861</v>
      </c>
      <c r="K158" s="4">
        <f t="shared" si="131"/>
        <v>466.52447557354219</v>
      </c>
      <c r="L158" s="6">
        <f t="shared" si="168"/>
        <v>265</v>
      </c>
      <c r="M158" s="4">
        <f t="shared" si="132"/>
        <v>276.40828738571457</v>
      </c>
      <c r="N158" s="4">
        <f t="shared" si="133"/>
        <v>236.70416386694885</v>
      </c>
      <c r="O158" s="4">
        <f t="shared" si="134"/>
        <v>2759710.918516113</v>
      </c>
      <c r="P158" s="4">
        <f t="shared" si="135"/>
        <v>17719283.302040465</v>
      </c>
      <c r="Q158" s="4">
        <f t="shared" si="136"/>
        <v>2.7003718789109202E-3</v>
      </c>
      <c r="R158" s="4">
        <f t="shared" si="137"/>
        <v>1.9485770320751168E-2</v>
      </c>
      <c r="S158" s="27">
        <v>0</v>
      </c>
      <c r="T158" s="4">
        <f t="shared" si="138"/>
        <v>0.18477922721649273</v>
      </c>
      <c r="U158" s="4">
        <f t="shared" si="139"/>
        <v>2.1642153243412576E-2</v>
      </c>
      <c r="V158" s="4">
        <f t="shared" si="140"/>
        <v>8.5379317454346051</v>
      </c>
      <c r="W158" s="20">
        <f t="shared" si="141"/>
        <v>1178.2411911853403</v>
      </c>
      <c r="X158" s="4">
        <f t="shared" si="142"/>
        <v>0.55545514540925611</v>
      </c>
      <c r="Y158" s="4">
        <f t="shared" si="143"/>
        <v>138.38574598989084</v>
      </c>
      <c r="Z158" s="14">
        <f t="shared" si="144"/>
        <v>1178.2411911853403</v>
      </c>
      <c r="AA158" s="14">
        <f t="shared" si="145"/>
        <v>5628.3916222821908</v>
      </c>
      <c r="AB158" s="25">
        <f t="shared" si="146"/>
        <v>549678.35381688655</v>
      </c>
      <c r="AC158" s="4">
        <f t="shared" si="147"/>
        <v>2625782.4499077173</v>
      </c>
      <c r="AD158" s="5">
        <f t="shared" si="148"/>
        <v>20.933887871640124</v>
      </c>
      <c r="AE158" s="7">
        <f t="shared" si="149"/>
        <v>1178.2411911853403</v>
      </c>
      <c r="AF158" s="4">
        <f t="shared" si="150"/>
        <v>0</v>
      </c>
      <c r="AG158" s="4">
        <f t="shared" si="151"/>
        <v>206.37745148359153</v>
      </c>
      <c r="AH158" s="4">
        <f t="shared" si="152"/>
        <v>935.90534694090525</v>
      </c>
      <c r="AI158" s="13">
        <f t="shared" si="153"/>
        <v>0</v>
      </c>
      <c r="AJ158" s="10">
        <f t="shared" si="154"/>
        <v>0</v>
      </c>
      <c r="AK158" s="11">
        <f t="shared" si="155"/>
        <v>1.2309108939496674</v>
      </c>
      <c r="AL158" s="7">
        <v>0</v>
      </c>
      <c r="AM158" s="4">
        <f t="shared" si="156"/>
        <v>65.121057585664431</v>
      </c>
      <c r="AN158" s="4">
        <f t="shared" si="157"/>
        <v>16.929762775797208</v>
      </c>
      <c r="AO158" s="6">
        <v>5</v>
      </c>
      <c r="AP158" s="4">
        <f t="shared" si="158"/>
        <v>0.79432407722850096</v>
      </c>
      <c r="AQ158" s="11">
        <f t="shared" si="159"/>
        <v>0.97937395000000005</v>
      </c>
      <c r="AR158" s="11">
        <f t="shared" si="160"/>
        <v>0.8962407041850623</v>
      </c>
      <c r="AS158" s="11">
        <f t="shared" si="161"/>
        <v>0.91511593113647982</v>
      </c>
      <c r="AT158" s="11">
        <f t="shared" si="162"/>
        <v>507.97188664649997</v>
      </c>
      <c r="AU158" s="11">
        <f t="shared" si="163"/>
        <v>1896.6425030105124</v>
      </c>
      <c r="AV158" s="11">
        <f t="shared" si="164"/>
        <v>2.1751390567182989E-3</v>
      </c>
      <c r="AW158" s="11">
        <f t="shared" si="165"/>
        <v>3.6770358841811742E-7</v>
      </c>
      <c r="AX158" s="4">
        <f t="shared" si="166"/>
        <v>19.862143048178805</v>
      </c>
      <c r="AY158" s="4">
        <f t="shared" si="167"/>
        <v>3.6701114433059132</v>
      </c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</row>
    <row r="159" spans="1:64">
      <c r="A159" s="4" t="e">
        <f>#REF!</f>
        <v>#REF!</v>
      </c>
      <c r="B159" s="4">
        <f t="shared" si="127"/>
        <v>1584.5348996632649</v>
      </c>
      <c r="C159" s="4">
        <f t="shared" si="128"/>
        <v>26.40891499438775</v>
      </c>
      <c r="D159" s="23">
        <f t="shared" si="129"/>
        <v>10059.74287</v>
      </c>
      <c r="E159" s="41" t="e">
        <f>#REF!</f>
        <v>#REF!</v>
      </c>
      <c r="F159" s="7">
        <v>0</v>
      </c>
      <c r="G159" s="4"/>
      <c r="H159" s="6">
        <v>3000</v>
      </c>
      <c r="I159" s="5">
        <v>0</v>
      </c>
      <c r="J159" s="4">
        <f t="shared" si="130"/>
        <v>0.43017435915634772</v>
      </c>
      <c r="K159" s="4">
        <f t="shared" si="131"/>
        <v>475.28900118758582</v>
      </c>
      <c r="L159" s="6">
        <f t="shared" si="168"/>
        <v>270</v>
      </c>
      <c r="M159" s="4">
        <f t="shared" si="132"/>
        <v>281.60112857962559</v>
      </c>
      <c r="N159" s="4">
        <f t="shared" si="133"/>
        <v>245.68155911268823</v>
      </c>
      <c r="O159" s="4">
        <f t="shared" si="134"/>
        <v>2811557.1951834937</v>
      </c>
      <c r="P159" s="4">
        <f t="shared" si="135"/>
        <v>18052172.829802763</v>
      </c>
      <c r="Q159" s="4">
        <f t="shared" si="136"/>
        <v>2.6909577093002031E-3</v>
      </c>
      <c r="R159" s="4">
        <f t="shared" si="137"/>
        <v>1.9428296815277739E-2</v>
      </c>
      <c r="S159" s="27">
        <v>0</v>
      </c>
      <c r="T159" s="4">
        <f t="shared" si="138"/>
        <v>0.17802725054426774</v>
      </c>
      <c r="U159" s="4">
        <f t="shared" si="139"/>
        <v>2.1429967183552147E-2</v>
      </c>
      <c r="V159" s="4">
        <f t="shared" si="140"/>
        <v>8.3073972544814065</v>
      </c>
      <c r="W159" s="20">
        <f t="shared" si="141"/>
        <v>1210.9379823594322</v>
      </c>
      <c r="X159" s="4">
        <f t="shared" si="142"/>
        <v>0.55463537979023492</v>
      </c>
      <c r="Y159" s="4">
        <f t="shared" si="143"/>
        <v>138.38574598989084</v>
      </c>
      <c r="Z159" s="14">
        <f t="shared" si="144"/>
        <v>1210.9379823594322</v>
      </c>
      <c r="AA159" s="14">
        <f t="shared" si="145"/>
        <v>5628.3916222821908</v>
      </c>
      <c r="AB159" s="25">
        <f t="shared" si="146"/>
        <v>575545.50413572497</v>
      </c>
      <c r="AC159" s="4">
        <f t="shared" si="147"/>
        <v>2675112.6324470784</v>
      </c>
      <c r="AD159" s="5">
        <f t="shared" si="148"/>
        <v>21.514813886891957</v>
      </c>
      <c r="AE159" s="7">
        <f t="shared" si="149"/>
        <v>1210.9379823594322</v>
      </c>
      <c r="AF159" s="4">
        <f t="shared" si="150"/>
        <v>0</v>
      </c>
      <c r="AG159" s="4">
        <f t="shared" si="151"/>
        <v>208.70982046396512</v>
      </c>
      <c r="AH159" s="4">
        <f t="shared" si="152"/>
        <v>965.17860853338686</v>
      </c>
      <c r="AI159" s="13">
        <f t="shared" si="153"/>
        <v>0</v>
      </c>
      <c r="AJ159" s="10">
        <f t="shared" si="154"/>
        <v>0</v>
      </c>
      <c r="AK159" s="11">
        <f t="shared" si="155"/>
        <v>1.2448219988984577</v>
      </c>
      <c r="AL159" s="7">
        <v>0</v>
      </c>
      <c r="AM159" s="4">
        <f t="shared" si="156"/>
        <v>63.920198369909286</v>
      </c>
      <c r="AN159" s="4">
        <f t="shared" si="157"/>
        <v>17.137335588846419</v>
      </c>
      <c r="AO159" s="6">
        <v>5</v>
      </c>
      <c r="AP159" s="4">
        <f t="shared" si="158"/>
        <v>0.79705040439213948</v>
      </c>
      <c r="AQ159" s="11">
        <f t="shared" si="159"/>
        <v>0.97937395000000005</v>
      </c>
      <c r="AR159" s="11">
        <f t="shared" si="160"/>
        <v>0.8962407041850623</v>
      </c>
      <c r="AS159" s="11">
        <f t="shared" si="161"/>
        <v>0.91511593113647982</v>
      </c>
      <c r="AT159" s="11">
        <f t="shared" si="162"/>
        <v>507.97188664649997</v>
      </c>
      <c r="AU159" s="11">
        <f t="shared" si="163"/>
        <v>1896.6425030105124</v>
      </c>
      <c r="AV159" s="11">
        <f t="shared" si="164"/>
        <v>2.1751390567182989E-3</v>
      </c>
      <c r="AW159" s="11">
        <f t="shared" si="165"/>
        <v>3.6770358841811742E-7</v>
      </c>
      <c r="AX159" s="4">
        <f t="shared" si="166"/>
        <v>19.688912835791758</v>
      </c>
      <c r="AY159" s="4">
        <f t="shared" si="167"/>
        <v>3.5051630183617482</v>
      </c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</row>
    <row r="160" spans="1:64">
      <c r="A160" s="4" t="e">
        <f>#REF!</f>
        <v>#REF!</v>
      </c>
      <c r="B160" s="4">
        <f t="shared" si="127"/>
        <v>1584.5348996632649</v>
      </c>
      <c r="C160" s="4">
        <f t="shared" si="128"/>
        <v>26.40891499438775</v>
      </c>
      <c r="D160" s="23">
        <f t="shared" si="129"/>
        <v>10059.74287</v>
      </c>
      <c r="E160" s="41" t="e">
        <f>#REF!</f>
        <v>#REF!</v>
      </c>
      <c r="F160" s="7">
        <v>0</v>
      </c>
      <c r="G160" s="4"/>
      <c r="H160" s="6">
        <v>3000</v>
      </c>
      <c r="I160" s="5">
        <v>0</v>
      </c>
      <c r="J160" s="4">
        <f t="shared" si="130"/>
        <v>0.43810517367772506</v>
      </c>
      <c r="K160" s="4">
        <f t="shared" si="131"/>
        <v>484.05156183825312</v>
      </c>
      <c r="L160" s="6">
        <f t="shared" si="168"/>
        <v>275</v>
      </c>
      <c r="M160" s="4">
        <f t="shared" si="132"/>
        <v>286.79280556417558</v>
      </c>
      <c r="N160" s="4">
        <f t="shared" si="133"/>
        <v>254.82397294415719</v>
      </c>
      <c r="O160" s="4">
        <f t="shared" si="134"/>
        <v>2863391.8481715857</v>
      </c>
      <c r="P160" s="4">
        <f t="shared" si="135"/>
        <v>18384987.725376252</v>
      </c>
      <c r="Q160" s="4">
        <f t="shared" si="136"/>
        <v>2.6816985059298745E-3</v>
      </c>
      <c r="R160" s="4">
        <f t="shared" si="137"/>
        <v>1.9371769378701883E-2</v>
      </c>
      <c r="S160" s="27">
        <v>0</v>
      </c>
      <c r="T160" s="4">
        <f t="shared" si="138"/>
        <v>0.17164010109773201</v>
      </c>
      <c r="U160" s="4">
        <f t="shared" si="139"/>
        <v>2.1232386933545351E-2</v>
      </c>
      <c r="V160" s="4">
        <f t="shared" si="140"/>
        <v>8.0838815548597296</v>
      </c>
      <c r="W160" s="20">
        <f t="shared" si="141"/>
        <v>1244.4198745035367</v>
      </c>
      <c r="X160" s="4">
        <f t="shared" si="142"/>
        <v>0.55382792469368525</v>
      </c>
      <c r="Y160" s="4">
        <f t="shared" si="143"/>
        <v>138.38574598989081</v>
      </c>
      <c r="Z160" s="14">
        <f t="shared" si="144"/>
        <v>1244.4198745035367</v>
      </c>
      <c r="AA160" s="14">
        <f t="shared" si="145"/>
        <v>5628.3916222821908</v>
      </c>
      <c r="AB160" s="25">
        <f t="shared" si="146"/>
        <v>602363.38383599988</v>
      </c>
      <c r="AC160" s="4">
        <f t="shared" si="147"/>
        <v>2724431.7554030339</v>
      </c>
      <c r="AD160" s="5">
        <f t="shared" si="148"/>
        <v>22.109688842137665</v>
      </c>
      <c r="AE160" s="7">
        <f t="shared" si="149"/>
        <v>1244.4198745035367</v>
      </c>
      <c r="AF160" s="4">
        <f t="shared" si="150"/>
        <v>0</v>
      </c>
      <c r="AG160" s="4">
        <f t="shared" si="151"/>
        <v>210.94658173574513</v>
      </c>
      <c r="AH160" s="4">
        <f t="shared" si="152"/>
        <v>995.30824234496401</v>
      </c>
      <c r="AI160" s="13">
        <f t="shared" si="153"/>
        <v>0</v>
      </c>
      <c r="AJ160" s="10">
        <f t="shared" si="154"/>
        <v>0</v>
      </c>
      <c r="AK160" s="11">
        <f t="shared" si="155"/>
        <v>1.2581628643699825</v>
      </c>
      <c r="AL160" s="7">
        <v>0</v>
      </c>
      <c r="AM160" s="4">
        <f t="shared" si="156"/>
        <v>62.763080700684249</v>
      </c>
      <c r="AN160" s="4">
        <f t="shared" si="157"/>
        <v>17.352392093431437</v>
      </c>
      <c r="AO160" s="6">
        <v>5</v>
      </c>
      <c r="AP160" s="4">
        <f t="shared" si="158"/>
        <v>0.79981705752011056</v>
      </c>
      <c r="AQ160" s="11">
        <f t="shared" si="159"/>
        <v>0.97937395000000005</v>
      </c>
      <c r="AR160" s="11">
        <f t="shared" si="160"/>
        <v>0.8962407041850623</v>
      </c>
      <c r="AS160" s="11">
        <f t="shared" si="161"/>
        <v>0.91511593113647982</v>
      </c>
      <c r="AT160" s="11">
        <f t="shared" si="162"/>
        <v>507.97188664649997</v>
      </c>
      <c r="AU160" s="11">
        <f t="shared" si="163"/>
        <v>1896.6425030105124</v>
      </c>
      <c r="AV160" s="11">
        <f t="shared" si="164"/>
        <v>2.1751390567182989E-3</v>
      </c>
      <c r="AW160" s="11">
        <f t="shared" si="165"/>
        <v>3.6770358841811742E-7</v>
      </c>
      <c r="AX160" s="4">
        <f t="shared" si="166"/>
        <v>19.51239417850022</v>
      </c>
      <c r="AY160" s="4">
        <f t="shared" si="167"/>
        <v>3.3491093094565758</v>
      </c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</row>
    <row r="161" spans="1:64">
      <c r="A161" s="4" t="e">
        <f>#REF!</f>
        <v>#REF!</v>
      </c>
      <c r="B161" s="4">
        <f t="shared" si="127"/>
        <v>1584.5348996632649</v>
      </c>
      <c r="C161" s="4">
        <f t="shared" si="128"/>
        <v>26.40891499438775</v>
      </c>
      <c r="D161" s="23">
        <f t="shared" si="129"/>
        <v>10059.74287</v>
      </c>
      <c r="E161" s="41" t="e">
        <f>#REF!</f>
        <v>#REF!</v>
      </c>
      <c r="F161" s="7">
        <v>0</v>
      </c>
      <c r="G161" s="4"/>
      <c r="H161" s="6">
        <v>3000</v>
      </c>
      <c r="I161" s="5">
        <v>0</v>
      </c>
      <c r="J161" s="4">
        <f t="shared" si="130"/>
        <v>0.44603418902200492</v>
      </c>
      <c r="K161" s="4">
        <f t="shared" si="131"/>
        <v>492.81213462268101</v>
      </c>
      <c r="L161" s="6">
        <f t="shared" si="168"/>
        <v>280</v>
      </c>
      <c r="M161" s="4">
        <f t="shared" si="132"/>
        <v>291.98330476978452</v>
      </c>
      <c r="N161" s="4">
        <f t="shared" si="133"/>
        <v>264.13126845562073</v>
      </c>
      <c r="O161" s="4">
        <f t="shared" si="134"/>
        <v>2915214.7419992206</v>
      </c>
      <c r="P161" s="4">
        <f t="shared" si="135"/>
        <v>18717727.118876632</v>
      </c>
      <c r="Q161" s="4">
        <f t="shared" si="136"/>
        <v>2.6725874232169317E-3</v>
      </c>
      <c r="R161" s="4">
        <f t="shared" si="137"/>
        <v>1.9316146218739366E-2</v>
      </c>
      <c r="S161" s="27">
        <v>0</v>
      </c>
      <c r="T161" s="4">
        <f t="shared" si="138"/>
        <v>0.16559195256963571</v>
      </c>
      <c r="U161" s="4">
        <f t="shared" si="139"/>
        <v>2.1047947454216939E-2</v>
      </c>
      <c r="V161" s="4">
        <f t="shared" si="140"/>
        <v>7.8673682044212585</v>
      </c>
      <c r="W161" s="20">
        <f t="shared" si="141"/>
        <v>1278.6668436780019</v>
      </c>
      <c r="X161" s="4">
        <f t="shared" si="142"/>
        <v>0.55303223577341998</v>
      </c>
      <c r="Y161" s="4">
        <f t="shared" si="143"/>
        <v>138.38574598989081</v>
      </c>
      <c r="Z161" s="14">
        <f t="shared" si="144"/>
        <v>1278.6668436780019</v>
      </c>
      <c r="AA161" s="14">
        <f t="shared" si="145"/>
        <v>5628.3916222821908</v>
      </c>
      <c r="AB161" s="25">
        <f t="shared" si="146"/>
        <v>630142.53670420207</v>
      </c>
      <c r="AC161" s="4">
        <f t="shared" si="147"/>
        <v>2773739.6898693009</v>
      </c>
      <c r="AD161" s="5">
        <f t="shared" si="148"/>
        <v>22.718156970739187</v>
      </c>
      <c r="AE161" s="7">
        <f t="shared" si="149"/>
        <v>1278.6668436780019</v>
      </c>
      <c r="AF161" s="4">
        <f t="shared" si="150"/>
        <v>0</v>
      </c>
      <c r="AG161" s="4">
        <f t="shared" si="151"/>
        <v>213.08667436796014</v>
      </c>
      <c r="AH161" s="4">
        <f t="shared" si="152"/>
        <v>1026.2940459531767</v>
      </c>
      <c r="AI161" s="13">
        <f t="shared" si="153"/>
        <v>0</v>
      </c>
      <c r="AJ161" s="10">
        <f t="shared" si="154"/>
        <v>0</v>
      </c>
      <c r="AK161" s="11">
        <f t="shared" si="155"/>
        <v>1.2709271625823979</v>
      </c>
      <c r="AL161" s="7">
        <v>0</v>
      </c>
      <c r="AM161" s="4">
        <f t="shared" si="156"/>
        <v>61.647360331756552</v>
      </c>
      <c r="AN161" s="4">
        <f t="shared" si="157"/>
        <v>17.574533015892168</v>
      </c>
      <c r="AO161" s="6">
        <v>5</v>
      </c>
      <c r="AP161" s="4">
        <f t="shared" si="158"/>
        <v>0.80262818342978903</v>
      </c>
      <c r="AQ161" s="11">
        <f t="shared" si="159"/>
        <v>0.97937395000000005</v>
      </c>
      <c r="AR161" s="11">
        <f t="shared" si="160"/>
        <v>0.8962407041850623</v>
      </c>
      <c r="AS161" s="11">
        <f t="shared" si="161"/>
        <v>0.91511593113647982</v>
      </c>
      <c r="AT161" s="11">
        <f t="shared" si="162"/>
        <v>507.97188664649997</v>
      </c>
      <c r="AU161" s="11">
        <f t="shared" si="163"/>
        <v>1896.6425030105124</v>
      </c>
      <c r="AV161" s="11">
        <f t="shared" si="164"/>
        <v>2.1751390567182989E-3</v>
      </c>
      <c r="AW161" s="11">
        <f t="shared" si="165"/>
        <v>3.6770358841811742E-7</v>
      </c>
      <c r="AX161" s="4">
        <f t="shared" si="166"/>
        <v>19.333472397339889</v>
      </c>
      <c r="AY161" s="4">
        <f t="shared" si="167"/>
        <v>3.2014674442266675</v>
      </c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</row>
    <row r="162" spans="1:64">
      <c r="A162" s="4" t="e">
        <f>#REF!</f>
        <v>#REF!</v>
      </c>
      <c r="B162" s="4">
        <f t="shared" si="127"/>
        <v>1584.5348996632649</v>
      </c>
      <c r="C162" s="4">
        <f t="shared" si="128"/>
        <v>26.40891499438775</v>
      </c>
      <c r="D162" s="23">
        <f t="shared" si="129"/>
        <v>10059.74287</v>
      </c>
      <c r="E162" s="41" t="e">
        <f>#REF!</f>
        <v>#REF!</v>
      </c>
      <c r="F162" s="7">
        <v>0</v>
      </c>
      <c r="G162" s="4"/>
      <c r="H162" s="6">
        <v>3000</v>
      </c>
      <c r="I162" s="5">
        <v>0</v>
      </c>
      <c r="J162" s="4">
        <f t="shared" si="130"/>
        <v>0.45396138502838035</v>
      </c>
      <c r="K162" s="4">
        <f t="shared" si="131"/>
        <v>501.57069726569301</v>
      </c>
      <c r="L162" s="6">
        <f t="shared" si="168"/>
        <v>285</v>
      </c>
      <c r="M162" s="4">
        <f t="shared" si="132"/>
        <v>297.17261299876685</v>
      </c>
      <c r="N162" s="4">
        <f t="shared" si="133"/>
        <v>273.60330770603156</v>
      </c>
      <c r="O162" s="4">
        <f t="shared" si="134"/>
        <v>2967025.7448982894</v>
      </c>
      <c r="P162" s="4">
        <f t="shared" si="135"/>
        <v>19050390.164260052</v>
      </c>
      <c r="Q162" s="4">
        <f t="shared" si="136"/>
        <v>2.6636180170908912E-3</v>
      </c>
      <c r="R162" s="4">
        <f t="shared" si="137"/>
        <v>1.926138799433989E-2</v>
      </c>
      <c r="S162" s="27">
        <v>0</v>
      </c>
      <c r="T162" s="4">
        <f t="shared" si="138"/>
        <v>0.15985922408969719</v>
      </c>
      <c r="U162" s="4">
        <f t="shared" si="139"/>
        <v>2.087535626379412E-2</v>
      </c>
      <c r="V162" s="4">
        <f t="shared" si="140"/>
        <v>7.6577962104989048</v>
      </c>
      <c r="W162" s="20">
        <f t="shared" si="141"/>
        <v>1313.660300362656</v>
      </c>
      <c r="X162" s="4">
        <f t="shared" si="142"/>
        <v>0.55224779991018758</v>
      </c>
      <c r="Y162" s="4">
        <f t="shared" si="143"/>
        <v>138.38574598989084</v>
      </c>
      <c r="Z162" s="14">
        <f t="shared" si="144"/>
        <v>1313.660300362656</v>
      </c>
      <c r="AA162" s="14">
        <f t="shared" si="145"/>
        <v>5628.3916222821908</v>
      </c>
      <c r="AB162" s="25">
        <f t="shared" si="146"/>
        <v>658893.51282315713</v>
      </c>
      <c r="AC162" s="4">
        <f t="shared" si="147"/>
        <v>2823036.3104724637</v>
      </c>
      <c r="AD162" s="5">
        <f t="shared" si="148"/>
        <v>23.339887991482641</v>
      </c>
      <c r="AE162" s="7">
        <f t="shared" si="149"/>
        <v>1313.660300362656</v>
      </c>
      <c r="AF162" s="4">
        <f t="shared" si="150"/>
        <v>0</v>
      </c>
      <c r="AG162" s="4">
        <f t="shared" si="151"/>
        <v>215.12903715493343</v>
      </c>
      <c r="AH162" s="4">
        <f t="shared" si="152"/>
        <v>1058.1363692364901</v>
      </c>
      <c r="AI162" s="13">
        <f t="shared" si="153"/>
        <v>0</v>
      </c>
      <c r="AJ162" s="10">
        <f t="shared" si="154"/>
        <v>0</v>
      </c>
      <c r="AK162" s="11">
        <f t="shared" si="155"/>
        <v>1.2831085641154172</v>
      </c>
      <c r="AL162" s="7">
        <v>0</v>
      </c>
      <c r="AM162" s="4">
        <f t="shared" si="156"/>
        <v>60.570857517326786</v>
      </c>
      <c r="AN162" s="4">
        <f t="shared" si="157"/>
        <v>17.803396459701368</v>
      </c>
      <c r="AO162" s="6">
        <v>5</v>
      </c>
      <c r="AP162" s="4">
        <f t="shared" si="158"/>
        <v>0.80548705699972467</v>
      </c>
      <c r="AQ162" s="11">
        <f t="shared" si="159"/>
        <v>0.97937395000000005</v>
      </c>
      <c r="AR162" s="11">
        <f t="shared" si="160"/>
        <v>0.8962407041850623</v>
      </c>
      <c r="AS162" s="11">
        <f t="shared" si="161"/>
        <v>0.91511593113647982</v>
      </c>
      <c r="AT162" s="11">
        <f t="shared" si="162"/>
        <v>507.97188664649997</v>
      </c>
      <c r="AU162" s="11">
        <f t="shared" si="163"/>
        <v>1896.6425030105124</v>
      </c>
      <c r="AV162" s="11">
        <f t="shared" si="164"/>
        <v>2.1751390567182989E-3</v>
      </c>
      <c r="AW162" s="11">
        <f t="shared" si="165"/>
        <v>3.6770358841811742E-7</v>
      </c>
      <c r="AX162" s="4">
        <f t="shared" si="166"/>
        <v>19.152918222611632</v>
      </c>
      <c r="AY162" s="4">
        <f t="shared" si="167"/>
        <v>3.061770646120118</v>
      </c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</row>
    <row r="163" spans="1:64">
      <c r="A163" s="4" t="e">
        <f>#REF!</f>
        <v>#REF!</v>
      </c>
      <c r="B163" s="4">
        <f t="shared" si="127"/>
        <v>1584.5348996632649</v>
      </c>
      <c r="C163" s="4">
        <f t="shared" si="128"/>
        <v>26.40891499438775</v>
      </c>
      <c r="D163" s="23">
        <f t="shared" si="129"/>
        <v>10059.74287</v>
      </c>
      <c r="E163" s="41" t="e">
        <f>#REF!</f>
        <v>#REF!</v>
      </c>
      <c r="F163" s="7">
        <v>0</v>
      </c>
      <c r="G163" s="4"/>
      <c r="H163" s="6">
        <v>3000</v>
      </c>
      <c r="I163" s="5">
        <v>0</v>
      </c>
      <c r="J163" s="4">
        <f t="shared" si="130"/>
        <v>0.46188674210613473</v>
      </c>
      <c r="K163" s="4">
        <f t="shared" si="131"/>
        <v>510.32722812199114</v>
      </c>
      <c r="L163" s="6">
        <f t="shared" si="168"/>
        <v>290</v>
      </c>
      <c r="M163" s="4">
        <f t="shared" si="132"/>
        <v>302.36071742662978</v>
      </c>
      <c r="N163" s="4">
        <f t="shared" si="133"/>
        <v>283.23995178223566</v>
      </c>
      <c r="O163" s="4">
        <f t="shared" si="134"/>
        <v>3018824.7288267105</v>
      </c>
      <c r="P163" s="4">
        <f t="shared" si="135"/>
        <v>19382976.03940637</v>
      </c>
      <c r="Q163" s="4">
        <f t="shared" si="136"/>
        <v>2.6547842154740573E-3</v>
      </c>
      <c r="R163" s="4">
        <f t="shared" si="137"/>
        <v>1.9207457635469122E-2</v>
      </c>
      <c r="S163" s="27">
        <v>0</v>
      </c>
      <c r="T163" s="4">
        <f t="shared" si="138"/>
        <v>0.15442034996492343</v>
      </c>
      <c r="U163" s="4">
        <f t="shared" si="139"/>
        <v>2.0713470409567336E-2</v>
      </c>
      <c r="V163" s="4">
        <f t="shared" si="140"/>
        <v>7.4550689436183655</v>
      </c>
      <c r="W163" s="20">
        <f t="shared" si="141"/>
        <v>1349.3829428111821</v>
      </c>
      <c r="X163" s="4">
        <f t="shared" si="142"/>
        <v>0.5514741329570263</v>
      </c>
      <c r="Y163" s="4">
        <f t="shared" si="143"/>
        <v>138.38574598989084</v>
      </c>
      <c r="Z163" s="14">
        <f t="shared" si="144"/>
        <v>1349.3829428111821</v>
      </c>
      <c r="AA163" s="14">
        <f t="shared" si="145"/>
        <v>5628.3916222821908</v>
      </c>
      <c r="AB163" s="25">
        <f t="shared" si="146"/>
        <v>688626.85687992582</v>
      </c>
      <c r="AC163" s="4">
        <f t="shared" si="147"/>
        <v>2872321.4953843076</v>
      </c>
      <c r="AD163" s="5">
        <f t="shared" si="148"/>
        <v>23.974574503115985</v>
      </c>
      <c r="AE163" s="7">
        <f t="shared" si="149"/>
        <v>1349.3829428111824</v>
      </c>
      <c r="AF163" s="4">
        <f t="shared" si="150"/>
        <v>0</v>
      </c>
      <c r="AG163" s="4">
        <f t="shared" si="151"/>
        <v>217.07260977977478</v>
      </c>
      <c r="AH163" s="4">
        <f t="shared" si="152"/>
        <v>1090.8356807287298</v>
      </c>
      <c r="AI163" s="13">
        <f t="shared" si="153"/>
        <v>1.153458682158681E-14</v>
      </c>
      <c r="AJ163" s="10">
        <f t="shared" si="154"/>
        <v>1.2950183860191016E-15</v>
      </c>
      <c r="AK163" s="11">
        <f t="shared" si="155"/>
        <v>1.294700744849802</v>
      </c>
      <c r="AL163" s="7">
        <v>0</v>
      </c>
      <c r="AM163" s="4">
        <f t="shared" si="156"/>
        <v>59.531542831346286</v>
      </c>
      <c r="AN163" s="4">
        <f t="shared" si="157"/>
        <v>18.038647513684211</v>
      </c>
      <c r="AO163" s="6">
        <v>5</v>
      </c>
      <c r="AP163" s="4">
        <f t="shared" si="158"/>
        <v>0.80839593129596066</v>
      </c>
      <c r="AQ163" s="11">
        <f t="shared" si="159"/>
        <v>0.97937395000000005</v>
      </c>
      <c r="AR163" s="11">
        <f t="shared" si="160"/>
        <v>0.8962407041850623</v>
      </c>
      <c r="AS163" s="11">
        <f t="shared" si="161"/>
        <v>0.91511593113647982</v>
      </c>
      <c r="AT163" s="11">
        <f t="shared" si="162"/>
        <v>507.97188664649997</v>
      </c>
      <c r="AU163" s="11">
        <f t="shared" si="163"/>
        <v>1896.6425030105124</v>
      </c>
      <c r="AV163" s="11">
        <f t="shared" si="164"/>
        <v>2.1751390567182989E-3</v>
      </c>
      <c r="AW163" s="11">
        <f t="shared" si="165"/>
        <v>3.6770358841811742E-7</v>
      </c>
      <c r="AX163" s="4">
        <f t="shared" si="166"/>
        <v>18.971400741309765</v>
      </c>
      <c r="AY163" s="4">
        <f t="shared" si="167"/>
        <v>2.9295703417978611</v>
      </c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</row>
    <row r="164" spans="1:64">
      <c r="A164" s="4" t="e">
        <f>#REF!</f>
        <v>#REF!</v>
      </c>
      <c r="B164" s="4">
        <f t="shared" si="127"/>
        <v>1584.5348996632649</v>
      </c>
      <c r="C164" s="4">
        <f t="shared" si="128"/>
        <v>26.40891499438775</v>
      </c>
      <c r="D164" s="23">
        <f t="shared" si="129"/>
        <v>10059.74287</v>
      </c>
      <c r="E164" s="41" t="e">
        <f>#REF!</f>
        <v>#REF!</v>
      </c>
      <c r="F164" s="7">
        <v>0</v>
      </c>
      <c r="G164" s="4"/>
      <c r="H164" s="6">
        <v>3000</v>
      </c>
      <c r="I164" s="5">
        <v>0</v>
      </c>
      <c r="J164" s="4">
        <f t="shared" si="130"/>
        <v>0.46981024123631843</v>
      </c>
      <c r="K164" s="4">
        <f t="shared" si="131"/>
        <v>519.08170617800886</v>
      </c>
      <c r="L164" s="6">
        <f t="shared" si="168"/>
        <v>295</v>
      </c>
      <c r="M164" s="4">
        <f t="shared" si="132"/>
        <v>307.54760560317141</v>
      </c>
      <c r="N164" s="4">
        <f t="shared" si="133"/>
        <v>293.04106086201517</v>
      </c>
      <c r="O164" s="4">
        <f t="shared" si="134"/>
        <v>3070611.5694793905</v>
      </c>
      <c r="P164" s="4">
        <f t="shared" si="135"/>
        <v>19715483.946189545</v>
      </c>
      <c r="Q164" s="4">
        <f t="shared" si="136"/>
        <v>2.6460802913985809E-3</v>
      </c>
      <c r="R164" s="4">
        <f t="shared" si="137"/>
        <v>1.9154320178988334E-2</v>
      </c>
      <c r="S164" s="27">
        <v>0</v>
      </c>
      <c r="T164" s="4">
        <f t="shared" si="138"/>
        <v>0.1492555765038534</v>
      </c>
      <c r="U164" s="4">
        <f t="shared" si="139"/>
        <v>2.0561276851262369E-2</v>
      </c>
      <c r="V164" s="4">
        <f t="shared" si="140"/>
        <v>7.2590616615664985</v>
      </c>
      <c r="W164" s="20">
        <f t="shared" si="141"/>
        <v>1385.8186276694496</v>
      </c>
      <c r="X164" s="4">
        <f t="shared" si="142"/>
        <v>0.55071077768320009</v>
      </c>
      <c r="Y164" s="4">
        <f t="shared" si="143"/>
        <v>138.38574598989084</v>
      </c>
      <c r="Z164" s="14">
        <f t="shared" si="144"/>
        <v>1385.8186276694496</v>
      </c>
      <c r="AA164" s="14">
        <f t="shared" si="145"/>
        <v>5628.3916222821908</v>
      </c>
      <c r="AB164" s="25">
        <f t="shared" si="146"/>
        <v>719353.09770392464</v>
      </c>
      <c r="AC164" s="4">
        <f t="shared" si="147"/>
        <v>2921595.1263322509</v>
      </c>
      <c r="AD164" s="5">
        <f t="shared" si="148"/>
        <v>24.621929685616479</v>
      </c>
      <c r="AE164" s="7">
        <f t="shared" si="149"/>
        <v>1385.8186276694496</v>
      </c>
      <c r="AF164" s="4">
        <f t="shared" si="150"/>
        <v>0</v>
      </c>
      <c r="AG164" s="4">
        <f t="shared" si="151"/>
        <v>218.91633385539268</v>
      </c>
      <c r="AH164" s="4">
        <f t="shared" si="152"/>
        <v>1124.3920939543721</v>
      </c>
      <c r="AI164" s="13">
        <f t="shared" si="153"/>
        <v>0</v>
      </c>
      <c r="AJ164" s="10">
        <f t="shared" si="154"/>
        <v>0</v>
      </c>
      <c r="AK164" s="11">
        <f t="shared" si="155"/>
        <v>1.3056973921763431</v>
      </c>
      <c r="AL164" s="7">
        <v>0</v>
      </c>
      <c r="AM164" s="4">
        <f t="shared" si="156"/>
        <v>58.527524428934733</v>
      </c>
      <c r="AN164" s="4">
        <f t="shared" si="157"/>
        <v>18.279968262948774</v>
      </c>
      <c r="AO164" s="6">
        <v>5</v>
      </c>
      <c r="AP164" s="4">
        <f t="shared" si="158"/>
        <v>0.81135588128532943</v>
      </c>
      <c r="AQ164" s="11">
        <f t="shared" si="159"/>
        <v>0.97937395000000005</v>
      </c>
      <c r="AR164" s="11">
        <f t="shared" si="160"/>
        <v>0.8962407041850623</v>
      </c>
      <c r="AS164" s="11">
        <f t="shared" si="161"/>
        <v>0.91511593113647982</v>
      </c>
      <c r="AT164" s="11">
        <f t="shared" si="162"/>
        <v>507.97188664649997</v>
      </c>
      <c r="AU164" s="11">
        <f t="shared" si="163"/>
        <v>1896.6425030105124</v>
      </c>
      <c r="AV164" s="11">
        <f t="shared" si="164"/>
        <v>2.1751390567182989E-3</v>
      </c>
      <c r="AW164" s="11">
        <f t="shared" si="165"/>
        <v>3.6770358841811742E-7</v>
      </c>
      <c r="AX164" s="4">
        <f t="shared" si="166"/>
        <v>18.789499089492846</v>
      </c>
      <c r="AY164" s="4">
        <f t="shared" si="167"/>
        <v>2.8044375188208841</v>
      </c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</row>
    <row r="165" spans="1:64">
      <c r="A165" s="4" t="e">
        <f>#REF!</f>
        <v>#REF!</v>
      </c>
      <c r="B165" s="4">
        <f t="shared" si="127"/>
        <v>1584.5348996632649</v>
      </c>
      <c r="C165" s="4">
        <f t="shared" si="128"/>
        <v>26.40891499438775</v>
      </c>
      <c r="D165" s="23">
        <f t="shared" si="129"/>
        <v>10059.74287</v>
      </c>
      <c r="E165" s="41" t="e">
        <f>#REF!</f>
        <v>#REF!</v>
      </c>
      <c r="F165" s="7">
        <v>0</v>
      </c>
      <c r="G165" s="4"/>
      <c r="H165" s="6">
        <v>3000</v>
      </c>
      <c r="I165" s="5">
        <v>0</v>
      </c>
      <c r="J165" s="4">
        <f t="shared" si="130"/>
        <v>0.47773186397310052</v>
      </c>
      <c r="K165" s="4">
        <f t="shared" si="131"/>
        <v>527.83411105340406</v>
      </c>
      <c r="L165" s="6">
        <f t="shared" si="168"/>
        <v>300</v>
      </c>
      <c r="M165" s="4">
        <f t="shared" si="132"/>
        <v>312.73326545336505</v>
      </c>
      <c r="N165" s="4">
        <f t="shared" si="133"/>
        <v>303.0064942768978</v>
      </c>
      <c r="O165" s="4">
        <f t="shared" si="134"/>
        <v>3122386.146297053</v>
      </c>
      <c r="P165" s="4">
        <f t="shared" si="135"/>
        <v>20047913.110534303</v>
      </c>
      <c r="Q165" s="4">
        <f t="shared" si="136"/>
        <v>2.6375008384842101E-3</v>
      </c>
      <c r="R165" s="4">
        <f t="shared" si="137"/>
        <v>1.9101942618946103E-2</v>
      </c>
      <c r="S165" s="27">
        <v>0</v>
      </c>
      <c r="T165" s="4">
        <f t="shared" si="138"/>
        <v>0.14434678234418158</v>
      </c>
      <c r="U165" s="4">
        <f t="shared" si="139"/>
        <v>2.0417875702832124E-2</v>
      </c>
      <c r="V165" s="4">
        <f t="shared" si="140"/>
        <v>7.0696278322509087</v>
      </c>
      <c r="W165" s="20">
        <f t="shared" si="141"/>
        <v>1422.952255578221</v>
      </c>
      <c r="X165" s="4">
        <f t="shared" si="142"/>
        <v>0.54995730189616832</v>
      </c>
      <c r="Y165" s="4">
        <f t="shared" si="143"/>
        <v>138.38574598989084</v>
      </c>
      <c r="Z165" s="14">
        <f t="shared" si="144"/>
        <v>1422.952255578221</v>
      </c>
      <c r="AA165" s="14">
        <f t="shared" si="145"/>
        <v>5628.3916222821908</v>
      </c>
      <c r="AB165" s="25">
        <f t="shared" si="146"/>
        <v>751082.73889456643</v>
      </c>
      <c r="AC165" s="4">
        <f t="shared" si="147"/>
        <v>2970857.0886077471</v>
      </c>
      <c r="AD165" s="5">
        <f t="shared" si="148"/>
        <v>25.281685267686555</v>
      </c>
      <c r="AE165" s="7">
        <f t="shared" si="149"/>
        <v>1422.952255578221</v>
      </c>
      <c r="AF165" s="4">
        <f t="shared" si="150"/>
        <v>0</v>
      </c>
      <c r="AG165" s="4">
        <f t="shared" si="151"/>
        <v>220.65915385699921</v>
      </c>
      <c r="AH165" s="4">
        <f t="shared" si="152"/>
        <v>1158.8048489340929</v>
      </c>
      <c r="AI165" s="13">
        <f t="shared" si="153"/>
        <v>0</v>
      </c>
      <c r="AJ165" s="10">
        <f t="shared" si="154"/>
        <v>0</v>
      </c>
      <c r="AK165" s="11">
        <f t="shared" si="155"/>
        <v>1.3160922105576596</v>
      </c>
      <c r="AL165" s="7">
        <v>0</v>
      </c>
      <c r="AM165" s="4">
        <f t="shared" si="156"/>
        <v>57.557036581655787</v>
      </c>
      <c r="AN165" s="4">
        <f t="shared" si="157"/>
        <v>18.527048078083247</v>
      </c>
      <c r="AO165" s="6">
        <v>5</v>
      </c>
      <c r="AP165" s="4">
        <f t="shared" si="158"/>
        <v>0.81436664117954471</v>
      </c>
      <c r="AQ165" s="11">
        <f t="shared" si="159"/>
        <v>0.97937395000000005</v>
      </c>
      <c r="AR165" s="11">
        <f t="shared" si="160"/>
        <v>0.8962407041850623</v>
      </c>
      <c r="AS165" s="11">
        <f t="shared" si="161"/>
        <v>0.91511593113647982</v>
      </c>
      <c r="AT165" s="11">
        <f t="shared" si="162"/>
        <v>507.97188664649997</v>
      </c>
      <c r="AU165" s="11">
        <f t="shared" si="163"/>
        <v>1896.6425030105124</v>
      </c>
      <c r="AV165" s="11">
        <f t="shared" si="164"/>
        <v>2.1751390567182989E-3</v>
      </c>
      <c r="AW165" s="11">
        <f t="shared" si="165"/>
        <v>3.6770358841811742E-7</v>
      </c>
      <c r="AX165" s="4">
        <f t="shared" si="166"/>
        <v>18.607712959243987</v>
      </c>
      <c r="AY165" s="4">
        <f t="shared" si="167"/>
        <v>2.6859634924509983</v>
      </c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</row>
    <row r="166" spans="1:64">
      <c r="A166" s="4" t="e">
        <f>#REF!</f>
        <v>#REF!</v>
      </c>
      <c r="B166" s="4">
        <f t="shared" si="127"/>
        <v>1584.5348996632649</v>
      </c>
      <c r="C166" s="4">
        <f t="shared" si="128"/>
        <v>26.40891499438775</v>
      </c>
      <c r="D166" s="23">
        <f t="shared" si="129"/>
        <v>10059.74287</v>
      </c>
      <c r="E166" s="41" t="e">
        <f>#REF!</f>
        <v>#REF!</v>
      </c>
      <c r="F166" s="7">
        <v>0</v>
      </c>
      <c r="G166" s="4"/>
      <c r="H166" s="6">
        <v>3000</v>
      </c>
      <c r="I166" s="5">
        <v>0</v>
      </c>
      <c r="J166" s="4">
        <f t="shared" si="130"/>
        <v>0.48565159244480166</v>
      </c>
      <c r="K166" s="4">
        <f t="shared" si="131"/>
        <v>536.58442300220065</v>
      </c>
      <c r="L166" s="6">
        <f t="shared" si="168"/>
        <v>305</v>
      </c>
      <c r="M166" s="4">
        <f t="shared" si="132"/>
        <v>317.91768527803583</v>
      </c>
      <c r="N166" s="4">
        <f t="shared" si="133"/>
        <v>313.13611057469353</v>
      </c>
      <c r="O166" s="4">
        <f t="shared" si="134"/>
        <v>3174148.3424729938</v>
      </c>
      <c r="P166" s="4">
        <f t="shared" si="135"/>
        <v>20380262.782459527</v>
      </c>
      <c r="Q166" s="4">
        <f t="shared" si="136"/>
        <v>2.6290407485335841E-3</v>
      </c>
      <c r="R166" s="4">
        <f t="shared" si="137"/>
        <v>1.9050293769797531E-2</v>
      </c>
      <c r="S166" s="27">
        <v>0</v>
      </c>
      <c r="T166" s="4">
        <f t="shared" si="138"/>
        <v>0.13967731922705823</v>
      </c>
      <c r="U166" s="4">
        <f t="shared" si="139"/>
        <v>2.0282465876566243E-2</v>
      </c>
      <c r="V166" s="4">
        <f t="shared" si="140"/>
        <v>6.886604423599068</v>
      </c>
      <c r="W166" s="20">
        <f t="shared" si="141"/>
        <v>1460.7696698139357</v>
      </c>
      <c r="X166" s="4">
        <f t="shared" si="142"/>
        <v>0.54921329672346209</v>
      </c>
      <c r="Y166" s="4">
        <f t="shared" si="143"/>
        <v>138.38574598989084</v>
      </c>
      <c r="Z166" s="14">
        <f t="shared" si="144"/>
        <v>1460.7696698139357</v>
      </c>
      <c r="AA166" s="14">
        <f t="shared" si="145"/>
        <v>5628.3916222821908</v>
      </c>
      <c r="AB166" s="25">
        <f t="shared" si="146"/>
        <v>783826.25041622587</v>
      </c>
      <c r="AC166" s="4">
        <f t="shared" si="147"/>
        <v>3020107.2710727095</v>
      </c>
      <c r="AD166" s="5">
        <f t="shared" si="148"/>
        <v>25.953589725898023</v>
      </c>
      <c r="AE166" s="7">
        <f t="shared" si="149"/>
        <v>1460.7696698139357</v>
      </c>
      <c r="AF166" s="4">
        <f t="shared" si="150"/>
        <v>0</v>
      </c>
      <c r="AG166" s="4">
        <f t="shared" si="151"/>
        <v>222.30001795826055</v>
      </c>
      <c r="AH166" s="4">
        <f t="shared" si="152"/>
        <v>1194.0717442152195</v>
      </c>
      <c r="AI166" s="13">
        <f t="shared" si="153"/>
        <v>0</v>
      </c>
      <c r="AJ166" s="10">
        <f t="shared" si="154"/>
        <v>0</v>
      </c>
      <c r="AK166" s="11">
        <f t="shared" si="155"/>
        <v>1.325878926515309</v>
      </c>
      <c r="AL166" s="7">
        <v>0</v>
      </c>
      <c r="AM166" s="4">
        <f t="shared" si="156"/>
        <v>56.618429340469213</v>
      </c>
      <c r="AN166" s="4">
        <f t="shared" si="157"/>
        <v>18.779574077027842</v>
      </c>
      <c r="AO166" s="6">
        <v>5</v>
      </c>
      <c r="AP166" s="4">
        <f t="shared" si="158"/>
        <v>0.8174264354539299</v>
      </c>
      <c r="AQ166" s="11">
        <f t="shared" si="159"/>
        <v>0.97937395000000005</v>
      </c>
      <c r="AR166" s="11">
        <f t="shared" si="160"/>
        <v>0.8962407041850623</v>
      </c>
      <c r="AS166" s="11">
        <f t="shared" si="161"/>
        <v>0.91511593113647982</v>
      </c>
      <c r="AT166" s="11">
        <f t="shared" si="162"/>
        <v>507.97188664649997</v>
      </c>
      <c r="AU166" s="11">
        <f t="shared" si="163"/>
        <v>1896.6425030105124</v>
      </c>
      <c r="AV166" s="11">
        <f t="shared" si="164"/>
        <v>2.1751390567182989E-3</v>
      </c>
      <c r="AW166" s="11">
        <f t="shared" si="165"/>
        <v>3.6770358841811742E-7</v>
      </c>
      <c r="AX166" s="4">
        <f t="shared" si="166"/>
        <v>18.426472001980589</v>
      </c>
      <c r="AY166" s="4">
        <f t="shared" si="167"/>
        <v>2.573760212049093</v>
      </c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</row>
    <row r="167" spans="1:64">
      <c r="A167" s="4" t="e">
        <f>#REF!</f>
        <v>#REF!</v>
      </c>
      <c r="B167" s="4">
        <f t="shared" si="127"/>
        <v>1584.5348996632649</v>
      </c>
      <c r="C167" s="4">
        <f t="shared" si="128"/>
        <v>26.40891499438775</v>
      </c>
      <c r="D167" s="23">
        <f t="shared" si="129"/>
        <v>10059.74287</v>
      </c>
      <c r="E167" s="41" t="e">
        <f>#REF!</f>
        <v>#REF!</v>
      </c>
      <c r="F167" s="7">
        <v>0</v>
      </c>
      <c r="G167" s="4"/>
      <c r="H167" s="6">
        <v>3000</v>
      </c>
      <c r="I167" s="5">
        <v>0</v>
      </c>
      <c r="J167" s="4">
        <f t="shared" si="130"/>
        <v>0.49356940935460919</v>
      </c>
      <c r="K167" s="4">
        <f t="shared" si="131"/>
        <v>545.33262291357858</v>
      </c>
      <c r="L167" s="6">
        <f t="shared" si="168"/>
        <v>310</v>
      </c>
      <c r="M167" s="4">
        <f t="shared" si="132"/>
        <v>323.10085375432868</v>
      </c>
      <c r="N167" s="4">
        <f t="shared" si="133"/>
        <v>323.42976758171056</v>
      </c>
      <c r="O167" s="4">
        <f t="shared" si="134"/>
        <v>3225898.0449577584</v>
      </c>
      <c r="P167" s="4">
        <f t="shared" si="135"/>
        <v>20712532.236108281</v>
      </c>
      <c r="Q167" s="4">
        <f t="shared" si="136"/>
        <v>2.6206951910305205E-3</v>
      </c>
      <c r="R167" s="4">
        <f t="shared" si="137"/>
        <v>1.8999344141241326E-2</v>
      </c>
      <c r="S167" s="27">
        <v>0</v>
      </c>
      <c r="T167" s="4">
        <f t="shared" si="138"/>
        <v>0.13523187060143124</v>
      </c>
      <c r="U167" s="4">
        <f t="shared" si="139"/>
        <v>2.0154332752270562E-2</v>
      </c>
      <c r="V167" s="4">
        <f t="shared" si="140"/>
        <v>6.7098163091604306</v>
      </c>
      <c r="W167" s="20">
        <f t="shared" si="141"/>
        <v>1499.2575663012049</v>
      </c>
      <c r="X167" s="4">
        <f t="shared" si="142"/>
        <v>0.54847837503845676</v>
      </c>
      <c r="Y167" s="4">
        <f t="shared" si="143"/>
        <v>138.38574598989081</v>
      </c>
      <c r="Z167" s="14">
        <f t="shared" si="144"/>
        <v>1499.2575663012049</v>
      </c>
      <c r="AA167" s="14">
        <f t="shared" si="145"/>
        <v>5628.3916222821908</v>
      </c>
      <c r="AB167" s="25">
        <f t="shared" si="146"/>
        <v>817594.06105406443</v>
      </c>
      <c r="AC167" s="4">
        <f t="shared" si="147"/>
        <v>3069345.566163959</v>
      </c>
      <c r="AD167" s="5">
        <f t="shared" si="148"/>
        <v>26.637406685878201</v>
      </c>
      <c r="AE167" s="7">
        <f t="shared" si="149"/>
        <v>1499.2575663012049</v>
      </c>
      <c r="AF167" s="4">
        <f t="shared" si="150"/>
        <v>0</v>
      </c>
      <c r="AG167" s="4">
        <f t="shared" si="151"/>
        <v>223.83787878167652</v>
      </c>
      <c r="AH167" s="4">
        <f t="shared" si="152"/>
        <v>1230.1885149148616</v>
      </c>
      <c r="AI167" s="13">
        <f t="shared" si="153"/>
        <v>0</v>
      </c>
      <c r="AJ167" s="10">
        <f t="shared" si="154"/>
        <v>0</v>
      </c>
      <c r="AK167" s="11">
        <f t="shared" si="155"/>
        <v>1.3350512931053269</v>
      </c>
      <c r="AL167" s="7">
        <v>0</v>
      </c>
      <c r="AM167" s="4">
        <f t="shared" si="156"/>
        <v>55.710159199041883</v>
      </c>
      <c r="AN167" s="4">
        <f t="shared" si="157"/>
        <v>19.037221669649959</v>
      </c>
      <c r="AO167" s="6">
        <v>5</v>
      </c>
      <c r="AP167" s="4">
        <f t="shared" si="158"/>
        <v>0.82053180358451727</v>
      </c>
      <c r="AQ167" s="11">
        <f t="shared" si="159"/>
        <v>0.97937395000000005</v>
      </c>
      <c r="AR167" s="11">
        <f t="shared" si="160"/>
        <v>0.8962407041850623</v>
      </c>
      <c r="AS167" s="11">
        <f t="shared" si="161"/>
        <v>0.91511593113647982</v>
      </c>
      <c r="AT167" s="11">
        <f t="shared" si="162"/>
        <v>507.97188664649997</v>
      </c>
      <c r="AU167" s="11">
        <f t="shared" si="163"/>
        <v>1896.6425030105124</v>
      </c>
      <c r="AV167" s="11">
        <f t="shared" si="164"/>
        <v>2.1751390567182989E-3</v>
      </c>
      <c r="AW167" s="11">
        <f t="shared" si="165"/>
        <v>3.6770358841811742E-7</v>
      </c>
      <c r="AX167" s="4">
        <f t="shared" si="166"/>
        <v>18.246144215637734</v>
      </c>
      <c r="AY167" s="4">
        <f t="shared" si="167"/>
        <v>2.4674602135441752</v>
      </c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</row>
    <row r="168" spans="1:64">
      <c r="A168" s="4" t="e">
        <f>#REF!</f>
        <v>#REF!</v>
      </c>
      <c r="B168" s="4">
        <f t="shared" si="127"/>
        <v>1584.5348996632649</v>
      </c>
      <c r="C168" s="4">
        <f t="shared" si="128"/>
        <v>26.40891499438775</v>
      </c>
      <c r="D168" s="23">
        <f t="shared" si="129"/>
        <v>10059.74287</v>
      </c>
      <c r="E168" s="41" t="e">
        <f>#REF!</f>
        <v>#REF!</v>
      </c>
      <c r="F168" s="7">
        <v>0</v>
      </c>
      <c r="G168" s="4"/>
      <c r="H168" s="6">
        <v>3000</v>
      </c>
      <c r="I168" s="5">
        <v>0</v>
      </c>
      <c r="J168" s="4">
        <f t="shared" si="130"/>
        <v>0.50148529798097796</v>
      </c>
      <c r="K168" s="4">
        <f t="shared" si="131"/>
        <v>554.07869231231632</v>
      </c>
      <c r="L168" s="6">
        <f t="shared" si="168"/>
        <v>315</v>
      </c>
      <c r="M168" s="4">
        <f t="shared" si="132"/>
        <v>328.28275993597043</v>
      </c>
      <c r="N168" s="4">
        <f t="shared" si="133"/>
        <v>333.88732246460773</v>
      </c>
      <c r="O168" s="4">
        <f t="shared" si="134"/>
        <v>3277635.1444617505</v>
      </c>
      <c r="P168" s="4">
        <f t="shared" si="135"/>
        <v>21044720.769764561</v>
      </c>
      <c r="Q168" s="4">
        <f t="shared" si="136"/>
        <v>2.6124595943516488E-3</v>
      </c>
      <c r="R168" s="4">
        <f t="shared" si="137"/>
        <v>1.8949065823516815E-2</v>
      </c>
      <c r="S168" s="27">
        <v>0</v>
      </c>
      <c r="T168" s="4">
        <f t="shared" si="138"/>
        <v>0.13099632581257145</v>
      </c>
      <c r="U168" s="4">
        <f t="shared" si="139"/>
        <v>2.0032837558475021E-2</v>
      </c>
      <c r="V168" s="4">
        <f t="shared" si="140"/>
        <v>6.5390799196668281</v>
      </c>
      <c r="W168" s="20">
        <f t="shared" si="141"/>
        <v>1538.4034135665606</v>
      </c>
      <c r="X168" s="4">
        <f t="shared" si="142"/>
        <v>0.54775217001586696</v>
      </c>
      <c r="Y168" s="4">
        <f t="shared" si="143"/>
        <v>138.38574598989081</v>
      </c>
      <c r="Z168" s="14">
        <f t="shared" si="144"/>
        <v>1538.4034135665606</v>
      </c>
      <c r="AA168" s="14">
        <f t="shared" si="145"/>
        <v>5628.3916222821908</v>
      </c>
      <c r="AB168" s="25">
        <f t="shared" si="146"/>
        <v>852396.55163776351</v>
      </c>
      <c r="AC168" s="4">
        <f t="shared" si="147"/>
        <v>3118571.8698957129</v>
      </c>
      <c r="AD168" s="5">
        <f t="shared" si="148"/>
        <v>27.332913500122995</v>
      </c>
      <c r="AE168" s="7">
        <f t="shared" si="149"/>
        <v>1538.4034135665606</v>
      </c>
      <c r="AF168" s="4">
        <f t="shared" si="150"/>
        <v>0</v>
      </c>
      <c r="AG168" s="4">
        <f t="shared" si="151"/>
        <v>225.27169407243002</v>
      </c>
      <c r="AH168" s="4">
        <f t="shared" si="152"/>
        <v>1267.1481523706568</v>
      </c>
      <c r="AI168" s="13">
        <f t="shared" si="153"/>
        <v>0</v>
      </c>
      <c r="AJ168" s="10">
        <f t="shared" si="154"/>
        <v>0</v>
      </c>
      <c r="AK168" s="11">
        <f t="shared" si="155"/>
        <v>1.3436030939373107</v>
      </c>
      <c r="AL168" s="7">
        <v>0</v>
      </c>
      <c r="AM168" s="4">
        <f t="shared" si="156"/>
        <v>54.830780646266014</v>
      </c>
      <c r="AN168" s="4">
        <f t="shared" si="157"/>
        <v>19.299645108043542</v>
      </c>
      <c r="AO168" s="6">
        <v>5</v>
      </c>
      <c r="AP168" s="4">
        <f t="shared" si="158"/>
        <v>0.82367741854716858</v>
      </c>
      <c r="AQ168" s="11">
        <f t="shared" si="159"/>
        <v>0.97937395000000005</v>
      </c>
      <c r="AR168" s="11">
        <f t="shared" si="160"/>
        <v>0.8962407041850623</v>
      </c>
      <c r="AS168" s="11">
        <f t="shared" si="161"/>
        <v>0.91511593113647982</v>
      </c>
      <c r="AT168" s="11">
        <f t="shared" si="162"/>
        <v>507.97188664649997</v>
      </c>
      <c r="AU168" s="11">
        <f t="shared" si="163"/>
        <v>1896.6425030105124</v>
      </c>
      <c r="AV168" s="11">
        <f t="shared" si="164"/>
        <v>2.1751390567182989E-3</v>
      </c>
      <c r="AW168" s="11">
        <f t="shared" si="165"/>
        <v>3.6770358841811742E-7</v>
      </c>
      <c r="AX168" s="4">
        <f t="shared" si="166"/>
        <v>18.067043404525652</v>
      </c>
      <c r="AY168" s="4">
        <f t="shared" si="167"/>
        <v>2.3667163042891119</v>
      </c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</row>
    <row r="169" spans="1:64">
      <c r="A169" s="4" t="e">
        <f>#REF!</f>
        <v>#REF!</v>
      </c>
      <c r="B169" s="4">
        <f t="shared" si="127"/>
        <v>1584.5348996632649</v>
      </c>
      <c r="C169" s="4">
        <f t="shared" si="128"/>
        <v>26.40891499438775</v>
      </c>
      <c r="D169" s="23">
        <f t="shared" si="129"/>
        <v>10059.74287</v>
      </c>
      <c r="E169" s="41" t="e">
        <f>#REF!</f>
        <v>#REF!</v>
      </c>
      <c r="F169" s="7">
        <v>0</v>
      </c>
      <c r="G169" s="4"/>
      <c r="H169" s="6">
        <v>3000</v>
      </c>
      <c r="I169" s="5">
        <v>0</v>
      </c>
      <c r="J169" s="4">
        <f t="shared" si="130"/>
        <v>0.50939924217773724</v>
      </c>
      <c r="K169" s="4">
        <f t="shared" si="131"/>
        <v>562.82261335890973</v>
      </c>
      <c r="L169" s="6">
        <f t="shared" si="168"/>
        <v>320</v>
      </c>
      <c r="M169" s="4">
        <f t="shared" si="132"/>
        <v>333.46339325334026</v>
      </c>
      <c r="N169" s="4">
        <f t="shared" si="133"/>
        <v>344.50863179186445</v>
      </c>
      <c r="O169" s="4">
        <f t="shared" si="134"/>
        <v>3329359.5354559431</v>
      </c>
      <c r="P169" s="4">
        <f t="shared" si="135"/>
        <v>21376827.705857862</v>
      </c>
      <c r="Q169" s="4">
        <f t="shared" si="136"/>
        <v>2.6043296285231752E-3</v>
      </c>
      <c r="R169" s="4">
        <f t="shared" si="137"/>
        <v>1.8899432382133985E-2</v>
      </c>
      <c r="S169" s="27">
        <v>0</v>
      </c>
      <c r="T169" s="4">
        <f t="shared" si="138"/>
        <v>0.12695766794222235</v>
      </c>
      <c r="U169" s="4">
        <f t="shared" si="139"/>
        <v>1.9917408205089821E-2</v>
      </c>
      <c r="V169" s="4">
        <f t="shared" si="140"/>
        <v>6.3742062538929529</v>
      </c>
      <c r="W169" s="20">
        <f t="shared" si="141"/>
        <v>1578.1953814023761</v>
      </c>
      <c r="X169" s="4">
        <f t="shared" si="142"/>
        <v>0.54703433380437372</v>
      </c>
      <c r="Y169" s="4">
        <f t="shared" si="143"/>
        <v>138.38574598989084</v>
      </c>
      <c r="Z169" s="14">
        <f t="shared" si="144"/>
        <v>1578.1953814023761</v>
      </c>
      <c r="AA169" s="14">
        <f t="shared" si="145"/>
        <v>5628.3916222821908</v>
      </c>
      <c r="AB169" s="25">
        <f t="shared" si="146"/>
        <v>888244.04895184666</v>
      </c>
      <c r="AC169" s="4">
        <f t="shared" si="147"/>
        <v>3167786.0818602564</v>
      </c>
      <c r="AD169" s="5">
        <f t="shared" si="148"/>
        <v>28.039899980564115</v>
      </c>
      <c r="AE169" s="7">
        <f t="shared" si="149"/>
        <v>1578.1953814023764</v>
      </c>
      <c r="AF169" s="4">
        <f t="shared" si="150"/>
        <v>0</v>
      </c>
      <c r="AG169" s="4">
        <f t="shared" si="151"/>
        <v>226.60042730380542</v>
      </c>
      <c r="AH169" s="4">
        <f t="shared" si="152"/>
        <v>1304.9401610798664</v>
      </c>
      <c r="AI169" s="13">
        <f t="shared" si="153"/>
        <v>1.2721105089436589E-14</v>
      </c>
      <c r="AJ169" s="10">
        <f t="shared" si="154"/>
        <v>1.2950183860191016E-15</v>
      </c>
      <c r="AK169" s="11">
        <f t="shared" si="155"/>
        <v>1.3515281467853586</v>
      </c>
      <c r="AL169" s="7">
        <v>0</v>
      </c>
      <c r="AM169" s="4">
        <f t="shared" si="156"/>
        <v>53.978938510725705</v>
      </c>
      <c r="AN169" s="4">
        <f t="shared" si="157"/>
        <v>19.566467976418501</v>
      </c>
      <c r="AO169" s="6">
        <v>5</v>
      </c>
      <c r="AP169" s="4">
        <f t="shared" si="158"/>
        <v>0.82685589912213731</v>
      </c>
      <c r="AQ169" s="11">
        <f t="shared" si="159"/>
        <v>0.97937395000000005</v>
      </c>
      <c r="AR169" s="11">
        <f t="shared" si="160"/>
        <v>0.8962407041850623</v>
      </c>
      <c r="AS169" s="11">
        <f t="shared" si="161"/>
        <v>0.91511593113647982</v>
      </c>
      <c r="AT169" s="11">
        <f t="shared" si="162"/>
        <v>507.97188664649997</v>
      </c>
      <c r="AU169" s="11">
        <f t="shared" si="163"/>
        <v>1896.6425030105124</v>
      </c>
      <c r="AV169" s="11">
        <f t="shared" si="164"/>
        <v>2.1751390567182989E-3</v>
      </c>
      <c r="AW169" s="11">
        <f t="shared" si="165"/>
        <v>3.6770358841811742E-7</v>
      </c>
      <c r="AX169" s="4">
        <f t="shared" si="166"/>
        <v>17.889435798862991</v>
      </c>
      <c r="AY169" s="4">
        <f t="shared" si="167"/>
        <v>2.2712010498257538</v>
      </c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</row>
    <row r="170" spans="1:64">
      <c r="A170" s="4" t="e">
        <f>#REF!</f>
        <v>#REF!</v>
      </c>
      <c r="B170" s="4">
        <f t="shared" si="127"/>
        <v>1584.5348996632649</v>
      </c>
      <c r="C170" s="4">
        <f t="shared" si="128"/>
        <v>26.40891499438775</v>
      </c>
      <c r="D170" s="23">
        <f t="shared" si="129"/>
        <v>10059.74287</v>
      </c>
      <c r="E170" s="41" t="e">
        <f>#REF!</f>
        <v>#REF!</v>
      </c>
      <c r="F170" s="7">
        <v>0</v>
      </c>
      <c r="G170" s="4"/>
      <c r="H170" s="6">
        <v>3000</v>
      </c>
      <c r="I170" s="5">
        <v>0</v>
      </c>
      <c r="J170" s="4">
        <f t="shared" si="130"/>
        <v>0.51731122637387839</v>
      </c>
      <c r="K170" s="4">
        <f t="shared" si="131"/>
        <v>571.56436884933669</v>
      </c>
      <c r="L170" s="6">
        <f t="shared" si="168"/>
        <v>325</v>
      </c>
      <c r="M170" s="4">
        <f t="shared" si="132"/>
        <v>338.6427435133304</v>
      </c>
      <c r="N170" s="4">
        <f t="shared" si="133"/>
        <v>355.29355159478791</v>
      </c>
      <c r="O170" s="4">
        <f t="shared" si="134"/>
        <v>3381071.1161704827</v>
      </c>
      <c r="P170" s="4">
        <f t="shared" si="135"/>
        <v>21708852.390954208</v>
      </c>
      <c r="Q170" s="4">
        <f t="shared" si="136"/>
        <v>2.5963011893736609E-3</v>
      </c>
      <c r="R170" s="4">
        <f t="shared" si="137"/>
        <v>1.8850418761126198E-2</v>
      </c>
      <c r="S170" s="27">
        <v>0</v>
      </c>
      <c r="T170" s="4">
        <f t="shared" si="138"/>
        <v>0.12310387363332743</v>
      </c>
      <c r="U170" s="4">
        <f t="shared" si="139"/>
        <v>1.9807531349942807E-2</v>
      </c>
      <c r="V170" s="4">
        <f t="shared" si="140"/>
        <v>6.2150033468801196</v>
      </c>
      <c r="W170" s="20">
        <f t="shared" si="141"/>
        <v>1618.6222771786454</v>
      </c>
      <c r="X170" s="4">
        <f t="shared" si="142"/>
        <v>0.54632453630521494</v>
      </c>
      <c r="Y170" s="4">
        <f t="shared" si="143"/>
        <v>138.38574598989084</v>
      </c>
      <c r="Z170" s="14">
        <f t="shared" si="144"/>
        <v>1618.6222771786454</v>
      </c>
      <c r="AA170" s="14">
        <f t="shared" si="145"/>
        <v>5628.3916222821908</v>
      </c>
      <c r="AB170" s="25">
        <f t="shared" si="146"/>
        <v>925146.82026108855</v>
      </c>
      <c r="AC170" s="4">
        <f t="shared" si="147"/>
        <v>3216988.1052266145</v>
      </c>
      <c r="AD170" s="5">
        <f t="shared" si="148"/>
        <v>28.758167267016312</v>
      </c>
      <c r="AE170" s="7">
        <f t="shared" si="149"/>
        <v>1618.6222771786454</v>
      </c>
      <c r="AF170" s="4">
        <f t="shared" si="150"/>
        <v>0</v>
      </c>
      <c r="AG170" s="4">
        <f t="shared" si="151"/>
        <v>227.82304822126392</v>
      </c>
      <c r="AH170" s="4">
        <f t="shared" si="152"/>
        <v>1343.5497486759086</v>
      </c>
      <c r="AI170" s="13">
        <f t="shared" si="153"/>
        <v>0</v>
      </c>
      <c r="AJ170" s="10">
        <f t="shared" si="154"/>
        <v>0</v>
      </c>
      <c r="AK170" s="11">
        <f t="shared" si="155"/>
        <v>1.3588203068331344</v>
      </c>
      <c r="AL170" s="7">
        <v>0</v>
      </c>
      <c r="AM170" s="4">
        <f t="shared" si="156"/>
        <v>53.153361011828217</v>
      </c>
      <c r="AN170" s="4">
        <f t="shared" si="157"/>
        <v>19.837273563533792</v>
      </c>
      <c r="AO170" s="6">
        <v>5</v>
      </c>
      <c r="AP170" s="4">
        <f t="shared" si="158"/>
        <v>0.83005761604726924</v>
      </c>
      <c r="AQ170" s="11">
        <f t="shared" si="159"/>
        <v>0.97937395000000005</v>
      </c>
      <c r="AR170" s="11">
        <f t="shared" si="160"/>
        <v>0.8962407041850623</v>
      </c>
      <c r="AS170" s="11">
        <f t="shared" si="161"/>
        <v>0.91511593113647982</v>
      </c>
      <c r="AT170" s="11">
        <f t="shared" si="162"/>
        <v>507.97188664649997</v>
      </c>
      <c r="AU170" s="11">
        <f t="shared" si="163"/>
        <v>1896.6425030105124</v>
      </c>
      <c r="AV170" s="11">
        <f t="shared" si="164"/>
        <v>2.1751390567182989E-3</v>
      </c>
      <c r="AW170" s="11">
        <f t="shared" si="165"/>
        <v>3.6770358841811742E-7</v>
      </c>
      <c r="AX170" s="4">
        <f t="shared" si="166"/>
        <v>17.713545917168048</v>
      </c>
      <c r="AY170" s="4">
        <f t="shared" si="167"/>
        <v>2.1806061181851981</v>
      </c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</row>
    <row r="171" spans="1:64">
      <c r="A171" s="4" t="e">
        <f>#REF!</f>
        <v>#REF!</v>
      </c>
      <c r="B171" s="4">
        <f t="shared" si="127"/>
        <v>1584.5348996632649</v>
      </c>
      <c r="C171" s="4">
        <f t="shared" si="128"/>
        <v>26.40891499438775</v>
      </c>
      <c r="D171" s="23">
        <f t="shared" si="129"/>
        <v>10059.74287</v>
      </c>
      <c r="E171" s="41" t="e">
        <f>#REF!</f>
        <v>#REF!</v>
      </c>
      <c r="F171" s="7">
        <v>0</v>
      </c>
      <c r="G171" s="4"/>
      <c r="H171" s="6">
        <v>3000</v>
      </c>
      <c r="I171" s="5">
        <v>0</v>
      </c>
      <c r="J171" s="4">
        <f t="shared" si="130"/>
        <v>0.52522123557305456</v>
      </c>
      <c r="K171" s="4">
        <f t="shared" si="131"/>
        <v>580.30394221450479</v>
      </c>
      <c r="L171" s="6">
        <f t="shared" si="168"/>
        <v>330</v>
      </c>
      <c r="M171" s="4">
        <f t="shared" si="132"/>
        <v>343.82080089901865</v>
      </c>
      <c r="N171" s="4">
        <f t="shared" si="133"/>
        <v>366.2419374280546</v>
      </c>
      <c r="O171" s="4">
        <f t="shared" si="134"/>
        <v>3432769.7885914217</v>
      </c>
      <c r="P171" s="4">
        <f t="shared" si="135"/>
        <v>22040794.195735183</v>
      </c>
      <c r="Q171" s="4">
        <f t="shared" si="136"/>
        <v>2.5883703839499096E-3</v>
      </c>
      <c r="R171" s="4">
        <f t="shared" si="137"/>
        <v>1.8802001194014196E-2</v>
      </c>
      <c r="S171" s="27">
        <v>0</v>
      </c>
      <c r="T171" s="4">
        <f t="shared" si="138"/>
        <v>0.11942382345782797</v>
      </c>
      <c r="U171" s="4">
        <f t="shared" si="139"/>
        <v>1.9702745517006168E-2</v>
      </c>
      <c r="V171" s="4">
        <f t="shared" si="140"/>
        <v>6.0612782799609759</v>
      </c>
      <c r="W171" s="20">
        <f t="shared" si="141"/>
        <v>1659.673488884059</v>
      </c>
      <c r="X171" s="4">
        <f t="shared" si="142"/>
        <v>0.54562246404676518</v>
      </c>
      <c r="Y171" s="4">
        <f t="shared" si="143"/>
        <v>138.38574598989084</v>
      </c>
      <c r="Z171" s="14">
        <f t="shared" si="144"/>
        <v>1659.673488884059</v>
      </c>
      <c r="AA171" s="14">
        <f t="shared" si="145"/>
        <v>5628.3916222821908</v>
      </c>
      <c r="AB171" s="25">
        <f t="shared" si="146"/>
        <v>963115.06838832051</v>
      </c>
      <c r="AC171" s="4">
        <f t="shared" si="147"/>
        <v>3266177.8467374472</v>
      </c>
      <c r="AD171" s="5">
        <f t="shared" si="148"/>
        <v>29.487526815184502</v>
      </c>
      <c r="AE171" s="7">
        <f t="shared" si="149"/>
        <v>1659.673488884059</v>
      </c>
      <c r="AF171" s="4">
        <f t="shared" si="150"/>
        <v>0</v>
      </c>
      <c r="AG171" s="4">
        <f t="shared" si="151"/>
        <v>228.93853333143164</v>
      </c>
      <c r="AH171" s="4">
        <f t="shared" si="152"/>
        <v>1382.9569447458491</v>
      </c>
      <c r="AI171" s="13">
        <f t="shared" si="153"/>
        <v>0</v>
      </c>
      <c r="AJ171" s="10">
        <f t="shared" si="154"/>
        <v>0</v>
      </c>
      <c r="AK171" s="11">
        <f t="shared" si="155"/>
        <v>1.3654734695903712</v>
      </c>
      <c r="AL171" s="7">
        <v>0</v>
      </c>
      <c r="AM171" s="4">
        <f t="shared" si="156"/>
        <v>52.352853442647472</v>
      </c>
      <c r="AN171" s="4">
        <f t="shared" si="157"/>
        <v>20.111595068269711</v>
      </c>
      <c r="AO171" s="6">
        <v>5</v>
      </c>
      <c r="AP171" s="4">
        <f t="shared" si="158"/>
        <v>0.83327049206270676</v>
      </c>
      <c r="AQ171" s="11">
        <f t="shared" si="159"/>
        <v>0.97937395000000005</v>
      </c>
      <c r="AR171" s="11">
        <f t="shared" si="160"/>
        <v>0.8962407041850623</v>
      </c>
      <c r="AS171" s="11">
        <f t="shared" si="161"/>
        <v>0.91511593113647982</v>
      </c>
      <c r="AT171" s="11">
        <f t="shared" si="162"/>
        <v>507.97188664649997</v>
      </c>
      <c r="AU171" s="11">
        <f t="shared" si="163"/>
        <v>1896.6425030105124</v>
      </c>
      <c r="AV171" s="11">
        <f t="shared" si="164"/>
        <v>2.1751390567182989E-3</v>
      </c>
      <c r="AW171" s="11">
        <f t="shared" si="165"/>
        <v>3.6770358841811742E-7</v>
      </c>
      <c r="AX171" s="4">
        <f t="shared" si="166"/>
        <v>17.539561749628287</v>
      </c>
      <c r="AY171" s="4">
        <f t="shared" si="167"/>
        <v>2.0946415259152804</v>
      </c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</row>
    <row r="172" spans="1:64">
      <c r="A172" s="4" t="e">
        <f>#REF!</f>
        <v>#REF!</v>
      </c>
      <c r="B172" s="4">
        <f t="shared" si="127"/>
        <v>1584.5348996632649</v>
      </c>
      <c r="C172" s="4">
        <f t="shared" si="128"/>
        <v>26.40891499438775</v>
      </c>
      <c r="D172" s="23">
        <f t="shared" si="129"/>
        <v>10059.74287</v>
      </c>
      <c r="E172" s="41" t="e">
        <f>#REF!</f>
        <v>#REF!</v>
      </c>
      <c r="F172" s="7">
        <v>0</v>
      </c>
      <c r="G172" s="4"/>
      <c r="H172" s="6">
        <v>3000</v>
      </c>
      <c r="I172" s="5">
        <v>0</v>
      </c>
      <c r="J172" s="4">
        <f t="shared" si="130"/>
        <v>0.53312925535278777</v>
      </c>
      <c r="K172" s="4">
        <f t="shared" si="131"/>
        <v>589.04131751937507</v>
      </c>
      <c r="L172" s="6">
        <f t="shared" si="168"/>
        <v>335</v>
      </c>
      <c r="M172" s="4">
        <f t="shared" si="132"/>
        <v>348.9975559691494</v>
      </c>
      <c r="N172" s="4">
        <f t="shared" si="133"/>
        <v>377.35364442973543</v>
      </c>
      <c r="O172" s="4">
        <f t="shared" si="134"/>
        <v>3484455.4584555374</v>
      </c>
      <c r="P172" s="4">
        <f t="shared" si="135"/>
        <v>22372652.514964662</v>
      </c>
      <c r="Q172" s="4">
        <f t="shared" si="136"/>
        <v>2.5805335170777381E-3</v>
      </c>
      <c r="R172" s="4">
        <f t="shared" si="137"/>
        <v>1.8754157121759592E-2</v>
      </c>
      <c r="S172" s="27">
        <v>0</v>
      </c>
      <c r="T172" s="4">
        <f t="shared" si="138"/>
        <v>0.11590722157820592</v>
      </c>
      <c r="U172" s="4">
        <f t="shared" si="139"/>
        <v>1.960263511331271E-2</v>
      </c>
      <c r="V172" s="4">
        <f t="shared" si="140"/>
        <v>5.9128388049977021</v>
      </c>
      <c r="W172" s="20">
        <f t="shared" si="141"/>
        <v>1701.3389341000156</v>
      </c>
      <c r="X172" s="4">
        <f t="shared" si="142"/>
        <v>0.54492781914622668</v>
      </c>
      <c r="Y172" s="4">
        <f t="shared" si="143"/>
        <v>138.38574598989084</v>
      </c>
      <c r="Z172" s="14">
        <f t="shared" si="144"/>
        <v>1701.3389341000156</v>
      </c>
      <c r="AA172" s="14">
        <f t="shared" si="145"/>
        <v>5628.3916222821908</v>
      </c>
      <c r="AB172" s="25">
        <f t="shared" si="146"/>
        <v>1002158.9272892824</v>
      </c>
      <c r="AC172" s="4">
        <f t="shared" si="147"/>
        <v>3315355.2167041143</v>
      </c>
      <c r="AD172" s="5">
        <f t="shared" si="148"/>
        <v>30.227799490081676</v>
      </c>
      <c r="AE172" s="7">
        <f t="shared" si="149"/>
        <v>1701.3389341000159</v>
      </c>
      <c r="AF172" s="4">
        <f t="shared" si="150"/>
        <v>0</v>
      </c>
      <c r="AG172" s="4">
        <f t="shared" si="151"/>
        <v>229.94586634149545</v>
      </c>
      <c r="AH172" s="4">
        <f t="shared" si="152"/>
        <v>1423.1356443350357</v>
      </c>
      <c r="AI172" s="13">
        <f t="shared" si="153"/>
        <v>1.3313709016531175E-14</v>
      </c>
      <c r="AJ172" s="10">
        <f t="shared" si="154"/>
        <v>1.2950183860191016E-15</v>
      </c>
      <c r="AK172" s="11">
        <f t="shared" si="155"/>
        <v>1.3714815735135908</v>
      </c>
      <c r="AL172" s="7">
        <v>0</v>
      </c>
      <c r="AM172" s="4">
        <f t="shared" si="156"/>
        <v>51.57629241848089</v>
      </c>
      <c r="AN172" s="4">
        <f t="shared" si="157"/>
        <v>20.388905595385285</v>
      </c>
      <c r="AO172" s="6">
        <v>5</v>
      </c>
      <c r="AP172" s="4">
        <f t="shared" si="158"/>
        <v>0.83647979588961463</v>
      </c>
      <c r="AQ172" s="11">
        <f t="shared" si="159"/>
        <v>0.97937395000000005</v>
      </c>
      <c r="AR172" s="11">
        <f t="shared" si="160"/>
        <v>0.8962407041850623</v>
      </c>
      <c r="AS172" s="11">
        <f t="shared" si="161"/>
        <v>0.91511593113647982</v>
      </c>
      <c r="AT172" s="11">
        <f t="shared" si="162"/>
        <v>507.97188664649997</v>
      </c>
      <c r="AU172" s="11">
        <f t="shared" si="163"/>
        <v>1896.6425030105124</v>
      </c>
      <c r="AV172" s="11">
        <f t="shared" si="164"/>
        <v>2.1751390567182989E-3</v>
      </c>
      <c r="AW172" s="11">
        <f t="shared" si="165"/>
        <v>3.6770358841811742E-7</v>
      </c>
      <c r="AX172" s="4">
        <f t="shared" si="166"/>
        <v>17.367639334828109</v>
      </c>
      <c r="AY172" s="4">
        <f t="shared" si="167"/>
        <v>2.0130348206722863</v>
      </c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</row>
    <row r="173" spans="1:64">
      <c r="A173" s="4" t="e">
        <f>#REF!</f>
        <v>#REF!</v>
      </c>
      <c r="B173" s="4">
        <f t="shared" si="127"/>
        <v>1584.5348996632649</v>
      </c>
      <c r="C173" s="4">
        <f t="shared" si="128"/>
        <v>26.40891499438775</v>
      </c>
      <c r="D173" s="23">
        <f t="shared" si="129"/>
        <v>10059.74287</v>
      </c>
      <c r="E173" s="41" t="e">
        <f>#REF!</f>
        <v>#REF!</v>
      </c>
      <c r="F173" s="7">
        <v>0</v>
      </c>
      <c r="G173" s="4"/>
      <c r="H173" s="6">
        <v>3000</v>
      </c>
      <c r="I173" s="5">
        <v>0</v>
      </c>
      <c r="J173" s="4">
        <f t="shared" si="130"/>
        <v>0.54103527186337996</v>
      </c>
      <c r="K173" s="4">
        <f t="shared" si="131"/>
        <v>597.77647946175898</v>
      </c>
      <c r="L173" s="6">
        <f t="shared" si="168"/>
        <v>340</v>
      </c>
      <c r="M173" s="4">
        <f t="shared" si="132"/>
        <v>354.1729996574208</v>
      </c>
      <c r="N173" s="4">
        <f t="shared" si="133"/>
        <v>388.62852738075662</v>
      </c>
      <c r="O173" s="4">
        <f t="shared" si="134"/>
        <v>3536128.0352432118</v>
      </c>
      <c r="P173" s="4">
        <f t="shared" si="135"/>
        <v>22704426.767443091</v>
      </c>
      <c r="Q173" s="4">
        <f t="shared" si="136"/>
        <v>2.5727870789618982E-3</v>
      </c>
      <c r="R173" s="4">
        <f t="shared" si="137"/>
        <v>1.8706865117062391E-2</v>
      </c>
      <c r="S173" s="27">
        <v>0</v>
      </c>
      <c r="T173" s="4">
        <f t="shared" si="138"/>
        <v>0.11254452361755934</v>
      </c>
      <c r="U173" s="4">
        <f t="shared" si="139"/>
        <v>1.9506825215720031E-2</v>
      </c>
      <c r="V173" s="4">
        <f t="shared" si="140"/>
        <v>5.7694946447186455</v>
      </c>
      <c r="W173" s="20">
        <f t="shared" si="141"/>
        <v>1743.6090142155897</v>
      </c>
      <c r="X173" s="4">
        <f t="shared" si="142"/>
        <v>0.54424031835047848</v>
      </c>
      <c r="Y173" s="4">
        <f t="shared" si="143"/>
        <v>138.38574598989084</v>
      </c>
      <c r="Z173" s="14">
        <f t="shared" si="144"/>
        <v>1743.6090142155897</v>
      </c>
      <c r="AA173" s="14">
        <f t="shared" si="145"/>
        <v>5628.3916222821908</v>
      </c>
      <c r="AB173" s="25">
        <f t="shared" si="146"/>
        <v>1042288.4580755833</v>
      </c>
      <c r="AC173" s="4">
        <f t="shared" si="147"/>
        <v>3364520.1289999066</v>
      </c>
      <c r="AD173" s="5">
        <f t="shared" si="148"/>
        <v>30.978814752563256</v>
      </c>
      <c r="AE173" s="7">
        <f t="shared" si="149"/>
        <v>1743.6090142155897</v>
      </c>
      <c r="AF173" s="4">
        <f t="shared" si="150"/>
        <v>0</v>
      </c>
      <c r="AG173" s="4">
        <f t="shared" si="151"/>
        <v>230.84403855387242</v>
      </c>
      <c r="AH173" s="4">
        <f t="shared" si="152"/>
        <v>1464.0525720183352</v>
      </c>
      <c r="AI173" s="13">
        <f t="shared" si="153"/>
        <v>0</v>
      </c>
      <c r="AJ173" s="10">
        <f t="shared" si="154"/>
        <v>0</v>
      </c>
      <c r="AK173" s="11">
        <f t="shared" si="155"/>
        <v>1.3768386023600567</v>
      </c>
      <c r="AL173" s="7">
        <v>0</v>
      </c>
      <c r="AM173" s="4">
        <f t="shared" si="156"/>
        <v>50.822620632884984</v>
      </c>
      <c r="AN173" s="4">
        <f t="shared" si="157"/>
        <v>20.668607903968713</v>
      </c>
      <c r="AO173" s="6">
        <v>5</v>
      </c>
      <c r="AP173" s="4">
        <f t="shared" si="158"/>
        <v>0.83966793018501307</v>
      </c>
      <c r="AQ173" s="11">
        <f t="shared" si="159"/>
        <v>0.97937395000000005</v>
      </c>
      <c r="AR173" s="11">
        <f t="shared" si="160"/>
        <v>0.8962407041850623</v>
      </c>
      <c r="AS173" s="11">
        <f t="shared" si="161"/>
        <v>0.91511593113647982</v>
      </c>
      <c r="AT173" s="11">
        <f t="shared" si="162"/>
        <v>507.97188664649997</v>
      </c>
      <c r="AU173" s="11">
        <f t="shared" si="163"/>
        <v>1896.6425030105124</v>
      </c>
      <c r="AV173" s="11">
        <f t="shared" si="164"/>
        <v>2.1751390567182989E-3</v>
      </c>
      <c r="AW173" s="11">
        <f t="shared" si="165"/>
        <v>3.6770358841811742E-7</v>
      </c>
      <c r="AX173" s="4">
        <f t="shared" si="166"/>
        <v>17.197906796196715</v>
      </c>
      <c r="AY173" s="4">
        <f t="shared" si="167"/>
        <v>1.9355302275971453</v>
      </c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</row>
    <row r="174" spans="1:64">
      <c r="A174" s="4" t="e">
        <f>#REF!</f>
        <v>#REF!</v>
      </c>
      <c r="B174" s="4">
        <f t="shared" si="127"/>
        <v>1584.5348996632649</v>
      </c>
      <c r="C174" s="4">
        <f t="shared" si="128"/>
        <v>26.40891499438775</v>
      </c>
      <c r="D174" s="23">
        <f t="shared" si="129"/>
        <v>10059.74287</v>
      </c>
      <c r="E174" s="41" t="e">
        <f>#REF!</f>
        <v>#REF!</v>
      </c>
      <c r="F174" s="7">
        <v>0</v>
      </c>
      <c r="G174" s="4"/>
      <c r="H174" s="6">
        <v>3000</v>
      </c>
      <c r="I174" s="5">
        <v>0</v>
      </c>
      <c r="J174" s="4">
        <f t="shared" si="130"/>
        <v>0.54893927182654778</v>
      </c>
      <c r="K174" s="4">
        <f t="shared" si="131"/>
        <v>606.50941337080997</v>
      </c>
      <c r="L174" s="6">
        <f t="shared" si="168"/>
        <v>345</v>
      </c>
      <c r="M174" s="4">
        <f t="shared" si="132"/>
        <v>359.34712327159099</v>
      </c>
      <c r="N174" s="4">
        <f t="shared" si="133"/>
        <v>400.06644076378029</v>
      </c>
      <c r="O174" s="4">
        <f t="shared" si="134"/>
        <v>3587787.432169511</v>
      </c>
      <c r="P174" s="4">
        <f t="shared" si="135"/>
        <v>23036116.395950213</v>
      </c>
      <c r="Q174" s="4">
        <f t="shared" si="136"/>
        <v>2.5651277337306877E-3</v>
      </c>
      <c r="R174" s="4">
        <f t="shared" si="137"/>
        <v>1.8660104814425846E-2</v>
      </c>
      <c r="S174" s="27">
        <v>0</v>
      </c>
      <c r="T174" s="4">
        <f t="shared" si="138"/>
        <v>0.109326871793493</v>
      </c>
      <c r="U174" s="4">
        <f t="shared" si="139"/>
        <v>1.9414977018735551E-2</v>
      </c>
      <c r="V174" s="4">
        <f t="shared" si="140"/>
        <v>5.6310585218819478</v>
      </c>
      <c r="W174" s="20">
        <f t="shared" si="141"/>
        <v>1786.474573281108</v>
      </c>
      <c r="X174" s="4">
        <f t="shared" si="142"/>
        <v>0.54355969214897404</v>
      </c>
      <c r="Y174" s="4">
        <f t="shared" si="143"/>
        <v>138.38574598989084</v>
      </c>
      <c r="Z174" s="14">
        <f t="shared" si="144"/>
        <v>1786.474573281108</v>
      </c>
      <c r="AA174" s="14">
        <f t="shared" si="145"/>
        <v>5628.3916222821908</v>
      </c>
      <c r="AB174" s="25">
        <f t="shared" si="146"/>
        <v>1083513.6454425929</v>
      </c>
      <c r="AC174" s="4">
        <f t="shared" si="147"/>
        <v>3413672.5010515531</v>
      </c>
      <c r="AD174" s="5">
        <f t="shared" si="148"/>
        <v>31.740409928275941</v>
      </c>
      <c r="AE174" s="7">
        <f t="shared" si="149"/>
        <v>1786.474573281108</v>
      </c>
      <c r="AF174" s="4">
        <f t="shared" si="150"/>
        <v>0</v>
      </c>
      <c r="AG174" s="4">
        <f t="shared" si="151"/>
        <v>231.63204922045489</v>
      </c>
      <c r="AH174" s="4">
        <f t="shared" si="152"/>
        <v>1505.6661624432866</v>
      </c>
      <c r="AI174" s="13">
        <f t="shared" si="153"/>
        <v>0</v>
      </c>
      <c r="AJ174" s="10">
        <f t="shared" si="154"/>
        <v>0</v>
      </c>
      <c r="AK174" s="11">
        <f t="shared" si="155"/>
        <v>1.381538587300621</v>
      </c>
      <c r="AL174" s="7">
        <v>0</v>
      </c>
      <c r="AM174" s="4">
        <f t="shared" si="156"/>
        <v>50.090842069704784</v>
      </c>
      <c r="AN174" s="4">
        <f t="shared" si="157"/>
        <v>20.950023875734761</v>
      </c>
      <c r="AO174" s="6">
        <v>5</v>
      </c>
      <c r="AP174" s="4">
        <f t="shared" si="158"/>
        <v>0.84281421351434194</v>
      </c>
      <c r="AQ174" s="11">
        <f t="shared" si="159"/>
        <v>0.97937395000000005</v>
      </c>
      <c r="AR174" s="11">
        <f t="shared" si="160"/>
        <v>0.8962407041850623</v>
      </c>
      <c r="AS174" s="11">
        <f t="shared" si="161"/>
        <v>0.91511593113647982</v>
      </c>
      <c r="AT174" s="11">
        <f t="shared" si="162"/>
        <v>507.97188664649997</v>
      </c>
      <c r="AU174" s="11">
        <f t="shared" si="163"/>
        <v>1896.6425030105124</v>
      </c>
      <c r="AV174" s="11">
        <f t="shared" si="164"/>
        <v>2.1751390567182989E-3</v>
      </c>
      <c r="AW174" s="11">
        <f t="shared" si="165"/>
        <v>3.6770358841811742E-7</v>
      </c>
      <c r="AX174" s="4">
        <f t="shared" si="166"/>
        <v>17.03046789851647</v>
      </c>
      <c r="AY174" s="4">
        <f t="shared" si="167"/>
        <v>1.8618877805243084</v>
      </c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</row>
    <row r="175" spans="1:64">
      <c r="A175" s="4" t="e">
        <f>#REF!</f>
        <v>#REF!</v>
      </c>
      <c r="B175" s="4">
        <f t="shared" si="127"/>
        <v>1584.5348996632649</v>
      </c>
      <c r="C175" s="4">
        <f t="shared" si="128"/>
        <v>26.40891499438775</v>
      </c>
      <c r="D175" s="23">
        <f t="shared" si="129"/>
        <v>10059.74287</v>
      </c>
      <c r="E175" s="41" t="e">
        <f>#REF!</f>
        <v>#REF!</v>
      </c>
      <c r="F175" s="7">
        <v>0</v>
      </c>
      <c r="G175" s="4"/>
      <c r="H175" s="6">
        <v>3000</v>
      </c>
      <c r="I175" s="5">
        <v>0</v>
      </c>
      <c r="J175" s="4">
        <f t="shared" si="130"/>
        <v>0.55684124253378176</v>
      </c>
      <c r="K175" s="4">
        <f t="shared" si="131"/>
        <v>615.24010520521051</v>
      </c>
      <c r="L175" s="6">
        <f t="shared" si="168"/>
        <v>350</v>
      </c>
      <c r="M175" s="4">
        <f t="shared" si="132"/>
        <v>364.51991849240397</v>
      </c>
      <c r="N175" s="4">
        <f t="shared" si="133"/>
        <v>411.66723882146528</v>
      </c>
      <c r="O175" s="4">
        <f t="shared" si="134"/>
        <v>3639433.5661734631</v>
      </c>
      <c r="P175" s="4">
        <f t="shared" si="135"/>
        <v>23367720.86717622</v>
      </c>
      <c r="Q175" s="4">
        <f t="shared" si="136"/>
        <v>2.5575523088405896E-3</v>
      </c>
      <c r="R175" s="4">
        <f t="shared" si="137"/>
        <v>1.8613856845471798E-2</v>
      </c>
      <c r="S175" s="27">
        <v>0</v>
      </c>
      <c r="T175" s="4">
        <f t="shared" si="138"/>
        <v>0.10624603649169537</v>
      </c>
      <c r="U175" s="4">
        <f t="shared" si="139"/>
        <v>1.9326783851309742E-2</v>
      </c>
      <c r="V175" s="4">
        <f t="shared" si="140"/>
        <v>5.4973469620759099</v>
      </c>
      <c r="W175" s="20">
        <f t="shared" si="141"/>
        <v>1829.9268609746321</v>
      </c>
      <c r="X175" s="4">
        <f t="shared" si="142"/>
        <v>0.54288568395230286</v>
      </c>
      <c r="Y175" s="4">
        <f t="shared" si="143"/>
        <v>138.38574598989084</v>
      </c>
      <c r="Z175" s="14">
        <f t="shared" si="144"/>
        <v>1829.9268609746321</v>
      </c>
      <c r="AA175" s="14">
        <f t="shared" si="145"/>
        <v>5628.3916222821908</v>
      </c>
      <c r="AB175" s="25">
        <f t="shared" si="146"/>
        <v>1125844.3944638732</v>
      </c>
      <c r="AC175" s="4">
        <f t="shared" si="147"/>
        <v>3462812.2538290205</v>
      </c>
      <c r="AD175" s="5">
        <f t="shared" si="148"/>
        <v>32.512429549680775</v>
      </c>
      <c r="AE175" s="7">
        <f t="shared" si="149"/>
        <v>1829.9268609746323</v>
      </c>
      <c r="AF175" s="4">
        <f t="shared" si="150"/>
        <v>0</v>
      </c>
      <c r="AG175" s="4">
        <f t="shared" si="151"/>
        <v>232.30890586024964</v>
      </c>
      <c r="AH175" s="4">
        <f t="shared" si="152"/>
        <v>1547.9253532698915</v>
      </c>
      <c r="AI175" s="13">
        <f t="shared" si="153"/>
        <v>1.3905862784799934E-14</v>
      </c>
      <c r="AJ175" s="10">
        <f t="shared" si="154"/>
        <v>1.2950183860191016E-15</v>
      </c>
      <c r="AK175" s="11">
        <f t="shared" si="155"/>
        <v>1.3855756088142419</v>
      </c>
      <c r="AL175" s="7">
        <v>0</v>
      </c>
      <c r="AM175" s="4">
        <f t="shared" si="156"/>
        <v>49.380017625497992</v>
      </c>
      <c r="AN175" s="4">
        <f t="shared" si="157"/>
        <v>21.232383674284016</v>
      </c>
      <c r="AO175" s="6">
        <v>5</v>
      </c>
      <c r="AP175" s="4">
        <f t="shared" si="158"/>
        <v>0.8458946563828541</v>
      </c>
      <c r="AQ175" s="11">
        <f t="shared" si="159"/>
        <v>0.97937395000000005</v>
      </c>
      <c r="AR175" s="11">
        <f t="shared" si="160"/>
        <v>0.8962407041850623</v>
      </c>
      <c r="AS175" s="11">
        <f t="shared" si="161"/>
        <v>0.91511593113647982</v>
      </c>
      <c r="AT175" s="11">
        <f t="shared" si="162"/>
        <v>507.97188664649997</v>
      </c>
      <c r="AU175" s="11">
        <f t="shared" si="163"/>
        <v>1896.6425030105124</v>
      </c>
      <c r="AV175" s="11">
        <f t="shared" si="164"/>
        <v>2.1751390567182989E-3</v>
      </c>
      <c r="AW175" s="11">
        <f t="shared" si="165"/>
        <v>3.6770358841811742E-7</v>
      </c>
      <c r="AX175" s="4">
        <f t="shared" si="166"/>
        <v>16.865405178996589</v>
      </c>
      <c r="AY175" s="4">
        <f t="shared" si="167"/>
        <v>1.791882454094899</v>
      </c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</row>
    <row r="176" spans="1:64">
      <c r="A176" s="4" t="e">
        <f>#REF!</f>
        <v>#REF!</v>
      </c>
      <c r="B176" s="4">
        <f t="shared" si="127"/>
        <v>1584.5348996632649</v>
      </c>
      <c r="C176" s="4">
        <f t="shared" si="128"/>
        <v>26.40891499438775</v>
      </c>
      <c r="D176" s="23">
        <f t="shared" si="129"/>
        <v>10059.74287</v>
      </c>
      <c r="E176" s="41" t="e">
        <f>#REF!</f>
        <v>#REF!</v>
      </c>
      <c r="F176" s="7">
        <v>0</v>
      </c>
      <c r="G176" s="4"/>
      <c r="H176" s="6">
        <v>3000</v>
      </c>
      <c r="I176" s="5">
        <v>0</v>
      </c>
      <c r="J176" s="4">
        <f t="shared" si="130"/>
        <v>0.56474117184442385</v>
      </c>
      <c r="K176" s="4">
        <f t="shared" si="131"/>
        <v>623.96854155104802</v>
      </c>
      <c r="L176" s="6">
        <f t="shared" si="168"/>
        <v>355</v>
      </c>
      <c r="M176" s="4">
        <f t="shared" si="132"/>
        <v>369.69137737233115</v>
      </c>
      <c r="N176" s="4">
        <f t="shared" si="133"/>
        <v>423.43077561405693</v>
      </c>
      <c r="O176" s="4">
        <f t="shared" si="134"/>
        <v>3691066.3579054885</v>
      </c>
      <c r="P176" s="4">
        <f t="shared" si="135"/>
        <v>23699239.671641052</v>
      </c>
      <c r="Q176" s="4">
        <f t="shared" si="136"/>
        <v>2.5500577852649343E-3</v>
      </c>
      <c r="R176" s="4">
        <f t="shared" si="137"/>
        <v>1.8568102779042424E-2</v>
      </c>
      <c r="S176" s="27">
        <v>0</v>
      </c>
      <c r="T176" s="4">
        <f t="shared" si="138"/>
        <v>0.10329436355879482</v>
      </c>
      <c r="U176" s="4">
        <f t="shared" si="139"/>
        <v>1.9241967684441204E-2</v>
      </c>
      <c r="V176" s="4">
        <f t="shared" si="140"/>
        <v>5.3681809081467922</v>
      </c>
      <c r="W176" s="20">
        <f t="shared" si="141"/>
        <v>1873.9574992216185</v>
      </c>
      <c r="X176" s="4">
        <f t="shared" si="142"/>
        <v>0.5422180493306813</v>
      </c>
      <c r="Y176" s="4">
        <f t="shared" si="143"/>
        <v>138.38574598989081</v>
      </c>
      <c r="Z176" s="14">
        <f t="shared" si="144"/>
        <v>1873.9574992216185</v>
      </c>
      <c r="AA176" s="14">
        <f t="shared" si="145"/>
        <v>5628.3916222821908</v>
      </c>
      <c r="AB176" s="25">
        <f t="shared" si="146"/>
        <v>1169290.5277179624</v>
      </c>
      <c r="AC176" s="4">
        <f t="shared" si="147"/>
        <v>3511939.3118335558</v>
      </c>
      <c r="AD176" s="5">
        <f t="shared" si="148"/>
        <v>33.294724762982455</v>
      </c>
      <c r="AE176" s="7">
        <f t="shared" si="149"/>
        <v>1873.9574992216185</v>
      </c>
      <c r="AF176" s="4">
        <f t="shared" si="150"/>
        <v>0</v>
      </c>
      <c r="AG176" s="4">
        <f t="shared" si="151"/>
        <v>232.8736245438044</v>
      </c>
      <c r="AH176" s="4">
        <f t="shared" si="152"/>
        <v>1590.7682864462058</v>
      </c>
      <c r="AI176" s="13">
        <f t="shared" si="153"/>
        <v>0</v>
      </c>
      <c r="AJ176" s="10">
        <f t="shared" si="154"/>
        <v>0</v>
      </c>
      <c r="AK176" s="11">
        <f t="shared" si="155"/>
        <v>1.3889437983844077</v>
      </c>
      <c r="AL176" s="7">
        <v>0</v>
      </c>
      <c r="AM176" s="4">
        <f t="shared" si="156"/>
        <v>48.689261101893301</v>
      </c>
      <c r="AN176" s="4">
        <f t="shared" si="157"/>
        <v>21.514814569830754</v>
      </c>
      <c r="AO176" s="6">
        <v>5</v>
      </c>
      <c r="AP176" s="4">
        <f t="shared" si="158"/>
        <v>0.84888173136635148</v>
      </c>
      <c r="AQ176" s="11">
        <f t="shared" si="159"/>
        <v>0.97937395000000005</v>
      </c>
      <c r="AR176" s="11">
        <f t="shared" si="160"/>
        <v>0.8962407041850623</v>
      </c>
      <c r="AS176" s="11">
        <f t="shared" si="161"/>
        <v>0.91511593113647982</v>
      </c>
      <c r="AT176" s="11">
        <f t="shared" si="162"/>
        <v>507.97188664649997</v>
      </c>
      <c r="AU176" s="11">
        <f t="shared" si="163"/>
        <v>1896.6425030105124</v>
      </c>
      <c r="AV176" s="11">
        <f t="shared" si="164"/>
        <v>2.1751390567182989E-3</v>
      </c>
      <c r="AW176" s="11">
        <f t="shared" si="165"/>
        <v>3.6770358841811742E-7</v>
      </c>
      <c r="AX176" s="4">
        <f t="shared" si="166"/>
        <v>16.702782701882857</v>
      </c>
      <c r="AY176" s="4">
        <f t="shared" si="167"/>
        <v>1.7253033088518381</v>
      </c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</row>
    <row r="177" spans="1:64">
      <c r="A177" s="4" t="e">
        <f>#REF!</f>
        <v>#REF!</v>
      </c>
      <c r="B177" s="4">
        <f t="shared" si="127"/>
        <v>1584.5348996632649</v>
      </c>
      <c r="C177" s="4">
        <f t="shared" si="128"/>
        <v>26.40891499438775</v>
      </c>
      <c r="D177" s="23">
        <f t="shared" si="129"/>
        <v>10059.74287</v>
      </c>
      <c r="E177" s="41" t="e">
        <f>#REF!</f>
        <v>#REF!</v>
      </c>
      <c r="F177" s="7">
        <v>0</v>
      </c>
      <c r="G177" s="4"/>
      <c r="H177" s="6">
        <v>3000</v>
      </c>
      <c r="I177" s="5">
        <v>0</v>
      </c>
      <c r="J177" s="4">
        <f t="shared" si="130"/>
        <v>0.57263904818348532</v>
      </c>
      <c r="K177" s="4">
        <f t="shared" si="131"/>
        <v>632.69470961940385</v>
      </c>
      <c r="L177" s="6">
        <f t="shared" si="168"/>
        <v>360</v>
      </c>
      <c r="M177" s="4">
        <f t="shared" si="132"/>
        <v>374.86149233414289</v>
      </c>
      <c r="N177" s="4">
        <f t="shared" si="133"/>
        <v>435.35690507629914</v>
      </c>
      <c r="O177" s="4">
        <f t="shared" si="134"/>
        <v>3742685.7317131371</v>
      </c>
      <c r="P177" s="4">
        <f t="shared" si="135"/>
        <v>24030672.323602825</v>
      </c>
      <c r="Q177" s="4">
        <f t="shared" si="136"/>
        <v>2.5426412883983278E-3</v>
      </c>
      <c r="R177" s="4">
        <f t="shared" si="137"/>
        <v>1.8522825065671791E-2</v>
      </c>
      <c r="S177" s="27">
        <v>0</v>
      </c>
      <c r="T177" s="4">
        <f t="shared" si="138"/>
        <v>0.10046472668349087</v>
      </c>
      <c r="U177" s="4">
        <f t="shared" si="139"/>
        <v>1.9160276063102968E-2</v>
      </c>
      <c r="V177" s="4">
        <f t="shared" si="140"/>
        <v>5.2433861783941751</v>
      </c>
      <c r="W177" s="20">
        <f t="shared" si="141"/>
        <v>1918.5584520652014</v>
      </c>
      <c r="X177" s="4">
        <f t="shared" si="142"/>
        <v>0.5415565553072168</v>
      </c>
      <c r="Y177" s="4">
        <f t="shared" si="143"/>
        <v>138.38574598989084</v>
      </c>
      <c r="Z177" s="14">
        <f t="shared" si="144"/>
        <v>1918.5584520652014</v>
      </c>
      <c r="AA177" s="14">
        <f t="shared" si="145"/>
        <v>5628.3916222821908</v>
      </c>
      <c r="AB177" s="25">
        <f t="shared" si="146"/>
        <v>1213861.7827172456</v>
      </c>
      <c r="AC177" s="4">
        <f t="shared" si="147"/>
        <v>3561053.6030841162</v>
      </c>
      <c r="AD177" s="5">
        <f t="shared" si="148"/>
        <v>34.087152792812731</v>
      </c>
      <c r="AE177" s="7">
        <f t="shared" si="149"/>
        <v>1918.5584520652017</v>
      </c>
      <c r="AF177" s="4">
        <f t="shared" si="150"/>
        <v>0</v>
      </c>
      <c r="AG177" s="4">
        <f t="shared" si="151"/>
        <v>233.32523014744518</v>
      </c>
      <c r="AH177" s="4">
        <f t="shared" si="152"/>
        <v>1634.1209137696758</v>
      </c>
      <c r="AI177" s="13">
        <f t="shared" si="153"/>
        <v>1.4300377595998365E-14</v>
      </c>
      <c r="AJ177" s="10">
        <f t="shared" si="154"/>
        <v>1.2950183860191016E-15</v>
      </c>
      <c r="AK177" s="11">
        <f t="shared" si="155"/>
        <v>1.3916373400155018</v>
      </c>
      <c r="AL177" s="7">
        <v>0</v>
      </c>
      <c r="AM177" s="4">
        <f t="shared" si="156"/>
        <v>48.017735531915385</v>
      </c>
      <c r="AN177" s="4">
        <f t="shared" si="157"/>
        <v>21.796329406823386</v>
      </c>
      <c r="AO177" s="6">
        <v>5</v>
      </c>
      <c r="AP177" s="4">
        <f t="shared" si="158"/>
        <v>0.85174413738119492</v>
      </c>
      <c r="AQ177" s="11">
        <f t="shared" si="159"/>
        <v>0.97937395000000005</v>
      </c>
      <c r="AR177" s="11">
        <f t="shared" si="160"/>
        <v>0.8962407041850623</v>
      </c>
      <c r="AS177" s="11">
        <f t="shared" si="161"/>
        <v>0.91511593113647982</v>
      </c>
      <c r="AT177" s="11">
        <f t="shared" si="162"/>
        <v>507.97188664649997</v>
      </c>
      <c r="AU177" s="11">
        <f t="shared" si="163"/>
        <v>1896.6425030105124</v>
      </c>
      <c r="AV177" s="11">
        <f t="shared" si="164"/>
        <v>2.1751390567182989E-3</v>
      </c>
      <c r="AW177" s="11">
        <f t="shared" si="165"/>
        <v>3.6770358841811742E-7</v>
      </c>
      <c r="AX177" s="4">
        <f t="shared" si="166"/>
        <v>16.542648480409767</v>
      </c>
      <c r="AY177" s="4">
        <f t="shared" si="167"/>
        <v>1.661952658205432</v>
      </c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</row>
    <row r="178" spans="1:64">
      <c r="A178" s="4" t="e">
        <f>#REF!</f>
        <v>#REF!</v>
      </c>
      <c r="B178" s="4">
        <f t="shared" si="127"/>
        <v>1584.5348996632649</v>
      </c>
      <c r="C178" s="4">
        <f t="shared" si="128"/>
        <v>26.40891499438775</v>
      </c>
      <c r="D178" s="23">
        <f t="shared" si="129"/>
        <v>10059.74287</v>
      </c>
      <c r="E178" s="41" t="e">
        <f>#REF!</f>
        <v>#REF!</v>
      </c>
      <c r="F178" s="7">
        <v>0</v>
      </c>
      <c r="G178" s="4"/>
      <c r="H178" s="6">
        <v>3000</v>
      </c>
      <c r="I178" s="5">
        <v>0</v>
      </c>
      <c r="J178" s="4">
        <f t="shared" si="130"/>
        <v>0.58053486053921011</v>
      </c>
      <c r="K178" s="4">
        <f t="shared" si="131"/>
        <v>641.41859724366145</v>
      </c>
      <c r="L178" s="6">
        <f t="shared" si="168"/>
        <v>365</v>
      </c>
      <c r="M178" s="4">
        <f t="shared" si="132"/>
        <v>380.03025616931353</v>
      </c>
      <c r="N178" s="4">
        <f t="shared" si="133"/>
        <v>447.44548107363693</v>
      </c>
      <c r="O178" s="4">
        <f t="shared" si="134"/>
        <v>3794291.6156251729</v>
      </c>
      <c r="P178" s="4">
        <f t="shared" si="135"/>
        <v>24362018.360955626</v>
      </c>
      <c r="Q178" s="4">
        <f t="shared" si="136"/>
        <v>2.5353000796152986E-3</v>
      </c>
      <c r="R178" s="4">
        <f t="shared" si="137"/>
        <v>1.8478006986051398E-2</v>
      </c>
      <c r="S178" s="27">
        <v>0</v>
      </c>
      <c r="T178" s="4">
        <f t="shared" si="138"/>
        <v>9.7750484312216848E-2</v>
      </c>
      <c r="U178" s="4">
        <f t="shared" si="139"/>
        <v>1.9081479405788668E-2</v>
      </c>
      <c r="V178" s="4">
        <f t="shared" si="140"/>
        <v>5.1227937956719796</v>
      </c>
      <c r="W178" s="20">
        <f t="shared" si="141"/>
        <v>1963.7219984335554</v>
      </c>
      <c r="X178" s="4">
        <f t="shared" si="142"/>
        <v>0.54090097970128881</v>
      </c>
      <c r="Y178" s="4">
        <f t="shared" si="143"/>
        <v>138.38574598989084</v>
      </c>
      <c r="Z178" s="14">
        <f t="shared" si="144"/>
        <v>1963.7219984335554</v>
      </c>
      <c r="AA178" s="14">
        <f t="shared" si="145"/>
        <v>5628.3916222821908</v>
      </c>
      <c r="AB178" s="25">
        <f t="shared" si="146"/>
        <v>1259567.8096117706</v>
      </c>
      <c r="AC178" s="4">
        <f t="shared" si="147"/>
        <v>3610155.0591022191</v>
      </c>
      <c r="AD178" s="5">
        <f t="shared" si="148"/>
        <v>34.889576458386323</v>
      </c>
      <c r="AE178" s="7">
        <f t="shared" si="149"/>
        <v>1963.7219984335554</v>
      </c>
      <c r="AF178" s="4">
        <f t="shared" si="150"/>
        <v>0</v>
      </c>
      <c r="AG178" s="4">
        <f t="shared" si="151"/>
        <v>233.66275658002462</v>
      </c>
      <c r="AH178" s="4">
        <f t="shared" si="152"/>
        <v>1677.8955026912781</v>
      </c>
      <c r="AI178" s="13">
        <f t="shared" si="153"/>
        <v>0</v>
      </c>
      <c r="AJ178" s="10">
        <f t="shared" si="154"/>
        <v>0</v>
      </c>
      <c r="AK178" s="11">
        <f t="shared" si="155"/>
        <v>1.3936504715852123</v>
      </c>
      <c r="AL178" s="7">
        <v>0</v>
      </c>
      <c r="AM178" s="4">
        <f t="shared" si="156"/>
        <v>47.36464980825243</v>
      </c>
      <c r="AN178" s="4">
        <f t="shared" si="157"/>
        <v>22.075814694392797</v>
      </c>
      <c r="AO178" s="6">
        <v>5</v>
      </c>
      <c r="AP178" s="4">
        <f t="shared" si="158"/>
        <v>0.8544465581328321</v>
      </c>
      <c r="AQ178" s="11">
        <f t="shared" si="159"/>
        <v>0.97937395000000005</v>
      </c>
      <c r="AR178" s="11">
        <f t="shared" si="160"/>
        <v>0.8962407041850623</v>
      </c>
      <c r="AS178" s="11">
        <f t="shared" si="161"/>
        <v>0.91511593113647982</v>
      </c>
      <c r="AT178" s="11">
        <f t="shared" si="162"/>
        <v>507.97188664649997</v>
      </c>
      <c r="AU178" s="11">
        <f t="shared" si="163"/>
        <v>1896.6425030105124</v>
      </c>
      <c r="AV178" s="11">
        <f t="shared" si="164"/>
        <v>2.1751390567182989E-3</v>
      </c>
      <c r="AW178" s="11">
        <f t="shared" si="165"/>
        <v>3.6770358841811742E-7</v>
      </c>
      <c r="AX178" s="4">
        <f t="shared" si="166"/>
        <v>16.385036605145274</v>
      </c>
      <c r="AY178" s="4">
        <f t="shared" si="167"/>
        <v>1.6016452636263521</v>
      </c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</row>
    <row r="179" spans="1:64">
      <c r="A179" s="4" t="e">
        <f>#REF!</f>
        <v>#REF!</v>
      </c>
      <c r="B179" s="4">
        <f t="shared" si="127"/>
        <v>1584.5348996632649</v>
      </c>
      <c r="C179" s="4">
        <f t="shared" si="128"/>
        <v>26.40891499438775</v>
      </c>
      <c r="D179" s="23">
        <f t="shared" si="129"/>
        <v>10059.74287</v>
      </c>
      <c r="E179" s="41" t="e">
        <f>#REF!</f>
        <v>#REF!</v>
      </c>
      <c r="F179" s="7">
        <v>0</v>
      </c>
      <c r="G179" s="4"/>
      <c r="H179" s="6">
        <v>3000</v>
      </c>
      <c r="I179" s="5">
        <v>0</v>
      </c>
      <c r="J179" s="4">
        <f t="shared" si="130"/>
        <v>0.58842859846036843</v>
      </c>
      <c r="K179" s="4">
        <f t="shared" si="131"/>
        <v>650.14019287651593</v>
      </c>
      <c r="L179" s="6">
        <f t="shared" si="168"/>
        <v>370</v>
      </c>
      <c r="M179" s="4">
        <f t="shared" si="132"/>
        <v>385.19766203624965</v>
      </c>
      <c r="N179" s="4">
        <f t="shared" si="133"/>
        <v>459.69635745764776</v>
      </c>
      <c r="O179" s="4">
        <f t="shared" si="134"/>
        <v>3845883.9413338737</v>
      </c>
      <c r="P179" s="4">
        <f t="shared" si="135"/>
        <v>24693277.345115881</v>
      </c>
      <c r="Q179" s="4">
        <f t="shared" si="136"/>
        <v>2.5280315484278314E-3</v>
      </c>
      <c r="R179" s="4">
        <f t="shared" si="137"/>
        <v>1.8433632603151909E-2</v>
      </c>
      <c r="S179" s="27">
        <v>0</v>
      </c>
      <c r="T179" s="4">
        <f t="shared" si="138"/>
        <v>9.5145440612481882E-2</v>
      </c>
      <c r="U179" s="4">
        <f t="shared" si="139"/>
        <v>1.9005368623215758E-2</v>
      </c>
      <c r="V179" s="4">
        <f t="shared" si="140"/>
        <v>5.0062402102665988</v>
      </c>
      <c r="W179" s="20">
        <f t="shared" si="141"/>
        <v>2009.4407074933956</v>
      </c>
      <c r="X179" s="4">
        <f t="shared" si="142"/>
        <v>0.54025111051785724</v>
      </c>
      <c r="Y179" s="4">
        <f t="shared" si="143"/>
        <v>138.38574598989084</v>
      </c>
      <c r="Z179" s="14">
        <f t="shared" si="144"/>
        <v>2009.4407074933956</v>
      </c>
      <c r="AA179" s="14">
        <f t="shared" si="145"/>
        <v>5628.3916222821908</v>
      </c>
      <c r="AB179" s="25">
        <f t="shared" si="146"/>
        <v>1306418.1691436789</v>
      </c>
      <c r="AC179" s="4">
        <f t="shared" si="147"/>
        <v>3659243.61489511</v>
      </c>
      <c r="AD179" s="5">
        <f t="shared" si="148"/>
        <v>35.701863735605002</v>
      </c>
      <c r="AE179" s="7">
        <f t="shared" si="149"/>
        <v>2009.4407074933954</v>
      </c>
      <c r="AF179" s="4">
        <f t="shared" si="150"/>
        <v>0</v>
      </c>
      <c r="AG179" s="4">
        <f t="shared" si="151"/>
        <v>233.8852469845913</v>
      </c>
      <c r="AH179" s="4">
        <f t="shared" si="152"/>
        <v>1721.9890383243333</v>
      </c>
      <c r="AI179" s="13">
        <f t="shared" si="153"/>
        <v>-1.4694686247751502E-14</v>
      </c>
      <c r="AJ179" s="10">
        <f t="shared" si="154"/>
        <v>-1.2950183860191016E-15</v>
      </c>
      <c r="AK179" s="11">
        <f t="shared" si="155"/>
        <v>1.3949774860473623</v>
      </c>
      <c r="AL179" s="7">
        <v>0</v>
      </c>
      <c r="AM179" s="4">
        <f t="shared" si="156"/>
        <v>46.729255584905601</v>
      </c>
      <c r="AN179" s="4">
        <f t="shared" si="157"/>
        <v>22.352018301739882</v>
      </c>
      <c r="AO179" s="6">
        <v>5</v>
      </c>
      <c r="AP179" s="4">
        <f t="shared" si="158"/>
        <v>0.85694941478137299</v>
      </c>
      <c r="AQ179" s="11">
        <f t="shared" si="159"/>
        <v>0.97937395000000005</v>
      </c>
      <c r="AR179" s="11">
        <f t="shared" si="160"/>
        <v>0.8962407041850623</v>
      </c>
      <c r="AS179" s="11">
        <f t="shared" si="161"/>
        <v>0.91511593113647982</v>
      </c>
      <c r="AT179" s="11">
        <f t="shared" si="162"/>
        <v>507.97188664649997</v>
      </c>
      <c r="AU179" s="11">
        <f t="shared" si="163"/>
        <v>1896.6425030105124</v>
      </c>
      <c r="AV179" s="11">
        <f t="shared" si="164"/>
        <v>2.1751390567182989E-3</v>
      </c>
      <c r="AW179" s="11">
        <f t="shared" si="165"/>
        <v>3.6770358841811742E-7</v>
      </c>
      <c r="AX179" s="4">
        <f t="shared" si="166"/>
        <v>16.22996911343623</v>
      </c>
      <c r="AY179" s="4">
        <f t="shared" si="167"/>
        <v>1.5442075624248617</v>
      </c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</row>
    <row r="180" spans="1:64">
      <c r="A180" s="4" t="e">
        <f>#REF!</f>
        <v>#REF!</v>
      </c>
      <c r="B180" s="4">
        <f t="shared" si="127"/>
        <v>1584.5348996632649</v>
      </c>
      <c r="C180" s="4">
        <f t="shared" si="128"/>
        <v>26.40891499438775</v>
      </c>
      <c r="D180" s="23">
        <f t="shared" si="129"/>
        <v>10059.74287</v>
      </c>
      <c r="E180" s="41" t="e">
        <f>#REF!</f>
        <v>#REF!</v>
      </c>
      <c r="F180" s="7">
        <v>0</v>
      </c>
      <c r="G180" s="4"/>
      <c r="H180" s="6">
        <v>3000</v>
      </c>
      <c r="I180" s="5">
        <v>0</v>
      </c>
      <c r="J180" s="4">
        <f t="shared" si="130"/>
        <v>0.59632025205331962</v>
      </c>
      <c r="K180" s="4">
        <f t="shared" si="131"/>
        <v>658.85948558672817</v>
      </c>
      <c r="L180" s="6">
        <f t="shared" si="168"/>
        <v>375</v>
      </c>
      <c r="M180" s="4">
        <f t="shared" si="132"/>
        <v>390.36370345836707</v>
      </c>
      <c r="N180" s="4">
        <f t="shared" si="133"/>
        <v>472.10938812072351</v>
      </c>
      <c r="O180" s="4">
        <f t="shared" si="134"/>
        <v>3897462.6441758373</v>
      </c>
      <c r="P180" s="4">
        <f t="shared" si="135"/>
        <v>25024448.860899113</v>
      </c>
      <c r="Q180" s="4">
        <f t="shared" si="136"/>
        <v>2.520833205191639E-3</v>
      </c>
      <c r="R180" s="4">
        <f t="shared" si="137"/>
        <v>1.8389686717694958E-2</v>
      </c>
      <c r="S180" s="27">
        <v>0</v>
      </c>
      <c r="T180" s="4">
        <f t="shared" si="138"/>
        <v>9.264381005504721E-2</v>
      </c>
      <c r="U180" s="4">
        <f t="shared" si="139"/>
        <v>1.893175301466906E-2</v>
      </c>
      <c r="V180" s="4">
        <f t="shared" si="140"/>
        <v>4.8935674357922991</v>
      </c>
      <c r="W180" s="20">
        <f t="shared" si="141"/>
        <v>2055.7074163158568</v>
      </c>
      <c r="X180" s="4">
        <f t="shared" si="142"/>
        <v>0.53960674537889763</v>
      </c>
      <c r="Y180" s="4">
        <f t="shared" si="143"/>
        <v>138.38574598989084</v>
      </c>
      <c r="Z180" s="14">
        <f t="shared" si="144"/>
        <v>2055.7074163158568</v>
      </c>
      <c r="AA180" s="14">
        <f t="shared" si="145"/>
        <v>5628.3916222821908</v>
      </c>
      <c r="AB180" s="25">
        <f t="shared" si="146"/>
        <v>1354422.3308306874</v>
      </c>
      <c r="AC180" s="4">
        <f t="shared" si="147"/>
        <v>3708319.2089374945</v>
      </c>
      <c r="AD180" s="5">
        <f t="shared" si="148"/>
        <v>36.523887360245766</v>
      </c>
      <c r="AE180" s="7">
        <f t="shared" si="149"/>
        <v>2055.7074163158568</v>
      </c>
      <c r="AF180" s="4">
        <f t="shared" si="150"/>
        <v>0</v>
      </c>
      <c r="AG180" s="4">
        <f t="shared" si="151"/>
        <v>233.99175391714633</v>
      </c>
      <c r="AH180" s="4">
        <f t="shared" si="152"/>
        <v>1766.2815176230047</v>
      </c>
      <c r="AI180" s="13">
        <f t="shared" si="153"/>
        <v>0</v>
      </c>
      <c r="AJ180" s="10">
        <f t="shared" si="154"/>
        <v>0</v>
      </c>
      <c r="AK180" s="11">
        <f t="shared" si="155"/>
        <v>1.3956127324980803</v>
      </c>
      <c r="AL180" s="7">
        <v>0</v>
      </c>
      <c r="AM180" s="4">
        <f t="shared" si="156"/>
        <v>46.110844426702002</v>
      </c>
      <c r="AN180" s="4">
        <f t="shared" si="157"/>
        <v>22.623536742464854</v>
      </c>
      <c r="AO180" s="6">
        <v>5</v>
      </c>
      <c r="AP180" s="4">
        <f t="shared" si="158"/>
        <v>0.85920861286206396</v>
      </c>
      <c r="AQ180" s="11">
        <f t="shared" si="159"/>
        <v>0.97937395000000005</v>
      </c>
      <c r="AR180" s="11">
        <f t="shared" si="160"/>
        <v>0.8962407041850623</v>
      </c>
      <c r="AS180" s="11">
        <f t="shared" si="161"/>
        <v>0.91511593113647982</v>
      </c>
      <c r="AT180" s="11">
        <f t="shared" si="162"/>
        <v>507.97188664649997</v>
      </c>
      <c r="AU180" s="11">
        <f t="shared" si="163"/>
        <v>1896.6425030105124</v>
      </c>
      <c r="AV180" s="11">
        <f t="shared" si="164"/>
        <v>2.1751390567182989E-3</v>
      </c>
      <c r="AW180" s="11">
        <f t="shared" si="165"/>
        <v>3.6770358841811742E-7</v>
      </c>
      <c r="AX180" s="4">
        <f t="shared" si="166"/>
        <v>16.077457630730294</v>
      </c>
      <c r="AY180" s="4">
        <f t="shared" si="167"/>
        <v>1.4894769309094464</v>
      </c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</row>
    <row r="181" spans="1:64">
      <c r="A181" s="4" t="e">
        <f>#REF!</f>
        <v>#REF!</v>
      </c>
      <c r="B181" s="4">
        <f t="shared" si="127"/>
        <v>1584.5348996632649</v>
      </c>
      <c r="C181" s="4">
        <f t="shared" si="128"/>
        <v>26.40891499438775</v>
      </c>
      <c r="D181" s="23">
        <f t="shared" si="129"/>
        <v>10059.74287</v>
      </c>
      <c r="E181" s="41" t="e">
        <f>#REF!</f>
        <v>#REF!</v>
      </c>
      <c r="F181" s="7">
        <v>0</v>
      </c>
      <c r="G181" s="4"/>
      <c r="H181" s="6">
        <v>3000</v>
      </c>
      <c r="I181" s="5">
        <v>0</v>
      </c>
      <c r="J181" s="4">
        <f t="shared" si="130"/>
        <v>0.60420981197881207</v>
      </c>
      <c r="K181" s="4">
        <f t="shared" si="131"/>
        <v>667.57646505559057</v>
      </c>
      <c r="L181" s="6">
        <f t="shared" si="168"/>
        <v>380</v>
      </c>
      <c r="M181" s="4">
        <f t="shared" si="132"/>
        <v>395.52837432199652</v>
      </c>
      <c r="N181" s="4">
        <f t="shared" si="133"/>
        <v>484.6844270499202</v>
      </c>
      <c r="O181" s="4">
        <f t="shared" si="134"/>
        <v>3949027.6631110725</v>
      </c>
      <c r="P181" s="4">
        <f t="shared" si="135"/>
        <v>25355532.516385682</v>
      </c>
      <c r="Q181" s="4">
        <f t="shared" si="136"/>
        <v>2.5137026743159898E-3</v>
      </c>
      <c r="R181" s="4">
        <f t="shared" si="137"/>
        <v>1.8346154826699115E-2</v>
      </c>
      <c r="S181" s="27">
        <v>0</v>
      </c>
      <c r="T181" s="4">
        <f t="shared" si="138"/>
        <v>9.0240185236560244E-2</v>
      </c>
      <c r="U181" s="4">
        <f t="shared" si="139"/>
        <v>1.8860458406343438E-2</v>
      </c>
      <c r="V181" s="4">
        <f t="shared" si="140"/>
        <v>4.7846231142615965</v>
      </c>
      <c r="W181" s="20">
        <f t="shared" si="141"/>
        <v>2102.5152096128068</v>
      </c>
      <c r="X181" s="4">
        <f t="shared" si="142"/>
        <v>0.53896769099353392</v>
      </c>
      <c r="Y181" s="4">
        <f t="shared" si="143"/>
        <v>138.38574598989084</v>
      </c>
      <c r="Z181" s="14">
        <f t="shared" si="144"/>
        <v>2102.5152096128068</v>
      </c>
      <c r="AA181" s="14">
        <f t="shared" si="145"/>
        <v>5628.3916222821908</v>
      </c>
      <c r="AB181" s="25">
        <f t="shared" si="146"/>
        <v>1403589.6713589316</v>
      </c>
      <c r="AC181" s="4">
        <f t="shared" si="147"/>
        <v>3757381.7831516457</v>
      </c>
      <c r="AD181" s="5">
        <f t="shared" si="148"/>
        <v>37.355524467934629</v>
      </c>
      <c r="AE181" s="7">
        <f t="shared" si="149"/>
        <v>2102.5152096128068</v>
      </c>
      <c r="AF181" s="4">
        <f t="shared" si="150"/>
        <v>0</v>
      </c>
      <c r="AG181" s="4">
        <f t="shared" si="151"/>
        <v>233.98133950442755</v>
      </c>
      <c r="AH181" s="4">
        <f t="shared" si="152"/>
        <v>1810.6341316964081</v>
      </c>
      <c r="AI181" s="13">
        <f t="shared" si="153"/>
        <v>0</v>
      </c>
      <c r="AJ181" s="10">
        <f t="shared" si="154"/>
        <v>0</v>
      </c>
      <c r="AK181" s="11">
        <f t="shared" si="155"/>
        <v>1.3955506171168821</v>
      </c>
      <c r="AL181" s="7">
        <v>0</v>
      </c>
      <c r="AM181" s="4">
        <f t="shared" si="156"/>
        <v>45.508745183844489</v>
      </c>
      <c r="AN181" s="4">
        <f t="shared" si="157"/>
        <v>22.888802033484268</v>
      </c>
      <c r="AO181" s="6">
        <v>5</v>
      </c>
      <c r="AP181" s="4">
        <f t="shared" si="158"/>
        <v>0.86117528349763961</v>
      </c>
      <c r="AQ181" s="11">
        <f t="shared" si="159"/>
        <v>0.97937395000000005</v>
      </c>
      <c r="AR181" s="11">
        <f t="shared" si="160"/>
        <v>0.8962407041850623</v>
      </c>
      <c r="AS181" s="11">
        <f t="shared" si="161"/>
        <v>0.91511593113647982</v>
      </c>
      <c r="AT181" s="11">
        <f t="shared" si="162"/>
        <v>507.97188664649997</v>
      </c>
      <c r="AU181" s="11">
        <f t="shared" si="163"/>
        <v>1896.6425030105124</v>
      </c>
      <c r="AV181" s="11">
        <f t="shared" si="164"/>
        <v>2.1751390567182989E-3</v>
      </c>
      <c r="AW181" s="11">
        <f t="shared" si="165"/>
        <v>3.6770358841811742E-7</v>
      </c>
      <c r="AX181" s="4">
        <f t="shared" si="166"/>
        <v>15.927504811011865</v>
      </c>
      <c r="AY181" s="4">
        <f t="shared" si="167"/>
        <v>1.4373009845019149</v>
      </c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</row>
    <row r="182" spans="1:64">
      <c r="A182" s="4" t="e">
        <f>#REF!</f>
        <v>#REF!</v>
      </c>
      <c r="B182" s="4">
        <f t="shared" si="127"/>
        <v>1584.5348996632649</v>
      </c>
      <c r="C182" s="4">
        <f t="shared" si="128"/>
        <v>26.40891499438775</v>
      </c>
      <c r="D182" s="23">
        <f t="shared" si="129"/>
        <v>10059.74287</v>
      </c>
      <c r="E182" s="41" t="e">
        <f>#REF!</f>
        <v>#REF!</v>
      </c>
      <c r="F182" s="7">
        <v>0</v>
      </c>
      <c r="G182" s="4"/>
      <c r="H182" s="6">
        <v>3000</v>
      </c>
      <c r="I182" s="5">
        <v>0</v>
      </c>
      <c r="J182" s="4">
        <f t="shared" si="130"/>
        <v>0.61209726944857368</v>
      </c>
      <c r="K182" s="4">
        <f t="shared" si="131"/>
        <v>676.29112157315865</v>
      </c>
      <c r="L182" s="6">
        <f t="shared" si="168"/>
        <v>385</v>
      </c>
      <c r="M182" s="4">
        <f t="shared" si="132"/>
        <v>400.69166887415133</v>
      </c>
      <c r="N182" s="4">
        <f t="shared" si="133"/>
        <v>497.42132838001834</v>
      </c>
      <c r="O182" s="4">
        <f t="shared" si="134"/>
        <v>4000578.9407007061</v>
      </c>
      <c r="P182" s="4">
        <f t="shared" si="135"/>
        <v>25686527.942777663</v>
      </c>
      <c r="Q182" s="4">
        <f t="shared" si="136"/>
        <v>2.5066376879360483E-3</v>
      </c>
      <c r="R182" s="4">
        <f t="shared" si="137"/>
        <v>1.8303023084849577E-2</v>
      </c>
      <c r="S182" s="27">
        <v>0</v>
      </c>
      <c r="T182" s="4">
        <f t="shared" si="138"/>
        <v>8.7929507608178081E-2</v>
      </c>
      <c r="U182" s="4">
        <f t="shared" si="139"/>
        <v>1.8791325501021645E-2</v>
      </c>
      <c r="V182" s="4">
        <f t="shared" si="140"/>
        <v>4.6792605238729719</v>
      </c>
      <c r="W182" s="20">
        <f t="shared" si="141"/>
        <v>2149.8574013300849</v>
      </c>
      <c r="X182" s="4">
        <f t="shared" si="142"/>
        <v>0.5383337626637521</v>
      </c>
      <c r="Y182" s="4">
        <f t="shared" si="143"/>
        <v>138.38574598989084</v>
      </c>
      <c r="Z182" s="14">
        <f t="shared" si="144"/>
        <v>2149.8574013300849</v>
      </c>
      <c r="AA182" s="14">
        <f t="shared" si="145"/>
        <v>5628.3916222821908</v>
      </c>
      <c r="AB182" s="25">
        <f t="shared" si="146"/>
        <v>1453929.4731678795</v>
      </c>
      <c r="AC182" s="4">
        <f t="shared" si="147"/>
        <v>3806431.2828861927</v>
      </c>
      <c r="AD182" s="5">
        <f t="shared" si="148"/>
        <v>38.196656267112495</v>
      </c>
      <c r="AE182" s="7">
        <f t="shared" si="149"/>
        <v>2149.8574013300849</v>
      </c>
      <c r="AF182" s="4">
        <f t="shared" si="150"/>
        <v>0</v>
      </c>
      <c r="AG182" s="4">
        <f t="shared" si="151"/>
        <v>233.85307558246896</v>
      </c>
      <c r="AH182" s="4">
        <f t="shared" si="152"/>
        <v>1854.8873322250599</v>
      </c>
      <c r="AI182" s="13">
        <f t="shared" si="153"/>
        <v>0</v>
      </c>
      <c r="AJ182" s="10">
        <f t="shared" si="154"/>
        <v>0</v>
      </c>
      <c r="AK182" s="11">
        <f t="shared" si="155"/>
        <v>1.3947856039930906</v>
      </c>
      <c r="AL182" s="7">
        <v>0</v>
      </c>
      <c r="AM182" s="4">
        <f t="shared" si="156"/>
        <v>44.92232157103674</v>
      </c>
      <c r="AN182" s="4">
        <f t="shared" si="157"/>
        <v>23.146068115626832</v>
      </c>
      <c r="AO182" s="6">
        <v>5</v>
      </c>
      <c r="AP182" s="4">
        <f t="shared" si="158"/>
        <v>0.86279551893882289</v>
      </c>
      <c r="AQ182" s="11">
        <f t="shared" si="159"/>
        <v>0.97937395000000005</v>
      </c>
      <c r="AR182" s="11">
        <f t="shared" si="160"/>
        <v>0.8962407041850623</v>
      </c>
      <c r="AS182" s="11">
        <f t="shared" si="161"/>
        <v>0.91511593113647982</v>
      </c>
      <c r="AT182" s="11">
        <f t="shared" si="162"/>
        <v>507.97188664649997</v>
      </c>
      <c r="AU182" s="11">
        <f t="shared" si="163"/>
        <v>1896.6425030105124</v>
      </c>
      <c r="AV182" s="11">
        <f t="shared" si="164"/>
        <v>2.1751390567182989E-3</v>
      </c>
      <c r="AW182" s="11">
        <f t="shared" si="165"/>
        <v>3.6770358841811742E-7</v>
      </c>
      <c r="AX182" s="4">
        <f t="shared" si="166"/>
        <v>15.780105600417903</v>
      </c>
      <c r="AY182" s="4">
        <f t="shared" si="167"/>
        <v>1.3875369154497996</v>
      </c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</row>
    <row r="183" spans="1:64">
      <c r="A183" s="4" t="e">
        <f>#REF!</f>
        <v>#REF!</v>
      </c>
      <c r="B183" s="4">
        <f t="shared" si="127"/>
        <v>1584.5348996632649</v>
      </c>
      <c r="C183" s="4">
        <f t="shared" si="128"/>
        <v>26.40891499438775</v>
      </c>
      <c r="D183" s="23">
        <f t="shared" si="129"/>
        <v>10059.74287</v>
      </c>
      <c r="E183" s="41" t="e">
        <f>#REF!</f>
        <v>#REF!</v>
      </c>
      <c r="F183" s="7">
        <v>0</v>
      </c>
      <c r="G183" s="4"/>
      <c r="H183" s="6">
        <v>3000</v>
      </c>
      <c r="I183" s="5">
        <v>0</v>
      </c>
      <c r="J183" s="4">
        <f t="shared" si="130"/>
        <v>0.61998261622164641</v>
      </c>
      <c r="K183" s="4">
        <f t="shared" si="131"/>
        <v>685.00344603420194</v>
      </c>
      <c r="L183" s="6">
        <f t="shared" si="168"/>
        <v>390</v>
      </c>
      <c r="M183" s="4">
        <f t="shared" si="132"/>
        <v>405.85358172012809</v>
      </c>
      <c r="N183" s="4">
        <f t="shared" si="133"/>
        <v>510.31994644569158</v>
      </c>
      <c r="O183" s="4">
        <f t="shared" si="134"/>
        <v>4052116.4230830343</v>
      </c>
      <c r="P183" s="4">
        <f t="shared" si="135"/>
        <v>26017434.794245072</v>
      </c>
      <c r="Q183" s="4">
        <f t="shared" si="136"/>
        <v>2.4996360800106599E-3</v>
      </c>
      <c r="R183" s="4">
        <f t="shared" si="137"/>
        <v>1.8260278268465078E-2</v>
      </c>
      <c r="S183" s="27">
        <v>0</v>
      </c>
      <c r="T183" s="4">
        <f t="shared" si="138"/>
        <v>8.5707040814081689E-2</v>
      </c>
      <c r="U183" s="4">
        <f t="shared" si="139"/>
        <v>1.8724208412652883E-2</v>
      </c>
      <c r="V183" s="4">
        <f t="shared" si="140"/>
        <v>4.5773385408466805</v>
      </c>
      <c r="W183" s="20">
        <f t="shared" si="141"/>
        <v>2197.7275179080871</v>
      </c>
      <c r="X183" s="4">
        <f t="shared" si="142"/>
        <v>0.53770478382287501</v>
      </c>
      <c r="Y183" s="4">
        <f t="shared" si="143"/>
        <v>138.38574598989084</v>
      </c>
      <c r="Z183" s="14">
        <f t="shared" si="144"/>
        <v>2197.7275179080871</v>
      </c>
      <c r="AA183" s="14">
        <f t="shared" si="145"/>
        <v>5628.3916222821908</v>
      </c>
      <c r="AB183" s="25">
        <f t="shared" si="146"/>
        <v>1505450.923211233</v>
      </c>
      <c r="AC183" s="4">
        <f t="shared" si="147"/>
        <v>3855467.656893333</v>
      </c>
      <c r="AD183" s="5">
        <f t="shared" si="148"/>
        <v>39.047167741624847</v>
      </c>
      <c r="AE183" s="7">
        <f t="shared" si="149"/>
        <v>2197.7275179080871</v>
      </c>
      <c r="AF183" s="4">
        <f t="shared" si="150"/>
        <v>0</v>
      </c>
      <c r="AG183" s="4">
        <f t="shared" si="151"/>
        <v>233.6060438175096</v>
      </c>
      <c r="AH183" s="4">
        <f t="shared" si="152"/>
        <v>1898.8587779451552</v>
      </c>
      <c r="AI183" s="13">
        <f t="shared" si="153"/>
        <v>0</v>
      </c>
      <c r="AJ183" s="10">
        <f t="shared" si="154"/>
        <v>0</v>
      </c>
      <c r="AK183" s="11">
        <f t="shared" si="155"/>
        <v>1.3933122158469817</v>
      </c>
      <c r="AL183" s="7">
        <v>0</v>
      </c>
      <c r="AM183" s="4">
        <f t="shared" si="156"/>
        <v>44.350969932828114</v>
      </c>
      <c r="AN183" s="4">
        <f t="shared" si="157"/>
        <v>23.393396824258975</v>
      </c>
      <c r="AO183" s="6">
        <v>5</v>
      </c>
      <c r="AP183" s="4">
        <f t="shared" si="158"/>
        <v>0.86401010246829379</v>
      </c>
      <c r="AQ183" s="11">
        <f t="shared" si="159"/>
        <v>0.97937395000000005</v>
      </c>
      <c r="AR183" s="11">
        <f t="shared" si="160"/>
        <v>0.8962407041850623</v>
      </c>
      <c r="AS183" s="11">
        <f t="shared" si="161"/>
        <v>0.91511593113647982</v>
      </c>
      <c r="AT183" s="11">
        <f t="shared" si="162"/>
        <v>507.97188664649997</v>
      </c>
      <c r="AU183" s="11">
        <f t="shared" si="163"/>
        <v>1896.6425030105124</v>
      </c>
      <c r="AV183" s="11">
        <f t="shared" si="164"/>
        <v>2.1751390567182989E-3</v>
      </c>
      <c r="AW183" s="11">
        <f t="shared" si="165"/>
        <v>3.6770358841811742E-7</v>
      </c>
      <c r="AX183" s="4">
        <f t="shared" si="166"/>
        <v>15.635248345273078</v>
      </c>
      <c r="AY183" s="4">
        <f t="shared" si="167"/>
        <v>1.340050868066623</v>
      </c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</row>
    <row r="184" spans="1:64">
      <c r="A184" s="4" t="e">
        <f>#REF!</f>
        <v>#REF!</v>
      </c>
      <c r="B184" s="4">
        <f t="shared" si="127"/>
        <v>1584.5348996632649</v>
      </c>
      <c r="C184" s="4">
        <f t="shared" si="128"/>
        <v>26.40891499438775</v>
      </c>
      <c r="D184" s="23">
        <f t="shared" si="129"/>
        <v>10059.74287</v>
      </c>
      <c r="E184" s="41" t="e">
        <f>#REF!</f>
        <v>#REF!</v>
      </c>
      <c r="F184" s="7">
        <v>0</v>
      </c>
      <c r="G184" s="4"/>
      <c r="H184" s="6">
        <v>3000</v>
      </c>
      <c r="I184" s="5">
        <v>0</v>
      </c>
      <c r="J184" s="4">
        <f t="shared" si="130"/>
        <v>0.62786584460051587</v>
      </c>
      <c r="K184" s="4">
        <f t="shared" si="131"/>
        <v>693.7134299339275</v>
      </c>
      <c r="L184" s="6">
        <f t="shared" si="168"/>
        <v>395</v>
      </c>
      <c r="M184" s="4">
        <f t="shared" si="132"/>
        <v>411.01410782097309</v>
      </c>
      <c r="N184" s="4">
        <f t="shared" si="133"/>
        <v>523.38013583282896</v>
      </c>
      <c r="O184" s="4">
        <f t="shared" si="134"/>
        <v>4103640.059948219</v>
      </c>
      <c r="P184" s="4">
        <f t="shared" si="135"/>
        <v>26348252.747763392</v>
      </c>
      <c r="Q184" s="4">
        <f t="shared" si="136"/>
        <v>2.4926957808117565E-3</v>
      </c>
      <c r="R184" s="4">
        <f t="shared" si="137"/>
        <v>1.8217907741855773E-2</v>
      </c>
      <c r="S184" s="27">
        <v>0</v>
      </c>
      <c r="T184" s="4">
        <f t="shared" si="138"/>
        <v>8.3568346377270758E-2</v>
      </c>
      <c r="U184" s="4">
        <f t="shared" si="139"/>
        <v>1.8658973362996045E-2</v>
      </c>
      <c r="V184" s="4">
        <f t="shared" si="140"/>
        <v>4.478721564767393</v>
      </c>
      <c r="W184" s="20">
        <f t="shared" si="141"/>
        <v>2246.1192830419818</v>
      </c>
      <c r="X184" s="4">
        <f t="shared" si="142"/>
        <v>0.53708058560422489</v>
      </c>
      <c r="Y184" s="4">
        <f t="shared" si="143"/>
        <v>138.38574598989084</v>
      </c>
      <c r="Z184" s="14">
        <f t="shared" si="144"/>
        <v>2246.1192830419818</v>
      </c>
      <c r="AA184" s="14">
        <f t="shared" si="145"/>
        <v>5628.3916222821908</v>
      </c>
      <c r="AB184" s="25">
        <f t="shared" si="146"/>
        <v>1558163.1118797874</v>
      </c>
      <c r="AC184" s="4">
        <f t="shared" si="147"/>
        <v>3904490.8573047612</v>
      </c>
      <c r="AD184" s="5">
        <f t="shared" si="148"/>
        <v>39.906947379955575</v>
      </c>
      <c r="AE184" s="7">
        <f t="shared" si="149"/>
        <v>2246.1192830419818</v>
      </c>
      <c r="AF184" s="4">
        <f t="shared" si="150"/>
        <v>0</v>
      </c>
      <c r="AG184" s="4">
        <f t="shared" si="151"/>
        <v>233.23933581067502</v>
      </c>
      <c r="AH184" s="4">
        <f t="shared" si="152"/>
        <v>1942.3411571656291</v>
      </c>
      <c r="AI184" s="13">
        <f t="shared" si="153"/>
        <v>0</v>
      </c>
      <c r="AJ184" s="10">
        <f t="shared" si="154"/>
        <v>0</v>
      </c>
      <c r="AK184" s="11">
        <f t="shared" si="155"/>
        <v>1.3911250346541413</v>
      </c>
      <c r="AL184" s="7">
        <v>0</v>
      </c>
      <c r="AM184" s="4">
        <f t="shared" si="156"/>
        <v>43.794117178674377</v>
      </c>
      <c r="AN184" s="4">
        <f t="shared" si="157"/>
        <v>23.628643399409317</v>
      </c>
      <c r="AO184" s="6">
        <v>5</v>
      </c>
      <c r="AP184" s="4">
        <f t="shared" si="158"/>
        <v>0.86475423270266505</v>
      </c>
      <c r="AQ184" s="11">
        <f t="shared" si="159"/>
        <v>0.97937395000000005</v>
      </c>
      <c r="AR184" s="11">
        <f t="shared" si="160"/>
        <v>0.8962407041850623</v>
      </c>
      <c r="AS184" s="11">
        <f t="shared" si="161"/>
        <v>0.91511593113647982</v>
      </c>
      <c r="AT184" s="11">
        <f t="shared" si="162"/>
        <v>507.97188664649997</v>
      </c>
      <c r="AU184" s="11">
        <f t="shared" si="163"/>
        <v>1896.6425030105124</v>
      </c>
      <c r="AV184" s="11">
        <f t="shared" si="164"/>
        <v>2.1751390567182989E-3</v>
      </c>
      <c r="AW184" s="11">
        <f t="shared" si="165"/>
        <v>3.6770358841811742E-7</v>
      </c>
      <c r="AX184" s="4">
        <f t="shared" si="166"/>
        <v>15.492915763267256</v>
      </c>
      <c r="AY184" s="4">
        <f t="shared" si="167"/>
        <v>1.2947173508985963</v>
      </c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</row>
    <row r="185" spans="1:64">
      <c r="A185" s="4" t="e">
        <f>#REF!</f>
        <v>#REF!</v>
      </c>
      <c r="B185" s="4">
        <f t="shared" si="127"/>
        <v>1584.5348996632649</v>
      </c>
      <c r="C185" s="4">
        <f t="shared" si="128"/>
        <v>26.40891499438775</v>
      </c>
      <c r="D185" s="23">
        <f t="shared" si="129"/>
        <v>10059.74287</v>
      </c>
      <c r="E185" s="41" t="e">
        <f>#REF!</f>
        <v>#REF!</v>
      </c>
      <c r="F185" s="7">
        <v>0</v>
      </c>
      <c r="G185" s="4"/>
      <c r="H185" s="6">
        <v>3000</v>
      </c>
      <c r="I185" s="5">
        <v>0</v>
      </c>
      <c r="J185" s="4">
        <f t="shared" si="130"/>
        <v>0.63574694742701909</v>
      </c>
      <c r="K185" s="4">
        <f t="shared" si="131"/>
        <v>702.42106536345796</v>
      </c>
      <c r="L185" s="6">
        <f t="shared" si="168"/>
        <v>400</v>
      </c>
      <c r="M185" s="4">
        <f t="shared" si="132"/>
        <v>416.17324249080303</v>
      </c>
      <c r="N185" s="4">
        <f t="shared" si="133"/>
        <v>536.60175142895025</v>
      </c>
      <c r="O185" s="4">
        <f t="shared" si="134"/>
        <v>4155149.8045115462</v>
      </c>
      <c r="P185" s="4">
        <f t="shared" si="135"/>
        <v>26678981.502941884</v>
      </c>
      <c r="Q185" s="4">
        <f t="shared" si="136"/>
        <v>2.4858148117747883E-3</v>
      </c>
      <c r="R185" s="4">
        <f t="shared" si="137"/>
        <v>1.8175899425885083E-2</v>
      </c>
      <c r="S185" s="27">
        <v>0</v>
      </c>
      <c r="T185" s="4">
        <f t="shared" si="138"/>
        <v>8.1509261499404712E-2</v>
      </c>
      <c r="U185" s="4">
        <f t="shared" si="139"/>
        <v>1.8595497520563522E-2</v>
      </c>
      <c r="V185" s="4">
        <f t="shared" si="140"/>
        <v>4.3832794153137904</v>
      </c>
      <c r="W185" s="20">
        <f t="shared" si="141"/>
        <v>2295.0266037922302</v>
      </c>
      <c r="X185" s="4">
        <f t="shared" si="142"/>
        <v>0.53646100643764172</v>
      </c>
      <c r="Y185" s="4">
        <f t="shared" si="143"/>
        <v>138.38574598989084</v>
      </c>
      <c r="Z185" s="14">
        <f t="shared" si="144"/>
        <v>2295.0266037922302</v>
      </c>
      <c r="AA185" s="14">
        <f t="shared" si="145"/>
        <v>5628.3916222821908</v>
      </c>
      <c r="AB185" s="25">
        <f t="shared" si="146"/>
        <v>1612075.032073217</v>
      </c>
      <c r="AC185" s="4">
        <f t="shared" si="147"/>
        <v>3953500.839606218</v>
      </c>
      <c r="AD185" s="5">
        <f t="shared" si="148"/>
        <v>40.775886928451627</v>
      </c>
      <c r="AE185" s="7">
        <f t="shared" si="149"/>
        <v>2295.0266037922302</v>
      </c>
      <c r="AF185" s="4">
        <f t="shared" si="150"/>
        <v>0</v>
      </c>
      <c r="AG185" s="4">
        <f t="shared" si="151"/>
        <v>232.75205318771742</v>
      </c>
      <c r="AH185" s="4">
        <f t="shared" si="152"/>
        <v>1985.0998822810127</v>
      </c>
      <c r="AI185" s="13">
        <f t="shared" si="153"/>
        <v>0</v>
      </c>
      <c r="AJ185" s="10">
        <f t="shared" si="154"/>
        <v>0</v>
      </c>
      <c r="AK185" s="11">
        <f t="shared" si="155"/>
        <v>1.3882187021807095</v>
      </c>
      <c r="AL185" s="7">
        <v>0</v>
      </c>
      <c r="AM185" s="4">
        <f t="shared" si="156"/>
        <v>43.251218872865863</v>
      </c>
      <c r="AN185" s="4">
        <f t="shared" si="157"/>
        <v>23.849441525843424</v>
      </c>
      <c r="AO185" s="6">
        <v>5</v>
      </c>
      <c r="AP185" s="4">
        <f t="shared" si="158"/>
        <v>0.86495724232603477</v>
      </c>
      <c r="AQ185" s="11">
        <f t="shared" si="159"/>
        <v>0.97937395000000005</v>
      </c>
      <c r="AR185" s="11">
        <f t="shared" si="160"/>
        <v>0.8962407041850623</v>
      </c>
      <c r="AS185" s="11">
        <f t="shared" si="161"/>
        <v>0.91511593113647982</v>
      </c>
      <c r="AT185" s="11">
        <f t="shared" si="162"/>
        <v>507.97188664649997</v>
      </c>
      <c r="AU185" s="11">
        <f t="shared" si="163"/>
        <v>1896.6425030105124</v>
      </c>
      <c r="AV185" s="11">
        <f t="shared" si="164"/>
        <v>2.1751390567182989E-3</v>
      </c>
      <c r="AW185" s="11">
        <f t="shared" si="165"/>
        <v>3.6770358841811742E-7</v>
      </c>
      <c r="AX185" s="4">
        <f t="shared" si="166"/>
        <v>15.353085794269029</v>
      </c>
      <c r="AY185" s="4">
        <f t="shared" si="167"/>
        <v>1.2514186848278697</v>
      </c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</row>
    <row r="186" spans="1:64">
      <c r="A186" s="4" t="e">
        <f>#REF!</f>
        <v>#REF!</v>
      </c>
      <c r="B186" s="4">
        <f t="shared" si="127"/>
        <v>1584.5348996632649</v>
      </c>
      <c r="C186" s="4">
        <f t="shared" si="128"/>
        <v>26.40891499438775</v>
      </c>
      <c r="D186" s="23">
        <f t="shared" si="129"/>
        <v>10059.74287</v>
      </c>
      <c r="E186" s="41" t="e">
        <f>#REF!</f>
        <v>#REF!</v>
      </c>
      <c r="F186" s="7">
        <v>0</v>
      </c>
      <c r="G186" s="4"/>
      <c r="H186" s="6">
        <v>3000</v>
      </c>
      <c r="I186" s="5">
        <v>0</v>
      </c>
      <c r="J186" s="4">
        <f t="shared" si="130"/>
        <v>0.64362591807803993</v>
      </c>
      <c r="K186" s="4">
        <f t="shared" si="131"/>
        <v>711.12634500507636</v>
      </c>
      <c r="L186" s="6">
        <f t="shared" si="168"/>
        <v>405</v>
      </c>
      <c r="M186" s="4">
        <f t="shared" si="132"/>
        <v>421.33098139398766</v>
      </c>
      <c r="N186" s="4">
        <f t="shared" si="133"/>
        <v>549.98464847270441</v>
      </c>
      <c r="O186" s="4">
        <f t="shared" si="134"/>
        <v>4206645.6134852879</v>
      </c>
      <c r="P186" s="4">
        <f t="shared" si="135"/>
        <v>27009620.781842921</v>
      </c>
      <c r="Q186" s="4">
        <f t="shared" si="136"/>
        <v>2.4789912806822564E-3</v>
      </c>
      <c r="R186" s="4">
        <f t="shared" si="137"/>
        <v>1.8134241768565172E-2</v>
      </c>
      <c r="S186" s="27">
        <v>0</v>
      </c>
      <c r="T186" s="4">
        <f t="shared" si="138"/>
        <v>7.9525878767199035E-2</v>
      </c>
      <c r="U186" s="4">
        <f t="shared" si="139"/>
        <v>1.853366796472625E-2</v>
      </c>
      <c r="V186" s="4">
        <f t="shared" si="140"/>
        <v>4.2908872069228128</v>
      </c>
      <c r="W186" s="20">
        <f t="shared" si="141"/>
        <v>2344.4435579126516</v>
      </c>
      <c r="X186" s="4">
        <f t="shared" si="142"/>
        <v>0.53584589167172814</v>
      </c>
      <c r="Y186" s="4">
        <f t="shared" si="143"/>
        <v>138.38574598989084</v>
      </c>
      <c r="Z186" s="14">
        <f t="shared" si="144"/>
        <v>2344.4435579126516</v>
      </c>
      <c r="AA186" s="14">
        <f t="shared" si="145"/>
        <v>5628.3916222821908</v>
      </c>
      <c r="AB186" s="25">
        <f t="shared" si="146"/>
        <v>1667195.5784091209</v>
      </c>
      <c r="AC186" s="4">
        <f t="shared" si="147"/>
        <v>4002497.5626107268</v>
      </c>
      <c r="AD186" s="5">
        <f t="shared" si="148"/>
        <v>41.65388116617995</v>
      </c>
      <c r="AE186" s="7">
        <f t="shared" si="149"/>
        <v>2344.4435579126516</v>
      </c>
      <c r="AF186" s="4">
        <f t="shared" si="150"/>
        <v>0</v>
      </c>
      <c r="AG186" s="4">
        <f t="shared" si="151"/>
        <v>232.14330767498095</v>
      </c>
      <c r="AH186" s="4">
        <f t="shared" si="152"/>
        <v>2026.8706522415339</v>
      </c>
      <c r="AI186" s="13">
        <f t="shared" si="153"/>
        <v>0</v>
      </c>
      <c r="AJ186" s="10">
        <f t="shared" si="154"/>
        <v>0</v>
      </c>
      <c r="AK186" s="11">
        <f t="shared" si="155"/>
        <v>1.3845879204364651</v>
      </c>
      <c r="AL186" s="7">
        <v>0</v>
      </c>
      <c r="AM186" s="4">
        <f t="shared" si="156"/>
        <v>42.721757465939007</v>
      </c>
      <c r="AN186" s="4">
        <f t="shared" si="157"/>
        <v>24.05318789441456</v>
      </c>
      <c r="AO186" s="6">
        <v>5</v>
      </c>
      <c r="AP186" s="4">
        <f t="shared" si="158"/>
        <v>0.86454231128777304</v>
      </c>
      <c r="AQ186" s="11">
        <f t="shared" si="159"/>
        <v>0.97937395000000005</v>
      </c>
      <c r="AR186" s="11">
        <f t="shared" si="160"/>
        <v>0.8962407041850623</v>
      </c>
      <c r="AS186" s="11">
        <f t="shared" si="161"/>
        <v>0.91511593113647982</v>
      </c>
      <c r="AT186" s="11">
        <f t="shared" si="162"/>
        <v>507.97188664649997</v>
      </c>
      <c r="AU186" s="11">
        <f t="shared" si="163"/>
        <v>1896.6425030105124</v>
      </c>
      <c r="AV186" s="11">
        <f t="shared" si="164"/>
        <v>2.1751390567182989E-3</v>
      </c>
      <c r="AW186" s="11">
        <f t="shared" si="165"/>
        <v>3.6770358841811742E-7</v>
      </c>
      <c r="AX186" s="4">
        <f t="shared" si="166"/>
        <v>15.215732345294922</v>
      </c>
      <c r="AY186" s="4">
        <f t="shared" si="167"/>
        <v>1.2100444858460735</v>
      </c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</row>
    <row r="187" spans="1:64">
      <c r="A187" s="4" t="e">
        <f>#REF!</f>
        <v>#REF!</v>
      </c>
      <c r="B187" s="4">
        <f t="shared" si="127"/>
        <v>1584.5348996632649</v>
      </c>
      <c r="C187" s="4">
        <f t="shared" si="128"/>
        <v>26.40891499438775</v>
      </c>
      <c r="D187" s="23">
        <f t="shared" si="129"/>
        <v>10059.74287</v>
      </c>
      <c r="E187" s="41" t="e">
        <f>#REF!</f>
        <v>#REF!</v>
      </c>
      <c r="F187" s="7">
        <v>0</v>
      </c>
      <c r="G187" s="4"/>
      <c r="H187" s="6">
        <v>3000</v>
      </c>
      <c r="I187" s="5">
        <v>0</v>
      </c>
      <c r="J187" s="4">
        <f t="shared" si="130"/>
        <v>0.65150275046100614</v>
      </c>
      <c r="K187" s="4">
        <f t="shared" si="131"/>
        <v>719.82926212725033</v>
      </c>
      <c r="L187" s="6">
        <f t="shared" si="168"/>
        <v>410</v>
      </c>
      <c r="M187" s="4">
        <f t="shared" si="132"/>
        <v>426.48732054220181</v>
      </c>
      <c r="N187" s="4">
        <f t="shared" si="133"/>
        <v>563.52868260243577</v>
      </c>
      <c r="O187" s="4">
        <f t="shared" si="134"/>
        <v>4258127.447049276</v>
      </c>
      <c r="P187" s="4">
        <f t="shared" si="135"/>
        <v>27340170.328793045</v>
      </c>
      <c r="Q187" s="4">
        <f t="shared" si="136"/>
        <v>2.4722233771549023E-3</v>
      </c>
      <c r="R187" s="4">
        <f t="shared" si="137"/>
        <v>1.8092923717530678E-2</v>
      </c>
      <c r="S187" s="27">
        <v>0</v>
      </c>
      <c r="T187" s="4">
        <f t="shared" si="138"/>
        <v>7.7614527580520037E-2</v>
      </c>
      <c r="U187" s="4">
        <f t="shared" si="139"/>
        <v>1.8473380760089777E-2</v>
      </c>
      <c r="V187" s="4">
        <f t="shared" si="140"/>
        <v>4.2014252068143287</v>
      </c>
      <c r="W187" s="20">
        <f t="shared" si="141"/>
        <v>2394.3643822777126</v>
      </c>
      <c r="X187" s="4">
        <f t="shared" si="142"/>
        <v>0.53523509321987917</v>
      </c>
      <c r="Y187" s="4">
        <f t="shared" si="143"/>
        <v>138.38574598989084</v>
      </c>
      <c r="Z187" s="14">
        <f t="shared" si="144"/>
        <v>2394.3643822777126</v>
      </c>
      <c r="AA187" s="14">
        <f t="shared" si="145"/>
        <v>5628.3916222821908</v>
      </c>
      <c r="AB187" s="25">
        <f t="shared" si="146"/>
        <v>1723533.5465587354</v>
      </c>
      <c r="AC187" s="4">
        <f t="shared" si="147"/>
        <v>4051480.9884305871</v>
      </c>
      <c r="AD187" s="5">
        <f t="shared" si="148"/>
        <v>42.540827699314384</v>
      </c>
      <c r="AE187" s="7">
        <f t="shared" si="149"/>
        <v>2394.3643822777121</v>
      </c>
      <c r="AF187" s="4">
        <f t="shared" si="150"/>
        <v>0</v>
      </c>
      <c r="AG187" s="4">
        <f t="shared" si="151"/>
        <v>231.412221162652</v>
      </c>
      <c r="AH187" s="4">
        <f t="shared" si="152"/>
        <v>2067.3568789401597</v>
      </c>
      <c r="AI187" s="13">
        <f t="shared" si="153"/>
        <v>-3.2539643833155477E-14</v>
      </c>
      <c r="AJ187" s="10">
        <f t="shared" si="154"/>
        <v>-2.5900367720382032E-15</v>
      </c>
      <c r="AK187" s="11">
        <f t="shared" si="155"/>
        <v>1.3802274520520741</v>
      </c>
      <c r="AL187" s="7">
        <v>0</v>
      </c>
      <c r="AM187" s="4">
        <f t="shared" si="156"/>
        <v>42.205240655492972</v>
      </c>
      <c r="AN187" s="4">
        <f t="shared" si="157"/>
        <v>24.237026276793969</v>
      </c>
      <c r="AO187" s="6">
        <v>5</v>
      </c>
      <c r="AP187" s="4">
        <f t="shared" si="158"/>
        <v>0.86342617449626591</v>
      </c>
      <c r="AQ187" s="11">
        <f t="shared" si="159"/>
        <v>0.97937395000000005</v>
      </c>
      <c r="AR187" s="11">
        <f t="shared" si="160"/>
        <v>0.8962407041850623</v>
      </c>
      <c r="AS187" s="11">
        <f t="shared" si="161"/>
        <v>0.91511593113647982</v>
      </c>
      <c r="AT187" s="11">
        <f t="shared" si="162"/>
        <v>507.97188664649997</v>
      </c>
      <c r="AU187" s="11">
        <f t="shared" si="163"/>
        <v>1896.6425030105124</v>
      </c>
      <c r="AV187" s="11">
        <f t="shared" si="164"/>
        <v>2.1751390567182989E-3</v>
      </c>
      <c r="AW187" s="11">
        <f t="shared" si="165"/>
        <v>3.6770358841811742E-7</v>
      </c>
      <c r="AX187" s="4">
        <f t="shared" si="166"/>
        <v>15.08082594241055</v>
      </c>
      <c r="AY187" s="4">
        <f t="shared" si="167"/>
        <v>1.1704911810442464</v>
      </c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</row>
    <row r="188" spans="1:64">
      <c r="A188" s="4" t="e">
        <f>#REF!</f>
        <v>#REF!</v>
      </c>
      <c r="B188" s="4">
        <f t="shared" si="127"/>
        <v>1584.5348996632649</v>
      </c>
      <c r="C188" s="4">
        <f t="shared" si="128"/>
        <v>26.40891499438775</v>
      </c>
      <c r="D188" s="23">
        <f t="shared" si="129"/>
        <v>10059.74287</v>
      </c>
      <c r="E188" s="41" t="e">
        <f>#REF!</f>
        <v>#REF!</v>
      </c>
      <c r="F188" s="7">
        <v>0</v>
      </c>
      <c r="G188" s="4"/>
      <c r="H188" s="6">
        <v>3000</v>
      </c>
      <c r="I188" s="5">
        <v>0</v>
      </c>
      <c r="J188" s="4">
        <f t="shared" si="130"/>
        <v>0.65937743900918455</v>
      </c>
      <c r="K188" s="4">
        <f t="shared" si="131"/>
        <v>728.52981057943441</v>
      </c>
      <c r="L188" s="6">
        <f t="shared" si="168"/>
        <v>415</v>
      </c>
      <c r="M188" s="4">
        <f t="shared" si="132"/>
        <v>431.64225629134563</v>
      </c>
      <c r="N188" s="4">
        <f t="shared" si="133"/>
        <v>577.23370990379135</v>
      </c>
      <c r="O188" s="4">
        <f t="shared" si="134"/>
        <v>4309595.2688201535</v>
      </c>
      <c r="P188" s="4">
        <f t="shared" si="135"/>
        <v>27670629.910185531</v>
      </c>
      <c r="Q188" s="4">
        <f t="shared" si="136"/>
        <v>2.4655093684273614E-3</v>
      </c>
      <c r="R188" s="4">
        <f t="shared" si="137"/>
        <v>1.8051934694249039E-2</v>
      </c>
      <c r="S188" s="27">
        <v>0</v>
      </c>
      <c r="T188" s="4">
        <f t="shared" si="138"/>
        <v>7.5771757137244752E-2</v>
      </c>
      <c r="U188" s="4">
        <f t="shared" si="139"/>
        <v>1.8414540128181504E-2</v>
      </c>
      <c r="V188" s="4">
        <f t="shared" si="140"/>
        <v>4.1147786808579649</v>
      </c>
      <c r="W188" s="20">
        <f t="shared" si="141"/>
        <v>2444.7834623033627</v>
      </c>
      <c r="X188" s="4">
        <f t="shared" si="142"/>
        <v>0.53462846922832197</v>
      </c>
      <c r="Y188" s="4">
        <f t="shared" si="143"/>
        <v>138.38574598989084</v>
      </c>
      <c r="Z188" s="14">
        <f t="shared" si="144"/>
        <v>2444.7834623033627</v>
      </c>
      <c r="AA188" s="14">
        <f t="shared" si="145"/>
        <v>5628.3916222821908</v>
      </c>
      <c r="AB188" s="25">
        <f t="shared" si="146"/>
        <v>1781097.6326996027</v>
      </c>
      <c r="AC188" s="4">
        <f t="shared" si="147"/>
        <v>4100451.0824481202</v>
      </c>
      <c r="AD188" s="5">
        <f t="shared" si="148"/>
        <v>43.436626773174964</v>
      </c>
      <c r="AE188" s="7">
        <f t="shared" si="149"/>
        <v>2444.7834623033627</v>
      </c>
      <c r="AF188" s="4">
        <f t="shared" si="150"/>
        <v>0</v>
      </c>
      <c r="AG188" s="4">
        <f t="shared" si="151"/>
        <v>230.55792575625915</v>
      </c>
      <c r="AH188" s="4">
        <f t="shared" si="152"/>
        <v>2106.2269734744345</v>
      </c>
      <c r="AI188" s="13">
        <f t="shared" si="153"/>
        <v>0</v>
      </c>
      <c r="AJ188" s="10">
        <f t="shared" si="154"/>
        <v>0</v>
      </c>
      <c r="AK188" s="11">
        <f t="shared" si="155"/>
        <v>1.3751321205862541</v>
      </c>
      <c r="AL188" s="7">
        <v>0</v>
      </c>
      <c r="AM188" s="4">
        <f t="shared" si="156"/>
        <v>41.701199865498197</v>
      </c>
      <c r="AN188" s="4">
        <f t="shared" si="157"/>
        <v>24.397831106377993</v>
      </c>
      <c r="AO188" s="6">
        <v>5</v>
      </c>
      <c r="AP188" s="4">
        <f t="shared" si="158"/>
        <v>0.86151882403934632</v>
      </c>
      <c r="AQ188" s="11">
        <f t="shared" si="159"/>
        <v>0.97937395000000005</v>
      </c>
      <c r="AR188" s="11">
        <f t="shared" si="160"/>
        <v>0.8962407041850623</v>
      </c>
      <c r="AS188" s="11">
        <f t="shared" si="161"/>
        <v>0.91511593113647982</v>
      </c>
      <c r="AT188" s="11">
        <f t="shared" si="162"/>
        <v>507.97188664649997</v>
      </c>
      <c r="AU188" s="11">
        <f t="shared" si="163"/>
        <v>1896.6425030105124</v>
      </c>
      <c r="AV188" s="11">
        <f t="shared" si="164"/>
        <v>2.1751390567182989E-3</v>
      </c>
      <c r="AW188" s="11">
        <f t="shared" si="165"/>
        <v>3.6770358841811742E-7</v>
      </c>
      <c r="AX188" s="4">
        <f t="shared" si="166"/>
        <v>14.948334300802301</v>
      </c>
      <c r="AY188" s="4">
        <f t="shared" si="167"/>
        <v>1.1326615562467377</v>
      </c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</row>
    <row r="189" spans="1:64">
      <c r="A189" s="4" t="e">
        <f>#REF!</f>
        <v>#REF!</v>
      </c>
      <c r="B189" s="4">
        <f t="shared" si="127"/>
        <v>1584.5348996632649</v>
      </c>
      <c r="C189" s="4">
        <f t="shared" si="128"/>
        <v>26.40891499438775</v>
      </c>
      <c r="D189" s="23">
        <f t="shared" si="129"/>
        <v>10059.74287</v>
      </c>
      <c r="E189" s="41" t="e">
        <f>#REF!</f>
        <v>#REF!</v>
      </c>
      <c r="F189" s="7">
        <v>0</v>
      </c>
      <c r="G189" s="4"/>
      <c r="H189" s="6">
        <v>3000</v>
      </c>
      <c r="I189" s="5">
        <v>0</v>
      </c>
      <c r="J189" s="4">
        <f t="shared" si="130"/>
        <v>0.66724997867679292</v>
      </c>
      <c r="K189" s="4">
        <f t="shared" si="131"/>
        <v>737.22798478666869</v>
      </c>
      <c r="L189" s="6">
        <f t="shared" si="168"/>
        <v>420</v>
      </c>
      <c r="M189" s="4">
        <f t="shared" si="132"/>
        <v>436.79578533834461</v>
      </c>
      <c r="N189" s="4">
        <f t="shared" si="133"/>
        <v>591.09958695636647</v>
      </c>
      <c r="O189" s="4">
        <f t="shared" si="134"/>
        <v>4361049.0458194176</v>
      </c>
      <c r="P189" s="4">
        <f t="shared" si="135"/>
        <v>28000999.314275216</v>
      </c>
      <c r="Q189" s="4">
        <f t="shared" si="136"/>
        <v>2.4588475953871173E-3</v>
      </c>
      <c r="R189" s="4">
        <f t="shared" si="137"/>
        <v>1.8011264569838349E-2</v>
      </c>
      <c r="S189" s="27">
        <v>0</v>
      </c>
      <c r="T189" s="4">
        <f t="shared" si="138"/>
        <v>7.3994320827514809E-2</v>
      </c>
      <c r="U189" s="4">
        <f t="shared" si="139"/>
        <v>1.835705770514991E-2</v>
      </c>
      <c r="V189" s="4">
        <f t="shared" si="140"/>
        <v>4.0308377309701626</v>
      </c>
      <c r="W189" s="20">
        <f t="shared" si="141"/>
        <v>2495.6953222671082</v>
      </c>
      <c r="X189" s="4">
        <f t="shared" si="142"/>
        <v>0.53402588376455129</v>
      </c>
      <c r="Y189" s="4">
        <f t="shared" si="143"/>
        <v>138.38574598989084</v>
      </c>
      <c r="Z189" s="14">
        <f t="shared" si="144"/>
        <v>2495.6953222671082</v>
      </c>
      <c r="AA189" s="14">
        <f t="shared" si="145"/>
        <v>5628.3916222821908</v>
      </c>
      <c r="AB189" s="25">
        <f t="shared" si="146"/>
        <v>1839896.4330764958</v>
      </c>
      <c r="AC189" s="4">
        <f t="shared" si="147"/>
        <v>4149407.8132852684</v>
      </c>
      <c r="AD189" s="5">
        <f t="shared" si="148"/>
        <v>44.341181100244015</v>
      </c>
      <c r="AE189" s="7">
        <f t="shared" si="149"/>
        <v>2495.6953222671082</v>
      </c>
      <c r="AF189" s="4">
        <f t="shared" si="150"/>
        <v>0</v>
      </c>
      <c r="AG189" s="4">
        <f t="shared" si="151"/>
        <v>229.5795638172979</v>
      </c>
      <c r="AH189" s="4">
        <f t="shared" si="152"/>
        <v>2143.1114882393772</v>
      </c>
      <c r="AI189" s="13">
        <f t="shared" si="153"/>
        <v>0</v>
      </c>
      <c r="AJ189" s="10">
        <f t="shared" si="154"/>
        <v>0</v>
      </c>
      <c r="AK189" s="11">
        <f t="shared" si="155"/>
        <v>1.3692968107680743</v>
      </c>
      <c r="AL189" s="7">
        <v>0</v>
      </c>
      <c r="AM189" s="4">
        <f t="shared" si="156"/>
        <v>41.209188834221685</v>
      </c>
      <c r="AN189" s="4">
        <f t="shared" si="157"/>
        <v>24.532190558790656</v>
      </c>
      <c r="AO189" s="6">
        <v>5</v>
      </c>
      <c r="AP189" s="4">
        <f t="shared" si="158"/>
        <v>0.85872320596111829</v>
      </c>
      <c r="AQ189" s="11">
        <f t="shared" si="159"/>
        <v>0.97937395000000005</v>
      </c>
      <c r="AR189" s="11">
        <f t="shared" si="160"/>
        <v>0.8962407041850623</v>
      </c>
      <c r="AS189" s="11">
        <f t="shared" si="161"/>
        <v>0.91511593113647982</v>
      </c>
      <c r="AT189" s="11">
        <f t="shared" si="162"/>
        <v>507.97188664649997</v>
      </c>
      <c r="AU189" s="11">
        <f t="shared" si="163"/>
        <v>1896.6425030105124</v>
      </c>
      <c r="AV189" s="11">
        <f t="shared" si="164"/>
        <v>2.1751390567182989E-3</v>
      </c>
      <c r="AW189" s="11">
        <f t="shared" si="165"/>
        <v>3.6770358841811742E-7</v>
      </c>
      <c r="AX189" s="4">
        <f t="shared" si="166"/>
        <v>14.818222822902591</v>
      </c>
      <c r="AY189" s="4">
        <f t="shared" si="167"/>
        <v>1.0964643336514561</v>
      </c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</row>
    <row r="190" spans="1:64">
      <c r="A190" s="4"/>
      <c r="B190" s="4"/>
      <c r="C190" s="4"/>
      <c r="D190" s="23"/>
      <c r="E190" s="41"/>
      <c r="F190" s="7"/>
      <c r="G190" s="4"/>
      <c r="H190" s="6"/>
      <c r="I190" s="5"/>
      <c r="J190" s="4"/>
      <c r="K190" s="4"/>
      <c r="L190" s="6"/>
      <c r="M190" s="4"/>
      <c r="N190" s="4"/>
      <c r="O190" s="4"/>
      <c r="P190" s="4"/>
      <c r="Q190" s="4"/>
      <c r="R190" s="4"/>
      <c r="S190" s="27"/>
      <c r="T190" s="4"/>
      <c r="U190" s="4"/>
      <c r="V190" s="4"/>
      <c r="W190" s="20"/>
      <c r="X190" s="4"/>
      <c r="Y190" s="4"/>
      <c r="Z190" s="14"/>
      <c r="AA190" s="14"/>
      <c r="AB190" s="25"/>
      <c r="AC190" s="4"/>
      <c r="AD190" s="5"/>
      <c r="AE190" s="7"/>
      <c r="AF190" s="4"/>
      <c r="AG190" s="4"/>
      <c r="AH190" s="4"/>
      <c r="AI190" s="13"/>
      <c r="AJ190" s="10"/>
      <c r="AK190" s="11"/>
      <c r="AL190" s="7"/>
      <c r="AM190" s="4"/>
      <c r="AN190" s="4"/>
      <c r="AO190" s="6"/>
      <c r="AP190" s="4"/>
      <c r="AQ190" s="11"/>
      <c r="AR190" s="11"/>
      <c r="AS190" s="11"/>
      <c r="AT190" s="11"/>
      <c r="AU190" s="11"/>
      <c r="AV190" s="11"/>
      <c r="AW190" s="11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</row>
  </sheetData>
  <mergeCells count="1">
    <mergeCell ref="A1:B1"/>
  </mergeCells>
  <conditionalFormatting sqref="U1:X19 AD106:AG106">
    <cfRule type="notContainsBlanks" dxfId="5" priority="1">
      <formula>LEN(TRIM(U1))&gt;0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8C17-969E-40EC-8E06-52FDD1430A10}">
  <dimension ref="A1:L23"/>
  <sheetViews>
    <sheetView zoomScale="80" zoomScaleNormal="80" workbookViewId="0">
      <selection activeCell="Q15" sqref="Q15"/>
    </sheetView>
  </sheetViews>
  <sheetFormatPr defaultRowHeight="14"/>
  <sheetData>
    <row r="1" spans="1:12" ht="14.5">
      <c r="A1" s="140" t="s">
        <v>258</v>
      </c>
      <c r="B1" s="140"/>
      <c r="C1" s="140"/>
      <c r="D1" s="141"/>
      <c r="E1" s="141"/>
      <c r="F1" s="141"/>
      <c r="G1" s="141"/>
      <c r="H1" s="141"/>
      <c r="I1" s="141"/>
      <c r="J1" s="141"/>
      <c r="K1" s="141"/>
      <c r="L1" s="141"/>
    </row>
    <row r="2" spans="1:12">
      <c r="A2" s="141"/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</row>
    <row r="3" spans="1:12" s="75" customFormat="1">
      <c r="A3" s="75" t="s">
        <v>268</v>
      </c>
      <c r="B3" s="131">
        <f>Ashvat_Design_0!K6</f>
        <v>9120</v>
      </c>
      <c r="D3" s="75" t="s">
        <v>269</v>
      </c>
      <c r="E3" s="131">
        <v>3000</v>
      </c>
      <c r="G3" s="75" t="s">
        <v>270</v>
      </c>
      <c r="H3" s="131">
        <f ca="1">Ashvat_Design_0!C200</f>
        <v>590.59915937823882</v>
      </c>
      <c r="J3" s="75" t="s">
        <v>271</v>
      </c>
      <c r="K3" s="131">
        <f>Ashvat_Design_0!Q7</f>
        <v>5907.4304000000002</v>
      </c>
    </row>
    <row r="4" spans="1:12">
      <c r="B4" s="75"/>
    </row>
    <row r="5" spans="1:12" ht="14.5">
      <c r="A5" s="140" t="s">
        <v>259</v>
      </c>
      <c r="B5" s="140" t="s">
        <v>93</v>
      </c>
      <c r="C5" s="140" t="s">
        <v>260</v>
      </c>
      <c r="D5" s="140" t="s">
        <v>261</v>
      </c>
      <c r="E5" s="140" t="s">
        <v>1</v>
      </c>
      <c r="F5" s="141"/>
      <c r="G5" s="140" t="s">
        <v>262</v>
      </c>
      <c r="H5" s="141"/>
      <c r="I5" s="140" t="s">
        <v>38</v>
      </c>
      <c r="J5" s="141"/>
      <c r="K5" s="140"/>
      <c r="L5" s="144" t="s">
        <v>30</v>
      </c>
    </row>
    <row r="6" spans="1:12" ht="14.5">
      <c r="A6" s="140" t="s">
        <v>263</v>
      </c>
      <c r="B6" s="141">
        <f>E3</f>
        <v>3000</v>
      </c>
      <c r="C6" s="141">
        <f>B3+E3</f>
        <v>12120</v>
      </c>
      <c r="D6" s="141">
        <v>0</v>
      </c>
      <c r="E6" s="141">
        <v>0</v>
      </c>
      <c r="F6" s="141"/>
      <c r="G6" s="142">
        <f>Ashvat_Design_0!AP148</f>
        <v>0.77854392893890234</v>
      </c>
      <c r="H6" s="141"/>
      <c r="I6" s="143">
        <f ca="1">Ashvat_Design_0!W148</f>
        <v>10.977150858749186</v>
      </c>
      <c r="J6" s="141"/>
      <c r="K6" s="141"/>
      <c r="L6" s="141">
        <f>Ashvat_Design_0!M148</f>
        <v>279.09900556659443</v>
      </c>
    </row>
    <row r="7" spans="1:12" ht="14.5">
      <c r="A7" s="140" t="s">
        <v>264</v>
      </c>
      <c r="B7" s="141">
        <f ca="1">C7-B3-D7</f>
        <v>3000</v>
      </c>
      <c r="C7" s="141">
        <f ca="1">Ashvat_Design_0!B12</f>
        <v>17226.348438746474</v>
      </c>
      <c r="D7" s="141">
        <f ca="1">C7-B3-E3</f>
        <v>5106.3484387464741</v>
      </c>
      <c r="E7" s="141">
        <f ca="1">($L$6/$G$6)*($I$6)*LN(C7/((C7-D7)+$H$3))</f>
        <v>1196.3105029759258</v>
      </c>
      <c r="F7" s="141"/>
      <c r="G7" s="141"/>
      <c r="H7" s="141"/>
      <c r="I7" s="141"/>
      <c r="J7" s="141"/>
      <c r="K7" s="141"/>
      <c r="L7" s="141"/>
    </row>
    <row r="8" spans="1:12" ht="14.5">
      <c r="A8" s="140" t="s">
        <v>265</v>
      </c>
      <c r="B8" s="141">
        <f ca="1">C8-B3-D8</f>
        <v>2204.8254691464736</v>
      </c>
      <c r="C8" s="141">
        <f ca="1">Ashvat_Design_0!B12</f>
        <v>17226.348438746474</v>
      </c>
      <c r="D8" s="141">
        <f>0.999*K3</f>
        <v>5901.5229696000006</v>
      </c>
      <c r="E8" s="141">
        <f t="shared" ref="E8:E9" ca="1" si="0">($L$6/$G$6)*($I$6)*LN(C8/((C8-D8)+$H$3))</f>
        <v>1450.5329930477535</v>
      </c>
      <c r="F8" s="141"/>
      <c r="G8" s="141"/>
      <c r="H8" s="141"/>
      <c r="I8" s="141"/>
      <c r="J8" s="141"/>
      <c r="K8" s="141"/>
      <c r="L8" s="141"/>
    </row>
    <row r="9" spans="1:12" ht="14.5">
      <c r="A9" s="140" t="s">
        <v>50</v>
      </c>
      <c r="B9" s="141">
        <v>0</v>
      </c>
      <c r="C9" s="141">
        <f>D8+B3</f>
        <v>15021.522969600001</v>
      </c>
      <c r="D9" s="141">
        <f>0.99*K3</f>
        <v>5848.3560960000004</v>
      </c>
      <c r="E9" s="141">
        <f t="shared" ca="1" si="0"/>
        <v>1695.2993234243684</v>
      </c>
      <c r="F9" s="141"/>
      <c r="G9" s="141"/>
      <c r="H9" s="141"/>
      <c r="I9" s="141"/>
      <c r="J9" s="141"/>
      <c r="K9" s="141"/>
      <c r="L9" s="141"/>
    </row>
    <row r="10" spans="1:12">
      <c r="A10" s="141"/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141"/>
    </row>
    <row r="11" spans="1:12" ht="14.5">
      <c r="A11" s="141"/>
      <c r="B11" s="140" t="s">
        <v>1</v>
      </c>
      <c r="C11" s="140" t="s">
        <v>93</v>
      </c>
      <c r="D11" s="141"/>
      <c r="E11" s="141"/>
      <c r="F11" s="141"/>
      <c r="G11" s="141"/>
      <c r="H11" s="141"/>
      <c r="I11" s="141"/>
      <c r="J11" s="141"/>
      <c r="K11" s="141"/>
      <c r="L11" s="141"/>
    </row>
    <row r="12" spans="1:12">
      <c r="A12" s="141"/>
      <c r="B12" s="141">
        <f>E6</f>
        <v>0</v>
      </c>
      <c r="C12" s="141">
        <f>B6</f>
        <v>3000</v>
      </c>
      <c r="D12" s="141"/>
      <c r="E12" s="141">
        <f ca="1">C7-D7-3000</f>
        <v>9120</v>
      </c>
      <c r="F12" s="141"/>
      <c r="G12" s="141"/>
      <c r="H12" s="141"/>
      <c r="I12" s="141"/>
      <c r="J12" s="141"/>
      <c r="K12" s="141"/>
      <c r="L12" s="141"/>
    </row>
    <row r="13" spans="1:12">
      <c r="A13" s="141"/>
      <c r="B13" s="141">
        <f t="shared" ref="B13:B14" ca="1" si="1">E7</f>
        <v>1196.3105029759258</v>
      </c>
      <c r="C13" s="141">
        <f t="shared" ref="C13:C15" ca="1" si="2">B7</f>
        <v>3000</v>
      </c>
      <c r="D13" s="141"/>
      <c r="E13" s="141"/>
      <c r="F13" s="141"/>
      <c r="G13" s="141"/>
      <c r="H13" s="141"/>
      <c r="I13" s="141"/>
      <c r="J13" s="141"/>
      <c r="K13" s="141"/>
      <c r="L13" s="141"/>
    </row>
    <row r="14" spans="1:12">
      <c r="A14" s="141"/>
      <c r="B14" s="141">
        <f t="shared" ca="1" si="1"/>
        <v>1450.5329930477535</v>
      </c>
      <c r="C14" s="141">
        <f t="shared" ca="1" si="2"/>
        <v>2204.8254691464736</v>
      </c>
      <c r="D14" s="141"/>
      <c r="E14" s="141"/>
      <c r="F14" s="141"/>
      <c r="G14" s="141"/>
      <c r="H14" s="141"/>
      <c r="I14" s="141"/>
      <c r="J14" s="141"/>
      <c r="K14" s="141"/>
      <c r="L14" s="141"/>
    </row>
    <row r="15" spans="1:12">
      <c r="A15" s="141"/>
      <c r="B15" s="141">
        <f ca="1">E9</f>
        <v>1695.2993234243684</v>
      </c>
      <c r="C15" s="141">
        <f t="shared" si="2"/>
        <v>0</v>
      </c>
      <c r="D15" s="141"/>
      <c r="E15" s="141"/>
      <c r="F15" s="141"/>
      <c r="G15" s="141"/>
      <c r="H15" s="141"/>
      <c r="I15" s="141"/>
      <c r="J15" s="141"/>
      <c r="K15" s="141"/>
      <c r="L15" s="141"/>
    </row>
    <row r="18" spans="2:4">
      <c r="B18">
        <v>0</v>
      </c>
      <c r="C18">
        <f ca="1">$E$7</f>
        <v>1196.3105029759258</v>
      </c>
      <c r="D18">
        <f ca="1">$E$8</f>
        <v>1450.5329930477535</v>
      </c>
    </row>
    <row r="19" spans="2:4">
      <c r="B19">
        <v>750</v>
      </c>
      <c r="C19" s="176">
        <f t="shared" ref="C19:C23" ca="1" si="3">$E$7</f>
        <v>1196.3105029759258</v>
      </c>
      <c r="D19" s="176">
        <f t="shared" ref="D19:D21" ca="1" si="4">$E$8</f>
        <v>1450.5329930477535</v>
      </c>
    </row>
    <row r="20" spans="2:4">
      <c r="B20">
        <v>1754.68000742202</v>
      </c>
      <c r="C20" s="176">
        <f t="shared" ca="1" si="3"/>
        <v>1196.3105029759258</v>
      </c>
      <c r="D20" s="176">
        <f t="shared" ca="1" si="4"/>
        <v>1450.5329930477535</v>
      </c>
    </row>
    <row r="21" spans="2:4">
      <c r="B21" s="141">
        <v>2216.99373493036</v>
      </c>
      <c r="C21" s="176">
        <f t="shared" ca="1" si="3"/>
        <v>1196.3105029759258</v>
      </c>
      <c r="D21" s="176">
        <f t="shared" ca="1" si="4"/>
        <v>1450.5329930477535</v>
      </c>
    </row>
    <row r="22" spans="2:4">
      <c r="B22">
        <v>2250</v>
      </c>
      <c r="C22" s="176">
        <f t="shared" ca="1" si="3"/>
        <v>1196.3105029759258</v>
      </c>
    </row>
    <row r="23" spans="2:4">
      <c r="B23">
        <v>3000</v>
      </c>
      <c r="C23" s="176">
        <f t="shared" ca="1" si="3"/>
        <v>1196.3105029759258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3CBBE-CDC2-4D36-B3A2-24C09B1B3B29}">
  <dimension ref="A1:L23"/>
  <sheetViews>
    <sheetView topLeftCell="A3" zoomScale="80" zoomScaleNormal="80" workbookViewId="0">
      <selection activeCell="S21" sqref="S21"/>
    </sheetView>
  </sheetViews>
  <sheetFormatPr defaultRowHeight="14"/>
  <cols>
    <col min="1" max="16384" width="8.6640625" style="176"/>
  </cols>
  <sheetData>
    <row r="1" spans="1:12" ht="14.5">
      <c r="A1" s="140" t="s">
        <v>258</v>
      </c>
      <c r="B1" s="140"/>
      <c r="C1" s="140"/>
      <c r="D1" s="141"/>
      <c r="E1" s="141"/>
      <c r="F1" s="141"/>
      <c r="G1" s="141"/>
      <c r="H1" s="141"/>
      <c r="I1" s="141"/>
      <c r="J1" s="141"/>
      <c r="K1" s="141"/>
      <c r="L1" s="141"/>
    </row>
    <row r="2" spans="1:12">
      <c r="A2" s="141"/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</row>
    <row r="3" spans="1:12" s="75" customFormat="1">
      <c r="A3" s="75" t="s">
        <v>268</v>
      </c>
      <c r="B3" s="131">
        <f>Ashvat_Design_0!K6</f>
        <v>9120</v>
      </c>
      <c r="D3" s="75" t="s">
        <v>269</v>
      </c>
      <c r="E3" s="131">
        <v>3000</v>
      </c>
      <c r="G3" s="75" t="s">
        <v>270</v>
      </c>
      <c r="H3" s="131">
        <f ca="1">Ashvat_Design_0!C200</f>
        <v>590.59915937823882</v>
      </c>
      <c r="J3" s="75" t="s">
        <v>271</v>
      </c>
      <c r="K3" s="131">
        <f>Ashvat_Design_0!Q7</f>
        <v>5907.4304000000002</v>
      </c>
    </row>
    <row r="4" spans="1:12">
      <c r="B4" s="75"/>
    </row>
    <row r="5" spans="1:12" ht="14.5">
      <c r="A5" s="140" t="s">
        <v>259</v>
      </c>
      <c r="B5" s="140" t="s">
        <v>93</v>
      </c>
      <c r="C5" s="140" t="s">
        <v>260</v>
      </c>
      <c r="D5" s="140" t="s">
        <v>261</v>
      </c>
      <c r="E5" s="140" t="s">
        <v>1</v>
      </c>
      <c r="F5" s="141"/>
      <c r="G5" s="140" t="s">
        <v>262</v>
      </c>
      <c r="H5" s="141"/>
      <c r="I5" s="140" t="s">
        <v>38</v>
      </c>
      <c r="J5" s="141"/>
      <c r="K5" s="140"/>
      <c r="L5" s="144" t="s">
        <v>30</v>
      </c>
    </row>
    <row r="6" spans="1:12" ht="14.5">
      <c r="A6" s="140" t="s">
        <v>263</v>
      </c>
      <c r="B6" s="141">
        <f>E3</f>
        <v>3000</v>
      </c>
      <c r="C6" s="141">
        <f>B3+E3</f>
        <v>12120</v>
      </c>
      <c r="D6" s="141">
        <v>0</v>
      </c>
      <c r="E6" s="141">
        <v>0</v>
      </c>
      <c r="F6" s="141"/>
      <c r="G6" s="142">
        <f>Ashvat_Design_0!AP148</f>
        <v>0.77854392893890234</v>
      </c>
      <c r="H6" s="141"/>
      <c r="I6" s="143">
        <f ca="1">Ashvat_Design_0!W148</f>
        <v>10.977150858749186</v>
      </c>
      <c r="J6" s="141"/>
      <c r="K6" s="141"/>
      <c r="L6" s="141">
        <f>Ashvat_Design_0!M148</f>
        <v>279.09900556659443</v>
      </c>
    </row>
    <row r="7" spans="1:12" ht="14.5">
      <c r="A7" s="140" t="s">
        <v>264</v>
      </c>
      <c r="B7" s="141">
        <f ca="1">C7-B3-D7</f>
        <v>3000</v>
      </c>
      <c r="C7" s="141">
        <f ca="1">Ashvat_Design_0!B12</f>
        <v>17226.348438746474</v>
      </c>
      <c r="D7" s="141">
        <f ca="1">C7-B3-E3</f>
        <v>5106.3484387464741</v>
      </c>
      <c r="E7" s="141">
        <f ca="1">(1/$G$6)*($I$6)*LN(C7/((C7-D7)+$H$3))</f>
        <v>4.2863302237401921</v>
      </c>
      <c r="F7" s="141"/>
      <c r="G7" s="141"/>
      <c r="H7" s="141"/>
      <c r="I7" s="141"/>
      <c r="J7" s="141"/>
      <c r="K7" s="141"/>
      <c r="L7" s="141"/>
    </row>
    <row r="8" spans="1:12" ht="14.5">
      <c r="A8" s="140" t="s">
        <v>265</v>
      </c>
      <c r="B8" s="141">
        <f ca="1">C8-B3-D8</f>
        <v>2204.8254691464736</v>
      </c>
      <c r="C8" s="141">
        <f ca="1">Ashvat_Design_0!B12</f>
        <v>17226.348438746474</v>
      </c>
      <c r="D8" s="141">
        <f>0.999*K3</f>
        <v>5901.5229696000006</v>
      </c>
      <c r="E8" s="141">
        <f ca="1">(1/$G$6)*($I$6)*LN(C8/((C8-D8)+$H$3))</f>
        <v>5.1971987148540704</v>
      </c>
      <c r="F8" s="141"/>
      <c r="G8" s="141"/>
      <c r="H8" s="141"/>
      <c r="I8" s="141"/>
      <c r="J8" s="141"/>
      <c r="K8" s="141"/>
      <c r="L8" s="141"/>
    </row>
    <row r="9" spans="1:12" ht="14.5">
      <c r="A9" s="140" t="s">
        <v>50</v>
      </c>
      <c r="B9" s="141">
        <v>0</v>
      </c>
      <c r="C9" s="141">
        <f>D8+B3</f>
        <v>15021.522969600001</v>
      </c>
      <c r="D9" s="141">
        <f>0.99*K3</f>
        <v>5848.3560960000004</v>
      </c>
      <c r="E9" s="141">
        <f ca="1">(1/$G$6)*($I$6)*LN(C9/((C9-D9)+$H$3))</f>
        <v>6.0741861834397008</v>
      </c>
      <c r="F9" s="141"/>
      <c r="G9" s="141"/>
      <c r="H9" s="141"/>
      <c r="I9" s="141"/>
      <c r="J9" s="141"/>
      <c r="K9" s="141"/>
      <c r="L9" s="141"/>
    </row>
    <row r="10" spans="1:12">
      <c r="A10" s="141"/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141"/>
    </row>
    <row r="11" spans="1:12" ht="14.5">
      <c r="A11" s="141"/>
      <c r="B11" s="140" t="s">
        <v>1</v>
      </c>
      <c r="C11" s="140" t="s">
        <v>93</v>
      </c>
      <c r="D11" s="141"/>
      <c r="E11" s="141"/>
      <c r="F11" s="141"/>
      <c r="G11" s="141"/>
      <c r="H11" s="141"/>
      <c r="I11" s="141"/>
      <c r="J11" s="141"/>
      <c r="K11" s="141"/>
      <c r="L11" s="141"/>
    </row>
    <row r="12" spans="1:12">
      <c r="A12" s="141"/>
      <c r="B12" s="141">
        <f>E6</f>
        <v>0</v>
      </c>
      <c r="C12" s="141">
        <f>B6</f>
        <v>3000</v>
      </c>
      <c r="D12" s="141"/>
      <c r="E12" s="141">
        <f ca="1">C7-D7-3000</f>
        <v>9120</v>
      </c>
      <c r="F12" s="141"/>
      <c r="G12" s="141"/>
      <c r="H12" s="141"/>
      <c r="I12" s="141"/>
      <c r="J12" s="141"/>
      <c r="K12" s="141"/>
      <c r="L12" s="141"/>
    </row>
    <row r="13" spans="1:12">
      <c r="A13" s="141"/>
      <c r="B13" s="141">
        <f t="shared" ref="B13:B14" ca="1" si="0">E7</f>
        <v>4.2863302237401921</v>
      </c>
      <c r="C13" s="141">
        <f t="shared" ref="C13:C15" ca="1" si="1">B7</f>
        <v>3000</v>
      </c>
      <c r="D13" s="141"/>
      <c r="E13" s="141"/>
      <c r="F13" s="141"/>
      <c r="G13" s="141"/>
      <c r="H13" s="141"/>
      <c r="I13" s="141"/>
      <c r="J13" s="141"/>
      <c r="K13" s="141"/>
      <c r="L13" s="141"/>
    </row>
    <row r="14" spans="1:12">
      <c r="A14" s="141"/>
      <c r="B14" s="141">
        <f t="shared" ca="1" si="0"/>
        <v>5.1971987148540704</v>
      </c>
      <c r="C14" s="141">
        <f t="shared" ca="1" si="1"/>
        <v>2204.8254691464736</v>
      </c>
      <c r="D14" s="141"/>
      <c r="E14" s="141"/>
      <c r="F14" s="141"/>
      <c r="G14" s="141"/>
      <c r="H14" s="141"/>
      <c r="I14" s="141"/>
      <c r="J14" s="141"/>
      <c r="K14" s="141"/>
      <c r="L14" s="141"/>
    </row>
    <row r="15" spans="1:12">
      <c r="A15" s="141"/>
      <c r="B15" s="141">
        <f ca="1">E9</f>
        <v>6.0741861834397008</v>
      </c>
      <c r="C15" s="141">
        <f t="shared" si="1"/>
        <v>0</v>
      </c>
      <c r="D15" s="141"/>
      <c r="E15" s="141"/>
      <c r="F15" s="141"/>
      <c r="G15" s="141"/>
      <c r="H15" s="141"/>
      <c r="I15" s="141"/>
      <c r="J15" s="141"/>
      <c r="K15" s="141"/>
      <c r="L15" s="141"/>
    </row>
    <row r="18" spans="2:4">
      <c r="B18" s="176">
        <v>0</v>
      </c>
      <c r="C18" s="176">
        <f ca="1">$E$7</f>
        <v>4.2863302237401921</v>
      </c>
      <c r="D18" s="176">
        <f ca="1">$E$8</f>
        <v>5.1971987148540704</v>
      </c>
    </row>
    <row r="19" spans="2:4">
      <c r="B19" s="176">
        <v>750</v>
      </c>
      <c r="C19" s="176">
        <f t="shared" ref="C19:C23" ca="1" si="2">$E$7</f>
        <v>4.2863302237401921</v>
      </c>
      <c r="D19" s="176">
        <f t="shared" ref="D19:D21" ca="1" si="3">$E$8</f>
        <v>5.1971987148540704</v>
      </c>
    </row>
    <row r="20" spans="2:4">
      <c r="B20" s="176">
        <v>1754.68000742202</v>
      </c>
      <c r="C20" s="176">
        <f t="shared" ca="1" si="2"/>
        <v>4.2863302237401921</v>
      </c>
      <c r="D20" s="176">
        <f t="shared" ca="1" si="3"/>
        <v>5.1971987148540704</v>
      </c>
    </row>
    <row r="21" spans="2:4">
      <c r="B21" s="141">
        <v>2216.99373493036</v>
      </c>
      <c r="C21" s="176">
        <f t="shared" ca="1" si="2"/>
        <v>4.2863302237401921</v>
      </c>
      <c r="D21" s="176">
        <f t="shared" ca="1" si="3"/>
        <v>5.1971987148540704</v>
      </c>
    </row>
    <row r="22" spans="2:4">
      <c r="B22" s="176">
        <v>2250</v>
      </c>
      <c r="C22" s="176">
        <f t="shared" ca="1" si="2"/>
        <v>4.2863302237401921</v>
      </c>
    </row>
    <row r="23" spans="2:4">
      <c r="B23" s="176">
        <v>3000</v>
      </c>
      <c r="C23" s="176">
        <f t="shared" ca="1" si="2"/>
        <v>4.2863302237401921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Y512"/>
  <sheetViews>
    <sheetView topLeftCell="A12" zoomScale="70" zoomScaleNormal="70" workbookViewId="0">
      <selection activeCell="E29" sqref="E29"/>
    </sheetView>
  </sheetViews>
  <sheetFormatPr defaultColWidth="12.6640625" defaultRowHeight="15" customHeight="1"/>
  <cols>
    <col min="1" max="1" width="14" customWidth="1"/>
    <col min="50" max="50" width="17.25" customWidth="1"/>
  </cols>
  <sheetData>
    <row r="1" spans="1:5" ht="14.5">
      <c r="A1" s="181"/>
      <c r="B1" s="181"/>
      <c r="C1" s="26"/>
    </row>
    <row r="2" spans="1:5" ht="14.5">
      <c r="A2" s="26" t="s">
        <v>74</v>
      </c>
    </row>
    <row r="3" spans="1:5" ht="14.5">
      <c r="A3" s="21" t="s">
        <v>76</v>
      </c>
      <c r="B3" s="21">
        <f>Ashvat_Design_0!B3</f>
        <v>230</v>
      </c>
      <c r="D3" s="131" t="s">
        <v>276</v>
      </c>
      <c r="E3">
        <f>Ashvat_Design_0!K6</f>
        <v>9120</v>
      </c>
    </row>
    <row r="4" spans="1:5" ht="14.5">
      <c r="A4" s="21" t="s">
        <v>12</v>
      </c>
      <c r="B4" s="21">
        <f>Ashvat_Design_0!B4</f>
        <v>5.5269412880887687</v>
      </c>
      <c r="D4" s="131" t="s">
        <v>277</v>
      </c>
      <c r="E4">
        <v>3000</v>
      </c>
    </row>
    <row r="5" spans="1:5" ht="14.5">
      <c r="A5" s="21" t="s">
        <v>11</v>
      </c>
      <c r="B5" s="21">
        <f>Ashvat_Design_0!B5</f>
        <v>0.84</v>
      </c>
      <c r="D5" s="131" t="s">
        <v>278</v>
      </c>
      <c r="E5">
        <f ca="1">Ashvat_Design_0!C200</f>
        <v>590.59915937823882</v>
      </c>
    </row>
    <row r="6" spans="1:5" ht="14.5">
      <c r="A6" s="21" t="s">
        <v>10</v>
      </c>
      <c r="B6" s="30">
        <f>Ashvat_Design_0!B6</f>
        <v>6</v>
      </c>
    </row>
    <row r="7" spans="1:5" ht="14.5">
      <c r="A7" s="21" t="s">
        <v>84</v>
      </c>
      <c r="B7" s="30">
        <f>Ashvat_Design_0!B7</f>
        <v>6.4207026841666668</v>
      </c>
    </row>
    <row r="8" spans="1:5" ht="14.5">
      <c r="A8" s="21" t="s">
        <v>15</v>
      </c>
      <c r="B8" s="32">
        <f>Ashvat_Design_0!B8</f>
        <v>6.3156723449164814E-2</v>
      </c>
    </row>
    <row r="9" spans="1:5" ht="14.5">
      <c r="A9" s="26" t="s">
        <v>89</v>
      </c>
    </row>
    <row r="10" spans="1:5" ht="14.5">
      <c r="A10" s="6" t="s">
        <v>91</v>
      </c>
      <c r="B10" s="32">
        <f ca="1">Ashvat_Design_0!B10</f>
        <v>17400.351958329771</v>
      </c>
    </row>
    <row r="11" spans="1:5" ht="14.5">
      <c r="A11" s="21" t="s">
        <v>94</v>
      </c>
      <c r="B11" s="21">
        <f>Ashvat_Design_0!B11</f>
        <v>0.99</v>
      </c>
    </row>
    <row r="12" spans="1:5" ht="14.5">
      <c r="A12" s="21" t="s">
        <v>96</v>
      </c>
      <c r="B12" s="32">
        <f ca="1">Ashvat_Design_0!B12</f>
        <v>17226.348438746474</v>
      </c>
    </row>
    <row r="13" spans="1:5" ht="14.5">
      <c r="A13" s="26" t="s">
        <v>98</v>
      </c>
    </row>
    <row r="14" spans="1:5" ht="14.5">
      <c r="A14" s="21" t="s">
        <v>100</v>
      </c>
      <c r="B14" s="21">
        <f>Ashvat_Design_0!B14</f>
        <v>0.78</v>
      </c>
    </row>
    <row r="15" spans="1:5" ht="14.5">
      <c r="A15" s="21" t="s">
        <v>102</v>
      </c>
      <c r="B15" s="21">
        <f>Ashvat_Design_0!B15</f>
        <v>6280</v>
      </c>
    </row>
    <row r="16" spans="1:5" ht="14.5">
      <c r="A16" s="26" t="s">
        <v>104</v>
      </c>
    </row>
    <row r="17" spans="1:45" ht="14.5">
      <c r="A17" s="6" t="s">
        <v>105</v>
      </c>
      <c r="B17" s="6">
        <f>Ashvat_Design_0!B17</f>
        <v>5.0000000000000001E-3</v>
      </c>
    </row>
    <row r="18" spans="1:45" ht="14.5">
      <c r="A18" s="33" t="s">
        <v>106</v>
      </c>
      <c r="B18" s="33">
        <f>Ashvat_Design_0!B18</f>
        <v>2.4</v>
      </c>
    </row>
    <row r="20" spans="1:45" ht="15" customHeight="1">
      <c r="K20" s="38"/>
      <c r="R20" s="2"/>
      <c r="U20" s="21"/>
    </row>
    <row r="21" spans="1:45" ht="14.5">
      <c r="L21" s="21"/>
      <c r="S21" s="21"/>
      <c r="AB21" s="38"/>
      <c r="AI21" s="2"/>
      <c r="AL21" s="21"/>
    </row>
    <row r="22" spans="1:45" ht="14.5">
      <c r="A22" s="7" t="s">
        <v>49</v>
      </c>
      <c r="B22" s="5"/>
      <c r="C22" s="5"/>
      <c r="D22" s="11"/>
      <c r="E22" s="11"/>
      <c r="F22" s="11"/>
      <c r="G22" s="11"/>
      <c r="H22" s="11"/>
      <c r="I22" s="11"/>
    </row>
    <row r="23" spans="1:45" ht="14.5">
      <c r="A23" s="23" t="s">
        <v>23</v>
      </c>
      <c r="B23" s="5" t="s">
        <v>0</v>
      </c>
      <c r="C23" s="5" t="s">
        <v>26</v>
      </c>
      <c r="D23" s="15" t="s">
        <v>62</v>
      </c>
      <c r="E23" s="16" t="s">
        <v>63</v>
      </c>
      <c r="F23" s="16" t="s">
        <v>64</v>
      </c>
      <c r="G23" s="17" t="s">
        <v>65</v>
      </c>
      <c r="H23" s="18" t="s">
        <v>66</v>
      </c>
      <c r="I23" s="18" t="s">
        <v>67</v>
      </c>
    </row>
    <row r="24" spans="1:45" ht="14.5">
      <c r="A24" s="23" t="s">
        <v>8</v>
      </c>
      <c r="B24" s="5" t="s">
        <v>9</v>
      </c>
      <c r="C24" s="5" t="s">
        <v>50</v>
      </c>
      <c r="D24" s="11"/>
      <c r="E24" s="11"/>
      <c r="F24" s="11"/>
      <c r="G24" s="11"/>
      <c r="H24" s="11"/>
      <c r="I24" s="11"/>
    </row>
    <row r="25" spans="1:45" ht="14.5">
      <c r="A25" s="23">
        <f ca="1">B12</f>
        <v>17226.348438746474</v>
      </c>
      <c r="B25" s="6">
        <v>10000</v>
      </c>
      <c r="C25" s="5">
        <v>15</v>
      </c>
      <c r="D25" s="11">
        <f>IF(B25 &lt;= 36089, ((1 - 6.87535*10^(-6)*B25) + ((C25*1.8)/518.67)), 0.75187 + ((C25*1.8)/518.67))</f>
        <v>0.98330272071837588</v>
      </c>
      <c r="E25" s="11">
        <f>IF(B25 &lt;= 36089, (1 - 6.87535*10^(-6)*B25)^5.2561, 0.22336*EXP((36089 - B25)/(20806.7)))</f>
        <v>0.68770269343653956</v>
      </c>
      <c r="F25" s="11">
        <f t="shared" ref="F25" si="0">(E25/D25)</f>
        <v>0.69938044403469313</v>
      </c>
      <c r="G25" s="11">
        <f t="shared" ref="G25" si="1">(518.67*D25)</f>
        <v>510.00962215499999</v>
      </c>
      <c r="H25" s="11">
        <f t="shared" ref="H25" si="2">2116.22*E25</f>
        <v>1455.3301939042735</v>
      </c>
      <c r="I25" s="11">
        <f t="shared" ref="I25" si="3">(0.0023769*F25)</f>
        <v>1.6623573774260621E-3</v>
      </c>
    </row>
    <row r="26" spans="1:45" ht="14.5">
      <c r="H26" s="21"/>
      <c r="L26" s="21"/>
      <c r="S26" s="21"/>
      <c r="AB26" s="38"/>
      <c r="AE26" s="21"/>
      <c r="AI26" s="2"/>
      <c r="AL26" s="21"/>
      <c r="AO26" s="21"/>
    </row>
    <row r="27" spans="1:45" ht="14.5">
      <c r="A27" s="132" t="s">
        <v>183</v>
      </c>
      <c r="B27" s="132" t="s">
        <v>184</v>
      </c>
      <c r="C27" s="132"/>
      <c r="D27" s="132" t="s">
        <v>185</v>
      </c>
      <c r="E27" s="132" t="s">
        <v>85</v>
      </c>
      <c r="F27" s="132" t="s">
        <v>28</v>
      </c>
      <c r="G27" s="70" t="s">
        <v>30</v>
      </c>
      <c r="H27" s="70" t="s">
        <v>31</v>
      </c>
      <c r="I27" s="70" t="s">
        <v>274</v>
      </c>
      <c r="J27" s="70" t="s">
        <v>36</v>
      </c>
      <c r="K27" s="70" t="s">
        <v>275</v>
      </c>
      <c r="L27" s="70" t="s">
        <v>273</v>
      </c>
      <c r="M27" s="132" t="s">
        <v>75</v>
      </c>
      <c r="N27" s="132" t="s">
        <v>272</v>
      </c>
      <c r="P27" s="70" t="s">
        <v>228</v>
      </c>
      <c r="Q27" s="70" t="s">
        <v>322</v>
      </c>
      <c r="R27" s="70" t="s">
        <v>321</v>
      </c>
      <c r="AA27" s="38"/>
      <c r="AD27" s="21"/>
      <c r="AH27" s="2"/>
      <c r="AK27" s="21"/>
      <c r="AN27" s="21"/>
    </row>
    <row r="28" spans="1:45" ht="14.5">
      <c r="A28" s="32" t="s">
        <v>75</v>
      </c>
      <c r="B28" s="141"/>
      <c r="C28" s="141"/>
      <c r="D28" s="32">
        <v>0</v>
      </c>
      <c r="E28" s="67">
        <f>0.692 + 0.298*N28 + -0.0331*N28^2</f>
        <v>0.69003175816399986</v>
      </c>
      <c r="F28" s="32">
        <f t="shared" ref="F28:F59" si="4">SQRT((1.4*2116.22*$E$25*(D28)^2)/$I$25)</f>
        <v>0</v>
      </c>
      <c r="G28">
        <f>(F28*0.3048*3600)/1852</f>
        <v>0</v>
      </c>
      <c r="H28">
        <f>0.5*$I$25*F28*F28</f>
        <v>0</v>
      </c>
      <c r="I28" s="128" t="e">
        <f>(H28*$B$3*$B$34)+((H28*$B$3)*((J27^2)/(PI()*$B$6*$B$5)))</f>
        <v>#VALUE!</v>
      </c>
      <c r="J28" s="128" t="e">
        <f ca="1">($B$12)/(H28*$B$3)</f>
        <v>#DIV/0!</v>
      </c>
      <c r="K28">
        <f>G28/E28</f>
        <v>0</v>
      </c>
      <c r="L28" t="e">
        <f ca="1">$B$12/I28</f>
        <v>#VALUE!</v>
      </c>
      <c r="M28" s="32" t="e">
        <f ca="1">K28*L28*LN($B$12/($E$3+$E$4+$E$5))</f>
        <v>#VALUE!</v>
      </c>
      <c r="N28" s="41">
        <f t="shared" ref="N28:N59" si="5">-6.6*10^(-3) + 0.825*D28 - 0.243*(D28^2)</f>
        <v>-6.6E-3</v>
      </c>
      <c r="P28" s="21">
        <f ca="1">MAX(M30:M128)</f>
        <v>1153.4557528023508</v>
      </c>
      <c r="Q28">
        <f ca="1">MATCH(P28,M30:M128,0)</f>
        <v>43</v>
      </c>
      <c r="R28" s="21" cm="1">
        <f t="array" aca="1" ref="R28" ca="1">INDEX(D30:D128,Q28)</f>
        <v>0.44000000000000022</v>
      </c>
      <c r="S28" s="21"/>
      <c r="T28" s="21"/>
      <c r="U28" s="21"/>
      <c r="V28" s="21"/>
      <c r="Y28" s="21"/>
      <c r="Z28" s="21"/>
      <c r="AA28" s="21"/>
      <c r="AB28" s="21"/>
      <c r="AD28" s="21"/>
      <c r="AH28" s="21"/>
    </row>
    <row r="29" spans="1:45" ht="14.5">
      <c r="A29" s="32" t="s">
        <v>77</v>
      </c>
      <c r="B29" s="32">
        <f ca="1">B10</f>
        <v>17400.351958329771</v>
      </c>
      <c r="C29" s="32" t="s">
        <v>78</v>
      </c>
      <c r="D29" s="32">
        <f t="shared" ref="D29:D92" si="6">D28+0.01</f>
        <v>0.01</v>
      </c>
      <c r="E29" s="67">
        <f t="shared" ref="E29:E92" si="7">0.692 + 0.298*N29 + -0.0331*N29^2</f>
        <v>0.69248437111999372</v>
      </c>
      <c r="F29" s="32">
        <f t="shared" si="4"/>
        <v>11.070891389979003</v>
      </c>
      <c r="G29" s="128">
        <f t="shared" ref="G29:G92" si="8">(F29*0.3048*3600)/1852</f>
        <v>6.5593238144687698</v>
      </c>
      <c r="H29" s="128">
        <f t="shared" ref="H29:H92" si="9">0.5*$I$25*F29*F29</f>
        <v>0.10187311357329915</v>
      </c>
      <c r="I29" s="128" t="e">
        <f t="shared" ref="I29:I92" ca="1" si="10">(H29*$B$3*$B$34)+((H29*$B$3)*((J28^2)/(PI()*$B$6*$B$5)))</f>
        <v>#DIV/0!</v>
      </c>
      <c r="J29" s="128">
        <f t="shared" ref="J29:J92" ca="1" si="11">($B$12)/(H29*$B$3)</f>
        <v>735.2005303253552</v>
      </c>
      <c r="K29" s="128">
        <f t="shared" ref="K29:K92" si="12">G29/E29</f>
        <v>9.4721615216528399</v>
      </c>
      <c r="L29" s="128" t="e">
        <f t="shared" ref="L29:L92" ca="1" si="13">$B$12/I29</f>
        <v>#DIV/0!</v>
      </c>
      <c r="M29" s="32" t="e">
        <f t="shared" ref="M29:M92" ca="1" si="14">K29*L29*LN($B$12/($E$3+$E$4+$E$5))</f>
        <v>#DIV/0!</v>
      </c>
      <c r="N29" s="41">
        <f t="shared" si="5"/>
        <v>1.6257000000000003E-3</v>
      </c>
      <c r="X29" s="21"/>
      <c r="Y29" s="21"/>
      <c r="Z29" s="21"/>
      <c r="AA29" s="21"/>
      <c r="AB29" s="21"/>
      <c r="AD29" s="21"/>
      <c r="AE29" s="21"/>
      <c r="AF29" s="21"/>
      <c r="AJ29" s="21"/>
      <c r="AO29" s="21"/>
      <c r="AP29" s="15"/>
      <c r="AQ29" s="16"/>
      <c r="AR29" s="16"/>
      <c r="AS29" s="17"/>
    </row>
    <row r="30" spans="1:45" ht="14.5">
      <c r="A30" s="32" t="s">
        <v>79</v>
      </c>
      <c r="B30" s="32">
        <v>1.6623573774260621E-3</v>
      </c>
      <c r="C30" s="32" t="s">
        <v>80</v>
      </c>
      <c r="D30" s="32">
        <f t="shared" si="6"/>
        <v>0.02</v>
      </c>
      <c r="E30" s="67">
        <f t="shared" si="7"/>
        <v>0.69491805365921244</v>
      </c>
      <c r="F30" s="32">
        <f t="shared" si="4"/>
        <v>22.141782779958007</v>
      </c>
      <c r="G30" s="128">
        <f t="shared" si="8"/>
        <v>13.11864762893754</v>
      </c>
      <c r="H30" s="128">
        <f t="shared" si="9"/>
        <v>0.40749245429319658</v>
      </c>
      <c r="I30" s="128">
        <f t="shared" ca="1" si="10"/>
        <v>3199476.795889657</v>
      </c>
      <c r="J30" s="128">
        <f t="shared" ca="1" si="11"/>
        <v>183.8001325813388</v>
      </c>
      <c r="K30" s="128">
        <f t="shared" si="12"/>
        <v>18.877977856322783</v>
      </c>
      <c r="L30" s="128">
        <f t="shared" ca="1" si="13"/>
        <v>5.3841141966952319E-3</v>
      </c>
      <c r="M30" s="32">
        <f t="shared" ca="1" si="14"/>
        <v>3.0899314962348587E-2</v>
      </c>
      <c r="N30" s="41">
        <f t="shared" si="5"/>
        <v>9.8028000000000004E-3</v>
      </c>
      <c r="Y30" s="21"/>
      <c r="Z30" s="21"/>
      <c r="AA30" s="21"/>
      <c r="AB30" s="21"/>
      <c r="AD30" s="21"/>
      <c r="AE30" s="21"/>
      <c r="AF30" s="21"/>
      <c r="AJ30" s="21"/>
    </row>
    <row r="31" spans="1:45" ht="14.5">
      <c r="A31" s="32" t="s">
        <v>81</v>
      </c>
      <c r="B31" s="141"/>
      <c r="C31" s="141"/>
      <c r="D31" s="32">
        <f t="shared" si="6"/>
        <v>0.03</v>
      </c>
      <c r="E31" s="67">
        <f t="shared" si="7"/>
        <v>0.69733288470669819</v>
      </c>
      <c r="F31" s="32">
        <f t="shared" si="4"/>
        <v>33.21267416993701</v>
      </c>
      <c r="G31" s="128">
        <f t="shared" si="8"/>
        <v>19.677971443406307</v>
      </c>
      <c r="H31" s="128">
        <f t="shared" si="9"/>
        <v>0.91685802215969225</v>
      </c>
      <c r="I31" s="128">
        <f t="shared" ca="1" si="10"/>
        <v>449931.76225478068</v>
      </c>
      <c r="J31" s="128">
        <f t="shared" ca="1" si="11"/>
        <v>81.688947813928365</v>
      </c>
      <c r="K31" s="128">
        <f t="shared" si="12"/>
        <v>28.218906457685506</v>
      </c>
      <c r="L31" s="128">
        <f t="shared" ca="1" si="13"/>
        <v>3.8286580063649281E-2</v>
      </c>
      <c r="M31" s="32">
        <f t="shared" ca="1" si="14"/>
        <v>0.32844743227541973</v>
      </c>
      <c r="N31" s="41">
        <f t="shared" si="5"/>
        <v>1.7931300000000001E-2</v>
      </c>
      <c r="R31" s="32"/>
      <c r="AA31" s="38"/>
      <c r="AC31" s="21"/>
      <c r="AH31" s="2"/>
      <c r="AK31" s="21"/>
    </row>
    <row r="32" spans="1:45" ht="14.5">
      <c r="A32" s="32" t="s">
        <v>82</v>
      </c>
      <c r="B32" s="32">
        <v>230</v>
      </c>
      <c r="C32" s="32" t="s">
        <v>83</v>
      </c>
      <c r="D32" s="32">
        <f t="shared" si="6"/>
        <v>0.04</v>
      </c>
      <c r="E32" s="67">
        <f t="shared" si="7"/>
        <v>0.69972894271840791</v>
      </c>
      <c r="F32" s="32">
        <f t="shared" si="4"/>
        <v>44.283565559916013</v>
      </c>
      <c r="G32" s="128">
        <f t="shared" si="8"/>
        <v>26.237295257875079</v>
      </c>
      <c r="H32" s="128">
        <f t="shared" si="9"/>
        <v>1.6299698171727863</v>
      </c>
      <c r="I32" s="128">
        <f t="shared" ca="1" si="10"/>
        <v>158008.85126621978</v>
      </c>
      <c r="J32" s="128">
        <f t="shared" ca="1" si="11"/>
        <v>45.9500331453347</v>
      </c>
      <c r="K32" s="128">
        <f t="shared" si="12"/>
        <v>37.496369888523766</v>
      </c>
      <c r="L32" s="128">
        <f t="shared" ca="1" si="13"/>
        <v>0.10902141431129588</v>
      </c>
      <c r="M32" s="32">
        <f t="shared" ca="1" si="14"/>
        <v>1.2427396436974953</v>
      </c>
      <c r="N32" s="41">
        <f t="shared" si="5"/>
        <v>2.6011199999999998E-2</v>
      </c>
      <c r="R32" s="32"/>
      <c r="AA32" s="38"/>
      <c r="AC32" s="21"/>
      <c r="AH32" s="2"/>
      <c r="AK32" s="21"/>
    </row>
    <row r="33" spans="1:37" ht="14.5">
      <c r="A33" s="32" t="s">
        <v>50</v>
      </c>
      <c r="B33" s="32" t="e">
        <f>#REF!</f>
        <v>#REF!</v>
      </c>
      <c r="C33" s="32" t="s">
        <v>153</v>
      </c>
      <c r="D33" s="32">
        <f t="shared" si="6"/>
        <v>0.05</v>
      </c>
      <c r="E33" s="67">
        <f t="shared" si="7"/>
        <v>0.70210630568121302</v>
      </c>
      <c r="F33" s="32">
        <f t="shared" si="4"/>
        <v>55.354456949895024</v>
      </c>
      <c r="G33" s="128">
        <f t="shared" si="8"/>
        <v>32.796619072343852</v>
      </c>
      <c r="H33" s="128">
        <f t="shared" si="9"/>
        <v>2.546827839332479</v>
      </c>
      <c r="I33" s="128">
        <f t="shared" ca="1" si="10"/>
        <v>78127.980482559884</v>
      </c>
      <c r="J33" s="128">
        <f t="shared" ca="1" si="11"/>
        <v>29.408021213014202</v>
      </c>
      <c r="K33" s="128">
        <f t="shared" si="12"/>
        <v>46.711756904851029</v>
      </c>
      <c r="L33" s="128">
        <f t="shared" ca="1" si="13"/>
        <v>0.22048884832741614</v>
      </c>
      <c r="M33" s="32">
        <f t="shared" ca="1" si="14"/>
        <v>3.1310640182890239</v>
      </c>
      <c r="N33" s="41">
        <f t="shared" si="5"/>
        <v>3.4042500000000003E-2</v>
      </c>
      <c r="R33" s="32"/>
      <c r="AA33" s="38"/>
      <c r="AC33" s="21"/>
      <c r="AH33" s="2"/>
      <c r="AK33" s="21"/>
    </row>
    <row r="34" spans="1:37" ht="14.5">
      <c r="A34" s="32" t="s">
        <v>88</v>
      </c>
      <c r="B34" s="41">
        <v>2.7E-2</v>
      </c>
      <c r="C34" s="141"/>
      <c r="D34" s="32">
        <f t="shared" si="6"/>
        <v>6.0000000000000005E-2</v>
      </c>
      <c r="E34" s="67">
        <f t="shared" si="7"/>
        <v>0.70446505111290014</v>
      </c>
      <c r="F34" s="32">
        <f t="shared" si="4"/>
        <v>66.425348339874034</v>
      </c>
      <c r="G34" s="128">
        <f t="shared" si="8"/>
        <v>39.355942886812628</v>
      </c>
      <c r="H34" s="128">
        <f t="shared" si="9"/>
        <v>3.6674320886387703</v>
      </c>
      <c r="I34" s="128">
        <f t="shared" ca="1" si="10"/>
        <v>46095.204174476254</v>
      </c>
      <c r="J34" s="128">
        <f t="shared" ca="1" si="11"/>
        <v>20.422236953482081</v>
      </c>
      <c r="K34" s="128">
        <f t="shared" si="12"/>
        <v>55.8664235005539</v>
      </c>
      <c r="L34" s="128">
        <f t="shared" ca="1" si="13"/>
        <v>0.373712379568654</v>
      </c>
      <c r="M34" s="32">
        <f t="shared" ca="1" si="14"/>
        <v>6.3469849713158952</v>
      </c>
      <c r="N34" s="41">
        <f t="shared" si="5"/>
        <v>4.2025199999999999E-2</v>
      </c>
      <c r="R34" s="32"/>
      <c r="AA34" s="38"/>
      <c r="AC34" s="21"/>
      <c r="AH34" s="2"/>
      <c r="AK34" s="21"/>
    </row>
    <row r="35" spans="1:37" ht="14.5">
      <c r="A35" s="32" t="s">
        <v>15</v>
      </c>
      <c r="B35" s="32">
        <f>B8</f>
        <v>6.3156723449164814E-2</v>
      </c>
      <c r="C35" s="141"/>
      <c r="D35" s="32">
        <f t="shared" si="6"/>
        <v>7.0000000000000007E-2</v>
      </c>
      <c r="E35" s="67">
        <f t="shared" si="7"/>
        <v>0.70680525606217015</v>
      </c>
      <c r="F35" s="32">
        <f t="shared" si="4"/>
        <v>77.496239729853031</v>
      </c>
      <c r="G35" s="128">
        <f t="shared" si="8"/>
        <v>45.915266701281389</v>
      </c>
      <c r="H35" s="128">
        <f t="shared" si="9"/>
        <v>4.9917825650916594</v>
      </c>
      <c r="I35" s="128">
        <f t="shared" ca="1" si="10"/>
        <v>30272.943221795991</v>
      </c>
      <c r="J35" s="128">
        <f t="shared" ca="1" si="11"/>
        <v>15.004092455619491</v>
      </c>
      <c r="K35" s="128">
        <f t="shared" si="12"/>
        <v>64.961693914232455</v>
      </c>
      <c r="L35" s="128">
        <f t="shared" ca="1" si="13"/>
        <v>0.56903447783510541</v>
      </c>
      <c r="M35" s="32">
        <f t="shared" ca="1" si="14"/>
        <v>11.237638005964055</v>
      </c>
      <c r="N35" s="41">
        <f t="shared" si="5"/>
        <v>4.9959299999999998E-2</v>
      </c>
      <c r="R35" s="32"/>
      <c r="AA35" s="38"/>
      <c r="AC35" s="21"/>
      <c r="AH35" s="2"/>
      <c r="AK35" s="21"/>
    </row>
    <row r="36" spans="1:37" ht="14.5">
      <c r="A36" s="141"/>
      <c r="B36" s="141"/>
      <c r="C36" s="141"/>
      <c r="D36" s="32">
        <f t="shared" si="6"/>
        <v>0.08</v>
      </c>
      <c r="E36" s="67">
        <f t="shared" si="7"/>
        <v>0.70912699710863891</v>
      </c>
      <c r="F36" s="32">
        <f t="shared" si="4"/>
        <v>88.567131119832027</v>
      </c>
      <c r="G36" s="128">
        <f t="shared" si="8"/>
        <v>52.474590515750158</v>
      </c>
      <c r="H36" s="128">
        <f t="shared" si="9"/>
        <v>6.5198792686911453</v>
      </c>
      <c r="I36" s="128">
        <f t="shared" ca="1" si="10"/>
        <v>21361.433159040007</v>
      </c>
      <c r="J36" s="128">
        <f t="shared" ca="1" si="11"/>
        <v>11.487508286333675</v>
      </c>
      <c r="K36" s="128">
        <f t="shared" si="12"/>
        <v>73.998861599836971</v>
      </c>
      <c r="L36" s="128">
        <f t="shared" ca="1" si="13"/>
        <v>0.80642287951810043</v>
      </c>
      <c r="M36" s="32">
        <f t="shared" ca="1" si="14"/>
        <v>18.141241121494392</v>
      </c>
      <c r="N36" s="41">
        <f t="shared" si="5"/>
        <v>5.7844800000000002E-2</v>
      </c>
      <c r="R36" s="32"/>
      <c r="AA36" s="38"/>
      <c r="AC36" s="21"/>
      <c r="AH36" s="2"/>
      <c r="AK36" s="21"/>
    </row>
    <row r="37" spans="1:37" ht="14.5">
      <c r="A37" s="141"/>
      <c r="B37" s="141"/>
      <c r="C37" s="141"/>
      <c r="D37" s="32">
        <f t="shared" si="6"/>
        <v>0.09</v>
      </c>
      <c r="E37" s="67">
        <f t="shared" si="7"/>
        <v>0.71143035036283708</v>
      </c>
      <c r="F37" s="32">
        <f t="shared" si="4"/>
        <v>99.638022509811037</v>
      </c>
      <c r="G37" s="128">
        <f t="shared" si="8"/>
        <v>59.033914330218927</v>
      </c>
      <c r="H37" s="128">
        <f t="shared" si="9"/>
        <v>8.2517221994372321</v>
      </c>
      <c r="I37" s="128">
        <f t="shared" ca="1" si="10"/>
        <v>15868.956542898228</v>
      </c>
      <c r="J37" s="128">
        <f t="shared" ca="1" si="11"/>
        <v>9.0765497571031482</v>
      </c>
      <c r="K37" s="128">
        <f t="shared" si="12"/>
        <v>82.979190162622388</v>
      </c>
      <c r="L37" s="128">
        <f t="shared" ca="1" si="13"/>
        <v>1.0855375646268131</v>
      </c>
      <c r="M37" s="32">
        <f t="shared" ca="1" si="14"/>
        <v>27.383765361434811</v>
      </c>
      <c r="N37" s="41">
        <f t="shared" si="5"/>
        <v>6.5681699999999996E-2</v>
      </c>
      <c r="R37" s="32"/>
      <c r="AA37" s="38"/>
      <c r="AC37" s="21"/>
      <c r="AH37" s="2"/>
      <c r="AK37" s="21"/>
    </row>
    <row r="38" spans="1:37" ht="14.5">
      <c r="A38" s="141"/>
      <c r="B38" s="141"/>
      <c r="C38" s="141"/>
      <c r="D38" s="32">
        <f t="shared" si="6"/>
        <v>9.9999999999999992E-2</v>
      </c>
      <c r="E38" s="67">
        <f t="shared" si="7"/>
        <v>0.71371539146620999</v>
      </c>
      <c r="F38" s="32">
        <f t="shared" si="4"/>
        <v>110.70891389979002</v>
      </c>
      <c r="G38" s="128">
        <f t="shared" si="8"/>
        <v>65.593238144687689</v>
      </c>
      <c r="H38" s="128">
        <f t="shared" si="9"/>
        <v>10.187311357329911</v>
      </c>
      <c r="I38" s="128">
        <f t="shared" ca="1" si="10"/>
        <v>12254.52316908881</v>
      </c>
      <c r="J38" s="128">
        <f t="shared" ca="1" si="11"/>
        <v>7.3520053032535548</v>
      </c>
      <c r="K38" s="128">
        <f t="shared" si="12"/>
        <v>91.903914261870199</v>
      </c>
      <c r="L38" s="128">
        <f t="shared" ca="1" si="13"/>
        <v>1.4057134823653319</v>
      </c>
      <c r="M38" s="32">
        <f t="shared" ca="1" si="14"/>
        <v>39.27443401976798</v>
      </c>
      <c r="N38" s="41">
        <f t="shared" si="5"/>
        <v>7.3469999999999994E-2</v>
      </c>
      <c r="R38" s="32"/>
      <c r="AA38" s="38"/>
      <c r="AC38" s="21"/>
      <c r="AH38" s="2"/>
      <c r="AK38" s="21"/>
    </row>
    <row r="39" spans="1:37" ht="14.5">
      <c r="A39" s="141"/>
      <c r="B39" s="141"/>
      <c r="C39" s="141"/>
      <c r="D39" s="32">
        <f t="shared" si="6"/>
        <v>0.10999999999999999</v>
      </c>
      <c r="E39" s="67">
        <f t="shared" si="7"/>
        <v>0.71598219559111753</v>
      </c>
      <c r="F39" s="32">
        <f t="shared" si="4"/>
        <v>121.77980528976903</v>
      </c>
      <c r="G39" s="128">
        <f t="shared" si="8"/>
        <v>72.152561959156472</v>
      </c>
      <c r="H39" s="128">
        <f t="shared" si="9"/>
        <v>12.326646742369194</v>
      </c>
      <c r="I39" s="128">
        <f t="shared" ca="1" si="10"/>
        <v>9754.958128988701</v>
      </c>
      <c r="J39" s="128">
        <f t="shared" ca="1" si="11"/>
        <v>6.0760374407054156</v>
      </c>
      <c r="K39" s="128">
        <f t="shared" si="12"/>
        <v>100.77424048175814</v>
      </c>
      <c r="L39" s="128">
        <f t="shared" ca="1" si="13"/>
        <v>1.7659069583861282</v>
      </c>
      <c r="M39" s="32">
        <f t="shared" ca="1" si="14"/>
        <v>54.099900669254048</v>
      </c>
      <c r="N39" s="41">
        <f t="shared" si="5"/>
        <v>8.1209699999999996E-2</v>
      </c>
      <c r="R39" s="32"/>
      <c r="AA39" s="38"/>
      <c r="AC39" s="21"/>
      <c r="AH39" s="2"/>
      <c r="AK39" s="21"/>
    </row>
    <row r="40" spans="1:37" ht="14.5">
      <c r="A40" s="141"/>
      <c r="B40" s="141"/>
      <c r="C40" s="141"/>
      <c r="D40" s="32">
        <f t="shared" si="6"/>
        <v>0.11999999999999998</v>
      </c>
      <c r="E40" s="67">
        <f t="shared" si="7"/>
        <v>0.71823083744083482</v>
      </c>
      <c r="F40" s="32">
        <f t="shared" si="4"/>
        <v>132.85069667974804</v>
      </c>
      <c r="G40" s="128">
        <f t="shared" si="8"/>
        <v>78.711885773625227</v>
      </c>
      <c r="H40" s="128">
        <f t="shared" si="9"/>
        <v>14.669728354555076</v>
      </c>
      <c r="I40" s="128">
        <f t="shared" ca="1" si="10"/>
        <v>7958.1213170920719</v>
      </c>
      <c r="J40" s="128">
        <f t="shared" ca="1" si="11"/>
        <v>5.1055592383705228</v>
      </c>
      <c r="K40" s="128">
        <f t="shared" si="12"/>
        <v>109.59134817169308</v>
      </c>
      <c r="L40" s="128">
        <f t="shared" ca="1" si="13"/>
        <v>2.1646250103964295</v>
      </c>
      <c r="M40" s="32">
        <f t="shared" ca="1" si="14"/>
        <v>72.117067361744361</v>
      </c>
      <c r="N40" s="41">
        <f t="shared" si="5"/>
        <v>8.8900799999999988E-2</v>
      </c>
      <c r="R40" s="32"/>
      <c r="AA40" s="38"/>
      <c r="AC40" s="21"/>
      <c r="AH40" s="2"/>
      <c r="AK40" s="21"/>
    </row>
    <row r="41" spans="1:37" ht="14.5">
      <c r="A41" s="141"/>
      <c r="B41" s="141"/>
      <c r="C41" s="141"/>
      <c r="D41" s="32">
        <f t="shared" si="6"/>
        <v>0.12999999999999998</v>
      </c>
      <c r="E41" s="67">
        <f t="shared" si="7"/>
        <v>0.720461391249551</v>
      </c>
      <c r="F41" s="32">
        <f t="shared" si="4"/>
        <v>143.92158806972705</v>
      </c>
      <c r="G41" s="128">
        <f t="shared" si="8"/>
        <v>85.271209588093996</v>
      </c>
      <c r="H41" s="128">
        <f t="shared" si="9"/>
        <v>17.216556193887556</v>
      </c>
      <c r="I41" s="128">
        <f t="shared" ca="1" si="10"/>
        <v>6625.9053478917058</v>
      </c>
      <c r="J41" s="128">
        <f t="shared" ca="1" si="11"/>
        <v>4.3502989960080187</v>
      </c>
      <c r="K41" s="128">
        <f t="shared" si="12"/>
        <v>118.35639025736224</v>
      </c>
      <c r="L41" s="128">
        <f t="shared" ca="1" si="13"/>
        <v>2.5998482523188651</v>
      </c>
      <c r="M41" s="32">
        <f t="shared" ca="1" si="14"/>
        <v>93.544622612944366</v>
      </c>
      <c r="N41" s="41">
        <f t="shared" si="5"/>
        <v>9.6543299999999971E-2</v>
      </c>
      <c r="R41" s="32"/>
      <c r="AA41" s="38"/>
      <c r="AC41" s="21"/>
      <c r="AH41" s="2"/>
      <c r="AK41" s="21"/>
    </row>
    <row r="42" spans="1:37" ht="14.5">
      <c r="A42" s="141"/>
      <c r="B42" s="141"/>
      <c r="C42" s="141"/>
      <c r="D42" s="32">
        <f t="shared" si="6"/>
        <v>0.13999999999999999</v>
      </c>
      <c r="E42" s="67">
        <f t="shared" si="7"/>
        <v>0.72267393078237074</v>
      </c>
      <c r="F42" s="32">
        <f t="shared" si="4"/>
        <v>154.99247945970603</v>
      </c>
      <c r="G42" s="128">
        <f t="shared" si="8"/>
        <v>91.830533402562779</v>
      </c>
      <c r="H42" s="128">
        <f t="shared" si="9"/>
        <v>19.967130260366627</v>
      </c>
      <c r="I42" s="128">
        <f t="shared" ca="1" si="10"/>
        <v>5613.0977662007308</v>
      </c>
      <c r="J42" s="128">
        <f t="shared" ca="1" si="11"/>
        <v>3.7510231139048749</v>
      </c>
      <c r="K42" s="128">
        <f t="shared" si="12"/>
        <v>127.07049402369688</v>
      </c>
      <c r="L42" s="128">
        <f t="shared" ca="1" si="13"/>
        <v>3.0689557097107651</v>
      </c>
      <c r="M42" s="32">
        <f t="shared" ca="1" si="14"/>
        <v>118.55352060497437</v>
      </c>
      <c r="N42" s="41">
        <f t="shared" si="5"/>
        <v>0.10413719999999999</v>
      </c>
      <c r="R42" s="32"/>
      <c r="AA42" s="38"/>
      <c r="AC42" s="21"/>
      <c r="AH42" s="2"/>
      <c r="AK42" s="21"/>
    </row>
    <row r="43" spans="1:37" ht="14.5">
      <c r="A43" s="141"/>
      <c r="B43" s="141"/>
      <c r="C43" s="141"/>
      <c r="D43" s="32">
        <f t="shared" si="6"/>
        <v>0.15</v>
      </c>
      <c r="E43" s="67">
        <f t="shared" si="7"/>
        <v>0.72486852933531309</v>
      </c>
      <c r="F43" s="32">
        <f t="shared" si="4"/>
        <v>166.06337084968507</v>
      </c>
      <c r="G43" s="128">
        <f t="shared" si="8"/>
        <v>98.389857217031562</v>
      </c>
      <c r="H43" s="128">
        <f t="shared" si="9"/>
        <v>22.921450553992312</v>
      </c>
      <c r="I43" s="128">
        <f t="shared" ca="1" si="10"/>
        <v>4827.1200980534059</v>
      </c>
      <c r="J43" s="128">
        <f t="shared" ca="1" si="11"/>
        <v>3.2675579125571335</v>
      </c>
      <c r="K43" s="128">
        <f t="shared" si="12"/>
        <v>135.73476187089082</v>
      </c>
      <c r="L43" s="128">
        <f t="shared" ca="1" si="13"/>
        <v>3.5686595918119388</v>
      </c>
      <c r="M43" s="32">
        <f t="shared" ca="1" si="14"/>
        <v>147.25678854651181</v>
      </c>
      <c r="N43" s="41">
        <f t="shared" si="5"/>
        <v>0.11168249999999999</v>
      </c>
      <c r="R43" s="32"/>
      <c r="AA43" s="38"/>
      <c r="AC43" s="21"/>
      <c r="AH43" s="2"/>
      <c r="AK43" s="21"/>
    </row>
    <row r="44" spans="1:37" ht="14.5">
      <c r="A44" s="141"/>
      <c r="B44" s="141"/>
      <c r="C44" s="141"/>
      <c r="D44" s="32">
        <f t="shared" si="6"/>
        <v>0.16</v>
      </c>
      <c r="E44" s="67">
        <f t="shared" si="7"/>
        <v>0.72704525973531153</v>
      </c>
      <c r="F44" s="32">
        <f t="shared" si="4"/>
        <v>177.13426223966405</v>
      </c>
      <c r="G44" s="128">
        <f t="shared" si="8"/>
        <v>104.94918103150032</v>
      </c>
      <c r="H44" s="128">
        <f t="shared" si="9"/>
        <v>26.079517074764581</v>
      </c>
      <c r="I44" s="128">
        <f t="shared" ca="1" si="10"/>
        <v>4206.7212673678559</v>
      </c>
      <c r="J44" s="128">
        <f t="shared" ca="1" si="11"/>
        <v>2.8718770715834188</v>
      </c>
      <c r="K44" s="128">
        <f t="shared" si="12"/>
        <v>144.35027204456043</v>
      </c>
      <c r="L44" s="128">
        <f t="shared" ca="1" si="13"/>
        <v>4.0949583639814087</v>
      </c>
      <c r="M44" s="32">
        <f t="shared" ca="1" si="14"/>
        <v>179.69922880197262</v>
      </c>
      <c r="N44" s="41">
        <f t="shared" si="5"/>
        <v>0.11917920000000001</v>
      </c>
      <c r="R44" s="32"/>
      <c r="AA44" s="38"/>
      <c r="AC44" s="21"/>
      <c r="AH44" s="2"/>
      <c r="AK44" s="21"/>
    </row>
    <row r="45" spans="1:37" ht="14.5">
      <c r="A45" s="141"/>
      <c r="B45" s="141"/>
      <c r="C45" s="141"/>
      <c r="D45" s="32">
        <f t="shared" si="6"/>
        <v>0.17</v>
      </c>
      <c r="E45" s="67">
        <f t="shared" si="7"/>
        <v>0.72920419434021488</v>
      </c>
      <c r="F45" s="32">
        <f t="shared" si="4"/>
        <v>188.20515362964306</v>
      </c>
      <c r="G45" s="128">
        <f t="shared" si="8"/>
        <v>111.50850484596909</v>
      </c>
      <c r="H45" s="128">
        <f t="shared" si="9"/>
        <v>29.44132982268345</v>
      </c>
      <c r="I45" s="128">
        <f t="shared" ca="1" si="10"/>
        <v>3710.0830946058691</v>
      </c>
      <c r="J45" s="128">
        <f t="shared" ca="1" si="11"/>
        <v>2.5439464717140319</v>
      </c>
      <c r="K45" s="128">
        <f t="shared" si="12"/>
        <v>152.91807934108519</v>
      </c>
      <c r="L45" s="128">
        <f t="shared" ca="1" si="13"/>
        <v>4.6431166093805425</v>
      </c>
      <c r="M45" s="32">
        <f t="shared" ca="1" si="14"/>
        <v>215.84775785087473</v>
      </c>
      <c r="N45" s="41">
        <f t="shared" si="5"/>
        <v>0.12662730000000003</v>
      </c>
      <c r="R45" s="32"/>
      <c r="AA45" s="38"/>
      <c r="AC45" s="21"/>
      <c r="AH45" s="2"/>
      <c r="AK45" s="21"/>
    </row>
    <row r="46" spans="1:37" ht="14.5">
      <c r="A46" s="141"/>
      <c r="B46" s="141"/>
      <c r="C46" s="141"/>
      <c r="D46" s="32">
        <f t="shared" si="6"/>
        <v>0.18000000000000002</v>
      </c>
      <c r="E46" s="67">
        <f t="shared" si="7"/>
        <v>0.7313454050387862</v>
      </c>
      <c r="F46" s="32">
        <f t="shared" si="4"/>
        <v>199.27604501962207</v>
      </c>
      <c r="G46" s="128">
        <f t="shared" si="8"/>
        <v>118.06782866043785</v>
      </c>
      <c r="H46" s="128">
        <f t="shared" si="9"/>
        <v>33.006888797748928</v>
      </c>
      <c r="I46" s="128">
        <f t="shared" ca="1" si="10"/>
        <v>3307.8740317452093</v>
      </c>
      <c r="J46" s="128">
        <f t="shared" ca="1" si="11"/>
        <v>2.269137439275787</v>
      </c>
      <c r="K46" s="128">
        <f t="shared" si="12"/>
        <v>161.43921578911983</v>
      </c>
      <c r="L46" s="128">
        <f t="shared" ca="1" si="13"/>
        <v>5.2076796980258599</v>
      </c>
      <c r="M46" s="32">
        <f t="shared" ca="1" si="14"/>
        <v>255.58326880093662</v>
      </c>
      <c r="N46" s="41">
        <f t="shared" si="5"/>
        <v>0.13402680000000003</v>
      </c>
      <c r="AA46" s="38"/>
      <c r="AH46" s="2"/>
    </row>
    <row r="47" spans="1:37" ht="14.5">
      <c r="A47" s="141"/>
      <c r="B47" s="141"/>
      <c r="C47" s="141"/>
      <c r="D47" s="32">
        <f t="shared" si="6"/>
        <v>0.19000000000000003</v>
      </c>
      <c r="E47" s="67">
        <f t="shared" si="7"/>
        <v>0.73346896325070365</v>
      </c>
      <c r="F47" s="32">
        <f t="shared" si="4"/>
        <v>210.34693640960108</v>
      </c>
      <c r="G47" s="128">
        <f t="shared" si="8"/>
        <v>124.62715247490664</v>
      </c>
      <c r="H47" s="128">
        <f t="shared" si="9"/>
        <v>36.776193999960995</v>
      </c>
      <c r="I47" s="128">
        <f t="shared" ca="1" si="10"/>
        <v>2979.033194469187</v>
      </c>
      <c r="J47" s="128">
        <f t="shared" ca="1" si="11"/>
        <v>2.0365665659982137</v>
      </c>
      <c r="K47" s="128">
        <f t="shared" si="12"/>
        <v>169.91469130822432</v>
      </c>
      <c r="L47" s="128">
        <f t="shared" ca="1" si="13"/>
        <v>5.7825298726877445</v>
      </c>
      <c r="M47" s="32">
        <f t="shared" ca="1" si="14"/>
        <v>298.69498574880726</v>
      </c>
      <c r="N47" s="41">
        <f t="shared" si="5"/>
        <v>0.14137770000000002</v>
      </c>
      <c r="AA47" s="38"/>
      <c r="AH47" s="2"/>
    </row>
    <row r="48" spans="1:37" ht="14.5">
      <c r="A48" s="32"/>
      <c r="B48" s="32"/>
      <c r="C48" s="32"/>
      <c r="D48" s="32">
        <f t="shared" si="6"/>
        <v>0.20000000000000004</v>
      </c>
      <c r="E48" s="67">
        <f t="shared" si="7"/>
        <v>0.73557493992655998</v>
      </c>
      <c r="F48" s="32">
        <f t="shared" si="4"/>
        <v>221.41782779958012</v>
      </c>
      <c r="G48" s="128">
        <f t="shared" si="8"/>
        <v>131.18647628937541</v>
      </c>
      <c r="H48" s="128">
        <f t="shared" si="9"/>
        <v>40.749245429319679</v>
      </c>
      <c r="I48" s="128">
        <f t="shared" ca="1" si="10"/>
        <v>2708.1247252904186</v>
      </c>
      <c r="J48" s="128">
        <f t="shared" ca="1" si="11"/>
        <v>1.8380013258133869</v>
      </c>
      <c r="K48" s="128">
        <f t="shared" si="12"/>
        <v>178.34549434551576</v>
      </c>
      <c r="L48" s="128">
        <f t="shared" ca="1" si="13"/>
        <v>6.3609878370351369</v>
      </c>
      <c r="M48" s="32">
        <f t="shared" ca="1" si="14"/>
        <v>344.87826366366528</v>
      </c>
      <c r="N48" s="41">
        <f t="shared" si="5"/>
        <v>0.14868000000000003</v>
      </c>
      <c r="P48" s="21"/>
      <c r="S48" s="21"/>
      <c r="T48" s="21"/>
      <c r="U48" s="21"/>
      <c r="V48" s="21"/>
      <c r="Y48" s="21"/>
      <c r="Z48" s="21"/>
      <c r="AA48" s="21"/>
      <c r="AB48" s="21"/>
      <c r="AD48" s="21"/>
      <c r="AH48" s="21"/>
    </row>
    <row r="49" spans="1:50" ht="14.5">
      <c r="A49" s="141"/>
      <c r="B49" s="141"/>
      <c r="C49" s="141"/>
      <c r="D49" s="32">
        <f t="shared" si="6"/>
        <v>0.21000000000000005</v>
      </c>
      <c r="E49" s="67">
        <f t="shared" si="7"/>
        <v>0.73766340554786269</v>
      </c>
      <c r="F49" s="32">
        <f t="shared" si="4"/>
        <v>232.48871918955913</v>
      </c>
      <c r="G49" s="128">
        <f t="shared" si="8"/>
        <v>137.7458001038442</v>
      </c>
      <c r="H49" s="128">
        <f t="shared" si="9"/>
        <v>44.926043085824944</v>
      </c>
      <c r="I49" s="128">
        <f t="shared" ca="1" si="10"/>
        <v>2483.6284635386401</v>
      </c>
      <c r="J49" s="128">
        <f t="shared" ca="1" si="11"/>
        <v>1.6671213839577206</v>
      </c>
      <c r="K49" s="128">
        <f t="shared" si="12"/>
        <v>186.73259249120591</v>
      </c>
      <c r="L49" s="128">
        <f t="shared" ca="1" si="13"/>
        <v>6.9359603063183641</v>
      </c>
      <c r="M49" s="32">
        <f t="shared" ca="1" si="14"/>
        <v>393.73665012651094</v>
      </c>
      <c r="N49" s="41">
        <f t="shared" si="5"/>
        <v>0.15593370000000004</v>
      </c>
      <c r="X49" s="21"/>
      <c r="Y49" s="21"/>
      <c r="Z49" s="21"/>
      <c r="AA49" s="21"/>
      <c r="AB49" s="21"/>
      <c r="AD49" s="21"/>
      <c r="AE49" s="21"/>
      <c r="AF49" s="21"/>
      <c r="AJ49" s="21"/>
      <c r="AO49" s="21"/>
      <c r="AP49" s="15"/>
      <c r="AQ49" s="16"/>
      <c r="AR49" s="16"/>
      <c r="AS49" s="17"/>
      <c r="AT49" s="18"/>
      <c r="AU49" s="18"/>
      <c r="AV49" s="19"/>
      <c r="AW49" s="40"/>
      <c r="AX49" s="19"/>
    </row>
    <row r="50" spans="1:50" ht="14.5">
      <c r="A50" s="141"/>
      <c r="B50" s="141"/>
      <c r="C50" s="141"/>
      <c r="D50" s="32">
        <f t="shared" si="6"/>
        <v>0.22000000000000006</v>
      </c>
      <c r="E50" s="67">
        <f t="shared" si="7"/>
        <v>0.73973443012703388</v>
      </c>
      <c r="F50" s="32">
        <f t="shared" si="4"/>
        <v>243.55961057953814</v>
      </c>
      <c r="G50" s="128">
        <f t="shared" si="8"/>
        <v>144.30512391831297</v>
      </c>
      <c r="H50" s="128">
        <f t="shared" si="9"/>
        <v>49.306586969476811</v>
      </c>
      <c r="I50" s="128">
        <f t="shared" ca="1" si="10"/>
        <v>2296.8067984157537</v>
      </c>
      <c r="J50" s="128">
        <f t="shared" ca="1" si="11"/>
        <v>1.519009360176353</v>
      </c>
      <c r="K50" s="128">
        <f t="shared" si="12"/>
        <v>195.07693307384866</v>
      </c>
      <c r="L50" s="128">
        <f t="shared" ca="1" si="13"/>
        <v>7.5001295061598245</v>
      </c>
      <c r="M50" s="32">
        <f t="shared" ca="1" si="14"/>
        <v>444.7887538315797</v>
      </c>
      <c r="N50" s="41">
        <f t="shared" si="5"/>
        <v>0.16313880000000006</v>
      </c>
      <c r="Y50" s="21"/>
      <c r="Z50" s="21"/>
      <c r="AA50" s="21"/>
      <c r="AB50" s="21"/>
      <c r="AD50" s="21"/>
      <c r="AE50" s="21"/>
      <c r="AF50" s="21"/>
      <c r="AJ50" s="21"/>
    </row>
    <row r="51" spans="1:50" ht="14.5">
      <c r="A51" s="141"/>
      <c r="B51" s="141"/>
      <c r="C51" s="141"/>
      <c r="D51" s="32">
        <f t="shared" si="6"/>
        <v>0.23000000000000007</v>
      </c>
      <c r="E51" s="67">
        <f t="shared" si="7"/>
        <v>0.74178808320741074</v>
      </c>
      <c r="F51" s="32">
        <f t="shared" si="4"/>
        <v>254.63050196951716</v>
      </c>
      <c r="G51" s="128">
        <f t="shared" si="8"/>
        <v>150.86444773278177</v>
      </c>
      <c r="H51" s="128">
        <f t="shared" si="9"/>
        <v>53.890877080275274</v>
      </c>
      <c r="I51" s="128">
        <f t="shared" ca="1" si="10"/>
        <v>2140.9361308792031</v>
      </c>
      <c r="J51" s="128">
        <f t="shared" ca="1" si="11"/>
        <v>1.38979306299689</v>
      </c>
      <c r="K51" s="128">
        <f t="shared" si="12"/>
        <v>203.37944373608747</v>
      </c>
      <c r="L51" s="128">
        <f t="shared" ca="1" si="13"/>
        <v>8.046175778103315</v>
      </c>
      <c r="M51" s="32">
        <f t="shared" ca="1" si="14"/>
        <v>497.48007071820513</v>
      </c>
      <c r="N51" s="41">
        <f t="shared" si="5"/>
        <v>0.17029530000000007</v>
      </c>
      <c r="R51" s="21"/>
      <c r="AA51" s="38"/>
      <c r="AD51" s="21"/>
      <c r="AH51" s="2"/>
      <c r="AK51" s="21"/>
      <c r="AL51" s="21"/>
      <c r="AN51" s="21"/>
    </row>
    <row r="52" spans="1:50" ht="14.5">
      <c r="A52" s="141"/>
      <c r="B52" s="141"/>
      <c r="C52" s="141"/>
      <c r="D52" s="32">
        <f t="shared" si="6"/>
        <v>0.24000000000000007</v>
      </c>
      <c r="E52" s="67">
        <f t="shared" si="7"/>
        <v>0.74382443386324504</v>
      </c>
      <c r="F52" s="32">
        <f t="shared" si="4"/>
        <v>265.70139335949614</v>
      </c>
      <c r="G52" s="128">
        <f t="shared" si="8"/>
        <v>157.42377154725051</v>
      </c>
      <c r="H52" s="128">
        <f t="shared" si="9"/>
        <v>58.678913418220326</v>
      </c>
      <c r="I52" s="128">
        <f t="shared" ca="1" si="10"/>
        <v>2010.7748681977955</v>
      </c>
      <c r="J52" s="128">
        <f t="shared" ca="1" si="11"/>
        <v>1.27638980959263</v>
      </c>
      <c r="K52" s="128">
        <f t="shared" si="12"/>
        <v>211.64103299165549</v>
      </c>
      <c r="L52" s="128">
        <f t="shared" ca="1" si="13"/>
        <v>8.5670199638938183</v>
      </c>
      <c r="M52" s="32">
        <f t="shared" ca="1" si="14"/>
        <v>551.19944012498377</v>
      </c>
      <c r="N52" s="41">
        <f t="shared" si="5"/>
        <v>0.17740320000000004</v>
      </c>
      <c r="R52" s="21"/>
      <c r="AA52" s="38"/>
      <c r="AD52" s="21"/>
      <c r="AH52" s="2"/>
      <c r="AK52" s="21"/>
      <c r="AL52" s="21"/>
      <c r="AN52" s="21"/>
    </row>
    <row r="53" spans="1:50" ht="14.5">
      <c r="A53" s="141"/>
      <c r="B53" s="141"/>
      <c r="C53" s="141"/>
      <c r="D53" s="32">
        <f t="shared" si="6"/>
        <v>0.25000000000000006</v>
      </c>
      <c r="E53" s="67">
        <f t="shared" si="7"/>
        <v>0.7458435506997031</v>
      </c>
      <c r="F53" s="32">
        <f t="shared" si="4"/>
        <v>276.77228474947515</v>
      </c>
      <c r="G53" s="128">
        <f t="shared" si="8"/>
        <v>163.98309536171928</v>
      </c>
      <c r="H53" s="128">
        <f t="shared" si="9"/>
        <v>63.670695983311994</v>
      </c>
      <c r="I53" s="128">
        <f t="shared" ca="1" si="10"/>
        <v>1902.1883222430492</v>
      </c>
      <c r="J53" s="128">
        <f t="shared" ca="1" si="11"/>
        <v>1.1763208485205678</v>
      </c>
      <c r="K53" s="128">
        <f t="shared" si="12"/>
        <v>219.86259076435098</v>
      </c>
      <c r="L53" s="128">
        <f t="shared" ca="1" si="13"/>
        <v>9.056068864113973</v>
      </c>
      <c r="M53" s="32">
        <f t="shared" ca="1" si="14"/>
        <v>605.29930288283731</v>
      </c>
      <c r="N53" s="41">
        <f t="shared" si="5"/>
        <v>0.18446250000000003</v>
      </c>
      <c r="R53" s="21"/>
      <c r="AA53" s="38"/>
      <c r="AD53" s="21"/>
      <c r="AH53" s="2"/>
      <c r="AK53" s="21"/>
      <c r="AL53" s="21"/>
      <c r="AN53" s="21"/>
    </row>
    <row r="54" spans="1:50" ht="14.5">
      <c r="A54" s="141"/>
      <c r="B54" s="141"/>
      <c r="C54" s="141"/>
      <c r="D54" s="32">
        <f t="shared" si="6"/>
        <v>0.26000000000000006</v>
      </c>
      <c r="E54" s="67">
        <f t="shared" si="7"/>
        <v>0.74784550185286625</v>
      </c>
      <c r="F54" s="32">
        <f t="shared" si="4"/>
        <v>287.84317613945416</v>
      </c>
      <c r="G54" s="128">
        <f t="shared" si="8"/>
        <v>170.54241917618808</v>
      </c>
      <c r="H54" s="128">
        <f t="shared" si="9"/>
        <v>68.866224775550251</v>
      </c>
      <c r="I54" s="128">
        <f t="shared" ca="1" si="10"/>
        <v>1811.879802022172</v>
      </c>
      <c r="J54" s="128">
        <f t="shared" ca="1" si="11"/>
        <v>1.0875747490020042</v>
      </c>
      <c r="K54" s="128">
        <f t="shared" si="12"/>
        <v>228.04498890967614</v>
      </c>
      <c r="L54" s="128">
        <f t="shared" ca="1" si="13"/>
        <v>9.5074454825981185</v>
      </c>
      <c r="M54" s="32">
        <f t="shared" ca="1" si="14"/>
        <v>659.11848775649696</v>
      </c>
      <c r="N54" s="41">
        <f t="shared" si="5"/>
        <v>0.19147320000000004</v>
      </c>
      <c r="R54" s="21"/>
      <c r="AA54" s="38"/>
      <c r="AD54" s="21"/>
      <c r="AH54" s="2"/>
      <c r="AK54" s="21"/>
      <c r="AL54" s="21"/>
      <c r="AN54" s="21"/>
    </row>
    <row r="55" spans="1:50" ht="14.5">
      <c r="A55" s="141"/>
      <c r="B55" s="141"/>
      <c r="C55" s="141"/>
      <c r="D55" s="32">
        <f t="shared" si="6"/>
        <v>0.27000000000000007</v>
      </c>
      <c r="E55" s="67">
        <f t="shared" si="7"/>
        <v>0.74983035498973039</v>
      </c>
      <c r="F55" s="32">
        <f t="shared" si="4"/>
        <v>298.91406752943317</v>
      </c>
      <c r="G55" s="128">
        <f t="shared" si="8"/>
        <v>177.10174299065682</v>
      </c>
      <c r="H55" s="128">
        <f t="shared" si="9"/>
        <v>74.26549979493511</v>
      </c>
      <c r="I55" s="128">
        <f t="shared" ca="1" si="10"/>
        <v>1737.1949003559891</v>
      </c>
      <c r="J55" s="128">
        <f t="shared" ca="1" si="11"/>
        <v>1.0085055285670161</v>
      </c>
      <c r="K55" s="128">
        <f t="shared" si="12"/>
        <v>236.18908171980098</v>
      </c>
      <c r="L55" s="128">
        <f t="shared" ca="1" si="13"/>
        <v>9.9161863963660153</v>
      </c>
      <c r="M55" s="32">
        <f t="shared" ca="1" si="14"/>
        <v>712.005937984659</v>
      </c>
      <c r="N55" s="41">
        <f t="shared" si="5"/>
        <v>0.19843530000000006</v>
      </c>
      <c r="R55" s="21"/>
      <c r="AA55" s="38"/>
      <c r="AD55" s="21"/>
      <c r="AH55" s="2"/>
      <c r="AK55" s="21"/>
      <c r="AL55" s="21"/>
      <c r="AN55" s="21"/>
    </row>
    <row r="56" spans="1:50" ht="14.5">
      <c r="A56" s="141"/>
      <c r="B56" s="141"/>
      <c r="C56" s="141"/>
      <c r="D56" s="32">
        <f t="shared" si="6"/>
        <v>0.28000000000000008</v>
      </c>
      <c r="E56" s="67">
        <f t="shared" si="7"/>
        <v>0.75179817730820631</v>
      </c>
      <c r="F56" s="32">
        <f t="shared" si="4"/>
        <v>309.98495891941218</v>
      </c>
      <c r="G56" s="128">
        <f t="shared" si="8"/>
        <v>183.66106680512561</v>
      </c>
      <c r="H56" s="128">
        <f t="shared" si="9"/>
        <v>79.868521041466579</v>
      </c>
      <c r="I56" s="128">
        <f t="shared" ca="1" si="10"/>
        <v>1675.9770728278629</v>
      </c>
      <c r="J56" s="128">
        <f t="shared" ca="1" si="11"/>
        <v>0.93775577847621772</v>
      </c>
      <c r="K56" s="128">
        <f t="shared" si="12"/>
        <v>244.29570641248327</v>
      </c>
      <c r="L56" s="128">
        <f t="shared" ca="1" si="13"/>
        <v>10.278391463721274</v>
      </c>
      <c r="M56" s="32">
        <f t="shared" ca="1" si="14"/>
        <v>763.34366305339051</v>
      </c>
      <c r="N56" s="41">
        <f t="shared" si="5"/>
        <v>0.20534880000000005</v>
      </c>
      <c r="R56" s="21"/>
      <c r="AA56" s="38"/>
      <c r="AD56" s="21"/>
      <c r="AH56" s="2"/>
      <c r="AK56" s="21"/>
      <c r="AL56" s="21"/>
      <c r="AN56" s="21"/>
    </row>
    <row r="57" spans="1:50" ht="14.5">
      <c r="A57" s="141"/>
      <c r="B57" s="141"/>
      <c r="C57" s="141"/>
      <c r="D57" s="32">
        <f t="shared" si="6"/>
        <v>0.29000000000000009</v>
      </c>
      <c r="E57" s="67">
        <f t="shared" si="7"/>
        <v>0.75374903553711947</v>
      </c>
      <c r="F57" s="32">
        <f t="shared" si="4"/>
        <v>321.05585030939119</v>
      </c>
      <c r="G57" s="128">
        <f t="shared" si="8"/>
        <v>190.22039061959435</v>
      </c>
      <c r="H57" s="128">
        <f t="shared" si="9"/>
        <v>85.675288515144629</v>
      </c>
      <c r="I57" s="128">
        <f t="shared" ca="1" si="10"/>
        <v>1626.4597098971376</v>
      </c>
      <c r="J57" s="128">
        <f t="shared" ca="1" si="11"/>
        <v>0.87419801465559421</v>
      </c>
      <c r="K57" s="128">
        <f t="shared" si="12"/>
        <v>252.36568360454859</v>
      </c>
      <c r="L57" s="128">
        <f t="shared" ca="1" si="13"/>
        <v>10.591315809375889</v>
      </c>
      <c r="M57" s="32">
        <f t="shared" ca="1" si="14"/>
        <v>812.56728645643773</v>
      </c>
      <c r="N57" s="41">
        <f t="shared" si="5"/>
        <v>0.21221370000000006</v>
      </c>
      <c r="R57" s="21"/>
      <c r="AA57" s="38"/>
      <c r="AD57" s="21"/>
      <c r="AH57" s="2"/>
      <c r="AK57" s="21"/>
      <c r="AL57" s="21"/>
      <c r="AN57" s="21"/>
    </row>
    <row r="58" spans="1:50" ht="14.5">
      <c r="A58" s="141"/>
      <c r="B58" s="141"/>
      <c r="C58" s="141"/>
      <c r="D58" s="32">
        <f t="shared" si="6"/>
        <v>0.3000000000000001</v>
      </c>
      <c r="E58" s="67">
        <f t="shared" si="7"/>
        <v>0.75568299593620991</v>
      </c>
      <c r="F58" s="32">
        <f t="shared" si="4"/>
        <v>332.12674169937026</v>
      </c>
      <c r="G58" s="128">
        <f t="shared" si="8"/>
        <v>196.77971443406318</v>
      </c>
      <c r="H58" s="128">
        <f t="shared" si="9"/>
        <v>91.685802215969318</v>
      </c>
      <c r="I58" s="128">
        <f t="shared" ca="1" si="10"/>
        <v>1587.184536843507</v>
      </c>
      <c r="J58" s="128">
        <f t="shared" ca="1" si="11"/>
        <v>0.8168894781392827</v>
      </c>
      <c r="K58" s="128">
        <f t="shared" si="12"/>
        <v>260.39981777051139</v>
      </c>
      <c r="L58" s="128">
        <f t="shared" ca="1" si="13"/>
        <v>10.853399865528651</v>
      </c>
      <c r="M58" s="32">
        <f t="shared" ca="1" si="14"/>
        <v>859.18284287452423</v>
      </c>
      <c r="N58" s="41">
        <f t="shared" si="5"/>
        <v>0.21903000000000006</v>
      </c>
      <c r="R58" s="21"/>
      <c r="AA58" s="38"/>
      <c r="AD58" s="21"/>
      <c r="AH58" s="2"/>
      <c r="AK58" s="21"/>
      <c r="AL58" s="21"/>
      <c r="AN58" s="21"/>
    </row>
    <row r="59" spans="1:50" ht="14.5">
      <c r="A59" s="141"/>
      <c r="B59" s="141"/>
      <c r="C59" s="141"/>
      <c r="D59" s="32">
        <f t="shared" si="6"/>
        <v>0.31000000000000011</v>
      </c>
      <c r="E59" s="67">
        <f t="shared" si="7"/>
        <v>0.75760012429613288</v>
      </c>
      <c r="F59" s="32">
        <f t="shared" si="4"/>
        <v>343.19763308934927</v>
      </c>
      <c r="G59" s="128">
        <f t="shared" si="8"/>
        <v>203.33903824853195</v>
      </c>
      <c r="H59" s="128">
        <f t="shared" si="9"/>
        <v>97.900062143940559</v>
      </c>
      <c r="I59" s="128">
        <f t="shared" ca="1" si="10"/>
        <v>1556.9392528930105</v>
      </c>
      <c r="J59" s="128">
        <f t="shared" ca="1" si="11"/>
        <v>0.76503697224282474</v>
      </c>
      <c r="K59" s="128">
        <f t="shared" si="12"/>
        <v>268.39889768688874</v>
      </c>
      <c r="L59" s="128">
        <f t="shared" ca="1" si="13"/>
        <v>11.064239280201532</v>
      </c>
      <c r="M59" s="32">
        <f t="shared" ca="1" si="14"/>
        <v>902.7789071853831</v>
      </c>
      <c r="N59" s="41">
        <f t="shared" si="5"/>
        <v>0.22579770000000007</v>
      </c>
      <c r="R59" s="21"/>
      <c r="AA59" s="38"/>
      <c r="AD59" s="21"/>
      <c r="AH59" s="2"/>
      <c r="AK59" s="21"/>
      <c r="AL59" s="21"/>
      <c r="AN59" s="21"/>
    </row>
    <row r="60" spans="1:50" ht="14.5">
      <c r="A60" s="141"/>
      <c r="B60" s="141"/>
      <c r="C60" s="141"/>
      <c r="D60" s="32">
        <f t="shared" si="6"/>
        <v>0.32000000000000012</v>
      </c>
      <c r="E60" s="67">
        <f t="shared" si="7"/>
        <v>0.75950048593845787</v>
      </c>
      <c r="F60" s="32">
        <f t="shared" ref="F60:F91" si="15">SQRT((1.4*2116.22*$E$25*(D60)^2)/$I$25)</f>
        <v>354.26852447932822</v>
      </c>
      <c r="G60" s="128">
        <f t="shared" si="8"/>
        <v>209.89836206300069</v>
      </c>
      <c r="H60" s="128">
        <f t="shared" si="9"/>
        <v>104.3180682990584</v>
      </c>
      <c r="I60" s="128">
        <f t="shared" ca="1" si="10"/>
        <v>1534.7093970494382</v>
      </c>
      <c r="J60" s="128">
        <f t="shared" ca="1" si="11"/>
        <v>0.71796926789585425</v>
      </c>
      <c r="K60" s="128">
        <f t="shared" si="12"/>
        <v>276.36369686274134</v>
      </c>
      <c r="L60" s="128">
        <f t="shared" ca="1" si="13"/>
        <v>11.2245018319853</v>
      </c>
      <c r="M60" s="32">
        <f t="shared" ca="1" si="14"/>
        <v>943.03363933466449</v>
      </c>
      <c r="N60" s="41">
        <f t="shared" ref="N60:N91" si="16">-6.6*10^(-3) + 0.825*D60 - 0.243*(D60^2)</f>
        <v>0.23251680000000005</v>
      </c>
      <c r="R60" s="21"/>
      <c r="AA60" s="38"/>
      <c r="AD60" s="21"/>
      <c r="AH60" s="2"/>
      <c r="AK60" s="21"/>
      <c r="AL60" s="21"/>
      <c r="AN60" s="21"/>
    </row>
    <row r="61" spans="1:50" ht="14.5">
      <c r="A61" s="141"/>
      <c r="B61" s="141"/>
      <c r="C61" s="141"/>
      <c r="D61" s="32">
        <f t="shared" si="6"/>
        <v>0.33000000000000013</v>
      </c>
      <c r="E61" s="67">
        <f t="shared" si="7"/>
        <v>0.76138414571566926</v>
      </c>
      <c r="F61" s="32">
        <f t="shared" si="15"/>
        <v>365.33941586930729</v>
      </c>
      <c r="G61" s="128">
        <f t="shared" si="8"/>
        <v>216.45768587746952</v>
      </c>
      <c r="H61" s="128">
        <f t="shared" si="9"/>
        <v>110.93982068132287</v>
      </c>
      <c r="I61" s="128">
        <f t="shared" ca="1" si="10"/>
        <v>1519.6408502820586</v>
      </c>
      <c r="J61" s="128">
        <f t="shared" ca="1" si="11"/>
        <v>0.67511527118948989</v>
      </c>
      <c r="K61" s="128">
        <f t="shared" si="12"/>
        <v>284.2949739569483</v>
      </c>
      <c r="L61" s="128">
        <f t="shared" ca="1" si="13"/>
        <v>11.335802426967604</v>
      </c>
      <c r="M61" s="32">
        <f t="shared" ca="1" si="14"/>
        <v>979.71682419428021</v>
      </c>
      <c r="N61" s="41">
        <f t="shared" si="16"/>
        <v>0.2391873000000001</v>
      </c>
      <c r="R61" s="21"/>
      <c r="AA61" s="38"/>
      <c r="AD61" s="21"/>
      <c r="AH61" s="2"/>
      <c r="AK61" s="21"/>
      <c r="AL61" s="21"/>
      <c r="AN61" s="21"/>
    </row>
    <row r="62" spans="1:50" ht="14.5">
      <c r="A62" s="141"/>
      <c r="B62" s="141"/>
      <c r="C62" s="141"/>
      <c r="D62" s="32">
        <f t="shared" si="6"/>
        <v>0.34000000000000014</v>
      </c>
      <c r="E62" s="67">
        <f t="shared" si="7"/>
        <v>0.76325116801116633</v>
      </c>
      <c r="F62" s="32">
        <f t="shared" si="15"/>
        <v>376.41030725928624</v>
      </c>
      <c r="G62" s="128">
        <f t="shared" si="8"/>
        <v>223.01700969193823</v>
      </c>
      <c r="H62" s="128">
        <f t="shared" si="9"/>
        <v>117.76531929073388</v>
      </c>
      <c r="I62" s="128">
        <f t="shared" ca="1" si="10"/>
        <v>1511.0103714302202</v>
      </c>
      <c r="J62" s="128">
        <f t="shared" ca="1" si="11"/>
        <v>0.63598661792850752</v>
      </c>
      <c r="K62" s="128">
        <f t="shared" si="12"/>
        <v>292.193473182704</v>
      </c>
      <c r="L62" s="128">
        <f t="shared" ca="1" si="13"/>
        <v>11.400549436627081</v>
      </c>
      <c r="M62" s="32">
        <f t="shared" ca="1" si="14"/>
        <v>1012.6874062326175</v>
      </c>
      <c r="N62" s="41">
        <f t="shared" si="16"/>
        <v>0.24580920000000006</v>
      </c>
      <c r="R62" s="21"/>
      <c r="AA62" s="38"/>
      <c r="AD62" s="21"/>
      <c r="AH62" s="2"/>
      <c r="AK62" s="21"/>
      <c r="AL62" s="21"/>
      <c r="AN62" s="21"/>
    </row>
    <row r="63" spans="1:50" ht="14.5">
      <c r="A63" s="141"/>
      <c r="B63" s="141"/>
      <c r="C63" s="141"/>
      <c r="D63" s="32">
        <f t="shared" si="6"/>
        <v>0.35000000000000014</v>
      </c>
      <c r="E63" s="67">
        <f t="shared" si="7"/>
        <v>0.76510161673926314</v>
      </c>
      <c r="F63" s="32">
        <f t="shared" si="15"/>
        <v>387.48119864926525</v>
      </c>
      <c r="G63" s="128">
        <f t="shared" si="8"/>
        <v>229.57633350640702</v>
      </c>
      <c r="H63" s="128">
        <f t="shared" si="9"/>
        <v>124.79456412729152</v>
      </c>
      <c r="I63" s="128">
        <f t="shared" ca="1" si="10"/>
        <v>1508.2022590640454</v>
      </c>
      <c r="J63" s="128">
        <f t="shared" ca="1" si="11"/>
        <v>0.60016369822477944</v>
      </c>
      <c r="K63" s="128">
        <f t="shared" si="12"/>
        <v>300.05992469970653</v>
      </c>
      <c r="L63" s="128">
        <f t="shared" ca="1" si="13"/>
        <v>11.421776048417232</v>
      </c>
      <c r="M63" s="32">
        <f t="shared" ca="1" si="14"/>
        <v>1041.8873202007555</v>
      </c>
      <c r="N63" s="41">
        <f t="shared" si="16"/>
        <v>0.25238250000000012</v>
      </c>
      <c r="R63" s="21"/>
      <c r="AA63" s="38"/>
      <c r="AD63" s="21"/>
      <c r="AH63" s="2"/>
      <c r="AK63" s="21"/>
      <c r="AL63" s="21"/>
      <c r="AN63" s="21"/>
    </row>
    <row r="64" spans="1:50" ht="14.5">
      <c r="A64" s="141"/>
      <c r="B64" s="141"/>
      <c r="C64" s="141"/>
      <c r="D64" s="32">
        <f t="shared" si="6"/>
        <v>0.36000000000000015</v>
      </c>
      <c r="E64" s="67">
        <f t="shared" si="7"/>
        <v>0.76693555534518809</v>
      </c>
      <c r="F64" s="32">
        <f t="shared" si="15"/>
        <v>398.55209003924432</v>
      </c>
      <c r="G64" s="128">
        <f t="shared" si="8"/>
        <v>236.13565732087585</v>
      </c>
      <c r="H64" s="128">
        <f t="shared" si="9"/>
        <v>132.02755519099583</v>
      </c>
      <c r="I64" s="128">
        <f t="shared" ca="1" si="10"/>
        <v>1510.6897263006026</v>
      </c>
      <c r="J64" s="128">
        <f t="shared" ca="1" si="11"/>
        <v>0.56728435981894632</v>
      </c>
      <c r="K64" s="128">
        <f t="shared" si="12"/>
        <v>307.89504499448344</v>
      </c>
      <c r="L64" s="128">
        <f t="shared" ca="1" si="13"/>
        <v>11.402969212566626</v>
      </c>
      <c r="M64" s="32">
        <f t="shared" ca="1" si="14"/>
        <v>1067.3325835096603</v>
      </c>
      <c r="N64" s="41">
        <f t="shared" si="16"/>
        <v>0.25890720000000006</v>
      </c>
      <c r="R64" s="21"/>
      <c r="AA64" s="38"/>
      <c r="AD64" s="21"/>
      <c r="AH64" s="2"/>
      <c r="AK64" s="21"/>
      <c r="AL64" s="21"/>
      <c r="AN64" s="21"/>
    </row>
    <row r="65" spans="1:50" ht="14.5">
      <c r="A65" s="141"/>
      <c r="B65" s="141"/>
      <c r="C65" s="141"/>
      <c r="D65" s="32">
        <f t="shared" si="6"/>
        <v>0.37000000000000016</v>
      </c>
      <c r="E65" s="67">
        <f t="shared" si="7"/>
        <v>0.76875304680508472</v>
      </c>
      <c r="F65" s="32">
        <f t="shared" si="15"/>
        <v>409.62298142922333</v>
      </c>
      <c r="G65" s="128">
        <f t="shared" si="8"/>
        <v>242.69498113534459</v>
      </c>
      <c r="H65" s="128">
        <f t="shared" si="9"/>
        <v>139.46429248184666</v>
      </c>
      <c r="I65" s="128">
        <f t="shared" ca="1" si="10"/>
        <v>1518.0199318142736</v>
      </c>
      <c r="J65" s="128">
        <f t="shared" ca="1" si="11"/>
        <v>0.53703471901048538</v>
      </c>
      <c r="K65" s="128">
        <f t="shared" si="12"/>
        <v>315.69953724928683</v>
      </c>
      <c r="L65" s="128">
        <f t="shared" ca="1" si="13"/>
        <v>11.347906623438249</v>
      </c>
      <c r="M65" s="32">
        <f t="shared" ca="1" si="14"/>
        <v>1089.1026507457723</v>
      </c>
      <c r="N65" s="41">
        <f t="shared" si="16"/>
        <v>0.2653833000000001</v>
      </c>
      <c r="R65" s="21"/>
      <c r="AA65" s="38"/>
      <c r="AD65" s="21"/>
      <c r="AH65" s="2"/>
      <c r="AK65" s="21"/>
      <c r="AL65" s="21"/>
      <c r="AN65" s="21"/>
    </row>
    <row r="66" spans="1:50" ht="14.5">
      <c r="A66" s="141"/>
      <c r="B66" s="141"/>
      <c r="C66" s="141"/>
      <c r="D66" s="32">
        <f t="shared" si="6"/>
        <v>0.38000000000000017</v>
      </c>
      <c r="E66" s="67">
        <f t="shared" si="7"/>
        <v>0.77055415362601121</v>
      </c>
      <c r="F66" s="32">
        <f t="shared" si="15"/>
        <v>420.69387281920234</v>
      </c>
      <c r="G66" s="128">
        <f t="shared" si="8"/>
        <v>249.25430494981336</v>
      </c>
      <c r="H66" s="128">
        <f t="shared" si="9"/>
        <v>147.10477599984409</v>
      </c>
      <c r="I66" s="128">
        <f t="shared" ca="1" si="10"/>
        <v>1529.801869482304</v>
      </c>
      <c r="J66" s="128">
        <f t="shared" ca="1" si="11"/>
        <v>0.50914164149955299</v>
      </c>
      <c r="K66" s="128">
        <f t="shared" si="12"/>
        <v>323.4740916999703</v>
      </c>
      <c r="L66" s="128">
        <f t="shared" ca="1" si="13"/>
        <v>11.260509470142035</v>
      </c>
      <c r="M66" s="32">
        <f t="shared" ca="1" si="14"/>
        <v>1107.3289606973713</v>
      </c>
      <c r="N66" s="41">
        <f t="shared" si="16"/>
        <v>0.27181080000000007</v>
      </c>
      <c r="R66" s="21"/>
      <c r="AA66" s="38"/>
      <c r="AD66" s="21"/>
      <c r="AH66" s="2"/>
      <c r="AK66" s="21"/>
      <c r="AL66" s="21"/>
      <c r="AN66" s="21"/>
    </row>
    <row r="67" spans="1:50" ht="14.5">
      <c r="A67" s="141"/>
      <c r="B67" s="141"/>
      <c r="C67" s="141"/>
      <c r="D67" s="32">
        <f t="shared" si="6"/>
        <v>0.39000000000000018</v>
      </c>
      <c r="E67" s="67">
        <f t="shared" si="7"/>
        <v>0.77233893784594043</v>
      </c>
      <c r="F67" s="32">
        <f t="shared" si="15"/>
        <v>431.76476420918135</v>
      </c>
      <c r="G67" s="128">
        <f t="shared" si="8"/>
        <v>255.81362876428216</v>
      </c>
      <c r="H67" s="128">
        <f t="shared" si="9"/>
        <v>154.94900574498814</v>
      </c>
      <c r="I67" s="128">
        <f t="shared" ca="1" si="10"/>
        <v>1545.6965095664032</v>
      </c>
      <c r="J67" s="128">
        <f t="shared" ca="1" si="11"/>
        <v>0.48336655511200161</v>
      </c>
      <c r="K67" s="128">
        <f t="shared" si="12"/>
        <v>331.2193859832426</v>
      </c>
      <c r="L67" s="128">
        <f t="shared" ca="1" si="13"/>
        <v>11.144715881889898</v>
      </c>
      <c r="M67" s="32">
        <f t="shared" ca="1" si="14"/>
        <v>1122.1834649733603</v>
      </c>
      <c r="N67" s="41">
        <f t="shared" si="16"/>
        <v>0.2781897000000001</v>
      </c>
      <c r="R67" s="21"/>
      <c r="AA67" s="38"/>
      <c r="AD67" s="21"/>
      <c r="AH67" s="2"/>
      <c r="AK67" s="21"/>
      <c r="AL67" s="21"/>
      <c r="AN67" s="21"/>
    </row>
    <row r="68" spans="1:50" ht="14.5">
      <c r="A68" s="141"/>
      <c r="B68" s="141"/>
      <c r="C68" s="141"/>
      <c r="D68" s="32">
        <f t="shared" si="6"/>
        <v>0.40000000000000019</v>
      </c>
      <c r="E68" s="67">
        <f t="shared" si="7"/>
        <v>0.77410746103375994</v>
      </c>
      <c r="F68" s="32">
        <f t="shared" si="15"/>
        <v>442.83565559916036</v>
      </c>
      <c r="G68" s="128">
        <f t="shared" si="8"/>
        <v>262.37295257875093</v>
      </c>
      <c r="H68" s="128">
        <f t="shared" si="9"/>
        <v>162.9969817172788</v>
      </c>
      <c r="I68" s="128">
        <f t="shared" ca="1" si="10"/>
        <v>1565.4087255783202</v>
      </c>
      <c r="J68" s="128">
        <f t="shared" ca="1" si="11"/>
        <v>0.45950033145334646</v>
      </c>
      <c r="K68" s="128">
        <f t="shared" si="12"/>
        <v>338.93608547367876</v>
      </c>
      <c r="L68" s="128">
        <f t="shared" ca="1" si="13"/>
        <v>11.004377423782675</v>
      </c>
      <c r="M68" s="32">
        <f t="shared" ca="1" si="14"/>
        <v>1133.8677491655287</v>
      </c>
      <c r="N68" s="41">
        <f t="shared" si="16"/>
        <v>0.28452000000000011</v>
      </c>
      <c r="R68" s="21"/>
      <c r="AA68" s="38"/>
      <c r="AD68" s="21"/>
      <c r="AH68" s="2"/>
      <c r="AK68" s="21"/>
      <c r="AL68" s="21"/>
      <c r="AN68" s="21"/>
    </row>
    <row r="69" spans="1:50" ht="14.5">
      <c r="A69" s="141"/>
      <c r="B69" s="141"/>
      <c r="C69" s="141"/>
      <c r="D69" s="32">
        <f t="shared" si="6"/>
        <v>0.4100000000000002</v>
      </c>
      <c r="E69" s="67">
        <f t="shared" si="7"/>
        <v>0.77585978428927238</v>
      </c>
      <c r="F69" s="32">
        <f t="shared" si="15"/>
        <v>453.90654698913937</v>
      </c>
      <c r="G69" s="128">
        <f t="shared" si="8"/>
        <v>268.93227639321969</v>
      </c>
      <c r="H69" s="128">
        <f t="shared" si="9"/>
        <v>171.24870391671604</v>
      </c>
      <c r="I69" s="128">
        <f t="shared" ca="1" si="10"/>
        <v>1588.6806466424059</v>
      </c>
      <c r="J69" s="128">
        <f t="shared" ca="1" si="11"/>
        <v>0.43735903053263203</v>
      </c>
      <c r="K69" s="128">
        <f t="shared" si="12"/>
        <v>346.62484361085365</v>
      </c>
      <c r="L69" s="128">
        <f t="shared" ca="1" si="13"/>
        <v>10.843178882523349</v>
      </c>
      <c r="M69" s="32">
        <f t="shared" ca="1" si="14"/>
        <v>1142.6031719495786</v>
      </c>
      <c r="N69" s="41">
        <f t="shared" si="16"/>
        <v>0.29080170000000011</v>
      </c>
      <c r="R69" s="21"/>
      <c r="AA69" s="38"/>
      <c r="AD69" s="21"/>
      <c r="AH69" s="2"/>
      <c r="AK69" s="21"/>
      <c r="AL69" s="21"/>
      <c r="AN69" s="21"/>
      <c r="AT69" s="18"/>
      <c r="AU69" s="18"/>
      <c r="AV69" s="19"/>
      <c r="AW69" s="19"/>
      <c r="AX69" s="19"/>
    </row>
    <row r="70" spans="1:50" ht="14.5">
      <c r="A70" s="141"/>
      <c r="B70" s="141"/>
      <c r="C70" s="141"/>
      <c r="D70" s="32">
        <f t="shared" si="6"/>
        <v>0.42000000000000021</v>
      </c>
      <c r="E70" s="67">
        <f t="shared" si="7"/>
        <v>0.77759596824319455</v>
      </c>
      <c r="F70" s="32">
        <f t="shared" si="15"/>
        <v>464.97743837911838</v>
      </c>
      <c r="G70" s="128">
        <f t="shared" si="8"/>
        <v>275.49160020768846</v>
      </c>
      <c r="H70" s="128">
        <f t="shared" si="9"/>
        <v>179.70417234329986</v>
      </c>
      <c r="I70" s="128">
        <f t="shared" ca="1" si="10"/>
        <v>1615.2861548661488</v>
      </c>
      <c r="J70" s="128">
        <f t="shared" ca="1" si="11"/>
        <v>0.41678034598943003</v>
      </c>
      <c r="K70" s="128">
        <f t="shared" si="12"/>
        <v>354.28630221694766</v>
      </c>
      <c r="L70" s="128">
        <f t="shared" ca="1" si="13"/>
        <v>10.664580010700297</v>
      </c>
      <c r="M70" s="32">
        <f t="shared" ca="1" si="14"/>
        <v>1148.6222760441099</v>
      </c>
      <c r="N70" s="41">
        <f t="shared" si="16"/>
        <v>0.2970348000000001</v>
      </c>
      <c r="R70" s="21"/>
      <c r="AA70" s="38"/>
      <c r="AD70" s="21"/>
      <c r="AH70" s="2"/>
      <c r="AK70" s="21"/>
      <c r="AL70" s="21"/>
      <c r="AN70" s="21"/>
    </row>
    <row r="71" spans="1:50" ht="14.5">
      <c r="A71" s="141"/>
      <c r="B71" s="141"/>
      <c r="C71" s="141"/>
      <c r="D71" s="32">
        <f t="shared" si="6"/>
        <v>0.43000000000000022</v>
      </c>
      <c r="E71" s="67">
        <f t="shared" si="7"/>
        <v>0.77931607305715855</v>
      </c>
      <c r="F71" s="32">
        <f t="shared" si="15"/>
        <v>476.04832976909739</v>
      </c>
      <c r="G71" s="128">
        <f t="shared" si="8"/>
        <v>282.05092402215729</v>
      </c>
      <c r="H71" s="128">
        <f t="shared" si="9"/>
        <v>188.36338699703029</v>
      </c>
      <c r="I71" s="128">
        <f t="shared" ca="1" si="10"/>
        <v>1645.0263078095352</v>
      </c>
      <c r="J71" s="128">
        <f t="shared" ca="1" si="11"/>
        <v>0.39762062213377747</v>
      </c>
      <c r="K71" s="128">
        <f t="shared" si="12"/>
        <v>361.92109180516081</v>
      </c>
      <c r="L71" s="128">
        <f t="shared" ca="1" si="13"/>
        <v>10.471776868835935</v>
      </c>
      <c r="M71" s="32">
        <f t="shared" ca="1" si="14"/>
        <v>1152.1615805818371</v>
      </c>
      <c r="N71" s="41">
        <f t="shared" si="16"/>
        <v>0.30321930000000014</v>
      </c>
      <c r="R71" s="21"/>
      <c r="AA71" s="38"/>
      <c r="AD71" s="21"/>
      <c r="AH71" s="2"/>
      <c r="AK71" s="21"/>
      <c r="AL71" s="21"/>
      <c r="AN71" s="21"/>
    </row>
    <row r="72" spans="1:50" ht="14.5">
      <c r="A72" s="141"/>
      <c r="B72" s="141"/>
      <c r="C72" s="141"/>
      <c r="D72" s="32">
        <f t="shared" si="6"/>
        <v>0.44000000000000022</v>
      </c>
      <c r="E72" s="67">
        <f t="shared" si="7"/>
        <v>0.78102015842371098</v>
      </c>
      <c r="F72" s="32">
        <f t="shared" si="15"/>
        <v>487.1192211590764</v>
      </c>
      <c r="G72" s="128">
        <f t="shared" si="8"/>
        <v>288.610247836626</v>
      </c>
      <c r="H72" s="128">
        <f t="shared" si="9"/>
        <v>197.22634787790736</v>
      </c>
      <c r="I72" s="128">
        <f t="shared" ca="1" si="10"/>
        <v>1677.7255125310826</v>
      </c>
      <c r="J72" s="128">
        <f t="shared" ca="1" si="11"/>
        <v>0.37975234004408798</v>
      </c>
      <c r="K72" s="128">
        <f t="shared" si="12"/>
        <v>369.52983187925884</v>
      </c>
      <c r="L72" s="128">
        <f t="shared" ca="1" si="13"/>
        <v>10.267679849940487</v>
      </c>
      <c r="M72" s="32">
        <f t="shared" ca="1" si="14"/>
        <v>1153.4557528023508</v>
      </c>
      <c r="N72" s="41">
        <f t="shared" si="16"/>
        <v>0.30935520000000011</v>
      </c>
      <c r="R72" s="21"/>
      <c r="AA72" s="38"/>
      <c r="AD72" s="21"/>
      <c r="AH72" s="2"/>
      <c r="AK72" s="21"/>
      <c r="AL72" s="21"/>
      <c r="AN72" s="21"/>
    </row>
    <row r="73" spans="1:50" ht="14.5">
      <c r="A73" s="141"/>
      <c r="B73" s="141"/>
      <c r="C73" s="141"/>
      <c r="D73" s="32">
        <f t="shared" si="6"/>
        <v>0.45000000000000023</v>
      </c>
      <c r="E73" s="67">
        <f t="shared" si="7"/>
        <v>0.78270828356631317</v>
      </c>
      <c r="F73" s="32">
        <f t="shared" si="15"/>
        <v>498.19011254905541</v>
      </c>
      <c r="G73" s="128">
        <f t="shared" si="8"/>
        <v>295.16957165109477</v>
      </c>
      <c r="H73" s="128">
        <f t="shared" si="9"/>
        <v>206.29305498593098</v>
      </c>
      <c r="I73" s="128">
        <f t="shared" ca="1" si="10"/>
        <v>1713.2283134553829</v>
      </c>
      <c r="J73" s="128">
        <f t="shared" ca="1" si="11"/>
        <v>0.36306199028412567</v>
      </c>
      <c r="K73" s="128">
        <f t="shared" si="12"/>
        <v>377.11313122456204</v>
      </c>
      <c r="L73" s="128">
        <f t="shared" ca="1" si="13"/>
        <v>10.054905293972714</v>
      </c>
      <c r="M73" s="32">
        <f t="shared" ca="1" si="14"/>
        <v>1152.7330780907523</v>
      </c>
      <c r="N73" s="41">
        <f t="shared" si="16"/>
        <v>0.31544250000000013</v>
      </c>
      <c r="R73" s="21"/>
      <c r="AA73" s="38"/>
      <c r="AD73" s="21"/>
      <c r="AH73" s="2"/>
      <c r="AK73" s="21"/>
      <c r="AL73" s="21"/>
      <c r="AN73" s="21"/>
    </row>
    <row r="74" spans="1:50" ht="14.5">
      <c r="A74" s="141"/>
      <c r="B74" s="141"/>
      <c r="C74" s="141"/>
      <c r="D74" s="32">
        <f t="shared" si="6"/>
        <v>0.46000000000000024</v>
      </c>
      <c r="E74" s="67">
        <f t="shared" si="7"/>
        <v>0.78438050723934116</v>
      </c>
      <c r="F74" s="32">
        <f t="shared" si="15"/>
        <v>509.26100393903442</v>
      </c>
      <c r="G74" s="128">
        <f t="shared" si="8"/>
        <v>301.72889546556354</v>
      </c>
      <c r="H74" s="128">
        <f t="shared" si="9"/>
        <v>215.56350832110121</v>
      </c>
      <c r="I74" s="128">
        <f t="shared" ca="1" si="10"/>
        <v>1751.3966840680307</v>
      </c>
      <c r="J74" s="128">
        <f t="shared" ca="1" si="11"/>
        <v>0.34744826574922233</v>
      </c>
      <c r="K74" s="128">
        <f t="shared" si="12"/>
        <v>384.67158819067362</v>
      </c>
      <c r="L74" s="128">
        <f t="shared" ca="1" si="13"/>
        <v>9.8357776941396438</v>
      </c>
      <c r="M74" s="32">
        <f t="shared" ca="1" si="14"/>
        <v>1150.2120977394484</v>
      </c>
      <c r="N74" s="41">
        <f t="shared" si="16"/>
        <v>0.32148120000000013</v>
      </c>
      <c r="R74" s="21"/>
      <c r="AA74" s="38"/>
      <c r="AD74" s="21"/>
      <c r="AH74" s="2"/>
      <c r="AK74" s="21"/>
      <c r="AL74" s="21"/>
      <c r="AN74" s="21"/>
    </row>
    <row r="75" spans="1:50" ht="14.5">
      <c r="A75" s="141"/>
      <c r="B75" s="141"/>
      <c r="C75" s="141"/>
      <c r="D75" s="32">
        <f t="shared" si="6"/>
        <v>0.47000000000000025</v>
      </c>
      <c r="E75" s="67">
        <f t="shared" si="7"/>
        <v>0.78603688772808578</v>
      </c>
      <c r="F75" s="32">
        <f t="shared" si="15"/>
        <v>520.33189532901349</v>
      </c>
      <c r="G75" s="128">
        <f t="shared" si="8"/>
        <v>308.28821928003237</v>
      </c>
      <c r="H75" s="128">
        <f t="shared" si="9"/>
        <v>225.03770788341808</v>
      </c>
      <c r="I75" s="128">
        <f t="shared" ca="1" si="10"/>
        <v>1792.1077341264104</v>
      </c>
      <c r="J75" s="128">
        <f t="shared" ca="1" si="11"/>
        <v>0.33282052074484125</v>
      </c>
      <c r="K75" s="128">
        <f t="shared" si="12"/>
        <v>392.20579096623607</v>
      </c>
      <c r="L75" s="128">
        <f t="shared" ca="1" si="13"/>
        <v>9.6123397665842418</v>
      </c>
      <c r="M75" s="32">
        <f t="shared" ca="1" si="14"/>
        <v>1146.0992580712714</v>
      </c>
      <c r="N75" s="41">
        <f t="shared" si="16"/>
        <v>0.32747130000000013</v>
      </c>
      <c r="R75" s="21"/>
      <c r="AA75" s="38"/>
      <c r="AD75" s="21"/>
      <c r="AH75" s="2"/>
      <c r="AK75" s="21"/>
      <c r="AL75" s="21"/>
      <c r="AN75" s="21"/>
    </row>
    <row r="76" spans="1:50" ht="14.5">
      <c r="A76" s="141"/>
      <c r="B76" s="141"/>
      <c r="C76" s="141"/>
      <c r="D76" s="32">
        <f t="shared" si="6"/>
        <v>0.48000000000000026</v>
      </c>
      <c r="E76" s="67">
        <f t="shared" si="7"/>
        <v>0.78767748284875283</v>
      </c>
      <c r="F76" s="32">
        <f t="shared" si="15"/>
        <v>531.40278671899239</v>
      </c>
      <c r="G76" s="128">
        <f t="shared" si="8"/>
        <v>314.84754309450108</v>
      </c>
      <c r="H76" s="128">
        <f t="shared" si="9"/>
        <v>234.71565367288142</v>
      </c>
      <c r="I76" s="128">
        <f t="shared" ca="1" si="10"/>
        <v>1835.2517611113096</v>
      </c>
      <c r="J76" s="128">
        <f t="shared" ca="1" si="11"/>
        <v>0.3190974523981574</v>
      </c>
      <c r="K76" s="128">
        <f t="shared" si="12"/>
        <v>399.71631784598958</v>
      </c>
      <c r="L76" s="128">
        <f t="shared" ca="1" si="13"/>
        <v>9.3863680197834611</v>
      </c>
      <c r="M76" s="32">
        <f t="shared" ca="1" si="14"/>
        <v>1140.5874069087442</v>
      </c>
      <c r="N76" s="41">
        <f t="shared" si="16"/>
        <v>0.33341280000000012</v>
      </c>
      <c r="R76" s="21"/>
      <c r="AA76" s="38"/>
      <c r="AD76" s="21"/>
      <c r="AH76" s="2"/>
      <c r="AK76" s="21"/>
      <c r="AL76" s="21"/>
      <c r="AN76" s="21"/>
    </row>
    <row r="77" spans="1:50" ht="14.5">
      <c r="A77" s="141"/>
      <c r="B77" s="141"/>
      <c r="C77" s="141"/>
      <c r="D77" s="32">
        <f t="shared" si="6"/>
        <v>0.49000000000000027</v>
      </c>
      <c r="E77" s="67">
        <f t="shared" si="7"/>
        <v>0.7893023499484626</v>
      </c>
      <c r="F77" s="32">
        <f t="shared" si="15"/>
        <v>542.47367810897151</v>
      </c>
      <c r="G77" s="128">
        <f t="shared" si="8"/>
        <v>321.4068669089699</v>
      </c>
      <c r="H77" s="128">
        <f t="shared" si="9"/>
        <v>244.59734568949156</v>
      </c>
      <c r="I77" s="128">
        <f t="shared" ca="1" si="10"/>
        <v>1880.7305881065649</v>
      </c>
      <c r="J77" s="128">
        <f t="shared" ca="1" si="11"/>
        <v>0.30620596848203008</v>
      </c>
      <c r="K77" s="128">
        <f t="shared" si="12"/>
        <v>407.20373749040039</v>
      </c>
      <c r="L77" s="128">
        <f t="shared" ca="1" si="13"/>
        <v>9.1593918595694177</v>
      </c>
      <c r="M77" s="32">
        <f t="shared" ca="1" si="14"/>
        <v>1133.8549783470912</v>
      </c>
      <c r="N77" s="41">
        <f t="shared" si="16"/>
        <v>0.33930570000000015</v>
      </c>
      <c r="R77" s="21"/>
      <c r="AA77" s="38"/>
      <c r="AD77" s="21"/>
      <c r="AH77" s="2"/>
      <c r="AK77" s="21"/>
      <c r="AL77" s="21"/>
      <c r="AN77" s="21"/>
    </row>
    <row r="78" spans="1:50" ht="14.5">
      <c r="A78" s="141"/>
      <c r="B78" s="141"/>
      <c r="C78" s="141"/>
      <c r="D78" s="32">
        <f t="shared" si="6"/>
        <v>0.50000000000000022</v>
      </c>
      <c r="E78" s="67">
        <f t="shared" si="7"/>
        <v>0.79091154590524992</v>
      </c>
      <c r="F78" s="32">
        <f t="shared" si="15"/>
        <v>553.54456949895041</v>
      </c>
      <c r="G78" s="128">
        <f t="shared" si="8"/>
        <v>327.96619072343861</v>
      </c>
      <c r="H78" s="128">
        <f t="shared" si="9"/>
        <v>254.68278393324806</v>
      </c>
      <c r="I78" s="128">
        <f t="shared" ca="1" si="10"/>
        <v>1928.456140989641</v>
      </c>
      <c r="J78" s="128">
        <f t="shared" ca="1" si="11"/>
        <v>0.29408021213014185</v>
      </c>
      <c r="K78" s="128">
        <f t="shared" si="12"/>
        <v>414.66860917810965</v>
      </c>
      <c r="L78" s="128">
        <f t="shared" ca="1" si="13"/>
        <v>8.932714658424274</v>
      </c>
      <c r="M78" s="32">
        <f t="shared" ca="1" si="14"/>
        <v>1126.0657197502012</v>
      </c>
      <c r="N78" s="41">
        <f t="shared" si="16"/>
        <v>0.34515000000000007</v>
      </c>
      <c r="R78" s="21"/>
      <c r="AA78" s="38"/>
      <c r="AD78" s="21"/>
      <c r="AH78" s="2"/>
      <c r="AK78" s="21"/>
      <c r="AL78" s="21"/>
      <c r="AN78" s="21"/>
    </row>
    <row r="79" spans="1:50" ht="14.5">
      <c r="A79" s="141"/>
      <c r="B79" s="141"/>
      <c r="C79" s="141"/>
      <c r="D79" s="32">
        <f t="shared" si="6"/>
        <v>0.51000000000000023</v>
      </c>
      <c r="E79" s="67">
        <f t="shared" si="7"/>
        <v>0.79250512712806498</v>
      </c>
      <c r="F79" s="32">
        <f t="shared" si="15"/>
        <v>564.61546088892942</v>
      </c>
      <c r="G79" s="128">
        <f t="shared" si="8"/>
        <v>334.52551453790738</v>
      </c>
      <c r="H79" s="128">
        <f t="shared" si="9"/>
        <v>264.97196840415131</v>
      </c>
      <c r="I79" s="128">
        <f t="shared" ca="1" si="10"/>
        <v>1978.3492263579913</v>
      </c>
      <c r="J79" s="128">
        <f t="shared" ca="1" si="11"/>
        <v>0.2826607190793366</v>
      </c>
      <c r="K79" s="128">
        <f t="shared" si="12"/>
        <v>422.11148305145247</v>
      </c>
      <c r="L79" s="128">
        <f t="shared" ca="1" si="13"/>
        <v>8.7074355777210428</v>
      </c>
      <c r="M79" s="32">
        <f t="shared" ca="1" si="14"/>
        <v>1117.3688321931959</v>
      </c>
      <c r="N79" s="41">
        <f t="shared" si="16"/>
        <v>0.35094570000000014</v>
      </c>
      <c r="R79" s="21"/>
      <c r="AA79" s="38"/>
      <c r="AD79" s="21"/>
      <c r="AH79" s="2"/>
      <c r="AK79" s="21"/>
      <c r="AL79" s="21"/>
      <c r="AN79" s="21"/>
    </row>
    <row r="80" spans="1:50" ht="14.5">
      <c r="A80" s="141"/>
      <c r="B80" s="141"/>
      <c r="C80" s="141"/>
      <c r="D80" s="32">
        <f t="shared" si="6"/>
        <v>0.52000000000000024</v>
      </c>
      <c r="E80" s="67">
        <f t="shared" si="7"/>
        <v>0.79408314955677195</v>
      </c>
      <c r="F80" s="32">
        <f t="shared" si="15"/>
        <v>575.68635227890843</v>
      </c>
      <c r="G80" s="128">
        <f t="shared" si="8"/>
        <v>341.08483835237621</v>
      </c>
      <c r="H80" s="128">
        <f t="shared" si="9"/>
        <v>275.46489910220112</v>
      </c>
      <c r="I80" s="128">
        <f t="shared" ca="1" si="10"/>
        <v>2030.3384784715156</v>
      </c>
      <c r="J80" s="128">
        <f t="shared" ca="1" si="11"/>
        <v>0.27189368725050095</v>
      </c>
      <c r="K80" s="128">
        <f t="shared" si="12"/>
        <v>429.5329003552805</v>
      </c>
      <c r="L80" s="128">
        <f t="shared" ca="1" si="13"/>
        <v>8.4844712452649063</v>
      </c>
      <c r="M80" s="32">
        <f t="shared" ca="1" si="14"/>
        <v>1107.8994145485756</v>
      </c>
      <c r="N80" s="41">
        <f t="shared" si="16"/>
        <v>0.35669280000000009</v>
      </c>
      <c r="R80" s="21"/>
      <c r="AA80" s="38"/>
      <c r="AD80" s="21"/>
      <c r="AH80" s="2"/>
      <c r="AK80" s="21"/>
      <c r="AL80" s="21"/>
      <c r="AN80" s="21"/>
    </row>
    <row r="81" spans="1:40" ht="14.5">
      <c r="A81" s="141"/>
      <c r="B81" s="141"/>
      <c r="C81" s="141"/>
      <c r="D81" s="32">
        <f t="shared" si="6"/>
        <v>0.53000000000000025</v>
      </c>
      <c r="E81" s="67">
        <f t="shared" si="7"/>
        <v>0.7956456686621507</v>
      </c>
      <c r="F81" s="32">
        <f t="shared" si="15"/>
        <v>586.75724366888744</v>
      </c>
      <c r="G81" s="128">
        <f t="shared" si="8"/>
        <v>347.64416216684492</v>
      </c>
      <c r="H81" s="128">
        <f t="shared" si="9"/>
        <v>286.16157602739753</v>
      </c>
      <c r="I81" s="128">
        <f t="shared" ca="1" si="10"/>
        <v>2084.3594490198934</v>
      </c>
      <c r="J81" s="128">
        <f t="shared" ca="1" si="11"/>
        <v>0.26173034187445876</v>
      </c>
      <c r="K81" s="128">
        <f t="shared" si="12"/>
        <v>436.93339366931508</v>
      </c>
      <c r="L81" s="128">
        <f t="shared" ca="1" si="13"/>
        <v>8.2645766529600451</v>
      </c>
      <c r="M81" s="32">
        <f t="shared" ca="1" si="14"/>
        <v>1097.7791202303069</v>
      </c>
      <c r="N81" s="41">
        <f t="shared" si="16"/>
        <v>0.36239130000000014</v>
      </c>
      <c r="R81" s="21"/>
      <c r="AA81" s="38"/>
      <c r="AD81" s="21"/>
      <c r="AH81" s="2"/>
      <c r="AK81" s="21"/>
      <c r="AL81" s="21"/>
      <c r="AN81" s="21"/>
    </row>
    <row r="82" spans="1:40" ht="14.5">
      <c r="A82" s="141"/>
      <c r="B82" s="141"/>
      <c r="C82" s="141"/>
      <c r="D82" s="32">
        <f t="shared" si="6"/>
        <v>0.54000000000000026</v>
      </c>
      <c r="E82" s="67">
        <f t="shared" si="7"/>
        <v>0.79719273944589464</v>
      </c>
      <c r="F82" s="32">
        <f t="shared" si="15"/>
        <v>597.82813505886645</v>
      </c>
      <c r="G82" s="128">
        <f t="shared" si="8"/>
        <v>354.20348598131369</v>
      </c>
      <c r="H82" s="128">
        <f t="shared" si="9"/>
        <v>297.06199917974055</v>
      </c>
      <c r="I82" s="128">
        <f t="shared" ca="1" si="10"/>
        <v>2140.3538180017849</v>
      </c>
      <c r="J82" s="128">
        <f t="shared" ca="1" si="11"/>
        <v>0.25212638214175398</v>
      </c>
      <c r="K82" s="128">
        <f t="shared" si="12"/>
        <v>444.31348713425336</v>
      </c>
      <c r="L82" s="128">
        <f t="shared" ca="1" si="13"/>
        <v>8.0483648515780626</v>
      </c>
      <c r="M82" s="32">
        <f t="shared" ca="1" si="14"/>
        <v>1087.1169531319138</v>
      </c>
      <c r="N82" s="41">
        <f t="shared" si="16"/>
        <v>0.36804120000000012</v>
      </c>
      <c r="R82" s="21"/>
      <c r="AA82" s="38"/>
      <c r="AD82" s="21"/>
      <c r="AH82" s="2"/>
      <c r="AK82" s="21"/>
      <c r="AL82" s="21"/>
      <c r="AN82" s="21"/>
    </row>
    <row r="83" spans="1:40" ht="14.5">
      <c r="A83" s="141"/>
      <c r="B83" s="141"/>
      <c r="C83" s="141"/>
      <c r="D83" s="32">
        <f t="shared" si="6"/>
        <v>0.55000000000000027</v>
      </c>
      <c r="E83" s="67">
        <f t="shared" si="7"/>
        <v>0.79872441644061321</v>
      </c>
      <c r="F83" s="32">
        <f t="shared" si="15"/>
        <v>608.89902644884546</v>
      </c>
      <c r="G83" s="128">
        <f t="shared" si="8"/>
        <v>360.76280979578252</v>
      </c>
      <c r="H83" s="128">
        <f t="shared" si="9"/>
        <v>308.16616855923013</v>
      </c>
      <c r="I83" s="128">
        <f t="shared" ca="1" si="10"/>
        <v>2198.2687076464795</v>
      </c>
      <c r="J83" s="128">
        <f t="shared" ca="1" si="11"/>
        <v>0.24304149762821642</v>
      </c>
      <c r="K83" s="128">
        <f t="shared" si="12"/>
        <v>451.67369667183073</v>
      </c>
      <c r="L83" s="128">
        <f t="shared" ca="1" si="13"/>
        <v>7.8363251857364729</v>
      </c>
      <c r="M83" s="32">
        <f t="shared" ca="1" si="14"/>
        <v>1076.0101448970051</v>
      </c>
      <c r="N83" s="41">
        <f t="shared" si="16"/>
        <v>0.37364250000000016</v>
      </c>
      <c r="R83" s="21"/>
      <c r="AA83" s="38"/>
      <c r="AD83" s="21"/>
      <c r="AH83" s="2"/>
      <c r="AK83" s="21"/>
      <c r="AL83" s="21"/>
      <c r="AN83" s="21"/>
    </row>
    <row r="84" spans="1:40" ht="14.5">
      <c r="A84" s="141"/>
      <c r="B84" s="141"/>
      <c r="C84" s="141"/>
      <c r="D84" s="32">
        <f t="shared" si="6"/>
        <v>0.56000000000000028</v>
      </c>
      <c r="E84" s="67">
        <f t="shared" si="7"/>
        <v>0.80024075370982939</v>
      </c>
      <c r="F84" s="32">
        <f t="shared" si="15"/>
        <v>619.96991783882447</v>
      </c>
      <c r="G84" s="128">
        <f t="shared" si="8"/>
        <v>367.32213361025129</v>
      </c>
      <c r="H84" s="128">
        <f t="shared" si="9"/>
        <v>319.47408416586637</v>
      </c>
      <c r="I84" s="128">
        <f t="shared" ca="1" si="10"/>
        <v>2258.0560842853215</v>
      </c>
      <c r="J84" s="128">
        <f t="shared" ca="1" si="11"/>
        <v>0.2344389446190544</v>
      </c>
      <c r="K84" s="128">
        <f t="shared" si="12"/>
        <v>459.01453019905034</v>
      </c>
      <c r="L84" s="128">
        <f t="shared" ca="1" si="13"/>
        <v>7.6288399383129768</v>
      </c>
      <c r="M84" s="32">
        <f t="shared" ca="1" si="14"/>
        <v>1064.5450690871241</v>
      </c>
      <c r="N84" s="41">
        <f t="shared" si="16"/>
        <v>0.37919520000000012</v>
      </c>
      <c r="R84" s="21"/>
      <c r="AA84" s="38"/>
      <c r="AD84" s="21"/>
      <c r="AH84" s="2"/>
      <c r="AK84" s="21"/>
      <c r="AL84" s="21"/>
      <c r="AN84" s="21"/>
    </row>
    <row r="85" spans="1:40" ht="14.5">
      <c r="A85" s="141"/>
      <c r="B85" s="141"/>
      <c r="C85" s="141"/>
      <c r="D85" s="32">
        <f t="shared" si="6"/>
        <v>0.57000000000000028</v>
      </c>
      <c r="E85" s="67">
        <f t="shared" si="7"/>
        <v>0.80174180484798174</v>
      </c>
      <c r="F85" s="32">
        <f t="shared" si="15"/>
        <v>631.04080922880348</v>
      </c>
      <c r="G85" s="128">
        <f t="shared" si="8"/>
        <v>373.88145742472011</v>
      </c>
      <c r="H85" s="128">
        <f t="shared" si="9"/>
        <v>330.98574599964923</v>
      </c>
      <c r="I85" s="128">
        <f t="shared" ca="1" si="10"/>
        <v>2319.672235522014</v>
      </c>
      <c r="J85" s="128">
        <f t="shared" ca="1" si="11"/>
        <v>0.22628517399980133</v>
      </c>
      <c r="K85" s="128">
        <f t="shared" si="12"/>
        <v>466.33648783676904</v>
      </c>
      <c r="L85" s="128">
        <f t="shared" ca="1" si="13"/>
        <v>7.4261993461631848</v>
      </c>
      <c r="M85" s="32">
        <f t="shared" ca="1" si="14"/>
        <v>1052.798159048815</v>
      </c>
      <c r="N85" s="41">
        <f t="shared" si="16"/>
        <v>0.38469930000000019</v>
      </c>
      <c r="R85" s="21"/>
      <c r="AA85" s="38"/>
      <c r="AD85" s="21"/>
      <c r="AH85" s="2"/>
      <c r="AK85" s="21"/>
      <c r="AL85" s="21"/>
      <c r="AN85" s="21"/>
    </row>
    <row r="86" spans="1:40" ht="14.5">
      <c r="A86" s="141"/>
      <c r="B86" s="141"/>
      <c r="C86" s="141"/>
      <c r="D86" s="32">
        <f t="shared" si="6"/>
        <v>0.58000000000000029</v>
      </c>
      <c r="E86" s="67">
        <f t="shared" si="7"/>
        <v>0.80322762298042327</v>
      </c>
      <c r="F86" s="32">
        <f t="shared" si="15"/>
        <v>642.11170061878261</v>
      </c>
      <c r="G86" s="128">
        <f t="shared" si="8"/>
        <v>380.44078123918888</v>
      </c>
      <c r="H86" s="128">
        <f t="shared" si="9"/>
        <v>342.7011540605788</v>
      </c>
      <c r="I86" s="128">
        <f t="shared" ca="1" si="10"/>
        <v>2383.0773120615795</v>
      </c>
      <c r="J86" s="128">
        <f t="shared" ca="1" si="11"/>
        <v>0.21854950366389839</v>
      </c>
      <c r="K86" s="128">
        <f t="shared" si="12"/>
        <v>473.64006211283049</v>
      </c>
      <c r="L86" s="128">
        <f t="shared" ca="1" si="13"/>
        <v>7.2286150145267882</v>
      </c>
      <c r="M86" s="32">
        <f t="shared" ca="1" si="14"/>
        <v>1040.8368054653467</v>
      </c>
      <c r="N86" s="41">
        <f t="shared" si="16"/>
        <v>0.39015480000000013</v>
      </c>
      <c r="R86" s="21"/>
      <c r="AA86" s="38"/>
      <c r="AD86" s="21"/>
      <c r="AH86" s="2"/>
      <c r="AK86" s="21"/>
      <c r="AL86" s="21"/>
      <c r="AN86" s="21"/>
    </row>
    <row r="87" spans="1:40" ht="14.5">
      <c r="A87" s="141"/>
      <c r="B87" s="141"/>
      <c r="C87" s="141"/>
      <c r="D87" s="32">
        <f t="shared" si="6"/>
        <v>0.5900000000000003</v>
      </c>
      <c r="E87" s="67">
        <f t="shared" si="7"/>
        <v>0.80469826076342188</v>
      </c>
      <c r="F87" s="32">
        <f t="shared" si="15"/>
        <v>653.18259200876162</v>
      </c>
      <c r="G87" s="128">
        <f t="shared" si="8"/>
        <v>387.00010505365765</v>
      </c>
      <c r="H87" s="128">
        <f t="shared" si="9"/>
        <v>354.62030834865476</v>
      </c>
      <c r="I87" s="128">
        <f t="shared" ca="1" si="10"/>
        <v>2448.2349252195636</v>
      </c>
      <c r="J87" s="128">
        <f t="shared" ca="1" si="11"/>
        <v>0.21120382945284524</v>
      </c>
      <c r="K87" s="128">
        <f t="shared" si="12"/>
        <v>480.92573815992642</v>
      </c>
      <c r="L87" s="128">
        <f t="shared" ca="1" si="13"/>
        <v>7.036231801652602</v>
      </c>
      <c r="M87" s="32">
        <f t="shared" ca="1" si="14"/>
        <v>1028.7202169248492</v>
      </c>
      <c r="N87" s="41">
        <f t="shared" si="16"/>
        <v>0.39556170000000013</v>
      </c>
      <c r="R87" s="21"/>
      <c r="AA87" s="38"/>
      <c r="AD87" s="21"/>
      <c r="AH87" s="2"/>
      <c r="AK87" s="21"/>
      <c r="AL87" s="21"/>
      <c r="AN87" s="21"/>
    </row>
    <row r="88" spans="1:40" ht="14.5">
      <c r="A88" s="141"/>
      <c r="B88" s="141"/>
      <c r="C88" s="141"/>
      <c r="D88" s="32">
        <f t="shared" si="6"/>
        <v>0.60000000000000031</v>
      </c>
      <c r="E88" s="67">
        <f t="shared" si="7"/>
        <v>0.80615377038415992</v>
      </c>
      <c r="F88" s="32">
        <f t="shared" si="15"/>
        <v>664.25348339874063</v>
      </c>
      <c r="G88" s="128">
        <f t="shared" si="8"/>
        <v>393.55942886812642</v>
      </c>
      <c r="H88" s="128">
        <f t="shared" si="9"/>
        <v>366.74320886387738</v>
      </c>
      <c r="I88" s="128">
        <f t="shared" ca="1" si="10"/>
        <v>2515.1117925114877</v>
      </c>
      <c r="J88" s="128">
        <f t="shared" ca="1" si="11"/>
        <v>0.20422236953482062</v>
      </c>
      <c r="K88" s="128">
        <f t="shared" si="12"/>
        <v>488.19399390836048</v>
      </c>
      <c r="L88" s="128">
        <f t="shared" ca="1" si="13"/>
        <v>6.8491382729134864</v>
      </c>
      <c r="M88" s="32">
        <f t="shared" ca="1" si="14"/>
        <v>1016.5002325954529</v>
      </c>
      <c r="N88" s="41">
        <f t="shared" si="16"/>
        <v>0.40092000000000017</v>
      </c>
      <c r="R88" s="21"/>
      <c r="AA88" s="38"/>
      <c r="AD88" s="21"/>
      <c r="AH88" s="2"/>
      <c r="AK88" s="21"/>
      <c r="AL88" s="21"/>
      <c r="AN88" s="21"/>
    </row>
    <row r="89" spans="1:40" ht="14.5">
      <c r="A89" s="141"/>
      <c r="B89" s="141"/>
      <c r="C89" s="141"/>
      <c r="D89" s="32">
        <f t="shared" si="6"/>
        <v>0.61000000000000032</v>
      </c>
      <c r="E89" s="67">
        <f t="shared" si="7"/>
        <v>0.80759420356073475</v>
      </c>
      <c r="F89" s="32">
        <f t="shared" si="15"/>
        <v>675.32437478871952</v>
      </c>
      <c r="G89" s="128">
        <f t="shared" si="8"/>
        <v>400.11875268259513</v>
      </c>
      <c r="H89" s="128">
        <f t="shared" si="9"/>
        <v>379.06985560624645</v>
      </c>
      <c r="I89" s="128">
        <f t="shared" ca="1" si="10"/>
        <v>2583.6774248697707</v>
      </c>
      <c r="J89" s="128">
        <f t="shared" ca="1" si="11"/>
        <v>0.19758143787297894</v>
      </c>
      <c r="K89" s="128">
        <f t="shared" si="12"/>
        <v>495.44530027388237</v>
      </c>
      <c r="L89" s="128">
        <f t="shared" ca="1" si="13"/>
        <v>6.667375839154829</v>
      </c>
      <c r="M89" s="32">
        <f t="shared" ca="1" si="14"/>
        <v>1004.2220805221004</v>
      </c>
      <c r="N89" s="41">
        <f t="shared" si="16"/>
        <v>0.40622970000000014</v>
      </c>
      <c r="R89" s="21"/>
      <c r="AA89" s="38"/>
      <c r="AD89" s="21"/>
      <c r="AH89" s="2"/>
      <c r="AK89" s="21"/>
      <c r="AL89" s="21"/>
      <c r="AN89" s="21"/>
    </row>
    <row r="90" spans="1:40" ht="14.5">
      <c r="A90" s="141"/>
      <c r="B90" s="141"/>
      <c r="C90" s="141"/>
      <c r="D90" s="32">
        <f t="shared" si="6"/>
        <v>0.62000000000000033</v>
      </c>
      <c r="E90" s="67">
        <f t="shared" si="7"/>
        <v>0.8090196115421584</v>
      </c>
      <c r="F90" s="32">
        <f t="shared" si="15"/>
        <v>686.39526617869865</v>
      </c>
      <c r="G90" s="128">
        <f t="shared" si="8"/>
        <v>406.67807649706396</v>
      </c>
      <c r="H90" s="128">
        <f t="shared" si="9"/>
        <v>391.60024857576241</v>
      </c>
      <c r="I90" s="128">
        <f t="shared" ca="1" si="10"/>
        <v>2653.9038499934245</v>
      </c>
      <c r="J90" s="128">
        <f t="shared" ca="1" si="11"/>
        <v>0.1912592430607061</v>
      </c>
      <c r="K90" s="128">
        <f t="shared" si="12"/>
        <v>502.68012134075661</v>
      </c>
      <c r="L90" s="128">
        <f t="shared" ca="1" si="13"/>
        <v>6.4909467005706158</v>
      </c>
      <c r="M90" s="32">
        <f t="shared" ca="1" si="14"/>
        <v>991.92507838633969</v>
      </c>
      <c r="N90" s="41">
        <f t="shared" si="16"/>
        <v>0.41149080000000016</v>
      </c>
      <c r="R90" s="21"/>
      <c r="AA90" s="38"/>
      <c r="AD90" s="21"/>
      <c r="AH90" s="2"/>
      <c r="AK90" s="21"/>
      <c r="AL90" s="21"/>
      <c r="AN90" s="21"/>
    </row>
    <row r="91" spans="1:40" ht="14.5">
      <c r="A91" s="141"/>
      <c r="B91" s="141"/>
      <c r="C91" s="141"/>
      <c r="D91" s="32">
        <f t="shared" si="6"/>
        <v>0.63000000000000034</v>
      </c>
      <c r="E91" s="67">
        <f t="shared" si="7"/>
        <v>0.81043004510835759</v>
      </c>
      <c r="F91" s="32">
        <f t="shared" si="15"/>
        <v>697.46615756867766</v>
      </c>
      <c r="G91" s="128">
        <f t="shared" si="8"/>
        <v>413.23740031153278</v>
      </c>
      <c r="H91" s="128">
        <f t="shared" si="9"/>
        <v>404.3343877724248</v>
      </c>
      <c r="I91" s="128">
        <f t="shared" ca="1" si="10"/>
        <v>2725.7653671383437</v>
      </c>
      <c r="J91" s="128">
        <f t="shared" ca="1" si="11"/>
        <v>0.18523570932863551</v>
      </c>
      <c r="K91" s="128">
        <f t="shared" si="12"/>
        <v>509.89891454021966</v>
      </c>
      <c r="L91" s="128">
        <f t="shared" ca="1" si="13"/>
        <v>6.3198207176693382</v>
      </c>
      <c r="M91" s="32">
        <f t="shared" ca="1" si="14"/>
        <v>979.64327601217906</v>
      </c>
      <c r="N91" s="41">
        <f t="shared" si="16"/>
        <v>0.41670330000000011</v>
      </c>
      <c r="R91" s="21"/>
      <c r="AA91" s="38"/>
      <c r="AD91" s="21"/>
      <c r="AH91" s="2"/>
      <c r="AK91" s="21"/>
      <c r="AL91" s="21"/>
      <c r="AN91" s="21"/>
    </row>
    <row r="92" spans="1:40" ht="14.5">
      <c r="A92" s="141"/>
      <c r="B92" s="141"/>
      <c r="C92" s="141"/>
      <c r="D92" s="32">
        <f t="shared" si="6"/>
        <v>0.64000000000000035</v>
      </c>
      <c r="E92" s="67">
        <f t="shared" si="7"/>
        <v>0.81182555457017369</v>
      </c>
      <c r="F92" s="32">
        <f t="shared" ref="F92:F128" si="17">SQRT((1.4*2116.22*$E$25*(D92)^2)/$I$25)</f>
        <v>708.53704895865667</v>
      </c>
      <c r="G92" s="128">
        <f t="shared" si="8"/>
        <v>419.79672412600149</v>
      </c>
      <c r="H92" s="128">
        <f t="shared" si="9"/>
        <v>417.27227319623381</v>
      </c>
      <c r="I92" s="128">
        <f t="shared" ca="1" si="10"/>
        <v>2799.238329330507</v>
      </c>
      <c r="J92" s="128">
        <f t="shared" ca="1" si="11"/>
        <v>0.17949231697396345</v>
      </c>
      <c r="K92" s="128">
        <f t="shared" si="12"/>
        <v>517.10213082447945</v>
      </c>
      <c r="L92" s="128">
        <f t="shared" ca="1" si="13"/>
        <v>6.1539413269132019</v>
      </c>
      <c r="M92" s="32">
        <f t="shared" ca="1" si="14"/>
        <v>967.40604064166655</v>
      </c>
      <c r="N92" s="41">
        <f t="shared" ref="N92:N128" si="18">-6.6*10^(-3) + 0.825*D92 - 0.243*(D92^2)</f>
        <v>0.42186720000000011</v>
      </c>
      <c r="R92" s="21"/>
      <c r="AA92" s="38"/>
      <c r="AD92" s="21"/>
      <c r="AH92" s="2"/>
      <c r="AK92" s="21"/>
      <c r="AL92" s="21"/>
      <c r="AN92" s="21"/>
    </row>
    <row r="93" spans="1:40" ht="14.5">
      <c r="A93" s="141"/>
      <c r="B93" s="141"/>
      <c r="C93" s="141"/>
      <c r="D93" s="32">
        <f t="shared" ref="D93:D128" si="19">D92+0.01</f>
        <v>0.65000000000000036</v>
      </c>
      <c r="E93" s="67">
        <f t="shared" ref="E93:E128" si="20">0.692 + 0.298*N93 + -0.0331*N93^2</f>
        <v>0.8132061897693631</v>
      </c>
      <c r="F93" s="32">
        <f t="shared" si="17"/>
        <v>719.60794034863568</v>
      </c>
      <c r="G93" s="128">
        <f t="shared" ref="G93:G128" si="21">(F93*0.3048*3600)/1852</f>
        <v>426.35604794047032</v>
      </c>
      <c r="H93" s="128">
        <f t="shared" ref="H93:H128" si="22">0.5*$I$25*F93*F93</f>
        <v>430.41390484718937</v>
      </c>
      <c r="I93" s="128">
        <f t="shared" ref="I93:I128" ca="1" si="23">(H93*$B$3*$B$34)+((H93*$B$3)*((J92^2)/(PI()*$B$6*$B$5)))</f>
        <v>2874.3009495527594</v>
      </c>
      <c r="J93" s="128">
        <f t="shared" ref="J93:J128" ca="1" si="24">($B$12)/(H93*$B$3)</f>
        <v>0.17401195984032056</v>
      </c>
      <c r="K93" s="128">
        <f t="shared" ref="K93:K128" si="25">G93/E93</f>
        <v>524.29021483640088</v>
      </c>
      <c r="L93" s="128">
        <f t="shared" ref="L93:L128" ca="1" si="26">$B$12/I93</f>
        <v>5.99323061192562</v>
      </c>
      <c r="M93" s="32">
        <f t="shared" ref="M93:M128" ca="1" si="27">K93*L93*LN($B$12/($E$3+$E$4+$E$5))</f>
        <v>955.23858719797806</v>
      </c>
      <c r="N93" s="41">
        <f t="shared" si="18"/>
        <v>0.42698250000000004</v>
      </c>
      <c r="R93" s="21"/>
      <c r="AA93" s="38"/>
      <c r="AD93" s="21"/>
      <c r="AH93" s="2"/>
      <c r="AK93" s="21"/>
      <c r="AL93" s="21"/>
      <c r="AN93" s="21"/>
    </row>
    <row r="94" spans="1:40" ht="14.5">
      <c r="A94" s="141"/>
      <c r="B94" s="141"/>
      <c r="C94" s="141"/>
      <c r="D94" s="32">
        <f t="shared" si="19"/>
        <v>0.66000000000000036</v>
      </c>
      <c r="E94" s="67">
        <f t="shared" si="20"/>
        <v>0.81457200007859676</v>
      </c>
      <c r="F94" s="32">
        <f t="shared" si="17"/>
        <v>730.67883173861469</v>
      </c>
      <c r="G94" s="128">
        <f t="shared" si="21"/>
        <v>432.91537175493903</v>
      </c>
      <c r="H94" s="128">
        <f t="shared" si="22"/>
        <v>443.75928272529165</v>
      </c>
      <c r="I94" s="128">
        <f t="shared" ca="1" si="23"/>
        <v>2950.9331279363746</v>
      </c>
      <c r="J94" s="128">
        <f t="shared" ca="1" si="24"/>
        <v>0.16877881779737242</v>
      </c>
      <c r="K94" s="128">
        <f t="shared" si="25"/>
        <v>531.46360507501822</v>
      </c>
      <c r="L94" s="128">
        <f t="shared" ca="1" si="26"/>
        <v>5.8375936328970903</v>
      </c>
      <c r="M94" s="32">
        <f t="shared" ca="1" si="27"/>
        <v>943.1624565289037</v>
      </c>
      <c r="N94" s="41">
        <f t="shared" si="18"/>
        <v>0.43204920000000013</v>
      </c>
      <c r="R94" s="21"/>
      <c r="AA94" s="38"/>
      <c r="AD94" s="21"/>
      <c r="AH94" s="2"/>
      <c r="AK94" s="21"/>
      <c r="AL94" s="21"/>
      <c r="AN94" s="21"/>
    </row>
    <row r="95" spans="1:40" ht="14.5">
      <c r="A95" s="141"/>
      <c r="B95" s="141"/>
      <c r="C95" s="141"/>
      <c r="D95" s="32">
        <f t="shared" si="19"/>
        <v>0.67000000000000037</v>
      </c>
      <c r="E95" s="67">
        <f t="shared" si="20"/>
        <v>0.81592303440146041</v>
      </c>
      <c r="F95" s="32">
        <f t="shared" si="17"/>
        <v>741.7497231285937</v>
      </c>
      <c r="G95" s="128">
        <f t="shared" si="21"/>
        <v>439.47469556940786</v>
      </c>
      <c r="H95" s="128">
        <f t="shared" si="22"/>
        <v>457.30840683054043</v>
      </c>
      <c r="I95" s="128">
        <f t="shared" ca="1" si="23"/>
        <v>3029.1162973957839</v>
      </c>
      <c r="J95" s="128">
        <f t="shared" ca="1" si="24"/>
        <v>0.16377824244271647</v>
      </c>
      <c r="K95" s="128">
        <f t="shared" si="25"/>
        <v>538.62273405701171</v>
      </c>
      <c r="L95" s="128">
        <f t="shared" ca="1" si="26"/>
        <v>5.6869221077964056</v>
      </c>
      <c r="M95" s="32">
        <f t="shared" ca="1" si="27"/>
        <v>931.19594508298576</v>
      </c>
      <c r="N95" s="41">
        <f t="shared" si="18"/>
        <v>0.4370673000000001</v>
      </c>
      <c r="R95" s="21"/>
      <c r="AA95" s="38"/>
      <c r="AD95" s="21"/>
      <c r="AH95" s="2"/>
      <c r="AK95" s="21"/>
      <c r="AL95" s="21"/>
      <c r="AN95" s="21"/>
    </row>
    <row r="96" spans="1:40" ht="14.5">
      <c r="A96" s="141"/>
      <c r="B96" s="141"/>
      <c r="C96" s="141"/>
      <c r="D96" s="32">
        <f t="shared" si="19"/>
        <v>0.68000000000000038</v>
      </c>
      <c r="E96" s="67">
        <f t="shared" si="20"/>
        <v>0.81725934117245469</v>
      </c>
      <c r="F96" s="32">
        <f t="shared" si="17"/>
        <v>752.82061451857271</v>
      </c>
      <c r="G96" s="128">
        <f t="shared" si="21"/>
        <v>446.03401938387668</v>
      </c>
      <c r="H96" s="128">
        <f t="shared" si="22"/>
        <v>471.06127716293582</v>
      </c>
      <c r="I96" s="128">
        <f t="shared" ca="1" si="23"/>
        <v>3108.8332854910291</v>
      </c>
      <c r="J96" s="128">
        <f t="shared" ca="1" si="24"/>
        <v>0.1589966544821268</v>
      </c>
      <c r="K96" s="128">
        <f t="shared" si="25"/>
        <v>545.76802847427643</v>
      </c>
      <c r="L96" s="128">
        <f t="shared" ca="1" si="26"/>
        <v>5.5410975297845972</v>
      </c>
      <c r="M96" s="32">
        <f t="shared" ca="1" si="27"/>
        <v>919.35448969635536</v>
      </c>
      <c r="N96" s="41">
        <f t="shared" si="18"/>
        <v>0.44203680000000012</v>
      </c>
      <c r="R96" s="21"/>
      <c r="AA96" s="38"/>
      <c r="AD96" s="21"/>
      <c r="AH96" s="2"/>
      <c r="AK96" s="21"/>
      <c r="AL96" s="21"/>
      <c r="AN96" s="21"/>
    </row>
    <row r="97" spans="1:45" ht="14.5">
      <c r="A97" s="141"/>
      <c r="B97" s="141"/>
      <c r="C97" s="141"/>
      <c r="D97" s="32">
        <f t="shared" si="19"/>
        <v>0.69000000000000039</v>
      </c>
      <c r="E97" s="67">
        <f t="shared" si="20"/>
        <v>0.81858096835699445</v>
      </c>
      <c r="F97" s="32">
        <f t="shared" si="17"/>
        <v>763.89150590855161</v>
      </c>
      <c r="G97" s="128">
        <f t="shared" si="21"/>
        <v>452.59334319834528</v>
      </c>
      <c r="H97" s="128">
        <f t="shared" si="22"/>
        <v>485.01789372247765</v>
      </c>
      <c r="I97" s="128">
        <f t="shared" ca="1" si="23"/>
        <v>3190.068190597382</v>
      </c>
      <c r="J97" s="128">
        <f t="shared" ca="1" si="24"/>
        <v>0.15442145144409883</v>
      </c>
      <c r="K97" s="128">
        <f t="shared" si="25"/>
        <v>552.89990934771288</v>
      </c>
      <c r="L97" s="128">
        <f t="shared" ca="1" si="26"/>
        <v>5.3999937962205804</v>
      </c>
      <c r="M97" s="32">
        <f t="shared" ca="1" si="27"/>
        <v>907.65101122525493</v>
      </c>
      <c r="N97" s="41">
        <f t="shared" si="18"/>
        <v>0.44695770000000007</v>
      </c>
      <c r="R97" s="21"/>
      <c r="AA97" s="38"/>
      <c r="AD97" s="21"/>
      <c r="AH97" s="2"/>
      <c r="AK97" s="21"/>
      <c r="AL97" s="21"/>
      <c r="AN97" s="21"/>
    </row>
    <row r="98" spans="1:45" ht="14.5">
      <c r="A98" s="141"/>
      <c r="B98" s="141"/>
      <c r="C98" s="141"/>
      <c r="D98" s="32">
        <f t="shared" si="19"/>
        <v>0.7000000000000004</v>
      </c>
      <c r="E98" s="67">
        <f t="shared" si="20"/>
        <v>0.81988796345141002</v>
      </c>
      <c r="F98" s="32">
        <f t="shared" si="17"/>
        <v>774.96239729853073</v>
      </c>
      <c r="G98" s="128">
        <f t="shared" si="21"/>
        <v>459.15266701281416</v>
      </c>
      <c r="H98" s="128">
        <f t="shared" si="22"/>
        <v>499.17825650916643</v>
      </c>
      <c r="I98" s="128">
        <f t="shared" ca="1" si="23"/>
        <v>3272.8062707135509</v>
      </c>
      <c r="J98" s="128">
        <f t="shared" ca="1" si="24"/>
        <v>0.15004092455619475</v>
      </c>
      <c r="K98" s="128">
        <f t="shared" si="25"/>
        <v>560.01879217736007</v>
      </c>
      <c r="L98" s="128">
        <f t="shared" ca="1" si="26"/>
        <v>5.2634794160886011</v>
      </c>
      <c r="M98" s="32">
        <f t="shared" ca="1" si="27"/>
        <v>896.096220697332</v>
      </c>
      <c r="N98" s="41">
        <f t="shared" si="18"/>
        <v>0.45183000000000018</v>
      </c>
      <c r="R98" s="21"/>
      <c r="AA98" s="38"/>
      <c r="AD98" s="21"/>
      <c r="AH98" s="2"/>
      <c r="AK98" s="21"/>
      <c r="AL98" s="21"/>
      <c r="AN98" s="21"/>
    </row>
    <row r="99" spans="1:45" ht="14.5">
      <c r="A99" s="141"/>
      <c r="B99" s="141"/>
      <c r="C99" s="141"/>
      <c r="D99" s="32">
        <f t="shared" si="19"/>
        <v>0.71000000000000041</v>
      </c>
      <c r="E99" s="67">
        <f t="shared" si="20"/>
        <v>0.82118037348294581</v>
      </c>
      <c r="F99" s="32">
        <f t="shared" si="17"/>
        <v>786.03328868850963</v>
      </c>
      <c r="G99" s="128">
        <f t="shared" si="21"/>
        <v>465.71199082728288</v>
      </c>
      <c r="H99" s="128">
        <f t="shared" si="22"/>
        <v>513.54236552300142</v>
      </c>
      <c r="I99" s="128">
        <f t="shared" ca="1" si="23"/>
        <v>3357.0338434555997</v>
      </c>
      <c r="J99" s="128">
        <f t="shared" ca="1" si="24"/>
        <v>0.14584418375825323</v>
      </c>
      <c r="K99" s="128">
        <f t="shared" si="25"/>
        <v>567.12508708898747</v>
      </c>
      <c r="L99" s="128">
        <f t="shared" ca="1" si="26"/>
        <v>5.1314193547165265</v>
      </c>
      <c r="M99" s="32">
        <f t="shared" ca="1" si="27"/>
        <v>884.69889151241694</v>
      </c>
      <c r="N99" s="41">
        <f t="shared" si="18"/>
        <v>0.45665370000000016</v>
      </c>
      <c r="R99" s="21"/>
      <c r="AA99" s="38"/>
      <c r="AD99" s="21"/>
      <c r="AH99" s="2"/>
      <c r="AK99" s="21"/>
      <c r="AL99" s="21"/>
      <c r="AN99" s="21"/>
    </row>
    <row r="100" spans="1:45" ht="14.5">
      <c r="A100" s="141"/>
      <c r="B100" s="141"/>
      <c r="C100" s="141"/>
      <c r="D100" s="32">
        <f t="shared" si="19"/>
        <v>0.72000000000000042</v>
      </c>
      <c r="E100" s="67">
        <f t="shared" si="20"/>
        <v>0.8224582450097615</v>
      </c>
      <c r="F100" s="32">
        <f t="shared" si="17"/>
        <v>797.10418007848875</v>
      </c>
      <c r="G100" s="128">
        <f t="shared" si="21"/>
        <v>472.27131464175176</v>
      </c>
      <c r="H100" s="128">
        <f t="shared" si="22"/>
        <v>528.11022076398342</v>
      </c>
      <c r="I100" s="128">
        <f t="shared" ca="1" si="23"/>
        <v>3442.7381959690024</v>
      </c>
      <c r="J100" s="128">
        <f t="shared" ca="1" si="24"/>
        <v>0.14182108995473655</v>
      </c>
      <c r="K100" s="128">
        <f t="shared" si="25"/>
        <v>574.21919897726423</v>
      </c>
      <c r="L100" s="128">
        <f t="shared" ca="1" si="26"/>
        <v>5.0036765673661394</v>
      </c>
      <c r="M100" s="32">
        <f t="shared" ca="1" si="27"/>
        <v>873.46610102949251</v>
      </c>
      <c r="N100" s="41">
        <f t="shared" si="18"/>
        <v>0.46142880000000008</v>
      </c>
      <c r="AA100" s="38"/>
      <c r="AH100" s="2"/>
    </row>
    <row r="101" spans="1:45" ht="14.5">
      <c r="A101" s="141"/>
      <c r="B101" s="141"/>
      <c r="C101" s="141"/>
      <c r="D101" s="32">
        <f t="shared" si="19"/>
        <v>0.73000000000000043</v>
      </c>
      <c r="E101" s="67">
        <f t="shared" si="20"/>
        <v>0.8237216241209312</v>
      </c>
      <c r="F101" s="32">
        <f t="shared" si="17"/>
        <v>808.17507146846776</v>
      </c>
      <c r="G101" s="128">
        <f t="shared" si="21"/>
        <v>478.83063845622047</v>
      </c>
      <c r="H101" s="128">
        <f t="shared" si="22"/>
        <v>542.88182223211174</v>
      </c>
      <c r="I101" s="128">
        <f t="shared" ca="1" si="23"/>
        <v>3529.9075036504473</v>
      </c>
      <c r="J101" s="128">
        <f t="shared" ca="1" si="24"/>
        <v>0.13796219371840013</v>
      </c>
      <c r="K101" s="128">
        <f t="shared" si="25"/>
        <v>581.30152764561024</v>
      </c>
      <c r="L101" s="128">
        <f t="shared" ca="1" si="26"/>
        <v>4.8801132666881148</v>
      </c>
      <c r="M101" s="32">
        <f t="shared" ca="1" si="27"/>
        <v>862.40344465245073</v>
      </c>
      <c r="N101" s="41">
        <f t="shared" si="18"/>
        <v>0.46615530000000011</v>
      </c>
      <c r="AA101" s="38"/>
      <c r="AH101" s="2"/>
    </row>
    <row r="102" spans="1:45" ht="14.5">
      <c r="A102" s="141"/>
      <c r="B102" s="141"/>
      <c r="C102" s="32"/>
      <c r="D102" s="32">
        <f t="shared" si="19"/>
        <v>0.74000000000000044</v>
      </c>
      <c r="E102" s="67">
        <f t="shared" si="20"/>
        <v>0.8249705564364439</v>
      </c>
      <c r="F102" s="32">
        <f t="shared" si="17"/>
        <v>819.24596285844677</v>
      </c>
      <c r="G102" s="128">
        <f t="shared" si="21"/>
        <v>485.38996227068924</v>
      </c>
      <c r="H102" s="128">
        <f t="shared" si="22"/>
        <v>557.85716992738685</v>
      </c>
      <c r="I102" s="128">
        <f t="shared" ca="1" si="23"/>
        <v>3618.5307567085633</v>
      </c>
      <c r="J102" s="128">
        <f t="shared" ca="1" si="24"/>
        <v>0.13425867975262129</v>
      </c>
      <c r="K102" s="128">
        <f t="shared" si="25"/>
        <v>588.3724679428409</v>
      </c>
      <c r="L102" s="128">
        <f t="shared" ca="1" si="26"/>
        <v>4.7605919631357949</v>
      </c>
      <c r="M102" s="32">
        <f t="shared" ca="1" si="27"/>
        <v>851.51522528858118</v>
      </c>
      <c r="N102" s="41">
        <f t="shared" si="18"/>
        <v>0.47083320000000017</v>
      </c>
      <c r="P102" s="21"/>
      <c r="S102" s="21"/>
      <c r="T102" s="21"/>
      <c r="U102" s="21"/>
      <c r="V102" s="21"/>
      <c r="Y102" s="21"/>
      <c r="Z102" s="21"/>
      <c r="AA102" s="21"/>
      <c r="AB102" s="21"/>
      <c r="AD102" s="21"/>
      <c r="AH102" s="21"/>
    </row>
    <row r="103" spans="1:45" ht="14.5">
      <c r="A103" s="141"/>
      <c r="B103" s="141"/>
      <c r="C103" s="141"/>
      <c r="D103" s="32">
        <f t="shared" si="19"/>
        <v>0.75000000000000044</v>
      </c>
      <c r="E103" s="67">
        <f t="shared" si="20"/>
        <v>0.82620508710720308</v>
      </c>
      <c r="F103" s="32">
        <f t="shared" si="17"/>
        <v>830.31685424842578</v>
      </c>
      <c r="G103" s="128">
        <f t="shared" si="21"/>
        <v>491.94928608515801</v>
      </c>
      <c r="H103" s="128">
        <f t="shared" si="22"/>
        <v>573.03626384980839</v>
      </c>
      <c r="I103" s="128">
        <f t="shared" ca="1" si="23"/>
        <v>3708.5976937113182</v>
      </c>
      <c r="J103" s="128">
        <f t="shared" ca="1" si="24"/>
        <v>0.1307023165022852</v>
      </c>
      <c r="K103" s="128">
        <f t="shared" si="25"/>
        <v>595.4324098967038</v>
      </c>
      <c r="L103" s="128">
        <f t="shared" ca="1" si="26"/>
        <v>4.6449763121940277</v>
      </c>
      <c r="M103" s="32">
        <f t="shared" ca="1" si="27"/>
        <v>840.80462081183055</v>
      </c>
      <c r="N103" s="41">
        <f t="shared" si="18"/>
        <v>0.47546250000000012</v>
      </c>
      <c r="X103" s="21"/>
      <c r="Y103" s="21"/>
      <c r="Z103" s="21"/>
      <c r="AA103" s="21"/>
      <c r="AB103" s="21"/>
      <c r="AD103" s="21"/>
      <c r="AE103" s="21"/>
      <c r="AF103" s="21"/>
      <c r="AJ103" s="21"/>
      <c r="AO103" s="21"/>
      <c r="AP103" s="15"/>
      <c r="AQ103" s="16"/>
      <c r="AR103" s="16"/>
      <c r="AS103" s="17"/>
    </row>
    <row r="104" spans="1:45" ht="14.5">
      <c r="A104" s="141"/>
      <c r="B104" s="141"/>
      <c r="C104" s="141"/>
      <c r="D104" s="32">
        <f t="shared" si="19"/>
        <v>0.76000000000000045</v>
      </c>
      <c r="E104" s="67">
        <f t="shared" si="20"/>
        <v>0.82742526081502743</v>
      </c>
      <c r="F104" s="32">
        <f t="shared" si="17"/>
        <v>841.38774563840468</v>
      </c>
      <c r="G104" s="128">
        <f t="shared" si="21"/>
        <v>498.50860989962672</v>
      </c>
      <c r="H104" s="128">
        <f t="shared" si="22"/>
        <v>588.41910399937638</v>
      </c>
      <c r="I104" s="128">
        <f t="shared" ca="1" si="23"/>
        <v>3800.0987413707694</v>
      </c>
      <c r="J104" s="128">
        <f t="shared" ca="1" si="24"/>
        <v>0.12728541037488825</v>
      </c>
      <c r="K104" s="128">
        <f t="shared" si="25"/>
        <v>602.48173884440939</v>
      </c>
      <c r="L104" s="128">
        <f t="shared" ca="1" si="26"/>
        <v>4.533131797657604</v>
      </c>
      <c r="M104" s="32">
        <f t="shared" ca="1" si="27"/>
        <v>830.27383192539469</v>
      </c>
      <c r="N104" s="41">
        <f t="shared" si="18"/>
        <v>0.48004320000000011</v>
      </c>
      <c r="Y104" s="21"/>
      <c r="Z104" s="21"/>
      <c r="AA104" s="21"/>
      <c r="AB104" s="21"/>
      <c r="AD104" s="21"/>
      <c r="AE104" s="21"/>
      <c r="AF104" s="21"/>
    </row>
    <row r="105" spans="1:45" ht="14.5">
      <c r="A105" s="141"/>
      <c r="B105" s="141"/>
      <c r="C105" s="141"/>
      <c r="D105" s="32">
        <f t="shared" si="19"/>
        <v>0.77000000000000046</v>
      </c>
      <c r="E105" s="67">
        <f t="shared" si="20"/>
        <v>0.82863112177264997</v>
      </c>
      <c r="F105" s="32">
        <f t="shared" si="17"/>
        <v>852.45863702838381</v>
      </c>
      <c r="G105" s="128">
        <f t="shared" si="21"/>
        <v>505.0679337140956</v>
      </c>
      <c r="H105" s="128">
        <f t="shared" si="22"/>
        <v>604.00569037609137</v>
      </c>
      <c r="I105" s="128">
        <f t="shared" ca="1" si="23"/>
        <v>3893.0249599049866</v>
      </c>
      <c r="J105" s="128">
        <f t="shared" ca="1" si="24"/>
        <v>0.12400076409602873</v>
      </c>
      <c r="K105" s="128">
        <f t="shared" si="25"/>
        <v>609.52083556025332</v>
      </c>
      <c r="L105" s="128">
        <f t="shared" ca="1" si="26"/>
        <v>4.424926276138466</v>
      </c>
      <c r="M105" s="32">
        <f t="shared" ca="1" si="27"/>
        <v>819.92421259042817</v>
      </c>
      <c r="N105" s="41">
        <f t="shared" si="18"/>
        <v>0.48457530000000004</v>
      </c>
      <c r="R105" s="32"/>
      <c r="AA105" s="38"/>
      <c r="AH105" s="2"/>
      <c r="AK105" s="21"/>
    </row>
    <row r="106" spans="1:45" ht="14.5">
      <c r="A106" s="141"/>
      <c r="B106" s="141"/>
      <c r="C106" s="141"/>
      <c r="D106" s="32">
        <f t="shared" si="19"/>
        <v>0.78000000000000047</v>
      </c>
      <c r="E106" s="67">
        <f t="shared" si="20"/>
        <v>0.82982271372371863</v>
      </c>
      <c r="F106" s="32">
        <f t="shared" si="17"/>
        <v>863.52952841836282</v>
      </c>
      <c r="G106" s="128">
        <f t="shared" si="21"/>
        <v>511.62725752856443</v>
      </c>
      <c r="H106" s="128">
        <f t="shared" si="22"/>
        <v>619.7960229799528</v>
      </c>
      <c r="I106" s="128">
        <f t="shared" ca="1" si="23"/>
        <v>3987.3679933945677</v>
      </c>
      <c r="J106" s="128">
        <f t="shared" ca="1" si="24"/>
        <v>0.12084163877800036</v>
      </c>
      <c r="K106" s="128">
        <f t="shared" si="25"/>
        <v>616.55007638041798</v>
      </c>
      <c r="L106" s="128">
        <f t="shared" ca="1" si="26"/>
        <v>4.3202304044380817</v>
      </c>
      <c r="M106" s="32">
        <f t="shared" ca="1" si="27"/>
        <v>809.75638497277669</v>
      </c>
      <c r="N106" s="41">
        <f t="shared" si="18"/>
        <v>0.48905880000000018</v>
      </c>
      <c r="R106" s="32"/>
      <c r="AA106" s="38"/>
      <c r="AH106" s="2"/>
      <c r="AK106" s="21"/>
    </row>
    <row r="107" spans="1:45" ht="14.5">
      <c r="A107" s="141"/>
      <c r="B107" s="141"/>
      <c r="C107" s="141"/>
      <c r="D107" s="32">
        <f t="shared" si="19"/>
        <v>0.79000000000000048</v>
      </c>
      <c r="E107" s="67">
        <f t="shared" si="20"/>
        <v>0.83100007994279623</v>
      </c>
      <c r="F107" s="32">
        <f t="shared" si="17"/>
        <v>874.60041980834183</v>
      </c>
      <c r="G107" s="128">
        <f t="shared" si="21"/>
        <v>518.18658134303314</v>
      </c>
      <c r="H107" s="128">
        <f t="shared" si="22"/>
        <v>635.79010181096066</v>
      </c>
      <c r="I107" s="128">
        <f t="shared" ca="1" si="23"/>
        <v>4083.1200246187445</v>
      </c>
      <c r="J107" s="128">
        <f t="shared" ca="1" si="24"/>
        <v>0.11780171932788885</v>
      </c>
      <c r="K107" s="128">
        <f t="shared" si="25"/>
        <v>623.56983332505058</v>
      </c>
      <c r="L107" s="128">
        <f t="shared" ca="1" si="26"/>
        <v>4.2189179683384301</v>
      </c>
      <c r="M107" s="32">
        <f t="shared" ca="1" si="27"/>
        <v>799.77034065962675</v>
      </c>
      <c r="N107" s="41">
        <f t="shared" si="18"/>
        <v>0.49349370000000015</v>
      </c>
      <c r="R107" s="32"/>
      <c r="AA107" s="38"/>
      <c r="AH107" s="2"/>
      <c r="AK107" s="21"/>
    </row>
    <row r="108" spans="1:45" ht="14.5">
      <c r="A108" s="141"/>
      <c r="B108" s="141"/>
      <c r="C108" s="141"/>
      <c r="D108" s="32">
        <f t="shared" si="19"/>
        <v>0.80000000000000049</v>
      </c>
      <c r="E108" s="67">
        <f t="shared" si="20"/>
        <v>0.83216326323535994</v>
      </c>
      <c r="F108" s="32">
        <f t="shared" si="17"/>
        <v>885.67131119832084</v>
      </c>
      <c r="G108" s="128">
        <f t="shared" si="21"/>
        <v>524.74590515750185</v>
      </c>
      <c r="H108" s="128">
        <f t="shared" si="22"/>
        <v>651.98792686911531</v>
      </c>
      <c r="I108" s="128">
        <f t="shared" ca="1" si="23"/>
        <v>4180.2737339150508</v>
      </c>
      <c r="J108" s="128">
        <f t="shared" ca="1" si="24"/>
        <v>0.11487508286333661</v>
      </c>
      <c r="K108" s="128">
        <f t="shared" si="25"/>
        <v>630.58047421769982</v>
      </c>
      <c r="L108" s="128">
        <f t="shared" ca="1" si="26"/>
        <v>4.1208661286908299</v>
      </c>
      <c r="M108" s="32">
        <f t="shared" ca="1" si="27"/>
        <v>789.96552971357346</v>
      </c>
      <c r="N108" s="41">
        <f t="shared" si="18"/>
        <v>0.4978800000000001</v>
      </c>
      <c r="R108" s="32"/>
      <c r="AA108" s="38"/>
      <c r="AH108" s="2"/>
      <c r="AK108" s="21"/>
    </row>
    <row r="109" spans="1:45" ht="14.5">
      <c r="A109" s="141"/>
      <c r="B109" s="141"/>
      <c r="C109" s="141"/>
      <c r="D109" s="32">
        <f t="shared" si="19"/>
        <v>0.8100000000000005</v>
      </c>
      <c r="E109" s="67">
        <f t="shared" si="20"/>
        <v>0.83331230593780203</v>
      </c>
      <c r="F109" s="32">
        <f t="shared" si="17"/>
        <v>896.74220258829985</v>
      </c>
      <c r="G109" s="128">
        <f t="shared" si="21"/>
        <v>531.30522897197079</v>
      </c>
      <c r="H109" s="128">
        <f t="shared" si="22"/>
        <v>668.38949815441651</v>
      </c>
      <c r="I109" s="128">
        <f t="shared" ca="1" si="23"/>
        <v>4278.8222616580479</v>
      </c>
      <c r="J109" s="128">
        <f t="shared" ca="1" si="24"/>
        <v>0.1120561698407795</v>
      </c>
      <c r="K109" s="128">
        <f t="shared" si="25"/>
        <v>637.58236280219671</v>
      </c>
      <c r="L109" s="128">
        <f t="shared" ca="1" si="26"/>
        <v>4.0259555983686148</v>
      </c>
      <c r="M109" s="32">
        <f t="shared" ca="1" si="27"/>
        <v>780.34093896306422</v>
      </c>
      <c r="N109" s="41">
        <f t="shared" si="18"/>
        <v>0.5022177000000001</v>
      </c>
      <c r="R109" s="32"/>
      <c r="AA109" s="38"/>
      <c r="AH109" s="2"/>
      <c r="AK109" s="21"/>
    </row>
    <row r="110" spans="1:45" ht="14.5">
      <c r="A110" s="141"/>
      <c r="B110" s="141"/>
      <c r="C110" s="141"/>
      <c r="D110" s="32">
        <f t="shared" si="19"/>
        <v>0.82000000000000051</v>
      </c>
      <c r="E110" s="67">
        <f t="shared" si="20"/>
        <v>0.83444724991742936</v>
      </c>
      <c r="F110" s="32">
        <f t="shared" si="17"/>
        <v>907.81309397827886</v>
      </c>
      <c r="G110" s="128">
        <f t="shared" si="21"/>
        <v>537.86455278643939</v>
      </c>
      <c r="H110" s="128">
        <f t="shared" si="22"/>
        <v>684.99481566686427</v>
      </c>
      <c r="I110" s="128">
        <f t="shared" ca="1" si="23"/>
        <v>4378.7591739978634</v>
      </c>
      <c r="J110" s="128">
        <f t="shared" ca="1" si="24"/>
        <v>0.10933975763315799</v>
      </c>
      <c r="K110" s="128">
        <f t="shared" si="25"/>
        <v>644.57585885706067</v>
      </c>
      <c r="L110" s="128">
        <f t="shared" ca="1" si="26"/>
        <v>3.9340707616533743</v>
      </c>
      <c r="M110" s="32">
        <f t="shared" ca="1" si="27"/>
        <v>770.89516077504493</v>
      </c>
      <c r="N110" s="41">
        <f t="shared" si="18"/>
        <v>0.50650680000000015</v>
      </c>
      <c r="R110" s="32"/>
      <c r="AA110" s="38"/>
      <c r="AH110" s="2"/>
      <c r="AK110" s="21"/>
    </row>
    <row r="111" spans="1:45" ht="14.5">
      <c r="A111" s="141"/>
      <c r="B111" s="141"/>
      <c r="C111" s="141"/>
      <c r="D111" s="32">
        <f t="shared" si="19"/>
        <v>0.83000000000000052</v>
      </c>
      <c r="E111" s="67">
        <f t="shared" si="20"/>
        <v>0.83556813657246365</v>
      </c>
      <c r="F111" s="32">
        <f t="shared" si="17"/>
        <v>918.88398536825787</v>
      </c>
      <c r="G111" s="128">
        <f t="shared" si="21"/>
        <v>544.42387660090822</v>
      </c>
      <c r="H111" s="128">
        <f t="shared" si="22"/>
        <v>701.80387940645869</v>
      </c>
      <c r="I111" s="128">
        <f t="shared" ca="1" si="23"/>
        <v>4480.0784315388391</v>
      </c>
      <c r="J111" s="128">
        <f t="shared" ca="1" si="24"/>
        <v>0.10672093632244944</v>
      </c>
      <c r="K111" s="128">
        <f t="shared" si="25"/>
        <v>651.56131830751508</v>
      </c>
      <c r="L111" s="128">
        <f t="shared" ca="1" si="26"/>
        <v>3.8450997459054492</v>
      </c>
      <c r="M111" s="32">
        <f t="shared" ca="1" si="27"/>
        <v>761.62645341732514</v>
      </c>
      <c r="N111" s="41">
        <f t="shared" si="18"/>
        <v>0.51074730000000013</v>
      </c>
      <c r="R111" s="32"/>
      <c r="AA111" s="38"/>
      <c r="AH111" s="2"/>
      <c r="AK111" s="21"/>
    </row>
    <row r="112" spans="1:45" ht="14.5">
      <c r="A112" s="141"/>
      <c r="B112" s="141"/>
      <c r="C112" s="141"/>
      <c r="D112" s="32">
        <f t="shared" si="19"/>
        <v>0.84000000000000052</v>
      </c>
      <c r="E112" s="67">
        <f t="shared" si="20"/>
        <v>0.83667500683204121</v>
      </c>
      <c r="F112" s="32">
        <f t="shared" si="17"/>
        <v>929.95487675823688</v>
      </c>
      <c r="G112" s="128">
        <f t="shared" si="21"/>
        <v>550.98320041537704</v>
      </c>
      <c r="H112" s="128">
        <f t="shared" si="22"/>
        <v>718.81668937319967</v>
      </c>
      <c r="I112" s="128">
        <f t="shared" ca="1" si="23"/>
        <v>4582.7743606734784</v>
      </c>
      <c r="J112" s="128">
        <f t="shared" ca="1" si="24"/>
        <v>0.10419508649735747</v>
      </c>
      <c r="K112" s="128">
        <f t="shared" si="25"/>
        <v>658.5390933351789</v>
      </c>
      <c r="L112" s="128">
        <f t="shared" ca="1" si="26"/>
        <v>3.758934453891575</v>
      </c>
      <c r="M112" s="32">
        <f t="shared" ca="1" si="27"/>
        <v>752.5327939936933</v>
      </c>
      <c r="N112" s="41">
        <f t="shared" si="18"/>
        <v>0.51493920000000015</v>
      </c>
      <c r="R112" s="32"/>
      <c r="AA112" s="38"/>
      <c r="AH112" s="2"/>
      <c r="AK112" s="21"/>
    </row>
    <row r="113" spans="1:50" ht="14.5">
      <c r="A113" s="141"/>
      <c r="B113" s="141"/>
      <c r="C113" s="141"/>
      <c r="D113" s="32">
        <f t="shared" si="19"/>
        <v>0.85000000000000053</v>
      </c>
      <c r="E113" s="67">
        <f t="shared" si="20"/>
        <v>0.83776790115621302</v>
      </c>
      <c r="F113" s="32">
        <f t="shared" si="17"/>
        <v>941.02576814821589</v>
      </c>
      <c r="G113" s="128">
        <f t="shared" si="21"/>
        <v>557.54252422984575</v>
      </c>
      <c r="H113" s="128">
        <f t="shared" si="22"/>
        <v>736.03324556708719</v>
      </c>
      <c r="I113" s="128">
        <f t="shared" ca="1" si="23"/>
        <v>4686.8416273175217</v>
      </c>
      <c r="J113" s="128">
        <f t="shared" ca="1" si="24"/>
        <v>0.10175785886856115</v>
      </c>
      <c r="K113" s="128">
        <f t="shared" si="25"/>
        <v>665.50953248551889</v>
      </c>
      <c r="L113" s="128">
        <f t="shared" ca="1" si="26"/>
        <v>3.675470563874343</v>
      </c>
      <c r="M113" s="32">
        <f t="shared" ca="1" si="27"/>
        <v>743.61192482330728</v>
      </c>
      <c r="N113" s="41">
        <f t="shared" si="18"/>
        <v>0.51908250000000011</v>
      </c>
      <c r="R113" s="32"/>
      <c r="AA113" s="38"/>
      <c r="AH113" s="2"/>
      <c r="AK113" s="21"/>
    </row>
    <row r="114" spans="1:50" ht="14.5">
      <c r="A114" s="141"/>
      <c r="B114" s="141"/>
      <c r="C114" s="141"/>
      <c r="D114" s="32">
        <f t="shared" si="19"/>
        <v>0.86000000000000054</v>
      </c>
      <c r="E114" s="67">
        <f t="shared" si="20"/>
        <v>0.83884685953594529</v>
      </c>
      <c r="F114" s="32">
        <f t="shared" si="17"/>
        <v>952.0966595381949</v>
      </c>
      <c r="G114" s="128">
        <f t="shared" si="21"/>
        <v>564.10184804431458</v>
      </c>
      <c r="H114" s="128">
        <f t="shared" si="22"/>
        <v>753.45354798812139</v>
      </c>
      <c r="I114" s="128">
        <f t="shared" ca="1" si="23"/>
        <v>4792.2752128190414</v>
      </c>
      <c r="J114" s="128">
        <f t="shared" ca="1" si="24"/>
        <v>9.9405155533444339E-2</v>
      </c>
      <c r="K114" s="128">
        <f t="shared" si="25"/>
        <v>672.47298077312803</v>
      </c>
      <c r="L114" s="128">
        <f t="shared" ca="1" si="26"/>
        <v>3.5946075034812384</v>
      </c>
      <c r="M114" s="32">
        <f t="shared" ca="1" si="27"/>
        <v>734.86139403616733</v>
      </c>
      <c r="N114" s="41">
        <f t="shared" si="18"/>
        <v>0.52317720000000023</v>
      </c>
      <c r="R114" s="32"/>
      <c r="AA114" s="38"/>
      <c r="AH114" s="2"/>
      <c r="AK114" s="21"/>
    </row>
    <row r="115" spans="1:50" ht="14.5">
      <c r="A115" s="141"/>
      <c r="B115" s="141"/>
      <c r="C115" s="141"/>
      <c r="D115" s="32">
        <f t="shared" si="19"/>
        <v>0.87000000000000055</v>
      </c>
      <c r="E115" s="67">
        <f t="shared" si="20"/>
        <v>0.83991192149311833</v>
      </c>
      <c r="F115" s="32">
        <f t="shared" si="17"/>
        <v>963.16755092817391</v>
      </c>
      <c r="G115" s="128">
        <f t="shared" si="21"/>
        <v>570.66117185878329</v>
      </c>
      <c r="H115" s="128">
        <f t="shared" si="22"/>
        <v>771.07759663630213</v>
      </c>
      <c r="I115" s="128">
        <f t="shared" ca="1" si="23"/>
        <v>4899.0703918383224</v>
      </c>
      <c r="J115" s="128">
        <f t="shared" ca="1" si="24"/>
        <v>9.7133112739510419E-2</v>
      </c>
      <c r="K115" s="128">
        <f t="shared" si="25"/>
        <v>679.42977978490205</v>
      </c>
      <c r="L115" s="128">
        <f t="shared" ca="1" si="26"/>
        <v>3.5162484024407896</v>
      </c>
      <c r="M115" s="32">
        <f t="shared" ca="1" si="27"/>
        <v>726.2785910676281</v>
      </c>
      <c r="N115" s="41">
        <f t="shared" si="18"/>
        <v>0.52722330000000017</v>
      </c>
      <c r="R115" s="32"/>
      <c r="AA115" s="38"/>
      <c r="AH115" s="2"/>
      <c r="AK115" s="21"/>
    </row>
    <row r="116" spans="1:50" ht="14.5">
      <c r="A116" s="141"/>
      <c r="B116" s="141"/>
      <c r="C116" s="141"/>
      <c r="D116" s="32">
        <f t="shared" si="19"/>
        <v>0.88000000000000056</v>
      </c>
      <c r="E116" s="67">
        <f t="shared" si="20"/>
        <v>0.84096312608052748</v>
      </c>
      <c r="F116" s="32">
        <f t="shared" si="17"/>
        <v>974.23844231815292</v>
      </c>
      <c r="G116" s="128">
        <f t="shared" si="21"/>
        <v>577.220495673252</v>
      </c>
      <c r="H116" s="128">
        <f t="shared" si="22"/>
        <v>788.90539151162955</v>
      </c>
      <c r="I116" s="128">
        <f t="shared" ca="1" si="23"/>
        <v>5007.2227120164043</v>
      </c>
      <c r="J116" s="128">
        <f t="shared" ca="1" si="24"/>
        <v>9.493808501102198E-2</v>
      </c>
      <c r="K116" s="128">
        <f t="shared" si="25"/>
        <v>686.3802677811816</v>
      </c>
      <c r="L116" s="128">
        <f t="shared" ca="1" si="26"/>
        <v>3.4403000284781498</v>
      </c>
      <c r="M116" s="32">
        <f t="shared" ca="1" si="27"/>
        <v>717.86077765585503</v>
      </c>
      <c r="N116" s="41">
        <f t="shared" si="18"/>
        <v>0.53122080000000016</v>
      </c>
      <c r="R116" s="32"/>
      <c r="AA116" s="38"/>
      <c r="AH116" s="2"/>
      <c r="AK116" s="21"/>
    </row>
    <row r="117" spans="1:50" ht="14.5">
      <c r="A117" s="141"/>
      <c r="B117" s="141"/>
      <c r="C117" s="141"/>
      <c r="D117" s="32">
        <f t="shared" si="19"/>
        <v>0.89000000000000057</v>
      </c>
      <c r="E117" s="67">
        <f t="shared" si="20"/>
        <v>0.84200051188188318</v>
      </c>
      <c r="F117" s="32">
        <f t="shared" si="17"/>
        <v>985.30933370813193</v>
      </c>
      <c r="G117" s="128">
        <f t="shared" si="21"/>
        <v>583.77981948772094</v>
      </c>
      <c r="H117" s="128">
        <f t="shared" si="22"/>
        <v>806.93693261410351</v>
      </c>
      <c r="I117" s="128">
        <f t="shared" ca="1" si="23"/>
        <v>5116.7279752689092</v>
      </c>
      <c r="J117" s="128">
        <f t="shared" ca="1" si="24"/>
        <v>9.2816630517024906E-2</v>
      </c>
      <c r="K117" s="128">
        <f t="shared" si="25"/>
        <v>693.32477979492523</v>
      </c>
      <c r="L117" s="128">
        <f t="shared" ca="1" si="26"/>
        <v>3.366672709983404</v>
      </c>
      <c r="M117" s="32">
        <f t="shared" ca="1" si="27"/>
        <v>709.60511487591521</v>
      </c>
      <c r="N117" s="41">
        <f t="shared" si="18"/>
        <v>0.53516970000000008</v>
      </c>
      <c r="R117" s="32"/>
      <c r="AA117" s="38"/>
      <c r="AH117" s="2"/>
      <c r="AK117" s="21"/>
    </row>
    <row r="118" spans="1:50" ht="14.5">
      <c r="A118" s="141"/>
      <c r="B118" s="141"/>
      <c r="C118" s="141"/>
      <c r="D118" s="32">
        <f t="shared" si="19"/>
        <v>0.90000000000000058</v>
      </c>
      <c r="E118" s="67">
        <f t="shared" si="20"/>
        <v>0.84302411701181001</v>
      </c>
      <c r="F118" s="32">
        <f t="shared" si="17"/>
        <v>996.38022509811094</v>
      </c>
      <c r="G118" s="128">
        <f t="shared" si="21"/>
        <v>590.33914330218965</v>
      </c>
      <c r="H118" s="128">
        <f t="shared" si="22"/>
        <v>825.17221994372414</v>
      </c>
      <c r="I118" s="128">
        <f t="shared" ca="1" si="23"/>
        <v>5227.5822205583463</v>
      </c>
      <c r="J118" s="128">
        <f t="shared" ca="1" si="24"/>
        <v>9.0765497571031389E-2</v>
      </c>
      <c r="K118" s="128">
        <f t="shared" si="25"/>
        <v>700.26364772897659</v>
      </c>
      <c r="L118" s="128">
        <f t="shared" ca="1" si="26"/>
        <v>3.2952802484867596</v>
      </c>
      <c r="M118" s="32">
        <f t="shared" ca="1" si="27"/>
        <v>701.50868668194289</v>
      </c>
      <c r="N118" s="41">
        <f t="shared" si="18"/>
        <v>0.53907000000000005</v>
      </c>
      <c r="R118" s="32"/>
      <c r="AA118" s="38"/>
      <c r="AH118" s="2"/>
      <c r="AK118" s="21"/>
    </row>
    <row r="119" spans="1:50" ht="14.5">
      <c r="A119" s="141"/>
      <c r="B119" s="141"/>
      <c r="C119" s="141"/>
      <c r="D119" s="32">
        <f t="shared" si="19"/>
        <v>0.91000000000000059</v>
      </c>
      <c r="E119" s="67">
        <f t="shared" si="20"/>
        <v>0.84403397911584754</v>
      </c>
      <c r="F119" s="32">
        <f t="shared" si="17"/>
        <v>1007.45111648809</v>
      </c>
      <c r="G119" s="128">
        <f t="shared" si="21"/>
        <v>596.89846711665848</v>
      </c>
      <c r="H119" s="128">
        <f t="shared" si="22"/>
        <v>843.61125350049133</v>
      </c>
      <c r="I119" s="128">
        <f t="shared" ca="1" si="23"/>
        <v>5339.7817080128516</v>
      </c>
      <c r="J119" s="128">
        <f t="shared" ca="1" si="24"/>
        <v>8.878161216342885E-2</v>
      </c>
      <c r="K119" s="128">
        <f t="shared" si="25"/>
        <v>707.19720045148972</v>
      </c>
      <c r="L119" s="128">
        <f t="shared" ca="1" si="26"/>
        <v>3.2260398234813037</v>
      </c>
      <c r="M119" s="32">
        <f t="shared" ca="1" si="27"/>
        <v>693.56852037367355</v>
      </c>
      <c r="N119" s="41">
        <f t="shared" si="18"/>
        <v>0.54292170000000017</v>
      </c>
      <c r="R119" s="32"/>
      <c r="AA119" s="38"/>
      <c r="AH119" s="2"/>
      <c r="AK119" s="21"/>
    </row>
    <row r="120" spans="1:50" ht="14.5">
      <c r="A120" s="141"/>
      <c r="B120" s="141"/>
      <c r="C120" s="141"/>
      <c r="D120" s="32">
        <f t="shared" si="19"/>
        <v>0.9200000000000006</v>
      </c>
      <c r="E120" s="67">
        <f t="shared" si="20"/>
        <v>0.84503013537045013</v>
      </c>
      <c r="F120" s="32">
        <f t="shared" si="17"/>
        <v>1018.522007878069</v>
      </c>
      <c r="G120" s="128">
        <f t="shared" si="21"/>
        <v>603.45779093112719</v>
      </c>
      <c r="H120" s="128">
        <f t="shared" si="22"/>
        <v>862.25403328440507</v>
      </c>
      <c r="I120" s="128">
        <f t="shared" ca="1" si="23"/>
        <v>5453.3229042724424</v>
      </c>
      <c r="J120" s="128">
        <f t="shared" ca="1" si="24"/>
        <v>8.6862066437305555E-2</v>
      </c>
      <c r="K120" s="128">
        <f t="shared" si="25"/>
        <v>714.12576388956734</v>
      </c>
      <c r="L120" s="128">
        <f t="shared" ca="1" si="26"/>
        <v>3.1588718917140182</v>
      </c>
      <c r="M120" s="32">
        <f t="shared" ca="1" si="27"/>
        <v>685.78160435482948</v>
      </c>
      <c r="N120" s="41">
        <f t="shared" si="18"/>
        <v>0.54672480000000012</v>
      </c>
      <c r="AA120" s="38"/>
      <c r="AH120" s="2"/>
    </row>
    <row r="121" spans="1:50" ht="14.5">
      <c r="A121" s="141"/>
      <c r="B121" s="141"/>
      <c r="C121" s="141"/>
      <c r="D121" s="32">
        <f t="shared" si="19"/>
        <v>0.9300000000000006</v>
      </c>
      <c r="E121" s="67">
        <f t="shared" si="20"/>
        <v>0.84601262248298692</v>
      </c>
      <c r="F121" s="32">
        <f t="shared" si="17"/>
        <v>1029.5928992680481</v>
      </c>
      <c r="G121" s="128">
        <f t="shared" si="21"/>
        <v>610.01711474559602</v>
      </c>
      <c r="H121" s="128">
        <f t="shared" si="22"/>
        <v>881.10055929546559</v>
      </c>
      <c r="I121" s="128">
        <f t="shared" ca="1" si="23"/>
        <v>5568.2024689555356</v>
      </c>
      <c r="J121" s="128">
        <f t="shared" ca="1" si="24"/>
        <v>8.5004108026980468E-2</v>
      </c>
      <c r="K121" s="128">
        <f t="shared" si="25"/>
        <v>721.04966112117711</v>
      </c>
      <c r="L121" s="128">
        <f t="shared" ca="1" si="26"/>
        <v>3.0937000827086902</v>
      </c>
      <c r="M121" s="32">
        <f t="shared" ca="1" si="27"/>
        <v>678.14490350771337</v>
      </c>
      <c r="N121" s="41">
        <f t="shared" si="18"/>
        <v>0.55047930000000012</v>
      </c>
      <c r="AA121" s="38"/>
      <c r="AH121" s="2"/>
    </row>
    <row r="122" spans="1:50" ht="14.5">
      <c r="A122" s="32"/>
      <c r="B122" s="32"/>
      <c r="C122" s="32"/>
      <c r="D122" s="32">
        <f t="shared" si="19"/>
        <v>0.94000000000000061</v>
      </c>
      <c r="E122" s="67">
        <f t="shared" si="20"/>
        <v>0.84698147669174173</v>
      </c>
      <c r="F122" s="32">
        <f t="shared" si="17"/>
        <v>1040.663790658027</v>
      </c>
      <c r="G122" s="128">
        <f t="shared" si="21"/>
        <v>616.57643856006473</v>
      </c>
      <c r="H122" s="128">
        <f t="shared" si="22"/>
        <v>900.15083153367232</v>
      </c>
      <c r="I122" s="128">
        <f t="shared" ca="1" si="23"/>
        <v>5684.4172421489147</v>
      </c>
      <c r="J122" s="128">
        <f t="shared" ca="1" si="24"/>
        <v>8.3205130186210313E-2</v>
      </c>
      <c r="K122" s="128">
        <f t="shared" si="25"/>
        <v>727.96921246539523</v>
      </c>
      <c r="L122" s="128">
        <f t="shared" ca="1" si="26"/>
        <v>3.0304510919811181</v>
      </c>
      <c r="M122" s="32">
        <f t="shared" ca="1" si="27"/>
        <v>670.65537247021166</v>
      </c>
      <c r="N122" s="41">
        <f t="shared" si="18"/>
        <v>0.55418520000000004</v>
      </c>
      <c r="P122" s="21"/>
      <c r="S122" s="21"/>
      <c r="T122" s="21"/>
      <c r="U122" s="21"/>
      <c r="V122" s="21"/>
      <c r="Y122" s="21"/>
      <c r="Z122" s="21"/>
      <c r="AA122" s="21"/>
      <c r="AB122" s="21"/>
      <c r="AD122" s="21"/>
      <c r="AH122" s="21"/>
    </row>
    <row r="123" spans="1:50" ht="14.5">
      <c r="A123" s="141"/>
      <c r="B123" s="141"/>
      <c r="C123" s="141"/>
      <c r="D123" s="32">
        <f t="shared" si="19"/>
        <v>0.95000000000000062</v>
      </c>
      <c r="E123" s="67">
        <f t="shared" si="20"/>
        <v>0.84793673376591305</v>
      </c>
      <c r="F123" s="32">
        <f t="shared" si="17"/>
        <v>1051.7346820480059</v>
      </c>
      <c r="G123" s="128">
        <f t="shared" si="21"/>
        <v>623.13576237453344</v>
      </c>
      <c r="H123" s="128">
        <f t="shared" si="22"/>
        <v>919.4048499990256</v>
      </c>
      <c r="I123" s="128">
        <f t="shared" ca="1" si="23"/>
        <v>5801.9642328336713</v>
      </c>
      <c r="J123" s="128">
        <f t="shared" ca="1" si="24"/>
        <v>8.1462662639928476E-2</v>
      </c>
      <c r="K123" s="128">
        <f t="shared" si="25"/>
        <v>734.88473557103896</v>
      </c>
      <c r="L123" s="128">
        <f t="shared" ca="1" si="26"/>
        <v>2.9690545731498159</v>
      </c>
      <c r="M123" s="32">
        <f t="shared" ca="1" si="27"/>
        <v>663.30996706775545</v>
      </c>
      <c r="N123" s="41">
        <f t="shared" si="18"/>
        <v>0.55784250000000013</v>
      </c>
      <c r="X123" s="21"/>
      <c r="Y123" s="21"/>
      <c r="Z123" s="21"/>
      <c r="AA123" s="21"/>
      <c r="AB123" s="21"/>
      <c r="AD123" s="21"/>
      <c r="AE123" s="21"/>
      <c r="AF123" s="21"/>
      <c r="AJ123" s="21"/>
      <c r="AO123" s="21"/>
      <c r="AP123" s="15"/>
      <c r="AQ123" s="16"/>
      <c r="AR123" s="16"/>
      <c r="AS123" s="17"/>
      <c r="AT123" s="18"/>
      <c r="AU123" s="18"/>
      <c r="AV123" s="19"/>
      <c r="AW123" s="40"/>
      <c r="AX123" s="19"/>
    </row>
    <row r="124" spans="1:50" ht="14.5">
      <c r="A124" s="141"/>
      <c r="B124" s="141"/>
      <c r="C124" s="141"/>
      <c r="D124" s="32">
        <f t="shared" si="19"/>
        <v>0.96000000000000063</v>
      </c>
      <c r="E124" s="67">
        <f t="shared" si="20"/>
        <v>0.84887842900561428</v>
      </c>
      <c r="F124" s="32">
        <f t="shared" si="17"/>
        <v>1062.805573437985</v>
      </c>
      <c r="G124" s="128">
        <f t="shared" si="21"/>
        <v>629.69508618900238</v>
      </c>
      <c r="H124" s="128">
        <f t="shared" si="22"/>
        <v>938.86261469152601</v>
      </c>
      <c r="I124" s="128">
        <f t="shared" ca="1" si="23"/>
        <v>5920.8406081679077</v>
      </c>
      <c r="J124" s="128">
        <f t="shared" ca="1" si="24"/>
        <v>7.9774363099539322E-2</v>
      </c>
      <c r="K124" s="128">
        <f t="shared" si="25"/>
        <v>741.79654550373516</v>
      </c>
      <c r="L124" s="128">
        <f t="shared" ca="1" si="26"/>
        <v>2.9094430299276106</v>
      </c>
      <c r="M124" s="32">
        <f t="shared" ca="1" si="27"/>
        <v>656.10565412303845</v>
      </c>
      <c r="N124" s="41">
        <f t="shared" si="18"/>
        <v>0.56145120000000015</v>
      </c>
      <c r="Y124" s="21"/>
      <c r="Z124" s="21"/>
      <c r="AA124" s="21"/>
      <c r="AB124" s="21"/>
      <c r="AD124" s="21"/>
      <c r="AE124" s="21"/>
      <c r="AF124" s="21"/>
      <c r="AJ124" s="21"/>
    </row>
    <row r="125" spans="1:50" ht="14.5">
      <c r="A125" s="141"/>
      <c r="B125" s="141"/>
      <c r="C125" s="141"/>
      <c r="D125" s="32">
        <f t="shared" si="19"/>
        <v>0.97000000000000064</v>
      </c>
      <c r="E125" s="67">
        <f t="shared" si="20"/>
        <v>0.84980659724187346</v>
      </c>
      <c r="F125" s="32">
        <f t="shared" si="17"/>
        <v>1073.8764648279641</v>
      </c>
      <c r="G125" s="128">
        <f t="shared" si="21"/>
        <v>636.25441000347109</v>
      </c>
      <c r="H125" s="128">
        <f t="shared" si="22"/>
        <v>958.52412561117296</v>
      </c>
      <c r="I125" s="128">
        <f t="shared" ca="1" si="23"/>
        <v>6041.043683554487</v>
      </c>
      <c r="J125" s="128">
        <f t="shared" ca="1" si="24"/>
        <v>7.8138009387326415E-2</v>
      </c>
      <c r="K125" s="128">
        <f t="shared" si="25"/>
        <v>748.70495483148056</v>
      </c>
      <c r="L125" s="128">
        <f t="shared" ca="1" si="26"/>
        <v>2.8515517087952378</v>
      </c>
      <c r="M125" s="32">
        <f t="shared" ca="1" si="27"/>
        <v>649.03941984006372</v>
      </c>
      <c r="N125" s="41">
        <f t="shared" si="18"/>
        <v>0.56501130000000011</v>
      </c>
      <c r="R125" s="21"/>
      <c r="AA125" s="38"/>
      <c r="AD125" s="21"/>
      <c r="AH125" s="2"/>
      <c r="AK125" s="21"/>
      <c r="AN125" s="21"/>
    </row>
    <row r="126" spans="1:50" ht="14.5">
      <c r="A126" s="141"/>
      <c r="B126" s="141"/>
      <c r="C126" s="141"/>
      <c r="D126" s="32">
        <f t="shared" si="19"/>
        <v>0.98000000000000065</v>
      </c>
      <c r="E126" s="67">
        <f t="shared" si="20"/>
        <v>0.85072127283663324</v>
      </c>
      <c r="F126" s="32">
        <f t="shared" si="17"/>
        <v>1084.947356217943</v>
      </c>
      <c r="G126" s="128">
        <f t="shared" si="21"/>
        <v>642.81373381793981</v>
      </c>
      <c r="H126" s="128">
        <f t="shared" si="22"/>
        <v>978.38938275796625</v>
      </c>
      <c r="I126" s="128">
        <f t="shared" ca="1" si="23"/>
        <v>6162.57091342883</v>
      </c>
      <c r="J126" s="128">
        <f t="shared" ca="1" si="24"/>
        <v>7.6551492120507519E-2</v>
      </c>
      <c r="K126" s="128">
        <f t="shared" si="25"/>
        <v>755.61027370874433</v>
      </c>
      <c r="L126" s="128">
        <f t="shared" ca="1" si="26"/>
        <v>2.7953184930024282</v>
      </c>
      <c r="M126" s="32">
        <f t="shared" ca="1" si="27"/>
        <v>642.10827693591671</v>
      </c>
      <c r="N126" s="41">
        <f t="shared" si="18"/>
        <v>0.56852280000000011</v>
      </c>
      <c r="R126" s="21"/>
      <c r="AA126" s="38"/>
      <c r="AD126" s="21"/>
      <c r="AH126" s="2"/>
      <c r="AK126" s="21"/>
      <c r="AN126" s="21"/>
    </row>
    <row r="127" spans="1:50" ht="14.5">
      <c r="A127" s="141"/>
      <c r="B127" s="141"/>
      <c r="C127" s="141"/>
      <c r="D127" s="32">
        <f t="shared" si="19"/>
        <v>0.99000000000000066</v>
      </c>
      <c r="E127" s="67">
        <f t="shared" si="20"/>
        <v>0.85162248968275134</v>
      </c>
      <c r="F127" s="32">
        <f t="shared" si="17"/>
        <v>1096.0182476079221</v>
      </c>
      <c r="G127" s="128">
        <f t="shared" si="21"/>
        <v>649.37305763240875</v>
      </c>
      <c r="H127" s="128">
        <f t="shared" si="22"/>
        <v>998.45838613190642</v>
      </c>
      <c r="I127" s="128">
        <f t="shared" ca="1" si="23"/>
        <v>6285.4198827076807</v>
      </c>
      <c r="J127" s="128">
        <f t="shared" ca="1" si="24"/>
        <v>7.5012807909943274E-2</v>
      </c>
      <c r="K127" s="128">
        <f t="shared" si="25"/>
        <v>762.51280995915795</v>
      </c>
      <c r="L127" s="128">
        <f t="shared" ca="1" si="26"/>
        <v>2.7406837984108674</v>
      </c>
      <c r="M127" s="32">
        <f t="shared" ca="1" si="27"/>
        <v>635.30927067324615</v>
      </c>
      <c r="N127" s="41">
        <f t="shared" si="18"/>
        <v>0.57198570000000015</v>
      </c>
      <c r="R127" s="21"/>
      <c r="AA127" s="38"/>
      <c r="AD127" s="21"/>
      <c r="AH127" s="2"/>
      <c r="AK127" s="21"/>
      <c r="AN127" s="21"/>
    </row>
    <row r="128" spans="1:50" ht="14.5">
      <c r="A128" s="141"/>
      <c r="B128" s="141"/>
      <c r="C128" s="141"/>
      <c r="D128" s="32">
        <f t="shared" si="19"/>
        <v>1.0000000000000007</v>
      </c>
      <c r="E128" s="67">
        <f t="shared" si="20"/>
        <v>0.85251028120399996</v>
      </c>
      <c r="F128" s="32">
        <f t="shared" si="17"/>
        <v>1107.089138997901</v>
      </c>
      <c r="G128" s="128">
        <f t="shared" si="21"/>
        <v>655.93238144687746</v>
      </c>
      <c r="H128" s="128">
        <f t="shared" si="22"/>
        <v>1018.7311357329927</v>
      </c>
      <c r="I128" s="128">
        <f t="shared" ca="1" si="23"/>
        <v>6409.5882988451931</v>
      </c>
      <c r="J128" s="128">
        <f t="shared" ca="1" si="24"/>
        <v>7.3520053032535421E-2</v>
      </c>
      <c r="K128" s="128">
        <f t="shared" si="25"/>
        <v>769.41286915684395</v>
      </c>
      <c r="L128" s="128">
        <f t="shared" ca="1" si="26"/>
        <v>2.6875904715830381</v>
      </c>
      <c r="M128" s="32">
        <f t="shared" ca="1" si="27"/>
        <v>628.63948392839586</v>
      </c>
      <c r="N128" s="41">
        <f t="shared" si="18"/>
        <v>0.57540000000000013</v>
      </c>
      <c r="R128" s="21"/>
      <c r="AA128" s="38"/>
      <c r="AD128" s="21"/>
      <c r="AH128" s="2"/>
      <c r="AK128" s="21"/>
      <c r="AN128" s="21"/>
    </row>
    <row r="129" spans="8:50" ht="14.5">
      <c r="H129" s="21"/>
      <c r="L129" s="21"/>
      <c r="S129" s="21"/>
      <c r="AB129" s="38"/>
      <c r="AE129" s="21"/>
      <c r="AI129" s="2"/>
      <c r="AL129" s="21"/>
      <c r="AO129" s="21"/>
    </row>
    <row r="130" spans="8:50" ht="14.5">
      <c r="H130" s="21"/>
      <c r="L130" s="21"/>
      <c r="S130" s="21"/>
      <c r="AB130" s="38"/>
      <c r="AE130" s="21"/>
      <c r="AI130" s="2"/>
      <c r="AL130" s="21"/>
      <c r="AO130" s="21"/>
    </row>
    <row r="131" spans="8:50" ht="14.5">
      <c r="H131" s="21"/>
      <c r="L131" s="21"/>
      <c r="S131" s="21"/>
      <c r="AB131" s="38"/>
      <c r="AE131" s="21"/>
      <c r="AI131" s="2"/>
      <c r="AL131" s="21"/>
      <c r="AO131" s="21"/>
    </row>
    <row r="132" spans="8:50" ht="14.5">
      <c r="H132" s="21"/>
      <c r="L132" s="21"/>
      <c r="S132" s="21"/>
      <c r="AB132" s="38"/>
      <c r="AE132" s="21"/>
      <c r="AI132" s="2"/>
      <c r="AL132" s="21"/>
      <c r="AO132" s="21"/>
    </row>
    <row r="133" spans="8:50" ht="14.5">
      <c r="H133" s="21"/>
      <c r="L133" s="21"/>
      <c r="S133" s="21"/>
      <c r="AB133" s="38"/>
      <c r="AE133" s="21"/>
      <c r="AI133" s="2"/>
      <c r="AL133" s="21"/>
      <c r="AO133" s="21"/>
    </row>
    <row r="134" spans="8:50" ht="14.5">
      <c r="H134" s="21"/>
      <c r="L134" s="21"/>
      <c r="S134" s="21"/>
      <c r="AB134" s="38"/>
      <c r="AE134" s="21"/>
      <c r="AI134" s="2"/>
      <c r="AL134" s="21"/>
      <c r="AO134" s="21"/>
    </row>
    <row r="135" spans="8:50" ht="14.5">
      <c r="H135" s="21"/>
      <c r="L135" s="21"/>
      <c r="S135" s="21"/>
      <c r="AB135" s="38"/>
      <c r="AE135" s="21"/>
      <c r="AI135" s="2"/>
      <c r="AL135" s="21"/>
      <c r="AO135" s="21"/>
    </row>
    <row r="136" spans="8:50" ht="14.5">
      <c r="H136" s="21"/>
      <c r="L136" s="21"/>
      <c r="S136" s="21"/>
      <c r="AB136" s="38"/>
      <c r="AE136" s="21"/>
      <c r="AI136" s="2"/>
      <c r="AL136" s="21"/>
      <c r="AO136" s="21"/>
    </row>
    <row r="137" spans="8:50" ht="14.5">
      <c r="H137" s="21"/>
      <c r="L137" s="21"/>
      <c r="S137" s="21"/>
      <c r="AB137" s="38"/>
      <c r="AE137" s="21"/>
      <c r="AI137" s="2"/>
      <c r="AL137" s="21"/>
      <c r="AO137" s="21"/>
    </row>
    <row r="138" spans="8:50" ht="14.5">
      <c r="H138" s="21"/>
      <c r="L138" s="21"/>
      <c r="S138" s="21"/>
      <c r="AB138" s="38"/>
      <c r="AE138" s="21"/>
      <c r="AI138" s="2"/>
      <c r="AL138" s="21"/>
      <c r="AO138" s="21"/>
    </row>
    <row r="139" spans="8:50" ht="14.5">
      <c r="H139" s="21"/>
      <c r="L139" s="21"/>
      <c r="S139" s="21"/>
      <c r="AB139" s="38"/>
      <c r="AE139" s="21"/>
      <c r="AI139" s="2"/>
      <c r="AL139" s="21"/>
      <c r="AO139" s="21"/>
    </row>
    <row r="140" spans="8:50" ht="14.5">
      <c r="H140" s="21"/>
      <c r="L140" s="21"/>
      <c r="S140" s="21"/>
      <c r="AB140" s="38"/>
      <c r="AE140" s="21"/>
      <c r="AI140" s="2"/>
      <c r="AL140" s="21"/>
      <c r="AO140" s="21"/>
    </row>
    <row r="141" spans="8:50" ht="14.5">
      <c r="H141" s="21"/>
      <c r="L141" s="21"/>
      <c r="S141" s="21"/>
      <c r="AB141" s="38"/>
      <c r="AE141" s="21"/>
      <c r="AI141" s="2"/>
      <c r="AL141" s="21"/>
      <c r="AO141" s="21"/>
    </row>
    <row r="142" spans="8:50" ht="14.5">
      <c r="H142" s="21"/>
      <c r="L142" s="21"/>
      <c r="S142" s="21"/>
      <c r="AB142" s="38"/>
      <c r="AE142" s="21"/>
      <c r="AI142" s="2"/>
      <c r="AL142" s="21"/>
      <c r="AO142" s="21"/>
    </row>
    <row r="143" spans="8:50" ht="14.5">
      <c r="H143" s="21"/>
      <c r="L143" s="21"/>
      <c r="S143" s="21"/>
      <c r="AB143" s="38"/>
      <c r="AE143" s="21"/>
      <c r="AI143" s="2"/>
      <c r="AL143" s="21"/>
      <c r="AO143" s="21"/>
      <c r="AT143" s="18"/>
      <c r="AU143" s="18"/>
      <c r="AV143" s="19"/>
      <c r="AW143" s="40"/>
      <c r="AX143" s="19"/>
    </row>
    <row r="144" spans="8:50" ht="14.5">
      <c r="H144" s="21"/>
      <c r="L144" s="21"/>
      <c r="S144" s="21"/>
      <c r="AB144" s="38"/>
      <c r="AE144" s="21"/>
      <c r="AI144" s="2"/>
      <c r="AL144" s="21"/>
      <c r="AO144" s="21"/>
    </row>
    <row r="145" spans="1:45" ht="14.5">
      <c r="H145" s="21"/>
      <c r="L145" s="21"/>
      <c r="S145" s="21"/>
      <c r="AB145" s="38"/>
      <c r="AE145" s="21"/>
      <c r="AI145" s="2"/>
      <c r="AL145" s="21"/>
      <c r="AO145" s="21"/>
    </row>
    <row r="146" spans="1:45" ht="14.5">
      <c r="AB146" s="38"/>
      <c r="AI146" s="2"/>
    </row>
    <row r="147" spans="1:45" ht="14.5">
      <c r="AB147" s="38"/>
      <c r="AI147" s="2"/>
    </row>
    <row r="148" spans="1:45" ht="14.5">
      <c r="A148" s="21"/>
      <c r="C148" s="21"/>
      <c r="L148" s="21"/>
      <c r="Q148" s="21"/>
      <c r="S148" s="21"/>
      <c r="T148" s="21"/>
      <c r="U148" s="21"/>
      <c r="V148" s="21"/>
      <c r="W148" s="21"/>
      <c r="Z148" s="21"/>
      <c r="AA148" s="21"/>
      <c r="AB148" s="21"/>
      <c r="AC148" s="21"/>
      <c r="AE148" s="21"/>
      <c r="AI148" s="21"/>
    </row>
    <row r="149" spans="1:45" ht="14.5">
      <c r="L149" s="2"/>
      <c r="M149" s="2"/>
      <c r="Y149" s="21"/>
      <c r="Z149" s="21"/>
      <c r="AA149" s="21"/>
      <c r="AB149" s="21"/>
      <c r="AC149" s="21"/>
      <c r="AE149" s="21"/>
      <c r="AF149" s="21"/>
      <c r="AG149" s="21"/>
      <c r="AK149" s="21"/>
      <c r="AP149" s="21"/>
      <c r="AQ149" s="15"/>
      <c r="AR149" s="16"/>
      <c r="AS149" s="16"/>
    </row>
    <row r="150" spans="1:45" ht="14.5">
      <c r="Z150" s="21"/>
      <c r="AA150" s="21"/>
      <c r="AB150" s="21"/>
      <c r="AC150" s="21"/>
      <c r="AE150" s="21"/>
      <c r="AF150" s="21"/>
      <c r="AG150" s="21"/>
      <c r="AK150" s="21"/>
    </row>
    <row r="151" spans="1:45" ht="14.5">
      <c r="E151" s="21"/>
      <c r="F151" s="21"/>
      <c r="H151" s="21"/>
      <c r="L151" s="21"/>
      <c r="S151" s="32"/>
      <c r="AB151" s="38"/>
      <c r="AD151" s="21"/>
      <c r="AI151" s="2"/>
      <c r="AL151" s="21"/>
    </row>
    <row r="152" spans="1:45" ht="14.5">
      <c r="L152" s="21"/>
      <c r="S152" s="32"/>
      <c r="AB152" s="38"/>
      <c r="AD152" s="21"/>
      <c r="AI152" s="2"/>
      <c r="AL152" s="21"/>
    </row>
    <row r="153" spans="1:45" ht="14.5">
      <c r="L153" s="21"/>
      <c r="S153" s="32"/>
      <c r="AB153" s="38"/>
      <c r="AD153" s="21"/>
      <c r="AI153" s="2"/>
      <c r="AL153" s="21"/>
    </row>
    <row r="154" spans="1:45" ht="14.5">
      <c r="L154" s="21"/>
      <c r="S154" s="32"/>
      <c r="AB154" s="38"/>
      <c r="AD154" s="21"/>
      <c r="AI154" s="2"/>
      <c r="AL154" s="21"/>
    </row>
    <row r="155" spans="1:45" ht="14.5">
      <c r="L155" s="21"/>
      <c r="S155" s="32"/>
      <c r="AB155" s="38"/>
      <c r="AD155" s="21"/>
      <c r="AI155" s="2"/>
      <c r="AL155" s="21"/>
    </row>
    <row r="156" spans="1:45" ht="14.5">
      <c r="L156" s="21"/>
      <c r="S156" s="32"/>
      <c r="AB156" s="38"/>
      <c r="AD156" s="21"/>
      <c r="AI156" s="2"/>
      <c r="AL156" s="21"/>
    </row>
    <row r="157" spans="1:45" ht="14.5">
      <c r="L157" s="21"/>
      <c r="S157" s="32"/>
      <c r="AB157" s="38"/>
      <c r="AD157" s="21"/>
      <c r="AI157" s="2"/>
      <c r="AL157" s="21"/>
    </row>
    <row r="158" spans="1:45" ht="14.5">
      <c r="L158" s="21"/>
      <c r="S158" s="32"/>
      <c r="AB158" s="38"/>
      <c r="AD158" s="21"/>
      <c r="AI158" s="2"/>
      <c r="AL158" s="21"/>
    </row>
    <row r="159" spans="1:45" ht="14.5">
      <c r="L159" s="21"/>
      <c r="S159" s="32"/>
      <c r="AB159" s="38"/>
      <c r="AD159" s="21"/>
      <c r="AI159" s="2"/>
      <c r="AL159" s="21"/>
    </row>
    <row r="160" spans="1:45" ht="14.5">
      <c r="L160" s="21"/>
      <c r="S160" s="32"/>
      <c r="AB160" s="38"/>
      <c r="AD160" s="21"/>
      <c r="AI160" s="2"/>
      <c r="AL160" s="21"/>
    </row>
    <row r="161" spans="12:51" ht="14.5">
      <c r="L161" s="21"/>
      <c r="S161" s="32"/>
      <c r="AB161" s="38"/>
      <c r="AD161" s="21"/>
      <c r="AI161" s="2"/>
      <c r="AL161" s="21"/>
    </row>
    <row r="162" spans="12:51" ht="14.5">
      <c r="L162" s="21"/>
      <c r="S162" s="32"/>
      <c r="AB162" s="38"/>
      <c r="AD162" s="21"/>
      <c r="AI162" s="2"/>
      <c r="AL162" s="21"/>
    </row>
    <row r="163" spans="12:51" ht="14.5">
      <c r="L163" s="21"/>
      <c r="S163" s="32"/>
      <c r="AB163" s="38"/>
      <c r="AD163" s="21"/>
      <c r="AI163" s="2"/>
      <c r="AL163" s="21"/>
    </row>
    <row r="164" spans="12:51" ht="14.5">
      <c r="L164" s="21"/>
      <c r="S164" s="32"/>
      <c r="AB164" s="38"/>
      <c r="AD164" s="21"/>
      <c r="AI164" s="2"/>
      <c r="AL164" s="21"/>
    </row>
    <row r="165" spans="12:51" ht="14.5">
      <c r="L165" s="21"/>
      <c r="S165" s="32"/>
      <c r="AB165" s="38"/>
      <c r="AD165" s="21"/>
      <c r="AI165" s="2"/>
      <c r="AL165" s="21"/>
    </row>
    <row r="166" spans="12:51" ht="14.5">
      <c r="L166" s="21"/>
      <c r="S166" s="32"/>
      <c r="AB166" s="38"/>
      <c r="AD166" s="21"/>
      <c r="AI166" s="2"/>
      <c r="AL166" s="21"/>
    </row>
    <row r="167" spans="12:51" ht="14.5">
      <c r="L167" s="21"/>
      <c r="S167" s="32"/>
      <c r="AB167" s="38"/>
      <c r="AD167" s="21"/>
      <c r="AI167" s="2"/>
      <c r="AL167" s="21"/>
    </row>
    <row r="168" spans="12:51" ht="14.5">
      <c r="L168" s="21"/>
      <c r="S168" s="32"/>
      <c r="AB168" s="38"/>
      <c r="AD168" s="21"/>
      <c r="AI168" s="2"/>
      <c r="AL168" s="21"/>
    </row>
    <row r="169" spans="12:51" ht="14.5">
      <c r="L169" s="21"/>
      <c r="S169" s="32"/>
      <c r="AB169" s="38"/>
      <c r="AD169" s="21"/>
      <c r="AI169" s="2"/>
      <c r="AL169" s="21"/>
      <c r="AT169" s="17"/>
      <c r="AU169" s="18"/>
      <c r="AV169" s="18"/>
      <c r="AW169" s="19"/>
      <c r="AX169" s="40"/>
      <c r="AY169" s="19"/>
    </row>
    <row r="170" spans="12:51" ht="14.5">
      <c r="L170" s="21"/>
      <c r="S170" s="32"/>
      <c r="AB170" s="38"/>
      <c r="AD170" s="21"/>
      <c r="AI170" s="2"/>
      <c r="AL170" s="21"/>
    </row>
    <row r="171" spans="12:51" ht="14.5">
      <c r="L171" s="21"/>
      <c r="S171" s="32"/>
      <c r="AB171" s="38"/>
      <c r="AD171" s="21"/>
      <c r="AI171" s="2"/>
      <c r="AL171" s="21"/>
    </row>
    <row r="172" spans="12:51" ht="14.5">
      <c r="L172" s="21"/>
      <c r="S172" s="21"/>
      <c r="AB172" s="38"/>
      <c r="AD172" s="21"/>
      <c r="AI172" s="2"/>
      <c r="AL172" s="21"/>
    </row>
    <row r="173" spans="12:51" ht="14.5">
      <c r="L173" s="21"/>
      <c r="S173" s="21"/>
      <c r="AB173" s="38"/>
      <c r="AD173" s="21"/>
      <c r="AI173" s="2"/>
      <c r="AL173" s="21"/>
    </row>
    <row r="174" spans="12:51" ht="14.5">
      <c r="L174" s="21"/>
      <c r="S174" s="21"/>
      <c r="AB174" s="38"/>
      <c r="AD174" s="21"/>
      <c r="AI174" s="2"/>
      <c r="AL174" s="21"/>
    </row>
    <row r="175" spans="12:51" ht="14.5">
      <c r="L175" s="21"/>
      <c r="S175" s="21"/>
      <c r="AB175" s="38"/>
      <c r="AD175" s="21"/>
      <c r="AI175" s="2"/>
      <c r="AL175" s="21"/>
    </row>
    <row r="176" spans="12:51" ht="14.5">
      <c r="L176" s="21"/>
      <c r="S176" s="32"/>
      <c r="AB176" s="38"/>
      <c r="AD176" s="21"/>
      <c r="AI176" s="2"/>
      <c r="AL176" s="21"/>
    </row>
    <row r="177" spans="1:45" ht="14.5">
      <c r="L177" s="21"/>
      <c r="S177" s="32"/>
      <c r="AB177" s="38"/>
      <c r="AD177" s="21"/>
      <c r="AI177" s="2"/>
      <c r="AL177" s="21"/>
    </row>
    <row r="178" spans="1:45" ht="14.5">
      <c r="L178" s="21"/>
      <c r="S178" s="32"/>
      <c r="AB178" s="38"/>
      <c r="AI178" s="2"/>
      <c r="AL178" s="21"/>
    </row>
    <row r="179" spans="1:45" ht="14.5">
      <c r="L179" s="21"/>
      <c r="S179" s="32"/>
      <c r="AB179" s="38"/>
      <c r="AD179" s="21"/>
      <c r="AI179" s="2"/>
      <c r="AL179" s="21"/>
    </row>
    <row r="180" spans="1:45" ht="14.5">
      <c r="L180" s="21"/>
      <c r="S180" s="32"/>
      <c r="AB180" s="38"/>
      <c r="AD180" s="21"/>
      <c r="AI180" s="2"/>
      <c r="AL180" s="21"/>
    </row>
    <row r="181" spans="1:45" ht="14.5">
      <c r="L181" s="21"/>
      <c r="S181" s="32"/>
      <c r="AB181" s="38"/>
      <c r="AD181" s="21"/>
      <c r="AI181" s="2"/>
      <c r="AL181" s="21"/>
    </row>
    <row r="182" spans="1:45" ht="14.5">
      <c r="L182" s="21"/>
      <c r="S182" s="32"/>
      <c r="AB182" s="38"/>
      <c r="AD182" s="21"/>
      <c r="AI182" s="2"/>
      <c r="AL182" s="21"/>
    </row>
    <row r="183" spans="1:45" ht="14.5">
      <c r="L183" s="21"/>
      <c r="S183" s="32"/>
      <c r="AB183" s="38"/>
      <c r="AD183" s="21"/>
      <c r="AI183" s="2"/>
      <c r="AL183" s="21"/>
    </row>
    <row r="184" spans="1:45" ht="14.5">
      <c r="L184" s="21"/>
      <c r="S184" s="32"/>
      <c r="AB184" s="38"/>
      <c r="AD184" s="21"/>
      <c r="AI184" s="2"/>
      <c r="AL184" s="21"/>
    </row>
    <row r="185" spans="1:45" ht="14.5">
      <c r="L185" s="21"/>
      <c r="S185" s="32"/>
      <c r="AB185" s="38"/>
      <c r="AD185" s="21"/>
      <c r="AI185" s="2"/>
      <c r="AL185" s="21"/>
    </row>
    <row r="186" spans="1:45" ht="14.5">
      <c r="L186" s="21"/>
      <c r="S186" s="32"/>
      <c r="AB186" s="38"/>
      <c r="AD186" s="21"/>
      <c r="AI186" s="2"/>
      <c r="AL186" s="21"/>
    </row>
    <row r="187" spans="1:45" ht="14.5">
      <c r="L187" s="21"/>
      <c r="S187" s="32"/>
      <c r="AB187" s="38"/>
      <c r="AD187" s="21"/>
      <c r="AI187" s="2"/>
      <c r="AL187" s="21"/>
    </row>
    <row r="188" spans="1:45" ht="14.5">
      <c r="L188" s="21"/>
      <c r="S188" s="32"/>
      <c r="AB188" s="38"/>
      <c r="AD188" s="21"/>
      <c r="AI188" s="2"/>
      <c r="AL188" s="21"/>
    </row>
    <row r="189" spans="1:45" ht="14.5">
      <c r="L189" s="21"/>
      <c r="S189" s="32"/>
      <c r="AB189" s="38"/>
      <c r="AD189" s="21"/>
      <c r="AI189" s="2"/>
      <c r="AL189" s="21"/>
    </row>
    <row r="190" spans="1:45" ht="14.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42"/>
      <c r="M190" s="28"/>
      <c r="N190" s="28"/>
      <c r="O190" s="28"/>
      <c r="P190" s="28"/>
      <c r="Q190" s="28"/>
      <c r="R190" s="28"/>
      <c r="S190" s="43"/>
      <c r="T190" s="28"/>
      <c r="U190" s="28"/>
      <c r="V190" s="28"/>
      <c r="W190" s="28"/>
      <c r="X190" s="28"/>
      <c r="Y190" s="28"/>
      <c r="Z190" s="28"/>
      <c r="AA190" s="28"/>
      <c r="AB190" s="44"/>
      <c r="AC190" s="28"/>
      <c r="AD190" s="42"/>
      <c r="AE190" s="28"/>
      <c r="AF190" s="28"/>
      <c r="AG190" s="28"/>
      <c r="AH190" s="28"/>
      <c r="AI190" s="45"/>
      <c r="AJ190" s="28"/>
      <c r="AK190" s="28"/>
      <c r="AL190" s="42"/>
      <c r="AM190" s="28"/>
      <c r="AN190" s="28"/>
      <c r="AO190" s="28"/>
      <c r="AP190" s="28"/>
      <c r="AQ190" s="28"/>
      <c r="AR190" s="28"/>
      <c r="AS190" s="28"/>
    </row>
    <row r="191" spans="1:45" ht="14.5">
      <c r="A191" s="46"/>
      <c r="B191" s="46"/>
      <c r="C191" s="46"/>
    </row>
    <row r="192" spans="1:45" ht="14.5">
      <c r="A192" s="46"/>
      <c r="B192" s="1" t="s">
        <v>58</v>
      </c>
      <c r="C192" s="47">
        <v>7800</v>
      </c>
      <c r="E192" s="21" t="s">
        <v>124</v>
      </c>
      <c r="F192" s="1">
        <f>SUM(AO201:AO231)+SUM(AO236:AO284)</f>
        <v>93.666165923163859</v>
      </c>
      <c r="G192" s="21" t="s">
        <v>49</v>
      </c>
    </row>
    <row r="193" spans="1:45" ht="14.5">
      <c r="A193" s="46"/>
      <c r="B193" s="1" t="s">
        <v>59</v>
      </c>
      <c r="C193" s="47">
        <v>3000</v>
      </c>
    </row>
    <row r="194" spans="1:45" ht="14.5">
      <c r="B194" s="21" t="s">
        <v>125</v>
      </c>
      <c r="C194" s="32">
        <v>594.56521317117927</v>
      </c>
    </row>
    <row r="195" spans="1:45" ht="14.5">
      <c r="B195" s="21" t="s">
        <v>126</v>
      </c>
      <c r="C195" s="1">
        <f>SUM(AN201:AN231)+SUM(AN236:AN282)</f>
        <v>461.14547410865367</v>
      </c>
    </row>
    <row r="196" spans="1:45" ht="14"/>
    <row r="197" spans="1:45" ht="14"/>
    <row r="198" spans="1:45" ht="14.5">
      <c r="A198" s="22" t="s">
        <v>3</v>
      </c>
      <c r="B198" s="4" t="s">
        <v>22</v>
      </c>
      <c r="C198" s="7">
        <v>3000</v>
      </c>
      <c r="D198" s="4" t="s">
        <v>9</v>
      </c>
      <c r="E198" s="4"/>
      <c r="F198" s="4"/>
      <c r="G198" s="4"/>
      <c r="H198" s="5"/>
      <c r="I198" s="5"/>
      <c r="J198" s="4"/>
      <c r="K198" s="4"/>
      <c r="L198" s="6" t="s">
        <v>60</v>
      </c>
      <c r="M198" s="4"/>
      <c r="N198" s="4"/>
      <c r="O198" s="4"/>
      <c r="P198" s="4"/>
      <c r="Q198" s="7"/>
      <c r="R198" s="4"/>
      <c r="S198" s="8"/>
      <c r="T198" s="7"/>
      <c r="U198" s="7"/>
      <c r="V198" s="7"/>
      <c r="W198" s="7"/>
      <c r="X198" s="4"/>
      <c r="Y198" s="4"/>
      <c r="Z198" s="9"/>
      <c r="AA198" s="9"/>
      <c r="AB198" s="7"/>
      <c r="AC198" s="7"/>
      <c r="AD198" s="5"/>
      <c r="AE198" s="7"/>
      <c r="AF198" s="4"/>
      <c r="AG198" s="4"/>
      <c r="AH198" s="4"/>
      <c r="AI198" s="7" t="s">
        <v>61</v>
      </c>
      <c r="AJ198" s="10"/>
      <c r="AK198" s="11"/>
      <c r="AL198" s="5"/>
      <c r="AM198" s="4"/>
      <c r="AN198" s="4"/>
      <c r="AO198" s="4"/>
      <c r="AP198" s="11"/>
      <c r="AQ198" s="11"/>
      <c r="AR198" s="11"/>
      <c r="AS198" s="11"/>
    </row>
    <row r="199" spans="1:45" ht="14.5">
      <c r="A199" s="4" t="s">
        <v>2</v>
      </c>
      <c r="B199" s="4" t="s">
        <v>2</v>
      </c>
      <c r="C199" s="4" t="s">
        <v>2</v>
      </c>
      <c r="D199" s="23" t="s">
        <v>23</v>
      </c>
      <c r="E199" s="4" t="s">
        <v>24</v>
      </c>
      <c r="F199" s="4" t="s">
        <v>25</v>
      </c>
      <c r="G199" s="4"/>
      <c r="H199" s="5" t="s">
        <v>0</v>
      </c>
      <c r="I199" s="5" t="s">
        <v>26</v>
      </c>
      <c r="J199" s="4" t="s">
        <v>27</v>
      </c>
      <c r="K199" s="4" t="s">
        <v>28</v>
      </c>
      <c r="L199" s="12" t="s">
        <v>29</v>
      </c>
      <c r="M199" s="13" t="s">
        <v>30</v>
      </c>
      <c r="N199" s="4" t="s">
        <v>31</v>
      </c>
      <c r="O199" s="4" t="s">
        <v>32</v>
      </c>
      <c r="P199" s="4" t="s">
        <v>33</v>
      </c>
      <c r="Q199" s="4" t="s">
        <v>34</v>
      </c>
      <c r="R199" s="4" t="s">
        <v>13</v>
      </c>
      <c r="S199" s="8" t="s">
        <v>35</v>
      </c>
      <c r="T199" s="4" t="s">
        <v>36</v>
      </c>
      <c r="U199" s="4" t="s">
        <v>37</v>
      </c>
      <c r="V199" s="4" t="s">
        <v>38</v>
      </c>
      <c r="W199" s="4" t="s">
        <v>39</v>
      </c>
      <c r="X199" s="4" t="s">
        <v>40</v>
      </c>
      <c r="Y199" s="7" t="s">
        <v>108</v>
      </c>
      <c r="Z199" s="35" t="s">
        <v>109</v>
      </c>
      <c r="AA199" s="9" t="s">
        <v>110</v>
      </c>
      <c r="AB199" s="7" t="s">
        <v>111</v>
      </c>
      <c r="AC199" s="7" t="s">
        <v>112</v>
      </c>
      <c r="AD199" s="5" t="s">
        <v>41</v>
      </c>
      <c r="AE199" s="7" t="s">
        <v>113</v>
      </c>
      <c r="AF199" s="7" t="s">
        <v>114</v>
      </c>
      <c r="AG199" s="7" t="s">
        <v>115</v>
      </c>
      <c r="AH199" s="4" t="s">
        <v>42</v>
      </c>
      <c r="AI199" s="4" t="s">
        <v>43</v>
      </c>
      <c r="AJ199" s="10" t="s">
        <v>35</v>
      </c>
      <c r="AK199" s="36" t="s">
        <v>116</v>
      </c>
      <c r="AL199" s="5" t="s">
        <v>44</v>
      </c>
      <c r="AM199" s="4" t="s">
        <v>45</v>
      </c>
      <c r="AN199" s="4" t="s">
        <v>46</v>
      </c>
      <c r="AO199" s="4" t="s">
        <v>47</v>
      </c>
      <c r="AP199" s="36" t="s">
        <v>85</v>
      </c>
      <c r="AQ199" s="15" t="s">
        <v>62</v>
      </c>
      <c r="AR199" s="16" t="s">
        <v>63</v>
      </c>
      <c r="AS199" s="16" t="s">
        <v>64</v>
      </c>
    </row>
    <row r="200" spans="1:45" ht="14.5">
      <c r="A200" s="4" t="s">
        <v>18</v>
      </c>
      <c r="B200" s="4" t="s">
        <v>21</v>
      </c>
      <c r="C200" s="4" t="s">
        <v>48</v>
      </c>
      <c r="D200" s="23" t="s">
        <v>8</v>
      </c>
      <c r="E200" s="4" t="s">
        <v>49</v>
      </c>
      <c r="F200" s="4" t="s">
        <v>49</v>
      </c>
      <c r="G200" s="4"/>
      <c r="H200" s="5" t="s">
        <v>9</v>
      </c>
      <c r="I200" s="5" t="s">
        <v>50</v>
      </c>
      <c r="J200" s="4"/>
      <c r="K200" s="4" t="s">
        <v>51</v>
      </c>
      <c r="L200" s="5" t="s">
        <v>52</v>
      </c>
      <c r="M200" s="4" t="s">
        <v>52</v>
      </c>
      <c r="N200" s="4" t="s">
        <v>53</v>
      </c>
      <c r="O200" s="4" t="s">
        <v>54</v>
      </c>
      <c r="P200" s="4"/>
      <c r="Q200" s="4"/>
      <c r="R200" s="4"/>
      <c r="S200" s="8" t="s">
        <v>55</v>
      </c>
      <c r="T200" s="4"/>
      <c r="U200" s="4"/>
      <c r="V200" s="4"/>
      <c r="W200" s="4"/>
      <c r="X200" s="4"/>
      <c r="Y200" s="4"/>
      <c r="Z200" s="9" t="s">
        <v>118</v>
      </c>
      <c r="AA200" s="9" t="s">
        <v>118</v>
      </c>
      <c r="AB200" s="7" t="s">
        <v>119</v>
      </c>
      <c r="AC200" s="7" t="s">
        <v>119</v>
      </c>
      <c r="AD200" s="5" t="s">
        <v>20</v>
      </c>
      <c r="AE200" s="7" t="s">
        <v>118</v>
      </c>
      <c r="AF200" s="7" t="s">
        <v>118</v>
      </c>
      <c r="AG200" s="7" t="s">
        <v>119</v>
      </c>
      <c r="AH200" s="4" t="s">
        <v>56</v>
      </c>
      <c r="AI200" s="4" t="s">
        <v>57</v>
      </c>
      <c r="AJ200" s="10" t="s">
        <v>55</v>
      </c>
      <c r="AK200" s="11"/>
      <c r="AL200" s="5" t="s">
        <v>9</v>
      </c>
      <c r="AM200" s="4" t="s">
        <v>18</v>
      </c>
      <c r="AN200" s="4" t="s">
        <v>8</v>
      </c>
      <c r="AO200" s="4" t="s">
        <v>49</v>
      </c>
      <c r="AP200" s="11"/>
      <c r="AQ200" s="11"/>
      <c r="AR200" s="11"/>
      <c r="AS200" s="11"/>
    </row>
    <row r="201" spans="1:45" ht="14.5">
      <c r="A201" s="4">
        <f>H201/(K201*SIN(RADIANS(AJ201)))</f>
        <v>0</v>
      </c>
      <c r="B201" s="4">
        <v>0</v>
      </c>
      <c r="C201" s="4">
        <v>0</v>
      </c>
      <c r="D201" s="23">
        <f>C192+C193+C194</f>
        <v>11394.565213171179</v>
      </c>
      <c r="E201" s="7">
        <v>0</v>
      </c>
      <c r="F201" s="7">
        <v>0</v>
      </c>
      <c r="G201" s="4"/>
      <c r="H201" s="5">
        <v>0</v>
      </c>
      <c r="I201" s="5">
        <v>0</v>
      </c>
      <c r="J201" s="4">
        <f t="shared" ref="J201:J231" si="28">SQRT((((((((L201^2)*(0.2))/(661.477)^2) + 1)^(3.5) - 1)*(1/AR201) + 1)^(1/3.5) - 1)*(5))</f>
        <v>0.18292397165736662</v>
      </c>
      <c r="K201" s="4">
        <f t="shared" ref="K201:K231" si="29">SQRT((1.4*2116.22*AR201*(J201)^2)/AV221)</f>
        <v>204.22532319013348</v>
      </c>
      <c r="L201" s="6">
        <v>121</v>
      </c>
      <c r="M201" s="4">
        <f t="shared" ref="M201:M231" si="30">K201*0.592484</f>
        <v>121.00023638498304</v>
      </c>
      <c r="N201" s="4">
        <f t="shared" ref="N201:N231" si="31">0.5*AV221*K201^2</f>
        <v>49.567851959136441</v>
      </c>
      <c r="O201" s="4">
        <f t="shared" ref="O201:O231" si="32">P201/$B$7</f>
        <v>1298884.9061010238</v>
      </c>
      <c r="P201" s="4">
        <f t="shared" ref="P201:P231" si="33">(AV221*K201*$B$7)/(AW221)</f>
        <v>8339753.8030264117</v>
      </c>
      <c r="Q201" s="4">
        <f t="shared" ref="Q201:Q231" si="34">0.455/(LOG10(P201)^2.58 * (1+0.144*J201*J201)^0.65)</f>
        <v>3.0831455633722441E-3</v>
      </c>
      <c r="R201" s="4">
        <f t="shared" ref="R201:R231" si="35">(((Q201*$B$4)+$B$17)+(0.1*(Q201*$B$4)))</f>
        <v>2.374440096252874E-2</v>
      </c>
      <c r="S201" s="24">
        <v>28.638820089645929</v>
      </c>
      <c r="T201" s="4">
        <f t="shared" ref="T201:T231" si="36">(D201*COS(RADIANS(S201)))/(N201*$B$3)</f>
        <v>0.8771934047704778</v>
      </c>
      <c r="U201" s="4">
        <f t="shared" ref="U201:U231" si="37">(W201)/(N201*$B$3)</f>
        <v>7.2341495654215604E-2</v>
      </c>
      <c r="V201" s="4">
        <f t="shared" ref="V201:V231" si="38">T201/U201</f>
        <v>12.125729456346408</v>
      </c>
      <c r="W201" s="20">
        <f t="shared" ref="W201:W231" si="39">(N201*$B$3*R201)+((N201*$B$3)*((T201^2)/(PI()*$B$6*$B$5)))</f>
        <v>824.73688583085436</v>
      </c>
      <c r="X201" s="4">
        <f t="shared" ref="X201:X231" si="40">SQRT(PI()*$B$6*$B$5*R201)</f>
        <v>0.61315576125807081</v>
      </c>
      <c r="Y201" s="4">
        <f t="shared" ref="Y201:Y231" si="41">SQRT((2*((T201*N201*$B$3)/(D201))*D201)/(AV221*$B$3*$B$18))</f>
        <v>123.4672144254843</v>
      </c>
      <c r="Z201" s="14">
        <f t="shared" ref="Z201:Z231" si="42">(D201/(V201))</f>
        <v>939.70142202104398</v>
      </c>
      <c r="AA201" s="14">
        <f t="shared" ref="AA201:AA231" si="43">$B$15*AR201</f>
        <v>6280</v>
      </c>
      <c r="AB201" s="25">
        <f t="shared" ref="AB201:AB231" si="44">Z201*K201</f>
        <v>191910.82661447572</v>
      </c>
      <c r="AC201" s="4">
        <f t="shared" ref="AC201:AC231" si="45">AA201*K201</f>
        <v>1282535.0296340382</v>
      </c>
      <c r="AD201" s="5">
        <v>100</v>
      </c>
      <c r="AE201" s="4">
        <f t="shared" ref="AE201:AE231" si="46">AA201*(AD201/100)</f>
        <v>6280</v>
      </c>
      <c r="AF201" s="4">
        <f t="shared" ref="AF201:AF231" si="47">AA201-Z201</f>
        <v>5340.298577978956</v>
      </c>
      <c r="AG201" s="4">
        <f t="shared" ref="AG201:AG231" si="48">AC201-AB201</f>
        <v>1090624.2030195624</v>
      </c>
      <c r="AH201" s="4">
        <f t="shared" ref="AH201:AH231" si="49">(AP201*AE201)</f>
        <v>4431.7778608598819</v>
      </c>
      <c r="AI201" s="13">
        <f t="shared" ref="AI201:AI231" si="50">K201*SIN(RADIANS(AJ201))</f>
        <v>97.774934956763104</v>
      </c>
      <c r="AJ201" s="10">
        <f t="shared" ref="AJ201:AJ231" si="51">DEGREES(ASIN(((AE201-W201)/(D201))))</f>
        <v>28.604453080892359</v>
      </c>
      <c r="AK201" s="11">
        <f t="shared" ref="AK201:AK231" si="52">(AG201/D201)*60</f>
        <v>5742.8652131047029</v>
      </c>
      <c r="AL201" s="6">
        <v>100</v>
      </c>
      <c r="AM201" s="4">
        <f t="shared" ref="AM201:AM231" si="53">AL201/AI201</f>
        <v>1.0227570086773348</v>
      </c>
      <c r="AN201" s="4">
        <f t="shared" ref="AN201:AN231" si="54">AH201*(AM201/3600)</f>
        <v>1.2590644078043027</v>
      </c>
      <c r="AO201" s="4">
        <f t="shared" ref="AO201:AO231" si="55">M201*COS(RADIANS(AJ201))*(AM201/3600)</f>
        <v>3.0180322219066802E-2</v>
      </c>
      <c r="AP201" s="11">
        <f t="shared" ref="AP201:AP231" si="56">(-39.149*(J201)^6)+(63.432*(J201)^5)-(35.357*(J201)^4)+(7.316*(J201)^3)-(0.244*(J201)^2)+(0.3523*(J201))+0.6327</f>
        <v>0.70569711160189208</v>
      </c>
      <c r="AQ201" s="11">
        <f t="shared" ref="AQ201:AQ231" si="57">IF(H201 &lt;= 36089, ((1 - 6.87535*10^(-6)*H201) + ((I201*1.8)/518.67)), 0.75187 + ((I201*1.8)/518.67))</f>
        <v>1</v>
      </c>
      <c r="AR201" s="11">
        <f t="shared" ref="AR201:AR231" si="58">IF(H201 &lt;= 36089, (1 - 6.87535*10^(-6)*H201)^5.2561, 0.22336*EXP((36089 - H201)/(20806.7)))</f>
        <v>1</v>
      </c>
      <c r="AS201" s="11">
        <f t="shared" ref="AS201:AS231" si="59">(AR201/AQ201)</f>
        <v>1</v>
      </c>
    </row>
    <row r="202" spans="1:45" ht="14.5">
      <c r="A202" s="4">
        <f t="shared" ref="A202:A231" si="60">A201+AM201</f>
        <v>1.0227570086773348</v>
      </c>
      <c r="B202" s="4">
        <f t="shared" ref="B202:C202" si="61">A202/60</f>
        <v>1.7045950144622245E-2</v>
      </c>
      <c r="C202" s="4">
        <f t="shared" si="61"/>
        <v>2.8409916907703742E-4</v>
      </c>
      <c r="D202" s="4">
        <f t="shared" ref="D202:D231" si="62">D201-AN201</f>
        <v>11393.306148763375</v>
      </c>
      <c r="E202" s="4">
        <f t="shared" ref="E202:E231" si="63">E201+AO201</f>
        <v>3.0180322219066802E-2</v>
      </c>
      <c r="F202" s="4">
        <f t="shared" ref="F202:F231" si="64">F201+AO201</f>
        <v>3.0180322219066802E-2</v>
      </c>
      <c r="G202" s="4"/>
      <c r="H202" s="5">
        <f t="shared" ref="H202:H231" si="65">H201+100</f>
        <v>100</v>
      </c>
      <c r="I202" s="5">
        <v>0</v>
      </c>
      <c r="J202" s="4">
        <f t="shared" si="28"/>
        <v>0.18372215313927345</v>
      </c>
      <c r="K202" s="4">
        <f t="shared" si="29"/>
        <v>205.04592777894621</v>
      </c>
      <c r="L202" s="6">
        <f t="shared" ref="L202:L231" si="66">L201+0.310344</f>
        <v>121.310344</v>
      </c>
      <c r="M202" s="4">
        <f t="shared" si="30"/>
        <v>121.48643147418117</v>
      </c>
      <c r="N202" s="4">
        <f t="shared" si="31"/>
        <v>49.820942012996454</v>
      </c>
      <c r="O202" s="4">
        <f t="shared" si="32"/>
        <v>1300987.3011119226</v>
      </c>
      <c r="P202" s="4">
        <f t="shared" si="33"/>
        <v>8353252.656316069</v>
      </c>
      <c r="Q202" s="4">
        <f t="shared" si="34"/>
        <v>3.0822544288809524E-3</v>
      </c>
      <c r="R202" s="4">
        <f t="shared" si="35"/>
        <v>2.3738983189714267E-2</v>
      </c>
      <c r="S202" s="24">
        <v>28.499567094473701</v>
      </c>
      <c r="T202" s="4">
        <f t="shared" si="36"/>
        <v>0.87379646459597138</v>
      </c>
      <c r="U202" s="4">
        <f t="shared" si="37"/>
        <v>7.1960421195656488E-2</v>
      </c>
      <c r="V202" s="4">
        <f t="shared" si="38"/>
        <v>12.142736938964909</v>
      </c>
      <c r="W202" s="20">
        <f t="shared" si="39"/>
        <v>824.58127347250866</v>
      </c>
      <c r="X202" s="4">
        <f t="shared" si="40"/>
        <v>0.61308580522647038</v>
      </c>
      <c r="Y202" s="4">
        <f t="shared" si="41"/>
        <v>123.72306473776835</v>
      </c>
      <c r="Z202" s="14">
        <f t="shared" si="42"/>
        <v>938.28155925896078</v>
      </c>
      <c r="AA202" s="14">
        <f t="shared" si="43"/>
        <v>6257.3388125202573</v>
      </c>
      <c r="AB202" s="25">
        <f t="shared" si="44"/>
        <v>192390.81283612992</v>
      </c>
      <c r="AC202" s="4">
        <f t="shared" si="45"/>
        <v>1283041.8422404258</v>
      </c>
      <c r="AD202" s="5">
        <v>100</v>
      </c>
      <c r="AE202" s="4">
        <f t="shared" si="46"/>
        <v>6257.3388125202573</v>
      </c>
      <c r="AF202" s="4">
        <f t="shared" si="47"/>
        <v>5319.0572532612969</v>
      </c>
      <c r="AG202" s="4">
        <f t="shared" si="48"/>
        <v>1090651.0294042958</v>
      </c>
      <c r="AH202" s="4">
        <f t="shared" si="49"/>
        <v>4417.9769873352188</v>
      </c>
      <c r="AI202" s="13">
        <f t="shared" si="50"/>
        <v>97.773622111701044</v>
      </c>
      <c r="AJ202" s="10">
        <f t="shared" si="51"/>
        <v>28.479068015884206</v>
      </c>
      <c r="AK202" s="11">
        <f t="shared" si="52"/>
        <v>5743.6411266242048</v>
      </c>
      <c r="AL202" s="6">
        <v>100</v>
      </c>
      <c r="AM202" s="4">
        <f t="shared" si="53"/>
        <v>1.022770741639861</v>
      </c>
      <c r="AN202" s="4">
        <f t="shared" si="54"/>
        <v>1.2551604444124114</v>
      </c>
      <c r="AO202" s="4">
        <f t="shared" si="55"/>
        <v>3.0338086418129136E-2</v>
      </c>
      <c r="AP202" s="11">
        <f t="shared" si="56"/>
        <v>0.70604727020619784</v>
      </c>
      <c r="AQ202" s="11">
        <f t="shared" si="57"/>
        <v>0.99931246500000004</v>
      </c>
      <c r="AR202" s="11">
        <f t="shared" si="58"/>
        <v>0.99639153065609198</v>
      </c>
      <c r="AS202" s="11">
        <f t="shared" si="59"/>
        <v>0.99707705602980945</v>
      </c>
    </row>
    <row r="203" spans="1:45" ht="14.5">
      <c r="A203" s="4">
        <f t="shared" si="60"/>
        <v>2.0455277503171958</v>
      </c>
      <c r="B203" s="4">
        <f t="shared" ref="B203:C203" si="67">A203/60</f>
        <v>3.4092129171953263E-2</v>
      </c>
      <c r="C203" s="4">
        <f t="shared" si="67"/>
        <v>5.6820215286588766E-4</v>
      </c>
      <c r="D203" s="4">
        <f t="shared" si="62"/>
        <v>11392.050988318962</v>
      </c>
      <c r="E203" s="4">
        <f t="shared" si="63"/>
        <v>6.0518408637195938E-2</v>
      </c>
      <c r="F203" s="4">
        <f t="shared" si="64"/>
        <v>6.0518408637195938E-2</v>
      </c>
      <c r="G203" s="4"/>
      <c r="H203" s="5">
        <f t="shared" si="65"/>
        <v>200</v>
      </c>
      <c r="I203" s="5">
        <v>0</v>
      </c>
      <c r="J203" s="4">
        <f t="shared" si="28"/>
        <v>0.1845227992634958</v>
      </c>
      <c r="K203" s="4">
        <f t="shared" si="29"/>
        <v>205.86864496512962</v>
      </c>
      <c r="L203" s="6">
        <f t="shared" si="66"/>
        <v>121.620688</v>
      </c>
      <c r="M203" s="4">
        <f t="shared" si="30"/>
        <v>121.97387824351986</v>
      </c>
      <c r="N203" s="4">
        <f t="shared" si="31"/>
        <v>50.074647117859321</v>
      </c>
      <c r="O203" s="4">
        <f t="shared" si="32"/>
        <v>1303083.5779676645</v>
      </c>
      <c r="P203" s="4">
        <f t="shared" si="33"/>
        <v>8366712.2267504875</v>
      </c>
      <c r="Q203" s="4">
        <f t="shared" si="34"/>
        <v>3.0813666547262635E-3</v>
      </c>
      <c r="R203" s="4">
        <f t="shared" si="35"/>
        <v>2.3733585846521209E-2</v>
      </c>
      <c r="S203" s="24">
        <v>28.36092009640376</v>
      </c>
      <c r="T203" s="4">
        <f t="shared" si="36"/>
        <v>0.87041311146051314</v>
      </c>
      <c r="U203" s="4">
        <f t="shared" si="37"/>
        <v>7.1582318536890246E-2</v>
      </c>
      <c r="V203" s="4">
        <f t="shared" si="38"/>
        <v>12.159610491129065</v>
      </c>
      <c r="W203" s="20">
        <f t="shared" si="39"/>
        <v>824.42564834098516</v>
      </c>
      <c r="X203" s="4">
        <f t="shared" si="40"/>
        <v>0.61301610505060922</v>
      </c>
      <c r="Y203" s="4">
        <f t="shared" si="41"/>
        <v>123.97876256405476</v>
      </c>
      <c r="Z203" s="14">
        <f t="shared" si="42"/>
        <v>936.87630838421433</v>
      </c>
      <c r="AA203" s="14">
        <f t="shared" si="43"/>
        <v>6234.7438851658972</v>
      </c>
      <c r="AB203" s="25">
        <f t="shared" si="44"/>
        <v>192873.4561069911</v>
      </c>
      <c r="AC203" s="4">
        <f t="shared" si="45"/>
        <v>1283538.275343731</v>
      </c>
      <c r="AD203" s="5">
        <v>100</v>
      </c>
      <c r="AE203" s="4">
        <f t="shared" si="46"/>
        <v>6234.7438851658972</v>
      </c>
      <c r="AF203" s="4">
        <f t="shared" si="47"/>
        <v>5297.8675767816831</v>
      </c>
      <c r="AG203" s="4">
        <f t="shared" si="48"/>
        <v>1090664.81923674</v>
      </c>
      <c r="AH203" s="4">
        <f t="shared" si="49"/>
        <v>4404.2129314026834</v>
      </c>
      <c r="AI203" s="13">
        <f t="shared" si="50"/>
        <v>97.771234116432851</v>
      </c>
      <c r="AJ203" s="10">
        <f t="shared" si="51"/>
        <v>28.354172120176436</v>
      </c>
      <c r="AK203" s="11">
        <f t="shared" si="52"/>
        <v>5744.3465817792012</v>
      </c>
      <c r="AL203" s="6">
        <v>100</v>
      </c>
      <c r="AM203" s="4">
        <f t="shared" si="53"/>
        <v>1.0227957221130397</v>
      </c>
      <c r="AN203" s="4">
        <f t="shared" si="54"/>
        <v>1.2512805959759987</v>
      </c>
      <c r="AO203" s="4">
        <f t="shared" si="55"/>
        <v>3.0496505637803602E-2</v>
      </c>
      <c r="AP203" s="11">
        <f t="shared" si="56"/>
        <v>0.70639837217395074</v>
      </c>
      <c r="AQ203" s="11">
        <f t="shared" si="57"/>
        <v>0.99862492999999997</v>
      </c>
      <c r="AR203" s="11">
        <f t="shared" si="58"/>
        <v>0.99279361228756324</v>
      </c>
      <c r="AS203" s="11">
        <f t="shared" si="59"/>
        <v>0.99416065277637644</v>
      </c>
    </row>
    <row r="204" spans="1:45" ht="14.5">
      <c r="A204" s="4">
        <f t="shared" si="60"/>
        <v>3.0683234724302357</v>
      </c>
      <c r="B204" s="4">
        <f t="shared" ref="B204:C204" si="68">A204/60</f>
        <v>5.113872454050393E-2</v>
      </c>
      <c r="C204" s="4">
        <f t="shared" si="68"/>
        <v>8.5231207567506553E-4</v>
      </c>
      <c r="D204" s="4">
        <f t="shared" si="62"/>
        <v>11390.799707722987</v>
      </c>
      <c r="E204" s="4">
        <f t="shared" si="63"/>
        <v>9.1014914274999539E-2</v>
      </c>
      <c r="F204" s="4">
        <f t="shared" si="64"/>
        <v>9.1014914274999539E-2</v>
      </c>
      <c r="G204" s="4"/>
      <c r="H204" s="5">
        <f t="shared" si="65"/>
        <v>300</v>
      </c>
      <c r="I204" s="5">
        <v>0</v>
      </c>
      <c r="J204" s="4">
        <f t="shared" si="28"/>
        <v>0.18532591807462867</v>
      </c>
      <c r="K204" s="4">
        <f t="shared" si="29"/>
        <v>206.69348053903713</v>
      </c>
      <c r="L204" s="6">
        <f t="shared" si="66"/>
        <v>121.931032</v>
      </c>
      <c r="M204" s="4">
        <f t="shared" si="30"/>
        <v>122.46258012369087</v>
      </c>
      <c r="N204" s="4">
        <f t="shared" si="31"/>
        <v>50.328966698880514</v>
      </c>
      <c r="O204" s="4">
        <f t="shared" si="32"/>
        <v>1305173.7364350711</v>
      </c>
      <c r="P204" s="4">
        <f t="shared" si="33"/>
        <v>8380132.5128324982</v>
      </c>
      <c r="Q204" s="4">
        <f t="shared" si="34"/>
        <v>3.080482217471515E-3</v>
      </c>
      <c r="R204" s="4">
        <f t="shared" si="35"/>
        <v>2.372820879046322E-2</v>
      </c>
      <c r="S204" s="24">
        <v>28.222874410120856</v>
      </c>
      <c r="T204" s="4">
        <f t="shared" si="36"/>
        <v>0.8670433743442143</v>
      </c>
      <c r="U204" s="4">
        <f t="shared" si="37"/>
        <v>7.1207173289517034E-2</v>
      </c>
      <c r="V204" s="4">
        <f t="shared" si="38"/>
        <v>12.176348734121968</v>
      </c>
      <c r="W204" s="20">
        <f t="shared" si="39"/>
        <v>824.27019423818888</v>
      </c>
      <c r="X204" s="4">
        <f t="shared" si="40"/>
        <v>0.61294665897741751</v>
      </c>
      <c r="Y204" s="4">
        <f t="shared" si="41"/>
        <v>124.23431494421806</v>
      </c>
      <c r="Z204" s="14">
        <f t="shared" si="42"/>
        <v>935.48566622458623</v>
      </c>
      <c r="AA204" s="14">
        <f t="shared" si="43"/>
        <v>6212.2150696146691</v>
      </c>
      <c r="AB204" s="25">
        <f t="shared" si="44"/>
        <v>193358.78834633969</v>
      </c>
      <c r="AC204" s="4">
        <f t="shared" si="45"/>
        <v>1284024.3545957129</v>
      </c>
      <c r="AD204" s="5">
        <v>100</v>
      </c>
      <c r="AE204" s="4">
        <f t="shared" si="46"/>
        <v>6212.2150696146691</v>
      </c>
      <c r="AF204" s="4">
        <f t="shared" si="47"/>
        <v>5276.7294033900826</v>
      </c>
      <c r="AG204" s="4">
        <f t="shared" si="48"/>
        <v>1090665.5662493731</v>
      </c>
      <c r="AH204" s="4">
        <f t="shared" si="49"/>
        <v>4390.4855675642484</v>
      </c>
      <c r="AI204" s="13">
        <f t="shared" si="50"/>
        <v>97.767769412096158</v>
      </c>
      <c r="AJ204" s="10">
        <f t="shared" si="51"/>
        <v>28.229761483134823</v>
      </c>
      <c r="AK204" s="11">
        <f t="shared" si="52"/>
        <v>5744.9815337016216</v>
      </c>
      <c r="AL204" s="6">
        <v>100</v>
      </c>
      <c r="AM204" s="4">
        <f t="shared" si="53"/>
        <v>1.0228319680537548</v>
      </c>
      <c r="AN204" s="4">
        <f t="shared" si="54"/>
        <v>1.2474247204953741</v>
      </c>
      <c r="AO204" s="4">
        <f t="shared" si="55"/>
        <v>3.0655586833548541E-2</v>
      </c>
      <c r="AP204" s="11">
        <f t="shared" si="56"/>
        <v>0.706750413236511</v>
      </c>
      <c r="AQ204" s="11">
        <f t="shared" si="57"/>
        <v>0.997937395</v>
      </c>
      <c r="AR204" s="11">
        <f t="shared" si="58"/>
        <v>0.98920622127622115</v>
      </c>
      <c r="AS204" s="11">
        <f t="shared" si="59"/>
        <v>0.99125078009149181</v>
      </c>
    </row>
    <row r="205" spans="1:45" ht="14.5">
      <c r="A205" s="4">
        <f t="shared" si="60"/>
        <v>4.0911554404839903</v>
      </c>
      <c r="B205" s="4">
        <f t="shared" ref="B205:C205" si="69">A205/60</f>
        <v>6.8185924008066501E-2</v>
      </c>
      <c r="C205" s="4">
        <f t="shared" si="69"/>
        <v>1.1364320668011084E-3</v>
      </c>
      <c r="D205" s="4">
        <f t="shared" si="62"/>
        <v>11389.552283002491</v>
      </c>
      <c r="E205" s="4">
        <f t="shared" si="63"/>
        <v>0.12167050110854807</v>
      </c>
      <c r="F205" s="4">
        <f t="shared" si="64"/>
        <v>0.12167050110854807</v>
      </c>
      <c r="G205" s="4"/>
      <c r="H205" s="5">
        <f t="shared" si="65"/>
        <v>400</v>
      </c>
      <c r="I205" s="5">
        <v>0</v>
      </c>
      <c r="J205" s="4">
        <f t="shared" si="28"/>
        <v>0.18613151764272401</v>
      </c>
      <c r="K205" s="4">
        <f t="shared" si="29"/>
        <v>207.52044030460303</v>
      </c>
      <c r="L205" s="6">
        <f t="shared" si="66"/>
        <v>122.241376</v>
      </c>
      <c r="M205" s="4">
        <f t="shared" si="30"/>
        <v>122.95254055343243</v>
      </c>
      <c r="N205" s="4">
        <f t="shared" si="31"/>
        <v>50.583900174624141</v>
      </c>
      <c r="O205" s="4">
        <f t="shared" si="32"/>
        <v>1307257.7762583781</v>
      </c>
      <c r="P205" s="4">
        <f t="shared" si="33"/>
        <v>8393513.5129199158</v>
      </c>
      <c r="Q205" s="4">
        <f t="shared" si="34"/>
        <v>3.0796010938328798E-3</v>
      </c>
      <c r="R205" s="4">
        <f t="shared" si="35"/>
        <v>2.3722851879983107E-2</v>
      </c>
      <c r="S205" s="24">
        <v>28.08540572279038</v>
      </c>
      <c r="T205" s="4">
        <f t="shared" si="36"/>
        <v>0.86368743766738809</v>
      </c>
      <c r="U205" s="4">
        <f t="shared" si="37"/>
        <v>7.0834988044679512E-2</v>
      </c>
      <c r="V205" s="4">
        <f t="shared" si="38"/>
        <v>12.192949579134721</v>
      </c>
      <c r="W205" s="20">
        <f t="shared" si="39"/>
        <v>824.11529174823545</v>
      </c>
      <c r="X205" s="4">
        <f t="shared" si="40"/>
        <v>0.61287746526471576</v>
      </c>
      <c r="Y205" s="4">
        <f t="shared" si="41"/>
        <v>124.48974024519387</v>
      </c>
      <c r="Z205" s="14">
        <f t="shared" si="42"/>
        <v>934.10968437800727</v>
      </c>
      <c r="AA205" s="14">
        <f t="shared" si="43"/>
        <v>6189.7522177745204</v>
      </c>
      <c r="AB205" s="25">
        <f t="shared" si="44"/>
        <v>193846.85299491783</v>
      </c>
      <c r="AC205" s="4">
        <f t="shared" si="45"/>
        <v>1284500.1056089615</v>
      </c>
      <c r="AD205" s="5">
        <v>100</v>
      </c>
      <c r="AE205" s="4">
        <f t="shared" si="46"/>
        <v>6189.7522177745204</v>
      </c>
      <c r="AF205" s="4">
        <f t="shared" si="47"/>
        <v>5255.6425333965135</v>
      </c>
      <c r="AG205" s="4">
        <f t="shared" si="48"/>
        <v>1090653.2526140437</v>
      </c>
      <c r="AH205" s="4">
        <f t="shared" si="49"/>
        <v>4376.7947704912722</v>
      </c>
      <c r="AI205" s="13">
        <f t="shared" si="50"/>
        <v>97.763222797207092</v>
      </c>
      <c r="AJ205" s="10">
        <f t="shared" si="51"/>
        <v>28.10583110837084</v>
      </c>
      <c r="AK205" s="11">
        <f t="shared" si="52"/>
        <v>5745.5458766805605</v>
      </c>
      <c r="AL205" s="6">
        <v>100</v>
      </c>
      <c r="AM205" s="4">
        <f t="shared" si="53"/>
        <v>1.0228795362795344</v>
      </c>
      <c r="AN205" s="4">
        <f t="shared" si="54"/>
        <v>1.2435927236752233</v>
      </c>
      <c r="AO205" s="4">
        <f t="shared" si="55"/>
        <v>3.0815338486311749E-2</v>
      </c>
      <c r="AP205" s="11">
        <f t="shared" si="56"/>
        <v>0.70710338903758518</v>
      </c>
      <c r="AQ205" s="11">
        <f t="shared" si="57"/>
        <v>0.99724986000000004</v>
      </c>
      <c r="AR205" s="11">
        <f t="shared" si="58"/>
        <v>0.98562933404052866</v>
      </c>
      <c r="AS205" s="11">
        <f t="shared" si="59"/>
        <v>0.98834742783571672</v>
      </c>
    </row>
    <row r="206" spans="1:45" ht="14.5">
      <c r="A206" s="4">
        <f t="shared" si="60"/>
        <v>5.1140349767635245</v>
      </c>
      <c r="B206" s="4">
        <f t="shared" ref="B206:C206" si="70">A206/60</f>
        <v>8.5233916279392072E-2</v>
      </c>
      <c r="C206" s="4">
        <f t="shared" si="70"/>
        <v>1.4205652713232013E-3</v>
      </c>
      <c r="D206" s="4">
        <f t="shared" si="62"/>
        <v>11388.308690278816</v>
      </c>
      <c r="E206" s="4">
        <f t="shared" si="63"/>
        <v>0.15248583959485981</v>
      </c>
      <c r="F206" s="4">
        <f t="shared" si="64"/>
        <v>0.15248583959485981</v>
      </c>
      <c r="G206" s="4"/>
      <c r="H206" s="5">
        <f t="shared" si="65"/>
        <v>500</v>
      </c>
      <c r="I206" s="5">
        <v>0</v>
      </c>
      <c r="J206" s="4">
        <f t="shared" si="28"/>
        <v>0.18693960606334653</v>
      </c>
      <c r="K206" s="4">
        <f t="shared" si="29"/>
        <v>208.34953007934075</v>
      </c>
      <c r="L206" s="6">
        <f t="shared" si="66"/>
        <v>122.55172</v>
      </c>
      <c r="M206" s="4">
        <f t="shared" si="30"/>
        <v>123.44376297952813</v>
      </c>
      <c r="N206" s="4">
        <f t="shared" si="31"/>
        <v>50.839446957006899</v>
      </c>
      <c r="O206" s="4">
        <f t="shared" si="32"/>
        <v>1309335.6971591695</v>
      </c>
      <c r="P206" s="4">
        <f t="shared" si="33"/>
        <v>8406855.2252251133</v>
      </c>
      <c r="Q206" s="4">
        <f t="shared" si="34"/>
        <v>3.0787232606773996E-3</v>
      </c>
      <c r="R206" s="4">
        <f t="shared" si="35"/>
        <v>2.3717514974440919E-2</v>
      </c>
      <c r="S206" s="24">
        <v>27.948549375799903</v>
      </c>
      <c r="T206" s="4">
        <f t="shared" si="36"/>
        <v>0.86034500215622478</v>
      </c>
      <c r="U206" s="4">
        <f t="shared" si="37"/>
        <v>7.0465712588690679E-2</v>
      </c>
      <c r="V206" s="4">
        <f t="shared" si="38"/>
        <v>12.209413210337773</v>
      </c>
      <c r="W206" s="20">
        <f t="shared" si="39"/>
        <v>823.96070721129968</v>
      </c>
      <c r="X206" s="4">
        <f t="shared" si="40"/>
        <v>0.61280852218107396</v>
      </c>
      <c r="Y206" s="4">
        <f t="shared" si="41"/>
        <v>124.74502215985314</v>
      </c>
      <c r="Z206" s="14">
        <f t="shared" si="42"/>
        <v>932.74824056542502</v>
      </c>
      <c r="AA206" s="14">
        <f t="shared" si="43"/>
        <v>6167.3551817834068</v>
      </c>
      <c r="AB206" s="25">
        <f t="shared" si="44"/>
        <v>194337.65760413819</v>
      </c>
      <c r="AC206" s="4">
        <f t="shared" si="45"/>
        <v>1284965.5539569599</v>
      </c>
      <c r="AD206" s="5">
        <v>100</v>
      </c>
      <c r="AE206" s="4">
        <f t="shared" si="46"/>
        <v>6167.3551817834068</v>
      </c>
      <c r="AF206" s="4">
        <f t="shared" si="47"/>
        <v>5234.6069412179822</v>
      </c>
      <c r="AG206" s="4">
        <f t="shared" si="48"/>
        <v>1090627.8963528217</v>
      </c>
      <c r="AH206" s="4">
        <f t="shared" si="49"/>
        <v>4363.1404150313701</v>
      </c>
      <c r="AI206" s="13">
        <f t="shared" si="50"/>
        <v>97.757600191849733</v>
      </c>
      <c r="AJ206" s="10">
        <f t="shared" si="51"/>
        <v>27.982379539574801</v>
      </c>
      <c r="AK206" s="11">
        <f t="shared" si="52"/>
        <v>5746.0396939387156</v>
      </c>
      <c r="AL206" s="6">
        <v>100</v>
      </c>
      <c r="AM206" s="4">
        <f t="shared" si="53"/>
        <v>1.0229383680015625</v>
      </c>
      <c r="AN206" s="4">
        <f t="shared" si="54"/>
        <v>1.2397843709760692</v>
      </c>
      <c r="AO206" s="4">
        <f t="shared" si="55"/>
        <v>3.0975764626533016E-2</v>
      </c>
      <c r="AP206" s="11">
        <f t="shared" si="56"/>
        <v>0.70745729513338751</v>
      </c>
      <c r="AQ206" s="11">
        <f t="shared" si="57"/>
        <v>0.99656232499999997</v>
      </c>
      <c r="AR206" s="11">
        <f t="shared" si="58"/>
        <v>0.9820629270355743</v>
      </c>
      <c r="AS206" s="11">
        <f t="shared" si="59"/>
        <v>0.98545058587838374</v>
      </c>
    </row>
    <row r="207" spans="1:45" ht="14.5">
      <c r="A207" s="4">
        <f t="shared" si="60"/>
        <v>6.1369733447650869</v>
      </c>
      <c r="B207" s="4">
        <f t="shared" ref="B207:C207" si="71">A207/60</f>
        <v>0.10228288907941811</v>
      </c>
      <c r="C207" s="4">
        <f t="shared" si="71"/>
        <v>1.704714817990302E-3</v>
      </c>
      <c r="D207" s="4">
        <f t="shared" si="62"/>
        <v>11387.06890590784</v>
      </c>
      <c r="E207" s="4">
        <f t="shared" si="63"/>
        <v>0.18346160422139282</v>
      </c>
      <c r="F207" s="4">
        <f t="shared" si="64"/>
        <v>0.18346160422139282</v>
      </c>
      <c r="G207" s="4"/>
      <c r="H207" s="5">
        <f t="shared" si="65"/>
        <v>600</v>
      </c>
      <c r="I207" s="5">
        <v>0</v>
      </c>
      <c r="J207" s="4">
        <f t="shared" si="28"/>
        <v>0.18775019145760771</v>
      </c>
      <c r="K207" s="4">
        <f t="shared" si="29"/>
        <v>209.18075569431667</v>
      </c>
      <c r="L207" s="6">
        <f t="shared" si="66"/>
        <v>122.862064</v>
      </c>
      <c r="M207" s="4">
        <f t="shared" si="30"/>
        <v>123.93625085679152</v>
      </c>
      <c r="N207" s="4">
        <f t="shared" si="31"/>
        <v>51.095606451230083</v>
      </c>
      <c r="O207" s="4">
        <f t="shared" si="32"/>
        <v>1311407.4988361564</v>
      </c>
      <c r="P207" s="4">
        <f t="shared" si="33"/>
        <v>8420157.6478136051</v>
      </c>
      <c r="Q207" s="4">
        <f t="shared" si="34"/>
        <v>3.0778486950210791E-3</v>
      </c>
      <c r="R207" s="4">
        <f t="shared" si="35"/>
        <v>2.3712197934102352E-2</v>
      </c>
      <c r="S207" s="24">
        <v>27.812280649907475</v>
      </c>
      <c r="T207" s="4">
        <f t="shared" si="36"/>
        <v>0.85701625244602919</v>
      </c>
      <c r="U207" s="4">
        <f t="shared" si="37"/>
        <v>7.0099349668724401E-2</v>
      </c>
      <c r="V207" s="4">
        <f t="shared" si="38"/>
        <v>12.225737563844996</v>
      </c>
      <c r="W207" s="20">
        <f t="shared" si="39"/>
        <v>823.80682012687089</v>
      </c>
      <c r="X207" s="4">
        <f t="shared" si="40"/>
        <v>0.6127398280056755</v>
      </c>
      <c r="Y207" s="4">
        <f t="shared" si="41"/>
        <v>125.00017923550882</v>
      </c>
      <c r="Z207" s="14">
        <f t="shared" si="42"/>
        <v>931.40138551498603</v>
      </c>
      <c r="AA207" s="14">
        <f t="shared" si="43"/>
        <v>6145.0238140091051</v>
      </c>
      <c r="AB207" s="25">
        <f t="shared" si="44"/>
        <v>194831.24567675835</v>
      </c>
      <c r="AC207" s="4">
        <f t="shared" si="45"/>
        <v>1285420.7251739968</v>
      </c>
      <c r="AD207" s="5">
        <v>100</v>
      </c>
      <c r="AE207" s="4">
        <f t="shared" si="46"/>
        <v>6145.0238140091051</v>
      </c>
      <c r="AF207" s="4">
        <f t="shared" si="47"/>
        <v>5213.622428494119</v>
      </c>
      <c r="AG207" s="4">
        <f t="shared" si="48"/>
        <v>1090589.4794972385</v>
      </c>
      <c r="AH207" s="4">
        <f t="shared" si="49"/>
        <v>4349.52237621533</v>
      </c>
      <c r="AI207" s="13">
        <f t="shared" si="50"/>
        <v>97.750896318562638</v>
      </c>
      <c r="AJ207" s="10">
        <f t="shared" si="51"/>
        <v>27.859401855878005</v>
      </c>
      <c r="AK207" s="11">
        <f t="shared" si="52"/>
        <v>5746.4628791246823</v>
      </c>
      <c r="AL207" s="6">
        <v>100</v>
      </c>
      <c r="AM207" s="4">
        <f t="shared" si="53"/>
        <v>1.0230085223373062</v>
      </c>
      <c r="AN207" s="4">
        <f t="shared" si="54"/>
        <v>1.2359995719347483</v>
      </c>
      <c r="AO207" s="4">
        <f t="shared" si="55"/>
        <v>3.1136873863851649E-2</v>
      </c>
      <c r="AP207" s="11">
        <f t="shared" si="56"/>
        <v>0.70781212699282225</v>
      </c>
      <c r="AQ207" s="11">
        <f t="shared" si="57"/>
        <v>0.99587479000000001</v>
      </c>
      <c r="AR207" s="11">
        <f t="shared" si="58"/>
        <v>0.97850697675304221</v>
      </c>
      <c r="AS207" s="11">
        <f t="shared" si="59"/>
        <v>0.98256024409759601</v>
      </c>
    </row>
    <row r="208" spans="1:45" ht="14.5">
      <c r="A208" s="4">
        <f t="shared" si="60"/>
        <v>7.1599818671023936</v>
      </c>
      <c r="B208" s="4">
        <f t="shared" ref="B208:C208" si="72">A208/60</f>
        <v>0.11933303111837322</v>
      </c>
      <c r="C208" s="4">
        <f t="shared" si="72"/>
        <v>1.9888838519728871E-3</v>
      </c>
      <c r="D208" s="4">
        <f t="shared" si="62"/>
        <v>11385.832906335905</v>
      </c>
      <c r="E208" s="4">
        <f t="shared" si="63"/>
        <v>0.21459847808524446</v>
      </c>
      <c r="F208" s="4">
        <f t="shared" si="64"/>
        <v>0.21459847808524446</v>
      </c>
      <c r="G208" s="4"/>
      <c r="H208" s="5">
        <f t="shared" si="65"/>
        <v>700</v>
      </c>
      <c r="I208" s="5">
        <v>0</v>
      </c>
      <c r="J208" s="4">
        <f t="shared" si="28"/>
        <v>0.18856328197222857</v>
      </c>
      <c r="K208" s="4">
        <f t="shared" si="29"/>
        <v>210.01412299415551</v>
      </c>
      <c r="L208" s="6">
        <f t="shared" si="66"/>
        <v>123.172408</v>
      </c>
      <c r="M208" s="4">
        <f t="shared" si="30"/>
        <v>124.43000764806924</v>
      </c>
      <c r="N208" s="4">
        <f t="shared" si="31"/>
        <v>51.35237805572654</v>
      </c>
      <c r="O208" s="4">
        <f t="shared" si="32"/>
        <v>1313473.1809651651</v>
      </c>
      <c r="P208" s="4">
        <f t="shared" si="33"/>
        <v>8433420.7786039654</v>
      </c>
      <c r="Q208" s="4">
        <f t="shared" si="34"/>
        <v>3.0769773740269533E-3</v>
      </c>
      <c r="R208" s="4">
        <f t="shared" si="35"/>
        <v>2.3706900620126981E-2</v>
      </c>
      <c r="S208" s="24">
        <v>27.67659510892469</v>
      </c>
      <c r="T208" s="4">
        <f t="shared" si="36"/>
        <v>0.85370120624393897</v>
      </c>
      <c r="U208" s="4">
        <f t="shared" si="37"/>
        <v>6.973588379213487E-2</v>
      </c>
      <c r="V208" s="4">
        <f t="shared" si="38"/>
        <v>12.241921372769973</v>
      </c>
      <c r="W208" s="20">
        <f t="shared" si="39"/>
        <v>823.65379776510213</v>
      </c>
      <c r="X208" s="4">
        <f t="shared" si="40"/>
        <v>0.61267138102817742</v>
      </c>
      <c r="Y208" s="4">
        <f t="shared" si="41"/>
        <v>125.25521816947311</v>
      </c>
      <c r="Z208" s="14">
        <f t="shared" si="42"/>
        <v>930.06910922183442</v>
      </c>
      <c r="AA208" s="14">
        <f t="shared" si="43"/>
        <v>6122.7579670489922</v>
      </c>
      <c r="AB208" s="25">
        <f t="shared" si="44"/>
        <v>195327.648297179</v>
      </c>
      <c r="AC208" s="4">
        <f t="shared" si="45"/>
        <v>1285865.6447552727</v>
      </c>
      <c r="AD208" s="5">
        <v>100</v>
      </c>
      <c r="AE208" s="4">
        <f t="shared" si="46"/>
        <v>6122.7579670489922</v>
      </c>
      <c r="AF208" s="4">
        <f t="shared" si="47"/>
        <v>5192.6888578271573</v>
      </c>
      <c r="AG208" s="4">
        <f t="shared" si="48"/>
        <v>1090537.9964580936</v>
      </c>
      <c r="AH208" s="4">
        <f t="shared" si="49"/>
        <v>4335.9405292641841</v>
      </c>
      <c r="AI208" s="13">
        <f t="shared" si="50"/>
        <v>97.743109697977218</v>
      </c>
      <c r="AJ208" s="10">
        <f t="shared" si="51"/>
        <v>27.736894382384346</v>
      </c>
      <c r="AK208" s="11">
        <f t="shared" si="52"/>
        <v>5746.8153911756726</v>
      </c>
      <c r="AL208" s="6">
        <v>100</v>
      </c>
      <c r="AM208" s="4">
        <f t="shared" si="53"/>
        <v>1.0230900194294665</v>
      </c>
      <c r="AN208" s="4">
        <f t="shared" si="54"/>
        <v>1.2322381889805292</v>
      </c>
      <c r="AO208" s="4">
        <f t="shared" si="55"/>
        <v>3.1298673326301908E-2</v>
      </c>
      <c r="AP208" s="11">
        <f t="shared" si="56"/>
        <v>0.70816787999771169</v>
      </c>
      <c r="AQ208" s="11">
        <f t="shared" si="57"/>
        <v>0.99518725500000005</v>
      </c>
      <c r="AR208" s="11">
        <f t="shared" si="58"/>
        <v>0.97496145972117709</v>
      </c>
      <c r="AS208" s="11">
        <f t="shared" si="59"/>
        <v>0.97967639238022297</v>
      </c>
    </row>
    <row r="209" spans="1:51" ht="14.5">
      <c r="A209" s="4">
        <f t="shared" si="60"/>
        <v>8.1830718865318595</v>
      </c>
      <c r="B209" s="4">
        <f t="shared" ref="B209:C209" si="73">A209/60</f>
        <v>0.13638453144219767</v>
      </c>
      <c r="C209" s="4">
        <f t="shared" si="73"/>
        <v>2.2730755240366277E-3</v>
      </c>
      <c r="D209" s="4">
        <f t="shared" si="62"/>
        <v>11384.600668146924</v>
      </c>
      <c r="E209" s="4">
        <f t="shared" si="63"/>
        <v>0.24589715141154636</v>
      </c>
      <c r="F209" s="4">
        <f t="shared" si="64"/>
        <v>0.24589715141154636</v>
      </c>
      <c r="G209" s="4"/>
      <c r="H209" s="5">
        <f t="shared" si="65"/>
        <v>800</v>
      </c>
      <c r="I209" s="5">
        <v>0</v>
      </c>
      <c r="J209" s="4">
        <f t="shared" si="28"/>
        <v>0.1893788857795749</v>
      </c>
      <c r="K209" s="4">
        <f t="shared" si="29"/>
        <v>210.84963783701505</v>
      </c>
      <c r="L209" s="6">
        <f t="shared" si="66"/>
        <v>123.482752</v>
      </c>
      <c r="M209" s="4">
        <f t="shared" si="30"/>
        <v>124.92503682422603</v>
      </c>
      <c r="N209" s="4">
        <f t="shared" si="31"/>
        <v>51.609761162092667</v>
      </c>
      <c r="O209" s="4">
        <f t="shared" si="32"/>
        <v>1315532.743198924</v>
      </c>
      <c r="P209" s="4">
        <f t="shared" si="33"/>
        <v>8446644.6153664701</v>
      </c>
      <c r="Q209" s="4">
        <f t="shared" si="34"/>
        <v>3.076109275003219E-3</v>
      </c>
      <c r="R209" s="4">
        <f t="shared" si="35"/>
        <v>2.370162289455691E-2</v>
      </c>
      <c r="S209" s="24">
        <v>27.541454970633719</v>
      </c>
      <c r="T209" s="4">
        <f t="shared" si="36"/>
        <v>0.85040013722523367</v>
      </c>
      <c r="U209" s="4">
        <f t="shared" si="37"/>
        <v>6.9375327003917645E-2</v>
      </c>
      <c r="V209" s="4">
        <f t="shared" si="38"/>
        <v>12.257962217276631</v>
      </c>
      <c r="W209" s="20">
        <f t="shared" si="39"/>
        <v>823.50213315928158</v>
      </c>
      <c r="X209" s="4">
        <f t="shared" si="40"/>
        <v>0.6126031795485769</v>
      </c>
      <c r="Y209" s="4">
        <f t="shared" si="41"/>
        <v>125.51016465843705</v>
      </c>
      <c r="Z209" s="14">
        <f t="shared" si="42"/>
        <v>928.75148955029636</v>
      </c>
      <c r="AA209" s="14">
        <f t="shared" si="43"/>
        <v>6100.5574937298552</v>
      </c>
      <c r="AB209" s="25">
        <f t="shared" si="44"/>
        <v>195826.91521226824</v>
      </c>
      <c r="AC209" s="4">
        <f t="shared" si="45"/>
        <v>1286300.3381568282</v>
      </c>
      <c r="AD209" s="5">
        <v>100</v>
      </c>
      <c r="AE209" s="4">
        <f t="shared" si="46"/>
        <v>6100.5574937298552</v>
      </c>
      <c r="AF209" s="4">
        <f t="shared" si="47"/>
        <v>5171.8060041795588</v>
      </c>
      <c r="AG209" s="4">
        <f t="shared" si="48"/>
        <v>1090473.4229445599</v>
      </c>
      <c r="AH209" s="4">
        <f t="shared" si="49"/>
        <v>4322.3947495963357</v>
      </c>
      <c r="AI209" s="13">
        <f t="shared" si="50"/>
        <v>97.734232763677014</v>
      </c>
      <c r="AJ209" s="10">
        <f t="shared" si="51"/>
        <v>27.614851627554394</v>
      </c>
      <c r="AK209" s="11">
        <f t="shared" si="52"/>
        <v>5747.0970905230188</v>
      </c>
      <c r="AL209" s="6">
        <v>100</v>
      </c>
      <c r="AM209" s="4">
        <f t="shared" si="53"/>
        <v>1.0231829439107754</v>
      </c>
      <c r="AN209" s="4">
        <f t="shared" si="54"/>
        <v>1.2285001623990159</v>
      </c>
      <c r="AO209" s="4">
        <f t="shared" si="55"/>
        <v>3.1461172691179234E-2</v>
      </c>
      <c r="AP209" s="11">
        <f t="shared" si="56"/>
        <v>0.70852454944304477</v>
      </c>
      <c r="AQ209" s="11">
        <f t="shared" si="57"/>
        <v>0.99449971999999998</v>
      </c>
      <c r="AR209" s="11">
        <f t="shared" si="58"/>
        <v>0.97142635250475406</v>
      </c>
      <c r="AS209" s="11">
        <f t="shared" si="59"/>
        <v>0.97679902062190027</v>
      </c>
    </row>
    <row r="210" spans="1:51" ht="14.5">
      <c r="A210" s="4">
        <f t="shared" si="60"/>
        <v>9.206254830442635</v>
      </c>
      <c r="B210" s="4">
        <f t="shared" ref="B210:C210" si="74">A210/60</f>
        <v>0.15343758050737724</v>
      </c>
      <c r="C210" s="4">
        <f t="shared" si="74"/>
        <v>2.5572930084562873E-3</v>
      </c>
      <c r="D210" s="4">
        <f t="shared" si="62"/>
        <v>11383.372167984526</v>
      </c>
      <c r="E210" s="4">
        <f t="shared" si="63"/>
        <v>0.2773583241027256</v>
      </c>
      <c r="F210" s="4">
        <f t="shared" si="64"/>
        <v>0.2773583241027256</v>
      </c>
      <c r="G210" s="4"/>
      <c r="H210" s="5">
        <f t="shared" si="65"/>
        <v>900</v>
      </c>
      <c r="I210" s="5">
        <v>0</v>
      </c>
      <c r="J210" s="4">
        <f t="shared" si="28"/>
        <v>0.19019701107771486</v>
      </c>
      <c r="K210" s="4">
        <f t="shared" si="29"/>
        <v>211.68730609458564</v>
      </c>
      <c r="L210" s="6">
        <f t="shared" si="66"/>
        <v>123.79309600000001</v>
      </c>
      <c r="M210" s="4">
        <f t="shared" si="30"/>
        <v>125.42134186414448</v>
      </c>
      <c r="N210" s="4">
        <f t="shared" si="31"/>
        <v>51.867755155032505</v>
      </c>
      <c r="O210" s="4">
        <f t="shared" si="32"/>
        <v>1317586.18516704</v>
      </c>
      <c r="P210" s="4">
        <f t="shared" si="33"/>
        <v>8459829.1557229329</v>
      </c>
      <c r="Q210" s="4">
        <f t="shared" si="34"/>
        <v>3.0752443754013571E-3</v>
      </c>
      <c r="R210" s="4">
        <f t="shared" si="35"/>
        <v>2.3696364620305371E-2</v>
      </c>
      <c r="S210" s="24">
        <v>27.406923509382164</v>
      </c>
      <c r="T210" s="4">
        <f t="shared" si="36"/>
        <v>0.84711253240433282</v>
      </c>
      <c r="U210" s="4">
        <f t="shared" si="37"/>
        <v>6.9017606792464631E-2</v>
      </c>
      <c r="V210" s="4">
        <f t="shared" si="38"/>
        <v>12.273861290954251</v>
      </c>
      <c r="W210" s="20">
        <f t="shared" si="39"/>
        <v>823.35131601450871</v>
      </c>
      <c r="X210" s="4">
        <f t="shared" si="40"/>
        <v>0.61253522187707676</v>
      </c>
      <c r="Y210" s="4">
        <f t="shared" si="41"/>
        <v>125.76498656265015</v>
      </c>
      <c r="Z210" s="14">
        <f t="shared" si="42"/>
        <v>927.44833089925748</v>
      </c>
      <c r="AA210" s="14">
        <f t="shared" si="43"/>
        <v>6078.4222471077064</v>
      </c>
      <c r="AB210" s="25">
        <f t="shared" si="44"/>
        <v>196329.03870998367</v>
      </c>
      <c r="AC210" s="4">
        <f t="shared" si="45"/>
        <v>1286724.830795628</v>
      </c>
      <c r="AD210" s="5">
        <v>100</v>
      </c>
      <c r="AE210" s="4">
        <f t="shared" si="46"/>
        <v>6078.4222471077064</v>
      </c>
      <c r="AF210" s="4">
        <f t="shared" si="47"/>
        <v>5150.9739162084488</v>
      </c>
      <c r="AG210" s="4">
        <f t="shared" si="48"/>
        <v>1090395.7920856443</v>
      </c>
      <c r="AH210" s="4">
        <f t="shared" si="49"/>
        <v>4308.8849128348475</v>
      </c>
      <c r="AI210" s="13">
        <f t="shared" si="50"/>
        <v>97.724276455422768</v>
      </c>
      <c r="AJ210" s="10">
        <f t="shared" si="51"/>
        <v>27.493273833443144</v>
      </c>
      <c r="AK210" s="11">
        <f t="shared" si="52"/>
        <v>5747.3081403014703</v>
      </c>
      <c r="AL210" s="6">
        <v>100</v>
      </c>
      <c r="AM210" s="4">
        <f t="shared" si="53"/>
        <v>1.0232871874535219</v>
      </c>
      <c r="AN210" s="4">
        <f t="shared" si="54"/>
        <v>1.2247852009765792</v>
      </c>
      <c r="AO210" s="4">
        <f t="shared" si="55"/>
        <v>3.1624374110334953E-2</v>
      </c>
      <c r="AP210" s="11">
        <f t="shared" si="56"/>
        <v>0.70888213053726945</v>
      </c>
      <c r="AQ210" s="11">
        <f t="shared" si="57"/>
        <v>0.99381218500000001</v>
      </c>
      <c r="AR210" s="11">
        <f t="shared" si="58"/>
        <v>0.96790163170504873</v>
      </c>
      <c r="AS210" s="11">
        <f t="shared" si="59"/>
        <v>0.97392811872702956</v>
      </c>
      <c r="AT210" s="28"/>
      <c r="AU210" s="28"/>
      <c r="AV210" s="28"/>
      <c r="AW210" s="28"/>
      <c r="AX210" s="28"/>
      <c r="AY210" s="28"/>
    </row>
    <row r="211" spans="1:51" ht="14.5">
      <c r="A211" s="4">
        <f t="shared" si="60"/>
        <v>10.229542017896158</v>
      </c>
      <c r="B211" s="4">
        <f t="shared" ref="B211:C211" si="75">A211/60</f>
        <v>0.17049236696493597</v>
      </c>
      <c r="C211" s="4">
        <f t="shared" si="75"/>
        <v>2.8415394494155995E-3</v>
      </c>
      <c r="D211" s="4">
        <f t="shared" si="62"/>
        <v>11382.147382783549</v>
      </c>
      <c r="E211" s="4">
        <f t="shared" si="63"/>
        <v>0.30898269821306057</v>
      </c>
      <c r="F211" s="4">
        <f t="shared" si="64"/>
        <v>0.30898269821306057</v>
      </c>
      <c r="G211" s="4"/>
      <c r="H211" s="5">
        <f t="shared" si="65"/>
        <v>1000</v>
      </c>
      <c r="I211" s="5">
        <v>0</v>
      </c>
      <c r="J211" s="4">
        <f t="shared" si="28"/>
        <v>0.19101766609046375</v>
      </c>
      <c r="K211" s="4">
        <f t="shared" si="29"/>
        <v>212.52713365207501</v>
      </c>
      <c r="L211" s="6">
        <f t="shared" si="66"/>
        <v>124.10344000000001</v>
      </c>
      <c r="M211" s="4">
        <f t="shared" si="30"/>
        <v>125.91892625471601</v>
      </c>
      <c r="N211" s="4">
        <f t="shared" si="31"/>
        <v>52.126359412294164</v>
      </c>
      <c r="O211" s="4">
        <f t="shared" si="32"/>
        <v>1319633.5064758342</v>
      </c>
      <c r="P211" s="4">
        <f t="shared" si="33"/>
        <v>8472974.3971456587</v>
      </c>
      <c r="Q211" s="4">
        <f t="shared" si="34"/>
        <v>3.0743826528143001E-3</v>
      </c>
      <c r="R211" s="4">
        <f t="shared" si="35"/>
        <v>2.3691125661145559E-2</v>
      </c>
      <c r="S211" s="24">
        <v>27.272962257180588</v>
      </c>
      <c r="T211" s="4">
        <f t="shared" si="36"/>
        <v>0.84383866928380913</v>
      </c>
      <c r="U211" s="4">
        <f t="shared" si="37"/>
        <v>6.8662735826256122E-2</v>
      </c>
      <c r="V211" s="4">
        <f t="shared" si="38"/>
        <v>12.289616181607659</v>
      </c>
      <c r="W211" s="20">
        <f t="shared" si="39"/>
        <v>823.20184255949175</v>
      </c>
      <c r="X211" s="4">
        <f t="shared" si="40"/>
        <v>0.61246750633395297</v>
      </c>
      <c r="Y211" s="4">
        <f t="shared" si="41"/>
        <v>126.01970995257719</v>
      </c>
      <c r="Z211" s="14">
        <f t="shared" si="42"/>
        <v>926.15971195404734</v>
      </c>
      <c r="AA211" s="14">
        <f t="shared" si="43"/>
        <v>6056.3520804675572</v>
      </c>
      <c r="AB211" s="25">
        <f t="shared" si="44"/>
        <v>196834.06888562511</v>
      </c>
      <c r="AC211" s="4">
        <f t="shared" si="45"/>
        <v>1287139.1480495511</v>
      </c>
      <c r="AD211" s="5">
        <v>100</v>
      </c>
      <c r="AE211" s="4">
        <f t="shared" si="46"/>
        <v>6056.3520804675572</v>
      </c>
      <c r="AF211" s="4">
        <f t="shared" si="47"/>
        <v>5130.1923685135098</v>
      </c>
      <c r="AG211" s="4">
        <f t="shared" si="48"/>
        <v>1090305.079163926</v>
      </c>
      <c r="AH211" s="4">
        <f t="shared" si="49"/>
        <v>4295.4108948147714</v>
      </c>
      <c r="AI211" s="13">
        <f t="shared" si="50"/>
        <v>97.713233068441099</v>
      </c>
      <c r="AJ211" s="10">
        <f t="shared" si="51"/>
        <v>27.372155553362145</v>
      </c>
      <c r="AK211" s="11">
        <f t="shared" si="52"/>
        <v>5747.4483987780923</v>
      </c>
      <c r="AL211" s="6">
        <v>100</v>
      </c>
      <c r="AM211" s="4">
        <f t="shared" si="53"/>
        <v>1.0234028376684372</v>
      </c>
      <c r="AN211" s="4">
        <f t="shared" si="54"/>
        <v>1.2210932496403772</v>
      </c>
      <c r="AO211" s="4">
        <f t="shared" si="55"/>
        <v>3.1788287420022966E-2</v>
      </c>
      <c r="AP211" s="11">
        <f t="shared" si="56"/>
        <v>0.70924061840261454</v>
      </c>
      <c r="AQ211" s="11">
        <f t="shared" si="57"/>
        <v>0.99312465000000005</v>
      </c>
      <c r="AR211" s="11">
        <f t="shared" si="58"/>
        <v>0.96438727395980217</v>
      </c>
      <c r="AS211" s="11">
        <f t="shared" si="59"/>
        <v>0.97106367660877424</v>
      </c>
    </row>
    <row r="212" spans="1:51" ht="14.5">
      <c r="A212" s="4">
        <f t="shared" si="60"/>
        <v>11.252944855564595</v>
      </c>
      <c r="B212" s="4">
        <f t="shared" ref="B212:C212" si="76">A212/60</f>
        <v>0.18754908092607658</v>
      </c>
      <c r="C212" s="4">
        <f t="shared" si="76"/>
        <v>3.1258180154346096E-3</v>
      </c>
      <c r="D212" s="4">
        <f t="shared" si="62"/>
        <v>11380.926289533909</v>
      </c>
      <c r="E212" s="4">
        <f t="shared" si="63"/>
        <v>0.34077098563308356</v>
      </c>
      <c r="F212" s="4">
        <f t="shared" si="64"/>
        <v>0.34077098563308356</v>
      </c>
      <c r="G212" s="4"/>
      <c r="H212" s="5">
        <f t="shared" si="65"/>
        <v>1100</v>
      </c>
      <c r="I212" s="5">
        <v>0</v>
      </c>
      <c r="J212" s="4">
        <f t="shared" si="28"/>
        <v>0.19184085906742496</v>
      </c>
      <c r="K212" s="4">
        <f t="shared" si="29"/>
        <v>213.36912640818875</v>
      </c>
      <c r="L212" s="6">
        <f t="shared" si="66"/>
        <v>124.41378400000001</v>
      </c>
      <c r="M212" s="4">
        <f t="shared" si="30"/>
        <v>126.41779349082931</v>
      </c>
      <c r="N212" s="4">
        <f t="shared" si="31"/>
        <v>52.3855733046042</v>
      </c>
      <c r="O212" s="4">
        <f t="shared" si="32"/>
        <v>1321674.7067082108</v>
      </c>
      <c r="P212" s="4">
        <f t="shared" si="33"/>
        <v>8486080.3369566016</v>
      </c>
      <c r="Q212" s="4">
        <f t="shared" si="34"/>
        <v>3.0735240849746183E-3</v>
      </c>
      <c r="R212" s="4">
        <f t="shared" si="35"/>
        <v>2.3685905881699616E-2</v>
      </c>
      <c r="S212" s="24">
        <v>27.13956700887929</v>
      </c>
      <c r="T212" s="4">
        <f t="shared" si="36"/>
        <v>0.8405785556946519</v>
      </c>
      <c r="U212" s="4">
        <f t="shared" si="37"/>
        <v>6.8310697753443297E-2</v>
      </c>
      <c r="V212" s="4">
        <f t="shared" si="38"/>
        <v>12.305225730947557</v>
      </c>
      <c r="W212" s="20">
        <f t="shared" si="39"/>
        <v>823.053864869883</v>
      </c>
      <c r="X212" s="4">
        <f t="shared" si="40"/>
        <v>0.61240003124942488</v>
      </c>
      <c r="Y212" s="4">
        <f t="shared" si="41"/>
        <v>126.27434121174262</v>
      </c>
      <c r="Z212" s="14">
        <f t="shared" si="42"/>
        <v>924.88561675963069</v>
      </c>
      <c r="AA212" s="14">
        <f t="shared" si="43"/>
        <v>6034.3468473232406</v>
      </c>
      <c r="AB212" s="25">
        <f t="shared" si="44"/>
        <v>197342.03607550127</v>
      </c>
      <c r="AC212" s="4">
        <f t="shared" si="45"/>
        <v>1287543.3152573677</v>
      </c>
      <c r="AD212" s="5">
        <v>100</v>
      </c>
      <c r="AE212" s="4">
        <f t="shared" si="46"/>
        <v>6034.3468473232406</v>
      </c>
      <c r="AF212" s="4">
        <f t="shared" si="47"/>
        <v>5109.4612305636101</v>
      </c>
      <c r="AG212" s="4">
        <f t="shared" si="48"/>
        <v>1090201.2791818664</v>
      </c>
      <c r="AH212" s="4">
        <f t="shared" si="49"/>
        <v>4281.9725715906034</v>
      </c>
      <c r="AI212" s="13">
        <f t="shared" si="50"/>
        <v>97.701101196459391</v>
      </c>
      <c r="AJ212" s="10">
        <f t="shared" si="51"/>
        <v>27.251493329068623</v>
      </c>
      <c r="AK212" s="11">
        <f t="shared" si="52"/>
        <v>5747.5178282338966</v>
      </c>
      <c r="AL212" s="6">
        <v>100</v>
      </c>
      <c r="AM212" s="4">
        <f t="shared" si="53"/>
        <v>1.0235299170161649</v>
      </c>
      <c r="AN212" s="4">
        <f t="shared" si="54"/>
        <v>1.2174241752404513</v>
      </c>
      <c r="AO212" s="4">
        <f t="shared" si="55"/>
        <v>3.1952919938380904E-2</v>
      </c>
      <c r="AP212" s="11">
        <f t="shared" si="56"/>
        <v>0.70960000807544432</v>
      </c>
      <c r="AQ212" s="11">
        <f t="shared" si="57"/>
        <v>0.99243711499999998</v>
      </c>
      <c r="AR212" s="11">
        <f t="shared" si="58"/>
        <v>0.96088325594319113</v>
      </c>
      <c r="AS212" s="11">
        <f t="shared" si="59"/>
        <v>0.96820568418905928</v>
      </c>
    </row>
    <row r="213" spans="1:51" ht="14.5">
      <c r="A213" s="4">
        <f t="shared" si="60"/>
        <v>12.276474772580759</v>
      </c>
      <c r="B213" s="4">
        <f t="shared" ref="B213:C213" si="77">A213/60</f>
        <v>0.20460791287634597</v>
      </c>
      <c r="C213" s="4">
        <f t="shared" si="77"/>
        <v>3.4101318812724329E-3</v>
      </c>
      <c r="D213" s="4">
        <f t="shared" si="62"/>
        <v>11379.708865358669</v>
      </c>
      <c r="E213" s="4">
        <f t="shared" si="63"/>
        <v>0.37272390557146445</v>
      </c>
      <c r="F213" s="4">
        <f t="shared" si="64"/>
        <v>0.37272390557146445</v>
      </c>
      <c r="G213" s="4"/>
      <c r="H213" s="5">
        <f t="shared" si="65"/>
        <v>1200</v>
      </c>
      <c r="I213" s="5">
        <v>0</v>
      </c>
      <c r="J213" s="4">
        <f t="shared" si="28"/>
        <v>0.19266659828404112</v>
      </c>
      <c r="K213" s="4">
        <f t="shared" si="29"/>
        <v>214.21329027512192</v>
      </c>
      <c r="L213" s="6">
        <f t="shared" si="66"/>
        <v>124.72412800000001</v>
      </c>
      <c r="M213" s="4">
        <f t="shared" si="30"/>
        <v>126.91794707536533</v>
      </c>
      <c r="N213" s="4">
        <f t="shared" si="31"/>
        <v>52.645396195607319</v>
      </c>
      <c r="O213" s="4">
        <f t="shared" si="32"/>
        <v>1323709.7854235559</v>
      </c>
      <c r="P213" s="4">
        <f t="shared" si="33"/>
        <v>8499146.9723267071</v>
      </c>
      <c r="Q213" s="4">
        <f t="shared" si="34"/>
        <v>3.0726686497527253E-3</v>
      </c>
      <c r="R213" s="4">
        <f t="shared" si="35"/>
        <v>2.3680705147427736E-2</v>
      </c>
      <c r="S213" s="24">
        <v>27.006691651271446</v>
      </c>
      <c r="T213" s="4">
        <f t="shared" si="36"/>
        <v>0.83733250976101448</v>
      </c>
      <c r="U213" s="4">
        <f t="shared" si="37"/>
        <v>6.7961509100298537E-2</v>
      </c>
      <c r="V213" s="4">
        <f t="shared" si="38"/>
        <v>12.320687413301366</v>
      </c>
      <c r="W213" s="20">
        <f t="shared" si="39"/>
        <v>822.90793170641541</v>
      </c>
      <c r="X213" s="4">
        <f t="shared" si="40"/>
        <v>0.61233279496352655</v>
      </c>
      <c r="Y213" s="4">
        <f t="shared" si="41"/>
        <v>126.52891026493296</v>
      </c>
      <c r="Z213" s="14">
        <f t="shared" si="42"/>
        <v>923.6261325056571</v>
      </c>
      <c r="AA213" s="14">
        <f t="shared" si="43"/>
        <v>6012.4064014172109</v>
      </c>
      <c r="AB213" s="25">
        <f t="shared" si="44"/>
        <v>197852.99282812254</v>
      </c>
      <c r="AC213" s="4">
        <f t="shared" si="45"/>
        <v>1287937.3577187862</v>
      </c>
      <c r="AD213" s="5">
        <v>100</v>
      </c>
      <c r="AE213" s="4">
        <f t="shared" si="46"/>
        <v>6012.4064014172109</v>
      </c>
      <c r="AF213" s="4">
        <f t="shared" si="47"/>
        <v>5088.7802689115542</v>
      </c>
      <c r="AG213" s="4">
        <f t="shared" si="48"/>
        <v>1090084.3648906637</v>
      </c>
      <c r="AH213" s="4">
        <f t="shared" si="49"/>
        <v>4268.5698194438601</v>
      </c>
      <c r="AI213" s="13">
        <f t="shared" si="50"/>
        <v>97.6878719154668</v>
      </c>
      <c r="AJ213" s="10">
        <f t="shared" si="51"/>
        <v>27.131281489116272</v>
      </c>
      <c r="AK213" s="11">
        <f t="shared" si="52"/>
        <v>5747.5162736844204</v>
      </c>
      <c r="AL213" s="6">
        <v>100</v>
      </c>
      <c r="AM213" s="4">
        <f t="shared" si="53"/>
        <v>1.0236685275172539</v>
      </c>
      <c r="AN213" s="4">
        <f t="shared" si="54"/>
        <v>1.2137779393540795</v>
      </c>
      <c r="AO213" s="4">
        <f t="shared" si="55"/>
        <v>3.2118282161747468E-2</v>
      </c>
      <c r="AP213" s="11">
        <f t="shared" si="56"/>
        <v>0.70996029450665488</v>
      </c>
      <c r="AQ213" s="11">
        <f t="shared" si="57"/>
        <v>0.99174958000000002</v>
      </c>
      <c r="AR213" s="11">
        <f t="shared" si="58"/>
        <v>0.95738955436579787</v>
      </c>
      <c r="AS213" s="11">
        <f t="shared" si="59"/>
        <v>0.96535413139857129</v>
      </c>
    </row>
    <row r="214" spans="1:51" ht="14.5">
      <c r="A214" s="4">
        <f t="shared" si="60"/>
        <v>13.300143300098012</v>
      </c>
      <c r="B214" s="4">
        <f t="shared" ref="B214:C214" si="78">A214/60</f>
        <v>0.22166905500163353</v>
      </c>
      <c r="C214" s="4">
        <f t="shared" si="78"/>
        <v>3.6944842500272255E-3</v>
      </c>
      <c r="D214" s="4">
        <f t="shared" si="62"/>
        <v>11378.495087419315</v>
      </c>
      <c r="E214" s="4">
        <f t="shared" si="63"/>
        <v>0.4048421877332119</v>
      </c>
      <c r="F214" s="4">
        <f t="shared" si="64"/>
        <v>0.4048421877332119</v>
      </c>
      <c r="G214" s="4"/>
      <c r="H214" s="5">
        <f t="shared" si="65"/>
        <v>1300</v>
      </c>
      <c r="I214" s="5">
        <v>0</v>
      </c>
      <c r="J214" s="4">
        <f t="shared" si="28"/>
        <v>0.19349489204163856</v>
      </c>
      <c r="K214" s="4">
        <f t="shared" si="29"/>
        <v>215.05963117854319</v>
      </c>
      <c r="L214" s="6">
        <f t="shared" si="66"/>
        <v>125.03447200000001</v>
      </c>
      <c r="M214" s="4">
        <f t="shared" si="30"/>
        <v>127.41939051918798</v>
      </c>
      <c r="N214" s="4">
        <f t="shared" si="31"/>
        <v>52.905827441801939</v>
      </c>
      <c r="O214" s="4">
        <f t="shared" si="32"/>
        <v>1325738.7421576136</v>
      </c>
      <c r="P214" s="4">
        <f t="shared" si="33"/>
        <v>8512174.3002751302</v>
      </c>
      <c r="Q214" s="4">
        <f t="shared" si="34"/>
        <v>3.0718163251550971E-3</v>
      </c>
      <c r="R214" s="4">
        <f t="shared" si="35"/>
        <v>2.3675523324617302E-2</v>
      </c>
      <c r="S214" s="24">
        <v>26.874416961665606</v>
      </c>
      <c r="T214" s="4">
        <f t="shared" si="36"/>
        <v>0.83409989975620669</v>
      </c>
      <c r="U214" s="4">
        <f t="shared" si="37"/>
        <v>6.7615085871573596E-2</v>
      </c>
      <c r="V214" s="4">
        <f t="shared" si="38"/>
        <v>12.336002964493385</v>
      </c>
      <c r="W214" s="20">
        <f t="shared" si="39"/>
        <v>822.76337508434131</v>
      </c>
      <c r="X214" s="4">
        <f t="shared" si="40"/>
        <v>0.61226579582597784</v>
      </c>
      <c r="Y214" s="4">
        <f t="shared" si="41"/>
        <v>126.78337549899685</v>
      </c>
      <c r="Z214" s="14">
        <f t="shared" si="42"/>
        <v>922.38102732059508</v>
      </c>
      <c r="AA214" s="14">
        <f t="shared" si="43"/>
        <v>5990.5305967203258</v>
      </c>
      <c r="AB214" s="25">
        <f t="shared" si="44"/>
        <v>198366.92354165294</v>
      </c>
      <c r="AC214" s="4">
        <f t="shared" si="45"/>
        <v>1288321.3006944514</v>
      </c>
      <c r="AD214" s="5">
        <v>100</v>
      </c>
      <c r="AE214" s="4">
        <f t="shared" si="46"/>
        <v>5990.5305967203258</v>
      </c>
      <c r="AF214" s="4">
        <f t="shared" si="47"/>
        <v>5068.1495693997304</v>
      </c>
      <c r="AG214" s="4">
        <f t="shared" si="48"/>
        <v>1089954.3771527985</v>
      </c>
      <c r="AH214" s="4">
        <f t="shared" si="49"/>
        <v>4255.2025148907205</v>
      </c>
      <c r="AI214" s="13">
        <f t="shared" si="50"/>
        <v>97.67355912737527</v>
      </c>
      <c r="AJ214" s="10">
        <f t="shared" si="51"/>
        <v>27.011521278445301</v>
      </c>
      <c r="AK214" s="11">
        <f t="shared" si="52"/>
        <v>5747.4439393549237</v>
      </c>
      <c r="AL214" s="6">
        <v>100</v>
      </c>
      <c r="AM214" s="4">
        <f t="shared" si="53"/>
        <v>1.0238185328087701</v>
      </c>
      <c r="AN214" s="4">
        <f t="shared" si="54"/>
        <v>1.2101542209998908</v>
      </c>
      <c r="AO214" s="4">
        <f t="shared" si="55"/>
        <v>3.2284375179224341E-2</v>
      </c>
      <c r="AP214" s="11">
        <f t="shared" si="56"/>
        <v>0.71032147256210387</v>
      </c>
      <c r="AQ214" s="11">
        <f t="shared" si="57"/>
        <v>0.99106204499999995</v>
      </c>
      <c r="AR214" s="11">
        <f t="shared" si="58"/>
        <v>0.95390614597457424</v>
      </c>
      <c r="AS214" s="11">
        <f t="shared" si="59"/>
        <v>0.96250900817675278</v>
      </c>
    </row>
    <row r="215" spans="1:51" ht="14.5">
      <c r="A215" s="4">
        <f t="shared" si="60"/>
        <v>14.323961832906782</v>
      </c>
      <c r="B215" s="4">
        <f t="shared" ref="B215:C215" si="79">A215/60</f>
        <v>0.23873269721511303</v>
      </c>
      <c r="C215" s="4">
        <f t="shared" si="79"/>
        <v>3.9788782869185505E-3</v>
      </c>
      <c r="D215" s="4">
        <f t="shared" si="62"/>
        <v>11377.284933198314</v>
      </c>
      <c r="E215" s="4">
        <f t="shared" si="63"/>
        <v>0.43712656291243623</v>
      </c>
      <c r="F215" s="4">
        <f t="shared" si="64"/>
        <v>0.43712656291243623</v>
      </c>
      <c r="G215" s="4"/>
      <c r="H215" s="5">
        <f t="shared" si="65"/>
        <v>1400</v>
      </c>
      <c r="I215" s="5">
        <v>0</v>
      </c>
      <c r="J215" s="4">
        <f t="shared" si="28"/>
        <v>0.19432574866747887</v>
      </c>
      <c r="K215" s="4">
        <f t="shared" si="29"/>
        <v>215.90815505758636</v>
      </c>
      <c r="L215" s="6">
        <f t="shared" si="66"/>
        <v>125.34481600000001</v>
      </c>
      <c r="M215" s="4">
        <f t="shared" si="30"/>
        <v>127.922127341139</v>
      </c>
      <c r="N215" s="4">
        <f t="shared" si="31"/>
        <v>53.166866392479811</v>
      </c>
      <c r="O215" s="4">
        <f t="shared" si="32"/>
        <v>1327761.5764224182</v>
      </c>
      <c r="P215" s="4">
        <f t="shared" si="33"/>
        <v>8525162.3176687863</v>
      </c>
      <c r="Q215" s="4">
        <f t="shared" si="34"/>
        <v>3.0709670893225064E-3</v>
      </c>
      <c r="R215" s="4">
        <f t="shared" si="35"/>
        <v>2.3670360280372185E-2</v>
      </c>
      <c r="S215" s="24">
        <v>26.742695965076361</v>
      </c>
      <c r="T215" s="4">
        <f t="shared" si="36"/>
        <v>0.83088104978976252</v>
      </c>
      <c r="U215" s="4">
        <f t="shared" si="37"/>
        <v>6.727144549157052E-2</v>
      </c>
      <c r="V215" s="4">
        <f t="shared" si="38"/>
        <v>12.351169856962215</v>
      </c>
      <c r="W215" s="20">
        <f t="shared" si="39"/>
        <v>822.62074953024307</v>
      </c>
      <c r="X215" s="4">
        <f t="shared" si="40"/>
        <v>0.61219903219605798</v>
      </c>
      <c r="Y215" s="4">
        <f t="shared" si="41"/>
        <v>127.0377673304038</v>
      </c>
      <c r="Z215" s="14">
        <f t="shared" si="42"/>
        <v>921.15039020251731</v>
      </c>
      <c r="AA215" s="14">
        <f t="shared" si="43"/>
        <v>5968.7192874316806</v>
      </c>
      <c r="AB215" s="25">
        <f t="shared" si="44"/>
        <v>198883.88127920128</v>
      </c>
      <c r="AC215" s="4">
        <f t="shared" si="45"/>
        <v>1288695.1694060056</v>
      </c>
      <c r="AD215" s="5">
        <v>100</v>
      </c>
      <c r="AE215" s="4">
        <f t="shared" si="46"/>
        <v>5968.7192874316806</v>
      </c>
      <c r="AF215" s="4">
        <f t="shared" si="47"/>
        <v>5047.5688972291637</v>
      </c>
      <c r="AG215" s="4">
        <f t="shared" si="48"/>
        <v>1089811.2881268044</v>
      </c>
      <c r="AH215" s="4">
        <f t="shared" si="49"/>
        <v>4241.870534689835</v>
      </c>
      <c r="AI215" s="13">
        <f t="shared" si="50"/>
        <v>97.658153732333446</v>
      </c>
      <c r="AJ215" s="10">
        <f t="shared" si="51"/>
        <v>26.892207050640604</v>
      </c>
      <c r="AK215" s="11">
        <f t="shared" si="52"/>
        <v>5747.30066720994</v>
      </c>
      <c r="AL215" s="6">
        <v>100</v>
      </c>
      <c r="AM215" s="4">
        <f t="shared" si="53"/>
        <v>1.0239800383087849</v>
      </c>
      <c r="AN215" s="4">
        <f t="shared" si="54"/>
        <v>1.2065529868368343</v>
      </c>
      <c r="AO215" s="4">
        <f t="shared" si="55"/>
        <v>3.2451209667959877E-2</v>
      </c>
      <c r="AP215" s="11">
        <f t="shared" si="56"/>
        <v>0.71068353702308174</v>
      </c>
      <c r="AQ215" s="11">
        <f t="shared" si="57"/>
        <v>0.99037450999999999</v>
      </c>
      <c r="AR215" s="11">
        <f t="shared" si="58"/>
        <v>0.95043300755281535</v>
      </c>
      <c r="AS215" s="11">
        <f t="shared" si="59"/>
        <v>0.95967030447180568</v>
      </c>
    </row>
    <row r="216" spans="1:51" ht="15" customHeight="1">
      <c r="A216" s="4">
        <f t="shared" si="60"/>
        <v>15.347941871215568</v>
      </c>
      <c r="B216" s="4">
        <f t="shared" ref="B216:C216" si="80">A216/60</f>
        <v>0.25579903118692615</v>
      </c>
      <c r="C216" s="4">
        <f t="shared" si="80"/>
        <v>4.2633171864487696E-3</v>
      </c>
      <c r="D216" s="4">
        <f t="shared" si="62"/>
        <v>11376.078380211478</v>
      </c>
      <c r="E216" s="4">
        <f t="shared" si="63"/>
        <v>0.46957777258039612</v>
      </c>
      <c r="F216" s="4">
        <f t="shared" si="64"/>
        <v>0.46957777258039612</v>
      </c>
      <c r="G216" s="4"/>
      <c r="H216" s="5">
        <f t="shared" si="65"/>
        <v>1500</v>
      </c>
      <c r="I216" s="5">
        <v>0</v>
      </c>
      <c r="J216" s="4">
        <f t="shared" si="28"/>
        <v>0.19515917651478651</v>
      </c>
      <c r="K216" s="4">
        <f t="shared" si="29"/>
        <v>216.75886786481519</v>
      </c>
      <c r="L216" s="6">
        <f t="shared" si="66"/>
        <v>125.65516000000001</v>
      </c>
      <c r="M216" s="4">
        <f t="shared" si="30"/>
        <v>128.42616106801717</v>
      </c>
      <c r="N216" s="4">
        <f t="shared" si="31"/>
        <v>53.428512389651701</v>
      </c>
      <c r="O216" s="4">
        <f t="shared" si="32"/>
        <v>1329778.2877060417</v>
      </c>
      <c r="P216" s="4">
        <f t="shared" si="33"/>
        <v>8538111.0212207362</v>
      </c>
      <c r="Q216" s="4">
        <f t="shared" si="34"/>
        <v>3.0701209205283432E-3</v>
      </c>
      <c r="R216" s="4">
        <f t="shared" si="35"/>
        <v>2.3665215882602519E-2</v>
      </c>
      <c r="S216" s="24">
        <v>26.611524670921455</v>
      </c>
      <c r="T216" s="4">
        <f t="shared" si="36"/>
        <v>0.82767595905343017</v>
      </c>
      <c r="U216" s="4">
        <f t="shared" si="37"/>
        <v>6.6930570959863725E-2</v>
      </c>
      <c r="V216" s="4">
        <f t="shared" si="38"/>
        <v>12.366187038054148</v>
      </c>
      <c r="W216" s="20">
        <f t="shared" si="39"/>
        <v>822.4801931483745</v>
      </c>
      <c r="X216" s="4">
        <f t="shared" si="40"/>
        <v>0.61213250244248496</v>
      </c>
      <c r="Y216" s="4">
        <f t="shared" si="41"/>
        <v>127.29209185491666</v>
      </c>
      <c r="Z216" s="14">
        <f t="shared" si="42"/>
        <v>919.9342000249685</v>
      </c>
      <c r="AA216" s="14">
        <f t="shared" si="43"/>
        <v>5946.972327978373</v>
      </c>
      <c r="AB216" s="25">
        <f t="shared" si="44"/>
        <v>199403.89570753661</v>
      </c>
      <c r="AC216" s="4">
        <f t="shared" si="45"/>
        <v>1289058.9890359766</v>
      </c>
      <c r="AD216" s="5">
        <v>100</v>
      </c>
      <c r="AE216" s="4">
        <f t="shared" si="46"/>
        <v>5946.972327978373</v>
      </c>
      <c r="AF216" s="4">
        <f t="shared" si="47"/>
        <v>5027.0381279534049</v>
      </c>
      <c r="AG216" s="4">
        <f t="shared" si="48"/>
        <v>1089655.0933284401</v>
      </c>
      <c r="AH216" s="4">
        <f t="shared" si="49"/>
        <v>4228.5737558501205</v>
      </c>
      <c r="AI216" s="13">
        <f t="shared" si="50"/>
        <v>97.641654391207808</v>
      </c>
      <c r="AJ216" s="10">
        <f t="shared" si="51"/>
        <v>26.773335546867031</v>
      </c>
      <c r="AK216" s="11">
        <f t="shared" si="52"/>
        <v>5747.0864224558045</v>
      </c>
      <c r="AL216" s="6">
        <v>100</v>
      </c>
      <c r="AM216" s="4">
        <f t="shared" si="53"/>
        <v>1.0241530689283831</v>
      </c>
      <c r="AN216" s="4">
        <f t="shared" si="54"/>
        <v>1.2029741081233112</v>
      </c>
      <c r="AO216" s="4">
        <f t="shared" si="55"/>
        <v>3.2618793154020671E-2</v>
      </c>
      <c r="AP216" s="11">
        <f t="shared" si="56"/>
        <v>0.71104648258681091</v>
      </c>
      <c r="AQ216" s="11">
        <f t="shared" si="57"/>
        <v>0.98968697500000002</v>
      </c>
      <c r="AR216" s="11">
        <f t="shared" si="58"/>
        <v>0.94697011592012315</v>
      </c>
      <c r="AS216" s="11">
        <f t="shared" si="59"/>
        <v>0.9568380102406856</v>
      </c>
    </row>
    <row r="217" spans="1:51" ht="15" customHeight="1">
      <c r="A217" s="4">
        <f t="shared" si="60"/>
        <v>16.372094940143953</v>
      </c>
      <c r="B217" s="4">
        <f t="shared" ref="B217:C217" si="81">A217/60</f>
        <v>0.2728682490023992</v>
      </c>
      <c r="C217" s="4">
        <f t="shared" si="81"/>
        <v>4.5478041500399864E-3</v>
      </c>
      <c r="D217" s="4">
        <f t="shared" si="62"/>
        <v>11374.875406103354</v>
      </c>
      <c r="E217" s="4">
        <f t="shared" si="63"/>
        <v>0.50219656573441684</v>
      </c>
      <c r="F217" s="4">
        <f t="shared" si="64"/>
        <v>0.50219656573441684</v>
      </c>
      <c r="G217" s="4"/>
      <c r="H217" s="5">
        <f t="shared" si="65"/>
        <v>1600</v>
      </c>
      <c r="I217" s="5">
        <v>0</v>
      </c>
      <c r="J217" s="4">
        <f t="shared" si="28"/>
        <v>0.19599518396281507</v>
      </c>
      <c r="K217" s="4">
        <f t="shared" si="29"/>
        <v>217.61177556623133</v>
      </c>
      <c r="L217" s="6">
        <f t="shared" si="66"/>
        <v>125.96550400000001</v>
      </c>
      <c r="M217" s="4">
        <f t="shared" si="30"/>
        <v>128.931495234583</v>
      </c>
      <c r="N217" s="4">
        <f t="shared" si="31"/>
        <v>53.690764767994573</v>
      </c>
      <c r="O217" s="4">
        <f t="shared" si="32"/>
        <v>1331788.8754726278</v>
      </c>
      <c r="P217" s="4">
        <f t="shared" si="33"/>
        <v>8551020.407490408</v>
      </c>
      <c r="Q217" s="4">
        <f t="shared" si="34"/>
        <v>3.0692777971768415E-3</v>
      </c>
      <c r="R217" s="4">
        <f t="shared" si="35"/>
        <v>2.3660090000013914E-2</v>
      </c>
      <c r="S217" s="24">
        <v>26.480852177081303</v>
      </c>
      <c r="T217" s="4">
        <f t="shared" si="36"/>
        <v>0.82448496141373473</v>
      </c>
      <c r="U217" s="4">
        <f t="shared" si="37"/>
        <v>6.659248020408251E-2</v>
      </c>
      <c r="V217" s="4">
        <f t="shared" si="38"/>
        <v>12.381052017990298</v>
      </c>
      <c r="W217" s="20">
        <f t="shared" si="39"/>
        <v>822.34227368958773</v>
      </c>
      <c r="X217" s="4">
        <f t="shared" si="40"/>
        <v>0.61206620494328701</v>
      </c>
      <c r="Y217" s="4">
        <f t="shared" si="41"/>
        <v>127.54638114026042</v>
      </c>
      <c r="Z217" s="14">
        <f t="shared" si="42"/>
        <v>918.73254304844875</v>
      </c>
      <c r="AA217" s="14">
        <f t="shared" si="43"/>
        <v>5925.2895730153277</v>
      </c>
      <c r="AB217" s="25">
        <f t="shared" si="44"/>
        <v>199927.01996325198</v>
      </c>
      <c r="AC217" s="4">
        <f t="shared" si="45"/>
        <v>1289412.7847279422</v>
      </c>
      <c r="AD217" s="5">
        <v>100</v>
      </c>
      <c r="AE217" s="4">
        <f t="shared" si="46"/>
        <v>5925.2895730153277</v>
      </c>
      <c r="AF217" s="4">
        <f t="shared" si="47"/>
        <v>5006.5570299668789</v>
      </c>
      <c r="AG217" s="4">
        <f t="shared" si="48"/>
        <v>1089485.7647646903</v>
      </c>
      <c r="AH217" s="4">
        <f t="shared" si="49"/>
        <v>4215.3120556388094</v>
      </c>
      <c r="AI217" s="13">
        <f t="shared" si="50"/>
        <v>97.624051497860364</v>
      </c>
      <c r="AJ217" s="10">
        <f t="shared" si="51"/>
        <v>26.654901115466899</v>
      </c>
      <c r="AK217" s="11">
        <f t="shared" si="52"/>
        <v>5746.8010463487499</v>
      </c>
      <c r="AL217" s="6">
        <v>100</v>
      </c>
      <c r="AM217" s="4">
        <f t="shared" si="53"/>
        <v>1.0243377371220013</v>
      </c>
      <c r="AN217" s="4">
        <f t="shared" si="54"/>
        <v>1.1994175589822638</v>
      </c>
      <c r="AO217" s="4">
        <f t="shared" si="55"/>
        <v>3.2787136701030777E-2</v>
      </c>
      <c r="AP217" s="11">
        <f t="shared" si="56"/>
        <v>0.71141030386700144</v>
      </c>
      <c r="AQ217" s="11">
        <f t="shared" si="57"/>
        <v>0.98899943999999995</v>
      </c>
      <c r="AR217" s="11">
        <f t="shared" si="58"/>
        <v>0.94351744793237702</v>
      </c>
      <c r="AS217" s="11">
        <f t="shared" si="59"/>
        <v>0.95401211544910181</v>
      </c>
    </row>
    <row r="218" spans="1:51" ht="14.5">
      <c r="A218" s="4">
        <f t="shared" si="60"/>
        <v>17.396432677265953</v>
      </c>
      <c r="B218" s="4">
        <f t="shared" ref="B218:C218" si="82">A218/60</f>
        <v>0.28994054462109919</v>
      </c>
      <c r="C218" s="4">
        <f t="shared" si="82"/>
        <v>4.8323424103516536E-3</v>
      </c>
      <c r="D218" s="4">
        <f t="shared" si="62"/>
        <v>11373.675988544372</v>
      </c>
      <c r="E218" s="4">
        <f t="shared" si="63"/>
        <v>0.53498370243544757</v>
      </c>
      <c r="F218" s="4">
        <f t="shared" si="64"/>
        <v>0.53498370243544757</v>
      </c>
      <c r="G218" s="4"/>
      <c r="H218" s="5">
        <f t="shared" si="65"/>
        <v>1700</v>
      </c>
      <c r="I218" s="5">
        <v>0</v>
      </c>
      <c r="J218" s="4">
        <f t="shared" si="28"/>
        <v>0.19683377941687785</v>
      </c>
      <c r="K218" s="4">
        <f t="shared" si="29"/>
        <v>218.46688414124191</v>
      </c>
      <c r="L218" s="6">
        <f t="shared" si="66"/>
        <v>126.27584800000001</v>
      </c>
      <c r="M218" s="4">
        <f t="shared" si="30"/>
        <v>129.43813338353957</v>
      </c>
      <c r="N218" s="4">
        <f t="shared" si="31"/>
        <v>53.953622854778793</v>
      </c>
      <c r="O218" s="4">
        <f t="shared" si="32"/>
        <v>1333793.339162183</v>
      </c>
      <c r="P218" s="4">
        <f t="shared" si="33"/>
        <v>8563890.4728822503</v>
      </c>
      <c r="Q218" s="4">
        <f t="shared" si="34"/>
        <v>3.0684376978014124E-3</v>
      </c>
      <c r="R218" s="4">
        <f t="shared" si="35"/>
        <v>2.3654982502097341E-2</v>
      </c>
      <c r="S218" s="24">
        <v>26.350769563087113</v>
      </c>
      <c r="T218" s="4">
        <f t="shared" si="36"/>
        <v>0.82130736823663242</v>
      </c>
      <c r="U218" s="4">
        <f t="shared" si="37"/>
        <v>6.6257084611961045E-2</v>
      </c>
      <c r="V218" s="4">
        <f t="shared" si="38"/>
        <v>12.395766777947941</v>
      </c>
      <c r="W218" s="20">
        <f t="shared" si="39"/>
        <v>822.20624356051007</v>
      </c>
      <c r="X218" s="4">
        <f t="shared" si="40"/>
        <v>0.61200013808568365</v>
      </c>
      <c r="Y218" s="4">
        <f t="shared" si="41"/>
        <v>127.80058839410921</v>
      </c>
      <c r="Z218" s="14">
        <f t="shared" si="42"/>
        <v>917.54517427498979</v>
      </c>
      <c r="AA218" s="14">
        <f t="shared" si="43"/>
        <v>5903.6708774251001</v>
      </c>
      <c r="AB218" s="25">
        <f t="shared" si="44"/>
        <v>200453.2352826898</v>
      </c>
      <c r="AC218" s="4">
        <f t="shared" si="45"/>
        <v>1289756.5815864534</v>
      </c>
      <c r="AD218" s="5">
        <v>100</v>
      </c>
      <c r="AE218" s="4">
        <f t="shared" si="46"/>
        <v>5903.6708774251001</v>
      </c>
      <c r="AF218" s="4">
        <f t="shared" si="47"/>
        <v>4986.12570315011</v>
      </c>
      <c r="AG218" s="4">
        <f t="shared" si="48"/>
        <v>1089303.3463037636</v>
      </c>
      <c r="AH218" s="4">
        <f t="shared" si="49"/>
        <v>4202.0853115894906</v>
      </c>
      <c r="AI218" s="13">
        <f t="shared" si="50"/>
        <v>97.605360531849556</v>
      </c>
      <c r="AJ218" s="10">
        <f t="shared" si="51"/>
        <v>26.536905548634824</v>
      </c>
      <c r="AK218" s="11">
        <f t="shared" si="52"/>
        <v>5746.4447592893412</v>
      </c>
      <c r="AL218" s="6">
        <v>100</v>
      </c>
      <c r="AM218" s="4">
        <f t="shared" si="53"/>
        <v>1.0245338929655308</v>
      </c>
      <c r="AN218" s="4">
        <f t="shared" si="54"/>
        <v>1.1958830063489043</v>
      </c>
      <c r="AO218" s="4">
        <f t="shared" si="55"/>
        <v>3.2956240898346624E-2</v>
      </c>
      <c r="AP218" s="11">
        <f t="shared" si="56"/>
        <v>0.71177499539443168</v>
      </c>
      <c r="AQ218" s="11">
        <f t="shared" si="57"/>
        <v>0.98831190499999999</v>
      </c>
      <c r="AR218" s="11">
        <f t="shared" si="58"/>
        <v>0.94007498048170379</v>
      </c>
      <c r="AS218" s="11">
        <f t="shared" si="59"/>
        <v>0.95119261007151767</v>
      </c>
      <c r="AT218" s="11"/>
      <c r="AU218" s="11"/>
      <c r="AV218" s="11"/>
      <c r="AW218" s="11"/>
      <c r="AX218" s="11"/>
      <c r="AY218" s="11"/>
    </row>
    <row r="219" spans="1:51" ht="14.5">
      <c r="A219" s="4">
        <f t="shared" si="60"/>
        <v>18.420966570231485</v>
      </c>
      <c r="B219" s="4">
        <f t="shared" ref="B219:C219" si="83">A219/60</f>
        <v>0.3070161095038581</v>
      </c>
      <c r="C219" s="4">
        <f t="shared" si="83"/>
        <v>5.1169351583976348E-3</v>
      </c>
      <c r="D219" s="4">
        <f t="shared" si="62"/>
        <v>11372.480105538023</v>
      </c>
      <c r="E219" s="4">
        <f t="shared" si="63"/>
        <v>0.56793994333379416</v>
      </c>
      <c r="F219" s="4">
        <f t="shared" si="64"/>
        <v>0.56793994333379416</v>
      </c>
      <c r="G219" s="4"/>
      <c r="H219" s="5">
        <f t="shared" si="65"/>
        <v>1800</v>
      </c>
      <c r="I219" s="5">
        <v>0</v>
      </c>
      <c r="J219" s="4">
        <f t="shared" si="28"/>
        <v>0.19767497130839998</v>
      </c>
      <c r="K219" s="4">
        <f t="shared" si="29"/>
        <v>219.32419958265095</v>
      </c>
      <c r="L219" s="6">
        <f t="shared" si="66"/>
        <v>126.58619200000001</v>
      </c>
      <c r="M219" s="4">
        <f t="shared" si="30"/>
        <v>129.94607906552736</v>
      </c>
      <c r="N219" s="4">
        <f t="shared" si="31"/>
        <v>54.217085969806483</v>
      </c>
      <c r="O219" s="4">
        <f t="shared" si="32"/>
        <v>1335791.6781904993</v>
      </c>
      <c r="P219" s="4">
        <f t="shared" si="33"/>
        <v>8576721.2136452347</v>
      </c>
      <c r="Q219" s="4">
        <f t="shared" si="34"/>
        <v>3.0676006010629743E-3</v>
      </c>
      <c r="R219" s="4">
        <f t="shared" si="35"/>
        <v>2.3649893259118964E-2</v>
      </c>
      <c r="S219" s="24">
        <v>26.221224959728072</v>
      </c>
      <c r="T219" s="4">
        <f t="shared" si="36"/>
        <v>0.8181435205797889</v>
      </c>
      <c r="U219" s="4">
        <f t="shared" si="37"/>
        <v>6.5924403158961614E-2</v>
      </c>
      <c r="V219" s="4">
        <f t="shared" si="38"/>
        <v>12.410328821741821</v>
      </c>
      <c r="W219" s="20">
        <f t="shared" si="39"/>
        <v>822.07267772284899</v>
      </c>
      <c r="X219" s="4">
        <f t="shared" si="40"/>
        <v>0.61193430026596463</v>
      </c>
      <c r="Y219" s="4">
        <f t="shared" si="41"/>
        <v>128.0547462430838</v>
      </c>
      <c r="Z219" s="14">
        <f t="shared" si="42"/>
        <v>916.37218230788721</v>
      </c>
      <c r="AA219" s="14">
        <f t="shared" si="43"/>
        <v>5882.116096317658</v>
      </c>
      <c r="AB219" s="25">
        <f t="shared" si="44"/>
        <v>200982.59540448445</v>
      </c>
      <c r="AC219" s="4">
        <f t="shared" si="45"/>
        <v>1290090.4046770977</v>
      </c>
      <c r="AD219" s="5">
        <v>100</v>
      </c>
      <c r="AE219" s="4">
        <f t="shared" si="46"/>
        <v>5882.116096317658</v>
      </c>
      <c r="AF219" s="4">
        <f t="shared" si="47"/>
        <v>4965.7439140097704</v>
      </c>
      <c r="AG219" s="4">
        <f t="shared" si="48"/>
        <v>1089107.8092726131</v>
      </c>
      <c r="AH219" s="4">
        <f t="shared" si="49"/>
        <v>4188.8934015102986</v>
      </c>
      <c r="AI219" s="13">
        <f t="shared" si="50"/>
        <v>97.585571690412209</v>
      </c>
      <c r="AJ219" s="10">
        <f t="shared" si="51"/>
        <v>26.419343207125234</v>
      </c>
      <c r="AK219" s="11">
        <f t="shared" si="52"/>
        <v>5746.0173990135372</v>
      </c>
      <c r="AL219" s="6">
        <v>100</v>
      </c>
      <c r="AM219" s="4">
        <f t="shared" si="53"/>
        <v>1.0247416525595352</v>
      </c>
      <c r="AN219" s="4">
        <f t="shared" si="54"/>
        <v>1.1923704296276099</v>
      </c>
      <c r="AO219" s="4">
        <f t="shared" si="55"/>
        <v>3.3126117006692941E-2</v>
      </c>
      <c r="AP219" s="11">
        <f t="shared" si="56"/>
        <v>0.71214055161757917</v>
      </c>
      <c r="AQ219" s="11">
        <f t="shared" si="57"/>
        <v>0.98762437000000003</v>
      </c>
      <c r="AR219" s="11">
        <f t="shared" si="58"/>
        <v>0.93664269049644233</v>
      </c>
      <c r="AS219" s="11">
        <f t="shared" si="59"/>
        <v>0.94837948409114525</v>
      </c>
      <c r="AT219" s="17" t="s">
        <v>65</v>
      </c>
      <c r="AU219" s="18" t="s">
        <v>66</v>
      </c>
      <c r="AV219" s="18" t="s">
        <v>67</v>
      </c>
      <c r="AW219" s="19" t="s">
        <v>68</v>
      </c>
      <c r="AX219" s="19"/>
      <c r="AY219" s="19"/>
    </row>
    <row r="220" spans="1:51" ht="14.5">
      <c r="A220" s="4">
        <f t="shared" si="60"/>
        <v>19.445708222791019</v>
      </c>
      <c r="B220" s="4">
        <f t="shared" ref="B220:C220" si="84">A220/60</f>
        <v>0.32409513704651699</v>
      </c>
      <c r="C220" s="4">
        <f t="shared" si="84"/>
        <v>5.4015856174419495E-3</v>
      </c>
      <c r="D220" s="4">
        <f t="shared" si="62"/>
        <v>11371.287735108395</v>
      </c>
      <c r="E220" s="4">
        <f t="shared" si="63"/>
        <v>0.60106606034048715</v>
      </c>
      <c r="F220" s="4">
        <f t="shared" si="64"/>
        <v>0.60106606034048715</v>
      </c>
      <c r="G220" s="4"/>
      <c r="H220" s="5">
        <f t="shared" si="65"/>
        <v>1900</v>
      </c>
      <c r="I220" s="5">
        <v>0</v>
      </c>
      <c r="J220" s="4">
        <f t="shared" si="28"/>
        <v>0.19851876809494926</v>
      </c>
      <c r="K220" s="4">
        <f t="shared" si="29"/>
        <v>220.18372789662746</v>
      </c>
      <c r="L220" s="6">
        <f t="shared" si="66"/>
        <v>126.89653600000001</v>
      </c>
      <c r="M220" s="4">
        <f t="shared" si="30"/>
        <v>130.45533583910543</v>
      </c>
      <c r="N220" s="4">
        <f t="shared" si="31"/>
        <v>54.481153425338711</v>
      </c>
      <c r="O220" s="4">
        <f t="shared" si="32"/>
        <v>1337783.8919489705</v>
      </c>
      <c r="P220" s="4">
        <f t="shared" si="33"/>
        <v>8589512.6258716844</v>
      </c>
      <c r="Q220" s="4">
        <f t="shared" si="34"/>
        <v>3.0667664857483221E-3</v>
      </c>
      <c r="R220" s="4">
        <f t="shared" si="35"/>
        <v>2.3644822142110226E-2</v>
      </c>
      <c r="S220" s="24">
        <v>26.092214575968512</v>
      </c>
      <c r="T220" s="4">
        <f t="shared" si="36"/>
        <v>0.81499341009153625</v>
      </c>
      <c r="U220" s="4">
        <f t="shared" si="37"/>
        <v>6.5594418376721406E-2</v>
      </c>
      <c r="V220" s="4">
        <f t="shared" si="38"/>
        <v>12.424737199602438</v>
      </c>
      <c r="W220" s="20">
        <f t="shared" si="39"/>
        <v>821.94170142844359</v>
      </c>
      <c r="X220" s="4">
        <f t="shared" si="40"/>
        <v>0.61186868988937271</v>
      </c>
      <c r="Y220" s="4">
        <f t="shared" si="41"/>
        <v>128.30886051876868</v>
      </c>
      <c r="Z220" s="14">
        <f t="shared" si="42"/>
        <v>915.21354153649622</v>
      </c>
      <c r="AA220" s="14">
        <f t="shared" si="43"/>
        <v>5860.6250850301958</v>
      </c>
      <c r="AB220" s="25">
        <f t="shared" si="44"/>
        <v>201515.12939698063</v>
      </c>
      <c r="AC220" s="4">
        <f t="shared" si="45"/>
        <v>1290414.2790264378</v>
      </c>
      <c r="AD220" s="5">
        <v>100</v>
      </c>
      <c r="AE220" s="4">
        <f t="shared" si="46"/>
        <v>5860.6250850301958</v>
      </c>
      <c r="AF220" s="4">
        <f t="shared" si="47"/>
        <v>4945.4115434936994</v>
      </c>
      <c r="AG220" s="4">
        <f t="shared" si="48"/>
        <v>1088899.1496294572</v>
      </c>
      <c r="AH220" s="4">
        <f t="shared" si="49"/>
        <v>4175.7362034921725</v>
      </c>
      <c r="AI220" s="13">
        <f t="shared" si="50"/>
        <v>97.564683696015095</v>
      </c>
      <c r="AJ220" s="10">
        <f t="shared" si="51"/>
        <v>26.302211015903442</v>
      </c>
      <c r="AK220" s="11">
        <f t="shared" si="52"/>
        <v>5745.5189332736236</v>
      </c>
      <c r="AL220" s="6">
        <v>100</v>
      </c>
      <c r="AM220" s="4">
        <f t="shared" si="53"/>
        <v>1.0249610433993994</v>
      </c>
      <c r="AN220" s="4">
        <f t="shared" si="54"/>
        <v>1.1888797044699955</v>
      </c>
      <c r="AO220" s="4">
        <f t="shared" si="55"/>
        <v>3.3296772778293446E-2</v>
      </c>
      <c r="AP220" s="11">
        <f t="shared" si="56"/>
        <v>0.71250696690328519</v>
      </c>
      <c r="AQ220" s="11">
        <f t="shared" si="57"/>
        <v>0.98693683499999996</v>
      </c>
      <c r="AR220" s="11">
        <f t="shared" si="58"/>
        <v>0.933220554941114</v>
      </c>
      <c r="AS220" s="11">
        <f t="shared" si="59"/>
        <v>0.94557272749994592</v>
      </c>
      <c r="AT220" s="11"/>
      <c r="AU220" s="11"/>
      <c r="AV220" s="11"/>
      <c r="AW220" s="11"/>
      <c r="AX220" s="11"/>
      <c r="AY220" s="11"/>
    </row>
    <row r="221" spans="1:51" ht="14.5">
      <c r="A221" s="4">
        <f t="shared" si="60"/>
        <v>20.47066926619042</v>
      </c>
      <c r="B221" s="4">
        <f t="shared" ref="B221:C221" si="85">A221/60</f>
        <v>0.34117782110317368</v>
      </c>
      <c r="C221" s="4">
        <f t="shared" si="85"/>
        <v>5.6862970183862282E-3</v>
      </c>
      <c r="D221" s="4">
        <f t="shared" si="62"/>
        <v>11370.098855403925</v>
      </c>
      <c r="E221" s="4">
        <f t="shared" si="63"/>
        <v>0.63436283311878061</v>
      </c>
      <c r="F221" s="4">
        <f t="shared" si="64"/>
        <v>0.63436283311878061</v>
      </c>
      <c r="G221" s="4"/>
      <c r="H221" s="5">
        <f t="shared" si="65"/>
        <v>2000</v>
      </c>
      <c r="I221" s="5">
        <v>0</v>
      </c>
      <c r="J221" s="4">
        <f t="shared" si="28"/>
        <v>0.19936517826029371</v>
      </c>
      <c r="K221" s="4">
        <f t="shared" si="29"/>
        <v>221.04547510270231</v>
      </c>
      <c r="L221" s="6">
        <f t="shared" si="66"/>
        <v>127.20688000000001</v>
      </c>
      <c r="M221" s="4">
        <f t="shared" si="30"/>
        <v>130.96590727074948</v>
      </c>
      <c r="N221" s="4">
        <f t="shared" si="31"/>
        <v>54.7458245260366</v>
      </c>
      <c r="O221" s="4">
        <f t="shared" si="32"/>
        <v>1339769.9798045529</v>
      </c>
      <c r="P221" s="4">
        <f t="shared" si="33"/>
        <v>8602264.7054970134</v>
      </c>
      <c r="Q221" s="4">
        <f t="shared" si="34"/>
        <v>3.065935330768447E-3</v>
      </c>
      <c r="R221" s="4">
        <f t="shared" si="35"/>
        <v>2.3639769022857648E-2</v>
      </c>
      <c r="S221" s="24">
        <v>25.963685210828629</v>
      </c>
      <c r="T221" s="4">
        <f t="shared" si="36"/>
        <v>0.8118573679432971</v>
      </c>
      <c r="U221" s="4">
        <f t="shared" si="37"/>
        <v>6.5267147700041162E-2</v>
      </c>
      <c r="V221" s="4">
        <f t="shared" si="38"/>
        <v>12.438989546080395</v>
      </c>
      <c r="W221" s="20">
        <f t="shared" si="39"/>
        <v>821.81387751931425</v>
      </c>
      <c r="X221" s="4">
        <f t="shared" si="40"/>
        <v>0.61180330536998284</v>
      </c>
      <c r="Y221" s="4">
        <f t="shared" si="41"/>
        <v>128.56296400983189</v>
      </c>
      <c r="Z221" s="14">
        <f t="shared" si="42"/>
        <v>914.0693312172383</v>
      </c>
      <c r="AA221" s="14">
        <f t="shared" si="43"/>
        <v>5839.1976991269457</v>
      </c>
      <c r="AB221" s="25">
        <f t="shared" si="44"/>
        <v>202050.8895957238</v>
      </c>
      <c r="AC221" s="4">
        <f t="shared" si="45"/>
        <v>1290728.2296221219</v>
      </c>
      <c r="AD221" s="5">
        <v>100</v>
      </c>
      <c r="AE221" s="4">
        <f t="shared" si="46"/>
        <v>5839.1976991269457</v>
      </c>
      <c r="AF221" s="4">
        <f t="shared" si="47"/>
        <v>4925.1283679097078</v>
      </c>
      <c r="AG221" s="4">
        <f t="shared" si="48"/>
        <v>1088677.3400263982</v>
      </c>
      <c r="AH221" s="4">
        <f t="shared" si="49"/>
        <v>4162.6135959172925</v>
      </c>
      <c r="AI221" s="13">
        <f t="shared" si="50"/>
        <v>97.542686719276645</v>
      </c>
      <c r="AJ221" s="10">
        <f t="shared" si="51"/>
        <v>26.185503469215384</v>
      </c>
      <c r="AK221" s="11">
        <f t="shared" si="52"/>
        <v>5744.9492068873806</v>
      </c>
      <c r="AL221" s="6">
        <v>100</v>
      </c>
      <c r="AM221" s="4">
        <f t="shared" si="53"/>
        <v>1.0251921836825695</v>
      </c>
      <c r="AN221" s="4">
        <f t="shared" si="54"/>
        <v>1.1854108117292228</v>
      </c>
      <c r="AO221" s="4">
        <f t="shared" si="55"/>
        <v>3.346821967482743E-2</v>
      </c>
      <c r="AP221" s="11">
        <f t="shared" si="56"/>
        <v>0.71287423553747298</v>
      </c>
      <c r="AQ221" s="11">
        <f t="shared" si="57"/>
        <v>0.9862493</v>
      </c>
      <c r="AR221" s="11">
        <f t="shared" si="58"/>
        <v>0.92980855081639258</v>
      </c>
      <c r="AS221" s="11">
        <f t="shared" si="59"/>
        <v>0.94277233029862995</v>
      </c>
      <c r="AT221" s="11">
        <f t="shared" ref="AT221:AT251" si="86">(518.67*AQ201)</f>
        <v>518.66999999999996</v>
      </c>
      <c r="AU221" s="11">
        <f t="shared" ref="AU221:AU251" si="87">2116.22*AR201</f>
        <v>2116.2199999999998</v>
      </c>
      <c r="AV221" s="11">
        <f t="shared" ref="AV221:AV251" si="88">(0.0023769*AS201)</f>
        <v>2.3768999999999999E-3</v>
      </c>
      <c r="AW221" s="11">
        <f t="shared" ref="AW221:AW251" si="89">((2.2697*10^-8)*(AT221^1.5))/(AT221+198.72)</f>
        <v>3.7372300533367914E-7</v>
      </c>
      <c r="AX221" s="11"/>
      <c r="AY221" s="11"/>
    </row>
    <row r="222" spans="1:51" ht="14.5">
      <c r="A222" s="4">
        <f t="shared" si="60"/>
        <v>21.49586144987299</v>
      </c>
      <c r="B222" s="4">
        <f t="shared" ref="B222:C222" si="90">A222/60</f>
        <v>0.35826435749788316</v>
      </c>
      <c r="C222" s="4">
        <f t="shared" si="90"/>
        <v>5.9710726249647189E-3</v>
      </c>
      <c r="D222" s="4">
        <f t="shared" si="62"/>
        <v>11368.913444592195</v>
      </c>
      <c r="E222" s="4">
        <f t="shared" si="63"/>
        <v>0.66783105279360799</v>
      </c>
      <c r="F222" s="4">
        <f t="shared" si="64"/>
        <v>0.66783105279360799</v>
      </c>
      <c r="G222" s="4"/>
      <c r="H222" s="5">
        <f t="shared" si="65"/>
        <v>2100</v>
      </c>
      <c r="I222" s="5">
        <v>0</v>
      </c>
      <c r="J222" s="4">
        <f t="shared" si="28"/>
        <v>0.20021421031442971</v>
      </c>
      <c r="K222" s="4">
        <f t="shared" si="29"/>
        <v>221.90944723373269</v>
      </c>
      <c r="L222" s="6">
        <f t="shared" si="66"/>
        <v>127.51722400000001</v>
      </c>
      <c r="M222" s="4">
        <f t="shared" si="30"/>
        <v>131.47779693483088</v>
      </c>
      <c r="N222" s="4">
        <f t="shared" si="31"/>
        <v>55.011098568886048</v>
      </c>
      <c r="O222" s="4">
        <f t="shared" si="32"/>
        <v>1341749.9410995482</v>
      </c>
      <c r="P222" s="4">
        <f t="shared" si="33"/>
        <v>8614977.4482983369</v>
      </c>
      <c r="Q222" s="4">
        <f t="shared" si="34"/>
        <v>3.0651071151569795E-3</v>
      </c>
      <c r="R222" s="4">
        <f t="shared" si="35"/>
        <v>2.3634733773893347E-2</v>
      </c>
      <c r="S222" s="24">
        <v>25.835733174254166</v>
      </c>
      <c r="T222" s="4">
        <f t="shared" si="36"/>
        <v>0.80873468918146174</v>
      </c>
      <c r="U222" s="4">
        <f t="shared" si="37"/>
        <v>6.494250226911015E-2</v>
      </c>
      <c r="V222" s="4">
        <f t="shared" si="38"/>
        <v>12.453087899665606</v>
      </c>
      <c r="W222" s="20">
        <f t="shared" si="39"/>
        <v>821.68843053630872</v>
      </c>
      <c r="X222" s="4">
        <f t="shared" si="40"/>
        <v>0.61173814513058944</v>
      </c>
      <c r="Y222" s="4">
        <f t="shared" si="41"/>
        <v>128.81700769015259</v>
      </c>
      <c r="Z222" s="14">
        <f t="shared" si="42"/>
        <v>912.93930759915997</v>
      </c>
      <c r="AA222" s="14">
        <f t="shared" si="43"/>
        <v>5817.8337943989563</v>
      </c>
      <c r="AB222" s="25">
        <f t="shared" si="44"/>
        <v>202589.85710727624</v>
      </c>
      <c r="AC222" s="4">
        <f t="shared" si="45"/>
        <v>1291032.2814128019</v>
      </c>
      <c r="AD222" s="5">
        <v>100</v>
      </c>
      <c r="AE222" s="4">
        <f t="shared" si="46"/>
        <v>5817.8337943989563</v>
      </c>
      <c r="AF222" s="4">
        <f t="shared" si="47"/>
        <v>4904.8944867997961</v>
      </c>
      <c r="AG222" s="4">
        <f t="shared" si="48"/>
        <v>1088442.4243055256</v>
      </c>
      <c r="AH222" s="4">
        <f t="shared" si="49"/>
        <v>4149.5254574675155</v>
      </c>
      <c r="AI222" s="13">
        <f t="shared" si="50"/>
        <v>97.519596872426121</v>
      </c>
      <c r="AJ222" s="10">
        <f t="shared" si="51"/>
        <v>26.069222604951729</v>
      </c>
      <c r="AK222" s="11">
        <f t="shared" si="52"/>
        <v>5744.3084404337369</v>
      </c>
      <c r="AL222" s="6">
        <v>100</v>
      </c>
      <c r="AM222" s="4">
        <f t="shared" si="53"/>
        <v>1.0254349198225123</v>
      </c>
      <c r="AN222" s="4">
        <f t="shared" si="54"/>
        <v>1.1819634179943543</v>
      </c>
      <c r="AO222" s="4">
        <f t="shared" si="55"/>
        <v>3.364045818340259E-2</v>
      </c>
      <c r="AP222" s="11">
        <f t="shared" si="56"/>
        <v>0.71324235172589789</v>
      </c>
      <c r="AQ222" s="11">
        <f t="shared" si="57"/>
        <v>0.98556176500000003</v>
      </c>
      <c r="AR222" s="11">
        <f t="shared" si="58"/>
        <v>0.9264066551590695</v>
      </c>
      <c r="AS222" s="11">
        <f t="shared" si="59"/>
        <v>0.9399782824966525</v>
      </c>
      <c r="AT222" s="11">
        <f t="shared" si="86"/>
        <v>518.31339622154997</v>
      </c>
      <c r="AU222" s="11">
        <f t="shared" si="87"/>
        <v>2108.5836850050346</v>
      </c>
      <c r="AV222" s="11">
        <f t="shared" si="88"/>
        <v>2.3699524544772538E-3</v>
      </c>
      <c r="AW222" s="11">
        <f t="shared" si="89"/>
        <v>3.7352332294477452E-7</v>
      </c>
      <c r="AX222" s="11"/>
      <c r="AY222" s="11"/>
    </row>
    <row r="223" spans="1:51" ht="14.5">
      <c r="A223" s="4">
        <f t="shared" si="60"/>
        <v>22.521296369695502</v>
      </c>
      <c r="B223" s="4">
        <f t="shared" ref="B223:C223" si="91">A223/60</f>
        <v>0.37535493949492504</v>
      </c>
      <c r="C223" s="4">
        <f t="shared" si="91"/>
        <v>6.2559156582487506E-3</v>
      </c>
      <c r="D223" s="4">
        <f t="shared" si="62"/>
        <v>11367.731481174202</v>
      </c>
      <c r="E223" s="4">
        <f t="shared" si="63"/>
        <v>0.70147151097701055</v>
      </c>
      <c r="F223" s="4">
        <f t="shared" si="64"/>
        <v>0.70147151097701055</v>
      </c>
      <c r="G223" s="4"/>
      <c r="H223" s="5">
        <f t="shared" si="65"/>
        <v>2200</v>
      </c>
      <c r="I223" s="5">
        <v>0</v>
      </c>
      <c r="J223" s="4">
        <f t="shared" si="28"/>
        <v>0.20106587279363647</v>
      </c>
      <c r="K223" s="4">
        <f t="shared" si="29"/>
        <v>222.77565033589556</v>
      </c>
      <c r="L223" s="6">
        <f t="shared" si="66"/>
        <v>127.82756800000001</v>
      </c>
      <c r="M223" s="4">
        <f t="shared" si="30"/>
        <v>131.99100841361275</v>
      </c>
      <c r="N223" s="4">
        <f t="shared" si="31"/>
        <v>55.276974843136955</v>
      </c>
      <c r="O223" s="4">
        <f t="shared" si="32"/>
        <v>1343723.7751515792</v>
      </c>
      <c r="P223" s="4">
        <f t="shared" si="33"/>
        <v>8627650.8498943113</v>
      </c>
      <c r="Q223" s="4">
        <f t="shared" si="34"/>
        <v>3.0642818180685451E-3</v>
      </c>
      <c r="R223" s="4">
        <f t="shared" si="35"/>
        <v>2.3629716268485035E-2</v>
      </c>
      <c r="S223" s="24">
        <v>25.708304242393744</v>
      </c>
      <c r="T223" s="4">
        <f t="shared" si="36"/>
        <v>0.80562571274164962</v>
      </c>
      <c r="U223" s="4">
        <f t="shared" si="37"/>
        <v>6.4620500634723882E-2</v>
      </c>
      <c r="V223" s="4">
        <f t="shared" si="38"/>
        <v>12.467029887242099</v>
      </c>
      <c r="W223" s="20">
        <f t="shared" si="39"/>
        <v>821.56593122540596</v>
      </c>
      <c r="X223" s="4">
        <f t="shared" si="40"/>
        <v>0.6116732076025877</v>
      </c>
      <c r="Y223" s="4">
        <f t="shared" si="41"/>
        <v>129.07102493978437</v>
      </c>
      <c r="Z223" s="14">
        <f t="shared" si="42"/>
        <v>911.82355252129116</v>
      </c>
      <c r="AA223" s="14">
        <f t="shared" si="43"/>
        <v>5796.5332268639077</v>
      </c>
      <c r="AB223" s="25">
        <f t="shared" si="44"/>
        <v>203132.08490451725</v>
      </c>
      <c r="AC223" s="4">
        <f t="shared" si="45"/>
        <v>1291326.4593082343</v>
      </c>
      <c r="AD223" s="5">
        <v>100</v>
      </c>
      <c r="AE223" s="4">
        <f t="shared" si="46"/>
        <v>5796.5332268639077</v>
      </c>
      <c r="AF223" s="4">
        <f t="shared" si="47"/>
        <v>4884.7096743426164</v>
      </c>
      <c r="AG223" s="4">
        <f t="shared" si="48"/>
        <v>1088194.374403717</v>
      </c>
      <c r="AH223" s="4">
        <f t="shared" si="49"/>
        <v>4136.4716671330143</v>
      </c>
      <c r="AI223" s="13">
        <f t="shared" si="50"/>
        <v>97.495404120083904</v>
      </c>
      <c r="AJ223" s="10">
        <f t="shared" si="51"/>
        <v>25.953362922018133</v>
      </c>
      <c r="AK223" s="11">
        <f t="shared" si="52"/>
        <v>5743.5964750179764</v>
      </c>
      <c r="AL223" s="6">
        <v>100</v>
      </c>
      <c r="AM223" s="4">
        <f t="shared" si="53"/>
        <v>1.0256893737968531</v>
      </c>
      <c r="AN223" s="4">
        <f t="shared" si="54"/>
        <v>1.1785375094416906</v>
      </c>
      <c r="AO223" s="4">
        <f t="shared" si="55"/>
        <v>3.381349997538613E-2</v>
      </c>
      <c r="AP223" s="11">
        <f t="shared" si="56"/>
        <v>0.71361130959495334</v>
      </c>
      <c r="AQ223" s="11">
        <f t="shared" si="57"/>
        <v>0.98487422999999996</v>
      </c>
      <c r="AR223" s="11">
        <f t="shared" si="58"/>
        <v>0.92301484504202358</v>
      </c>
      <c r="AS223" s="11">
        <f t="shared" si="59"/>
        <v>0.93719057411221285</v>
      </c>
      <c r="AT223" s="11">
        <f t="shared" si="86"/>
        <v>517.95679244309997</v>
      </c>
      <c r="AU223" s="11">
        <f t="shared" si="87"/>
        <v>2100.969698195187</v>
      </c>
      <c r="AV223" s="11">
        <f t="shared" si="88"/>
        <v>2.3630204555841693E-3</v>
      </c>
      <c r="AW223" s="11">
        <f t="shared" si="89"/>
        <v>3.7332357451293716E-7</v>
      </c>
      <c r="AX223" s="11"/>
      <c r="AY223" s="11"/>
    </row>
    <row r="224" spans="1:51" ht="14.5">
      <c r="A224" s="4">
        <f t="shared" si="60"/>
        <v>23.546985743492357</v>
      </c>
      <c r="B224" s="4">
        <f t="shared" ref="B224:C224" si="92">A224/60</f>
        <v>0.39244976239153928</v>
      </c>
      <c r="C224" s="4">
        <f t="shared" si="92"/>
        <v>6.5408293731923214E-3</v>
      </c>
      <c r="D224" s="4">
        <f t="shared" si="62"/>
        <v>11366.552943664759</v>
      </c>
      <c r="E224" s="4">
        <f t="shared" si="63"/>
        <v>0.73528501095239673</v>
      </c>
      <c r="F224" s="4">
        <f t="shared" si="64"/>
        <v>0.73528501095239673</v>
      </c>
      <c r="G224" s="4"/>
      <c r="H224" s="5">
        <f t="shared" si="65"/>
        <v>2300</v>
      </c>
      <c r="I224" s="5">
        <v>0</v>
      </c>
      <c r="J224" s="4">
        <f t="shared" si="28"/>
        <v>0.2019201742605122</v>
      </c>
      <c r="K224" s="4">
        <f t="shared" si="29"/>
        <v>223.64409046866044</v>
      </c>
      <c r="L224" s="6">
        <f t="shared" si="66"/>
        <v>128.137912</v>
      </c>
      <c r="M224" s="4">
        <f t="shared" si="30"/>
        <v>132.50554529723382</v>
      </c>
      <c r="N224" s="4">
        <f t="shared" si="31"/>
        <v>55.543452630232039</v>
      </c>
      <c r="O224" s="4">
        <f t="shared" si="32"/>
        <v>1345691.4812534214</v>
      </c>
      <c r="P224" s="4">
        <f t="shared" si="33"/>
        <v>8640284.9057440609</v>
      </c>
      <c r="Q224" s="4">
        <f t="shared" si="34"/>
        <v>3.0634594187772227E-3</v>
      </c>
      <c r="R224" s="4">
        <f t="shared" si="35"/>
        <v>2.362471638062668E-2</v>
      </c>
      <c r="S224" s="24">
        <v>25.581343530973598</v>
      </c>
      <c r="T224" s="4">
        <f t="shared" si="36"/>
        <v>0.8025307675435579</v>
      </c>
      <c r="U224" s="4">
        <f t="shared" si="37"/>
        <v>6.4301159870666882E-2</v>
      </c>
      <c r="V224" s="4">
        <f t="shared" si="38"/>
        <v>12.48081324128119</v>
      </c>
      <c r="W224" s="20">
        <f t="shared" si="39"/>
        <v>821.44693828943355</v>
      </c>
      <c r="X224" s="4">
        <f t="shared" si="40"/>
        <v>0.61160849122586325</v>
      </c>
      <c r="Y224" s="4">
        <f t="shared" si="41"/>
        <v>129.32504905212576</v>
      </c>
      <c r="Z224" s="14">
        <f t="shared" si="42"/>
        <v>910.72213996993924</v>
      </c>
      <c r="AA224" s="14">
        <f t="shared" si="43"/>
        <v>5775.2958527659221</v>
      </c>
      <c r="AB224" s="25">
        <f t="shared" si="44"/>
        <v>203677.62466324912</v>
      </c>
      <c r="AC224" s="4">
        <f t="shared" si="45"/>
        <v>1291610.7881792614</v>
      </c>
      <c r="AD224" s="5">
        <v>100</v>
      </c>
      <c r="AE224" s="4">
        <f t="shared" si="46"/>
        <v>5775.2958527659221</v>
      </c>
      <c r="AF224" s="4">
        <f t="shared" si="47"/>
        <v>4864.5737127959828</v>
      </c>
      <c r="AG224" s="4">
        <f t="shared" si="48"/>
        <v>1087933.1635160123</v>
      </c>
      <c r="AH224" s="4">
        <f t="shared" si="49"/>
        <v>4123.4521042209672</v>
      </c>
      <c r="AI224" s="13">
        <f t="shared" si="50"/>
        <v>97.470098480010293</v>
      </c>
      <c r="AJ224" s="10">
        <f t="shared" si="51"/>
        <v>25.837919021191539</v>
      </c>
      <c r="AK224" s="11">
        <f t="shared" si="52"/>
        <v>5742.8131584380508</v>
      </c>
      <c r="AL224" s="6">
        <v>100</v>
      </c>
      <c r="AM224" s="4">
        <f t="shared" si="53"/>
        <v>1.0259556680401687</v>
      </c>
      <c r="AN224" s="4">
        <f t="shared" si="54"/>
        <v>1.1751330717271282</v>
      </c>
      <c r="AO224" s="4">
        <f t="shared" si="55"/>
        <v>3.398735681920783E-2</v>
      </c>
      <c r="AP224" s="11">
        <f t="shared" si="56"/>
        <v>0.71398110319251451</v>
      </c>
      <c r="AQ224" s="11">
        <f t="shared" si="57"/>
        <v>0.984186695</v>
      </c>
      <c r="AR224" s="11">
        <f t="shared" si="58"/>
        <v>0.91963309757419143</v>
      </c>
      <c r="AS224" s="11">
        <f t="shared" si="59"/>
        <v>0.93440919517225485</v>
      </c>
      <c r="AT224" s="11">
        <f t="shared" si="86"/>
        <v>517.60018866464998</v>
      </c>
      <c r="AU224" s="11">
        <f t="shared" si="87"/>
        <v>2093.3779895891644</v>
      </c>
      <c r="AV224" s="11">
        <f t="shared" si="88"/>
        <v>2.3561039791994668E-3</v>
      </c>
      <c r="AW224" s="11">
        <f t="shared" si="89"/>
        <v>3.7312375998522052E-7</v>
      </c>
      <c r="AX224" s="11"/>
      <c r="AY224" s="11"/>
    </row>
    <row r="225" spans="1:51" ht="14.5">
      <c r="A225" s="4">
        <f t="shared" si="60"/>
        <v>24.572941411532526</v>
      </c>
      <c r="B225" s="4">
        <f t="shared" ref="B225:C225" si="93">A225/60</f>
        <v>0.40954902352554207</v>
      </c>
      <c r="C225" s="4">
        <f t="shared" si="93"/>
        <v>6.8258170587590346E-3</v>
      </c>
      <c r="D225" s="4">
        <f t="shared" si="62"/>
        <v>11365.377810593032</v>
      </c>
      <c r="E225" s="4">
        <f t="shared" si="63"/>
        <v>0.76927236777160457</v>
      </c>
      <c r="F225" s="4">
        <f t="shared" si="64"/>
        <v>0.76927236777160457</v>
      </c>
      <c r="G225" s="4"/>
      <c r="H225" s="5">
        <f t="shared" si="65"/>
        <v>2400</v>
      </c>
      <c r="I225" s="5">
        <v>0</v>
      </c>
      <c r="J225" s="4">
        <f t="shared" si="28"/>
        <v>0.20277712330401718</v>
      </c>
      <c r="K225" s="4">
        <f t="shared" si="29"/>
        <v>224.51477370476974</v>
      </c>
      <c r="L225" s="6">
        <f t="shared" si="66"/>
        <v>128.44825599999999</v>
      </c>
      <c r="M225" s="4">
        <f t="shared" si="30"/>
        <v>133.02141118369678</v>
      </c>
      <c r="N225" s="4">
        <f t="shared" si="31"/>
        <v>55.810531203738982</v>
      </c>
      <c r="O225" s="4">
        <f t="shared" si="32"/>
        <v>1347653.0586728922</v>
      </c>
      <c r="P225" s="4">
        <f t="shared" si="33"/>
        <v>8652879.6111464575</v>
      </c>
      <c r="Q225" s="4">
        <f t="shared" si="34"/>
        <v>3.0626398966749529E-3</v>
      </c>
      <c r="R225" s="4">
        <f t="shared" si="35"/>
        <v>2.3619733985028788E-2</v>
      </c>
      <c r="S225" s="24">
        <v>25.454951167347659</v>
      </c>
      <c r="T225" s="4">
        <f t="shared" si="36"/>
        <v>0.7994491387034508</v>
      </c>
      <c r="U225" s="4">
        <f t="shared" si="37"/>
        <v>6.3984391205982288E-2</v>
      </c>
      <c r="V225" s="4">
        <f t="shared" si="38"/>
        <v>12.494440028816051</v>
      </c>
      <c r="W225" s="20">
        <f t="shared" si="39"/>
        <v>821.33065824935488</v>
      </c>
      <c r="X225" s="4">
        <f t="shared" si="40"/>
        <v>0.61154399444867624</v>
      </c>
      <c r="Y225" s="4">
        <f t="shared" si="41"/>
        <v>129.57902943780073</v>
      </c>
      <c r="Z225" s="14">
        <f t="shared" si="42"/>
        <v>909.63482832211355</v>
      </c>
      <c r="AA225" s="14">
        <f t="shared" si="43"/>
        <v>5754.1215285753406</v>
      </c>
      <c r="AB225" s="25">
        <f t="shared" si="44"/>
        <v>204226.45763471638</v>
      </c>
      <c r="AC225" s="4">
        <f t="shared" si="45"/>
        <v>1291885.2928578362</v>
      </c>
      <c r="AD225" s="5">
        <v>100</v>
      </c>
      <c r="AE225" s="4">
        <f t="shared" si="46"/>
        <v>5754.1215285753406</v>
      </c>
      <c r="AF225" s="4">
        <f t="shared" si="47"/>
        <v>4844.4867002532274</v>
      </c>
      <c r="AG225" s="4">
        <f t="shared" si="48"/>
        <v>1087658.8352231199</v>
      </c>
      <c r="AH225" s="4">
        <f t="shared" si="49"/>
        <v>4110.4666483643514</v>
      </c>
      <c r="AI225" s="13">
        <f t="shared" si="50"/>
        <v>97.443696500081913</v>
      </c>
      <c r="AJ225" s="10">
        <f t="shared" si="51"/>
        <v>25.722893103299047</v>
      </c>
      <c r="AK225" s="11">
        <f t="shared" si="52"/>
        <v>5741.9587101242196</v>
      </c>
      <c r="AL225" s="6">
        <v>100</v>
      </c>
      <c r="AM225" s="4">
        <f t="shared" si="53"/>
        <v>1.0262336466260384</v>
      </c>
      <c r="AN225" s="4">
        <f t="shared" si="54"/>
        <v>1.171749771634905</v>
      </c>
      <c r="AO225" s="4">
        <f t="shared" si="55"/>
        <v>3.4162029145855581E-2</v>
      </c>
      <c r="AP225" s="11">
        <f t="shared" si="56"/>
        <v>0.71435172648883194</v>
      </c>
      <c r="AQ225" s="11">
        <f t="shared" si="57"/>
        <v>0.98349916000000004</v>
      </c>
      <c r="AR225" s="11">
        <f t="shared" si="58"/>
        <v>0.91626138990053196</v>
      </c>
      <c r="AS225" s="11">
        <f t="shared" si="59"/>
        <v>0.93163413571246156</v>
      </c>
      <c r="AT225" s="11">
        <f t="shared" si="86"/>
        <v>517.24358488619998</v>
      </c>
      <c r="AU225" s="11">
        <f t="shared" si="87"/>
        <v>2085.8085092832475</v>
      </c>
      <c r="AV225" s="11">
        <f t="shared" si="88"/>
        <v>2.3492030012227149E-3</v>
      </c>
      <c r="AW225" s="11">
        <f t="shared" si="89"/>
        <v>3.729238793086187E-7</v>
      </c>
      <c r="AX225" s="11"/>
      <c r="AY225" s="11"/>
    </row>
    <row r="226" spans="1:51" ht="14.5">
      <c r="A226" s="4">
        <f t="shared" si="60"/>
        <v>25.599175058158565</v>
      </c>
      <c r="B226" s="4">
        <f t="shared" ref="B226:C226" si="94">A226/60</f>
        <v>0.42665291763597607</v>
      </c>
      <c r="C226" s="4">
        <f t="shared" si="94"/>
        <v>7.1108819605996011E-3</v>
      </c>
      <c r="D226" s="4">
        <f t="shared" si="62"/>
        <v>11364.206060821398</v>
      </c>
      <c r="E226" s="4">
        <f t="shared" si="63"/>
        <v>0.8034343969174601</v>
      </c>
      <c r="F226" s="4">
        <f t="shared" si="64"/>
        <v>0.8034343969174601</v>
      </c>
      <c r="G226" s="4"/>
      <c r="H226" s="5">
        <f t="shared" si="65"/>
        <v>2500</v>
      </c>
      <c r="I226" s="5">
        <v>0</v>
      </c>
      <c r="J226" s="4">
        <f t="shared" si="28"/>
        <v>0.20363672853950404</v>
      </c>
      <c r="K226" s="4">
        <f t="shared" si="29"/>
        <v>225.387706130205</v>
      </c>
      <c r="L226" s="6">
        <f t="shared" si="66"/>
        <v>128.75859999999997</v>
      </c>
      <c r="M226" s="4">
        <f t="shared" si="30"/>
        <v>133.53860967884839</v>
      </c>
      <c r="N226" s="4">
        <f t="shared" si="31"/>
        <v>56.078209829275785</v>
      </c>
      <c r="O226" s="4">
        <f t="shared" si="32"/>
        <v>1349608.5066526707</v>
      </c>
      <c r="P226" s="4">
        <f t="shared" si="33"/>
        <v>8665434.9612389691</v>
      </c>
      <c r="Q226" s="4">
        <f t="shared" si="34"/>
        <v>3.0618232312700495E-3</v>
      </c>
      <c r="R226" s="4">
        <f t="shared" si="35"/>
        <v>2.3614768957109386E-2</v>
      </c>
      <c r="S226" s="24">
        <v>25.329071200515422</v>
      </c>
      <c r="T226" s="4">
        <f t="shared" si="36"/>
        <v>0.79638116329776998</v>
      </c>
      <c r="U226" s="4">
        <f t="shared" si="37"/>
        <v>6.3670212873607079E-2</v>
      </c>
      <c r="V226" s="4">
        <f t="shared" si="38"/>
        <v>12.507907973838268</v>
      </c>
      <c r="W226" s="20">
        <f t="shared" si="39"/>
        <v>821.21765820218263</v>
      </c>
      <c r="X226" s="4">
        <f t="shared" si="40"/>
        <v>0.61147971572755433</v>
      </c>
      <c r="Y226" s="4">
        <f t="shared" si="41"/>
        <v>129.83300000603461</v>
      </c>
      <c r="Z226" s="14">
        <f t="shared" si="42"/>
        <v>908.5616942969956</v>
      </c>
      <c r="AA226" s="14">
        <f t="shared" si="43"/>
        <v>5733.0101109885436</v>
      </c>
      <c r="AB226" s="25">
        <f t="shared" si="44"/>
        <v>204778.6361553724</v>
      </c>
      <c r="AC226" s="4">
        <f t="shared" si="45"/>
        <v>1292149.9981369798</v>
      </c>
      <c r="AD226" s="5">
        <v>100</v>
      </c>
      <c r="AE226" s="4">
        <f t="shared" si="46"/>
        <v>5733.0101109885436</v>
      </c>
      <c r="AF226" s="4">
        <f t="shared" si="47"/>
        <v>4824.4484166915481</v>
      </c>
      <c r="AG226" s="4">
        <f t="shared" si="48"/>
        <v>1087371.3619816073</v>
      </c>
      <c r="AH226" s="4">
        <f t="shared" si="49"/>
        <v>4097.5151795308375</v>
      </c>
      <c r="AI226" s="13">
        <f t="shared" si="50"/>
        <v>97.416187984992717</v>
      </c>
      <c r="AJ226" s="10">
        <f t="shared" si="51"/>
        <v>25.608279768403225</v>
      </c>
      <c r="AK226" s="11">
        <f t="shared" si="52"/>
        <v>5741.0329740343313</v>
      </c>
      <c r="AL226" s="6">
        <v>100</v>
      </c>
      <c r="AM226" s="4">
        <f t="shared" si="53"/>
        <v>1.0265234358729509</v>
      </c>
      <c r="AN226" s="4">
        <f t="shared" si="54"/>
        <v>1.1683876001759907</v>
      </c>
      <c r="AO226" s="4">
        <f t="shared" si="55"/>
        <v>3.4337528943234337E-2</v>
      </c>
      <c r="AP226" s="11">
        <f t="shared" si="56"/>
        <v>0.71472317337746716</v>
      </c>
      <c r="AQ226" s="11">
        <f t="shared" si="57"/>
        <v>0.98281162499999997</v>
      </c>
      <c r="AR226" s="11">
        <f t="shared" si="58"/>
        <v>0.91289969920199743</v>
      </c>
      <c r="AS226" s="11">
        <f t="shared" si="59"/>
        <v>0.92886538577725664</v>
      </c>
      <c r="AT226" s="11">
        <f t="shared" si="86"/>
        <v>516.88698110774999</v>
      </c>
      <c r="AU226" s="11">
        <f t="shared" si="87"/>
        <v>2078.2612074512226</v>
      </c>
      <c r="AV226" s="11">
        <f t="shared" si="88"/>
        <v>2.3423174975743303E-3</v>
      </c>
      <c r="AW226" s="11">
        <f t="shared" si="89"/>
        <v>3.727239324300671E-7</v>
      </c>
      <c r="AX226" s="11"/>
      <c r="AY226" s="11"/>
    </row>
    <row r="227" spans="1:51" ht="14.5">
      <c r="A227" s="4">
        <f t="shared" si="60"/>
        <v>26.625698494031514</v>
      </c>
      <c r="B227" s="4">
        <f t="shared" ref="B227:C227" si="95">A227/60</f>
        <v>0.44376164156719189</v>
      </c>
      <c r="C227" s="4">
        <f t="shared" si="95"/>
        <v>7.3960273594531984E-3</v>
      </c>
      <c r="D227" s="4">
        <f t="shared" si="62"/>
        <v>11363.037673221223</v>
      </c>
      <c r="E227" s="4">
        <f t="shared" si="63"/>
        <v>0.83777192586069449</v>
      </c>
      <c r="F227" s="4">
        <f t="shared" si="64"/>
        <v>0.83777192586069449</v>
      </c>
      <c r="G227" s="4"/>
      <c r="H227" s="5">
        <f t="shared" si="65"/>
        <v>2600</v>
      </c>
      <c r="I227" s="5">
        <v>0</v>
      </c>
      <c r="J227" s="4">
        <f t="shared" si="28"/>
        <v>0.20449899860877138</v>
      </c>
      <c r="K227" s="4">
        <f t="shared" si="29"/>
        <v>226.26289384417831</v>
      </c>
      <c r="L227" s="6">
        <f t="shared" si="66"/>
        <v>129.06894399999996</v>
      </c>
      <c r="M227" s="4">
        <f t="shared" si="30"/>
        <v>134.05714439637416</v>
      </c>
      <c r="N227" s="4">
        <f t="shared" si="31"/>
        <v>56.34648776444844</v>
      </c>
      <c r="O227" s="4">
        <f t="shared" si="32"/>
        <v>1351557.8244102546</v>
      </c>
      <c r="P227" s="4">
        <f t="shared" si="33"/>
        <v>8677950.9509973824</v>
      </c>
      <c r="Q227" s="4">
        <f t="shared" si="34"/>
        <v>3.061009402185632E-3</v>
      </c>
      <c r="R227" s="4">
        <f t="shared" si="35"/>
        <v>2.3609821172984456E-2</v>
      </c>
      <c r="S227" s="24">
        <v>25.203700156481833</v>
      </c>
      <c r="T227" s="4">
        <f t="shared" si="36"/>
        <v>0.79332682204210325</v>
      </c>
      <c r="U227" s="4">
        <f t="shared" si="37"/>
        <v>6.3358606944002832E-2</v>
      </c>
      <c r="V227" s="4">
        <f t="shared" si="38"/>
        <v>12.521216300466579</v>
      </c>
      <c r="W227" s="20">
        <f t="shared" si="39"/>
        <v>821.10804331683335</v>
      </c>
      <c r="X227" s="4">
        <f t="shared" si="40"/>
        <v>0.61141565352717964</v>
      </c>
      <c r="Y227" s="4">
        <f t="shared" si="41"/>
        <v>130.08696617632353</v>
      </c>
      <c r="Z227" s="14">
        <f t="shared" si="42"/>
        <v>907.5027058511721</v>
      </c>
      <c r="AA227" s="14">
        <f t="shared" si="43"/>
        <v>5711.9614569277555</v>
      </c>
      <c r="AB227" s="25">
        <f t="shared" si="44"/>
        <v>205334.18839730832</v>
      </c>
      <c r="AC227" s="4">
        <f t="shared" si="45"/>
        <v>1292404.9287708828</v>
      </c>
      <c r="AD227" s="5">
        <v>100</v>
      </c>
      <c r="AE227" s="4">
        <f t="shared" si="46"/>
        <v>5711.9614569277555</v>
      </c>
      <c r="AF227" s="4">
        <f t="shared" si="47"/>
        <v>4804.4587510765832</v>
      </c>
      <c r="AG227" s="4">
        <f t="shared" si="48"/>
        <v>1087070.7403735744</v>
      </c>
      <c r="AH227" s="4">
        <f t="shared" si="49"/>
        <v>4084.5975780318304</v>
      </c>
      <c r="AI227" s="13">
        <f t="shared" si="50"/>
        <v>97.387571752860168</v>
      </c>
      <c r="AJ227" s="10">
        <f t="shared" si="51"/>
        <v>25.494076229892354</v>
      </c>
      <c r="AK227" s="11">
        <f t="shared" si="52"/>
        <v>5740.035921567488</v>
      </c>
      <c r="AL227" s="6">
        <v>100</v>
      </c>
      <c r="AM227" s="4">
        <f t="shared" si="53"/>
        <v>1.0268250681285018</v>
      </c>
      <c r="AN227" s="4">
        <f t="shared" si="54"/>
        <v>1.1650464406500132</v>
      </c>
      <c r="AO227" s="4">
        <f t="shared" si="55"/>
        <v>3.4513864404776301E-2</v>
      </c>
      <c r="AP227" s="11">
        <f t="shared" si="56"/>
        <v>0.71509543767628614</v>
      </c>
      <c r="AQ227" s="11">
        <f t="shared" si="57"/>
        <v>0.98212409000000001</v>
      </c>
      <c r="AR227" s="11">
        <f t="shared" si="58"/>
        <v>0.90954800269550251</v>
      </c>
      <c r="AS227" s="11">
        <f t="shared" si="59"/>
        <v>0.92610293541980271</v>
      </c>
      <c r="AT227" s="11">
        <f t="shared" si="86"/>
        <v>516.53037732929999</v>
      </c>
      <c r="AU227" s="11">
        <f t="shared" si="87"/>
        <v>2070.7360343443229</v>
      </c>
      <c r="AV227" s="11">
        <f t="shared" si="88"/>
        <v>2.3354474441955758E-3</v>
      </c>
      <c r="AW227" s="11">
        <f t="shared" si="89"/>
        <v>3.7252391929644335E-7</v>
      </c>
      <c r="AX227" s="11"/>
      <c r="AY227" s="11"/>
    </row>
    <row r="228" spans="1:51" ht="14.5">
      <c r="A228" s="4">
        <f t="shared" si="60"/>
        <v>27.652523562160017</v>
      </c>
      <c r="B228" s="4">
        <f t="shared" ref="B228:C228" si="96">A228/60</f>
        <v>0.46087539270266692</v>
      </c>
      <c r="C228" s="4">
        <f t="shared" si="96"/>
        <v>7.6812565450444488E-3</v>
      </c>
      <c r="D228" s="4">
        <f t="shared" si="62"/>
        <v>11361.872626780572</v>
      </c>
      <c r="E228" s="4">
        <f t="shared" si="63"/>
        <v>0.87228579026547082</v>
      </c>
      <c r="F228" s="4">
        <f t="shared" si="64"/>
        <v>0.87228579026547082</v>
      </c>
      <c r="G228" s="4"/>
      <c r="H228" s="5">
        <f t="shared" si="65"/>
        <v>2700</v>
      </c>
      <c r="I228" s="5">
        <v>0</v>
      </c>
      <c r="J228" s="4">
        <f t="shared" si="28"/>
        <v>0.20536394218010173</v>
      </c>
      <c r="K228" s="4">
        <f t="shared" si="29"/>
        <v>227.14034295910653</v>
      </c>
      <c r="L228" s="6">
        <f t="shared" si="66"/>
        <v>129.37928799999995</v>
      </c>
      <c r="M228" s="4">
        <f t="shared" si="30"/>
        <v>134.57701895778328</v>
      </c>
      <c r="N228" s="4">
        <f t="shared" si="31"/>
        <v>56.615364258779643</v>
      </c>
      <c r="O228" s="4">
        <f t="shared" si="32"/>
        <v>1353501.0111378378</v>
      </c>
      <c r="P228" s="4">
        <f t="shared" si="33"/>
        <v>8690427.5752350129</v>
      </c>
      <c r="Q228" s="4">
        <f t="shared" si="34"/>
        <v>3.0601983891581177E-3</v>
      </c>
      <c r="R228" s="4">
        <f t="shared" si="35"/>
        <v>2.3604890509458815E-2</v>
      </c>
      <c r="S228" s="24">
        <v>25.078783920596063</v>
      </c>
      <c r="T228" s="4">
        <f t="shared" si="36"/>
        <v>0.79028642145626449</v>
      </c>
      <c r="U228" s="4">
        <f t="shared" si="37"/>
        <v>6.3049588111597596E-2</v>
      </c>
      <c r="V228" s="4">
        <f t="shared" si="38"/>
        <v>12.534362953449588</v>
      </c>
      <c r="W228" s="20">
        <f t="shared" si="39"/>
        <v>821.00234137994767</v>
      </c>
      <c r="X228" s="4">
        <f t="shared" si="40"/>
        <v>0.61135180632027941</v>
      </c>
      <c r="Y228" s="4">
        <f t="shared" si="41"/>
        <v>130.34096029273002</v>
      </c>
      <c r="Z228" s="14">
        <f t="shared" si="42"/>
        <v>906.45792442556217</v>
      </c>
      <c r="AA228" s="14">
        <f t="shared" si="43"/>
        <v>5690.97542354083</v>
      </c>
      <c r="AB228" s="25">
        <f t="shared" si="44"/>
        <v>205893.16383202205</v>
      </c>
      <c r="AC228" s="4">
        <f t="shared" si="45"/>
        <v>1292650.1094749107</v>
      </c>
      <c r="AD228" s="5">
        <v>100</v>
      </c>
      <c r="AE228" s="4">
        <f t="shared" si="46"/>
        <v>5690.97542354083</v>
      </c>
      <c r="AF228" s="4">
        <f t="shared" si="47"/>
        <v>4784.517499115268</v>
      </c>
      <c r="AG228" s="4">
        <f t="shared" si="48"/>
        <v>1086756.9456428885</v>
      </c>
      <c r="AH228" s="4">
        <f t="shared" si="49"/>
        <v>4071.7137245315726</v>
      </c>
      <c r="AI228" s="13">
        <f t="shared" si="50"/>
        <v>97.357838132804048</v>
      </c>
      <c r="AJ228" s="10">
        <f t="shared" si="51"/>
        <v>25.380277365636761</v>
      </c>
      <c r="AK228" s="11">
        <f t="shared" si="52"/>
        <v>5738.96741148818</v>
      </c>
      <c r="AL228" s="6">
        <v>100</v>
      </c>
      <c r="AM228" s="4">
        <f t="shared" si="53"/>
        <v>1.0271386661605184</v>
      </c>
      <c r="AN228" s="4">
        <f t="shared" si="54"/>
        <v>1.1617262788896765</v>
      </c>
      <c r="AO228" s="4">
        <f t="shared" si="55"/>
        <v>3.4691047502907975E-2</v>
      </c>
      <c r="AP228" s="11">
        <f t="shared" si="56"/>
        <v>0.71546851312849635</v>
      </c>
      <c r="AQ228" s="11">
        <f t="shared" si="57"/>
        <v>0.98143655500000004</v>
      </c>
      <c r="AR228" s="11">
        <f t="shared" si="58"/>
        <v>0.90620627763389017</v>
      </c>
      <c r="AS228" s="11">
        <f t="shared" si="59"/>
        <v>0.92334677470199811</v>
      </c>
      <c r="AT228" s="11">
        <f t="shared" si="86"/>
        <v>516.17377355085</v>
      </c>
      <c r="AU228" s="11">
        <f t="shared" si="87"/>
        <v>2063.2329402911491</v>
      </c>
      <c r="AV228" s="11">
        <f t="shared" si="88"/>
        <v>2.3285928170485521E-3</v>
      </c>
      <c r="AW228" s="11">
        <f t="shared" si="89"/>
        <v>3.7232383985456618E-7</v>
      </c>
      <c r="AX228" s="11"/>
      <c r="AY228" s="11"/>
    </row>
    <row r="229" spans="1:51" ht="14.5">
      <c r="A229" s="4">
        <f t="shared" si="60"/>
        <v>28.679662228320534</v>
      </c>
      <c r="B229" s="4">
        <f t="shared" ref="B229:C229" si="97">A229/60</f>
        <v>0.47799437047200893</v>
      </c>
      <c r="C229" s="4">
        <f t="shared" si="97"/>
        <v>7.9665728412001494E-3</v>
      </c>
      <c r="D229" s="4">
        <f t="shared" si="62"/>
        <v>11360.710900501683</v>
      </c>
      <c r="E229" s="4">
        <f t="shared" si="63"/>
        <v>0.90697683776837879</v>
      </c>
      <c r="F229" s="4">
        <f t="shared" si="64"/>
        <v>0.90697683776837879</v>
      </c>
      <c r="G229" s="4"/>
      <c r="H229" s="5">
        <f t="shared" si="65"/>
        <v>2800</v>
      </c>
      <c r="I229" s="5">
        <v>0</v>
      </c>
      <c r="J229" s="4">
        <f t="shared" si="28"/>
        <v>0.20623156794828715</v>
      </c>
      <c r="K229" s="4">
        <f t="shared" si="29"/>
        <v>228.02005960057167</v>
      </c>
      <c r="L229" s="6">
        <f t="shared" si="66"/>
        <v>129.68963199999993</v>
      </c>
      <c r="M229" s="4">
        <f t="shared" si="30"/>
        <v>135.0982369923851</v>
      </c>
      <c r="N229" s="4">
        <f t="shared" si="31"/>
        <v>56.884838553630779</v>
      </c>
      <c r="O229" s="4">
        <f t="shared" si="32"/>
        <v>1355438.0660020814</v>
      </c>
      <c r="P229" s="4">
        <f t="shared" si="33"/>
        <v>8702864.8286012392</v>
      </c>
      <c r="Q229" s="4">
        <f t="shared" si="34"/>
        <v>3.0593901720357853E-3</v>
      </c>
      <c r="R229" s="4">
        <f t="shared" si="35"/>
        <v>2.359997684401734E-2</v>
      </c>
      <c r="S229" s="24">
        <v>24.954421586919263</v>
      </c>
      <c r="T229" s="4">
        <f t="shared" si="36"/>
        <v>0.78725927503951931</v>
      </c>
      <c r="U229" s="4">
        <f t="shared" si="37"/>
        <v>6.2743071925759952E-2</v>
      </c>
      <c r="V229" s="4">
        <f t="shared" si="38"/>
        <v>12.547349864715505</v>
      </c>
      <c r="W229" s="20">
        <f t="shared" si="39"/>
        <v>820.8997888768107</v>
      </c>
      <c r="X229" s="4">
        <f t="shared" si="40"/>
        <v>0.61128817258752255</v>
      </c>
      <c r="Y229" s="4">
        <f t="shared" si="41"/>
        <v>130.59493301657511</v>
      </c>
      <c r="Z229" s="14">
        <f t="shared" si="42"/>
        <v>905.42712389404403</v>
      </c>
      <c r="AA229" s="14">
        <f t="shared" si="43"/>
        <v>5670.0518682010588</v>
      </c>
      <c r="AB229" s="25">
        <f t="shared" si="44"/>
        <v>206455.5467542941</v>
      </c>
      <c r="AC229" s="4">
        <f t="shared" si="45"/>
        <v>1292885.5649255381</v>
      </c>
      <c r="AD229" s="5">
        <v>100</v>
      </c>
      <c r="AE229" s="4">
        <f t="shared" si="46"/>
        <v>5670.0518682010588</v>
      </c>
      <c r="AF229" s="4">
        <f t="shared" si="47"/>
        <v>4764.6247443070151</v>
      </c>
      <c r="AG229" s="4">
        <f t="shared" si="48"/>
        <v>1086430.0181712441</v>
      </c>
      <c r="AH229" s="4">
        <f t="shared" si="49"/>
        <v>4058.863500056329</v>
      </c>
      <c r="AI229" s="13">
        <f t="shared" si="50"/>
        <v>97.327003197566071</v>
      </c>
      <c r="AJ229" s="10">
        <f t="shared" si="51"/>
        <v>25.266885286000296</v>
      </c>
      <c r="AK229" s="11">
        <f t="shared" si="52"/>
        <v>5737.8276466304651</v>
      </c>
      <c r="AL229" s="6">
        <v>100</v>
      </c>
      <c r="AM229" s="4">
        <f t="shared" si="53"/>
        <v>1.0274640820596106</v>
      </c>
      <c r="AN229" s="4">
        <f t="shared" si="54"/>
        <v>1.1584267945251761</v>
      </c>
      <c r="AO229" s="4">
        <f t="shared" si="55"/>
        <v>3.4869079059762956E-2</v>
      </c>
      <c r="AP229" s="11">
        <f t="shared" si="56"/>
        <v>0.71584239340372868</v>
      </c>
      <c r="AQ229" s="11">
        <f t="shared" si="57"/>
        <v>0.98074901999999997</v>
      </c>
      <c r="AR229" s="11">
        <f t="shared" si="58"/>
        <v>0.90287450130590108</v>
      </c>
      <c r="AS229" s="11">
        <f t="shared" si="59"/>
        <v>0.92059689369447562</v>
      </c>
      <c r="AT229" s="11">
        <f t="shared" si="86"/>
        <v>515.81716977239989</v>
      </c>
      <c r="AU229" s="11">
        <f t="shared" si="87"/>
        <v>2055.7518756976106</v>
      </c>
      <c r="AV229" s="11">
        <f t="shared" si="88"/>
        <v>2.3217535921161948E-3</v>
      </c>
      <c r="AW229" s="11">
        <f t="shared" si="89"/>
        <v>3.7212369405119709E-7</v>
      </c>
      <c r="AX229" s="11"/>
      <c r="AY229" s="11"/>
    </row>
    <row r="230" spans="1:51" ht="14.5">
      <c r="A230" s="4">
        <f t="shared" si="60"/>
        <v>29.707126310380144</v>
      </c>
      <c r="B230" s="4">
        <f t="shared" ref="B230:C230" si="98">A230/60</f>
        <v>0.49511877183966907</v>
      </c>
      <c r="C230" s="4">
        <f t="shared" si="98"/>
        <v>8.2519795306611517E-3</v>
      </c>
      <c r="D230" s="4">
        <f t="shared" si="62"/>
        <v>11359.552473707157</v>
      </c>
      <c r="E230" s="4">
        <f t="shared" si="63"/>
        <v>0.94184591682814178</v>
      </c>
      <c r="F230" s="4">
        <f t="shared" si="64"/>
        <v>0.94184591682814178</v>
      </c>
      <c r="G230" s="4"/>
      <c r="H230" s="5">
        <f t="shared" si="65"/>
        <v>2900</v>
      </c>
      <c r="I230" s="5">
        <v>0</v>
      </c>
      <c r="J230" s="4">
        <f t="shared" si="28"/>
        <v>0.20710188463468024</v>
      </c>
      <c r="K230" s="4">
        <f t="shared" si="29"/>
        <v>228.90204990730899</v>
      </c>
      <c r="L230" s="6">
        <f t="shared" si="66"/>
        <v>129.99997599999992</v>
      </c>
      <c r="M230" s="4">
        <f t="shared" si="30"/>
        <v>135.62080213728206</v>
      </c>
      <c r="N230" s="4">
        <f t="shared" si="31"/>
        <v>57.154909882137652</v>
      </c>
      <c r="O230" s="4">
        <f t="shared" si="32"/>
        <v>1357368.9881440948</v>
      </c>
      <c r="P230" s="4">
        <f t="shared" si="33"/>
        <v>8715262.7055813819</v>
      </c>
      <c r="Q230" s="4">
        <f t="shared" si="34"/>
        <v>3.0585847307772526E-3</v>
      </c>
      <c r="R230" s="4">
        <f t="shared" si="35"/>
        <v>2.3595080054815736E-2</v>
      </c>
      <c r="S230" s="24">
        <v>24.83042558266385</v>
      </c>
      <c r="T230" s="4">
        <f t="shared" si="36"/>
        <v>0.7842465358566717</v>
      </c>
      <c r="U230" s="4">
        <f t="shared" si="37"/>
        <v>6.2439157284217478E-2</v>
      </c>
      <c r="V230" s="4">
        <f t="shared" si="38"/>
        <v>12.560171693010707</v>
      </c>
      <c r="W230" s="20">
        <f t="shared" si="39"/>
        <v>820.80201377009575</v>
      </c>
      <c r="X230" s="4">
        <f t="shared" si="40"/>
        <v>0.61122475081740901</v>
      </c>
      <c r="Y230" s="4">
        <f t="shared" si="41"/>
        <v>130.84898725173468</v>
      </c>
      <c r="Z230" s="14">
        <f t="shared" si="42"/>
        <v>904.41060451652493</v>
      </c>
      <c r="AA230" s="14">
        <f t="shared" si="43"/>
        <v>5649.1906485069867</v>
      </c>
      <c r="AB230" s="25">
        <f t="shared" si="44"/>
        <v>207021.44133174108</v>
      </c>
      <c r="AC230" s="4">
        <f t="shared" si="45"/>
        <v>1293111.3197604495</v>
      </c>
      <c r="AD230" s="5">
        <v>100</v>
      </c>
      <c r="AE230" s="4">
        <f t="shared" si="46"/>
        <v>5649.1906485069867</v>
      </c>
      <c r="AF230" s="4">
        <f t="shared" si="47"/>
        <v>4744.7800439904622</v>
      </c>
      <c r="AG230" s="4">
        <f t="shared" si="48"/>
        <v>1086089.8784287083</v>
      </c>
      <c r="AH230" s="4">
        <f t="shared" si="49"/>
        <v>4046.0467860037461</v>
      </c>
      <c r="AI230" s="13">
        <f t="shared" si="50"/>
        <v>97.295035063977238</v>
      </c>
      <c r="AJ230" s="10">
        <f t="shared" si="51"/>
        <v>25.15388878139056</v>
      </c>
      <c r="AK230" s="11">
        <f t="shared" si="52"/>
        <v>5736.6161965054916</v>
      </c>
      <c r="AL230" s="6">
        <v>100</v>
      </c>
      <c r="AM230" s="4">
        <f t="shared" si="53"/>
        <v>1.0278016749183974</v>
      </c>
      <c r="AN230" s="4">
        <f t="shared" si="54"/>
        <v>1.1551482398480135</v>
      </c>
      <c r="AO230" s="4">
        <f t="shared" si="55"/>
        <v>3.5047980949545456E-2</v>
      </c>
      <c r="AP230" s="11">
        <f t="shared" si="56"/>
        <v>0.71621707209918073</v>
      </c>
      <c r="AQ230" s="11">
        <f t="shared" si="57"/>
        <v>0.98006148500000001</v>
      </c>
      <c r="AR230" s="11">
        <f t="shared" si="58"/>
        <v>0.89955265103614435</v>
      </c>
      <c r="AS230" s="11">
        <f t="shared" si="59"/>
        <v>0.91785328247660336</v>
      </c>
      <c r="AT230" s="11">
        <f t="shared" si="86"/>
        <v>515.46056599395001</v>
      </c>
      <c r="AU230" s="11">
        <f t="shared" si="87"/>
        <v>2048.2927910468579</v>
      </c>
      <c r="AV230" s="11">
        <f t="shared" si="88"/>
        <v>2.3149297454022767E-3</v>
      </c>
      <c r="AW230" s="11">
        <f t="shared" si="89"/>
        <v>3.7192348183303614E-7</v>
      </c>
      <c r="AX230" s="11"/>
      <c r="AY230" s="11"/>
    </row>
    <row r="231" spans="1:51" ht="14.5">
      <c r="A231" s="4">
        <f t="shared" si="60"/>
        <v>30.73492798529854</v>
      </c>
      <c r="B231" s="4">
        <f t="shared" ref="B231:C231" si="99">A231/60</f>
        <v>0.51224879975497573</v>
      </c>
      <c r="C231" s="4">
        <f t="shared" si="99"/>
        <v>8.5374799959162615E-3</v>
      </c>
      <c r="D231" s="4">
        <f t="shared" si="62"/>
        <v>11358.397325467309</v>
      </c>
      <c r="E231" s="4">
        <f t="shared" si="63"/>
        <v>0.9768938977776872</v>
      </c>
      <c r="F231" s="4">
        <f t="shared" si="64"/>
        <v>0.9768938977776872</v>
      </c>
      <c r="G231" s="4"/>
      <c r="H231" s="5">
        <f t="shared" si="65"/>
        <v>3000</v>
      </c>
      <c r="I231" s="5">
        <v>0</v>
      </c>
      <c r="J231" s="4">
        <f t="shared" si="28"/>
        <v>0.20797490098723775</v>
      </c>
      <c r="K231" s="4">
        <f t="shared" si="29"/>
        <v>229.78632003118699</v>
      </c>
      <c r="L231" s="6">
        <f t="shared" si="66"/>
        <v>130.3103199999999</v>
      </c>
      <c r="M231" s="4">
        <f t="shared" si="30"/>
        <v>136.14471803735779</v>
      </c>
      <c r="N231" s="4">
        <f t="shared" si="31"/>
        <v>57.425577469141665</v>
      </c>
      <c r="O231" s="4">
        <f t="shared" si="32"/>
        <v>1359293.7766793312</v>
      </c>
      <c r="P231" s="4">
        <f t="shared" si="33"/>
        <v>8727621.2004960272</v>
      </c>
      <c r="Q231" s="4">
        <f t="shared" si="34"/>
        <v>3.0577820454500224E-3</v>
      </c>
      <c r="R231" s="4">
        <f t="shared" si="35"/>
        <v>2.3590200020671685E-2</v>
      </c>
      <c r="S231" s="24">
        <v>24.706191100409058</v>
      </c>
      <c r="T231" s="4">
        <f t="shared" si="36"/>
        <v>0.78125192916400288</v>
      </c>
      <c r="U231" s="4">
        <f t="shared" si="37"/>
        <v>6.2138195234980841E-2</v>
      </c>
      <c r="V231" s="4">
        <f t="shared" si="38"/>
        <v>12.572813326966331</v>
      </c>
      <c r="W231" s="20">
        <f t="shared" si="39"/>
        <v>820.71400117957955</v>
      </c>
      <c r="X231" s="4">
        <f t="shared" si="40"/>
        <v>0.61116153950616525</v>
      </c>
      <c r="Y231" s="4">
        <f t="shared" si="41"/>
        <v>131.10344404267721</v>
      </c>
      <c r="Z231" s="14">
        <f t="shared" si="42"/>
        <v>903.40936670917347</v>
      </c>
      <c r="AA231" s="14">
        <f t="shared" si="43"/>
        <v>5628.3916222821908</v>
      </c>
      <c r="AB231" s="25">
        <f t="shared" si="44"/>
        <v>207591.11385780611</v>
      </c>
      <c r="AC231" s="4">
        <f t="shared" si="45"/>
        <v>1293327.3985785872</v>
      </c>
      <c r="AD231" s="5">
        <v>100</v>
      </c>
      <c r="AE231" s="4">
        <f t="shared" si="46"/>
        <v>5628.3916222821908</v>
      </c>
      <c r="AF231" s="4">
        <f t="shared" si="47"/>
        <v>4724.982255573017</v>
      </c>
      <c r="AG231" s="4">
        <f t="shared" si="48"/>
        <v>1085736.284720781</v>
      </c>
      <c r="AH231" s="4">
        <f t="shared" si="49"/>
        <v>4033.2634641522686</v>
      </c>
      <c r="AI231" s="13">
        <f t="shared" si="50"/>
        <v>97.261833407822706</v>
      </c>
      <c r="AJ231" s="10">
        <f t="shared" si="51"/>
        <v>25.041258001592414</v>
      </c>
      <c r="AK231" s="11">
        <f t="shared" si="52"/>
        <v>5735.3317740684588</v>
      </c>
      <c r="AL231" s="6">
        <v>100</v>
      </c>
      <c r="AM231" s="4">
        <f t="shared" si="53"/>
        <v>1.0281525290675537</v>
      </c>
      <c r="AN231" s="4">
        <f t="shared" si="54"/>
        <v>1.1518916752955326</v>
      </c>
      <c r="AO231" s="4">
        <f t="shared" si="55"/>
        <v>3.5227805517725551E-2</v>
      </c>
      <c r="AP231" s="11">
        <f t="shared" si="56"/>
        <v>0.71659254274081019</v>
      </c>
      <c r="AQ231" s="11">
        <f t="shared" si="57"/>
        <v>0.97937395000000005</v>
      </c>
      <c r="AR231" s="11">
        <f t="shared" si="58"/>
        <v>0.8962407041850623</v>
      </c>
      <c r="AS231" s="11">
        <f t="shared" si="59"/>
        <v>0.91511593113647982</v>
      </c>
      <c r="AT231" s="11">
        <f t="shared" si="86"/>
        <v>515.10396221550002</v>
      </c>
      <c r="AU231" s="11">
        <f t="shared" si="87"/>
        <v>2040.8556368992124</v>
      </c>
      <c r="AV231" s="11">
        <f t="shared" si="88"/>
        <v>2.3081212529313952E-3</v>
      </c>
      <c r="AW231" s="11">
        <f t="shared" si="89"/>
        <v>3.7172320314672799E-7</v>
      </c>
      <c r="AX231" s="11"/>
      <c r="AY231" s="11"/>
    </row>
    <row r="232" spans="1:51" ht="14.5">
      <c r="L232" s="21"/>
      <c r="S232" s="21"/>
      <c r="AB232" s="38"/>
      <c r="AI232" s="2"/>
      <c r="AL232" s="21"/>
      <c r="AT232" s="11">
        <f t="shared" si="86"/>
        <v>514.74735843704991</v>
      </c>
      <c r="AU232" s="11">
        <f t="shared" si="87"/>
        <v>2033.4403638920996</v>
      </c>
      <c r="AV232" s="11">
        <f t="shared" si="88"/>
        <v>2.3013280907489748E-3</v>
      </c>
      <c r="AW232" s="11">
        <f t="shared" si="89"/>
        <v>3.7152285793885589E-7</v>
      </c>
      <c r="AX232" s="11"/>
      <c r="AY232" s="11"/>
    </row>
    <row r="233" spans="1:51" ht="14.5">
      <c r="A233" s="39" t="s">
        <v>5</v>
      </c>
      <c r="B233" s="7" t="s">
        <v>122</v>
      </c>
      <c r="C233" s="7">
        <v>40</v>
      </c>
      <c r="D233" s="7" t="s">
        <v>21</v>
      </c>
      <c r="E233" s="4"/>
      <c r="F233" s="4"/>
      <c r="G233" s="4"/>
      <c r="H233" s="5"/>
      <c r="I233" s="5"/>
      <c r="J233" s="4"/>
      <c r="K233" s="4"/>
      <c r="L233" s="6" t="s">
        <v>60</v>
      </c>
      <c r="M233" s="4"/>
      <c r="N233" s="4"/>
      <c r="O233" s="4"/>
      <c r="P233" s="4"/>
      <c r="Q233" s="7"/>
      <c r="R233" s="4"/>
      <c r="S233" s="8"/>
      <c r="T233" s="7"/>
      <c r="U233" s="7"/>
      <c r="V233" s="7"/>
      <c r="W233" s="7"/>
      <c r="X233" s="4"/>
      <c r="Y233" s="4"/>
      <c r="Z233" s="9"/>
      <c r="AA233" s="9"/>
      <c r="AB233" s="7"/>
      <c r="AC233" s="7"/>
      <c r="AD233" s="5"/>
      <c r="AE233" s="7"/>
      <c r="AF233" s="4"/>
      <c r="AG233" s="4"/>
      <c r="AH233" s="4"/>
      <c r="AI233" s="7" t="s">
        <v>61</v>
      </c>
      <c r="AJ233" s="10"/>
      <c r="AK233" s="11"/>
      <c r="AL233" s="5"/>
      <c r="AM233" s="5"/>
      <c r="AN233" s="4"/>
      <c r="AO233" s="5"/>
      <c r="AP233" s="11"/>
      <c r="AQ233" s="11"/>
      <c r="AR233" s="11"/>
      <c r="AS233" s="11"/>
      <c r="AT233" s="11">
        <f t="shared" si="86"/>
        <v>514.39075465859992</v>
      </c>
      <c r="AU233" s="11">
        <f t="shared" si="87"/>
        <v>2026.0469227399885</v>
      </c>
      <c r="AV233" s="11">
        <f t="shared" si="88"/>
        <v>2.2945502349212641E-3</v>
      </c>
      <c r="AW233" s="11">
        <f t="shared" si="89"/>
        <v>3.7132244615594665E-7</v>
      </c>
      <c r="AX233" s="11"/>
      <c r="AY233" s="11"/>
    </row>
    <row r="234" spans="1:51" ht="14.5">
      <c r="A234" s="4" t="s">
        <v>2</v>
      </c>
      <c r="B234" s="4" t="s">
        <v>2</v>
      </c>
      <c r="C234" s="4" t="s">
        <v>2</v>
      </c>
      <c r="D234" s="23" t="s">
        <v>23</v>
      </c>
      <c r="E234" s="4" t="s">
        <v>24</v>
      </c>
      <c r="F234" s="4" t="s">
        <v>25</v>
      </c>
      <c r="G234" s="4"/>
      <c r="H234" s="5" t="s">
        <v>0</v>
      </c>
      <c r="I234" s="5" t="s">
        <v>26</v>
      </c>
      <c r="J234" s="4" t="s">
        <v>27</v>
      </c>
      <c r="K234" s="4" t="s">
        <v>28</v>
      </c>
      <c r="L234" s="12" t="s">
        <v>29</v>
      </c>
      <c r="M234" s="13" t="s">
        <v>30</v>
      </c>
      <c r="N234" s="4" t="s">
        <v>31</v>
      </c>
      <c r="O234" s="4" t="s">
        <v>32</v>
      </c>
      <c r="P234" s="4" t="s">
        <v>33</v>
      </c>
      <c r="Q234" s="4" t="s">
        <v>34</v>
      </c>
      <c r="R234" s="4" t="s">
        <v>13</v>
      </c>
      <c r="S234" s="8" t="s">
        <v>35</v>
      </c>
      <c r="T234" s="4" t="s">
        <v>36</v>
      </c>
      <c r="U234" s="4" t="s">
        <v>37</v>
      </c>
      <c r="V234" s="4" t="s">
        <v>38</v>
      </c>
      <c r="W234" s="4" t="s">
        <v>39</v>
      </c>
      <c r="X234" s="4" t="s">
        <v>40</v>
      </c>
      <c r="Y234" s="7" t="s">
        <v>108</v>
      </c>
      <c r="Z234" s="35" t="s">
        <v>109</v>
      </c>
      <c r="AA234" s="9" t="s">
        <v>110</v>
      </c>
      <c r="AB234" s="7" t="s">
        <v>111</v>
      </c>
      <c r="AC234" s="7" t="s">
        <v>112</v>
      </c>
      <c r="AD234" s="5" t="s">
        <v>41</v>
      </c>
      <c r="AE234" s="7" t="s">
        <v>113</v>
      </c>
      <c r="AF234" s="7" t="s">
        <v>114</v>
      </c>
      <c r="AG234" s="7" t="s">
        <v>115</v>
      </c>
      <c r="AH234" s="4" t="s">
        <v>42</v>
      </c>
      <c r="AI234" s="4" t="s">
        <v>43</v>
      </c>
      <c r="AJ234" s="10" t="s">
        <v>35</v>
      </c>
      <c r="AK234" s="36" t="s">
        <v>116</v>
      </c>
      <c r="AL234" s="5" t="s">
        <v>44</v>
      </c>
      <c r="AM234" s="5" t="s">
        <v>45</v>
      </c>
      <c r="AN234" s="4" t="s">
        <v>46</v>
      </c>
      <c r="AO234" s="5" t="s">
        <v>47</v>
      </c>
      <c r="AP234" s="36" t="s">
        <v>85</v>
      </c>
      <c r="AQ234" s="15" t="s">
        <v>62</v>
      </c>
      <c r="AR234" s="16" t="s">
        <v>63</v>
      </c>
      <c r="AS234" s="16" t="s">
        <v>64</v>
      </c>
      <c r="AT234" s="11">
        <f t="shared" si="86"/>
        <v>514.03415088014992</v>
      </c>
      <c r="AU234" s="11">
        <f t="shared" si="87"/>
        <v>2018.6752642343133</v>
      </c>
      <c r="AV234" s="11">
        <f t="shared" si="88"/>
        <v>2.2877876615353238E-3</v>
      </c>
      <c r="AW234" s="11">
        <f t="shared" si="89"/>
        <v>3.7112196774446731E-7</v>
      </c>
      <c r="AX234" s="11"/>
      <c r="AY234" s="11"/>
    </row>
    <row r="235" spans="1:51" ht="14.5">
      <c r="A235" s="4" t="s">
        <v>18</v>
      </c>
      <c r="B235" s="4" t="s">
        <v>21</v>
      </c>
      <c r="C235" s="4" t="s">
        <v>48</v>
      </c>
      <c r="D235" s="23" t="s">
        <v>8</v>
      </c>
      <c r="E235" s="4" t="s">
        <v>49</v>
      </c>
      <c r="F235" s="4" t="s">
        <v>49</v>
      </c>
      <c r="G235" s="4"/>
      <c r="H235" s="5" t="s">
        <v>9</v>
      </c>
      <c r="I235" s="5" t="s">
        <v>50</v>
      </c>
      <c r="J235" s="4"/>
      <c r="K235" s="4" t="s">
        <v>51</v>
      </c>
      <c r="L235" s="5" t="s">
        <v>52</v>
      </c>
      <c r="M235" s="4" t="s">
        <v>52</v>
      </c>
      <c r="N235" s="4" t="s">
        <v>53</v>
      </c>
      <c r="O235" s="4" t="s">
        <v>54</v>
      </c>
      <c r="P235" s="4"/>
      <c r="Q235" s="4"/>
      <c r="R235" s="4"/>
      <c r="S235" s="8" t="s">
        <v>55</v>
      </c>
      <c r="T235" s="4"/>
      <c r="U235" s="4"/>
      <c r="V235" s="4"/>
      <c r="W235" s="4"/>
      <c r="X235" s="4"/>
      <c r="Y235" s="4"/>
      <c r="Z235" s="9" t="s">
        <v>118</v>
      </c>
      <c r="AA235" s="9" t="s">
        <v>118</v>
      </c>
      <c r="AB235" s="7" t="s">
        <v>119</v>
      </c>
      <c r="AC235" s="7" t="s">
        <v>119</v>
      </c>
      <c r="AD235" s="5" t="s">
        <v>20</v>
      </c>
      <c r="AE235" s="7" t="s">
        <v>118</v>
      </c>
      <c r="AF235" s="7" t="s">
        <v>118</v>
      </c>
      <c r="AG235" s="7" t="s">
        <v>119</v>
      </c>
      <c r="AH235" s="4" t="s">
        <v>56</v>
      </c>
      <c r="AI235" s="4" t="s">
        <v>57</v>
      </c>
      <c r="AJ235" s="10" t="s">
        <v>55</v>
      </c>
      <c r="AK235" s="36" t="s">
        <v>121</v>
      </c>
      <c r="AL235" s="5" t="s">
        <v>9</v>
      </c>
      <c r="AM235" s="5" t="s">
        <v>18</v>
      </c>
      <c r="AN235" s="4" t="s">
        <v>8</v>
      </c>
      <c r="AO235" s="5" t="s">
        <v>49</v>
      </c>
      <c r="AP235" s="11"/>
      <c r="AQ235" s="11"/>
      <c r="AR235" s="11"/>
      <c r="AS235" s="11"/>
      <c r="AT235" s="11">
        <f t="shared" si="86"/>
        <v>513.67754710169993</v>
      </c>
      <c r="AU235" s="11">
        <f t="shared" si="87"/>
        <v>2011.3253392434187</v>
      </c>
      <c r="AV235" s="11">
        <f t="shared" si="88"/>
        <v>2.2810403466990347E-3</v>
      </c>
      <c r="AW235" s="11">
        <f t="shared" si="89"/>
        <v>3.7092142265082519E-7</v>
      </c>
      <c r="AX235" s="11"/>
      <c r="AY235" s="11"/>
    </row>
    <row r="236" spans="1:51" ht="14.5">
      <c r="A236" s="4">
        <f>A231</f>
        <v>30.73492798529854</v>
      </c>
      <c r="B236" s="4">
        <f t="shared" ref="B236:C236" si="100">(A236/60)</f>
        <v>0.51224879975497573</v>
      </c>
      <c r="C236" s="4">
        <f t="shared" si="100"/>
        <v>8.5374799959162615E-3</v>
      </c>
      <c r="D236" s="23">
        <f t="shared" ref="D236:E236" si="101">D231</f>
        <v>11358.397325467309</v>
      </c>
      <c r="E236" s="41">
        <f t="shared" si="101"/>
        <v>0.9768938977776872</v>
      </c>
      <c r="F236" s="7">
        <v>0</v>
      </c>
      <c r="G236" s="4"/>
      <c r="H236" s="6">
        <v>3000</v>
      </c>
      <c r="I236" s="5">
        <v>0</v>
      </c>
      <c r="J236" s="4">
        <f t="shared" ref="J236:J284" si="102">SQRT((((((((L236^2)*(0.2))/(661.477)^2) + 1)^(3.5) - 1)*(1/AR236) + 1)^(1/3.5) - 1)*(5))</f>
        <v>0.20797490098723775</v>
      </c>
      <c r="K236" s="4">
        <f t="shared" ref="K236:K267" si="103">SQRT((1.4*2116.22*AR236*(J236)^2)/AV256)</f>
        <v>229.78632003118699</v>
      </c>
      <c r="L236" s="6">
        <v>130.3103199999999</v>
      </c>
      <c r="M236" s="4">
        <f t="shared" ref="M236:M284" si="104">K236*0.592484</f>
        <v>136.14471803735779</v>
      </c>
      <c r="N236" s="4">
        <f t="shared" ref="N236:N267" si="105">0.5*AV256*K236^2</f>
        <v>57.425577469141665</v>
      </c>
      <c r="O236" s="4">
        <f t="shared" ref="O236:O267" si="106">P236/$B$7</f>
        <v>1359293.7766793312</v>
      </c>
      <c r="P236" s="4">
        <f t="shared" ref="P236:P267" si="107">(AV256*K236*$B$7)/(AW256)</f>
        <v>8727621.2004960272</v>
      </c>
      <c r="Q236" s="4">
        <f t="shared" ref="Q236:Q284" si="108">0.455/(LOG10(P236)^2.58 * (1+0.144*J236*J236)^0.65)</f>
        <v>3.0577820454500224E-3</v>
      </c>
      <c r="R236" s="4">
        <f t="shared" ref="R236:R267" si="109">(((Q236*$B$4)+$B$17)+(0.1*(Q236*$B$4)))</f>
        <v>2.3590200020671685E-2</v>
      </c>
      <c r="S236" s="27">
        <v>0</v>
      </c>
      <c r="T236" s="4">
        <f t="shared" ref="T236:T267" si="110">(D236*COS(RADIANS(S236)))/(N236*$B$3)</f>
        <v>0.85997108560590851</v>
      </c>
      <c r="U236" s="4">
        <f t="shared" ref="U236:U267" si="111">(W236)/(N236*$B$3)</f>
        <v>7.0297771778442569E-2</v>
      </c>
      <c r="V236" s="4">
        <f t="shared" ref="V236:V284" si="112">T236/U236</f>
        <v>12.233262361661742</v>
      </c>
      <c r="W236" s="20">
        <f t="shared" ref="W236:W267" si="113">(N236*$B$3*R236)+((N236*$B$3)*((T236^2)/(PI()*$B$6*$B$5)))</f>
        <v>928.48473200932858</v>
      </c>
      <c r="X236" s="4">
        <f t="shared" ref="X236:X267" si="114">SQRT(PI()*$B$6*$B$5*R236)</f>
        <v>0.61116153950616525</v>
      </c>
      <c r="Y236" s="4">
        <f t="shared" ref="Y236:Y267" si="115">SQRT((2*((T236*N236*$B$3)/(D236))*D236)/(AV256*$B$3*$B$18))</f>
        <v>137.54996174193286</v>
      </c>
      <c r="Z236" s="14">
        <f t="shared" ref="Z236:Z267" si="116">W236+(D236*(SIN(RADIANS(S236))))</f>
        <v>928.48473200932858</v>
      </c>
      <c r="AA236" s="14">
        <f t="shared" ref="AA236:AA267" si="117">$B$15*AR236</f>
        <v>5628.3916222821908</v>
      </c>
      <c r="AB236" s="25">
        <f t="shared" ref="AB236:AB284" si="118">Z236*K236</f>
        <v>213353.08977356646</v>
      </c>
      <c r="AC236" s="4">
        <f t="shared" ref="AC236:AC284" si="119">AA236*K236</f>
        <v>1293327.3985785872</v>
      </c>
      <c r="AD236" s="5">
        <f t="shared" ref="AD236:AD284" si="120">(Z236/AA236)*100</f>
        <v>16.496448618350552</v>
      </c>
      <c r="AE236" s="7">
        <f t="shared" ref="AE236:AE284" si="121">(AA236)*(AD236/100)</f>
        <v>928.48473200932858</v>
      </c>
      <c r="AF236" s="4">
        <f t="shared" ref="AF236:AF284" si="122">AE236-Z236</f>
        <v>0</v>
      </c>
      <c r="AG236" s="4">
        <f t="shared" ref="AG236:AG284" si="123">((AC236*(AD236/100))-AB236)</f>
        <v>0</v>
      </c>
      <c r="AH236" s="4">
        <f t="shared" ref="AH236:AH284" si="124">(AP236*AE236)</f>
        <v>665.34523500658452</v>
      </c>
      <c r="AI236" s="13">
        <f t="shared" ref="AI236:AI284" si="125">K236*SIN(RADIANS(AJ236))</f>
        <v>0</v>
      </c>
      <c r="AJ236" s="10">
        <f t="shared" ref="AJ236:AJ267" si="126">DEGREES(ASIN(((AE236-W236)/(D236))))</f>
        <v>0</v>
      </c>
      <c r="AK236" s="11">
        <f t="shared" ref="AK236:AK267" si="127">(AG236/D236)*60</f>
        <v>0</v>
      </c>
      <c r="AL236" s="6">
        <v>0</v>
      </c>
      <c r="AM236" s="6">
        <v>50</v>
      </c>
      <c r="AN236" s="4">
        <f t="shared" ref="AN236:AN284" si="128">AH236*(AM236/3600)</f>
        <v>9.2409060417581177</v>
      </c>
      <c r="AO236" s="6">
        <f t="shared" ref="AO236:AO284" si="129">M236*COS(RADIANS(AJ236))*(AM236/3600)</f>
        <v>1.8908988616299691</v>
      </c>
      <c r="AP236" s="11">
        <f t="shared" ref="AP236:AP284" si="130">(-39.149*(J236)^6)+(63.432*(J236)^5)-(35.357*(J236)^4)+(7.316*(J236)^3)-(0.244*(J236)^2)+(0.3523*(J236))+0.6327</f>
        <v>0.71659254274081019</v>
      </c>
      <c r="AQ236" s="11">
        <f t="shared" ref="AQ236:AQ267" si="131">IF(H236 &lt;= 36089, ((1 - 6.87535*10^(-6)*H236) + ((I236*1.8)/518.67)), 0.75187 + ((I236*1.8)/518.67))</f>
        <v>0.97937395000000005</v>
      </c>
      <c r="AR236" s="11">
        <f t="shared" ref="AR236:AR267" si="132">IF(H236 &lt;= 36089, (1 - 6.87535*10^(-6)*H236)^5.2561, 0.22336*EXP((36089 - H236)/(20806.7)))</f>
        <v>0.8962407041850623</v>
      </c>
      <c r="AS236" s="11">
        <f t="shared" ref="AS236:AS284" si="133">(AR236/AQ236)</f>
        <v>0.91511593113647982</v>
      </c>
      <c r="AT236" s="11">
        <f t="shared" si="86"/>
        <v>513.32094332324994</v>
      </c>
      <c r="AU236" s="11">
        <f t="shared" si="87"/>
        <v>2003.9970987124827</v>
      </c>
      <c r="AV236" s="11">
        <f t="shared" si="88"/>
        <v>2.2743082665410857E-3</v>
      </c>
      <c r="AW236" s="11">
        <f t="shared" si="89"/>
        <v>3.7072081082136944E-7</v>
      </c>
      <c r="AX236" s="11"/>
      <c r="AY236" s="11"/>
    </row>
    <row r="237" spans="1:51" ht="14.5">
      <c r="A237" s="4">
        <f t="shared" ref="A237:A284" si="134">A236+AM236</f>
        <v>80.73492798529854</v>
      </c>
      <c r="B237" s="4">
        <f t="shared" ref="B237:C237" si="135">A237/60</f>
        <v>1.3455821330883091</v>
      </c>
      <c r="C237" s="4">
        <f t="shared" si="135"/>
        <v>2.2426368884805151E-2</v>
      </c>
      <c r="D237" s="4">
        <f t="shared" ref="D237:D284" si="136">D236-AN236</f>
        <v>11349.156419425552</v>
      </c>
      <c r="E237" s="4">
        <f t="shared" ref="E237:E284" si="137">E236+AO236</f>
        <v>2.8677927594076564</v>
      </c>
      <c r="F237" s="4">
        <f t="shared" ref="F237:F284" si="138">F236+AO236</f>
        <v>1.8908988616299691</v>
      </c>
      <c r="G237" s="4"/>
      <c r="H237" s="6">
        <v>3000</v>
      </c>
      <c r="I237" s="5">
        <v>0</v>
      </c>
      <c r="J237" s="4">
        <f t="shared" si="102"/>
        <v>0.20797490098723775</v>
      </c>
      <c r="K237" s="4">
        <f t="shared" si="103"/>
        <v>229.78632003118699</v>
      </c>
      <c r="L237" s="6">
        <v>130.3103199999999</v>
      </c>
      <c r="M237" s="4">
        <f t="shared" si="104"/>
        <v>136.14471803735779</v>
      </c>
      <c r="N237" s="4">
        <f t="shared" si="105"/>
        <v>57.425577469141665</v>
      </c>
      <c r="O237" s="4">
        <f t="shared" si="106"/>
        <v>1359293.7766793312</v>
      </c>
      <c r="P237" s="4">
        <f t="shared" si="107"/>
        <v>8727621.2004960272</v>
      </c>
      <c r="Q237" s="4">
        <f t="shared" si="108"/>
        <v>3.0577820454500224E-3</v>
      </c>
      <c r="R237" s="4">
        <f t="shared" si="109"/>
        <v>2.3590200020671685E-2</v>
      </c>
      <c r="S237" s="27">
        <v>0</v>
      </c>
      <c r="T237" s="4">
        <f t="shared" si="110"/>
        <v>0.85927143478607892</v>
      </c>
      <c r="U237" s="4">
        <f t="shared" si="111"/>
        <v>7.0221802485945894E-2</v>
      </c>
      <c r="V237" s="4">
        <f t="shared" si="112"/>
        <v>12.236533446404376</v>
      </c>
      <c r="W237" s="20">
        <f t="shared" si="113"/>
        <v>927.48133849627357</v>
      </c>
      <c r="X237" s="4">
        <f t="shared" si="114"/>
        <v>0.61116153950616525</v>
      </c>
      <c r="Y237" s="4">
        <f t="shared" si="115"/>
        <v>137.4939967641177</v>
      </c>
      <c r="Z237" s="14">
        <f t="shared" si="116"/>
        <v>927.48133849627357</v>
      </c>
      <c r="AA237" s="14">
        <f t="shared" si="117"/>
        <v>5628.3916222821908</v>
      </c>
      <c r="AB237" s="25">
        <f t="shared" si="118"/>
        <v>213122.52367065838</v>
      </c>
      <c r="AC237" s="4">
        <f t="shared" si="119"/>
        <v>1293327.3985785872</v>
      </c>
      <c r="AD237" s="5">
        <f t="shared" si="120"/>
        <v>16.478621260547609</v>
      </c>
      <c r="AE237" s="7">
        <f t="shared" si="121"/>
        <v>927.48133849627368</v>
      </c>
      <c r="AF237" s="4">
        <f t="shared" si="122"/>
        <v>0</v>
      </c>
      <c r="AG237" s="4">
        <f t="shared" si="123"/>
        <v>2.9103830456733704E-11</v>
      </c>
      <c r="AH237" s="4">
        <f t="shared" si="124"/>
        <v>664.62621069769489</v>
      </c>
      <c r="AI237" s="13">
        <f t="shared" si="125"/>
        <v>2.3018169025601603E-15</v>
      </c>
      <c r="AJ237" s="10">
        <f t="shared" si="126"/>
        <v>5.7394362602035436E-16</v>
      </c>
      <c r="AK237" s="11">
        <f t="shared" si="127"/>
        <v>1.5386428408151321E-13</v>
      </c>
      <c r="AL237" s="6">
        <v>0</v>
      </c>
      <c r="AM237" s="6">
        <v>50</v>
      </c>
      <c r="AN237" s="4">
        <f t="shared" si="128"/>
        <v>9.2309195930235397</v>
      </c>
      <c r="AO237" s="6">
        <f t="shared" si="129"/>
        <v>1.8908988616299691</v>
      </c>
      <c r="AP237" s="11">
        <f t="shared" si="130"/>
        <v>0.71659254274081019</v>
      </c>
      <c r="AQ237" s="11">
        <f t="shared" si="131"/>
        <v>0.97937395000000005</v>
      </c>
      <c r="AR237" s="11">
        <f t="shared" si="132"/>
        <v>0.8962407041850623</v>
      </c>
      <c r="AS237" s="11">
        <f t="shared" si="133"/>
        <v>0.91511593113647982</v>
      </c>
      <c r="AT237" s="11">
        <f t="shared" si="86"/>
        <v>512.96433954479994</v>
      </c>
      <c r="AU237" s="11">
        <f t="shared" si="87"/>
        <v>1996.6904936634546</v>
      </c>
      <c r="AV237" s="11">
        <f t="shared" si="88"/>
        <v>2.2675913972109701E-3</v>
      </c>
      <c r="AW237" s="11">
        <f t="shared" si="89"/>
        <v>3.7052013220239012E-7</v>
      </c>
      <c r="AX237" s="11"/>
      <c r="AY237" s="11"/>
    </row>
    <row r="238" spans="1:51" ht="14.5">
      <c r="A238" s="4">
        <f t="shared" si="134"/>
        <v>130.73492798529855</v>
      </c>
      <c r="B238" s="4">
        <f t="shared" ref="B238:C238" si="139">A238/60</f>
        <v>2.1789154664216426</v>
      </c>
      <c r="C238" s="4">
        <f t="shared" si="139"/>
        <v>3.6315257773694043E-2</v>
      </c>
      <c r="D238" s="4">
        <f t="shared" si="136"/>
        <v>11339.925499832529</v>
      </c>
      <c r="E238" s="4">
        <f t="shared" si="137"/>
        <v>4.7586916210376256</v>
      </c>
      <c r="F238" s="4">
        <f t="shared" si="138"/>
        <v>3.7817977232599382</v>
      </c>
      <c r="G238" s="4"/>
      <c r="H238" s="6">
        <v>3000</v>
      </c>
      <c r="I238" s="5">
        <v>0</v>
      </c>
      <c r="J238" s="4">
        <f t="shared" si="102"/>
        <v>0.20797490098723775</v>
      </c>
      <c r="K238" s="4">
        <f t="shared" si="103"/>
        <v>229.78632003118699</v>
      </c>
      <c r="L238" s="6">
        <v>130.3103199999999</v>
      </c>
      <c r="M238" s="4">
        <f t="shared" si="104"/>
        <v>136.14471803735779</v>
      </c>
      <c r="N238" s="4">
        <f t="shared" si="105"/>
        <v>57.425577469141665</v>
      </c>
      <c r="O238" s="4">
        <f t="shared" si="106"/>
        <v>1359293.7766793312</v>
      </c>
      <c r="P238" s="4">
        <f t="shared" si="107"/>
        <v>8727621.2004960272</v>
      </c>
      <c r="Q238" s="4">
        <f t="shared" si="108"/>
        <v>3.0577820454500224E-3</v>
      </c>
      <c r="R238" s="4">
        <f t="shared" si="109"/>
        <v>2.3590200020671685E-2</v>
      </c>
      <c r="S238" s="27">
        <v>0</v>
      </c>
      <c r="T238" s="4">
        <f t="shared" si="110"/>
        <v>0.8585725400638673</v>
      </c>
      <c r="U238" s="4">
        <f t="shared" si="111"/>
        <v>7.0145977023493733E-2</v>
      </c>
      <c r="V238" s="4">
        <f t="shared" si="112"/>
        <v>12.239797298372633</v>
      </c>
      <c r="W238" s="20">
        <f t="shared" si="113"/>
        <v>926.4798446735922</v>
      </c>
      <c r="X238" s="4">
        <f t="shared" si="114"/>
        <v>0.61116153950616525</v>
      </c>
      <c r="Y238" s="4">
        <f t="shared" si="115"/>
        <v>137.4380695143636</v>
      </c>
      <c r="Z238" s="14">
        <f t="shared" si="116"/>
        <v>926.4798446735922</v>
      </c>
      <c r="AA238" s="14">
        <f t="shared" si="117"/>
        <v>5628.3916222821908</v>
      </c>
      <c r="AB238" s="25">
        <f t="shared" si="118"/>
        <v>212892.39409061047</v>
      </c>
      <c r="AC238" s="4">
        <f t="shared" si="119"/>
        <v>1293327.3985785872</v>
      </c>
      <c r="AD238" s="5">
        <f t="shared" si="120"/>
        <v>16.460827654667085</v>
      </c>
      <c r="AE238" s="7">
        <f t="shared" si="121"/>
        <v>926.4798446735922</v>
      </c>
      <c r="AF238" s="4">
        <f t="shared" si="122"/>
        <v>0</v>
      </c>
      <c r="AG238" s="4">
        <f t="shared" si="123"/>
        <v>0</v>
      </c>
      <c r="AH238" s="4">
        <f t="shared" si="124"/>
        <v>663.90854769276029</v>
      </c>
      <c r="AI238" s="13">
        <f t="shared" si="125"/>
        <v>0</v>
      </c>
      <c r="AJ238" s="10">
        <f t="shared" si="126"/>
        <v>0</v>
      </c>
      <c r="AK238" s="11">
        <f t="shared" si="127"/>
        <v>0</v>
      </c>
      <c r="AL238" s="6">
        <v>0</v>
      </c>
      <c r="AM238" s="6">
        <v>50</v>
      </c>
      <c r="AN238" s="4">
        <f t="shared" si="128"/>
        <v>9.2209520512883376</v>
      </c>
      <c r="AO238" s="6">
        <f t="shared" si="129"/>
        <v>1.8908988616299691</v>
      </c>
      <c r="AP238" s="11">
        <f t="shared" si="130"/>
        <v>0.71659254274081019</v>
      </c>
      <c r="AQ238" s="11">
        <f t="shared" si="131"/>
        <v>0.97937395000000005</v>
      </c>
      <c r="AR238" s="11">
        <f t="shared" si="132"/>
        <v>0.8962407041850623</v>
      </c>
      <c r="AS238" s="11">
        <f t="shared" si="133"/>
        <v>0.91511593113647982</v>
      </c>
      <c r="AT238" s="11">
        <f t="shared" si="86"/>
        <v>512.60773576634995</v>
      </c>
      <c r="AU238" s="11">
        <f t="shared" si="87"/>
        <v>1989.4054751949909</v>
      </c>
      <c r="AV238" s="11">
        <f t="shared" si="88"/>
        <v>2.2608897148789905E-3</v>
      </c>
      <c r="AW238" s="11">
        <f t="shared" si="89"/>
        <v>3.7031938674011801E-7</v>
      </c>
      <c r="AX238" s="11"/>
      <c r="AY238" s="11"/>
    </row>
    <row r="239" spans="1:51" ht="14.5">
      <c r="A239" s="4">
        <f t="shared" si="134"/>
        <v>180.73492798529855</v>
      </c>
      <c r="B239" s="4">
        <f t="shared" ref="B239:C239" si="140">A239/60</f>
        <v>3.0122487997549761</v>
      </c>
      <c r="C239" s="4">
        <f t="shared" si="140"/>
        <v>5.0204146662582931E-2</v>
      </c>
      <c r="D239" s="4">
        <f t="shared" si="136"/>
        <v>11330.704547781241</v>
      </c>
      <c r="E239" s="4">
        <f t="shared" si="137"/>
        <v>6.6495904826675947</v>
      </c>
      <c r="F239" s="4">
        <f t="shared" si="138"/>
        <v>5.6726965848899074</v>
      </c>
      <c r="G239" s="4"/>
      <c r="H239" s="6">
        <v>3000</v>
      </c>
      <c r="I239" s="5">
        <v>0</v>
      </c>
      <c r="J239" s="4">
        <f t="shared" si="102"/>
        <v>0.20797490098723775</v>
      </c>
      <c r="K239" s="4">
        <f t="shared" si="103"/>
        <v>229.78632003118699</v>
      </c>
      <c r="L239" s="6">
        <v>130.3103199999999</v>
      </c>
      <c r="M239" s="4">
        <f t="shared" si="104"/>
        <v>136.14471803735779</v>
      </c>
      <c r="N239" s="4">
        <f t="shared" si="105"/>
        <v>57.425577469141665</v>
      </c>
      <c r="O239" s="4">
        <f t="shared" si="106"/>
        <v>1359293.7766793312</v>
      </c>
      <c r="P239" s="4">
        <f t="shared" si="107"/>
        <v>8727621.2004960272</v>
      </c>
      <c r="Q239" s="4">
        <f t="shared" si="108"/>
        <v>3.0577820454500224E-3</v>
      </c>
      <c r="R239" s="4">
        <f t="shared" si="109"/>
        <v>2.3590200020671685E-2</v>
      </c>
      <c r="S239" s="27">
        <v>0</v>
      </c>
      <c r="T239" s="4">
        <f t="shared" si="110"/>
        <v>0.8578744000077797</v>
      </c>
      <c r="U239" s="4">
        <f t="shared" si="111"/>
        <v>7.0070295035723415E-2</v>
      </c>
      <c r="V239" s="4">
        <f t="shared" si="112"/>
        <v>12.243053915648792</v>
      </c>
      <c r="W239" s="20">
        <f t="shared" si="113"/>
        <v>925.48024584769587</v>
      </c>
      <c r="X239" s="4">
        <f t="shared" si="114"/>
        <v>0.61116153950616525</v>
      </c>
      <c r="Y239" s="4">
        <f t="shared" si="115"/>
        <v>137.3821799241255</v>
      </c>
      <c r="Z239" s="14">
        <f t="shared" si="116"/>
        <v>925.48024584769587</v>
      </c>
      <c r="AA239" s="14">
        <f t="shared" si="117"/>
        <v>5628.3916222821908</v>
      </c>
      <c r="AB239" s="25">
        <f t="shared" si="118"/>
        <v>212662.69995490025</v>
      </c>
      <c r="AC239" s="4">
        <f t="shared" si="119"/>
        <v>1293327.3985785872</v>
      </c>
      <c r="AD239" s="5">
        <f t="shared" si="120"/>
        <v>16.443067717317682</v>
      </c>
      <c r="AE239" s="7">
        <f t="shared" si="121"/>
        <v>925.48024584769598</v>
      </c>
      <c r="AF239" s="4">
        <f t="shared" si="122"/>
        <v>0</v>
      </c>
      <c r="AG239" s="4">
        <f t="shared" si="123"/>
        <v>2.9103830456733704E-11</v>
      </c>
      <c r="AH239" s="4">
        <f t="shared" si="124"/>
        <v>663.19224262839066</v>
      </c>
      <c r="AI239" s="13">
        <f t="shared" si="125"/>
        <v>2.305565374674638E-15</v>
      </c>
      <c r="AJ239" s="10">
        <f t="shared" si="126"/>
        <v>5.7487828406158546E-16</v>
      </c>
      <c r="AK239" s="11">
        <f t="shared" si="127"/>
        <v>1.5411484961418096E-13</v>
      </c>
      <c r="AL239" s="6">
        <v>0</v>
      </c>
      <c r="AM239" s="6">
        <v>50</v>
      </c>
      <c r="AN239" s="4">
        <f t="shared" si="128"/>
        <v>9.2110033698387586</v>
      </c>
      <c r="AO239" s="6">
        <f t="shared" si="129"/>
        <v>1.8908988616299691</v>
      </c>
      <c r="AP239" s="11">
        <f t="shared" si="130"/>
        <v>0.71659254274081019</v>
      </c>
      <c r="AQ239" s="11">
        <f t="shared" si="131"/>
        <v>0.97937395000000005</v>
      </c>
      <c r="AR239" s="11">
        <f t="shared" si="132"/>
        <v>0.8962407041850623</v>
      </c>
      <c r="AS239" s="11">
        <f t="shared" si="133"/>
        <v>0.91511593113647982</v>
      </c>
      <c r="AT239" s="11">
        <f t="shared" si="86"/>
        <v>512.25113198789995</v>
      </c>
      <c r="AU239" s="11">
        <f t="shared" si="87"/>
        <v>1982.1419944823811</v>
      </c>
      <c r="AV239" s="11">
        <f t="shared" si="88"/>
        <v>2.2542031957362429E-3</v>
      </c>
      <c r="AW239" s="11">
        <f t="shared" si="89"/>
        <v>3.7011857438072617E-7</v>
      </c>
      <c r="AX239" s="11"/>
      <c r="AY239" s="11"/>
    </row>
    <row r="240" spans="1:51" ht="14.5">
      <c r="A240" s="4">
        <f t="shared" si="134"/>
        <v>230.73492798529855</v>
      </c>
      <c r="B240" s="4">
        <f t="shared" ref="B240:C240" si="141">A240/60</f>
        <v>3.8455821330883091</v>
      </c>
      <c r="C240" s="4">
        <f t="shared" si="141"/>
        <v>6.4093035551471819E-2</v>
      </c>
      <c r="D240" s="4">
        <f t="shared" si="136"/>
        <v>11321.493544411402</v>
      </c>
      <c r="E240" s="4">
        <f t="shared" si="137"/>
        <v>8.5404893442975638</v>
      </c>
      <c r="F240" s="4">
        <f t="shared" si="138"/>
        <v>7.5635954465198765</v>
      </c>
      <c r="G240" s="4"/>
      <c r="H240" s="6">
        <v>3000</v>
      </c>
      <c r="I240" s="5">
        <v>0</v>
      </c>
      <c r="J240" s="4">
        <f t="shared" si="102"/>
        <v>0.20797490098723775</v>
      </c>
      <c r="K240" s="4">
        <f t="shared" si="103"/>
        <v>229.78632003118699</v>
      </c>
      <c r="L240" s="6">
        <v>130.3103199999999</v>
      </c>
      <c r="M240" s="4">
        <f t="shared" si="104"/>
        <v>136.14471803735779</v>
      </c>
      <c r="N240" s="4">
        <f t="shared" si="105"/>
        <v>57.425577469141665</v>
      </c>
      <c r="O240" s="4">
        <f t="shared" si="106"/>
        <v>1359293.7766793312</v>
      </c>
      <c r="P240" s="4">
        <f t="shared" si="107"/>
        <v>8727621.2004960272</v>
      </c>
      <c r="Q240" s="4">
        <f t="shared" si="108"/>
        <v>3.0577820454500224E-3</v>
      </c>
      <c r="R240" s="4">
        <f t="shared" si="109"/>
        <v>2.3590200020671685E-2</v>
      </c>
      <c r="S240" s="27">
        <v>0</v>
      </c>
      <c r="T240" s="4">
        <f t="shared" si="110"/>
        <v>0.85717701318985962</v>
      </c>
      <c r="U240" s="4">
        <f t="shared" si="111"/>
        <v>6.9994756168376318E-2</v>
      </c>
      <c r="V240" s="4">
        <f t="shared" si="112"/>
        <v>12.2463032963194</v>
      </c>
      <c r="W240" s="20">
        <f t="shared" si="113"/>
        <v>924.48253733957836</v>
      </c>
      <c r="X240" s="4">
        <f t="shared" si="114"/>
        <v>0.61116153950616525</v>
      </c>
      <c r="Y240" s="4">
        <f t="shared" si="115"/>
        <v>137.32632792499899</v>
      </c>
      <c r="Z240" s="14">
        <f t="shared" si="116"/>
        <v>924.48253733957836</v>
      </c>
      <c r="AA240" s="14">
        <f t="shared" si="117"/>
        <v>5628.3916222821908</v>
      </c>
      <c r="AB240" s="25">
        <f t="shared" si="118"/>
        <v>212433.44018835612</v>
      </c>
      <c r="AC240" s="4">
        <f t="shared" si="119"/>
        <v>1293327.3985785872</v>
      </c>
      <c r="AD240" s="5">
        <f t="shared" si="120"/>
        <v>16.425341365367192</v>
      </c>
      <c r="AE240" s="7">
        <f t="shared" si="121"/>
        <v>924.48253733957824</v>
      </c>
      <c r="AF240" s="4">
        <f t="shared" si="122"/>
        <v>0</v>
      </c>
      <c r="AG240" s="4">
        <f t="shared" si="123"/>
        <v>-2.9103830456733704E-11</v>
      </c>
      <c r="AH240" s="4">
        <f t="shared" si="124"/>
        <v>662.47729215164441</v>
      </c>
      <c r="AI240" s="13">
        <f t="shared" si="125"/>
        <v>-2.3074411493109265E-15</v>
      </c>
      <c r="AJ240" s="10">
        <f t="shared" si="126"/>
        <v>-5.7534599671724932E-16</v>
      </c>
      <c r="AK240" s="11">
        <f t="shared" si="127"/>
        <v>-1.5424023522638573E-13</v>
      </c>
      <c r="AL240" s="6">
        <v>0</v>
      </c>
      <c r="AM240" s="6">
        <v>50</v>
      </c>
      <c r="AN240" s="4">
        <f t="shared" si="128"/>
        <v>9.2010735021061709</v>
      </c>
      <c r="AO240" s="6">
        <f t="shared" si="129"/>
        <v>1.8908988616299691</v>
      </c>
      <c r="AP240" s="11">
        <f t="shared" si="130"/>
        <v>0.71659254274081019</v>
      </c>
      <c r="AQ240" s="11">
        <f t="shared" si="131"/>
        <v>0.97937395000000005</v>
      </c>
      <c r="AR240" s="11">
        <f t="shared" si="132"/>
        <v>0.8962407041850623</v>
      </c>
      <c r="AS240" s="11">
        <f t="shared" si="133"/>
        <v>0.91511593113647982</v>
      </c>
      <c r="AT240" s="11">
        <f t="shared" si="86"/>
        <v>511.89452820944996</v>
      </c>
      <c r="AU240" s="11">
        <f t="shared" si="87"/>
        <v>1974.9000027774841</v>
      </c>
      <c r="AV240" s="11">
        <f t="shared" si="88"/>
        <v>2.2475318159946214E-3</v>
      </c>
      <c r="AW240" s="11">
        <f t="shared" si="89"/>
        <v>3.6991769507032562E-7</v>
      </c>
      <c r="AX240" s="11"/>
      <c r="AY240" s="11"/>
    </row>
    <row r="241" spans="1:51" ht="14.5">
      <c r="A241" s="4">
        <f t="shared" si="134"/>
        <v>280.73492798529855</v>
      </c>
      <c r="B241" s="4">
        <f t="shared" ref="B241:C241" si="142">A241/60</f>
        <v>4.6789154664216426</v>
      </c>
      <c r="C241" s="4">
        <f t="shared" si="142"/>
        <v>7.7981924440360714E-2</v>
      </c>
      <c r="D241" s="4">
        <f t="shared" si="136"/>
        <v>11312.292470909295</v>
      </c>
      <c r="E241" s="4">
        <f t="shared" si="137"/>
        <v>10.431388205927533</v>
      </c>
      <c r="F241" s="4">
        <f t="shared" si="138"/>
        <v>9.4544943081498456</v>
      </c>
      <c r="G241" s="4"/>
      <c r="H241" s="6">
        <v>3000</v>
      </c>
      <c r="I241" s="5">
        <v>0</v>
      </c>
      <c r="J241" s="4">
        <f t="shared" si="102"/>
        <v>0.20797490098723775</v>
      </c>
      <c r="K241" s="4">
        <f t="shared" si="103"/>
        <v>229.78632003118699</v>
      </c>
      <c r="L241" s="6">
        <v>130.3103199999999</v>
      </c>
      <c r="M241" s="4">
        <f t="shared" si="104"/>
        <v>136.14471803735779</v>
      </c>
      <c r="N241" s="4">
        <f t="shared" si="105"/>
        <v>57.425577469141665</v>
      </c>
      <c r="O241" s="4">
        <f t="shared" si="106"/>
        <v>1359293.7766793312</v>
      </c>
      <c r="P241" s="4">
        <f t="shared" si="107"/>
        <v>8727621.2004960272</v>
      </c>
      <c r="Q241" s="4">
        <f t="shared" si="108"/>
        <v>3.0577820454500224E-3</v>
      </c>
      <c r="R241" s="4">
        <f t="shared" si="109"/>
        <v>2.3590200020671685E-2</v>
      </c>
      <c r="S241" s="27">
        <v>0</v>
      </c>
      <c r="T241" s="4">
        <f t="shared" si="110"/>
        <v>0.85648037818567591</v>
      </c>
      <c r="U241" s="4">
        <f t="shared" si="111"/>
        <v>6.9919360068293648E-2</v>
      </c>
      <c r="V241" s="4">
        <f t="shared" si="112"/>
        <v>12.249545438475263</v>
      </c>
      <c r="W241" s="20">
        <f t="shared" si="113"/>
        <v>923.48671448475966</v>
      </c>
      <c r="X241" s="4">
        <f t="shared" si="114"/>
        <v>0.61116153950616525</v>
      </c>
      <c r="Y241" s="4">
        <f t="shared" si="115"/>
        <v>137.27051344872004</v>
      </c>
      <c r="Z241" s="14">
        <f t="shared" si="116"/>
        <v>923.48671448475966</v>
      </c>
      <c r="AA241" s="14">
        <f t="shared" si="117"/>
        <v>5628.3916222821908</v>
      </c>
      <c r="AB241" s="25">
        <f t="shared" si="118"/>
        <v>212204.6137191444</v>
      </c>
      <c r="AC241" s="4">
        <f t="shared" si="119"/>
        <v>1293327.3985785872</v>
      </c>
      <c r="AD241" s="5">
        <f t="shared" si="120"/>
        <v>16.407648515941499</v>
      </c>
      <c r="AE241" s="7">
        <f t="shared" si="121"/>
        <v>923.48671448475966</v>
      </c>
      <c r="AF241" s="4">
        <f t="shared" si="122"/>
        <v>0</v>
      </c>
      <c r="AG241" s="4">
        <f t="shared" si="123"/>
        <v>-2.9103830456733704E-11</v>
      </c>
      <c r="AH241" s="4">
        <f t="shared" si="124"/>
        <v>661.76369291999049</v>
      </c>
      <c r="AI241" s="13">
        <f t="shared" si="125"/>
        <v>0</v>
      </c>
      <c r="AJ241" s="10">
        <f t="shared" si="126"/>
        <v>0</v>
      </c>
      <c r="AK241" s="11">
        <f t="shared" si="127"/>
        <v>-1.5436568952709001E-13</v>
      </c>
      <c r="AL241" s="6">
        <v>0</v>
      </c>
      <c r="AM241" s="6">
        <v>50</v>
      </c>
      <c r="AN241" s="4">
        <f t="shared" si="128"/>
        <v>9.1911624016665332</v>
      </c>
      <c r="AO241" s="6">
        <f t="shared" si="129"/>
        <v>1.8908988616299691</v>
      </c>
      <c r="AP241" s="11">
        <f t="shared" si="130"/>
        <v>0.71659254274081019</v>
      </c>
      <c r="AQ241" s="11">
        <f t="shared" si="131"/>
        <v>0.97937395000000005</v>
      </c>
      <c r="AR241" s="11">
        <f t="shared" si="132"/>
        <v>0.8962407041850623</v>
      </c>
      <c r="AS241" s="11">
        <f t="shared" si="133"/>
        <v>0.91511593113647982</v>
      </c>
      <c r="AT241" s="11">
        <f t="shared" si="86"/>
        <v>511.53792443099996</v>
      </c>
      <c r="AU241" s="11">
        <f t="shared" si="87"/>
        <v>1967.6794514086662</v>
      </c>
      <c r="AV241" s="11">
        <f t="shared" si="88"/>
        <v>2.2408755518868134E-3</v>
      </c>
      <c r="AW241" s="11">
        <f t="shared" si="89"/>
        <v>3.6971674875496985E-7</v>
      </c>
      <c r="AX241" s="11"/>
      <c r="AY241" s="11"/>
    </row>
    <row r="242" spans="1:51" ht="14.5">
      <c r="A242" s="4">
        <f t="shared" si="134"/>
        <v>330.73492798529855</v>
      </c>
      <c r="B242" s="4">
        <f t="shared" ref="B242:C242" si="143">A242/60</f>
        <v>5.5122487997549756</v>
      </c>
      <c r="C242" s="4">
        <f t="shared" si="143"/>
        <v>9.1870813329249595E-2</v>
      </c>
      <c r="D242" s="4">
        <f t="shared" si="136"/>
        <v>11303.101308507628</v>
      </c>
      <c r="E242" s="4">
        <f t="shared" si="137"/>
        <v>12.322287067557502</v>
      </c>
      <c r="F242" s="4">
        <f t="shared" si="138"/>
        <v>11.345393169779815</v>
      </c>
      <c r="G242" s="4"/>
      <c r="H242" s="6">
        <v>3000</v>
      </c>
      <c r="I242" s="5">
        <v>0</v>
      </c>
      <c r="J242" s="4">
        <f t="shared" si="102"/>
        <v>0.20797490098723775</v>
      </c>
      <c r="K242" s="4">
        <f t="shared" si="103"/>
        <v>229.78632003118699</v>
      </c>
      <c r="L242" s="6">
        <v>130.3103199999999</v>
      </c>
      <c r="M242" s="4">
        <f t="shared" si="104"/>
        <v>136.14471803735779</v>
      </c>
      <c r="N242" s="4">
        <f t="shared" si="105"/>
        <v>57.425577469141665</v>
      </c>
      <c r="O242" s="4">
        <f t="shared" si="106"/>
        <v>1359293.7766793312</v>
      </c>
      <c r="P242" s="4">
        <f t="shared" si="107"/>
        <v>8727621.2004960272</v>
      </c>
      <c r="Q242" s="4">
        <f t="shared" si="108"/>
        <v>3.0577820454500224E-3</v>
      </c>
      <c r="R242" s="4">
        <f t="shared" si="109"/>
        <v>2.3590200020671685E-2</v>
      </c>
      <c r="S242" s="27">
        <v>0</v>
      </c>
      <c r="T242" s="4">
        <f t="shared" si="110"/>
        <v>0.85578449357431274</v>
      </c>
      <c r="U242" s="4">
        <f t="shared" si="111"/>
        <v>6.9844106383412402E-2</v>
      </c>
      <c r="V242" s="4">
        <f t="shared" si="112"/>
        <v>12.252780340211453</v>
      </c>
      <c r="W242" s="20">
        <f t="shared" si="113"/>
        <v>922.49277263323279</v>
      </c>
      <c r="X242" s="4">
        <f t="shared" si="114"/>
        <v>0.61116153950616525</v>
      </c>
      <c r="Y242" s="4">
        <f t="shared" si="115"/>
        <v>137.21473642716444</v>
      </c>
      <c r="Z242" s="14">
        <f t="shared" si="116"/>
        <v>922.49277263323279</v>
      </c>
      <c r="AA242" s="14">
        <f t="shared" si="117"/>
        <v>5628.3916222821908</v>
      </c>
      <c r="AB242" s="25">
        <f t="shared" si="118"/>
        <v>211976.21947875703</v>
      </c>
      <c r="AC242" s="4">
        <f t="shared" si="119"/>
        <v>1293327.3985785872</v>
      </c>
      <c r="AD242" s="5">
        <f t="shared" si="120"/>
        <v>16.389989086423626</v>
      </c>
      <c r="AE242" s="7">
        <f t="shared" si="121"/>
        <v>922.49277263323279</v>
      </c>
      <c r="AF242" s="4">
        <f t="shared" si="122"/>
        <v>0</v>
      </c>
      <c r="AG242" s="4">
        <f t="shared" si="123"/>
        <v>0</v>
      </c>
      <c r="AH242" s="4">
        <f t="shared" si="124"/>
        <v>661.05144160126838</v>
      </c>
      <c r="AI242" s="13">
        <f t="shared" si="125"/>
        <v>0</v>
      </c>
      <c r="AJ242" s="10">
        <f t="shared" si="126"/>
        <v>0</v>
      </c>
      <c r="AK242" s="11">
        <f t="shared" si="127"/>
        <v>0</v>
      </c>
      <c r="AL242" s="6">
        <v>0</v>
      </c>
      <c r="AM242" s="6">
        <v>50</v>
      </c>
      <c r="AN242" s="4">
        <f t="shared" si="128"/>
        <v>9.181270022239838</v>
      </c>
      <c r="AO242" s="6">
        <f t="shared" si="129"/>
        <v>1.8908988616299691</v>
      </c>
      <c r="AP242" s="11">
        <f t="shared" si="130"/>
        <v>0.71659254274081019</v>
      </c>
      <c r="AQ242" s="11">
        <f t="shared" si="131"/>
        <v>0.97937395000000005</v>
      </c>
      <c r="AR242" s="11">
        <f t="shared" si="132"/>
        <v>0.8962407041850623</v>
      </c>
      <c r="AS242" s="11">
        <f t="shared" si="133"/>
        <v>0.91511593113647982</v>
      </c>
      <c r="AT242" s="11">
        <f t="shared" si="86"/>
        <v>511.18132065254997</v>
      </c>
      <c r="AU242" s="11">
        <f t="shared" si="87"/>
        <v>1960.4802917807258</v>
      </c>
      <c r="AV242" s="11">
        <f t="shared" si="88"/>
        <v>2.2342343796662931E-3</v>
      </c>
      <c r="AW242" s="11">
        <f t="shared" si="89"/>
        <v>3.6951573538065399E-7</v>
      </c>
      <c r="AX242" s="11"/>
      <c r="AY242" s="11"/>
    </row>
    <row r="243" spans="1:51" ht="14.5">
      <c r="A243" s="4">
        <f t="shared" si="134"/>
        <v>380.73492798529855</v>
      </c>
      <c r="B243" s="4">
        <f t="shared" ref="B243:C243" si="144">A243/60</f>
        <v>6.3455821330883095</v>
      </c>
      <c r="C243" s="4">
        <f t="shared" si="144"/>
        <v>0.10575970221813849</v>
      </c>
      <c r="D243" s="4">
        <f t="shared" si="136"/>
        <v>11293.920038485388</v>
      </c>
      <c r="E243" s="4">
        <f t="shared" si="137"/>
        <v>14.213185929187471</v>
      </c>
      <c r="F243" s="4">
        <f t="shared" si="138"/>
        <v>13.236292031409784</v>
      </c>
      <c r="G243" s="4"/>
      <c r="H243" s="6">
        <v>3000</v>
      </c>
      <c r="I243" s="5">
        <v>0</v>
      </c>
      <c r="J243" s="4">
        <f t="shared" si="102"/>
        <v>0.20797490098723775</v>
      </c>
      <c r="K243" s="4">
        <f t="shared" si="103"/>
        <v>229.78632003118699</v>
      </c>
      <c r="L243" s="6">
        <v>130.3103199999999</v>
      </c>
      <c r="M243" s="4">
        <f t="shared" si="104"/>
        <v>136.14471803735779</v>
      </c>
      <c r="N243" s="4">
        <f t="shared" si="105"/>
        <v>57.425577469141665</v>
      </c>
      <c r="O243" s="4">
        <f t="shared" si="106"/>
        <v>1359293.7766793312</v>
      </c>
      <c r="P243" s="4">
        <f t="shared" si="107"/>
        <v>8727621.2004960272</v>
      </c>
      <c r="Q243" s="4">
        <f t="shared" si="108"/>
        <v>3.0577820454500224E-3</v>
      </c>
      <c r="R243" s="4">
        <f t="shared" si="109"/>
        <v>2.3590200020671685E-2</v>
      </c>
      <c r="S243" s="27">
        <v>0</v>
      </c>
      <c r="T243" s="4">
        <f t="shared" si="110"/>
        <v>0.85508935793835794</v>
      </c>
      <c r="U243" s="4">
        <f t="shared" si="111"/>
        <v>6.9768994762761272E-2</v>
      </c>
      <c r="V243" s="4">
        <f t="shared" si="112"/>
        <v>12.256007999627309</v>
      </c>
      <c r="W243" s="20">
        <f t="shared" si="113"/>
        <v>921.50070714940989</v>
      </c>
      <c r="X243" s="4">
        <f t="shared" si="114"/>
        <v>0.61116153950616525</v>
      </c>
      <c r="Y243" s="4">
        <f t="shared" si="115"/>
        <v>137.15899679234749</v>
      </c>
      <c r="Z243" s="14">
        <f t="shared" si="116"/>
        <v>921.50070714940989</v>
      </c>
      <c r="AA243" s="14">
        <f t="shared" si="117"/>
        <v>5628.3916222821908</v>
      </c>
      <c r="AB243" s="25">
        <f t="shared" si="118"/>
        <v>211748.25640199942</v>
      </c>
      <c r="AC243" s="4">
        <f t="shared" si="119"/>
        <v>1293327.3985785872</v>
      </c>
      <c r="AD243" s="5">
        <f t="shared" si="120"/>
        <v>16.372362994452779</v>
      </c>
      <c r="AE243" s="7">
        <f t="shared" si="121"/>
        <v>921.50070714940989</v>
      </c>
      <c r="AF243" s="4">
        <f t="shared" si="122"/>
        <v>0</v>
      </c>
      <c r="AG243" s="4">
        <f t="shared" si="123"/>
        <v>0</v>
      </c>
      <c r="AH243" s="4">
        <f t="shared" si="124"/>
        <v>660.34053487365031</v>
      </c>
      <c r="AI243" s="13">
        <f t="shared" si="125"/>
        <v>0</v>
      </c>
      <c r="AJ243" s="10">
        <f t="shared" si="126"/>
        <v>0</v>
      </c>
      <c r="AK243" s="11">
        <f t="shared" si="127"/>
        <v>0</v>
      </c>
      <c r="AL243" s="6">
        <v>0</v>
      </c>
      <c r="AM243" s="6">
        <v>50</v>
      </c>
      <c r="AN243" s="4">
        <f t="shared" si="128"/>
        <v>9.1713963176895863</v>
      </c>
      <c r="AO243" s="6">
        <f t="shared" si="129"/>
        <v>1.8908988616299691</v>
      </c>
      <c r="AP243" s="11">
        <f t="shared" si="130"/>
        <v>0.71659254274081019</v>
      </c>
      <c r="AQ243" s="11">
        <f t="shared" si="131"/>
        <v>0.97937395000000005</v>
      </c>
      <c r="AR243" s="11">
        <f t="shared" si="132"/>
        <v>0.8962407041850623</v>
      </c>
      <c r="AS243" s="11">
        <f t="shared" si="133"/>
        <v>0.91511593113647982</v>
      </c>
      <c r="AT243" s="11">
        <f t="shared" si="86"/>
        <v>510.82471687409992</v>
      </c>
      <c r="AU243" s="11">
        <f t="shared" si="87"/>
        <v>1953.3024753748309</v>
      </c>
      <c r="AV243" s="11">
        <f t="shared" si="88"/>
        <v>2.2276082756073185E-3</v>
      </c>
      <c r="AW243" s="11">
        <f t="shared" si="89"/>
        <v>3.6931465489331156E-7</v>
      </c>
      <c r="AX243" s="11"/>
      <c r="AY243" s="11"/>
    </row>
    <row r="244" spans="1:51" ht="14.5">
      <c r="A244" s="4">
        <f t="shared" si="134"/>
        <v>430.73492798529855</v>
      </c>
      <c r="B244" s="4">
        <f t="shared" ref="B244:C244" si="145">A244/60</f>
        <v>7.1789154664216426</v>
      </c>
      <c r="C244" s="4">
        <f t="shared" si="145"/>
        <v>0.11964859110702737</v>
      </c>
      <c r="D244" s="4">
        <f t="shared" si="136"/>
        <v>11284.748642167699</v>
      </c>
      <c r="E244" s="4">
        <f t="shared" si="137"/>
        <v>16.104084790817438</v>
      </c>
      <c r="F244" s="4">
        <f t="shared" si="138"/>
        <v>15.127190893039753</v>
      </c>
      <c r="G244" s="4"/>
      <c r="H244" s="6">
        <v>3000</v>
      </c>
      <c r="I244" s="5">
        <v>0</v>
      </c>
      <c r="J244" s="4">
        <f t="shared" si="102"/>
        <v>0.20797490098723775</v>
      </c>
      <c r="K244" s="4">
        <f t="shared" si="103"/>
        <v>229.78632003118699</v>
      </c>
      <c r="L244" s="6">
        <v>130.3103199999999</v>
      </c>
      <c r="M244" s="4">
        <f t="shared" si="104"/>
        <v>136.14471803735779</v>
      </c>
      <c r="N244" s="4">
        <f t="shared" si="105"/>
        <v>57.425577469141665</v>
      </c>
      <c r="O244" s="4">
        <f t="shared" si="106"/>
        <v>1359293.7766793312</v>
      </c>
      <c r="P244" s="4">
        <f t="shared" si="107"/>
        <v>8727621.2004960272</v>
      </c>
      <c r="Q244" s="4">
        <f t="shared" si="108"/>
        <v>3.0577820454500224E-3</v>
      </c>
      <c r="R244" s="4">
        <f t="shared" si="109"/>
        <v>2.3590200020671685E-2</v>
      </c>
      <c r="S244" s="27">
        <v>0</v>
      </c>
      <c r="T244" s="4">
        <f t="shared" si="110"/>
        <v>0.85439496986389241</v>
      </c>
      <c r="U244" s="4">
        <f t="shared" si="111"/>
        <v>6.9694024856456552E-2</v>
      </c>
      <c r="V244" s="4">
        <f t="shared" si="112"/>
        <v>12.25922841482644</v>
      </c>
      <c r="W244" s="20">
        <f t="shared" si="113"/>
        <v>920.51051341206789</v>
      </c>
      <c r="X244" s="4">
        <f t="shared" si="114"/>
        <v>0.61116153950616525</v>
      </c>
      <c r="Y244" s="4">
        <f t="shared" si="115"/>
        <v>137.10329447642363</v>
      </c>
      <c r="Z244" s="14">
        <f t="shared" si="116"/>
        <v>920.51051341206789</v>
      </c>
      <c r="AA244" s="14">
        <f t="shared" si="117"/>
        <v>5628.3916222821908</v>
      </c>
      <c r="AB244" s="25">
        <f t="shared" si="118"/>
        <v>211520.72342697767</v>
      </c>
      <c r="AC244" s="4">
        <f t="shared" si="119"/>
        <v>1293327.3985785872</v>
      </c>
      <c r="AD244" s="5">
        <f t="shared" si="120"/>
        <v>16.35477015792339</v>
      </c>
      <c r="AE244" s="7">
        <f t="shared" si="121"/>
        <v>920.51051341206789</v>
      </c>
      <c r="AF244" s="4">
        <f t="shared" si="122"/>
        <v>0</v>
      </c>
      <c r="AG244" s="4">
        <f t="shared" si="123"/>
        <v>0</v>
      </c>
      <c r="AH244" s="4">
        <f t="shared" si="124"/>
        <v>659.63096942560242</v>
      </c>
      <c r="AI244" s="13">
        <f t="shared" si="125"/>
        <v>0</v>
      </c>
      <c r="AJ244" s="10">
        <f t="shared" si="126"/>
        <v>0</v>
      </c>
      <c r="AK244" s="11">
        <f t="shared" si="127"/>
        <v>0</v>
      </c>
      <c r="AL244" s="6">
        <v>0</v>
      </c>
      <c r="AM244" s="6">
        <v>50</v>
      </c>
      <c r="AN244" s="4">
        <f t="shared" si="128"/>
        <v>9.1615412420222544</v>
      </c>
      <c r="AO244" s="6">
        <f t="shared" si="129"/>
        <v>1.8908988616299691</v>
      </c>
      <c r="AP244" s="11">
        <f t="shared" si="130"/>
        <v>0.71659254274081019</v>
      </c>
      <c r="AQ244" s="11">
        <f t="shared" si="131"/>
        <v>0.97937395000000005</v>
      </c>
      <c r="AR244" s="11">
        <f t="shared" si="132"/>
        <v>0.8962407041850623</v>
      </c>
      <c r="AS244" s="11">
        <f t="shared" si="133"/>
        <v>0.91511593113647982</v>
      </c>
      <c r="AT244" s="11">
        <f t="shared" si="86"/>
        <v>510.46811309564998</v>
      </c>
      <c r="AU244" s="11">
        <f t="shared" si="87"/>
        <v>1946.1459537484552</v>
      </c>
      <c r="AV244" s="11">
        <f t="shared" si="88"/>
        <v>2.2209972160049324E-3</v>
      </c>
      <c r="AW244" s="11">
        <f t="shared" si="89"/>
        <v>3.6911350723881767E-7</v>
      </c>
      <c r="AX244" s="11"/>
      <c r="AY244" s="11"/>
    </row>
    <row r="245" spans="1:51" ht="14.5">
      <c r="A245" s="4">
        <f t="shared" si="134"/>
        <v>480.73492798529855</v>
      </c>
      <c r="B245" s="4">
        <f t="shared" ref="B245:C245" si="146">A245/60</f>
        <v>8.0122487997549765</v>
      </c>
      <c r="C245" s="4">
        <f t="shared" si="146"/>
        <v>0.13353747999591628</v>
      </c>
      <c r="D245" s="4">
        <f t="shared" si="136"/>
        <v>11275.587100925677</v>
      </c>
      <c r="E245" s="4">
        <f t="shared" si="137"/>
        <v>17.994983652447409</v>
      </c>
      <c r="F245" s="4">
        <f t="shared" si="138"/>
        <v>17.018089754669724</v>
      </c>
      <c r="G245" s="4"/>
      <c r="H245" s="6">
        <v>3000</v>
      </c>
      <c r="I245" s="5">
        <v>0</v>
      </c>
      <c r="J245" s="4">
        <f t="shared" si="102"/>
        <v>0.20797490098723775</v>
      </c>
      <c r="K245" s="4">
        <f t="shared" si="103"/>
        <v>229.78632003118699</v>
      </c>
      <c r="L245" s="6">
        <v>130.3103199999999</v>
      </c>
      <c r="M245" s="4">
        <f t="shared" si="104"/>
        <v>136.14471803735779</v>
      </c>
      <c r="N245" s="4">
        <f t="shared" si="105"/>
        <v>57.425577469141665</v>
      </c>
      <c r="O245" s="4">
        <f t="shared" si="106"/>
        <v>1359293.7766793312</v>
      </c>
      <c r="P245" s="4">
        <f t="shared" si="107"/>
        <v>8727621.2004960272</v>
      </c>
      <c r="Q245" s="4">
        <f t="shared" si="108"/>
        <v>3.0577820454500224E-3</v>
      </c>
      <c r="R245" s="4">
        <f t="shared" si="109"/>
        <v>2.3590200020671685E-2</v>
      </c>
      <c r="S245" s="27">
        <v>0</v>
      </c>
      <c r="T245" s="4">
        <f t="shared" si="110"/>
        <v>0.85370132794047948</v>
      </c>
      <c r="U245" s="4">
        <f t="shared" si="111"/>
        <v>6.9619196315698198E-2</v>
      </c>
      <c r="V245" s="4">
        <f t="shared" si="112"/>
        <v>12.262441583916722</v>
      </c>
      <c r="W245" s="20">
        <f t="shared" si="113"/>
        <v>919.5221868142969</v>
      </c>
      <c r="X245" s="4">
        <f t="shared" si="114"/>
        <v>0.61116153950616525</v>
      </c>
      <c r="Y245" s="4">
        <f t="shared" si="115"/>
        <v>137.0476294116859</v>
      </c>
      <c r="Z245" s="14">
        <f t="shared" si="116"/>
        <v>919.5221868142969</v>
      </c>
      <c r="AA245" s="14">
        <f t="shared" si="117"/>
        <v>5628.3916222821908</v>
      </c>
      <c r="AB245" s="25">
        <f t="shared" si="118"/>
        <v>211293.61949508692</v>
      </c>
      <c r="AC245" s="4">
        <f t="shared" si="119"/>
        <v>1293327.3985785872</v>
      </c>
      <c r="AD245" s="5">
        <f t="shared" si="120"/>
        <v>16.337210494984188</v>
      </c>
      <c r="AE245" s="7">
        <f t="shared" si="121"/>
        <v>919.5221868142969</v>
      </c>
      <c r="AF245" s="4">
        <f t="shared" si="122"/>
        <v>0</v>
      </c>
      <c r="AG245" s="4">
        <f t="shared" si="123"/>
        <v>2.9103830456733704E-11</v>
      </c>
      <c r="AH245" s="4">
        <f t="shared" si="124"/>
        <v>658.9227419558473</v>
      </c>
      <c r="AI245" s="13">
        <f t="shared" si="125"/>
        <v>0</v>
      </c>
      <c r="AJ245" s="10">
        <f t="shared" si="126"/>
        <v>0</v>
      </c>
      <c r="AK245" s="11">
        <f t="shared" si="127"/>
        <v>1.5486819548940954E-13</v>
      </c>
      <c r="AL245" s="6">
        <v>0</v>
      </c>
      <c r="AM245" s="6">
        <v>50</v>
      </c>
      <c r="AN245" s="4">
        <f t="shared" si="128"/>
        <v>9.1517047493867683</v>
      </c>
      <c r="AO245" s="6">
        <f t="shared" si="129"/>
        <v>1.8908988616299691</v>
      </c>
      <c r="AP245" s="11">
        <f t="shared" si="130"/>
        <v>0.71659254274081019</v>
      </c>
      <c r="AQ245" s="11">
        <f t="shared" si="131"/>
        <v>0.97937395000000005</v>
      </c>
      <c r="AR245" s="11">
        <f t="shared" si="132"/>
        <v>0.8962407041850623</v>
      </c>
      <c r="AS245" s="11">
        <f t="shared" si="133"/>
        <v>0.91511593113647982</v>
      </c>
      <c r="AT245" s="11">
        <f t="shared" si="86"/>
        <v>510.11150931719999</v>
      </c>
      <c r="AU245" s="11">
        <f t="shared" si="87"/>
        <v>1939.0106785353037</v>
      </c>
      <c r="AV245" s="11">
        <f t="shared" si="88"/>
        <v>2.21440117717495E-3</v>
      </c>
      <c r="AW245" s="11">
        <f t="shared" si="89"/>
        <v>3.6891229236298839E-7</v>
      </c>
      <c r="AX245" s="11"/>
      <c r="AY245" s="11"/>
    </row>
    <row r="246" spans="1:51" ht="14.5">
      <c r="A246" s="4">
        <f t="shared" si="134"/>
        <v>530.73492798529855</v>
      </c>
      <c r="B246" s="4">
        <f t="shared" ref="B246:C246" si="147">A246/60</f>
        <v>8.8455821330883087</v>
      </c>
      <c r="C246" s="4">
        <f t="shared" si="147"/>
        <v>0.14742636888480515</v>
      </c>
      <c r="D246" s="4">
        <f t="shared" si="136"/>
        <v>11266.43539617629</v>
      </c>
      <c r="E246" s="4">
        <f t="shared" si="137"/>
        <v>19.88588251407738</v>
      </c>
      <c r="F246" s="4">
        <f t="shared" si="138"/>
        <v>18.908988616299695</v>
      </c>
      <c r="G246" s="4"/>
      <c r="H246" s="6">
        <v>3000</v>
      </c>
      <c r="I246" s="5">
        <v>0</v>
      </c>
      <c r="J246" s="4">
        <f t="shared" si="102"/>
        <v>0.20797490098723775</v>
      </c>
      <c r="K246" s="4">
        <f t="shared" si="103"/>
        <v>229.78632003118699</v>
      </c>
      <c r="L246" s="6">
        <v>130.3103199999999</v>
      </c>
      <c r="M246" s="4">
        <f t="shared" si="104"/>
        <v>136.14471803735779</v>
      </c>
      <c r="N246" s="4">
        <f t="shared" si="105"/>
        <v>57.425577469141665</v>
      </c>
      <c r="O246" s="4">
        <f t="shared" si="106"/>
        <v>1359293.7766793312</v>
      </c>
      <c r="P246" s="4">
        <f t="shared" si="107"/>
        <v>8727621.2004960272</v>
      </c>
      <c r="Q246" s="4">
        <f t="shared" si="108"/>
        <v>3.0577820454500224E-3</v>
      </c>
      <c r="R246" s="4">
        <f t="shared" si="109"/>
        <v>2.3590200020671685E-2</v>
      </c>
      <c r="S246" s="27">
        <v>0</v>
      </c>
      <c r="T246" s="4">
        <f t="shared" si="110"/>
        <v>0.85300843076115396</v>
      </c>
      <c r="U246" s="4">
        <f t="shared" si="111"/>
        <v>6.9544508792765719E-2</v>
      </c>
      <c r="V246" s="4">
        <f t="shared" si="112"/>
        <v>12.265647505010303</v>
      </c>
      <c r="W246" s="20">
        <f t="shared" si="113"/>
        <v>918.53572276344539</v>
      </c>
      <c r="X246" s="4">
        <f t="shared" si="114"/>
        <v>0.61116153950616525</v>
      </c>
      <c r="Y246" s="4">
        <f t="shared" si="115"/>
        <v>136.99200153056572</v>
      </c>
      <c r="Z246" s="14">
        <f t="shared" si="116"/>
        <v>918.53572276344539</v>
      </c>
      <c r="AA246" s="14">
        <f t="shared" si="117"/>
        <v>5628.3916222821908</v>
      </c>
      <c r="AB246" s="25">
        <f t="shared" si="118"/>
        <v>211066.94355099872</v>
      </c>
      <c r="AC246" s="4">
        <f t="shared" si="119"/>
        <v>1293327.3985785872</v>
      </c>
      <c r="AD246" s="5">
        <f t="shared" si="120"/>
        <v>16.319683924037236</v>
      </c>
      <c r="AE246" s="7">
        <f t="shared" si="121"/>
        <v>918.53572276344516</v>
      </c>
      <c r="AF246" s="4">
        <f t="shared" si="122"/>
        <v>0</v>
      </c>
      <c r="AG246" s="4">
        <f t="shared" si="123"/>
        <v>-5.8207660913467407E-11</v>
      </c>
      <c r="AH246" s="4">
        <f t="shared" si="124"/>
        <v>658.21584917332507</v>
      </c>
      <c r="AI246" s="13">
        <f t="shared" si="125"/>
        <v>-4.637434850937678E-15</v>
      </c>
      <c r="AJ246" s="10">
        <f t="shared" si="126"/>
        <v>-1.1563153310847528E-15</v>
      </c>
      <c r="AK246" s="11">
        <f t="shared" si="127"/>
        <v>-3.0998798927949726E-13</v>
      </c>
      <c r="AL246" s="6">
        <v>0</v>
      </c>
      <c r="AM246" s="6">
        <v>50</v>
      </c>
      <c r="AN246" s="4">
        <f t="shared" si="128"/>
        <v>9.1418867940739581</v>
      </c>
      <c r="AO246" s="6">
        <f t="shared" si="129"/>
        <v>1.8908988616299691</v>
      </c>
      <c r="AP246" s="11">
        <f t="shared" si="130"/>
        <v>0.71659254274081019</v>
      </c>
      <c r="AQ246" s="11">
        <f t="shared" si="131"/>
        <v>0.97937395000000005</v>
      </c>
      <c r="AR246" s="11">
        <f t="shared" si="132"/>
        <v>0.8962407041850623</v>
      </c>
      <c r="AS246" s="11">
        <f t="shared" si="133"/>
        <v>0.91511593113647982</v>
      </c>
      <c r="AT246" s="11">
        <f t="shared" si="86"/>
        <v>509.75490553874994</v>
      </c>
      <c r="AU246" s="11">
        <f t="shared" si="87"/>
        <v>1931.8966014452508</v>
      </c>
      <c r="AV246" s="11">
        <f t="shared" si="88"/>
        <v>2.2078201354539611E-3</v>
      </c>
      <c r="AW246" s="11">
        <f t="shared" si="89"/>
        <v>3.6871101021157902E-7</v>
      </c>
      <c r="AX246" s="11"/>
      <c r="AY246" s="11"/>
    </row>
    <row r="247" spans="1:51" ht="14.5">
      <c r="A247" s="4">
        <f t="shared" si="134"/>
        <v>580.73492798529855</v>
      </c>
      <c r="B247" s="4">
        <f t="shared" ref="B247:C247" si="148">A247/60</f>
        <v>9.6789154664216426</v>
      </c>
      <c r="C247" s="4">
        <f t="shared" si="148"/>
        <v>0.16131525777369404</v>
      </c>
      <c r="D247" s="4">
        <f t="shared" si="136"/>
        <v>11257.293509382216</v>
      </c>
      <c r="E247" s="4">
        <f t="shared" si="137"/>
        <v>21.776781375707351</v>
      </c>
      <c r="F247" s="4">
        <f t="shared" si="138"/>
        <v>20.799887477929666</v>
      </c>
      <c r="G247" s="4"/>
      <c r="H247" s="6">
        <v>3000</v>
      </c>
      <c r="I247" s="5">
        <v>0</v>
      </c>
      <c r="J247" s="4">
        <f t="shared" si="102"/>
        <v>0.20797490098723775</v>
      </c>
      <c r="K247" s="4">
        <f t="shared" si="103"/>
        <v>229.78632003118699</v>
      </c>
      <c r="L247" s="6">
        <v>130.3103199999999</v>
      </c>
      <c r="M247" s="4">
        <f t="shared" si="104"/>
        <v>136.14471803735779</v>
      </c>
      <c r="N247" s="4">
        <f t="shared" si="105"/>
        <v>57.425577469141665</v>
      </c>
      <c r="O247" s="4">
        <f t="shared" si="106"/>
        <v>1359293.7766793312</v>
      </c>
      <c r="P247" s="4">
        <f t="shared" si="107"/>
        <v>8727621.2004960272</v>
      </c>
      <c r="Q247" s="4">
        <f t="shared" si="108"/>
        <v>3.0577820454500224E-3</v>
      </c>
      <c r="R247" s="4">
        <f t="shared" si="109"/>
        <v>2.3590200020671685E-2</v>
      </c>
      <c r="S247" s="27">
        <v>0</v>
      </c>
      <c r="T247" s="4">
        <f t="shared" si="110"/>
        <v>0.85231627692241141</v>
      </c>
      <c r="U247" s="4">
        <f t="shared" si="111"/>
        <v>6.9469961941014263E-2</v>
      </c>
      <c r="V247" s="4">
        <f t="shared" si="112"/>
        <v>12.268846176223594</v>
      </c>
      <c r="W247" s="20">
        <f t="shared" si="113"/>
        <v>917.55111668106861</v>
      </c>
      <c r="X247" s="4">
        <f t="shared" si="114"/>
        <v>0.61116153950616525</v>
      </c>
      <c r="Y247" s="4">
        <f t="shared" si="115"/>
        <v>136.93641076563227</v>
      </c>
      <c r="Z247" s="14">
        <f t="shared" si="116"/>
        <v>917.55111668106861</v>
      </c>
      <c r="AA247" s="14">
        <f t="shared" si="117"/>
        <v>5628.3916222821908</v>
      </c>
      <c r="AB247" s="25">
        <f t="shared" si="118"/>
        <v>210840.69454264903</v>
      </c>
      <c r="AC247" s="4">
        <f t="shared" si="119"/>
        <v>1293327.3985785872</v>
      </c>
      <c r="AD247" s="5">
        <f t="shared" si="120"/>
        <v>16.302190363737012</v>
      </c>
      <c r="AE247" s="7">
        <f t="shared" si="121"/>
        <v>917.55111668106861</v>
      </c>
      <c r="AF247" s="4">
        <f t="shared" si="122"/>
        <v>0</v>
      </c>
      <c r="AG247" s="4">
        <f t="shared" si="123"/>
        <v>0</v>
      </c>
      <c r="AH247" s="4">
        <f t="shared" si="124"/>
        <v>657.51028779715682</v>
      </c>
      <c r="AI247" s="13">
        <f t="shared" si="125"/>
        <v>0</v>
      </c>
      <c r="AJ247" s="10">
        <f t="shared" si="126"/>
        <v>0</v>
      </c>
      <c r="AK247" s="11">
        <f t="shared" si="127"/>
        <v>0</v>
      </c>
      <c r="AL247" s="6">
        <v>0</v>
      </c>
      <c r="AM247" s="6">
        <v>50</v>
      </c>
      <c r="AN247" s="4">
        <f t="shared" si="128"/>
        <v>9.1320873305160664</v>
      </c>
      <c r="AO247" s="6">
        <f t="shared" si="129"/>
        <v>1.8908988616299691</v>
      </c>
      <c r="AP247" s="11">
        <f t="shared" si="130"/>
        <v>0.71659254274081019</v>
      </c>
      <c r="AQ247" s="11">
        <f t="shared" si="131"/>
        <v>0.97937395000000005</v>
      </c>
      <c r="AR247" s="11">
        <f t="shared" si="132"/>
        <v>0.8962407041850623</v>
      </c>
      <c r="AS247" s="11">
        <f t="shared" si="133"/>
        <v>0.91511593113647982</v>
      </c>
      <c r="AT247" s="11">
        <f t="shared" si="86"/>
        <v>509.39830176029994</v>
      </c>
      <c r="AU247" s="11">
        <f t="shared" si="87"/>
        <v>1924.8036742642762</v>
      </c>
      <c r="AV247" s="11">
        <f t="shared" si="88"/>
        <v>2.2012540671993291E-3</v>
      </c>
      <c r="AW247" s="11">
        <f t="shared" si="89"/>
        <v>3.6850966073028681E-7</v>
      </c>
      <c r="AX247" s="11"/>
      <c r="AY247" s="11"/>
    </row>
    <row r="248" spans="1:51" ht="14.5">
      <c r="A248" s="4">
        <f t="shared" si="134"/>
        <v>630.73492798529855</v>
      </c>
      <c r="B248" s="4">
        <f t="shared" ref="B248:C248" si="149">A248/60</f>
        <v>10.512248799754977</v>
      </c>
      <c r="C248" s="4">
        <f t="shared" si="149"/>
        <v>0.17520414666258294</v>
      </c>
      <c r="D248" s="4">
        <f t="shared" si="136"/>
        <v>11248.1614220517</v>
      </c>
      <c r="E248" s="4">
        <f t="shared" si="137"/>
        <v>23.667680237337322</v>
      </c>
      <c r="F248" s="4">
        <f t="shared" si="138"/>
        <v>22.690786339559637</v>
      </c>
      <c r="G248" s="4"/>
      <c r="H248" s="6">
        <v>3000</v>
      </c>
      <c r="I248" s="5">
        <v>0</v>
      </c>
      <c r="J248" s="4">
        <f t="shared" si="102"/>
        <v>0.20797490098723775</v>
      </c>
      <c r="K248" s="4">
        <f t="shared" si="103"/>
        <v>229.78632003118699</v>
      </c>
      <c r="L248" s="6">
        <v>130.3103199999999</v>
      </c>
      <c r="M248" s="4">
        <f t="shared" si="104"/>
        <v>136.14471803735779</v>
      </c>
      <c r="N248" s="4">
        <f t="shared" si="105"/>
        <v>57.425577469141665</v>
      </c>
      <c r="O248" s="4">
        <f t="shared" si="106"/>
        <v>1359293.7766793312</v>
      </c>
      <c r="P248" s="4">
        <f t="shared" si="107"/>
        <v>8727621.2004960272</v>
      </c>
      <c r="Q248" s="4">
        <f t="shared" si="108"/>
        <v>3.0577820454500224E-3</v>
      </c>
      <c r="R248" s="4">
        <f t="shared" si="109"/>
        <v>2.3590200020671685E-2</v>
      </c>
      <c r="S248" s="27">
        <v>0</v>
      </c>
      <c r="T248" s="4">
        <f t="shared" si="110"/>
        <v>0.85162486502419721</v>
      </c>
      <c r="U248" s="4">
        <f t="shared" si="111"/>
        <v>6.9395555414870483E-2</v>
      </c>
      <c r="V248" s="4">
        <f t="shared" si="112"/>
        <v>12.272037595677288</v>
      </c>
      <c r="W248" s="20">
        <f t="shared" si="113"/>
        <v>916.56836400287443</v>
      </c>
      <c r="X248" s="4">
        <f t="shared" si="114"/>
        <v>0.61116153950616525</v>
      </c>
      <c r="Y248" s="4">
        <f t="shared" si="115"/>
        <v>136.88085704959232</v>
      </c>
      <c r="Z248" s="14">
        <f t="shared" si="116"/>
        <v>916.56836400287443</v>
      </c>
      <c r="AA248" s="14">
        <f t="shared" si="117"/>
        <v>5628.3916222821908</v>
      </c>
      <c r="AB248" s="25">
        <f t="shared" si="118"/>
        <v>210614.87142122598</v>
      </c>
      <c r="AC248" s="4">
        <f t="shared" si="119"/>
        <v>1293327.3985785872</v>
      </c>
      <c r="AD248" s="5">
        <f t="shared" si="120"/>
        <v>16.284729732989437</v>
      </c>
      <c r="AE248" s="7">
        <f t="shared" si="121"/>
        <v>916.56836400287443</v>
      </c>
      <c r="AF248" s="4">
        <f t="shared" si="122"/>
        <v>0</v>
      </c>
      <c r="AG248" s="4">
        <f t="shared" si="123"/>
        <v>0</v>
      </c>
      <c r="AH248" s="4">
        <f t="shared" si="124"/>
        <v>656.80605455660429</v>
      </c>
      <c r="AI248" s="13">
        <f t="shared" si="125"/>
        <v>0</v>
      </c>
      <c r="AJ248" s="10">
        <f t="shared" si="126"/>
        <v>0</v>
      </c>
      <c r="AK248" s="11">
        <f t="shared" si="127"/>
        <v>0</v>
      </c>
      <c r="AL248" s="6">
        <v>0</v>
      </c>
      <c r="AM248" s="6">
        <v>50</v>
      </c>
      <c r="AN248" s="4">
        <f t="shared" si="128"/>
        <v>9.1223063132861704</v>
      </c>
      <c r="AO248" s="6">
        <f t="shared" si="129"/>
        <v>1.8908988616299691</v>
      </c>
      <c r="AP248" s="11">
        <f t="shared" si="130"/>
        <v>0.71659254274081019</v>
      </c>
      <c r="AQ248" s="11">
        <f t="shared" si="131"/>
        <v>0.97937395000000005</v>
      </c>
      <c r="AR248" s="11">
        <f t="shared" si="132"/>
        <v>0.8962407041850623</v>
      </c>
      <c r="AS248" s="11">
        <f t="shared" si="133"/>
        <v>0.91511593113647982</v>
      </c>
      <c r="AT248" s="11">
        <f t="shared" si="86"/>
        <v>509.04169798185001</v>
      </c>
      <c r="AU248" s="11">
        <f t="shared" si="87"/>
        <v>1917.7318488543908</v>
      </c>
      <c r="AV248" s="11">
        <f t="shared" si="88"/>
        <v>2.1947029487891794E-3</v>
      </c>
      <c r="AW248" s="11">
        <f t="shared" si="89"/>
        <v>3.6830824386474719E-7</v>
      </c>
      <c r="AX248" s="11"/>
      <c r="AY248" s="11"/>
    </row>
    <row r="249" spans="1:51" ht="14.5">
      <c r="A249" s="4">
        <f t="shared" si="134"/>
        <v>680.73492798529855</v>
      </c>
      <c r="B249" s="4">
        <f t="shared" ref="B249:C249" si="150">A249/60</f>
        <v>11.345582133088309</v>
      </c>
      <c r="C249" s="4">
        <f t="shared" si="150"/>
        <v>0.18909303555147181</v>
      </c>
      <c r="D249" s="4">
        <f t="shared" si="136"/>
        <v>11239.039115738415</v>
      </c>
      <c r="E249" s="4">
        <f t="shared" si="137"/>
        <v>25.558579098967293</v>
      </c>
      <c r="F249" s="4">
        <f t="shared" si="138"/>
        <v>24.581685201189607</v>
      </c>
      <c r="G249" s="4"/>
      <c r="H249" s="6">
        <v>3000</v>
      </c>
      <c r="I249" s="5">
        <v>0</v>
      </c>
      <c r="J249" s="4">
        <f t="shared" si="102"/>
        <v>0.20797490098723775</v>
      </c>
      <c r="K249" s="4">
        <f t="shared" si="103"/>
        <v>229.78632003118699</v>
      </c>
      <c r="L249" s="6">
        <v>130.3103199999999</v>
      </c>
      <c r="M249" s="4">
        <f t="shared" si="104"/>
        <v>136.14471803735779</v>
      </c>
      <c r="N249" s="4">
        <f t="shared" si="105"/>
        <v>57.425577469141665</v>
      </c>
      <c r="O249" s="4">
        <f t="shared" si="106"/>
        <v>1359293.7766793312</v>
      </c>
      <c r="P249" s="4">
        <f t="shared" si="107"/>
        <v>8727621.2004960272</v>
      </c>
      <c r="Q249" s="4">
        <f t="shared" si="108"/>
        <v>3.0577820454500224E-3</v>
      </c>
      <c r="R249" s="4">
        <f t="shared" si="109"/>
        <v>2.3590200020671685E-2</v>
      </c>
      <c r="S249" s="27">
        <v>0</v>
      </c>
      <c r="T249" s="4">
        <f t="shared" si="110"/>
        <v>0.85093419366989653</v>
      </c>
      <c r="U249" s="4">
        <f t="shared" si="111"/>
        <v>6.9321288869828773E-2</v>
      </c>
      <c r="V249" s="4">
        <f t="shared" si="112"/>
        <v>12.275221761496345</v>
      </c>
      <c r="W249" s="20">
        <f t="shared" si="113"/>
        <v>915.58746017867293</v>
      </c>
      <c r="X249" s="4">
        <f t="shared" si="114"/>
        <v>0.61116153950616525</v>
      </c>
      <c r="Y249" s="4">
        <f t="shared" si="115"/>
        <v>136.82534031528976</v>
      </c>
      <c r="Z249" s="14">
        <f t="shared" si="116"/>
        <v>915.58746017867293</v>
      </c>
      <c r="AA249" s="14">
        <f t="shared" si="117"/>
        <v>5628.3916222821908</v>
      </c>
      <c r="AB249" s="25">
        <f t="shared" si="118"/>
        <v>210389.4731411582</v>
      </c>
      <c r="AC249" s="4">
        <f t="shared" si="119"/>
        <v>1293327.3985785872</v>
      </c>
      <c r="AD249" s="5">
        <f t="shared" si="120"/>
        <v>16.267301950950991</v>
      </c>
      <c r="AE249" s="7">
        <f t="shared" si="121"/>
        <v>915.58746017867293</v>
      </c>
      <c r="AF249" s="4">
        <f t="shared" si="122"/>
        <v>0</v>
      </c>
      <c r="AG249" s="4">
        <f t="shared" si="123"/>
        <v>0</v>
      </c>
      <c r="AH249" s="4">
        <f t="shared" si="124"/>
        <v>656.10314619103553</v>
      </c>
      <c r="AI249" s="13">
        <f t="shared" si="125"/>
        <v>0</v>
      </c>
      <c r="AJ249" s="10">
        <f t="shared" si="126"/>
        <v>0</v>
      </c>
      <c r="AK249" s="11">
        <f t="shared" si="127"/>
        <v>0</v>
      </c>
      <c r="AL249" s="6">
        <v>0</v>
      </c>
      <c r="AM249" s="6">
        <v>50</v>
      </c>
      <c r="AN249" s="4">
        <f t="shared" si="128"/>
        <v>9.1125436970977152</v>
      </c>
      <c r="AO249" s="6">
        <f t="shared" si="129"/>
        <v>1.8908988616299691</v>
      </c>
      <c r="AP249" s="11">
        <f t="shared" si="130"/>
        <v>0.71659254274081019</v>
      </c>
      <c r="AQ249" s="11">
        <f t="shared" si="131"/>
        <v>0.97937395000000005</v>
      </c>
      <c r="AR249" s="11">
        <f t="shared" si="132"/>
        <v>0.8962407041850623</v>
      </c>
      <c r="AS249" s="11">
        <f t="shared" si="133"/>
        <v>0.91511593113647982</v>
      </c>
      <c r="AT249" s="11">
        <f t="shared" si="86"/>
        <v>508.68509420339996</v>
      </c>
      <c r="AU249" s="11">
        <f t="shared" si="87"/>
        <v>1910.6810771535738</v>
      </c>
      <c r="AV249" s="11">
        <f t="shared" si="88"/>
        <v>2.1881667566223989E-3</v>
      </c>
      <c r="AW249" s="11">
        <f t="shared" si="89"/>
        <v>3.6810675956053822E-7</v>
      </c>
      <c r="AX249" s="11"/>
      <c r="AY249" s="11"/>
    </row>
    <row r="250" spans="1:51" ht="14.5">
      <c r="A250" s="4">
        <f t="shared" si="134"/>
        <v>730.73492798529855</v>
      </c>
      <c r="B250" s="4">
        <f t="shared" ref="B250:C250" si="151">A250/60</f>
        <v>12.178915466421643</v>
      </c>
      <c r="C250" s="4">
        <f t="shared" si="151"/>
        <v>0.2029819244403607</v>
      </c>
      <c r="D250" s="4">
        <f t="shared" si="136"/>
        <v>11229.926572041317</v>
      </c>
      <c r="E250" s="4">
        <f t="shared" si="137"/>
        <v>27.449477960597264</v>
      </c>
      <c r="F250" s="4">
        <f t="shared" si="138"/>
        <v>26.472584062819578</v>
      </c>
      <c r="G250" s="4"/>
      <c r="H250" s="6">
        <v>3000</v>
      </c>
      <c r="I250" s="5">
        <v>0</v>
      </c>
      <c r="J250" s="4">
        <f t="shared" si="102"/>
        <v>0.20797490098723775</v>
      </c>
      <c r="K250" s="4">
        <f t="shared" si="103"/>
        <v>229.78632003118699</v>
      </c>
      <c r="L250" s="6">
        <v>130.3103199999999</v>
      </c>
      <c r="M250" s="4">
        <f t="shared" si="104"/>
        <v>136.14471803735779</v>
      </c>
      <c r="N250" s="4">
        <f t="shared" si="105"/>
        <v>57.425577469141665</v>
      </c>
      <c r="O250" s="4">
        <f t="shared" si="106"/>
        <v>1359293.7766793312</v>
      </c>
      <c r="P250" s="4">
        <f t="shared" si="107"/>
        <v>8727621.2004960272</v>
      </c>
      <c r="Q250" s="4">
        <f t="shared" si="108"/>
        <v>3.0577820454500224E-3</v>
      </c>
      <c r="R250" s="4">
        <f t="shared" si="109"/>
        <v>2.3590200020671685E-2</v>
      </c>
      <c r="S250" s="27">
        <v>0</v>
      </c>
      <c r="T250" s="4">
        <f t="shared" si="110"/>
        <v>0.85024426146632293</v>
      </c>
      <c r="U250" s="4">
        <f t="shared" si="111"/>
        <v>6.9247161962447124E-2</v>
      </c>
      <c r="V250" s="4">
        <f t="shared" si="112"/>
        <v>12.278398671810002</v>
      </c>
      <c r="W250" s="20">
        <f t="shared" si="113"/>
        <v>914.60840067232266</v>
      </c>
      <c r="X250" s="4">
        <f t="shared" si="114"/>
        <v>0.61116153950616525</v>
      </c>
      <c r="Y250" s="4">
        <f t="shared" si="115"/>
        <v>136.7698604957051</v>
      </c>
      <c r="Z250" s="14">
        <f t="shared" si="116"/>
        <v>914.60840067232266</v>
      </c>
      <c r="AA250" s="14">
        <f t="shared" si="117"/>
        <v>5628.3916222821908</v>
      </c>
      <c r="AB250" s="25">
        <f t="shared" si="118"/>
        <v>210164.49866010243</v>
      </c>
      <c r="AC250" s="4">
        <f t="shared" si="119"/>
        <v>1293327.3985785872</v>
      </c>
      <c r="AD250" s="5">
        <f t="shared" si="120"/>
        <v>16.249906937027752</v>
      </c>
      <c r="AE250" s="7">
        <f t="shared" si="121"/>
        <v>914.60840067232255</v>
      </c>
      <c r="AF250" s="4">
        <f t="shared" si="122"/>
        <v>0</v>
      </c>
      <c r="AG250" s="4">
        <f t="shared" si="123"/>
        <v>0</v>
      </c>
      <c r="AH250" s="4">
        <f t="shared" si="124"/>
        <v>655.40155944988533</v>
      </c>
      <c r="AI250" s="13">
        <f t="shared" si="125"/>
        <v>-2.3262556445446336E-15</v>
      </c>
      <c r="AJ250" s="10">
        <f t="shared" si="126"/>
        <v>-5.8003727324935145E-16</v>
      </c>
      <c r="AK250" s="11">
        <f t="shared" si="127"/>
        <v>0</v>
      </c>
      <c r="AL250" s="6">
        <v>0</v>
      </c>
      <c r="AM250" s="6">
        <v>50</v>
      </c>
      <c r="AN250" s="4">
        <f t="shared" si="128"/>
        <v>9.1027994368039629</v>
      </c>
      <c r="AO250" s="6">
        <f t="shared" si="129"/>
        <v>1.8908988616299691</v>
      </c>
      <c r="AP250" s="11">
        <f t="shared" si="130"/>
        <v>0.71659254274081019</v>
      </c>
      <c r="AQ250" s="11">
        <f t="shared" si="131"/>
        <v>0.97937395000000005</v>
      </c>
      <c r="AR250" s="11">
        <f t="shared" si="132"/>
        <v>0.8962407041850623</v>
      </c>
      <c r="AS250" s="11">
        <f t="shared" si="133"/>
        <v>0.91511593113647982</v>
      </c>
      <c r="AT250" s="11">
        <f t="shared" si="86"/>
        <v>508.32849042494996</v>
      </c>
      <c r="AU250" s="11">
        <f t="shared" si="87"/>
        <v>1903.6513111757092</v>
      </c>
      <c r="AV250" s="11">
        <f t="shared" si="88"/>
        <v>2.1816454671186383E-3</v>
      </c>
      <c r="AW250" s="11">
        <f t="shared" si="89"/>
        <v>3.6790520776317589E-7</v>
      </c>
      <c r="AX250" s="11"/>
      <c r="AY250" s="11"/>
    </row>
    <row r="251" spans="1:51" ht="14.5">
      <c r="A251" s="4">
        <f t="shared" si="134"/>
        <v>780.73492798529855</v>
      </c>
      <c r="B251" s="4">
        <f t="shared" ref="B251:C251" si="152">A251/60</f>
        <v>13.012248799754977</v>
      </c>
      <c r="C251" s="4">
        <f t="shared" si="152"/>
        <v>0.2168708133292496</v>
      </c>
      <c r="D251" s="4">
        <f t="shared" si="136"/>
        <v>11220.823772604514</v>
      </c>
      <c r="E251" s="4">
        <f t="shared" si="137"/>
        <v>29.340376822227235</v>
      </c>
      <c r="F251" s="4">
        <f t="shared" si="138"/>
        <v>28.363482924449549</v>
      </c>
      <c r="G251" s="4"/>
      <c r="H251" s="6">
        <v>3000</v>
      </c>
      <c r="I251" s="5">
        <v>0</v>
      </c>
      <c r="J251" s="4">
        <f t="shared" si="102"/>
        <v>0.20797490098723775</v>
      </c>
      <c r="K251" s="4">
        <f t="shared" si="103"/>
        <v>229.78632003118699</v>
      </c>
      <c r="L251" s="6">
        <v>130.3103199999999</v>
      </c>
      <c r="M251" s="4">
        <f t="shared" si="104"/>
        <v>136.14471803735779</v>
      </c>
      <c r="N251" s="4">
        <f t="shared" si="105"/>
        <v>57.425577469141665</v>
      </c>
      <c r="O251" s="4">
        <f t="shared" si="106"/>
        <v>1359293.7766793312</v>
      </c>
      <c r="P251" s="4">
        <f t="shared" si="107"/>
        <v>8727621.2004960272</v>
      </c>
      <c r="Q251" s="4">
        <f t="shared" si="108"/>
        <v>3.0577820454500224E-3</v>
      </c>
      <c r="R251" s="4">
        <f t="shared" si="109"/>
        <v>2.3590200020671685E-2</v>
      </c>
      <c r="S251" s="27">
        <v>0</v>
      </c>
      <c r="T251" s="4">
        <f t="shared" si="110"/>
        <v>0.84955506702370831</v>
      </c>
      <c r="U251" s="4">
        <f t="shared" si="111"/>
        <v>6.9173174350343328E-2</v>
      </c>
      <c r="V251" s="4">
        <f t="shared" si="112"/>
        <v>12.281568324751772</v>
      </c>
      <c r="W251" s="20">
        <f t="shared" si="113"/>
        <v>913.63118096167932</v>
      </c>
      <c r="X251" s="4">
        <f t="shared" si="114"/>
        <v>0.61116153950616525</v>
      </c>
      <c r="Y251" s="4">
        <f t="shared" si="115"/>
        <v>136.71441752395518</v>
      </c>
      <c r="Z251" s="14">
        <f t="shared" si="116"/>
        <v>913.63118096167932</v>
      </c>
      <c r="AA251" s="14">
        <f t="shared" si="117"/>
        <v>5628.3916222821908</v>
      </c>
      <c r="AB251" s="25">
        <f t="shared" si="118"/>
        <v>209939.94693893177</v>
      </c>
      <c r="AC251" s="4">
        <f t="shared" si="119"/>
        <v>1293327.3985785872</v>
      </c>
      <c r="AD251" s="5">
        <f t="shared" si="120"/>
        <v>16.232544610874495</v>
      </c>
      <c r="AE251" s="7">
        <f t="shared" si="121"/>
        <v>913.63118096167932</v>
      </c>
      <c r="AF251" s="4">
        <f t="shared" si="122"/>
        <v>0</v>
      </c>
      <c r="AG251" s="4">
        <f t="shared" si="123"/>
        <v>-2.9103830456733704E-11</v>
      </c>
      <c r="AH251" s="4">
        <f t="shared" si="124"/>
        <v>654.70129109261904</v>
      </c>
      <c r="AI251" s="13">
        <f t="shared" si="125"/>
        <v>0</v>
      </c>
      <c r="AJ251" s="10">
        <f t="shared" si="126"/>
        <v>0</v>
      </c>
      <c r="AK251" s="11">
        <f t="shared" si="127"/>
        <v>-1.5562403106868304E-13</v>
      </c>
      <c r="AL251" s="6">
        <v>0</v>
      </c>
      <c r="AM251" s="6">
        <v>50</v>
      </c>
      <c r="AN251" s="4">
        <f t="shared" si="128"/>
        <v>9.0930734873974863</v>
      </c>
      <c r="AO251" s="6">
        <f t="shared" si="129"/>
        <v>1.8908988616299691</v>
      </c>
      <c r="AP251" s="11">
        <f t="shared" si="130"/>
        <v>0.71659254274081019</v>
      </c>
      <c r="AQ251" s="11">
        <f t="shared" si="131"/>
        <v>0.97937395000000005</v>
      </c>
      <c r="AR251" s="11">
        <f t="shared" si="132"/>
        <v>0.8962407041850623</v>
      </c>
      <c r="AS251" s="11">
        <f t="shared" si="133"/>
        <v>0.91511593113647982</v>
      </c>
      <c r="AT251" s="11">
        <f t="shared" si="86"/>
        <v>507.97188664649997</v>
      </c>
      <c r="AU251" s="11">
        <f t="shared" si="87"/>
        <v>1896.6425030105124</v>
      </c>
      <c r="AV251" s="11">
        <f t="shared" si="88"/>
        <v>2.1751390567182989E-3</v>
      </c>
      <c r="AW251" s="11">
        <f t="shared" si="89"/>
        <v>3.6770358841811742E-7</v>
      </c>
      <c r="AX251" s="11"/>
      <c r="AY251" s="11"/>
    </row>
    <row r="252" spans="1:51" ht="14.5">
      <c r="A252" s="4">
        <f t="shared" si="134"/>
        <v>830.73492798529855</v>
      </c>
      <c r="B252" s="4">
        <f t="shared" ref="B252:C252" si="153">A252/60</f>
        <v>13.845582133088309</v>
      </c>
      <c r="C252" s="4">
        <f t="shared" si="153"/>
        <v>0.23075970221813849</v>
      </c>
      <c r="D252" s="4">
        <f t="shared" si="136"/>
        <v>11211.730699117115</v>
      </c>
      <c r="E252" s="4">
        <f t="shared" si="137"/>
        <v>31.231275683857206</v>
      </c>
      <c r="F252" s="4">
        <f t="shared" si="138"/>
        <v>30.25438178607952</v>
      </c>
      <c r="G252" s="4"/>
      <c r="H252" s="6">
        <v>3000</v>
      </c>
      <c r="I252" s="5">
        <v>0</v>
      </c>
      <c r="J252" s="4">
        <f t="shared" si="102"/>
        <v>0.20797490098723775</v>
      </c>
      <c r="K252" s="4">
        <f t="shared" si="103"/>
        <v>229.78632003118699</v>
      </c>
      <c r="L252" s="6">
        <v>130.3103199999999</v>
      </c>
      <c r="M252" s="4">
        <f t="shared" si="104"/>
        <v>136.14471803735779</v>
      </c>
      <c r="N252" s="4">
        <f t="shared" si="105"/>
        <v>57.425577469141665</v>
      </c>
      <c r="O252" s="4">
        <f t="shared" si="106"/>
        <v>1359293.7766793312</v>
      </c>
      <c r="P252" s="4">
        <f t="shared" si="107"/>
        <v>8727621.2004960272</v>
      </c>
      <c r="Q252" s="4">
        <f t="shared" si="108"/>
        <v>3.0577820454500224E-3</v>
      </c>
      <c r="R252" s="4">
        <f t="shared" si="109"/>
        <v>2.3590200020671685E-2</v>
      </c>
      <c r="S252" s="27">
        <v>0</v>
      </c>
      <c r="T252" s="4">
        <f t="shared" si="110"/>
        <v>0.8488666089556921</v>
      </c>
      <c r="U252" s="4">
        <f t="shared" si="111"/>
        <v>6.9099325692190974E-2</v>
      </c>
      <c r="V252" s="4">
        <f t="shared" si="112"/>
        <v>12.284730718459441</v>
      </c>
      <c r="W252" s="20">
        <f t="shared" si="113"/>
        <v>912.65579653854365</v>
      </c>
      <c r="X252" s="4">
        <f t="shared" si="114"/>
        <v>0.61116153950616525</v>
      </c>
      <c r="Y252" s="4">
        <f t="shared" si="115"/>
        <v>136.65901133329271</v>
      </c>
      <c r="Z252" s="14">
        <f t="shared" si="116"/>
        <v>912.65579653854365</v>
      </c>
      <c r="AA252" s="14">
        <f t="shared" si="117"/>
        <v>5628.3916222821908</v>
      </c>
      <c r="AB252" s="25">
        <f t="shared" si="118"/>
        <v>209715.81694172366</v>
      </c>
      <c r="AC252" s="4">
        <f t="shared" si="119"/>
        <v>1293327.3985785872</v>
      </c>
      <c r="AD252" s="5">
        <f t="shared" si="120"/>
        <v>16.215214892393746</v>
      </c>
      <c r="AE252" s="7">
        <f t="shared" si="121"/>
        <v>912.65579653854365</v>
      </c>
      <c r="AF252" s="4">
        <f t="shared" si="122"/>
        <v>0</v>
      </c>
      <c r="AG252" s="4">
        <f t="shared" si="123"/>
        <v>2.9103830456733704E-11</v>
      </c>
      <c r="AH252" s="4">
        <f t="shared" si="124"/>
        <v>654.00233788869446</v>
      </c>
      <c r="AI252" s="13">
        <f t="shared" si="125"/>
        <v>0</v>
      </c>
      <c r="AJ252" s="10">
        <f t="shared" si="126"/>
        <v>0</v>
      </c>
      <c r="AK252" s="11">
        <f t="shared" si="127"/>
        <v>1.5575024715332591E-13</v>
      </c>
      <c r="AL252" s="6">
        <v>0</v>
      </c>
      <c r="AM252" s="6">
        <v>50</v>
      </c>
      <c r="AN252" s="4">
        <f t="shared" si="128"/>
        <v>9.0833658040096452</v>
      </c>
      <c r="AO252" s="6">
        <f t="shared" si="129"/>
        <v>1.8908988616299691</v>
      </c>
      <c r="AP252" s="11">
        <f t="shared" si="130"/>
        <v>0.71659254274081019</v>
      </c>
      <c r="AQ252" s="11">
        <f t="shared" si="131"/>
        <v>0.97937395000000005</v>
      </c>
      <c r="AR252" s="11">
        <f t="shared" si="132"/>
        <v>0.8962407041850623</v>
      </c>
      <c r="AS252" s="11">
        <f t="shared" si="133"/>
        <v>0.91511593113647982</v>
      </c>
    </row>
    <row r="253" spans="1:51" ht="14.5">
      <c r="A253" s="4">
        <f t="shared" si="134"/>
        <v>880.73492798529855</v>
      </c>
      <c r="B253" s="4">
        <f t="shared" ref="B253:C253" si="154">A253/60</f>
        <v>14.678915466421643</v>
      </c>
      <c r="C253" s="4">
        <f t="shared" si="154"/>
        <v>0.24464859110702739</v>
      </c>
      <c r="D253" s="4">
        <f t="shared" si="136"/>
        <v>11202.647333313105</v>
      </c>
      <c r="E253" s="4">
        <f t="shared" si="137"/>
        <v>33.122174545487177</v>
      </c>
      <c r="F253" s="4">
        <f t="shared" si="138"/>
        <v>32.145280647709491</v>
      </c>
      <c r="G253" s="4"/>
      <c r="H253" s="6">
        <v>3000</v>
      </c>
      <c r="I253" s="5">
        <v>0</v>
      </c>
      <c r="J253" s="4">
        <f t="shared" si="102"/>
        <v>0.20797490098723775</v>
      </c>
      <c r="K253" s="4">
        <f t="shared" si="103"/>
        <v>229.78632003118699</v>
      </c>
      <c r="L253" s="6">
        <v>130.3103199999999</v>
      </c>
      <c r="M253" s="4">
        <f t="shared" si="104"/>
        <v>136.14471803735779</v>
      </c>
      <c r="N253" s="4">
        <f t="shared" si="105"/>
        <v>57.425577469141665</v>
      </c>
      <c r="O253" s="4">
        <f t="shared" si="106"/>
        <v>1359293.7766793312</v>
      </c>
      <c r="P253" s="4">
        <f t="shared" si="107"/>
        <v>8727621.2004960272</v>
      </c>
      <c r="Q253" s="4">
        <f t="shared" si="108"/>
        <v>3.0577820454500224E-3</v>
      </c>
      <c r="R253" s="4">
        <f t="shared" si="109"/>
        <v>2.3590200020671685E-2</v>
      </c>
      <c r="S253" s="27">
        <v>0</v>
      </c>
      <c r="T253" s="4">
        <f t="shared" si="110"/>
        <v>0.8481788858793109</v>
      </c>
      <c r="U253" s="4">
        <f t="shared" si="111"/>
        <v>6.9025615647715602E-2</v>
      </c>
      <c r="V253" s="4">
        <f t="shared" si="112"/>
        <v>12.287885851075076</v>
      </c>
      <c r="W253" s="20">
        <f t="shared" si="113"/>
        <v>911.68224290861053</v>
      </c>
      <c r="X253" s="4">
        <f t="shared" si="114"/>
        <v>0.61116153950616525</v>
      </c>
      <c r="Y253" s="4">
        <f t="shared" si="115"/>
        <v>136.60364185710608</v>
      </c>
      <c r="Z253" s="14">
        <f t="shared" si="116"/>
        <v>911.68224290861053</v>
      </c>
      <c r="AA253" s="14">
        <f t="shared" si="117"/>
        <v>5628.3916222821908</v>
      </c>
      <c r="AB253" s="25">
        <f t="shared" si="118"/>
        <v>209492.10763574834</v>
      </c>
      <c r="AC253" s="4">
        <f t="shared" si="119"/>
        <v>1293327.3985785872</v>
      </c>
      <c r="AD253" s="5">
        <f t="shared" si="120"/>
        <v>16.197917701734891</v>
      </c>
      <c r="AE253" s="7">
        <f t="shared" si="121"/>
        <v>911.68224290861053</v>
      </c>
      <c r="AF253" s="4">
        <f t="shared" si="122"/>
        <v>0</v>
      </c>
      <c r="AG253" s="4">
        <f t="shared" si="123"/>
        <v>0</v>
      </c>
      <c r="AH253" s="4">
        <f t="shared" si="124"/>
        <v>653.30469661752625</v>
      </c>
      <c r="AI253" s="13">
        <f t="shared" si="125"/>
        <v>0</v>
      </c>
      <c r="AJ253" s="10">
        <f t="shared" si="126"/>
        <v>0</v>
      </c>
      <c r="AK253" s="11">
        <f t="shared" si="127"/>
        <v>0</v>
      </c>
      <c r="AL253" s="6">
        <v>0</v>
      </c>
      <c r="AM253" s="6">
        <v>50</v>
      </c>
      <c r="AN253" s="4">
        <f t="shared" si="128"/>
        <v>9.0736763419100868</v>
      </c>
      <c r="AO253" s="6">
        <f t="shared" si="129"/>
        <v>1.8908988616299691</v>
      </c>
      <c r="AP253" s="11">
        <f t="shared" si="130"/>
        <v>0.71659254274081019</v>
      </c>
      <c r="AQ253" s="11">
        <f t="shared" si="131"/>
        <v>0.97937395000000005</v>
      </c>
      <c r="AR253" s="11">
        <f t="shared" si="132"/>
        <v>0.8962407041850623</v>
      </c>
      <c r="AS253" s="11">
        <f t="shared" si="133"/>
        <v>0.91511593113647982</v>
      </c>
      <c r="AT253" s="11"/>
      <c r="AU253" s="11"/>
      <c r="AV253" s="11"/>
      <c r="AW253" s="11"/>
      <c r="AX253" s="11"/>
      <c r="AY253" s="11"/>
    </row>
    <row r="254" spans="1:51" ht="14.5">
      <c r="A254" s="4">
        <f t="shared" si="134"/>
        <v>930.73492798529855</v>
      </c>
      <c r="B254" s="4">
        <f t="shared" ref="B254:C254" si="155">A254/60</f>
        <v>15.512248799754977</v>
      </c>
      <c r="C254" s="4">
        <f t="shared" si="155"/>
        <v>0.25853747999591625</v>
      </c>
      <c r="D254" s="4">
        <f t="shared" si="136"/>
        <v>11193.573656971195</v>
      </c>
      <c r="E254" s="4">
        <f t="shared" si="137"/>
        <v>35.013073407117147</v>
      </c>
      <c r="F254" s="4">
        <f t="shared" si="138"/>
        <v>34.036179509339462</v>
      </c>
      <c r="G254" s="4"/>
      <c r="H254" s="6">
        <v>3000</v>
      </c>
      <c r="I254" s="5">
        <v>0</v>
      </c>
      <c r="J254" s="4">
        <f t="shared" si="102"/>
        <v>0.20797490098723775</v>
      </c>
      <c r="K254" s="4">
        <f t="shared" si="103"/>
        <v>229.78632003118699</v>
      </c>
      <c r="L254" s="6">
        <v>130.3103199999999</v>
      </c>
      <c r="M254" s="4">
        <f t="shared" si="104"/>
        <v>136.14471803735779</v>
      </c>
      <c r="N254" s="4">
        <f t="shared" si="105"/>
        <v>57.425577469141665</v>
      </c>
      <c r="O254" s="4">
        <f t="shared" si="106"/>
        <v>1359293.7766793312</v>
      </c>
      <c r="P254" s="4">
        <f t="shared" si="107"/>
        <v>8727621.2004960272</v>
      </c>
      <c r="Q254" s="4">
        <f t="shared" si="108"/>
        <v>3.0577820454500224E-3</v>
      </c>
      <c r="R254" s="4">
        <f t="shared" si="109"/>
        <v>2.3590200020671685E-2</v>
      </c>
      <c r="S254" s="27">
        <v>0</v>
      </c>
      <c r="T254" s="4">
        <f t="shared" si="110"/>
        <v>0.84749189641498801</v>
      </c>
      <c r="U254" s="4">
        <f t="shared" si="111"/>
        <v>6.89520438776908E-2</v>
      </c>
      <c r="V254" s="4">
        <f t="shared" si="112"/>
        <v>12.291033720745023</v>
      </c>
      <c r="W254" s="20">
        <f t="shared" si="113"/>
        <v>910.71051559141733</v>
      </c>
      <c r="X254" s="4">
        <f t="shared" si="114"/>
        <v>0.61116153950616525</v>
      </c>
      <c r="Y254" s="4">
        <f t="shared" si="115"/>
        <v>136.54830902891862</v>
      </c>
      <c r="Z254" s="14">
        <f t="shared" si="116"/>
        <v>910.71051559141733</v>
      </c>
      <c r="AA254" s="14">
        <f t="shared" si="117"/>
        <v>5628.3916222821908</v>
      </c>
      <c r="AB254" s="25">
        <f t="shared" si="118"/>
        <v>209268.81799145674</v>
      </c>
      <c r="AC254" s="4">
        <f t="shared" si="119"/>
        <v>1293327.3985785872</v>
      </c>
      <c r="AD254" s="5">
        <f t="shared" si="120"/>
        <v>16.180652959293262</v>
      </c>
      <c r="AE254" s="7">
        <f t="shared" si="121"/>
        <v>910.71051559141733</v>
      </c>
      <c r="AF254" s="4">
        <f t="shared" si="122"/>
        <v>0</v>
      </c>
      <c r="AG254" s="4">
        <f t="shared" si="123"/>
        <v>0</v>
      </c>
      <c r="AH254" s="4">
        <f t="shared" si="124"/>
        <v>652.60836406844805</v>
      </c>
      <c r="AI254" s="13">
        <f t="shared" si="125"/>
        <v>0</v>
      </c>
      <c r="AJ254" s="10">
        <f t="shared" si="126"/>
        <v>0</v>
      </c>
      <c r="AK254" s="11">
        <f t="shared" si="127"/>
        <v>0</v>
      </c>
      <c r="AL254" s="6">
        <v>0</v>
      </c>
      <c r="AM254" s="6">
        <v>50</v>
      </c>
      <c r="AN254" s="4">
        <f t="shared" si="128"/>
        <v>9.0640050565062218</v>
      </c>
      <c r="AO254" s="6">
        <f t="shared" si="129"/>
        <v>1.8908988616299691</v>
      </c>
      <c r="AP254" s="11">
        <f t="shared" si="130"/>
        <v>0.71659254274081019</v>
      </c>
      <c r="AQ254" s="11">
        <f t="shared" si="131"/>
        <v>0.97937395000000005</v>
      </c>
      <c r="AR254" s="11">
        <f t="shared" si="132"/>
        <v>0.8962407041850623</v>
      </c>
      <c r="AS254" s="11">
        <f t="shared" si="133"/>
        <v>0.91511593113647982</v>
      </c>
      <c r="AT254" s="17" t="s">
        <v>65</v>
      </c>
      <c r="AU254" s="18" t="s">
        <v>66</v>
      </c>
      <c r="AV254" s="18" t="s">
        <v>67</v>
      </c>
      <c r="AW254" s="19" t="s">
        <v>68</v>
      </c>
      <c r="AX254" s="19" t="s">
        <v>123</v>
      </c>
      <c r="AY254" s="19"/>
    </row>
    <row r="255" spans="1:51" ht="14.5">
      <c r="A255" s="4">
        <f t="shared" si="134"/>
        <v>980.73492798529855</v>
      </c>
      <c r="B255" s="4">
        <f t="shared" ref="B255:C255" si="156">A255/60</f>
        <v>16.34558213308831</v>
      </c>
      <c r="C255" s="4">
        <f t="shared" si="156"/>
        <v>0.27242636888480515</v>
      </c>
      <c r="D255" s="4">
        <f t="shared" si="136"/>
        <v>11184.509651914688</v>
      </c>
      <c r="E255" s="4">
        <f t="shared" si="137"/>
        <v>36.903972268747118</v>
      </c>
      <c r="F255" s="4">
        <f t="shared" si="138"/>
        <v>35.927078370969433</v>
      </c>
      <c r="G255" s="4"/>
      <c r="H255" s="6">
        <v>3000</v>
      </c>
      <c r="I255" s="5">
        <v>0</v>
      </c>
      <c r="J255" s="4">
        <f t="shared" si="102"/>
        <v>0.20797490098723775</v>
      </c>
      <c r="K255" s="4">
        <f t="shared" si="103"/>
        <v>229.78632003118699</v>
      </c>
      <c r="L255" s="6">
        <v>130.3103199999999</v>
      </c>
      <c r="M255" s="4">
        <f t="shared" si="104"/>
        <v>136.14471803735779</v>
      </c>
      <c r="N255" s="4">
        <f t="shared" si="105"/>
        <v>57.425577469141665</v>
      </c>
      <c r="O255" s="4">
        <f t="shared" si="106"/>
        <v>1359293.7766793312</v>
      </c>
      <c r="P255" s="4">
        <f t="shared" si="107"/>
        <v>8727621.2004960272</v>
      </c>
      <c r="Q255" s="4">
        <f t="shared" si="108"/>
        <v>3.0577820454500224E-3</v>
      </c>
      <c r="R255" s="4">
        <f t="shared" si="109"/>
        <v>2.3590200020671685E-2</v>
      </c>
      <c r="S255" s="27">
        <v>0</v>
      </c>
      <c r="T255" s="4">
        <f t="shared" si="110"/>
        <v>0.84680563918652285</v>
      </c>
      <c r="U255" s="4">
        <f t="shared" si="111"/>
        <v>6.8878610043934349E-2</v>
      </c>
      <c r="V255" s="4">
        <f t="shared" si="112"/>
        <v>12.294174325619903</v>
      </c>
      <c r="W255" s="20">
        <f t="shared" si="113"/>
        <v>909.74061012029279</v>
      </c>
      <c r="X255" s="4">
        <f t="shared" si="114"/>
        <v>0.61116153950616525</v>
      </c>
      <c r="Y255" s="4">
        <f t="shared" si="115"/>
        <v>136.49301278238855</v>
      </c>
      <c r="Z255" s="14">
        <f t="shared" si="116"/>
        <v>909.74061012029279</v>
      </c>
      <c r="AA255" s="14">
        <f t="shared" si="117"/>
        <v>5628.3916222821908</v>
      </c>
      <c r="AB255" s="25">
        <f t="shared" si="118"/>
        <v>209045.94698246891</v>
      </c>
      <c r="AC255" s="4">
        <f t="shared" si="119"/>
        <v>1293327.3985785872</v>
      </c>
      <c r="AD255" s="5">
        <f t="shared" si="120"/>
        <v>16.163420585709222</v>
      </c>
      <c r="AE255" s="7">
        <f t="shared" si="121"/>
        <v>909.74061012029279</v>
      </c>
      <c r="AF255" s="4">
        <f t="shared" si="122"/>
        <v>0</v>
      </c>
      <c r="AG255" s="4">
        <f t="shared" si="123"/>
        <v>0</v>
      </c>
      <c r="AH255" s="4">
        <f t="shared" si="124"/>
        <v>651.91333704067665</v>
      </c>
      <c r="AI255" s="13">
        <f t="shared" si="125"/>
        <v>0</v>
      </c>
      <c r="AJ255" s="10">
        <f t="shared" si="126"/>
        <v>0</v>
      </c>
      <c r="AK255" s="11">
        <f t="shared" si="127"/>
        <v>0</v>
      </c>
      <c r="AL255" s="6">
        <v>0</v>
      </c>
      <c r="AM255" s="6">
        <v>50</v>
      </c>
      <c r="AN255" s="4">
        <f t="shared" si="128"/>
        <v>9.0543519033427309</v>
      </c>
      <c r="AO255" s="6">
        <f t="shared" si="129"/>
        <v>1.8908988616299691</v>
      </c>
      <c r="AP255" s="11">
        <f t="shared" si="130"/>
        <v>0.71659254274081019</v>
      </c>
      <c r="AQ255" s="11">
        <f t="shared" si="131"/>
        <v>0.97937395000000005</v>
      </c>
      <c r="AR255" s="11">
        <f t="shared" si="132"/>
        <v>0.8962407041850623</v>
      </c>
      <c r="AS255" s="11">
        <f t="shared" si="133"/>
        <v>0.91511593113647982</v>
      </c>
      <c r="AT255" s="11"/>
      <c r="AU255" s="11"/>
      <c r="AV255" s="11"/>
      <c r="AW255" s="11"/>
      <c r="AX255" s="11"/>
      <c r="AY255" s="11"/>
    </row>
    <row r="256" spans="1:51" ht="14.5">
      <c r="A256" s="4">
        <f t="shared" si="134"/>
        <v>1030.7349279852986</v>
      </c>
      <c r="B256" s="4">
        <f t="shared" ref="B256:C256" si="157">A256/60</f>
        <v>17.178915466421643</v>
      </c>
      <c r="C256" s="4">
        <f t="shared" si="157"/>
        <v>0.28631525777369404</v>
      </c>
      <c r="D256" s="4">
        <f t="shared" si="136"/>
        <v>11175.455300011345</v>
      </c>
      <c r="E256" s="4">
        <f t="shared" si="137"/>
        <v>38.794871130377089</v>
      </c>
      <c r="F256" s="4">
        <f t="shared" si="138"/>
        <v>37.817977232599404</v>
      </c>
      <c r="G256" s="4"/>
      <c r="H256" s="6">
        <v>3000</v>
      </c>
      <c r="I256" s="5">
        <v>0</v>
      </c>
      <c r="J256" s="4">
        <f t="shared" si="102"/>
        <v>0.20797490098723775</v>
      </c>
      <c r="K256" s="4">
        <f t="shared" si="103"/>
        <v>229.78632003118699</v>
      </c>
      <c r="L256" s="6">
        <v>130.3103199999999</v>
      </c>
      <c r="M256" s="4">
        <f t="shared" si="104"/>
        <v>136.14471803735779</v>
      </c>
      <c r="N256" s="4">
        <f t="shared" si="105"/>
        <v>57.425577469141665</v>
      </c>
      <c r="O256" s="4">
        <f t="shared" si="106"/>
        <v>1359293.7766793312</v>
      </c>
      <c r="P256" s="4">
        <f t="shared" si="107"/>
        <v>8727621.2004960272</v>
      </c>
      <c r="Q256" s="4">
        <f t="shared" si="108"/>
        <v>3.0577820454500224E-3</v>
      </c>
      <c r="R256" s="4">
        <f t="shared" si="109"/>
        <v>2.3590200020671685E-2</v>
      </c>
      <c r="S256" s="27">
        <v>0</v>
      </c>
      <c r="T256" s="4">
        <f t="shared" si="110"/>
        <v>0.84612011282108057</v>
      </c>
      <c r="U256" s="4">
        <f t="shared" si="111"/>
        <v>6.8805313809304339E-2</v>
      </c>
      <c r="V256" s="4">
        <f t="shared" si="112"/>
        <v>12.297307663854623</v>
      </c>
      <c r="W256" s="20">
        <f t="shared" si="113"/>
        <v>908.77252204230604</v>
      </c>
      <c r="X256" s="4">
        <f t="shared" si="114"/>
        <v>0.61116153950616525</v>
      </c>
      <c r="Y256" s="4">
        <f t="shared" si="115"/>
        <v>136.43775305130839</v>
      </c>
      <c r="Z256" s="14">
        <f t="shared" si="116"/>
        <v>908.77252204230604</v>
      </c>
      <c r="AA256" s="14">
        <f t="shared" si="117"/>
        <v>5628.3916222821908</v>
      </c>
      <c r="AB256" s="25">
        <f t="shared" si="118"/>
        <v>208823.49358556228</v>
      </c>
      <c r="AC256" s="4">
        <f t="shared" si="119"/>
        <v>1293327.3985785872</v>
      </c>
      <c r="AD256" s="5">
        <f t="shared" si="120"/>
        <v>16.146220501867255</v>
      </c>
      <c r="AE256" s="7">
        <f t="shared" si="121"/>
        <v>908.77252204230615</v>
      </c>
      <c r="AF256" s="4">
        <f t="shared" si="122"/>
        <v>0</v>
      </c>
      <c r="AG256" s="4">
        <f t="shared" si="123"/>
        <v>2.9103830456733704E-11</v>
      </c>
      <c r="AH256" s="4">
        <f t="shared" si="124"/>
        <v>651.21961234327512</v>
      </c>
      <c r="AI256" s="13">
        <f t="shared" si="125"/>
        <v>2.3375942522902283E-15</v>
      </c>
      <c r="AJ256" s="10">
        <f t="shared" si="126"/>
        <v>5.8286448406542066E-16</v>
      </c>
      <c r="AK256" s="11">
        <f t="shared" si="127"/>
        <v>1.5625581066055087E-13</v>
      </c>
      <c r="AL256" s="6">
        <v>0</v>
      </c>
      <c r="AM256" s="6">
        <v>50</v>
      </c>
      <c r="AN256" s="4">
        <f t="shared" si="128"/>
        <v>9.0447168381010421</v>
      </c>
      <c r="AO256" s="6">
        <f t="shared" si="129"/>
        <v>1.8908988616299691</v>
      </c>
      <c r="AP256" s="11">
        <f t="shared" si="130"/>
        <v>0.71659254274081019</v>
      </c>
      <c r="AQ256" s="11">
        <f t="shared" si="131"/>
        <v>0.97937395000000005</v>
      </c>
      <c r="AR256" s="11">
        <f t="shared" si="132"/>
        <v>0.8962407041850623</v>
      </c>
      <c r="AS256" s="11">
        <f t="shared" si="133"/>
        <v>0.91511593113647982</v>
      </c>
      <c r="AT256" s="11">
        <f t="shared" ref="AT256:AT287" si="158">(518.67*AQ236)</f>
        <v>507.97188664649997</v>
      </c>
      <c r="AU256" s="11">
        <f t="shared" ref="AU256:AU287" si="159">2116.22*AR236</f>
        <v>1896.6425030105124</v>
      </c>
      <c r="AV256" s="11">
        <f t="shared" ref="AV256:AV287" si="160">(0.0023769*AS236)</f>
        <v>2.1751390567182989E-3</v>
      </c>
      <c r="AW256" s="11">
        <f t="shared" ref="AW256:AW304" si="161">((2.2697*10^-8)*(AT256^1.5))/(AT256+198.72)</f>
        <v>3.6770358841811742E-7</v>
      </c>
      <c r="AX256" s="11"/>
      <c r="AY256" s="11"/>
    </row>
    <row r="257" spans="1:51" ht="14.5">
      <c r="A257" s="4">
        <f t="shared" si="134"/>
        <v>1080.7349279852986</v>
      </c>
      <c r="B257" s="4">
        <f t="shared" ref="B257:C257" si="162">A257/60</f>
        <v>18.012248799754975</v>
      </c>
      <c r="C257" s="4">
        <f t="shared" si="162"/>
        <v>0.30020414666258294</v>
      </c>
      <c r="D257" s="4">
        <f t="shared" si="136"/>
        <v>11166.410583173243</v>
      </c>
      <c r="E257" s="4">
        <f t="shared" si="137"/>
        <v>40.68576999200706</v>
      </c>
      <c r="F257" s="4">
        <f t="shared" si="138"/>
        <v>39.708876094229375</v>
      </c>
      <c r="G257" s="4"/>
      <c r="H257" s="6">
        <v>3000</v>
      </c>
      <c r="I257" s="5">
        <v>0</v>
      </c>
      <c r="J257" s="4">
        <f t="shared" si="102"/>
        <v>0.20797490098723775</v>
      </c>
      <c r="K257" s="4">
        <f t="shared" si="103"/>
        <v>229.78632003118699</v>
      </c>
      <c r="L257" s="6">
        <v>130.3103199999999</v>
      </c>
      <c r="M257" s="4">
        <f t="shared" si="104"/>
        <v>136.14471803735779</v>
      </c>
      <c r="N257" s="4">
        <f t="shared" si="105"/>
        <v>57.425577469141665</v>
      </c>
      <c r="O257" s="4">
        <f t="shared" si="106"/>
        <v>1359293.7766793312</v>
      </c>
      <c r="P257" s="4">
        <f t="shared" si="107"/>
        <v>8727621.2004960272</v>
      </c>
      <c r="Q257" s="4">
        <f t="shared" si="108"/>
        <v>3.0577820454500224E-3</v>
      </c>
      <c r="R257" s="4">
        <f t="shared" si="109"/>
        <v>2.3590200020671685E-2</v>
      </c>
      <c r="S257" s="27">
        <v>0</v>
      </c>
      <c r="T257" s="4">
        <f t="shared" si="110"/>
        <v>0.84543531594918209</v>
      </c>
      <c r="U257" s="4">
        <f t="shared" si="111"/>
        <v>6.8732154837695361E-2</v>
      </c>
      <c r="V257" s="4">
        <f t="shared" si="112"/>
        <v>12.300433733608376</v>
      </c>
      <c r="W257" s="20">
        <f t="shared" si="113"/>
        <v>907.8062469182164</v>
      </c>
      <c r="X257" s="4">
        <f t="shared" si="114"/>
        <v>0.61116153950616525</v>
      </c>
      <c r="Y257" s="4">
        <f t="shared" si="115"/>
        <v>136.38252976960464</v>
      </c>
      <c r="Z257" s="14">
        <f t="shared" si="116"/>
        <v>907.8062469182164</v>
      </c>
      <c r="AA257" s="14">
        <f t="shared" si="117"/>
        <v>5628.3916222821908</v>
      </c>
      <c r="AB257" s="25">
        <f t="shared" si="118"/>
        <v>208601.45678066002</v>
      </c>
      <c r="AC257" s="4">
        <f t="shared" si="119"/>
        <v>1293327.3985785872</v>
      </c>
      <c r="AD257" s="5">
        <f t="shared" si="120"/>
        <v>16.129052628895085</v>
      </c>
      <c r="AE257" s="7">
        <f t="shared" si="121"/>
        <v>907.8062469182164</v>
      </c>
      <c r="AF257" s="4">
        <f t="shared" si="122"/>
        <v>0</v>
      </c>
      <c r="AG257" s="4">
        <f t="shared" si="123"/>
        <v>2.9103830456733704E-11</v>
      </c>
      <c r="AH257" s="4">
        <f t="shared" si="124"/>
        <v>650.52718679511645</v>
      </c>
      <c r="AI257" s="13">
        <f t="shared" si="125"/>
        <v>0</v>
      </c>
      <c r="AJ257" s="10">
        <f t="shared" si="126"/>
        <v>0</v>
      </c>
      <c r="AK257" s="11">
        <f t="shared" si="127"/>
        <v>1.5638237680740761E-13</v>
      </c>
      <c r="AL257" s="6">
        <v>0</v>
      </c>
      <c r="AM257" s="6">
        <v>50</v>
      </c>
      <c r="AN257" s="4">
        <f t="shared" si="128"/>
        <v>9.035099816598839</v>
      </c>
      <c r="AO257" s="6">
        <f t="shared" si="129"/>
        <v>1.8908988616299691</v>
      </c>
      <c r="AP257" s="11">
        <f t="shared" si="130"/>
        <v>0.71659254274081019</v>
      </c>
      <c r="AQ257" s="11">
        <f t="shared" si="131"/>
        <v>0.97937395000000005</v>
      </c>
      <c r="AR257" s="11">
        <f t="shared" si="132"/>
        <v>0.8962407041850623</v>
      </c>
      <c r="AS257" s="11">
        <f t="shared" si="133"/>
        <v>0.91511593113647982</v>
      </c>
      <c r="AT257" s="11">
        <f t="shared" si="158"/>
        <v>507.97188664649997</v>
      </c>
      <c r="AU257" s="11">
        <f t="shared" si="159"/>
        <v>1896.6425030105124</v>
      </c>
      <c r="AV257" s="11">
        <f t="shared" si="160"/>
        <v>2.1751390567182989E-3</v>
      </c>
      <c r="AW257" s="11">
        <f t="shared" si="161"/>
        <v>3.6770358841811742E-7</v>
      </c>
      <c r="AX257" s="11"/>
      <c r="AY257" s="11"/>
    </row>
    <row r="258" spans="1:51" ht="14.5">
      <c r="A258" s="4">
        <f t="shared" si="134"/>
        <v>1130.7349279852986</v>
      </c>
      <c r="B258" s="4">
        <f t="shared" ref="B258:C258" si="163">A258/60</f>
        <v>18.84558213308831</v>
      </c>
      <c r="C258" s="4">
        <f t="shared" si="163"/>
        <v>0.31409303555147183</v>
      </c>
      <c r="D258" s="4">
        <f t="shared" si="136"/>
        <v>11157.375483356644</v>
      </c>
      <c r="E258" s="4">
        <f t="shared" si="137"/>
        <v>42.576668853637031</v>
      </c>
      <c r="F258" s="4">
        <f t="shared" si="138"/>
        <v>41.599774955859345</v>
      </c>
      <c r="G258" s="4"/>
      <c r="H258" s="6">
        <v>3000</v>
      </c>
      <c r="I258" s="5">
        <v>0</v>
      </c>
      <c r="J258" s="4">
        <f t="shared" si="102"/>
        <v>0.20797490098723775</v>
      </c>
      <c r="K258" s="4">
        <f t="shared" si="103"/>
        <v>229.78632003118699</v>
      </c>
      <c r="L258" s="6">
        <v>130.3103199999999</v>
      </c>
      <c r="M258" s="4">
        <f t="shared" si="104"/>
        <v>136.14471803735779</v>
      </c>
      <c r="N258" s="4">
        <f t="shared" si="105"/>
        <v>57.425577469141665</v>
      </c>
      <c r="O258" s="4">
        <f t="shared" si="106"/>
        <v>1359293.7766793312</v>
      </c>
      <c r="P258" s="4">
        <f t="shared" si="107"/>
        <v>8727621.2004960272</v>
      </c>
      <c r="Q258" s="4">
        <f t="shared" si="108"/>
        <v>3.0577820454500224E-3</v>
      </c>
      <c r="R258" s="4">
        <f t="shared" si="109"/>
        <v>2.3590200020671685E-2</v>
      </c>
      <c r="S258" s="27">
        <v>0</v>
      </c>
      <c r="T258" s="4">
        <f t="shared" si="110"/>
        <v>0.84475124720469319</v>
      </c>
      <c r="U258" s="4">
        <f t="shared" si="111"/>
        <v>6.8659132794034697E-2</v>
      </c>
      <c r="V258" s="4">
        <f t="shared" si="112"/>
        <v>12.303552533044629</v>
      </c>
      <c r="W258" s="20">
        <f t="shared" si="113"/>
        <v>906.84178032242266</v>
      </c>
      <c r="X258" s="4">
        <f t="shared" si="114"/>
        <v>0.61116153950616525</v>
      </c>
      <c r="Y258" s="4">
        <f t="shared" si="115"/>
        <v>136.32734287133744</v>
      </c>
      <c r="Z258" s="14">
        <f t="shared" si="116"/>
        <v>906.84178032242266</v>
      </c>
      <c r="AA258" s="14">
        <f t="shared" si="117"/>
        <v>5628.3916222821908</v>
      </c>
      <c r="AB258" s="25">
        <f t="shared" si="118"/>
        <v>208379.83555081958</v>
      </c>
      <c r="AC258" s="4">
        <f t="shared" si="119"/>
        <v>1293327.3985785872</v>
      </c>
      <c r="AD258" s="5">
        <f t="shared" si="120"/>
        <v>16.111916888162767</v>
      </c>
      <c r="AE258" s="7">
        <f t="shared" si="121"/>
        <v>906.84178032242266</v>
      </c>
      <c r="AF258" s="4">
        <f t="shared" si="122"/>
        <v>0</v>
      </c>
      <c r="AG258" s="4">
        <f t="shared" si="123"/>
        <v>0</v>
      </c>
      <c r="AH258" s="4">
        <f t="shared" si="124"/>
        <v>649.8360572248481</v>
      </c>
      <c r="AI258" s="13">
        <f t="shared" si="125"/>
        <v>0</v>
      </c>
      <c r="AJ258" s="10">
        <f t="shared" si="126"/>
        <v>0</v>
      </c>
      <c r="AK258" s="11">
        <f t="shared" si="127"/>
        <v>0</v>
      </c>
      <c r="AL258" s="6">
        <v>0</v>
      </c>
      <c r="AM258" s="6">
        <v>50</v>
      </c>
      <c r="AN258" s="4">
        <f t="shared" si="128"/>
        <v>9.025500794789556</v>
      </c>
      <c r="AO258" s="6">
        <f t="shared" si="129"/>
        <v>1.8908988616299691</v>
      </c>
      <c r="AP258" s="11">
        <f t="shared" si="130"/>
        <v>0.71659254274081019</v>
      </c>
      <c r="AQ258" s="11">
        <f t="shared" si="131"/>
        <v>0.97937395000000005</v>
      </c>
      <c r="AR258" s="11">
        <f t="shared" si="132"/>
        <v>0.8962407041850623</v>
      </c>
      <c r="AS258" s="11">
        <f t="shared" si="133"/>
        <v>0.91511593113647982</v>
      </c>
      <c r="AT258" s="11">
        <f t="shared" si="158"/>
        <v>507.97188664649997</v>
      </c>
      <c r="AU258" s="11">
        <f t="shared" si="159"/>
        <v>1896.6425030105124</v>
      </c>
      <c r="AV258" s="11">
        <f t="shared" si="160"/>
        <v>2.1751390567182989E-3</v>
      </c>
      <c r="AW258" s="11">
        <f t="shared" si="161"/>
        <v>3.6770358841811742E-7</v>
      </c>
      <c r="AX258" s="11"/>
      <c r="AY258" s="11"/>
    </row>
    <row r="259" spans="1:51" ht="14.5">
      <c r="A259" s="4">
        <f t="shared" si="134"/>
        <v>1180.7349279852986</v>
      </c>
      <c r="B259" s="4">
        <f t="shared" ref="B259:C259" si="164">A259/60</f>
        <v>19.678915466421643</v>
      </c>
      <c r="C259" s="4">
        <f t="shared" si="164"/>
        <v>0.32798192444036073</v>
      </c>
      <c r="D259" s="4">
        <f t="shared" si="136"/>
        <v>11148.349982561855</v>
      </c>
      <c r="E259" s="4">
        <f t="shared" si="137"/>
        <v>44.467567715267002</v>
      </c>
      <c r="F259" s="4">
        <f t="shared" si="138"/>
        <v>43.490673817489316</v>
      </c>
      <c r="G259" s="4"/>
      <c r="H259" s="6">
        <v>3000</v>
      </c>
      <c r="I259" s="5">
        <v>0</v>
      </c>
      <c r="J259" s="4">
        <f t="shared" si="102"/>
        <v>0.20797490098723775</v>
      </c>
      <c r="K259" s="4">
        <f t="shared" si="103"/>
        <v>229.78632003118699</v>
      </c>
      <c r="L259" s="6">
        <v>130.3103199999999</v>
      </c>
      <c r="M259" s="4">
        <f t="shared" si="104"/>
        <v>136.14471803735779</v>
      </c>
      <c r="N259" s="4">
        <f t="shared" si="105"/>
        <v>57.425577469141665</v>
      </c>
      <c r="O259" s="4">
        <f t="shared" si="106"/>
        <v>1359293.7766793312</v>
      </c>
      <c r="P259" s="4">
        <f t="shared" si="107"/>
        <v>8727621.2004960272</v>
      </c>
      <c r="Q259" s="4">
        <f t="shared" si="108"/>
        <v>3.0577820454500224E-3</v>
      </c>
      <c r="R259" s="4">
        <f t="shared" si="109"/>
        <v>2.3590200020671685E-2</v>
      </c>
      <c r="S259" s="27">
        <v>0</v>
      </c>
      <c r="T259" s="4">
        <f t="shared" si="110"/>
        <v>0.84406790522481467</v>
      </c>
      <c r="U259" s="4">
        <f t="shared" si="111"/>
        <v>6.8586247344278539E-2</v>
      </c>
      <c r="V259" s="4">
        <f t="shared" si="112"/>
        <v>12.306664060331139</v>
      </c>
      <c r="W259" s="20">
        <f t="shared" si="113"/>
        <v>905.87911784291305</v>
      </c>
      <c r="X259" s="4">
        <f t="shared" si="114"/>
        <v>0.61116153950616525</v>
      </c>
      <c r="Y259" s="4">
        <f t="shared" si="115"/>
        <v>136.27219229070002</v>
      </c>
      <c r="Z259" s="14">
        <f t="shared" si="116"/>
        <v>905.87911784291305</v>
      </c>
      <c r="AA259" s="14">
        <f t="shared" si="117"/>
        <v>5628.3916222821908</v>
      </c>
      <c r="AB259" s="25">
        <f t="shared" si="118"/>
        <v>208158.62888222098</v>
      </c>
      <c r="AC259" s="4">
        <f t="shared" si="119"/>
        <v>1293327.3985785872</v>
      </c>
      <c r="AD259" s="5">
        <f t="shared" si="120"/>
        <v>16.094813201281802</v>
      </c>
      <c r="AE259" s="7">
        <f t="shared" si="121"/>
        <v>905.87911784291305</v>
      </c>
      <c r="AF259" s="4">
        <f t="shared" si="122"/>
        <v>0</v>
      </c>
      <c r="AG259" s="4">
        <f t="shared" si="123"/>
        <v>0</v>
      </c>
      <c r="AH259" s="4">
        <f t="shared" si="124"/>
        <v>649.14622047085504</v>
      </c>
      <c r="AI259" s="13">
        <f t="shared" si="125"/>
        <v>0</v>
      </c>
      <c r="AJ259" s="10">
        <f t="shared" si="126"/>
        <v>0</v>
      </c>
      <c r="AK259" s="11">
        <f t="shared" si="127"/>
        <v>0</v>
      </c>
      <c r="AL259" s="6">
        <v>0</v>
      </c>
      <c r="AM259" s="6">
        <v>50</v>
      </c>
      <c r="AN259" s="4">
        <f t="shared" si="128"/>
        <v>9.0159197287618742</v>
      </c>
      <c r="AO259" s="6">
        <f t="shared" si="129"/>
        <v>1.8908988616299691</v>
      </c>
      <c r="AP259" s="11">
        <f t="shared" si="130"/>
        <v>0.71659254274081019</v>
      </c>
      <c r="AQ259" s="11">
        <f t="shared" si="131"/>
        <v>0.97937395000000005</v>
      </c>
      <c r="AR259" s="11">
        <f t="shared" si="132"/>
        <v>0.8962407041850623</v>
      </c>
      <c r="AS259" s="11">
        <f t="shared" si="133"/>
        <v>0.91511593113647982</v>
      </c>
      <c r="AT259" s="11">
        <f t="shared" si="158"/>
        <v>507.97188664649997</v>
      </c>
      <c r="AU259" s="11">
        <f t="shared" si="159"/>
        <v>1896.6425030105124</v>
      </c>
      <c r="AV259" s="11">
        <f t="shared" si="160"/>
        <v>2.1751390567182989E-3</v>
      </c>
      <c r="AW259" s="11">
        <f t="shared" si="161"/>
        <v>3.6770358841811742E-7</v>
      </c>
      <c r="AX259" s="11"/>
      <c r="AY259" s="11"/>
    </row>
    <row r="260" spans="1:51" ht="14.5">
      <c r="A260" s="4">
        <f t="shared" si="134"/>
        <v>1230.7349279852986</v>
      </c>
      <c r="B260" s="4">
        <f t="shared" ref="B260:C260" si="165">A260/60</f>
        <v>20.512248799754975</v>
      </c>
      <c r="C260" s="4">
        <f t="shared" si="165"/>
        <v>0.34187081332924957</v>
      </c>
      <c r="D260" s="4">
        <f t="shared" si="136"/>
        <v>11139.334062833093</v>
      </c>
      <c r="E260" s="4">
        <f t="shared" si="137"/>
        <v>46.358466576896973</v>
      </c>
      <c r="F260" s="4">
        <f t="shared" si="138"/>
        <v>45.381572679119287</v>
      </c>
      <c r="G260" s="4"/>
      <c r="H260" s="6">
        <v>3000</v>
      </c>
      <c r="I260" s="5">
        <v>0</v>
      </c>
      <c r="J260" s="4">
        <f t="shared" si="102"/>
        <v>0.20797490098723775</v>
      </c>
      <c r="K260" s="4">
        <f t="shared" si="103"/>
        <v>229.78632003118699</v>
      </c>
      <c r="L260" s="6">
        <v>130.3103199999999</v>
      </c>
      <c r="M260" s="4">
        <f t="shared" si="104"/>
        <v>136.14471803735779</v>
      </c>
      <c r="N260" s="4">
        <f t="shared" si="105"/>
        <v>57.425577469141665</v>
      </c>
      <c r="O260" s="4">
        <f t="shared" si="106"/>
        <v>1359293.7766793312</v>
      </c>
      <c r="P260" s="4">
        <f t="shared" si="107"/>
        <v>8727621.2004960272</v>
      </c>
      <c r="Q260" s="4">
        <f t="shared" si="108"/>
        <v>3.0577820454500224E-3</v>
      </c>
      <c r="R260" s="4">
        <f t="shared" si="109"/>
        <v>2.3590200020671685E-2</v>
      </c>
      <c r="S260" s="27">
        <v>0</v>
      </c>
      <c r="T260" s="4">
        <f t="shared" si="110"/>
        <v>0.84338528865007178</v>
      </c>
      <c r="U260" s="4">
        <f t="shared" si="111"/>
        <v>6.8513498155408137E-2</v>
      </c>
      <c r="V260" s="4">
        <f t="shared" si="112"/>
        <v>12.309768313639943</v>
      </c>
      <c r="W260" s="20">
        <f t="shared" si="113"/>
        <v>904.91825508121542</v>
      </c>
      <c r="X260" s="4">
        <f t="shared" si="114"/>
        <v>0.61116153950616525</v>
      </c>
      <c r="Y260" s="4">
        <f t="shared" si="115"/>
        <v>136.21707796201858</v>
      </c>
      <c r="Z260" s="14">
        <f t="shared" si="116"/>
        <v>904.91825508121542</v>
      </c>
      <c r="AA260" s="14">
        <f t="shared" si="117"/>
        <v>5628.3916222821908</v>
      </c>
      <c r="AB260" s="25">
        <f t="shared" si="118"/>
        <v>207937.83576415546</v>
      </c>
      <c r="AC260" s="4">
        <f t="shared" si="119"/>
        <v>1293327.3985785872</v>
      </c>
      <c r="AD260" s="5">
        <f t="shared" si="120"/>
        <v>16.077741490104248</v>
      </c>
      <c r="AE260" s="7">
        <f t="shared" si="121"/>
        <v>904.91825508121531</v>
      </c>
      <c r="AF260" s="4">
        <f t="shared" si="122"/>
        <v>0</v>
      </c>
      <c r="AG260" s="4">
        <f t="shared" si="123"/>
        <v>-2.9103830456733704E-11</v>
      </c>
      <c r="AH260" s="4">
        <f t="shared" si="124"/>
        <v>648.45767338122516</v>
      </c>
      <c r="AI260" s="13">
        <f t="shared" si="125"/>
        <v>-2.3451743101228787E-15</v>
      </c>
      <c r="AJ260" s="10">
        <f t="shared" si="126"/>
        <v>-5.8475452400433877E-16</v>
      </c>
      <c r="AK260" s="11">
        <f t="shared" si="127"/>
        <v>-1.5676249743064975E-13</v>
      </c>
      <c r="AL260" s="6">
        <v>0</v>
      </c>
      <c r="AM260" s="6">
        <v>50</v>
      </c>
      <c r="AN260" s="4">
        <f t="shared" si="128"/>
        <v>9.0063565747392378</v>
      </c>
      <c r="AO260" s="6">
        <f t="shared" si="129"/>
        <v>1.8908988616299691</v>
      </c>
      <c r="AP260" s="11">
        <f t="shared" si="130"/>
        <v>0.71659254274081019</v>
      </c>
      <c r="AQ260" s="11">
        <f t="shared" si="131"/>
        <v>0.97937395000000005</v>
      </c>
      <c r="AR260" s="11">
        <f t="shared" si="132"/>
        <v>0.8962407041850623</v>
      </c>
      <c r="AS260" s="11">
        <f t="shared" si="133"/>
        <v>0.91511593113647982</v>
      </c>
      <c r="AT260" s="11">
        <f t="shared" si="158"/>
        <v>507.97188664649997</v>
      </c>
      <c r="AU260" s="11">
        <f t="shared" si="159"/>
        <v>1896.6425030105124</v>
      </c>
      <c r="AV260" s="11">
        <f t="shared" si="160"/>
        <v>2.1751390567182989E-3</v>
      </c>
      <c r="AW260" s="11">
        <f t="shared" si="161"/>
        <v>3.6770358841811742E-7</v>
      </c>
      <c r="AX260" s="11"/>
      <c r="AY260" s="11"/>
    </row>
    <row r="261" spans="1:51" ht="14.5">
      <c r="A261" s="4">
        <f t="shared" si="134"/>
        <v>1280.7349279852986</v>
      </c>
      <c r="B261" s="4">
        <f t="shared" ref="B261:C261" si="166">A261/60</f>
        <v>21.34558213308831</v>
      </c>
      <c r="C261" s="4">
        <f t="shared" si="166"/>
        <v>0.35575970221813852</v>
      </c>
      <c r="D261" s="4">
        <f t="shared" si="136"/>
        <v>11130.327706258355</v>
      </c>
      <c r="E261" s="4">
        <f t="shared" si="137"/>
        <v>48.249365438526944</v>
      </c>
      <c r="F261" s="4">
        <f t="shared" si="138"/>
        <v>47.272471540749258</v>
      </c>
      <c r="G261" s="4"/>
      <c r="H261" s="6">
        <v>3000</v>
      </c>
      <c r="I261" s="5">
        <v>0</v>
      </c>
      <c r="J261" s="4">
        <f t="shared" si="102"/>
        <v>0.20797490098723775</v>
      </c>
      <c r="K261" s="4">
        <f t="shared" si="103"/>
        <v>229.78632003118699</v>
      </c>
      <c r="L261" s="6">
        <v>130.3103199999999</v>
      </c>
      <c r="M261" s="4">
        <f t="shared" si="104"/>
        <v>136.14471803735779</v>
      </c>
      <c r="N261" s="4">
        <f t="shared" si="105"/>
        <v>57.425577469141665</v>
      </c>
      <c r="O261" s="4">
        <f t="shared" si="106"/>
        <v>1359293.7766793312</v>
      </c>
      <c r="P261" s="4">
        <f t="shared" si="107"/>
        <v>8727621.2004960272</v>
      </c>
      <c r="Q261" s="4">
        <f t="shared" si="108"/>
        <v>3.0577820454500224E-3</v>
      </c>
      <c r="R261" s="4">
        <f t="shared" si="109"/>
        <v>2.3590200020671685E-2</v>
      </c>
      <c r="S261" s="27">
        <v>0</v>
      </c>
      <c r="T261" s="4">
        <f t="shared" si="110"/>
        <v>0.84270339612430445</v>
      </c>
      <c r="U261" s="4">
        <f t="shared" si="111"/>
        <v>6.8440884895426088E-2</v>
      </c>
      <c r="V261" s="4">
        <f t="shared" si="112"/>
        <v>12.312865291147373</v>
      </c>
      <c r="W261" s="20">
        <f t="shared" si="113"/>
        <v>903.9591876523466</v>
      </c>
      <c r="X261" s="4">
        <f t="shared" si="114"/>
        <v>0.61116153950616525</v>
      </c>
      <c r="Y261" s="4">
        <f t="shared" si="115"/>
        <v>136.16199981975163</v>
      </c>
      <c r="Z261" s="14">
        <f t="shared" si="116"/>
        <v>903.9591876523466</v>
      </c>
      <c r="AA261" s="14">
        <f t="shared" si="117"/>
        <v>5628.3916222821908</v>
      </c>
      <c r="AB261" s="25">
        <f t="shared" si="118"/>
        <v>207717.45518901394</v>
      </c>
      <c r="AC261" s="4">
        <f t="shared" si="119"/>
        <v>1293327.3985785872</v>
      </c>
      <c r="AD261" s="5">
        <f t="shared" si="120"/>
        <v>16.060701676721827</v>
      </c>
      <c r="AE261" s="7">
        <f t="shared" si="121"/>
        <v>903.95918765234671</v>
      </c>
      <c r="AF261" s="4">
        <f t="shared" si="122"/>
        <v>0</v>
      </c>
      <c r="AG261" s="4">
        <f t="shared" si="123"/>
        <v>2.9103830456733704E-11</v>
      </c>
      <c r="AH261" s="4">
        <f t="shared" si="124"/>
        <v>647.77041281371237</v>
      </c>
      <c r="AI261" s="13">
        <f t="shared" si="125"/>
        <v>2.3470719609939313E-15</v>
      </c>
      <c r="AJ261" s="10">
        <f t="shared" si="126"/>
        <v>5.8522769136210785E-16</v>
      </c>
      <c r="AK261" s="11">
        <f t="shared" si="127"/>
        <v>1.5688934535343045E-13</v>
      </c>
      <c r="AL261" s="6">
        <v>0</v>
      </c>
      <c r="AM261" s="6">
        <v>50</v>
      </c>
      <c r="AN261" s="4">
        <f t="shared" si="128"/>
        <v>8.9968112890793375</v>
      </c>
      <c r="AO261" s="6">
        <f t="shared" si="129"/>
        <v>1.8908988616299691</v>
      </c>
      <c r="AP261" s="11">
        <f t="shared" si="130"/>
        <v>0.71659254274081019</v>
      </c>
      <c r="AQ261" s="11">
        <f t="shared" si="131"/>
        <v>0.97937395000000005</v>
      </c>
      <c r="AR261" s="11">
        <f t="shared" si="132"/>
        <v>0.8962407041850623</v>
      </c>
      <c r="AS261" s="11">
        <f t="shared" si="133"/>
        <v>0.91511593113647982</v>
      </c>
      <c r="AT261" s="11">
        <f t="shared" si="158"/>
        <v>507.97188664649997</v>
      </c>
      <c r="AU261" s="11">
        <f t="shared" si="159"/>
        <v>1896.6425030105124</v>
      </c>
      <c r="AV261" s="11">
        <f t="shared" si="160"/>
        <v>2.1751390567182989E-3</v>
      </c>
      <c r="AW261" s="11">
        <f t="shared" si="161"/>
        <v>3.6770358841811742E-7</v>
      </c>
      <c r="AX261" s="11"/>
      <c r="AY261" s="11"/>
    </row>
    <row r="262" spans="1:51" ht="14.5">
      <c r="A262" s="4">
        <f t="shared" si="134"/>
        <v>1330.7349279852986</v>
      </c>
      <c r="B262" s="4">
        <f t="shared" ref="B262:C262" si="167">A262/60</f>
        <v>22.178915466421643</v>
      </c>
      <c r="C262" s="4">
        <f t="shared" si="167"/>
        <v>0.36964859110702736</v>
      </c>
      <c r="D262" s="4">
        <f t="shared" si="136"/>
        <v>11121.330894969275</v>
      </c>
      <c r="E262" s="4">
        <f t="shared" si="137"/>
        <v>50.140264300156915</v>
      </c>
      <c r="F262" s="4">
        <f t="shared" si="138"/>
        <v>49.163370402379229</v>
      </c>
      <c r="G262" s="4"/>
      <c r="H262" s="6">
        <v>3000</v>
      </c>
      <c r="I262" s="5">
        <v>0</v>
      </c>
      <c r="J262" s="4">
        <f t="shared" si="102"/>
        <v>0.20797490098723775</v>
      </c>
      <c r="K262" s="4">
        <f t="shared" si="103"/>
        <v>229.78632003118699</v>
      </c>
      <c r="L262" s="6">
        <v>130.3103199999999</v>
      </c>
      <c r="M262" s="4">
        <f t="shared" si="104"/>
        <v>136.14471803735779</v>
      </c>
      <c r="N262" s="4">
        <f t="shared" si="105"/>
        <v>57.425577469141665</v>
      </c>
      <c r="O262" s="4">
        <f t="shared" si="106"/>
        <v>1359293.7766793312</v>
      </c>
      <c r="P262" s="4">
        <f t="shared" si="107"/>
        <v>8727621.2004960272</v>
      </c>
      <c r="Q262" s="4">
        <f t="shared" si="108"/>
        <v>3.0577820454500224E-3</v>
      </c>
      <c r="R262" s="4">
        <f t="shared" si="109"/>
        <v>2.3590200020671685E-2</v>
      </c>
      <c r="S262" s="27">
        <v>0</v>
      </c>
      <c r="T262" s="4">
        <f t="shared" si="110"/>
        <v>0.84202222629465662</v>
      </c>
      <c r="U262" s="4">
        <f t="shared" si="111"/>
        <v>6.8368407233352566E-2</v>
      </c>
      <c r="V262" s="4">
        <f t="shared" si="112"/>
        <v>12.315954991034046</v>
      </c>
      <c r="W262" s="20">
        <f t="shared" si="113"/>
        <v>903.00191118476391</v>
      </c>
      <c r="X262" s="4">
        <f t="shared" si="114"/>
        <v>0.61116153950616525</v>
      </c>
      <c r="Y262" s="4">
        <f t="shared" si="115"/>
        <v>136.1069577984899</v>
      </c>
      <c r="Z262" s="14">
        <f t="shared" si="116"/>
        <v>903.00191118476391</v>
      </c>
      <c r="AA262" s="14">
        <f t="shared" si="117"/>
        <v>5628.3916222821908</v>
      </c>
      <c r="AB262" s="25">
        <f t="shared" si="118"/>
        <v>207497.48615227564</v>
      </c>
      <c r="AC262" s="4">
        <f t="shared" si="119"/>
        <v>1293327.3985785872</v>
      </c>
      <c r="AD262" s="5">
        <f t="shared" si="120"/>
        <v>16.043693683465047</v>
      </c>
      <c r="AE262" s="7">
        <f t="shared" si="121"/>
        <v>903.00191118476369</v>
      </c>
      <c r="AF262" s="4">
        <f t="shared" si="122"/>
        <v>0</v>
      </c>
      <c r="AG262" s="4">
        <f t="shared" si="123"/>
        <v>-2.9103830456733704E-11</v>
      </c>
      <c r="AH262" s="4">
        <f t="shared" si="124"/>
        <v>647.08443563570108</v>
      </c>
      <c r="AI262" s="13">
        <f t="shared" si="125"/>
        <v>-4.6979413386305964E-15</v>
      </c>
      <c r="AJ262" s="10">
        <f t="shared" si="126"/>
        <v>-1.1714022447769778E-15</v>
      </c>
      <c r="AK262" s="11">
        <f t="shared" si="127"/>
        <v>-1.5701626396117104E-13</v>
      </c>
      <c r="AL262" s="6">
        <v>0</v>
      </c>
      <c r="AM262" s="6">
        <v>50</v>
      </c>
      <c r="AN262" s="4">
        <f t="shared" si="128"/>
        <v>8.9872838282736254</v>
      </c>
      <c r="AO262" s="6">
        <f t="shared" si="129"/>
        <v>1.8908988616299691</v>
      </c>
      <c r="AP262" s="11">
        <f t="shared" si="130"/>
        <v>0.71659254274081019</v>
      </c>
      <c r="AQ262" s="11">
        <f t="shared" si="131"/>
        <v>0.97937395000000005</v>
      </c>
      <c r="AR262" s="11">
        <f t="shared" si="132"/>
        <v>0.8962407041850623</v>
      </c>
      <c r="AS262" s="11">
        <f t="shared" si="133"/>
        <v>0.91511593113647982</v>
      </c>
      <c r="AT262" s="11">
        <f t="shared" si="158"/>
        <v>507.97188664649997</v>
      </c>
      <c r="AU262" s="11">
        <f t="shared" si="159"/>
        <v>1896.6425030105124</v>
      </c>
      <c r="AV262" s="11">
        <f t="shared" si="160"/>
        <v>2.1751390567182989E-3</v>
      </c>
      <c r="AW262" s="11">
        <f t="shared" si="161"/>
        <v>3.6770358841811742E-7</v>
      </c>
      <c r="AX262" s="11"/>
      <c r="AY262" s="11"/>
    </row>
    <row r="263" spans="1:51" ht="14.5">
      <c r="A263" s="4">
        <f t="shared" si="134"/>
        <v>1380.7349279852986</v>
      </c>
      <c r="B263" s="4">
        <f t="shared" ref="B263:C263" si="168">A263/60</f>
        <v>23.012248799754975</v>
      </c>
      <c r="C263" s="4">
        <f t="shared" si="168"/>
        <v>0.38353747999591625</v>
      </c>
      <c r="D263" s="4">
        <f t="shared" si="136"/>
        <v>11112.343611141001</v>
      </c>
      <c r="E263" s="4">
        <f t="shared" si="137"/>
        <v>52.031163161786885</v>
      </c>
      <c r="F263" s="4">
        <f t="shared" si="138"/>
        <v>51.0542692640092</v>
      </c>
      <c r="G263" s="4"/>
      <c r="H263" s="6">
        <v>3000</v>
      </c>
      <c r="I263" s="5">
        <v>0</v>
      </c>
      <c r="J263" s="4">
        <f t="shared" si="102"/>
        <v>0.20797490098723775</v>
      </c>
      <c r="K263" s="4">
        <f t="shared" si="103"/>
        <v>229.78632003118699</v>
      </c>
      <c r="L263" s="6">
        <v>130.3103199999999</v>
      </c>
      <c r="M263" s="4">
        <f t="shared" si="104"/>
        <v>136.14471803735779</v>
      </c>
      <c r="N263" s="4">
        <f t="shared" si="105"/>
        <v>57.425577469141665</v>
      </c>
      <c r="O263" s="4">
        <f t="shared" si="106"/>
        <v>1359293.7766793312</v>
      </c>
      <c r="P263" s="4">
        <f t="shared" si="107"/>
        <v>8727621.2004960272</v>
      </c>
      <c r="Q263" s="4">
        <f t="shared" si="108"/>
        <v>3.0577820454500224E-3</v>
      </c>
      <c r="R263" s="4">
        <f t="shared" si="109"/>
        <v>2.3590200020671685E-2</v>
      </c>
      <c r="S263" s="27">
        <v>0</v>
      </c>
      <c r="T263" s="4">
        <f t="shared" si="110"/>
        <v>0.84134177781156649</v>
      </c>
      <c r="U263" s="4">
        <f t="shared" si="111"/>
        <v>6.8296064839221599E-2</v>
      </c>
      <c r="V263" s="4">
        <f t="shared" si="112"/>
        <v>12.319037411484858</v>
      </c>
      <c r="W263" s="20">
        <f t="shared" si="113"/>
        <v>902.04642132031563</v>
      </c>
      <c r="X263" s="4">
        <f t="shared" si="114"/>
        <v>0.61116153950616525</v>
      </c>
      <c r="Y263" s="4">
        <f t="shared" si="115"/>
        <v>136.05195183295564</v>
      </c>
      <c r="Z263" s="14">
        <f t="shared" si="116"/>
        <v>902.04642132031563</v>
      </c>
      <c r="AA263" s="14">
        <f t="shared" si="117"/>
        <v>5628.3916222821908</v>
      </c>
      <c r="AB263" s="25">
        <f t="shared" si="118"/>
        <v>207277.92765249699</v>
      </c>
      <c r="AC263" s="4">
        <f t="shared" si="119"/>
        <v>1293327.3985785872</v>
      </c>
      <c r="AD263" s="5">
        <f t="shared" si="120"/>
        <v>16.026717432902355</v>
      </c>
      <c r="AE263" s="7">
        <f t="shared" si="121"/>
        <v>902.04642132031552</v>
      </c>
      <c r="AF263" s="4">
        <f t="shared" si="122"/>
        <v>0</v>
      </c>
      <c r="AG263" s="4">
        <f t="shared" si="123"/>
        <v>-2.9103830456733704E-11</v>
      </c>
      <c r="AH263" s="4">
        <f t="shared" si="124"/>
        <v>646.39973872417306</v>
      </c>
      <c r="AI263" s="13">
        <f t="shared" si="125"/>
        <v>-2.350870436533463E-15</v>
      </c>
      <c r="AJ263" s="10">
        <f t="shared" si="126"/>
        <v>-5.8617481744415362E-16</v>
      </c>
      <c r="AK263" s="11">
        <f t="shared" si="127"/>
        <v>-1.5714325335056137E-13</v>
      </c>
      <c r="AL263" s="6">
        <v>0</v>
      </c>
      <c r="AM263" s="6">
        <v>50</v>
      </c>
      <c r="AN263" s="4">
        <f t="shared" si="128"/>
        <v>8.9777741489468479</v>
      </c>
      <c r="AO263" s="6">
        <f t="shared" si="129"/>
        <v>1.8908988616299691</v>
      </c>
      <c r="AP263" s="11">
        <f t="shared" si="130"/>
        <v>0.71659254274081019</v>
      </c>
      <c r="AQ263" s="11">
        <f t="shared" si="131"/>
        <v>0.97937395000000005</v>
      </c>
      <c r="AR263" s="11">
        <f t="shared" si="132"/>
        <v>0.8962407041850623</v>
      </c>
      <c r="AS263" s="11">
        <f t="shared" si="133"/>
        <v>0.91511593113647982</v>
      </c>
      <c r="AT263" s="11">
        <f t="shared" si="158"/>
        <v>507.97188664649997</v>
      </c>
      <c r="AU263" s="11">
        <f t="shared" si="159"/>
        <v>1896.6425030105124</v>
      </c>
      <c r="AV263" s="11">
        <f t="shared" si="160"/>
        <v>2.1751390567182989E-3</v>
      </c>
      <c r="AW263" s="11">
        <f t="shared" si="161"/>
        <v>3.6770358841811742E-7</v>
      </c>
      <c r="AX263" s="11"/>
      <c r="AY263" s="11"/>
    </row>
    <row r="264" spans="1:51" ht="14.5">
      <c r="A264" s="4">
        <f t="shared" si="134"/>
        <v>1430.7349279852986</v>
      </c>
      <c r="B264" s="4">
        <f t="shared" ref="B264:C264" si="169">A264/60</f>
        <v>23.84558213308831</v>
      </c>
      <c r="C264" s="4">
        <f t="shared" si="169"/>
        <v>0.39742636888480515</v>
      </c>
      <c r="D264" s="4">
        <f t="shared" si="136"/>
        <v>11103.365836992054</v>
      </c>
      <c r="E264" s="4">
        <f t="shared" si="137"/>
        <v>53.922062023416856</v>
      </c>
      <c r="F264" s="4">
        <f t="shared" si="138"/>
        <v>52.945168125639171</v>
      </c>
      <c r="G264" s="4"/>
      <c r="H264" s="6">
        <v>3000</v>
      </c>
      <c r="I264" s="5">
        <v>0</v>
      </c>
      <c r="J264" s="4">
        <f t="shared" si="102"/>
        <v>0.20797490098723775</v>
      </c>
      <c r="K264" s="4">
        <f t="shared" si="103"/>
        <v>229.78632003118699</v>
      </c>
      <c r="L264" s="6">
        <v>130.3103199999999</v>
      </c>
      <c r="M264" s="4">
        <f t="shared" si="104"/>
        <v>136.14471803735779</v>
      </c>
      <c r="N264" s="4">
        <f t="shared" si="105"/>
        <v>57.425577469141665</v>
      </c>
      <c r="O264" s="4">
        <f t="shared" si="106"/>
        <v>1359293.7766793312</v>
      </c>
      <c r="P264" s="4">
        <f t="shared" si="107"/>
        <v>8727621.2004960272</v>
      </c>
      <c r="Q264" s="4">
        <f t="shared" si="108"/>
        <v>3.0577820454500224E-3</v>
      </c>
      <c r="R264" s="4">
        <f t="shared" si="109"/>
        <v>2.3590200020671685E-2</v>
      </c>
      <c r="S264" s="27">
        <v>0</v>
      </c>
      <c r="T264" s="4">
        <f t="shared" si="110"/>
        <v>0.84066204932875632</v>
      </c>
      <c r="U264" s="4">
        <f t="shared" si="111"/>
        <v>6.8223857384077324E-2</v>
      </c>
      <c r="V264" s="4">
        <f t="shared" si="112"/>
        <v>12.32211255068901</v>
      </c>
      <c r="W264" s="20">
        <f t="shared" si="113"/>
        <v>901.09271371419118</v>
      </c>
      <c r="X264" s="4">
        <f t="shared" si="114"/>
        <v>0.61116153950616525</v>
      </c>
      <c r="Y264" s="4">
        <f t="shared" si="115"/>
        <v>135.99698185800258</v>
      </c>
      <c r="Z264" s="14">
        <f t="shared" si="116"/>
        <v>901.09271371419118</v>
      </c>
      <c r="AA264" s="14">
        <f t="shared" si="117"/>
        <v>5628.3916222821908</v>
      </c>
      <c r="AB264" s="25">
        <f t="shared" si="118"/>
        <v>207058.7786912999</v>
      </c>
      <c r="AC264" s="4">
        <f t="shared" si="119"/>
        <v>1293327.3985785872</v>
      </c>
      <c r="AD264" s="5">
        <f t="shared" si="120"/>
        <v>16.009772847839212</v>
      </c>
      <c r="AE264" s="7">
        <f t="shared" si="121"/>
        <v>901.09271371419118</v>
      </c>
      <c r="AF264" s="4">
        <f t="shared" si="122"/>
        <v>0</v>
      </c>
      <c r="AG264" s="4">
        <f t="shared" si="123"/>
        <v>0</v>
      </c>
      <c r="AH264" s="4">
        <f t="shared" si="124"/>
        <v>645.71631896566919</v>
      </c>
      <c r="AI264" s="13">
        <f t="shared" si="125"/>
        <v>0</v>
      </c>
      <c r="AJ264" s="10">
        <f t="shared" si="126"/>
        <v>0</v>
      </c>
      <c r="AK264" s="11">
        <f t="shared" si="127"/>
        <v>0</v>
      </c>
      <c r="AL264" s="6">
        <v>0</v>
      </c>
      <c r="AM264" s="6">
        <v>50</v>
      </c>
      <c r="AN264" s="4">
        <f t="shared" si="128"/>
        <v>8.9682822078565163</v>
      </c>
      <c r="AO264" s="6">
        <f t="shared" si="129"/>
        <v>1.8908988616299691</v>
      </c>
      <c r="AP264" s="11">
        <f t="shared" si="130"/>
        <v>0.71659254274081019</v>
      </c>
      <c r="AQ264" s="11">
        <f t="shared" si="131"/>
        <v>0.97937395000000005</v>
      </c>
      <c r="AR264" s="11">
        <f t="shared" si="132"/>
        <v>0.8962407041850623</v>
      </c>
      <c r="AS264" s="11">
        <f t="shared" si="133"/>
        <v>0.91511593113647982</v>
      </c>
      <c r="AT264" s="11">
        <f t="shared" si="158"/>
        <v>507.97188664649997</v>
      </c>
      <c r="AU264" s="11">
        <f t="shared" si="159"/>
        <v>1896.6425030105124</v>
      </c>
      <c r="AV264" s="11">
        <f t="shared" si="160"/>
        <v>2.1751390567182989E-3</v>
      </c>
      <c r="AW264" s="11">
        <f t="shared" si="161"/>
        <v>3.6770358841811742E-7</v>
      </c>
      <c r="AX264" s="11"/>
      <c r="AY264" s="11"/>
    </row>
    <row r="265" spans="1:51" ht="14.5">
      <c r="A265" s="4">
        <f t="shared" si="134"/>
        <v>1480.7349279852986</v>
      </c>
      <c r="B265" s="4">
        <f t="shared" ref="B265:C265" si="170">A265/60</f>
        <v>24.678915466421643</v>
      </c>
      <c r="C265" s="4">
        <f t="shared" si="170"/>
        <v>0.41131525777369404</v>
      </c>
      <c r="D265" s="4">
        <f t="shared" si="136"/>
        <v>11094.397554784198</v>
      </c>
      <c r="E265" s="4">
        <f t="shared" si="137"/>
        <v>55.812960885046827</v>
      </c>
      <c r="F265" s="4">
        <f t="shared" si="138"/>
        <v>54.836066987269142</v>
      </c>
      <c r="G265" s="4"/>
      <c r="H265" s="6">
        <v>3000</v>
      </c>
      <c r="I265" s="5">
        <v>0</v>
      </c>
      <c r="J265" s="4">
        <f t="shared" si="102"/>
        <v>0.20797490098723775</v>
      </c>
      <c r="K265" s="4">
        <f t="shared" si="103"/>
        <v>229.78632003118699</v>
      </c>
      <c r="L265" s="6">
        <v>130.3103199999999</v>
      </c>
      <c r="M265" s="4">
        <f t="shared" si="104"/>
        <v>136.14471803735779</v>
      </c>
      <c r="N265" s="4">
        <f t="shared" si="105"/>
        <v>57.425577469141665</v>
      </c>
      <c r="O265" s="4">
        <f t="shared" si="106"/>
        <v>1359293.7766793312</v>
      </c>
      <c r="P265" s="4">
        <f t="shared" si="107"/>
        <v>8727621.2004960272</v>
      </c>
      <c r="Q265" s="4">
        <f t="shared" si="108"/>
        <v>3.0577820454500224E-3</v>
      </c>
      <c r="R265" s="4">
        <f t="shared" si="109"/>
        <v>2.3590200020671685E-2</v>
      </c>
      <c r="S265" s="27">
        <v>0</v>
      </c>
      <c r="T265" s="4">
        <f t="shared" si="110"/>
        <v>0.83998303950322251</v>
      </c>
      <c r="U265" s="4">
        <f t="shared" si="111"/>
        <v>6.8151784539970325E-2</v>
      </c>
      <c r="V265" s="4">
        <f t="shared" si="112"/>
        <v>12.325180406839985</v>
      </c>
      <c r="W265" s="20">
        <f t="shared" si="113"/>
        <v>900.14078403487292</v>
      </c>
      <c r="X265" s="4">
        <f t="shared" si="114"/>
        <v>0.61116153950616525</v>
      </c>
      <c r="Y265" s="4">
        <f t="shared" si="115"/>
        <v>135.94204780861526</v>
      </c>
      <c r="Z265" s="14">
        <f t="shared" si="116"/>
        <v>900.14078403487292</v>
      </c>
      <c r="AA265" s="14">
        <f t="shared" si="117"/>
        <v>5628.3916222821908</v>
      </c>
      <c r="AB265" s="25">
        <f t="shared" si="118"/>
        <v>206840.03827336087</v>
      </c>
      <c r="AC265" s="4">
        <f t="shared" si="119"/>
        <v>1293327.3985785872</v>
      </c>
      <c r="AD265" s="5">
        <f t="shared" si="120"/>
        <v>15.992859851317265</v>
      </c>
      <c r="AE265" s="7">
        <f t="shared" si="121"/>
        <v>900.14078403487292</v>
      </c>
      <c r="AF265" s="4">
        <f t="shared" si="122"/>
        <v>0</v>
      </c>
      <c r="AG265" s="4">
        <f t="shared" si="123"/>
        <v>2.9103830456733704E-11</v>
      </c>
      <c r="AH265" s="4">
        <f t="shared" si="124"/>
        <v>645.03417325625605</v>
      </c>
      <c r="AI265" s="13">
        <f t="shared" si="125"/>
        <v>0</v>
      </c>
      <c r="AJ265" s="10">
        <f t="shared" si="126"/>
        <v>0</v>
      </c>
      <c r="AK265" s="11">
        <f t="shared" si="127"/>
        <v>1.5739744486179888E-13</v>
      </c>
      <c r="AL265" s="6">
        <v>0</v>
      </c>
      <c r="AM265" s="6">
        <v>50</v>
      </c>
      <c r="AN265" s="4">
        <f t="shared" si="128"/>
        <v>8.958807961892445</v>
      </c>
      <c r="AO265" s="6">
        <f t="shared" si="129"/>
        <v>1.8908988616299691</v>
      </c>
      <c r="AP265" s="11">
        <f t="shared" si="130"/>
        <v>0.71659254274081019</v>
      </c>
      <c r="AQ265" s="11">
        <f t="shared" si="131"/>
        <v>0.97937395000000005</v>
      </c>
      <c r="AR265" s="11">
        <f t="shared" si="132"/>
        <v>0.8962407041850623</v>
      </c>
      <c r="AS265" s="11">
        <f t="shared" si="133"/>
        <v>0.91511593113647982</v>
      </c>
      <c r="AT265" s="11">
        <f t="shared" si="158"/>
        <v>507.97188664649997</v>
      </c>
      <c r="AU265" s="11">
        <f t="shared" si="159"/>
        <v>1896.6425030105124</v>
      </c>
      <c r="AV265" s="11">
        <f t="shared" si="160"/>
        <v>2.1751390567182989E-3</v>
      </c>
      <c r="AW265" s="11">
        <f t="shared" si="161"/>
        <v>3.6770358841811742E-7</v>
      </c>
      <c r="AX265" s="11"/>
      <c r="AY265" s="11"/>
    </row>
    <row r="266" spans="1:51" ht="14.5">
      <c r="A266" s="4">
        <f t="shared" si="134"/>
        <v>1530.7349279852986</v>
      </c>
      <c r="B266" s="4">
        <f t="shared" ref="B266:C266" si="171">A266/60</f>
        <v>25.512248799754975</v>
      </c>
      <c r="C266" s="4">
        <f t="shared" si="171"/>
        <v>0.42520414666258294</v>
      </c>
      <c r="D266" s="4">
        <f t="shared" si="136"/>
        <v>11085.438746822307</v>
      </c>
      <c r="E266" s="4">
        <f t="shared" si="137"/>
        <v>57.703859746676798</v>
      </c>
      <c r="F266" s="4">
        <f t="shared" si="138"/>
        <v>56.726965848899113</v>
      </c>
      <c r="G266" s="4"/>
      <c r="H266" s="6">
        <v>3000</v>
      </c>
      <c r="I266" s="5">
        <v>0</v>
      </c>
      <c r="J266" s="4">
        <f t="shared" si="102"/>
        <v>0.20797490098723775</v>
      </c>
      <c r="K266" s="4">
        <f t="shared" si="103"/>
        <v>229.78632003118699</v>
      </c>
      <c r="L266" s="6">
        <v>130.3103199999999</v>
      </c>
      <c r="M266" s="4">
        <f t="shared" si="104"/>
        <v>136.14471803735779</v>
      </c>
      <c r="N266" s="4">
        <f t="shared" si="105"/>
        <v>57.425577469141665</v>
      </c>
      <c r="O266" s="4">
        <f t="shared" si="106"/>
        <v>1359293.7766793312</v>
      </c>
      <c r="P266" s="4">
        <f t="shared" si="107"/>
        <v>8727621.2004960272</v>
      </c>
      <c r="Q266" s="4">
        <f t="shared" si="108"/>
        <v>3.0577820454500224E-3</v>
      </c>
      <c r="R266" s="4">
        <f t="shared" si="109"/>
        <v>2.3590200020671685E-2</v>
      </c>
      <c r="S266" s="27">
        <v>0</v>
      </c>
      <c r="T266" s="4">
        <f t="shared" si="110"/>
        <v>0.83930474699522506</v>
      </c>
      <c r="U266" s="4">
        <f t="shared" si="111"/>
        <v>6.8079845979953896E-2</v>
      </c>
      <c r="V266" s="4">
        <f t="shared" si="112"/>
        <v>12.328240978135559</v>
      </c>
      <c r="W266" s="20">
        <f t="shared" si="113"/>
        <v>899.1906279640873</v>
      </c>
      <c r="X266" s="4">
        <f t="shared" si="114"/>
        <v>0.61116153950616525</v>
      </c>
      <c r="Y266" s="4">
        <f t="shared" si="115"/>
        <v>135.88714961990888</v>
      </c>
      <c r="Z266" s="14">
        <f t="shared" si="116"/>
        <v>899.1906279640873</v>
      </c>
      <c r="AA266" s="14">
        <f t="shared" si="117"/>
        <v>5628.3916222821908</v>
      </c>
      <c r="AB266" s="25">
        <f t="shared" si="118"/>
        <v>206621.70540639976</v>
      </c>
      <c r="AC266" s="4">
        <f t="shared" si="119"/>
        <v>1293327.3985785872</v>
      </c>
      <c r="AD266" s="5">
        <f t="shared" si="120"/>
        <v>15.975978366613461</v>
      </c>
      <c r="AE266" s="7">
        <f t="shared" si="121"/>
        <v>899.19062796408718</v>
      </c>
      <c r="AF266" s="4">
        <f t="shared" si="122"/>
        <v>0</v>
      </c>
      <c r="AG266" s="4">
        <f t="shared" si="123"/>
        <v>-2.9103830456733704E-11</v>
      </c>
      <c r="AH266" s="4">
        <f t="shared" si="124"/>
        <v>644.35329850149105</v>
      </c>
      <c r="AI266" s="13">
        <f t="shared" si="125"/>
        <v>-2.356576106067192E-15</v>
      </c>
      <c r="AJ266" s="10">
        <f t="shared" si="126"/>
        <v>-5.8759749040194611E-16</v>
      </c>
      <c r="AK266" s="11">
        <f t="shared" si="127"/>
        <v>-1.5752464717777519E-13</v>
      </c>
      <c r="AL266" s="6">
        <v>0</v>
      </c>
      <c r="AM266" s="6">
        <v>50</v>
      </c>
      <c r="AN266" s="4">
        <f t="shared" si="128"/>
        <v>8.9493513680762646</v>
      </c>
      <c r="AO266" s="6">
        <f t="shared" si="129"/>
        <v>1.8908988616299691</v>
      </c>
      <c r="AP266" s="11">
        <f t="shared" si="130"/>
        <v>0.71659254274081019</v>
      </c>
      <c r="AQ266" s="11">
        <f t="shared" si="131"/>
        <v>0.97937395000000005</v>
      </c>
      <c r="AR266" s="11">
        <f t="shared" si="132"/>
        <v>0.8962407041850623</v>
      </c>
      <c r="AS266" s="11">
        <f t="shared" si="133"/>
        <v>0.91511593113647982</v>
      </c>
      <c r="AT266" s="11">
        <f t="shared" si="158"/>
        <v>507.97188664649997</v>
      </c>
      <c r="AU266" s="11">
        <f t="shared" si="159"/>
        <v>1896.6425030105124</v>
      </c>
      <c r="AV266" s="11">
        <f t="shared" si="160"/>
        <v>2.1751390567182989E-3</v>
      </c>
      <c r="AW266" s="11">
        <f t="shared" si="161"/>
        <v>3.6770358841811742E-7</v>
      </c>
      <c r="AX266" s="11"/>
      <c r="AY266" s="11"/>
    </row>
    <row r="267" spans="1:51" ht="14.5">
      <c r="A267" s="4">
        <f t="shared" si="134"/>
        <v>1580.7349279852986</v>
      </c>
      <c r="B267" s="4">
        <f t="shared" ref="B267:C267" si="172">A267/60</f>
        <v>26.34558213308831</v>
      </c>
      <c r="C267" s="4">
        <f t="shared" si="172"/>
        <v>0.43909303555147183</v>
      </c>
      <c r="D267" s="4">
        <f t="shared" si="136"/>
        <v>11076.489395454231</v>
      </c>
      <c r="E267" s="4">
        <f t="shared" si="137"/>
        <v>59.594758608306769</v>
      </c>
      <c r="F267" s="4">
        <f t="shared" si="138"/>
        <v>58.617864710529084</v>
      </c>
      <c r="G267" s="4"/>
      <c r="H267" s="6">
        <v>3000</v>
      </c>
      <c r="I267" s="5">
        <v>0</v>
      </c>
      <c r="J267" s="4">
        <f t="shared" si="102"/>
        <v>0.20797490098723775</v>
      </c>
      <c r="K267" s="4">
        <f t="shared" si="103"/>
        <v>229.78632003118699</v>
      </c>
      <c r="L267" s="6">
        <v>130.3103199999999</v>
      </c>
      <c r="M267" s="4">
        <f t="shared" si="104"/>
        <v>136.14471803735779</v>
      </c>
      <c r="N267" s="4">
        <f t="shared" si="105"/>
        <v>57.425577469141665</v>
      </c>
      <c r="O267" s="4">
        <f t="shared" si="106"/>
        <v>1359293.7766793312</v>
      </c>
      <c r="P267" s="4">
        <f t="shared" si="107"/>
        <v>8727621.2004960272</v>
      </c>
      <c r="Q267" s="4">
        <f t="shared" si="108"/>
        <v>3.0577820454500224E-3</v>
      </c>
      <c r="R267" s="4">
        <f t="shared" si="109"/>
        <v>2.3590200020671685E-2</v>
      </c>
      <c r="S267" s="27">
        <v>0</v>
      </c>
      <c r="T267" s="4">
        <f t="shared" si="110"/>
        <v>0.83862717046827817</v>
      </c>
      <c r="U267" s="4">
        <f t="shared" si="111"/>
        <v>6.8008041378080392E-2</v>
      </c>
      <c r="V267" s="4">
        <f t="shared" si="112"/>
        <v>12.331294262777803</v>
      </c>
      <c r="W267" s="20">
        <f t="shared" si="113"/>
        <v>898.24224119675591</v>
      </c>
      <c r="X267" s="4">
        <f t="shared" si="114"/>
        <v>0.61116153950616525</v>
      </c>
      <c r="Y267" s="4">
        <f t="shared" si="115"/>
        <v>135.83228722712875</v>
      </c>
      <c r="Z267" s="14">
        <f t="shared" si="116"/>
        <v>898.24224119675591</v>
      </c>
      <c r="AA267" s="14">
        <f t="shared" si="117"/>
        <v>5628.3916222821908</v>
      </c>
      <c r="AB267" s="25">
        <f t="shared" si="118"/>
        <v>206403.77910116842</v>
      </c>
      <c r="AC267" s="4">
        <f t="shared" si="119"/>
        <v>1293327.3985785872</v>
      </c>
      <c r="AD267" s="5">
        <f t="shared" si="120"/>
        <v>15.959128317239198</v>
      </c>
      <c r="AE267" s="7">
        <f t="shared" si="121"/>
        <v>898.24224119675591</v>
      </c>
      <c r="AF267" s="4">
        <f t="shared" si="122"/>
        <v>0</v>
      </c>
      <c r="AG267" s="4">
        <f t="shared" si="123"/>
        <v>-2.9103830456733704E-11</v>
      </c>
      <c r="AH267" s="4">
        <f t="shared" si="124"/>
        <v>643.67369161638749</v>
      </c>
      <c r="AI267" s="13">
        <f t="shared" si="125"/>
        <v>0</v>
      </c>
      <c r="AJ267" s="10">
        <f t="shared" si="126"/>
        <v>0</v>
      </c>
      <c r="AK267" s="11">
        <f t="shared" si="127"/>
        <v>-1.5765192066366002E-13</v>
      </c>
      <c r="AL267" s="6">
        <v>0</v>
      </c>
      <c r="AM267" s="6">
        <v>50</v>
      </c>
      <c r="AN267" s="4">
        <f t="shared" si="128"/>
        <v>8.9399123835609373</v>
      </c>
      <c r="AO267" s="6">
        <f t="shared" si="129"/>
        <v>1.8908988616299691</v>
      </c>
      <c r="AP267" s="11">
        <f t="shared" si="130"/>
        <v>0.71659254274081019</v>
      </c>
      <c r="AQ267" s="11">
        <f t="shared" si="131"/>
        <v>0.97937395000000005</v>
      </c>
      <c r="AR267" s="11">
        <f t="shared" si="132"/>
        <v>0.8962407041850623</v>
      </c>
      <c r="AS267" s="11">
        <f t="shared" si="133"/>
        <v>0.91511593113647982</v>
      </c>
      <c r="AT267" s="11">
        <f t="shared" si="158"/>
        <v>507.97188664649997</v>
      </c>
      <c r="AU267" s="11">
        <f t="shared" si="159"/>
        <v>1896.6425030105124</v>
      </c>
      <c r="AV267" s="11">
        <f t="shared" si="160"/>
        <v>2.1751390567182989E-3</v>
      </c>
      <c r="AW267" s="11">
        <f t="shared" si="161"/>
        <v>3.6770358841811742E-7</v>
      </c>
      <c r="AX267" s="11"/>
      <c r="AY267" s="11"/>
    </row>
    <row r="268" spans="1:51" ht="14.5">
      <c r="A268" s="4">
        <f t="shared" si="134"/>
        <v>1630.7349279852986</v>
      </c>
      <c r="B268" s="4">
        <f t="shared" ref="B268:C268" si="173">A268/60</f>
        <v>27.178915466421643</v>
      </c>
      <c r="C268" s="4">
        <f t="shared" si="173"/>
        <v>0.45298192444036073</v>
      </c>
      <c r="D268" s="4">
        <f t="shared" si="136"/>
        <v>11067.54948307067</v>
      </c>
      <c r="E268" s="4">
        <f t="shared" si="137"/>
        <v>61.48565746993674</v>
      </c>
      <c r="F268" s="4">
        <f t="shared" si="138"/>
        <v>60.508763572159054</v>
      </c>
      <c r="G268" s="4"/>
      <c r="H268" s="6">
        <v>3000</v>
      </c>
      <c r="I268" s="5">
        <v>0</v>
      </c>
      <c r="J268" s="4">
        <f t="shared" si="102"/>
        <v>0.20797490098723775</v>
      </c>
      <c r="K268" s="4">
        <f t="shared" ref="K268:K284" si="174">SQRT((1.4*2116.22*AR268*(J268)^2)/AV288)</f>
        <v>229.78632003118699</v>
      </c>
      <c r="L268" s="6">
        <v>130.3103199999999</v>
      </c>
      <c r="M268" s="4">
        <f t="shared" si="104"/>
        <v>136.14471803735779</v>
      </c>
      <c r="N268" s="4">
        <f t="shared" ref="N268:N284" si="175">0.5*AV288*K268^2</f>
        <v>57.425577469141665</v>
      </c>
      <c r="O268" s="4">
        <f t="shared" ref="O268:O284" si="176">P268/$B$7</f>
        <v>1359293.7766793312</v>
      </c>
      <c r="P268" s="4">
        <f t="shared" ref="P268:P284" si="177">(AV288*K268*$B$7)/(AW288)</f>
        <v>8727621.2004960272</v>
      </c>
      <c r="Q268" s="4">
        <f t="shared" si="108"/>
        <v>3.0577820454500224E-3</v>
      </c>
      <c r="R268" s="4">
        <f t="shared" ref="R268:R284" si="178">(((Q268*$B$4)+$B$17)+(0.1*(Q268*$B$4)))</f>
        <v>2.3590200020671685E-2</v>
      </c>
      <c r="S268" s="27">
        <v>0</v>
      </c>
      <c r="T268" s="4">
        <f t="shared" ref="T268:T284" si="179">(D268*COS(RADIANS(S268)))/(N268*$B$3)</f>
        <v>0.8379503085891401</v>
      </c>
      <c r="U268" s="4">
        <f t="shared" ref="U268:U284" si="180">(W268)/(N268*$B$3)</f>
        <v>6.7936370409397609E-2</v>
      </c>
      <c r="V268" s="4">
        <f t="shared" si="112"/>
        <v>12.334340258973075</v>
      </c>
      <c r="W268" s="20">
        <f t="shared" ref="W268:W284" si="181">(N268*$B$3*R268)+((N268*$B$3)*((T268^2)/(PI()*$B$6*$B$5)))</f>
        <v>897.29561944094803</v>
      </c>
      <c r="X268" s="4">
        <f t="shared" ref="X268:X284" si="182">SQRT(PI()*$B$6*$B$5*R268)</f>
        <v>0.61116153950616525</v>
      </c>
      <c r="Y268" s="4">
        <f t="shared" ref="Y268:Y284" si="183">SQRT((2*((T268*N268*$B$3)/(D268))*D268)/(AV288*$B$3*$B$18))</f>
        <v>135.77746056565005</v>
      </c>
      <c r="Z268" s="14">
        <f t="shared" ref="Z268:Z284" si="184">W268+(D268*(SIN(RADIANS(S268))))</f>
        <v>897.29561944094803</v>
      </c>
      <c r="AA268" s="14">
        <f t="shared" ref="AA268:AA284" si="185">$B$15*AR268</f>
        <v>5628.3916222821908</v>
      </c>
      <c r="AB268" s="25">
        <f t="shared" si="118"/>
        <v>206186.25837143985</v>
      </c>
      <c r="AC268" s="4">
        <f t="shared" si="119"/>
        <v>1293327.3985785872</v>
      </c>
      <c r="AD268" s="5">
        <f t="shared" si="120"/>
        <v>15.942309626939466</v>
      </c>
      <c r="AE268" s="7">
        <f t="shared" si="121"/>
        <v>897.29561944094814</v>
      </c>
      <c r="AF268" s="4">
        <f t="shared" si="122"/>
        <v>0</v>
      </c>
      <c r="AG268" s="4">
        <f t="shared" si="123"/>
        <v>2.9103830456733704E-11</v>
      </c>
      <c r="AH268" s="4">
        <f t="shared" si="124"/>
        <v>642.99534952537942</v>
      </c>
      <c r="AI268" s="13">
        <f t="shared" si="125"/>
        <v>2.3603852068601657E-15</v>
      </c>
      <c r="AJ268" s="10">
        <f t="shared" ref="AJ268:AJ284" si="186">DEGREES(ASIN(((AE268-W268)/(D268))))</f>
        <v>5.8854726582438082E-16</v>
      </c>
      <c r="AK268" s="11">
        <f t="shared" ref="AK268:AK284" si="187">(AG268/D268)*60</f>
        <v>1.5777926541689465E-13</v>
      </c>
      <c r="AL268" s="6">
        <v>0</v>
      </c>
      <c r="AM268" s="6">
        <v>50</v>
      </c>
      <c r="AN268" s="4">
        <f t="shared" si="128"/>
        <v>8.9304909656302698</v>
      </c>
      <c r="AO268" s="6">
        <f t="shared" si="129"/>
        <v>1.8908988616299691</v>
      </c>
      <c r="AP268" s="11">
        <f t="shared" si="130"/>
        <v>0.71659254274081019</v>
      </c>
      <c r="AQ268" s="11">
        <f t="shared" ref="AQ268:AQ284" si="188">IF(H268 &lt;= 36089, ((1 - 6.87535*10^(-6)*H268) + ((I268*1.8)/518.67)), 0.75187 + ((I268*1.8)/518.67))</f>
        <v>0.97937395000000005</v>
      </c>
      <c r="AR268" s="11">
        <f t="shared" ref="AR268:AR284" si="189">IF(H268 &lt;= 36089, (1 - 6.87535*10^(-6)*H268)^5.2561, 0.22336*EXP((36089 - H268)/(20806.7)))</f>
        <v>0.8962407041850623</v>
      </c>
      <c r="AS268" s="11">
        <f t="shared" si="133"/>
        <v>0.91511593113647982</v>
      </c>
      <c r="AT268" s="11">
        <f t="shared" si="158"/>
        <v>507.97188664649997</v>
      </c>
      <c r="AU268" s="11">
        <f t="shared" si="159"/>
        <v>1896.6425030105124</v>
      </c>
      <c r="AV268" s="11">
        <f t="shared" si="160"/>
        <v>2.1751390567182989E-3</v>
      </c>
      <c r="AW268" s="11">
        <f t="shared" si="161"/>
        <v>3.6770358841811742E-7</v>
      </c>
      <c r="AX268" s="11"/>
      <c r="AY268" s="11"/>
    </row>
    <row r="269" spans="1:51" ht="14.5">
      <c r="A269" s="4">
        <f t="shared" si="134"/>
        <v>1680.7349279852986</v>
      </c>
      <c r="B269" s="4">
        <f t="shared" ref="B269:C269" si="190">A269/60</f>
        <v>28.012248799754975</v>
      </c>
      <c r="C269" s="4">
        <f t="shared" si="190"/>
        <v>0.46687081332924957</v>
      </c>
      <c r="D269" s="4">
        <f t="shared" si="136"/>
        <v>11058.618992105039</v>
      </c>
      <c r="E269" s="4">
        <f t="shared" si="137"/>
        <v>63.376556331566711</v>
      </c>
      <c r="F269" s="4">
        <f t="shared" si="138"/>
        <v>62.399662433789025</v>
      </c>
      <c r="G269" s="4"/>
      <c r="H269" s="6">
        <v>3000</v>
      </c>
      <c r="I269" s="5">
        <v>0</v>
      </c>
      <c r="J269" s="4">
        <f t="shared" si="102"/>
        <v>0.20797490098723775</v>
      </c>
      <c r="K269" s="4">
        <f t="shared" si="174"/>
        <v>229.78632003118699</v>
      </c>
      <c r="L269" s="6">
        <v>130.3103199999999</v>
      </c>
      <c r="M269" s="4">
        <f t="shared" si="104"/>
        <v>136.14471803735779</v>
      </c>
      <c r="N269" s="4">
        <f t="shared" si="175"/>
        <v>57.425577469141665</v>
      </c>
      <c r="O269" s="4">
        <f t="shared" si="176"/>
        <v>1359293.7766793312</v>
      </c>
      <c r="P269" s="4">
        <f t="shared" si="177"/>
        <v>8727621.2004960272</v>
      </c>
      <c r="Q269" s="4">
        <f t="shared" si="108"/>
        <v>3.0577820454500224E-3</v>
      </c>
      <c r="R269" s="4">
        <f t="shared" si="178"/>
        <v>2.3590200020671685E-2</v>
      </c>
      <c r="S269" s="27">
        <v>0</v>
      </c>
      <c r="T269" s="4">
        <f t="shared" si="179"/>
        <v>0.83727416002780319</v>
      </c>
      <c r="U269" s="4">
        <f t="shared" si="180"/>
        <v>6.7864832749945023E-2</v>
      </c>
      <c r="V269" s="4">
        <f t="shared" si="112"/>
        <v>12.337378964932046</v>
      </c>
      <c r="W269" s="20">
        <f t="shared" si="181"/>
        <v>896.35075841783123</v>
      </c>
      <c r="X269" s="4">
        <f t="shared" si="182"/>
        <v>0.61116153950616525</v>
      </c>
      <c r="Y269" s="4">
        <f t="shared" si="183"/>
        <v>135.72266957097736</v>
      </c>
      <c r="Z269" s="14">
        <f t="shared" si="184"/>
        <v>896.35075841783123</v>
      </c>
      <c r="AA269" s="14">
        <f t="shared" si="185"/>
        <v>5628.3916222821908</v>
      </c>
      <c r="AB269" s="25">
        <f t="shared" si="118"/>
        <v>205969.14223399694</v>
      </c>
      <c r="AC269" s="4">
        <f t="shared" si="119"/>
        <v>1293327.3985785872</v>
      </c>
      <c r="AD269" s="5">
        <f t="shared" si="120"/>
        <v>15.925522219691961</v>
      </c>
      <c r="AE269" s="7">
        <f t="shared" si="121"/>
        <v>896.35075841783123</v>
      </c>
      <c r="AF269" s="4">
        <f t="shared" si="122"/>
        <v>0</v>
      </c>
      <c r="AG269" s="4">
        <f t="shared" si="123"/>
        <v>0</v>
      </c>
      <c r="AH269" s="4">
        <f t="shared" si="124"/>
        <v>642.31826916228738</v>
      </c>
      <c r="AI269" s="13">
        <f t="shared" si="125"/>
        <v>0</v>
      </c>
      <c r="AJ269" s="10">
        <f t="shared" si="186"/>
        <v>0</v>
      </c>
      <c r="AK269" s="11">
        <f t="shared" si="187"/>
        <v>0</v>
      </c>
      <c r="AL269" s="6">
        <v>0</v>
      </c>
      <c r="AM269" s="6">
        <v>50</v>
      </c>
      <c r="AN269" s="4">
        <f t="shared" si="128"/>
        <v>8.9210870716984356</v>
      </c>
      <c r="AO269" s="6">
        <f t="shared" si="129"/>
        <v>1.8908988616299691</v>
      </c>
      <c r="AP269" s="11">
        <f t="shared" si="130"/>
        <v>0.71659254274081019</v>
      </c>
      <c r="AQ269" s="11">
        <f t="shared" si="188"/>
        <v>0.97937395000000005</v>
      </c>
      <c r="AR269" s="11">
        <f t="shared" si="189"/>
        <v>0.8962407041850623</v>
      </c>
      <c r="AS269" s="11">
        <f t="shared" si="133"/>
        <v>0.91511593113647982</v>
      </c>
      <c r="AT269" s="11">
        <f t="shared" si="158"/>
        <v>507.97188664649997</v>
      </c>
      <c r="AU269" s="11">
        <f t="shared" si="159"/>
        <v>1896.6425030105124</v>
      </c>
      <c r="AV269" s="11">
        <f t="shared" si="160"/>
        <v>2.1751390567182989E-3</v>
      </c>
      <c r="AW269" s="11">
        <f t="shared" si="161"/>
        <v>3.6770358841811742E-7</v>
      </c>
      <c r="AX269" s="11"/>
      <c r="AY269" s="11"/>
    </row>
    <row r="270" spans="1:51" ht="14.5">
      <c r="A270" s="4">
        <f t="shared" si="134"/>
        <v>1730.7349279852986</v>
      </c>
      <c r="B270" s="4">
        <f t="shared" ref="B270:C270" si="191">A270/60</f>
        <v>28.84558213308831</v>
      </c>
      <c r="C270" s="4">
        <f t="shared" si="191"/>
        <v>0.48075970221813852</v>
      </c>
      <c r="D270" s="4">
        <f t="shared" si="136"/>
        <v>11049.697905033341</v>
      </c>
      <c r="E270" s="4">
        <f t="shared" si="137"/>
        <v>65.267455193196682</v>
      </c>
      <c r="F270" s="4">
        <f t="shared" si="138"/>
        <v>64.290561295418996</v>
      </c>
      <c r="G270" s="4"/>
      <c r="H270" s="6">
        <v>3000</v>
      </c>
      <c r="I270" s="5">
        <v>0</v>
      </c>
      <c r="J270" s="4">
        <f t="shared" si="102"/>
        <v>0.20797490098723775</v>
      </c>
      <c r="K270" s="4">
        <f t="shared" si="174"/>
        <v>229.78632003118699</v>
      </c>
      <c r="L270" s="6">
        <v>130.3103199999999</v>
      </c>
      <c r="M270" s="4">
        <f t="shared" si="104"/>
        <v>136.14471803735779</v>
      </c>
      <c r="N270" s="4">
        <f t="shared" si="175"/>
        <v>57.425577469141665</v>
      </c>
      <c r="O270" s="4">
        <f t="shared" si="176"/>
        <v>1359293.7766793312</v>
      </c>
      <c r="P270" s="4">
        <f t="shared" si="177"/>
        <v>8727621.2004960272</v>
      </c>
      <c r="Q270" s="4">
        <f t="shared" si="108"/>
        <v>3.0577820454500224E-3</v>
      </c>
      <c r="R270" s="4">
        <f t="shared" si="178"/>
        <v>2.3590200020671685E-2</v>
      </c>
      <c r="S270" s="27">
        <v>0</v>
      </c>
      <c r="T270" s="4">
        <f t="shared" si="179"/>
        <v>0.83659872345748432</v>
      </c>
      <c r="U270" s="4">
        <f t="shared" si="180"/>
        <v>6.7793428076750373E-2</v>
      </c>
      <c r="V270" s="4">
        <f t="shared" si="112"/>
        <v>12.340410378869663</v>
      </c>
      <c r="W270" s="20">
        <f t="shared" si="181"/>
        <v>895.4076538616257</v>
      </c>
      <c r="X270" s="4">
        <f t="shared" si="182"/>
        <v>0.61116153950616525</v>
      </c>
      <c r="Y270" s="4">
        <f t="shared" si="183"/>
        <v>135.66791417874447</v>
      </c>
      <c r="Z270" s="14">
        <f t="shared" si="184"/>
        <v>895.4076538616257</v>
      </c>
      <c r="AA270" s="14">
        <f t="shared" si="185"/>
        <v>5628.3916222821908</v>
      </c>
      <c r="AB270" s="25">
        <f t="shared" si="118"/>
        <v>205752.42970862181</v>
      </c>
      <c r="AC270" s="4">
        <f t="shared" si="119"/>
        <v>1293327.3985785872</v>
      </c>
      <c r="AD270" s="5">
        <f t="shared" si="120"/>
        <v>15.908766019706306</v>
      </c>
      <c r="AE270" s="7">
        <f t="shared" si="121"/>
        <v>895.40765386162559</v>
      </c>
      <c r="AF270" s="4">
        <f t="shared" si="122"/>
        <v>0</v>
      </c>
      <c r="AG270" s="4">
        <f t="shared" si="123"/>
        <v>0</v>
      </c>
      <c r="AH270" s="4">
        <f t="shared" si="124"/>
        <v>641.64244747028556</v>
      </c>
      <c r="AI270" s="13">
        <f t="shared" si="125"/>
        <v>-2.3641985781469254E-15</v>
      </c>
      <c r="AJ270" s="10">
        <f t="shared" si="186"/>
        <v>-5.8949810606769056E-16</v>
      </c>
      <c r="AK270" s="11">
        <f t="shared" si="187"/>
        <v>0</v>
      </c>
      <c r="AL270" s="6">
        <v>0</v>
      </c>
      <c r="AM270" s="6">
        <v>50</v>
      </c>
      <c r="AN270" s="4">
        <f t="shared" si="128"/>
        <v>8.9117006593095205</v>
      </c>
      <c r="AO270" s="6">
        <f t="shared" si="129"/>
        <v>1.8908988616299691</v>
      </c>
      <c r="AP270" s="11">
        <f t="shared" si="130"/>
        <v>0.71659254274081019</v>
      </c>
      <c r="AQ270" s="11">
        <f t="shared" si="188"/>
        <v>0.97937395000000005</v>
      </c>
      <c r="AR270" s="11">
        <f t="shared" si="189"/>
        <v>0.8962407041850623</v>
      </c>
      <c r="AS270" s="11">
        <f t="shared" si="133"/>
        <v>0.91511593113647982</v>
      </c>
      <c r="AT270" s="11">
        <f t="shared" si="158"/>
        <v>507.97188664649997</v>
      </c>
      <c r="AU270" s="11">
        <f t="shared" si="159"/>
        <v>1896.6425030105124</v>
      </c>
      <c r="AV270" s="11">
        <f t="shared" si="160"/>
        <v>2.1751390567182989E-3</v>
      </c>
      <c r="AW270" s="11">
        <f t="shared" si="161"/>
        <v>3.6770358841811742E-7</v>
      </c>
      <c r="AX270" s="11"/>
      <c r="AY270" s="11"/>
    </row>
    <row r="271" spans="1:51" ht="14.5">
      <c r="A271" s="4">
        <f t="shared" si="134"/>
        <v>1780.7349279852986</v>
      </c>
      <c r="B271" s="4">
        <f t="shared" ref="B271:C271" si="192">A271/60</f>
        <v>29.678915466421643</v>
      </c>
      <c r="C271" s="4">
        <f t="shared" si="192"/>
        <v>0.49464859110702736</v>
      </c>
      <c r="D271" s="4">
        <f t="shared" si="136"/>
        <v>11040.786204374032</v>
      </c>
      <c r="E271" s="4">
        <f t="shared" si="137"/>
        <v>67.158354054826646</v>
      </c>
      <c r="F271" s="4">
        <f t="shared" si="138"/>
        <v>66.18146015704896</v>
      </c>
      <c r="G271" s="4"/>
      <c r="H271" s="6">
        <v>3000</v>
      </c>
      <c r="I271" s="5">
        <v>0</v>
      </c>
      <c r="J271" s="4">
        <f t="shared" si="102"/>
        <v>0.20797490098723775</v>
      </c>
      <c r="K271" s="4">
        <f t="shared" si="174"/>
        <v>229.78632003118699</v>
      </c>
      <c r="L271" s="6">
        <v>130.3103199999999</v>
      </c>
      <c r="M271" s="4">
        <f t="shared" si="104"/>
        <v>136.14471803735779</v>
      </c>
      <c r="N271" s="4">
        <f t="shared" si="175"/>
        <v>57.425577469141665</v>
      </c>
      <c r="O271" s="4">
        <f t="shared" si="176"/>
        <v>1359293.7766793312</v>
      </c>
      <c r="P271" s="4">
        <f t="shared" si="177"/>
        <v>8727621.2004960272</v>
      </c>
      <c r="Q271" s="4">
        <f t="shared" si="108"/>
        <v>3.0577820454500224E-3</v>
      </c>
      <c r="R271" s="4">
        <f t="shared" si="178"/>
        <v>2.3590200020671685E-2</v>
      </c>
      <c r="S271" s="27">
        <v>0</v>
      </c>
      <c r="T271" s="4">
        <f t="shared" si="179"/>
        <v>0.83592399755461444</v>
      </c>
      <c r="U271" s="4">
        <f t="shared" si="180"/>
        <v>6.7722156067825834E-2</v>
      </c>
      <c r="V271" s="4">
        <f t="shared" si="112"/>
        <v>12.343434499005181</v>
      </c>
      <c r="W271" s="20">
        <f t="shared" si="181"/>
        <v>894.46630151955401</v>
      </c>
      <c r="X271" s="4">
        <f t="shared" si="182"/>
        <v>0.61116153950616525</v>
      </c>
      <c r="Y271" s="4">
        <f t="shared" si="183"/>
        <v>135.6131943247137</v>
      </c>
      <c r="Z271" s="14">
        <f t="shared" si="184"/>
        <v>894.46630151955401</v>
      </c>
      <c r="AA271" s="14">
        <f t="shared" si="185"/>
        <v>5628.3916222821908</v>
      </c>
      <c r="AB271" s="25">
        <f t="shared" si="118"/>
        <v>205536.11981808444</v>
      </c>
      <c r="AC271" s="4">
        <f t="shared" si="119"/>
        <v>1293327.3985785872</v>
      </c>
      <c r="AD271" s="5">
        <f t="shared" si="120"/>
        <v>15.892040951423123</v>
      </c>
      <c r="AE271" s="7">
        <f t="shared" si="121"/>
        <v>894.46630151955401</v>
      </c>
      <c r="AF271" s="4">
        <f t="shared" si="122"/>
        <v>0</v>
      </c>
      <c r="AG271" s="4">
        <f t="shared" si="123"/>
        <v>0</v>
      </c>
      <c r="AH271" s="4">
        <f t="shared" si="124"/>
        <v>640.96788140186538</v>
      </c>
      <c r="AI271" s="13">
        <f t="shared" si="125"/>
        <v>0</v>
      </c>
      <c r="AJ271" s="10">
        <f t="shared" si="186"/>
        <v>0</v>
      </c>
      <c r="AK271" s="11">
        <f t="shared" si="187"/>
        <v>0</v>
      </c>
      <c r="AL271" s="6">
        <v>0</v>
      </c>
      <c r="AM271" s="6">
        <v>50</v>
      </c>
      <c r="AN271" s="4">
        <f t="shared" si="128"/>
        <v>8.9023316861370194</v>
      </c>
      <c r="AO271" s="6">
        <f t="shared" si="129"/>
        <v>1.8908988616299691</v>
      </c>
      <c r="AP271" s="11">
        <f t="shared" si="130"/>
        <v>0.71659254274081019</v>
      </c>
      <c r="AQ271" s="11">
        <f t="shared" si="188"/>
        <v>0.97937395000000005</v>
      </c>
      <c r="AR271" s="11">
        <f t="shared" si="189"/>
        <v>0.8962407041850623</v>
      </c>
      <c r="AS271" s="11">
        <f t="shared" si="133"/>
        <v>0.91511593113647982</v>
      </c>
      <c r="AT271" s="11">
        <f t="shared" si="158"/>
        <v>507.97188664649997</v>
      </c>
      <c r="AU271" s="11">
        <f t="shared" si="159"/>
        <v>1896.6425030105124</v>
      </c>
      <c r="AV271" s="11">
        <f t="shared" si="160"/>
        <v>2.1751390567182989E-3</v>
      </c>
      <c r="AW271" s="11">
        <f t="shared" si="161"/>
        <v>3.6770358841811742E-7</v>
      </c>
      <c r="AX271" s="11"/>
      <c r="AY271" s="11"/>
    </row>
    <row r="272" spans="1:51" ht="14.5">
      <c r="A272" s="4">
        <f t="shared" si="134"/>
        <v>1830.7349279852986</v>
      </c>
      <c r="B272" s="4">
        <f t="shared" ref="B272:C272" si="193">A272/60</f>
        <v>30.512248799754975</v>
      </c>
      <c r="C272" s="4">
        <f t="shared" si="193"/>
        <v>0.50853747999591625</v>
      </c>
      <c r="D272" s="4">
        <f t="shared" si="136"/>
        <v>11031.883872687895</v>
      </c>
      <c r="E272" s="4">
        <f t="shared" si="137"/>
        <v>69.049252916456609</v>
      </c>
      <c r="F272" s="4">
        <f t="shared" si="138"/>
        <v>68.072359018678924</v>
      </c>
      <c r="G272" s="4"/>
      <c r="H272" s="6">
        <v>3000</v>
      </c>
      <c r="I272" s="5">
        <v>0</v>
      </c>
      <c r="J272" s="4">
        <f t="shared" si="102"/>
        <v>0.20797490098723775</v>
      </c>
      <c r="K272" s="4">
        <f t="shared" si="174"/>
        <v>229.78632003118699</v>
      </c>
      <c r="L272" s="6">
        <v>130.3103199999999</v>
      </c>
      <c r="M272" s="4">
        <f t="shared" si="104"/>
        <v>136.14471803735779</v>
      </c>
      <c r="N272" s="4">
        <f t="shared" si="175"/>
        <v>57.425577469141665</v>
      </c>
      <c r="O272" s="4">
        <f t="shared" si="176"/>
        <v>1359293.7766793312</v>
      </c>
      <c r="P272" s="4">
        <f t="shared" si="177"/>
        <v>8727621.2004960272</v>
      </c>
      <c r="Q272" s="4">
        <f t="shared" si="108"/>
        <v>3.0577820454500224E-3</v>
      </c>
      <c r="R272" s="4">
        <f t="shared" si="178"/>
        <v>2.3590200020671685E-2</v>
      </c>
      <c r="S272" s="27">
        <v>0</v>
      </c>
      <c r="T272" s="4">
        <f t="shared" si="179"/>
        <v>0.83524998099882919</v>
      </c>
      <c r="U272" s="4">
        <f t="shared" si="180"/>
        <v>6.7651016402164546E-2</v>
      </c>
      <c r="V272" s="4">
        <f t="shared" si="112"/>
        <v>12.34645132356215</v>
      </c>
      <c r="W272" s="20">
        <f t="shared" si="181"/>
        <v>893.52669715179491</v>
      </c>
      <c r="X272" s="4">
        <f t="shared" si="182"/>
        <v>0.61116153950616525</v>
      </c>
      <c r="Y272" s="4">
        <f t="shared" si="183"/>
        <v>135.55850994477584</v>
      </c>
      <c r="Z272" s="14">
        <f t="shared" si="184"/>
        <v>893.52669715179491</v>
      </c>
      <c r="AA272" s="14">
        <f t="shared" si="185"/>
        <v>5628.3916222821908</v>
      </c>
      <c r="AB272" s="25">
        <f t="shared" si="118"/>
        <v>205320.21158813185</v>
      </c>
      <c r="AC272" s="4">
        <f t="shared" si="119"/>
        <v>1293327.3985785872</v>
      </c>
      <c r="AD272" s="5">
        <f t="shared" si="120"/>
        <v>15.875346939513232</v>
      </c>
      <c r="AE272" s="7">
        <f t="shared" si="121"/>
        <v>893.52669715179491</v>
      </c>
      <c r="AF272" s="4">
        <f t="shared" si="122"/>
        <v>0</v>
      </c>
      <c r="AG272" s="4">
        <f t="shared" si="123"/>
        <v>0</v>
      </c>
      <c r="AH272" s="4">
        <f t="shared" si="124"/>
        <v>640.2945679188025</v>
      </c>
      <c r="AI272" s="13">
        <f t="shared" si="125"/>
        <v>0</v>
      </c>
      <c r="AJ272" s="10">
        <f t="shared" si="186"/>
        <v>0</v>
      </c>
      <c r="AK272" s="11">
        <f t="shared" si="187"/>
        <v>0</v>
      </c>
      <c r="AL272" s="6">
        <v>0</v>
      </c>
      <c r="AM272" s="6">
        <v>50</v>
      </c>
      <c r="AN272" s="4">
        <f t="shared" si="128"/>
        <v>8.8929801099833679</v>
      </c>
      <c r="AO272" s="6">
        <f t="shared" si="129"/>
        <v>1.8908988616299691</v>
      </c>
      <c r="AP272" s="11">
        <f t="shared" si="130"/>
        <v>0.71659254274081019</v>
      </c>
      <c r="AQ272" s="11">
        <f t="shared" si="188"/>
        <v>0.97937395000000005</v>
      </c>
      <c r="AR272" s="11">
        <f t="shared" si="189"/>
        <v>0.8962407041850623</v>
      </c>
      <c r="AS272" s="11">
        <f t="shared" si="133"/>
        <v>0.91511593113647982</v>
      </c>
      <c r="AT272" s="11">
        <f t="shared" si="158"/>
        <v>507.97188664649997</v>
      </c>
      <c r="AU272" s="11">
        <f t="shared" si="159"/>
        <v>1896.6425030105124</v>
      </c>
      <c r="AV272" s="11">
        <f t="shared" si="160"/>
        <v>2.1751390567182989E-3</v>
      </c>
      <c r="AW272" s="11">
        <f t="shared" si="161"/>
        <v>3.6770358841811742E-7</v>
      </c>
      <c r="AX272" s="11"/>
      <c r="AY272" s="11"/>
    </row>
    <row r="273" spans="1:51" ht="14.5">
      <c r="A273" s="4">
        <f t="shared" si="134"/>
        <v>1880.7349279852986</v>
      </c>
      <c r="B273" s="4">
        <f t="shared" ref="B273:C273" si="194">A273/60</f>
        <v>31.34558213308831</v>
      </c>
      <c r="C273" s="4">
        <f t="shared" si="194"/>
        <v>0.5224263688848052</v>
      </c>
      <c r="D273" s="4">
        <f t="shared" si="136"/>
        <v>11022.990892577911</v>
      </c>
      <c r="E273" s="4">
        <f t="shared" si="137"/>
        <v>70.940151778086573</v>
      </c>
      <c r="F273" s="4">
        <f t="shared" si="138"/>
        <v>69.963257880308888</v>
      </c>
      <c r="G273" s="4"/>
      <c r="H273" s="6">
        <v>3000</v>
      </c>
      <c r="I273" s="5">
        <v>0</v>
      </c>
      <c r="J273" s="4">
        <f t="shared" si="102"/>
        <v>0.20797490098723775</v>
      </c>
      <c r="K273" s="4">
        <f t="shared" si="174"/>
        <v>229.78632003118699</v>
      </c>
      <c r="L273" s="6">
        <v>130.3103199999999</v>
      </c>
      <c r="M273" s="4">
        <f t="shared" si="104"/>
        <v>136.14471803735779</v>
      </c>
      <c r="N273" s="4">
        <f t="shared" si="175"/>
        <v>57.425577469141665</v>
      </c>
      <c r="O273" s="4">
        <f t="shared" si="176"/>
        <v>1359293.7766793312</v>
      </c>
      <c r="P273" s="4">
        <f t="shared" si="177"/>
        <v>8727621.2004960272</v>
      </c>
      <c r="Q273" s="4">
        <f t="shared" si="108"/>
        <v>3.0577820454500224E-3</v>
      </c>
      <c r="R273" s="4">
        <f t="shared" si="178"/>
        <v>2.3590200020671685E-2</v>
      </c>
      <c r="S273" s="27">
        <v>0</v>
      </c>
      <c r="T273" s="4">
        <f t="shared" si="179"/>
        <v>0.83457667247295941</v>
      </c>
      <c r="U273" s="4">
        <f t="shared" si="180"/>
        <v>6.758000875973702E-2</v>
      </c>
      <c r="V273" s="4">
        <f t="shared" si="112"/>
        <v>12.349460850768423</v>
      </c>
      <c r="W273" s="20">
        <f t="shared" si="181"/>
        <v>892.58883653143653</v>
      </c>
      <c r="X273" s="4">
        <f t="shared" si="182"/>
        <v>0.61116153950616525</v>
      </c>
      <c r="Y273" s="4">
        <f t="shared" si="183"/>
        <v>135.50386097494965</v>
      </c>
      <c r="Z273" s="14">
        <f t="shared" si="184"/>
        <v>892.58883653143653</v>
      </c>
      <c r="AA273" s="14">
        <f t="shared" si="185"/>
        <v>5628.3916222821908</v>
      </c>
      <c r="AB273" s="25">
        <f t="shared" si="118"/>
        <v>205104.70404747751</v>
      </c>
      <c r="AC273" s="4">
        <f t="shared" si="119"/>
        <v>1293327.3985785872</v>
      </c>
      <c r="AD273" s="5">
        <f t="shared" si="120"/>
        <v>15.858683908876813</v>
      </c>
      <c r="AE273" s="7">
        <f t="shared" si="121"/>
        <v>892.58883653143641</v>
      </c>
      <c r="AF273" s="4">
        <f t="shared" si="122"/>
        <v>0</v>
      </c>
      <c r="AG273" s="4">
        <f t="shared" si="123"/>
        <v>0</v>
      </c>
      <c r="AH273" s="4">
        <f t="shared" si="124"/>
        <v>639.62250399212337</v>
      </c>
      <c r="AI273" s="13">
        <f t="shared" si="125"/>
        <v>-2.3699266678722099E-15</v>
      </c>
      <c r="AJ273" s="10">
        <f t="shared" si="186"/>
        <v>-5.9092636935980692E-16</v>
      </c>
      <c r="AK273" s="11">
        <f t="shared" si="187"/>
        <v>0</v>
      </c>
      <c r="AL273" s="6">
        <v>0</v>
      </c>
      <c r="AM273" s="6">
        <v>50</v>
      </c>
      <c r="AN273" s="4">
        <f t="shared" si="128"/>
        <v>8.8836458887794905</v>
      </c>
      <c r="AO273" s="6">
        <f t="shared" si="129"/>
        <v>1.8908988616299691</v>
      </c>
      <c r="AP273" s="11">
        <f t="shared" si="130"/>
        <v>0.71659254274081019</v>
      </c>
      <c r="AQ273" s="11">
        <f t="shared" si="188"/>
        <v>0.97937395000000005</v>
      </c>
      <c r="AR273" s="11">
        <f t="shared" si="189"/>
        <v>0.8962407041850623</v>
      </c>
      <c r="AS273" s="11">
        <f t="shared" si="133"/>
        <v>0.91511593113647982</v>
      </c>
      <c r="AT273" s="11">
        <f t="shared" si="158"/>
        <v>507.97188664649997</v>
      </c>
      <c r="AU273" s="11">
        <f t="shared" si="159"/>
        <v>1896.6425030105124</v>
      </c>
      <c r="AV273" s="11">
        <f t="shared" si="160"/>
        <v>2.1751390567182989E-3</v>
      </c>
      <c r="AW273" s="11">
        <f t="shared" si="161"/>
        <v>3.6770358841811742E-7</v>
      </c>
      <c r="AX273" s="11"/>
      <c r="AY273" s="11"/>
    </row>
    <row r="274" spans="1:51" ht="14.5">
      <c r="A274" s="4">
        <f t="shared" si="134"/>
        <v>1930.7349279852986</v>
      </c>
      <c r="B274" s="4">
        <f t="shared" ref="B274:C274" si="195">A274/60</f>
        <v>32.178915466421643</v>
      </c>
      <c r="C274" s="4">
        <f t="shared" si="195"/>
        <v>0.53631525777369404</v>
      </c>
      <c r="D274" s="4">
        <f t="shared" si="136"/>
        <v>11014.107246689131</v>
      </c>
      <c r="E274" s="4">
        <f t="shared" si="137"/>
        <v>72.831050639716537</v>
      </c>
      <c r="F274" s="4">
        <f t="shared" si="138"/>
        <v>71.854156741938851</v>
      </c>
      <c r="G274" s="4"/>
      <c r="H274" s="6">
        <v>3000</v>
      </c>
      <c r="I274" s="5">
        <v>0</v>
      </c>
      <c r="J274" s="4">
        <f t="shared" si="102"/>
        <v>0.20797490098723775</v>
      </c>
      <c r="K274" s="4">
        <f t="shared" si="174"/>
        <v>229.78632003118699</v>
      </c>
      <c r="L274" s="6">
        <v>130.3103199999999</v>
      </c>
      <c r="M274" s="4">
        <f t="shared" si="104"/>
        <v>136.14471803735779</v>
      </c>
      <c r="N274" s="4">
        <f t="shared" si="175"/>
        <v>57.425577469141665</v>
      </c>
      <c r="O274" s="4">
        <f t="shared" si="176"/>
        <v>1359293.7766793312</v>
      </c>
      <c r="P274" s="4">
        <f t="shared" si="177"/>
        <v>8727621.2004960272</v>
      </c>
      <c r="Q274" s="4">
        <f t="shared" si="108"/>
        <v>3.0577820454500224E-3</v>
      </c>
      <c r="R274" s="4">
        <f t="shared" si="178"/>
        <v>2.3590200020671685E-2</v>
      </c>
      <c r="S274" s="27">
        <v>0</v>
      </c>
      <c r="T274" s="4">
        <f t="shared" si="179"/>
        <v>0.83390407066302064</v>
      </c>
      <c r="U274" s="4">
        <f t="shared" si="180"/>
        <v>6.750913282148753E-2</v>
      </c>
      <c r="V274" s="4">
        <f t="shared" si="112"/>
        <v>12.35246307885615</v>
      </c>
      <c r="W274" s="20">
        <f t="shared" si="181"/>
        <v>891.6527154444284</v>
      </c>
      <c r="X274" s="4">
        <f t="shared" si="182"/>
        <v>0.61116153950616525</v>
      </c>
      <c r="Y274" s="4">
        <f t="shared" si="183"/>
        <v>135.44924735138147</v>
      </c>
      <c r="Z274" s="14">
        <f t="shared" si="184"/>
        <v>891.6527154444284</v>
      </c>
      <c r="AA274" s="14">
        <f t="shared" si="185"/>
        <v>5628.3916222821908</v>
      </c>
      <c r="AB274" s="25">
        <f t="shared" si="118"/>
        <v>204889.59622779032</v>
      </c>
      <c r="AC274" s="4">
        <f t="shared" si="119"/>
        <v>1293327.3985785872</v>
      </c>
      <c r="AD274" s="5">
        <f t="shared" si="120"/>
        <v>15.842051784642564</v>
      </c>
      <c r="AE274" s="7">
        <f t="shared" si="121"/>
        <v>891.6527154444284</v>
      </c>
      <c r="AF274" s="4">
        <f t="shared" si="122"/>
        <v>0</v>
      </c>
      <c r="AG274" s="4">
        <f t="shared" si="123"/>
        <v>0</v>
      </c>
      <c r="AH274" s="4">
        <f t="shared" si="124"/>
        <v>638.95168660207105</v>
      </c>
      <c r="AI274" s="13">
        <f t="shared" si="125"/>
        <v>0</v>
      </c>
      <c r="AJ274" s="10">
        <f t="shared" si="186"/>
        <v>0</v>
      </c>
      <c r="AK274" s="11">
        <f t="shared" si="187"/>
        <v>0</v>
      </c>
      <c r="AL274" s="6">
        <v>0</v>
      </c>
      <c r="AM274" s="6">
        <v>50</v>
      </c>
      <c r="AN274" s="4">
        <f t="shared" si="128"/>
        <v>8.8743289805843197</v>
      </c>
      <c r="AO274" s="6">
        <f t="shared" si="129"/>
        <v>1.8908988616299691</v>
      </c>
      <c r="AP274" s="11">
        <f t="shared" si="130"/>
        <v>0.71659254274081019</v>
      </c>
      <c r="AQ274" s="11">
        <f t="shared" si="188"/>
        <v>0.97937395000000005</v>
      </c>
      <c r="AR274" s="11">
        <f t="shared" si="189"/>
        <v>0.8962407041850623</v>
      </c>
      <c r="AS274" s="11">
        <f t="shared" si="133"/>
        <v>0.91511593113647982</v>
      </c>
      <c r="AT274" s="11">
        <f t="shared" si="158"/>
        <v>507.97188664649997</v>
      </c>
      <c r="AU274" s="11">
        <f t="shared" si="159"/>
        <v>1896.6425030105124</v>
      </c>
      <c r="AV274" s="11">
        <f t="shared" si="160"/>
        <v>2.1751390567182989E-3</v>
      </c>
      <c r="AW274" s="11">
        <f t="shared" si="161"/>
        <v>3.6770358841811742E-7</v>
      </c>
      <c r="AX274" s="11"/>
      <c r="AY274" s="11"/>
    </row>
    <row r="275" spans="1:51" ht="14.5">
      <c r="A275" s="4">
        <f t="shared" si="134"/>
        <v>1980.7349279852986</v>
      </c>
      <c r="B275" s="4">
        <f t="shared" ref="B275:C275" si="196">A275/60</f>
        <v>33.012248799754978</v>
      </c>
      <c r="C275" s="4">
        <f t="shared" si="196"/>
        <v>0.55020414666258299</v>
      </c>
      <c r="D275" s="4">
        <f t="shared" si="136"/>
        <v>11005.232917708547</v>
      </c>
      <c r="E275" s="4">
        <f t="shared" si="137"/>
        <v>74.721949501346501</v>
      </c>
      <c r="F275" s="4">
        <f t="shared" si="138"/>
        <v>73.745055603568815</v>
      </c>
      <c r="G275" s="4"/>
      <c r="H275" s="6">
        <v>3000</v>
      </c>
      <c r="I275" s="5">
        <v>0</v>
      </c>
      <c r="J275" s="4">
        <f t="shared" si="102"/>
        <v>0.20797490098723775</v>
      </c>
      <c r="K275" s="4">
        <f t="shared" si="174"/>
        <v>229.78632003118699</v>
      </c>
      <c r="L275" s="6">
        <v>130.3103199999999</v>
      </c>
      <c r="M275" s="4">
        <f t="shared" si="104"/>
        <v>136.14471803735779</v>
      </c>
      <c r="N275" s="4">
        <f t="shared" si="175"/>
        <v>57.425577469141665</v>
      </c>
      <c r="O275" s="4">
        <f t="shared" si="176"/>
        <v>1359293.7766793312</v>
      </c>
      <c r="P275" s="4">
        <f t="shared" si="177"/>
        <v>8727621.2004960272</v>
      </c>
      <c r="Q275" s="4">
        <f t="shared" si="108"/>
        <v>3.0577820454500224E-3</v>
      </c>
      <c r="R275" s="4">
        <f t="shared" si="178"/>
        <v>2.3590200020671685E-2</v>
      </c>
      <c r="S275" s="27">
        <v>0</v>
      </c>
      <c r="T275" s="4">
        <f t="shared" si="179"/>
        <v>0.83323217425820428</v>
      </c>
      <c r="U275" s="4">
        <f t="shared" si="180"/>
        <v>6.7438388269330629E-2</v>
      </c>
      <c r="V275" s="4">
        <f t="shared" si="112"/>
        <v>12.355458006061784</v>
      </c>
      <c r="W275" s="20">
        <f t="shared" si="181"/>
        <v>890.71832968953504</v>
      </c>
      <c r="X275" s="4">
        <f t="shared" si="182"/>
        <v>0.61116153950616525</v>
      </c>
      <c r="Y275" s="4">
        <f t="shared" si="183"/>
        <v>135.39466901034487</v>
      </c>
      <c r="Z275" s="14">
        <f t="shared" si="184"/>
        <v>890.71832968953504</v>
      </c>
      <c r="AA275" s="14">
        <f t="shared" si="185"/>
        <v>5628.3916222821908</v>
      </c>
      <c r="AB275" s="25">
        <f t="shared" si="118"/>
        <v>204674.88716368383</v>
      </c>
      <c r="AC275" s="4">
        <f t="shared" si="119"/>
        <v>1293327.3985785872</v>
      </c>
      <c r="AD275" s="5">
        <f t="shared" si="120"/>
        <v>15.825450492166857</v>
      </c>
      <c r="AE275" s="7">
        <f t="shared" si="121"/>
        <v>890.71832968953504</v>
      </c>
      <c r="AF275" s="4">
        <f t="shared" si="122"/>
        <v>0</v>
      </c>
      <c r="AG275" s="4">
        <f t="shared" si="123"/>
        <v>0</v>
      </c>
      <c r="AH275" s="4">
        <f t="shared" si="124"/>
        <v>638.28211273807119</v>
      </c>
      <c r="AI275" s="13">
        <f t="shared" si="125"/>
        <v>0</v>
      </c>
      <c r="AJ275" s="10">
        <f t="shared" si="186"/>
        <v>0</v>
      </c>
      <c r="AK275" s="11">
        <f t="shared" si="187"/>
        <v>0</v>
      </c>
      <c r="AL275" s="6">
        <v>0</v>
      </c>
      <c r="AM275" s="6">
        <v>50</v>
      </c>
      <c r="AN275" s="4">
        <f t="shared" si="128"/>
        <v>8.8650293435843217</v>
      </c>
      <c r="AO275" s="6">
        <f t="shared" si="129"/>
        <v>1.8908988616299691</v>
      </c>
      <c r="AP275" s="11">
        <f t="shared" si="130"/>
        <v>0.71659254274081019</v>
      </c>
      <c r="AQ275" s="11">
        <f t="shared" si="188"/>
        <v>0.97937395000000005</v>
      </c>
      <c r="AR275" s="11">
        <f t="shared" si="189"/>
        <v>0.8962407041850623</v>
      </c>
      <c r="AS275" s="11">
        <f t="shared" si="133"/>
        <v>0.91511593113647982</v>
      </c>
      <c r="AT275" s="11">
        <f t="shared" si="158"/>
        <v>507.97188664649997</v>
      </c>
      <c r="AU275" s="11">
        <f t="shared" si="159"/>
        <v>1896.6425030105124</v>
      </c>
      <c r="AV275" s="11">
        <f t="shared" si="160"/>
        <v>2.1751390567182989E-3</v>
      </c>
      <c r="AW275" s="11">
        <f t="shared" si="161"/>
        <v>3.6770358841811742E-7</v>
      </c>
      <c r="AX275" s="11"/>
      <c r="AY275" s="11"/>
    </row>
    <row r="276" spans="1:51" ht="14.5">
      <c r="A276" s="4">
        <f t="shared" si="134"/>
        <v>2030.7349279852986</v>
      </c>
      <c r="B276" s="4">
        <f t="shared" ref="B276:C276" si="197">A276/60</f>
        <v>33.845582133088307</v>
      </c>
      <c r="C276" s="4">
        <f t="shared" si="197"/>
        <v>0.56409303555147183</v>
      </c>
      <c r="D276" s="4">
        <f t="shared" si="136"/>
        <v>10996.367888364963</v>
      </c>
      <c r="E276" s="4">
        <f t="shared" si="137"/>
        <v>76.612848362976465</v>
      </c>
      <c r="F276" s="4">
        <f t="shared" si="138"/>
        <v>75.635954465198779</v>
      </c>
      <c r="G276" s="4"/>
      <c r="H276" s="6">
        <v>3000</v>
      </c>
      <c r="I276" s="5">
        <v>0</v>
      </c>
      <c r="J276" s="4">
        <f t="shared" si="102"/>
        <v>0.20797490098723775</v>
      </c>
      <c r="K276" s="4">
        <f t="shared" si="174"/>
        <v>229.78632003118699</v>
      </c>
      <c r="L276" s="6">
        <v>130.3103199999999</v>
      </c>
      <c r="M276" s="4">
        <f t="shared" si="104"/>
        <v>136.14471803735779</v>
      </c>
      <c r="N276" s="4">
        <f t="shared" si="175"/>
        <v>57.425577469141665</v>
      </c>
      <c r="O276" s="4">
        <f t="shared" si="176"/>
        <v>1359293.7766793312</v>
      </c>
      <c r="P276" s="4">
        <f t="shared" si="177"/>
        <v>8727621.2004960272</v>
      </c>
      <c r="Q276" s="4">
        <f t="shared" si="108"/>
        <v>3.0577820454500224E-3</v>
      </c>
      <c r="R276" s="4">
        <f t="shared" si="178"/>
        <v>2.3590200020671685E-2</v>
      </c>
      <c r="S276" s="27">
        <v>0</v>
      </c>
      <c r="T276" s="4">
        <f t="shared" si="179"/>
        <v>0.83256098195086736</v>
      </c>
      <c r="U276" s="4">
        <f t="shared" si="180"/>
        <v>6.7367774786147555E-2</v>
      </c>
      <c r="V276" s="4">
        <f t="shared" si="112"/>
        <v>12.358445630626084</v>
      </c>
      <c r="W276" s="20">
        <f t="shared" si="181"/>
        <v>889.78567507828916</v>
      </c>
      <c r="X276" s="4">
        <f t="shared" si="182"/>
        <v>0.61116153950616525</v>
      </c>
      <c r="Y276" s="4">
        <f t="shared" si="183"/>
        <v>135.34012588824044</v>
      </c>
      <c r="Z276" s="14">
        <f t="shared" si="184"/>
        <v>889.78567507828916</v>
      </c>
      <c r="AA276" s="14">
        <f t="shared" si="185"/>
        <v>5628.3916222821908</v>
      </c>
      <c r="AB276" s="25">
        <f t="shared" si="118"/>
        <v>204460.5758927055</v>
      </c>
      <c r="AC276" s="4">
        <f t="shared" si="119"/>
        <v>1293327.3985785872</v>
      </c>
      <c r="AD276" s="5">
        <f t="shared" si="120"/>
        <v>15.808879957032918</v>
      </c>
      <c r="AE276" s="7">
        <f t="shared" si="121"/>
        <v>889.78567507828916</v>
      </c>
      <c r="AF276" s="4">
        <f t="shared" si="122"/>
        <v>0</v>
      </c>
      <c r="AG276" s="4">
        <f t="shared" si="123"/>
        <v>0</v>
      </c>
      <c r="AH276" s="4">
        <f t="shared" si="124"/>
        <v>637.61377939869953</v>
      </c>
      <c r="AI276" s="13">
        <f t="shared" si="125"/>
        <v>0</v>
      </c>
      <c r="AJ276" s="10">
        <f t="shared" si="186"/>
        <v>0</v>
      </c>
      <c r="AK276" s="11">
        <f t="shared" si="187"/>
        <v>0</v>
      </c>
      <c r="AL276" s="6">
        <v>0</v>
      </c>
      <c r="AM276" s="6">
        <v>50</v>
      </c>
      <c r="AN276" s="4">
        <f t="shared" si="128"/>
        <v>8.8557469360930483</v>
      </c>
      <c r="AO276" s="6">
        <f t="shared" si="129"/>
        <v>1.8908988616299691</v>
      </c>
      <c r="AP276" s="11">
        <f t="shared" si="130"/>
        <v>0.71659254274081019</v>
      </c>
      <c r="AQ276" s="11">
        <f t="shared" si="188"/>
        <v>0.97937395000000005</v>
      </c>
      <c r="AR276" s="11">
        <f t="shared" si="189"/>
        <v>0.8962407041850623</v>
      </c>
      <c r="AS276" s="11">
        <f t="shared" si="133"/>
        <v>0.91511593113647982</v>
      </c>
      <c r="AT276" s="11">
        <f t="shared" si="158"/>
        <v>507.97188664649997</v>
      </c>
      <c r="AU276" s="11">
        <f t="shared" si="159"/>
        <v>1896.6425030105124</v>
      </c>
      <c r="AV276" s="11">
        <f t="shared" si="160"/>
        <v>2.1751390567182989E-3</v>
      </c>
      <c r="AW276" s="11">
        <f t="shared" si="161"/>
        <v>3.6770358841811742E-7</v>
      </c>
      <c r="AX276" s="11"/>
      <c r="AY276" s="11"/>
    </row>
    <row r="277" spans="1:51" ht="14.5">
      <c r="A277" s="4">
        <f t="shared" si="134"/>
        <v>2080.7349279852988</v>
      </c>
      <c r="B277" s="4">
        <f t="shared" ref="B277:C277" si="198">A277/60</f>
        <v>34.67891546642165</v>
      </c>
      <c r="C277" s="4">
        <f t="shared" si="198"/>
        <v>0.57798192444036078</v>
      </c>
      <c r="D277" s="4">
        <f t="shared" si="136"/>
        <v>10987.51214142887</v>
      </c>
      <c r="E277" s="4">
        <f t="shared" si="137"/>
        <v>78.503747224606428</v>
      </c>
      <c r="F277" s="4">
        <f t="shared" si="138"/>
        <v>77.526853326828743</v>
      </c>
      <c r="G277" s="4"/>
      <c r="H277" s="6">
        <v>3000</v>
      </c>
      <c r="I277" s="5">
        <v>0</v>
      </c>
      <c r="J277" s="4">
        <f t="shared" si="102"/>
        <v>0.20797490098723775</v>
      </c>
      <c r="K277" s="4">
        <f t="shared" si="174"/>
        <v>229.78632003118699</v>
      </c>
      <c r="L277" s="6">
        <v>130.3103199999999</v>
      </c>
      <c r="M277" s="4">
        <f t="shared" si="104"/>
        <v>136.14471803735779</v>
      </c>
      <c r="N277" s="4">
        <f t="shared" si="175"/>
        <v>57.425577469141665</v>
      </c>
      <c r="O277" s="4">
        <f t="shared" si="176"/>
        <v>1359293.7766793312</v>
      </c>
      <c r="P277" s="4">
        <f t="shared" si="177"/>
        <v>8727621.2004960272</v>
      </c>
      <c r="Q277" s="4">
        <f t="shared" si="108"/>
        <v>3.0577820454500224E-3</v>
      </c>
      <c r="R277" s="4">
        <f t="shared" si="178"/>
        <v>2.3590200020671685E-2</v>
      </c>
      <c r="S277" s="27">
        <v>0</v>
      </c>
      <c r="T277" s="4">
        <f t="shared" si="179"/>
        <v>0.83189049243652291</v>
      </c>
      <c r="U277" s="4">
        <f t="shared" si="180"/>
        <v>6.7297292055782762E-2</v>
      </c>
      <c r="V277" s="4">
        <f t="shared" si="112"/>
        <v>12.361425950794104</v>
      </c>
      <c r="W277" s="20">
        <f t="shared" si="181"/>
        <v>888.85474743494501</v>
      </c>
      <c r="X277" s="4">
        <f t="shared" si="182"/>
        <v>0.61116153950616525</v>
      </c>
      <c r="Y277" s="4">
        <f t="shared" si="183"/>
        <v>135.28561792159513</v>
      </c>
      <c r="Z277" s="14">
        <f t="shared" si="184"/>
        <v>888.85474743494501</v>
      </c>
      <c r="AA277" s="14">
        <f t="shared" si="185"/>
        <v>5628.3916222821908</v>
      </c>
      <c r="AB277" s="25">
        <f t="shared" si="118"/>
        <v>204246.66145532616</v>
      </c>
      <c r="AC277" s="4">
        <f t="shared" si="119"/>
        <v>1293327.3985785872</v>
      </c>
      <c r="AD277" s="5">
        <f t="shared" si="120"/>
        <v>15.792340105050004</v>
      </c>
      <c r="AE277" s="7">
        <f t="shared" si="121"/>
        <v>888.85474743494501</v>
      </c>
      <c r="AF277" s="4">
        <f t="shared" si="122"/>
        <v>0</v>
      </c>
      <c r="AG277" s="4">
        <f t="shared" si="123"/>
        <v>-2.9103830456733704E-11</v>
      </c>
      <c r="AH277" s="4">
        <f t="shared" si="124"/>
        <v>636.94668359164791</v>
      </c>
      <c r="AI277" s="13">
        <f t="shared" si="125"/>
        <v>0</v>
      </c>
      <c r="AJ277" s="10">
        <f t="shared" si="186"/>
        <v>0</v>
      </c>
      <c r="AK277" s="11">
        <f t="shared" si="187"/>
        <v>-1.5892859137964366E-13</v>
      </c>
      <c r="AL277" s="6">
        <v>0</v>
      </c>
      <c r="AM277" s="6">
        <v>50</v>
      </c>
      <c r="AN277" s="4">
        <f t="shared" si="128"/>
        <v>8.8464817165506648</v>
      </c>
      <c r="AO277" s="6">
        <f t="shared" si="129"/>
        <v>1.8908988616299691</v>
      </c>
      <c r="AP277" s="11">
        <f t="shared" si="130"/>
        <v>0.71659254274081019</v>
      </c>
      <c r="AQ277" s="11">
        <f t="shared" si="188"/>
        <v>0.97937395000000005</v>
      </c>
      <c r="AR277" s="11">
        <f t="shared" si="189"/>
        <v>0.8962407041850623</v>
      </c>
      <c r="AS277" s="11">
        <f t="shared" si="133"/>
        <v>0.91511593113647982</v>
      </c>
      <c r="AT277" s="11">
        <f t="shared" si="158"/>
        <v>507.97188664649997</v>
      </c>
      <c r="AU277" s="11">
        <f t="shared" si="159"/>
        <v>1896.6425030105124</v>
      </c>
      <c r="AV277" s="11">
        <f t="shared" si="160"/>
        <v>2.1751390567182989E-3</v>
      </c>
      <c r="AW277" s="11">
        <f t="shared" si="161"/>
        <v>3.6770358841811742E-7</v>
      </c>
      <c r="AX277" s="11"/>
      <c r="AY277" s="11"/>
    </row>
    <row r="278" spans="1:51" ht="14.5">
      <c r="A278" s="4">
        <f t="shared" si="134"/>
        <v>2130.7349279852988</v>
      </c>
      <c r="B278" s="4">
        <f t="shared" ref="B278:C278" si="199">A278/60</f>
        <v>35.512248799754978</v>
      </c>
      <c r="C278" s="4">
        <f t="shared" si="199"/>
        <v>0.59187081332924962</v>
      </c>
      <c r="D278" s="4">
        <f t="shared" si="136"/>
        <v>10978.665659712318</v>
      </c>
      <c r="E278" s="4">
        <f t="shared" si="137"/>
        <v>80.394646086236392</v>
      </c>
      <c r="F278" s="4">
        <f t="shared" si="138"/>
        <v>79.417752188458707</v>
      </c>
      <c r="G278" s="4"/>
      <c r="H278" s="6">
        <v>3000</v>
      </c>
      <c r="I278" s="5">
        <v>0</v>
      </c>
      <c r="J278" s="4">
        <f t="shared" si="102"/>
        <v>0.20797490098723775</v>
      </c>
      <c r="K278" s="4">
        <f t="shared" si="174"/>
        <v>229.78632003118699</v>
      </c>
      <c r="L278" s="6">
        <v>130.3103199999999</v>
      </c>
      <c r="M278" s="4">
        <f t="shared" si="104"/>
        <v>136.14471803735779</v>
      </c>
      <c r="N278" s="4">
        <f t="shared" si="175"/>
        <v>57.425577469141665</v>
      </c>
      <c r="O278" s="4">
        <f t="shared" si="176"/>
        <v>1359293.7766793312</v>
      </c>
      <c r="P278" s="4">
        <f t="shared" si="177"/>
        <v>8727621.2004960272</v>
      </c>
      <c r="Q278" s="4">
        <f t="shared" si="108"/>
        <v>3.0577820454500224E-3</v>
      </c>
      <c r="R278" s="4">
        <f t="shared" si="178"/>
        <v>2.3590200020671685E-2</v>
      </c>
      <c r="S278" s="27">
        <v>0</v>
      </c>
      <c r="T278" s="4">
        <f t="shared" si="179"/>
        <v>0.83122070441383089</v>
      </c>
      <c r="U278" s="4">
        <f t="shared" si="180"/>
        <v>6.7226939763040353E-2</v>
      </c>
      <c r="V278" s="4">
        <f t="shared" si="112"/>
        <v>12.364398964815214</v>
      </c>
      <c r="W278" s="20">
        <f t="shared" si="181"/>
        <v>887.92554259643248</v>
      </c>
      <c r="X278" s="4">
        <f t="shared" si="182"/>
        <v>0.61116153950616525</v>
      </c>
      <c r="Y278" s="4">
        <f t="shared" si="183"/>
        <v>135.2311450470622</v>
      </c>
      <c r="Z278" s="14">
        <f t="shared" si="184"/>
        <v>887.92554259643248</v>
      </c>
      <c r="AA278" s="14">
        <f t="shared" si="185"/>
        <v>5628.3916222821908</v>
      </c>
      <c r="AB278" s="25">
        <f t="shared" si="118"/>
        <v>204033.14289492919</v>
      </c>
      <c r="AC278" s="4">
        <f t="shared" si="119"/>
        <v>1293327.3985785872</v>
      </c>
      <c r="AD278" s="5">
        <f t="shared" si="120"/>
        <v>15.77583086225258</v>
      </c>
      <c r="AE278" s="7">
        <f t="shared" si="121"/>
        <v>887.92554259643248</v>
      </c>
      <c r="AF278" s="4">
        <f t="shared" si="122"/>
        <v>0</v>
      </c>
      <c r="AG278" s="4">
        <f t="shared" si="123"/>
        <v>0</v>
      </c>
      <c r="AH278" s="4">
        <f t="shared" si="124"/>
        <v>636.28082233369116</v>
      </c>
      <c r="AI278" s="13">
        <f t="shared" si="125"/>
        <v>0</v>
      </c>
      <c r="AJ278" s="10">
        <f t="shared" si="186"/>
        <v>0</v>
      </c>
      <c r="AK278" s="11">
        <f t="shared" si="187"/>
        <v>0</v>
      </c>
      <c r="AL278" s="6">
        <v>0</v>
      </c>
      <c r="AM278" s="6">
        <v>50</v>
      </c>
      <c r="AN278" s="4">
        <f t="shared" si="128"/>
        <v>8.8372336435234882</v>
      </c>
      <c r="AO278" s="6">
        <f t="shared" si="129"/>
        <v>1.8908988616299691</v>
      </c>
      <c r="AP278" s="11">
        <f t="shared" si="130"/>
        <v>0.71659254274081019</v>
      </c>
      <c r="AQ278" s="11">
        <f t="shared" si="188"/>
        <v>0.97937395000000005</v>
      </c>
      <c r="AR278" s="11">
        <f t="shared" si="189"/>
        <v>0.8962407041850623</v>
      </c>
      <c r="AS278" s="11">
        <f t="shared" si="133"/>
        <v>0.91511593113647982</v>
      </c>
      <c r="AT278" s="11">
        <f t="shared" si="158"/>
        <v>507.97188664649997</v>
      </c>
      <c r="AU278" s="11">
        <f t="shared" si="159"/>
        <v>1896.6425030105124</v>
      </c>
      <c r="AV278" s="11">
        <f t="shared" si="160"/>
        <v>2.1751390567182989E-3</v>
      </c>
      <c r="AW278" s="11">
        <f t="shared" si="161"/>
        <v>3.6770358841811742E-7</v>
      </c>
      <c r="AX278" s="11"/>
      <c r="AY278" s="11"/>
    </row>
    <row r="279" spans="1:51" ht="14.5">
      <c r="A279" s="4">
        <f t="shared" si="134"/>
        <v>2180.7349279852988</v>
      </c>
      <c r="B279" s="4">
        <f t="shared" ref="B279:C279" si="200">A279/60</f>
        <v>36.345582133088314</v>
      </c>
      <c r="C279" s="4">
        <f t="shared" si="200"/>
        <v>0.60575970221813857</v>
      </c>
      <c r="D279" s="4">
        <f t="shared" si="136"/>
        <v>10969.828426068794</v>
      </c>
      <c r="E279" s="4">
        <f t="shared" si="137"/>
        <v>82.285544947866356</v>
      </c>
      <c r="F279" s="4">
        <f t="shared" si="138"/>
        <v>81.30865105008867</v>
      </c>
      <c r="G279" s="4"/>
      <c r="H279" s="6">
        <v>3000</v>
      </c>
      <c r="I279" s="5">
        <v>0</v>
      </c>
      <c r="J279" s="4">
        <f t="shared" si="102"/>
        <v>0.20797490098723775</v>
      </c>
      <c r="K279" s="4">
        <f t="shared" si="174"/>
        <v>229.78632003118699</v>
      </c>
      <c r="L279" s="6">
        <v>130.3103199999999</v>
      </c>
      <c r="M279" s="4">
        <f t="shared" si="104"/>
        <v>136.14471803735779</v>
      </c>
      <c r="N279" s="4">
        <f t="shared" si="175"/>
        <v>57.425577469141665</v>
      </c>
      <c r="O279" s="4">
        <f t="shared" si="176"/>
        <v>1359293.7766793312</v>
      </c>
      <c r="P279" s="4">
        <f t="shared" si="177"/>
        <v>8727621.2004960272</v>
      </c>
      <c r="Q279" s="4">
        <f t="shared" si="108"/>
        <v>3.0577820454500224E-3</v>
      </c>
      <c r="R279" s="4">
        <f t="shared" si="178"/>
        <v>2.3590200020671685E-2</v>
      </c>
      <c r="S279" s="27">
        <v>0</v>
      </c>
      <c r="T279" s="4">
        <f t="shared" si="179"/>
        <v>0.83055161658458809</v>
      </c>
      <c r="U279" s="4">
        <f t="shared" si="180"/>
        <v>6.7156717593680679E-2</v>
      </c>
      <c r="V279" s="4">
        <f t="shared" si="112"/>
        <v>12.367364670943081</v>
      </c>
      <c r="W279" s="20">
        <f t="shared" si="181"/>
        <v>886.99805641231114</v>
      </c>
      <c r="X279" s="4">
        <f t="shared" si="182"/>
        <v>0.61116153950616525</v>
      </c>
      <c r="Y279" s="4">
        <f t="shared" si="183"/>
        <v>135.17670720142064</v>
      </c>
      <c r="Z279" s="14">
        <f t="shared" si="184"/>
        <v>886.99805641231114</v>
      </c>
      <c r="AA279" s="14">
        <f t="shared" si="185"/>
        <v>5628.3916222821908</v>
      </c>
      <c r="AB279" s="25">
        <f t="shared" si="118"/>
        <v>203820.01925780019</v>
      </c>
      <c r="AC279" s="4">
        <f t="shared" si="119"/>
        <v>1293327.3985785872</v>
      </c>
      <c r="AD279" s="5">
        <f t="shared" si="120"/>
        <v>15.759352154899494</v>
      </c>
      <c r="AE279" s="7">
        <f t="shared" si="121"/>
        <v>886.99805641231103</v>
      </c>
      <c r="AF279" s="4">
        <f t="shared" si="122"/>
        <v>0</v>
      </c>
      <c r="AG279" s="4">
        <f t="shared" si="123"/>
        <v>-2.9103830456733704E-11</v>
      </c>
      <c r="AH279" s="4">
        <f t="shared" si="124"/>
        <v>635.61619265065451</v>
      </c>
      <c r="AI279" s="13">
        <f t="shared" si="125"/>
        <v>-2.3814119110516208E-15</v>
      </c>
      <c r="AJ279" s="10">
        <f t="shared" si="186"/>
        <v>-5.9379014280277064E-16</v>
      </c>
      <c r="AK279" s="11">
        <f t="shared" si="187"/>
        <v>-1.5918478936774131E-13</v>
      </c>
      <c r="AL279" s="6">
        <v>0</v>
      </c>
      <c r="AM279" s="6">
        <v>50</v>
      </c>
      <c r="AN279" s="4">
        <f t="shared" si="128"/>
        <v>8.8280026757035337</v>
      </c>
      <c r="AO279" s="6">
        <f t="shared" si="129"/>
        <v>1.8908988616299691</v>
      </c>
      <c r="AP279" s="11">
        <f t="shared" si="130"/>
        <v>0.71659254274081019</v>
      </c>
      <c r="AQ279" s="11">
        <f t="shared" si="188"/>
        <v>0.97937395000000005</v>
      </c>
      <c r="AR279" s="11">
        <f t="shared" si="189"/>
        <v>0.8962407041850623</v>
      </c>
      <c r="AS279" s="11">
        <f t="shared" si="133"/>
        <v>0.91511593113647982</v>
      </c>
      <c r="AT279" s="11">
        <f t="shared" si="158"/>
        <v>507.97188664649997</v>
      </c>
      <c r="AU279" s="11">
        <f t="shared" si="159"/>
        <v>1896.6425030105124</v>
      </c>
      <c r="AV279" s="11">
        <f t="shared" si="160"/>
        <v>2.1751390567182989E-3</v>
      </c>
      <c r="AW279" s="11">
        <f t="shared" si="161"/>
        <v>3.6770358841811742E-7</v>
      </c>
      <c r="AX279" s="11"/>
      <c r="AY279" s="11"/>
    </row>
    <row r="280" spans="1:51" ht="14.5">
      <c r="A280" s="4">
        <f t="shared" si="134"/>
        <v>2230.7349279852988</v>
      </c>
      <c r="B280" s="4">
        <f t="shared" ref="B280:C280" si="201">A280/60</f>
        <v>37.17891546642165</v>
      </c>
      <c r="C280" s="4">
        <f t="shared" si="201"/>
        <v>0.61964859110702752</v>
      </c>
      <c r="D280" s="4">
        <f t="shared" si="136"/>
        <v>10961.00042339309</v>
      </c>
      <c r="E280" s="4">
        <f t="shared" si="137"/>
        <v>84.17644380949632</v>
      </c>
      <c r="F280" s="4">
        <f t="shared" si="138"/>
        <v>83.199549911718634</v>
      </c>
      <c r="G280" s="4"/>
      <c r="H280" s="6">
        <v>3000</v>
      </c>
      <c r="I280" s="5">
        <v>0</v>
      </c>
      <c r="J280" s="4">
        <f t="shared" si="102"/>
        <v>0.20797490098723775</v>
      </c>
      <c r="K280" s="4">
        <f t="shared" si="174"/>
        <v>229.78632003118699</v>
      </c>
      <c r="L280" s="6">
        <v>130.3103199999999</v>
      </c>
      <c r="M280" s="4">
        <f t="shared" si="104"/>
        <v>136.14471803735779</v>
      </c>
      <c r="N280" s="4">
        <f t="shared" si="175"/>
        <v>57.425577469141665</v>
      </c>
      <c r="O280" s="4">
        <f t="shared" si="176"/>
        <v>1359293.7766793312</v>
      </c>
      <c r="P280" s="4">
        <f t="shared" si="177"/>
        <v>8727621.2004960272</v>
      </c>
      <c r="Q280" s="4">
        <f t="shared" si="108"/>
        <v>3.0577820454500224E-3</v>
      </c>
      <c r="R280" s="4">
        <f t="shared" si="178"/>
        <v>2.3590200020671685E-2</v>
      </c>
      <c r="S280" s="27">
        <v>0</v>
      </c>
      <c r="T280" s="4">
        <f t="shared" si="179"/>
        <v>0.8298832276537188</v>
      </c>
      <c r="U280" s="4">
        <f t="shared" si="180"/>
        <v>6.7086625234416788E-2</v>
      </c>
      <c r="V280" s="4">
        <f t="shared" si="112"/>
        <v>12.370323067435683</v>
      </c>
      <c r="W280" s="20">
        <f t="shared" si="181"/>
        <v>886.07228474472322</v>
      </c>
      <c r="X280" s="4">
        <f t="shared" si="182"/>
        <v>0.61116153950616525</v>
      </c>
      <c r="Y280" s="4">
        <f t="shared" si="183"/>
        <v>135.12230432157492</v>
      </c>
      <c r="Z280" s="14">
        <f t="shared" si="184"/>
        <v>886.07228474472322</v>
      </c>
      <c r="AA280" s="14">
        <f t="shared" si="185"/>
        <v>5628.3916222821908</v>
      </c>
      <c r="AB280" s="25">
        <f t="shared" si="118"/>
        <v>203607.289593116</v>
      </c>
      <c r="AC280" s="4">
        <f t="shared" si="119"/>
        <v>1293327.3985785872</v>
      </c>
      <c r="AD280" s="5">
        <f t="shared" si="120"/>
        <v>15.742903909473165</v>
      </c>
      <c r="AE280" s="7">
        <f t="shared" si="121"/>
        <v>886.07228474472322</v>
      </c>
      <c r="AF280" s="4">
        <f t="shared" si="122"/>
        <v>0</v>
      </c>
      <c r="AG280" s="4">
        <f t="shared" si="123"/>
        <v>0</v>
      </c>
      <c r="AH280" s="4">
        <f t="shared" si="124"/>
        <v>634.95279157738037</v>
      </c>
      <c r="AI280" s="13">
        <f t="shared" si="125"/>
        <v>0</v>
      </c>
      <c r="AJ280" s="10">
        <f t="shared" si="186"/>
        <v>0</v>
      </c>
      <c r="AK280" s="11">
        <f t="shared" si="187"/>
        <v>0</v>
      </c>
      <c r="AL280" s="6">
        <v>0</v>
      </c>
      <c r="AM280" s="6">
        <v>50</v>
      </c>
      <c r="AN280" s="4">
        <f t="shared" si="128"/>
        <v>8.8187887719080607</v>
      </c>
      <c r="AO280" s="6">
        <f t="shared" si="129"/>
        <v>1.8908988616299691</v>
      </c>
      <c r="AP280" s="11">
        <f t="shared" si="130"/>
        <v>0.71659254274081019</v>
      </c>
      <c r="AQ280" s="11">
        <f t="shared" si="188"/>
        <v>0.97937395000000005</v>
      </c>
      <c r="AR280" s="11">
        <f t="shared" si="189"/>
        <v>0.8962407041850623</v>
      </c>
      <c r="AS280" s="11">
        <f t="shared" si="133"/>
        <v>0.91511593113647982</v>
      </c>
      <c r="AT280" s="11">
        <f t="shared" si="158"/>
        <v>507.97188664649997</v>
      </c>
      <c r="AU280" s="11">
        <f t="shared" si="159"/>
        <v>1896.6425030105124</v>
      </c>
      <c r="AV280" s="11">
        <f t="shared" si="160"/>
        <v>2.1751390567182989E-3</v>
      </c>
      <c r="AW280" s="11">
        <f t="shared" si="161"/>
        <v>3.6770358841811742E-7</v>
      </c>
      <c r="AX280" s="11"/>
      <c r="AY280" s="11"/>
    </row>
    <row r="281" spans="1:51" ht="14.5">
      <c r="A281" s="4">
        <f t="shared" si="134"/>
        <v>2280.7349279852988</v>
      </c>
      <c r="B281" s="4">
        <f t="shared" ref="B281:C281" si="202">A281/60</f>
        <v>38.012248799754978</v>
      </c>
      <c r="C281" s="4">
        <f t="shared" si="202"/>
        <v>0.63353747999591625</v>
      </c>
      <c r="D281" s="4">
        <f t="shared" si="136"/>
        <v>10952.181634621182</v>
      </c>
      <c r="E281" s="4">
        <f t="shared" si="137"/>
        <v>86.067342671126283</v>
      </c>
      <c r="F281" s="4">
        <f t="shared" si="138"/>
        <v>85.090448773348598</v>
      </c>
      <c r="G281" s="4"/>
      <c r="H281" s="6">
        <v>3000</v>
      </c>
      <c r="I281" s="5">
        <v>0</v>
      </c>
      <c r="J281" s="4">
        <f t="shared" si="102"/>
        <v>0.20797490098723775</v>
      </c>
      <c r="K281" s="4">
        <f t="shared" si="174"/>
        <v>229.78632003118699</v>
      </c>
      <c r="L281" s="6">
        <v>130.3103199999999</v>
      </c>
      <c r="M281" s="4">
        <f t="shared" si="104"/>
        <v>136.14471803735779</v>
      </c>
      <c r="N281" s="4">
        <f t="shared" si="175"/>
        <v>57.425577469141665</v>
      </c>
      <c r="O281" s="4">
        <f t="shared" si="176"/>
        <v>1359293.7766793312</v>
      </c>
      <c r="P281" s="4">
        <f t="shared" si="177"/>
        <v>8727621.2004960272</v>
      </c>
      <c r="Q281" s="4">
        <f t="shared" si="108"/>
        <v>3.0577820454500224E-3</v>
      </c>
      <c r="R281" s="4">
        <f t="shared" si="178"/>
        <v>2.3590200020671685E-2</v>
      </c>
      <c r="S281" s="27">
        <v>0</v>
      </c>
      <c r="T281" s="4">
        <f t="shared" si="179"/>
        <v>0.82921553632926559</v>
      </c>
      <c r="U281" s="4">
        <f t="shared" si="180"/>
        <v>6.7016662372911012E-2</v>
      </c>
      <c r="V281" s="4">
        <f t="shared" si="112"/>
        <v>12.373274152555306</v>
      </c>
      <c r="W281" s="20">
        <f t="shared" si="181"/>
        <v>885.1482234683499</v>
      </c>
      <c r="X281" s="4">
        <f t="shared" si="182"/>
        <v>0.61116153950616525</v>
      </c>
      <c r="Y281" s="4">
        <f t="shared" si="183"/>
        <v>135.06793634455462</v>
      </c>
      <c r="Z281" s="14">
        <f t="shared" si="184"/>
        <v>885.1482234683499</v>
      </c>
      <c r="AA281" s="14">
        <f t="shared" si="185"/>
        <v>5628.3916222821908</v>
      </c>
      <c r="AB281" s="25">
        <f t="shared" si="118"/>
        <v>203394.95295293487</v>
      </c>
      <c r="AC281" s="4">
        <f t="shared" si="119"/>
        <v>1293327.3985785872</v>
      </c>
      <c r="AD281" s="5">
        <f t="shared" si="120"/>
        <v>15.726486052678784</v>
      </c>
      <c r="AE281" s="7">
        <f t="shared" si="121"/>
        <v>885.1482234683499</v>
      </c>
      <c r="AF281" s="4">
        <f t="shared" si="122"/>
        <v>0</v>
      </c>
      <c r="AG281" s="4">
        <f t="shared" si="123"/>
        <v>0</v>
      </c>
      <c r="AH281" s="4">
        <f t="shared" si="124"/>
        <v>634.29061615769569</v>
      </c>
      <c r="AI281" s="13">
        <f t="shared" si="125"/>
        <v>0</v>
      </c>
      <c r="AJ281" s="10">
        <f t="shared" si="186"/>
        <v>0</v>
      </c>
      <c r="AK281" s="11">
        <f t="shared" si="187"/>
        <v>0</v>
      </c>
      <c r="AL281" s="6">
        <v>0</v>
      </c>
      <c r="AM281" s="6">
        <v>50</v>
      </c>
      <c r="AN281" s="4">
        <f t="shared" si="128"/>
        <v>8.8095918910791067</v>
      </c>
      <c r="AO281" s="6">
        <f t="shared" si="129"/>
        <v>1.8908988616299691</v>
      </c>
      <c r="AP281" s="11">
        <f t="shared" si="130"/>
        <v>0.71659254274081019</v>
      </c>
      <c r="AQ281" s="11">
        <f t="shared" si="188"/>
        <v>0.97937395000000005</v>
      </c>
      <c r="AR281" s="11">
        <f t="shared" si="189"/>
        <v>0.8962407041850623</v>
      </c>
      <c r="AS281" s="11">
        <f t="shared" si="133"/>
        <v>0.91511593113647982</v>
      </c>
      <c r="AT281" s="11">
        <f t="shared" si="158"/>
        <v>507.97188664649997</v>
      </c>
      <c r="AU281" s="11">
        <f t="shared" si="159"/>
        <v>1896.6425030105124</v>
      </c>
      <c r="AV281" s="11">
        <f t="shared" si="160"/>
        <v>2.1751390567182989E-3</v>
      </c>
      <c r="AW281" s="11">
        <f t="shared" si="161"/>
        <v>3.6770358841811742E-7</v>
      </c>
      <c r="AX281" s="11"/>
      <c r="AY281" s="11"/>
    </row>
    <row r="282" spans="1:51" ht="14.5">
      <c r="A282" s="4">
        <f t="shared" si="134"/>
        <v>2330.7349279852988</v>
      </c>
      <c r="B282" s="4">
        <f t="shared" ref="B282:C282" si="203">A282/60</f>
        <v>38.845582133088314</v>
      </c>
      <c r="C282" s="4">
        <f t="shared" si="203"/>
        <v>0.6474263688848052</v>
      </c>
      <c r="D282" s="4">
        <f t="shared" si="136"/>
        <v>10943.372042730103</v>
      </c>
      <c r="E282" s="4">
        <f t="shared" si="137"/>
        <v>87.958241532756247</v>
      </c>
      <c r="F282" s="4">
        <f t="shared" si="138"/>
        <v>86.981347634978562</v>
      </c>
      <c r="G282" s="4"/>
      <c r="H282" s="6">
        <v>3000</v>
      </c>
      <c r="I282" s="5">
        <v>0</v>
      </c>
      <c r="J282" s="4">
        <f t="shared" si="102"/>
        <v>0.20797490098723775</v>
      </c>
      <c r="K282" s="4">
        <f t="shared" si="174"/>
        <v>229.78632003118699</v>
      </c>
      <c r="L282" s="6">
        <v>130.3103199999999</v>
      </c>
      <c r="M282" s="4">
        <f t="shared" si="104"/>
        <v>136.14471803735779</v>
      </c>
      <c r="N282" s="4">
        <f t="shared" si="175"/>
        <v>57.425577469141665</v>
      </c>
      <c r="O282" s="4">
        <f t="shared" si="176"/>
        <v>1359293.7766793312</v>
      </c>
      <c r="P282" s="4">
        <f t="shared" si="177"/>
        <v>8727621.2004960272</v>
      </c>
      <c r="Q282" s="4">
        <f t="shared" si="108"/>
        <v>3.0577820454500224E-3</v>
      </c>
      <c r="R282" s="4">
        <f t="shared" si="178"/>
        <v>2.3590200020671685E-2</v>
      </c>
      <c r="S282" s="27">
        <v>0</v>
      </c>
      <c r="T282" s="4">
        <f t="shared" si="179"/>
        <v>0.82854854132237943</v>
      </c>
      <c r="U282" s="4">
        <f t="shared" si="180"/>
        <v>6.6946828697771507E-2</v>
      </c>
      <c r="V282" s="4">
        <f t="shared" si="112"/>
        <v>12.376217924568543</v>
      </c>
      <c r="W282" s="20">
        <f t="shared" si="181"/>
        <v>884.22586847036382</v>
      </c>
      <c r="X282" s="4">
        <f t="shared" si="182"/>
        <v>0.61116153950616525</v>
      </c>
      <c r="Y282" s="4">
        <f t="shared" si="183"/>
        <v>135.01360320751408</v>
      </c>
      <c r="Z282" s="14">
        <f t="shared" si="184"/>
        <v>884.22586847036382</v>
      </c>
      <c r="AA282" s="14">
        <f t="shared" si="185"/>
        <v>5628.3916222821908</v>
      </c>
      <c r="AB282" s="25">
        <f t="shared" si="118"/>
        <v>203183.00839218526</v>
      </c>
      <c r="AC282" s="4">
        <f t="shared" si="119"/>
        <v>1293327.3985785872</v>
      </c>
      <c r="AD282" s="5">
        <f t="shared" si="120"/>
        <v>15.710098511443476</v>
      </c>
      <c r="AE282" s="7">
        <f t="shared" si="121"/>
        <v>884.22586847036382</v>
      </c>
      <c r="AF282" s="4">
        <f t="shared" si="122"/>
        <v>0</v>
      </c>
      <c r="AG282" s="4">
        <f t="shared" si="123"/>
        <v>0</v>
      </c>
      <c r="AH282" s="4">
        <f t="shared" si="124"/>
        <v>633.62966344437916</v>
      </c>
      <c r="AI282" s="13">
        <f t="shared" si="125"/>
        <v>0</v>
      </c>
      <c r="AJ282" s="10">
        <f t="shared" si="186"/>
        <v>0</v>
      </c>
      <c r="AK282" s="11">
        <f t="shared" si="187"/>
        <v>0</v>
      </c>
      <c r="AL282" s="6">
        <v>0</v>
      </c>
      <c r="AM282" s="6">
        <v>50</v>
      </c>
      <c r="AN282" s="4">
        <f t="shared" si="128"/>
        <v>8.8004119922830437</v>
      </c>
      <c r="AO282" s="6">
        <f t="shared" si="129"/>
        <v>1.8908988616299691</v>
      </c>
      <c r="AP282" s="11">
        <f t="shared" si="130"/>
        <v>0.71659254274081019</v>
      </c>
      <c r="AQ282" s="11">
        <f t="shared" si="188"/>
        <v>0.97937395000000005</v>
      </c>
      <c r="AR282" s="11">
        <f t="shared" si="189"/>
        <v>0.8962407041850623</v>
      </c>
      <c r="AS282" s="11">
        <f t="shared" si="133"/>
        <v>0.91511593113647982</v>
      </c>
      <c r="AT282" s="11">
        <f t="shared" si="158"/>
        <v>507.97188664649997</v>
      </c>
      <c r="AU282" s="11">
        <f t="shared" si="159"/>
        <v>1896.6425030105124</v>
      </c>
      <c r="AV282" s="11">
        <f t="shared" si="160"/>
        <v>2.1751390567182989E-3</v>
      </c>
      <c r="AW282" s="11">
        <f t="shared" si="161"/>
        <v>3.6770358841811742E-7</v>
      </c>
      <c r="AX282" s="11"/>
      <c r="AY282" s="11"/>
    </row>
    <row r="283" spans="1:51" ht="14.5">
      <c r="A283" s="4">
        <f t="shared" si="134"/>
        <v>2380.7349279852988</v>
      </c>
      <c r="B283" s="4">
        <f t="shared" ref="B283:C283" si="204">A283/60</f>
        <v>39.67891546642165</v>
      </c>
      <c r="C283" s="4">
        <f t="shared" si="204"/>
        <v>0.66131525777369415</v>
      </c>
      <c r="D283" s="4">
        <f t="shared" si="136"/>
        <v>10934.571630737821</v>
      </c>
      <c r="E283" s="4">
        <f t="shared" si="137"/>
        <v>89.849140394386211</v>
      </c>
      <c r="F283" s="4">
        <f t="shared" si="138"/>
        <v>88.872246496608525</v>
      </c>
      <c r="G283" s="4"/>
      <c r="H283" s="6">
        <v>3000</v>
      </c>
      <c r="I283" s="5">
        <v>0</v>
      </c>
      <c r="J283" s="4">
        <f t="shared" si="102"/>
        <v>0.20797490098723775</v>
      </c>
      <c r="K283" s="4">
        <f t="shared" si="174"/>
        <v>229.78632003118699</v>
      </c>
      <c r="L283" s="6">
        <v>130.3103199999999</v>
      </c>
      <c r="M283" s="4">
        <f t="shared" si="104"/>
        <v>136.14471803735779</v>
      </c>
      <c r="N283" s="4">
        <f t="shared" si="175"/>
        <v>57.425577469141665</v>
      </c>
      <c r="O283" s="4">
        <f t="shared" si="176"/>
        <v>1359293.7766793312</v>
      </c>
      <c r="P283" s="4">
        <f t="shared" si="177"/>
        <v>8727621.2004960272</v>
      </c>
      <c r="Q283" s="4">
        <f t="shared" si="108"/>
        <v>3.0577820454500224E-3</v>
      </c>
      <c r="R283" s="4">
        <f t="shared" si="178"/>
        <v>2.3590200020671685E-2</v>
      </c>
      <c r="S283" s="27">
        <v>0</v>
      </c>
      <c r="T283" s="4">
        <f t="shared" si="179"/>
        <v>0.82788224134731048</v>
      </c>
      <c r="U283" s="4">
        <f t="shared" si="180"/>
        <v>6.6877123898548815E-2</v>
      </c>
      <c r="V283" s="4">
        <f t="shared" si="112"/>
        <v>12.379154381746297</v>
      </c>
      <c r="W283" s="20">
        <f t="shared" si="181"/>
        <v>883.30521565038498</v>
      </c>
      <c r="X283" s="4">
        <f t="shared" si="182"/>
        <v>0.61116153950616525</v>
      </c>
      <c r="Y283" s="4">
        <f t="shared" si="183"/>
        <v>134.95930484773203</v>
      </c>
      <c r="Z283" s="14">
        <f t="shared" si="184"/>
        <v>883.30521565038498</v>
      </c>
      <c r="AA283" s="14">
        <f t="shared" si="185"/>
        <v>5628.3916222821908</v>
      </c>
      <c r="AB283" s="25">
        <f t="shared" si="118"/>
        <v>202971.45496865601</v>
      </c>
      <c r="AC283" s="4">
        <f t="shared" si="119"/>
        <v>1293327.3985785872</v>
      </c>
      <c r="AD283" s="5">
        <f t="shared" si="120"/>
        <v>15.693741212915526</v>
      </c>
      <c r="AE283" s="7">
        <f t="shared" si="121"/>
        <v>883.30521565038498</v>
      </c>
      <c r="AF283" s="4">
        <f t="shared" si="122"/>
        <v>0</v>
      </c>
      <c r="AG283" s="4">
        <f t="shared" si="123"/>
        <v>0</v>
      </c>
      <c r="AH283" s="4">
        <f t="shared" si="124"/>
        <v>632.96993049912908</v>
      </c>
      <c r="AI283" s="13">
        <f t="shared" si="125"/>
        <v>0</v>
      </c>
      <c r="AJ283" s="10">
        <f t="shared" si="186"/>
        <v>0</v>
      </c>
      <c r="AK283" s="11">
        <f t="shared" si="187"/>
        <v>0</v>
      </c>
      <c r="AL283" s="6">
        <v>0</v>
      </c>
      <c r="AM283" s="6">
        <v>50</v>
      </c>
      <c r="AN283" s="4">
        <f t="shared" si="128"/>
        <v>8.7912490347101251</v>
      </c>
      <c r="AO283" s="6">
        <f t="shared" si="129"/>
        <v>1.8908988616299691</v>
      </c>
      <c r="AP283" s="11">
        <f t="shared" si="130"/>
        <v>0.71659254274081019</v>
      </c>
      <c r="AQ283" s="11">
        <f t="shared" si="188"/>
        <v>0.97937395000000005</v>
      </c>
      <c r="AR283" s="11">
        <f t="shared" si="189"/>
        <v>0.8962407041850623</v>
      </c>
      <c r="AS283" s="11">
        <f t="shared" si="133"/>
        <v>0.91511593113647982</v>
      </c>
      <c r="AT283" s="11">
        <f t="shared" si="158"/>
        <v>507.97188664649997</v>
      </c>
      <c r="AU283" s="11">
        <f t="shared" si="159"/>
        <v>1896.6425030105124</v>
      </c>
      <c r="AV283" s="11">
        <f t="shared" si="160"/>
        <v>2.1751390567182989E-3</v>
      </c>
      <c r="AW283" s="11">
        <f t="shared" si="161"/>
        <v>3.6770358841811742E-7</v>
      </c>
      <c r="AX283" s="11"/>
      <c r="AY283" s="11"/>
    </row>
    <row r="284" spans="1:51" ht="14.5">
      <c r="A284" s="4">
        <f t="shared" si="134"/>
        <v>2430.7349279852988</v>
      </c>
      <c r="B284" s="4">
        <f t="shared" ref="B284:C284" si="205">A284/60</f>
        <v>40.512248799754978</v>
      </c>
      <c r="C284" s="4">
        <f t="shared" si="205"/>
        <v>0.67520414666258299</v>
      </c>
      <c r="D284" s="4">
        <f t="shared" si="136"/>
        <v>10925.780381703111</v>
      </c>
      <c r="E284" s="4">
        <f t="shared" si="137"/>
        <v>91.740039256016175</v>
      </c>
      <c r="F284" s="4">
        <f t="shared" si="138"/>
        <v>90.763145358238489</v>
      </c>
      <c r="G284" s="4"/>
      <c r="H284" s="6">
        <v>3000</v>
      </c>
      <c r="I284" s="5">
        <v>0</v>
      </c>
      <c r="J284" s="4">
        <f t="shared" si="102"/>
        <v>0.20797490098723775</v>
      </c>
      <c r="K284" s="4">
        <f t="shared" si="174"/>
        <v>229.78632003118699</v>
      </c>
      <c r="L284" s="6">
        <v>130.3103199999999</v>
      </c>
      <c r="M284" s="4">
        <f t="shared" si="104"/>
        <v>136.14471803735779</v>
      </c>
      <c r="N284" s="4">
        <f t="shared" si="175"/>
        <v>57.425577469141665</v>
      </c>
      <c r="O284" s="4">
        <f t="shared" si="176"/>
        <v>1359293.7766793312</v>
      </c>
      <c r="P284" s="4">
        <f t="shared" si="177"/>
        <v>8727621.2004960272</v>
      </c>
      <c r="Q284" s="4">
        <f t="shared" si="108"/>
        <v>3.0577820454500224E-3</v>
      </c>
      <c r="R284" s="4">
        <f t="shared" si="178"/>
        <v>2.3590200020671685E-2</v>
      </c>
      <c r="S284" s="27">
        <v>0</v>
      </c>
      <c r="T284" s="4">
        <f t="shared" si="179"/>
        <v>0.82721663512139865</v>
      </c>
      <c r="U284" s="4">
        <f t="shared" si="180"/>
        <v>6.6807547665732436E-2</v>
      </c>
      <c r="V284" s="4">
        <f t="shared" si="112"/>
        <v>12.382083522363784</v>
      </c>
      <c r="W284" s="20">
        <f t="shared" si="181"/>
        <v>882.38626092043523</v>
      </c>
      <c r="X284" s="4">
        <f t="shared" si="182"/>
        <v>0.61116153950616525</v>
      </c>
      <c r="Y284" s="4">
        <f t="shared" si="183"/>
        <v>134.90504120261113</v>
      </c>
      <c r="Z284" s="14">
        <f t="shared" si="184"/>
        <v>882.38626092043523</v>
      </c>
      <c r="AA284" s="14">
        <f t="shared" si="185"/>
        <v>5628.3916222821908</v>
      </c>
      <c r="AB284" s="25">
        <f t="shared" si="118"/>
        <v>202760.2917429856</v>
      </c>
      <c r="AC284" s="4">
        <f t="shared" si="119"/>
        <v>1293327.3985785872</v>
      </c>
      <c r="AD284" s="5">
        <f t="shared" si="120"/>
        <v>15.677414084463559</v>
      </c>
      <c r="AE284" s="7">
        <f t="shared" si="121"/>
        <v>882.38626092043523</v>
      </c>
      <c r="AF284" s="4">
        <f t="shared" si="122"/>
        <v>0</v>
      </c>
      <c r="AG284" s="4">
        <f t="shared" si="123"/>
        <v>-2.9103830456733704E-11</v>
      </c>
      <c r="AH284" s="4">
        <f t="shared" si="124"/>
        <v>632.31141439253065</v>
      </c>
      <c r="AI284" s="13">
        <f t="shared" si="125"/>
        <v>0</v>
      </c>
      <c r="AJ284" s="10">
        <f t="shared" si="186"/>
        <v>0</v>
      </c>
      <c r="AK284" s="11">
        <f t="shared" si="187"/>
        <v>-1.598265539300379E-13</v>
      </c>
      <c r="AL284" s="6">
        <v>0</v>
      </c>
      <c r="AM284" s="6">
        <v>50</v>
      </c>
      <c r="AN284" s="4">
        <f t="shared" si="128"/>
        <v>8.782102977674036</v>
      </c>
      <c r="AO284" s="6">
        <f t="shared" si="129"/>
        <v>1.8908988616299691</v>
      </c>
      <c r="AP284" s="11">
        <f t="shared" si="130"/>
        <v>0.71659254274081019</v>
      </c>
      <c r="AQ284" s="11">
        <f t="shared" si="188"/>
        <v>0.97937395000000005</v>
      </c>
      <c r="AR284" s="11">
        <f t="shared" si="189"/>
        <v>0.8962407041850623</v>
      </c>
      <c r="AS284" s="11">
        <f t="shared" si="133"/>
        <v>0.91511593113647982</v>
      </c>
      <c r="AT284" s="11">
        <f t="shared" si="158"/>
        <v>507.97188664649997</v>
      </c>
      <c r="AU284" s="11">
        <f t="shared" si="159"/>
        <v>1896.6425030105124</v>
      </c>
      <c r="AV284" s="11">
        <f t="shared" si="160"/>
        <v>2.1751390567182989E-3</v>
      </c>
      <c r="AW284" s="11">
        <f t="shared" si="161"/>
        <v>3.6770358841811742E-7</v>
      </c>
      <c r="AX284" s="11"/>
      <c r="AY284" s="11"/>
    </row>
    <row r="285" spans="1:51" ht="14.5">
      <c r="H285" s="21"/>
      <c r="L285" s="21"/>
      <c r="S285" s="21"/>
      <c r="AB285" s="38"/>
      <c r="AE285" s="21"/>
      <c r="AI285" s="2"/>
      <c r="AL285" s="21"/>
      <c r="AM285" s="21"/>
      <c r="AO285" s="21"/>
      <c r="AT285" s="11">
        <f t="shared" si="158"/>
        <v>507.97188664649997</v>
      </c>
      <c r="AU285" s="11">
        <f t="shared" si="159"/>
        <v>1896.6425030105124</v>
      </c>
      <c r="AV285" s="11">
        <f t="shared" si="160"/>
        <v>2.1751390567182989E-3</v>
      </c>
      <c r="AW285" s="11">
        <f t="shared" si="161"/>
        <v>3.6770358841811742E-7</v>
      </c>
      <c r="AX285" s="11"/>
      <c r="AY285" s="11"/>
    </row>
    <row r="286" spans="1:51" ht="14.5">
      <c r="H286" s="21"/>
      <c r="L286" s="21"/>
      <c r="S286" s="21"/>
      <c r="AB286" s="38"/>
      <c r="AE286" s="21"/>
      <c r="AI286" s="2"/>
      <c r="AL286" s="21"/>
      <c r="AM286" s="21"/>
      <c r="AO286" s="21"/>
      <c r="AT286" s="11">
        <f t="shared" si="158"/>
        <v>507.97188664649997</v>
      </c>
      <c r="AU286" s="11">
        <f t="shared" si="159"/>
        <v>1896.6425030105124</v>
      </c>
      <c r="AV286" s="11">
        <f t="shared" si="160"/>
        <v>2.1751390567182989E-3</v>
      </c>
      <c r="AW286" s="11">
        <f t="shared" si="161"/>
        <v>3.6770358841811742E-7</v>
      </c>
      <c r="AX286" s="11"/>
      <c r="AY286" s="11"/>
    </row>
    <row r="287" spans="1:51" ht="14.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42"/>
      <c r="M287" s="28"/>
      <c r="N287" s="28"/>
      <c r="O287" s="28"/>
      <c r="P287" s="28"/>
      <c r="Q287" s="28"/>
      <c r="R287" s="28"/>
      <c r="S287" s="43"/>
      <c r="T287" s="28"/>
      <c r="U287" s="28"/>
      <c r="V287" s="28"/>
      <c r="W287" s="28"/>
      <c r="X287" s="28"/>
      <c r="Y287" s="28"/>
      <c r="Z287" s="28"/>
      <c r="AA287" s="28"/>
      <c r="AB287" s="44"/>
      <c r="AC287" s="28"/>
      <c r="AD287" s="42"/>
      <c r="AE287" s="28"/>
      <c r="AF287" s="28"/>
      <c r="AG287" s="28"/>
      <c r="AH287" s="28"/>
      <c r="AI287" s="45"/>
      <c r="AJ287" s="28"/>
      <c r="AK287" s="28"/>
      <c r="AL287" s="42"/>
      <c r="AM287" s="28"/>
      <c r="AN287" s="28"/>
      <c r="AO287" s="28"/>
      <c r="AP287" s="28"/>
      <c r="AQ287" s="28"/>
      <c r="AR287" s="28"/>
      <c r="AS287" s="28"/>
      <c r="AT287" s="11">
        <f t="shared" si="158"/>
        <v>507.97188664649997</v>
      </c>
      <c r="AU287" s="11">
        <f t="shared" si="159"/>
        <v>1896.6425030105124</v>
      </c>
      <c r="AV287" s="11">
        <f t="shared" si="160"/>
        <v>2.1751390567182989E-3</v>
      </c>
      <c r="AW287" s="11">
        <f t="shared" si="161"/>
        <v>3.6770358841811742E-7</v>
      </c>
      <c r="AX287" s="11"/>
      <c r="AY287" s="11"/>
    </row>
    <row r="288" spans="1:51" ht="14.5">
      <c r="A288" s="26" t="s">
        <v>186</v>
      </c>
      <c r="B288" s="29"/>
      <c r="H288" s="21"/>
      <c r="K288" s="26" t="s">
        <v>127</v>
      </c>
      <c r="L288" s="26"/>
      <c r="S288" s="32"/>
      <c r="U288" s="21" t="s">
        <v>69</v>
      </c>
      <c r="V288" s="1" t="e">
        <f>#REF!+#REF!</f>
        <v>#REF!</v>
      </c>
      <c r="AB288" s="38"/>
      <c r="AI288" s="2"/>
      <c r="AL288" s="21"/>
      <c r="AN288" s="48"/>
      <c r="AT288" s="11">
        <f t="shared" ref="AT288:AT304" si="206">(518.67*AQ268)</f>
        <v>507.97188664649997</v>
      </c>
      <c r="AU288" s="11">
        <f t="shared" ref="AU288:AU304" si="207">2116.22*AR268</f>
        <v>1896.6425030105124</v>
      </c>
      <c r="AV288" s="11">
        <f t="shared" ref="AV288:AV304" si="208">(0.0023769*AS268)</f>
        <v>2.1751390567182989E-3</v>
      </c>
      <c r="AW288" s="11">
        <f t="shared" si="161"/>
        <v>3.6770358841811742E-7</v>
      </c>
      <c r="AX288" s="11"/>
      <c r="AY288" s="11"/>
    </row>
    <row r="289" spans="1:51" ht="14.5">
      <c r="A289" s="46" t="s">
        <v>128</v>
      </c>
      <c r="B289" s="46" t="s">
        <v>129</v>
      </c>
      <c r="C289" s="46" t="s">
        <v>130</v>
      </c>
      <c r="D289" s="39" t="s">
        <v>131</v>
      </c>
      <c r="E289" s="39" t="s">
        <v>132</v>
      </c>
      <c r="F289" s="39" t="s">
        <v>133</v>
      </c>
      <c r="G289" s="39" t="s">
        <v>134</v>
      </c>
      <c r="H289" s="39" t="s">
        <v>135</v>
      </c>
      <c r="I289" s="7" t="s">
        <v>136</v>
      </c>
      <c r="J289" s="21" t="s">
        <v>137</v>
      </c>
      <c r="K289" s="7" t="s">
        <v>138</v>
      </c>
      <c r="M289" s="21" t="s">
        <v>139</v>
      </c>
      <c r="U289" s="21" t="s">
        <v>140</v>
      </c>
      <c r="V289" s="1" t="e">
        <f>#REF!</f>
        <v>#REF!</v>
      </c>
      <c r="AD289" s="21" t="s">
        <v>1</v>
      </c>
      <c r="AE289" s="21" t="s">
        <v>93</v>
      </c>
      <c r="AT289" s="11">
        <f t="shared" si="206"/>
        <v>507.97188664649997</v>
      </c>
      <c r="AU289" s="11">
        <f t="shared" si="207"/>
        <v>1896.6425030105124</v>
      </c>
      <c r="AV289" s="11">
        <f t="shared" si="208"/>
        <v>2.1751390567182989E-3</v>
      </c>
      <c r="AW289" s="11">
        <f t="shared" si="161"/>
        <v>3.6770358841811742E-7</v>
      </c>
      <c r="AX289" s="11"/>
      <c r="AY289" s="11"/>
    </row>
    <row r="290" spans="1:51" ht="14.5">
      <c r="A290" s="46" t="s">
        <v>141</v>
      </c>
      <c r="B290" s="46">
        <v>0.04</v>
      </c>
      <c r="C290" s="46">
        <v>0.3</v>
      </c>
      <c r="D290" s="21">
        <v>0</v>
      </c>
      <c r="E290" s="1">
        <f t="shared" ref="E290:E316" si="209">D290*1.68781</f>
        <v>0</v>
      </c>
      <c r="F290" s="21">
        <v>6500</v>
      </c>
      <c r="G290" s="1">
        <f t="shared" ref="G290:G316" ca="1" si="210">(F290/$B$10)-$B$290</f>
        <v>0.3335556622973001</v>
      </c>
      <c r="H290" s="1" t="e">
        <f t="shared" ref="H290:H316" ca="1" si="211">((($B$292)/(2*($B$10/$B$3)))*(($B$290*$B$18)-$B$293-($B$8*$B$18^2)))</f>
        <v>#REF!</v>
      </c>
      <c r="I290" s="21">
        <v>0</v>
      </c>
      <c r="J290" s="21">
        <v>0</v>
      </c>
      <c r="K290" s="1" t="e">
        <f>B298*SIN(RADIANS(B299))</f>
        <v>#REF!</v>
      </c>
      <c r="L290" s="21" t="s">
        <v>9</v>
      </c>
      <c r="M290" s="1" t="e">
        <f>B298*(1-COS(RADIANS(B299)))</f>
        <v>#REF!</v>
      </c>
      <c r="N290" s="21" t="s">
        <v>9</v>
      </c>
      <c r="W290" s="21" t="s">
        <v>142</v>
      </c>
      <c r="X290" s="21" t="s">
        <v>143</v>
      </c>
      <c r="Y290" s="21" t="s">
        <v>144</v>
      </c>
      <c r="AD290" s="21">
        <v>0</v>
      </c>
      <c r="AE290" s="21">
        <v>3000</v>
      </c>
      <c r="AT290" s="11">
        <f t="shared" si="206"/>
        <v>507.97188664649997</v>
      </c>
      <c r="AU290" s="11">
        <f t="shared" si="207"/>
        <v>1896.6425030105124</v>
      </c>
      <c r="AV290" s="11">
        <f t="shared" si="208"/>
        <v>2.1751390567182989E-3</v>
      </c>
      <c r="AW290" s="11">
        <f t="shared" si="161"/>
        <v>3.6770358841811742E-7</v>
      </c>
      <c r="AX290" s="11"/>
      <c r="AY290" s="11"/>
    </row>
    <row r="291" spans="1:51" ht="14.5">
      <c r="A291" s="46" t="s">
        <v>145</v>
      </c>
      <c r="B291" s="46">
        <v>0.08</v>
      </c>
      <c r="C291" s="46">
        <v>0.2</v>
      </c>
      <c r="D291" s="1">
        <f t="shared" ref="D291:D316" si="212">D290+5</f>
        <v>5</v>
      </c>
      <c r="E291" s="1">
        <f t="shared" si="209"/>
        <v>8.4390499999999999</v>
      </c>
      <c r="F291" s="21">
        <v>6052.8086670000002</v>
      </c>
      <c r="G291" s="1">
        <f t="shared" ca="1" si="210"/>
        <v>0.30785553082461897</v>
      </c>
      <c r="H291" s="1" t="e">
        <f t="shared" ca="1" si="211"/>
        <v>#REF!</v>
      </c>
      <c r="I291" s="1" t="e">
        <f ca="1">(((1)/(2*$B$294*$H$290))*LN(($G$290+($H$290*$E$291^2))/($G$290+($H$290*$E$290^2))))</f>
        <v>#REF!</v>
      </c>
      <c r="J291" s="1" t="e">
        <f t="shared" ref="J291:J316" ca="1" si="213">I291/E291</f>
        <v>#REF!</v>
      </c>
      <c r="U291" s="21" t="s">
        <v>69</v>
      </c>
      <c r="V291" s="1" t="e">
        <f>V288</f>
        <v>#REF!</v>
      </c>
      <c r="W291" s="1" t="e">
        <f t="shared" ref="W291:W491" si="214">LN(V291/V292)</f>
        <v>#REF!</v>
      </c>
      <c r="X291" s="1" t="e">
        <f>#REF!*W291</f>
        <v>#REF!</v>
      </c>
      <c r="Y291" s="1" t="e">
        <f>W291*#REF!</f>
        <v>#REF!</v>
      </c>
      <c r="AC291" s="21" t="s">
        <v>146</v>
      </c>
      <c r="AD291" s="1" t="e">
        <f>#REF!</f>
        <v>#REF!</v>
      </c>
      <c r="AE291" s="21">
        <v>3000</v>
      </c>
      <c r="AT291" s="11">
        <f t="shared" si="206"/>
        <v>507.97188664649997</v>
      </c>
      <c r="AU291" s="11">
        <f t="shared" si="207"/>
        <v>1896.6425030105124</v>
      </c>
      <c r="AV291" s="11">
        <f t="shared" si="208"/>
        <v>2.1751390567182989E-3</v>
      </c>
      <c r="AW291" s="11">
        <f t="shared" si="161"/>
        <v>3.6770358841811742E-7</v>
      </c>
      <c r="AX291" s="11"/>
      <c r="AY291" s="11"/>
    </row>
    <row r="292" spans="1:51" ht="14.5">
      <c r="A292" s="47" t="s">
        <v>147</v>
      </c>
      <c r="B292" s="46" t="e">
        <f>#REF!</f>
        <v>#REF!</v>
      </c>
      <c r="D292" s="1">
        <f t="shared" si="212"/>
        <v>10</v>
      </c>
      <c r="E292" s="1">
        <f t="shared" si="209"/>
        <v>16.8781</v>
      </c>
      <c r="F292" s="21">
        <v>6013.4706669999996</v>
      </c>
      <c r="G292" s="1">
        <f t="shared" ca="1" si="210"/>
        <v>0.30559477195639567</v>
      </c>
      <c r="H292" s="1" t="e">
        <f t="shared" ca="1" si="211"/>
        <v>#REF!</v>
      </c>
      <c r="I292" s="1" t="e">
        <f ca="1">(((1)/(2*$B$294*$H$291))*LN(($G$291+($H$291*$E$292^2))/($G$291+($H$291*$E$291^2))))</f>
        <v>#REF!</v>
      </c>
      <c r="J292" s="1" t="e">
        <f t="shared" ca="1" si="213"/>
        <v>#REF!</v>
      </c>
      <c r="K292" s="7" t="s">
        <v>148</v>
      </c>
      <c r="V292" s="1" t="e">
        <f t="shared" ref="V292:V491" si="215">V291-(($V$291-$V$289)/200)</f>
        <v>#REF!</v>
      </c>
      <c r="W292" s="1" t="e">
        <f t="shared" si="214"/>
        <v>#REF!</v>
      </c>
      <c r="X292" s="1" t="e">
        <f>#REF!*W292</f>
        <v>#REF!</v>
      </c>
      <c r="Y292" s="1" t="e">
        <f>W292*#REF!</f>
        <v>#REF!</v>
      </c>
      <c r="AC292" s="21" t="s">
        <v>149</v>
      </c>
      <c r="AD292" s="1" t="e">
        <f>#REF!</f>
        <v>#REF!</v>
      </c>
      <c r="AE292" s="21">
        <v>1800</v>
      </c>
      <c r="AT292" s="11">
        <f t="shared" si="206"/>
        <v>507.97188664649997</v>
      </c>
      <c r="AU292" s="11">
        <f t="shared" si="207"/>
        <v>1896.6425030105124</v>
      </c>
      <c r="AV292" s="11">
        <f t="shared" si="208"/>
        <v>2.1751390567182989E-3</v>
      </c>
      <c r="AW292" s="11">
        <f t="shared" si="161"/>
        <v>3.6770358841811742E-7</v>
      </c>
      <c r="AX292" s="11"/>
      <c r="AY292" s="11"/>
    </row>
    <row r="293" spans="1:51" ht="14.5">
      <c r="A293" s="47" t="s">
        <v>150</v>
      </c>
      <c r="B293" s="46" t="e">
        <f>#REF!</f>
        <v>#REF!</v>
      </c>
      <c r="D293" s="1">
        <f t="shared" si="212"/>
        <v>15</v>
      </c>
      <c r="E293" s="1">
        <f t="shared" si="209"/>
        <v>25.317150000000002</v>
      </c>
      <c r="F293" s="21">
        <v>5841.5326670000004</v>
      </c>
      <c r="G293" s="1">
        <f t="shared" ca="1" si="210"/>
        <v>0.29571347757730754</v>
      </c>
      <c r="H293" s="1" t="e">
        <f t="shared" ca="1" si="211"/>
        <v>#REF!</v>
      </c>
      <c r="I293" s="1" t="e">
        <f ca="1">(((1)/(2*$B$294*$H$292))*LN(($G$292+($H$292*$E$293^2))/($G$292+($H$292*$E$292^2))))</f>
        <v>#REF!</v>
      </c>
      <c r="J293" s="1" t="e">
        <f t="shared" ca="1" si="213"/>
        <v>#REF!</v>
      </c>
      <c r="K293" s="1" t="e">
        <f>(50-M290)/TAN(RADIANS(B299))</f>
        <v>#REF!</v>
      </c>
      <c r="V293" s="1" t="e">
        <f t="shared" si="215"/>
        <v>#REF!</v>
      </c>
      <c r="W293" s="1" t="e">
        <f t="shared" si="214"/>
        <v>#REF!</v>
      </c>
      <c r="X293" s="1" t="e">
        <f>#REF!*W293</f>
        <v>#REF!</v>
      </c>
      <c r="Y293" s="1" t="e">
        <f>W293*#REF!</f>
        <v>#REF!</v>
      </c>
      <c r="AC293" s="21" t="s">
        <v>151</v>
      </c>
      <c r="AD293" s="1" t="e">
        <f>$X$492</f>
        <v>#REF!</v>
      </c>
      <c r="AE293" s="21">
        <v>0</v>
      </c>
      <c r="AT293" s="11">
        <f t="shared" si="206"/>
        <v>507.97188664649997</v>
      </c>
      <c r="AU293" s="11">
        <f t="shared" si="207"/>
        <v>1896.6425030105124</v>
      </c>
      <c r="AV293" s="11">
        <f t="shared" si="208"/>
        <v>2.1751390567182989E-3</v>
      </c>
      <c r="AW293" s="11">
        <f t="shared" si="161"/>
        <v>3.6770358841811742E-7</v>
      </c>
      <c r="AX293" s="11"/>
      <c r="AY293" s="11"/>
    </row>
    <row r="294" spans="1:51" ht="14.5">
      <c r="A294" s="47" t="s">
        <v>152</v>
      </c>
      <c r="B294" s="47">
        <v>32.17</v>
      </c>
      <c r="D294" s="1">
        <f t="shared" si="212"/>
        <v>20</v>
      </c>
      <c r="E294" s="1">
        <f t="shared" si="209"/>
        <v>33.7562</v>
      </c>
      <c r="F294" s="21">
        <v>5763.0863330000002</v>
      </c>
      <c r="G294" s="1">
        <f t="shared" ca="1" si="210"/>
        <v>0.2912051587692821</v>
      </c>
      <c r="H294" s="1" t="e">
        <f t="shared" ca="1" si="211"/>
        <v>#REF!</v>
      </c>
      <c r="I294" s="1" t="e">
        <f ca="1">(((1)/(2*$B$294*$H$293))*LN(($G$293+($H$293*$E$294^2))/($G$293+($H$293*$E$293^2))))</f>
        <v>#REF!</v>
      </c>
      <c r="J294" s="1" t="e">
        <f t="shared" ca="1" si="213"/>
        <v>#REF!</v>
      </c>
      <c r="V294" s="1" t="e">
        <f t="shared" si="215"/>
        <v>#REF!</v>
      </c>
      <c r="W294" s="1" t="e">
        <f t="shared" si="214"/>
        <v>#REF!</v>
      </c>
      <c r="X294" s="1" t="e">
        <f>#REF!*W294</f>
        <v>#REF!</v>
      </c>
      <c r="Y294" s="1" t="e">
        <f>W294*#REF!</f>
        <v>#REF!</v>
      </c>
      <c r="AC294" s="49"/>
      <c r="AD294" s="50"/>
      <c r="AE294" s="49"/>
      <c r="AF294" s="21" t="s">
        <v>153</v>
      </c>
      <c r="AT294" s="11">
        <f t="shared" si="206"/>
        <v>507.97188664649997</v>
      </c>
      <c r="AU294" s="11">
        <f t="shared" si="207"/>
        <v>1896.6425030105124</v>
      </c>
      <c r="AV294" s="11">
        <f t="shared" si="208"/>
        <v>2.1751390567182989E-3</v>
      </c>
      <c r="AW294" s="11">
        <f t="shared" si="161"/>
        <v>3.6770358841811742E-7</v>
      </c>
      <c r="AX294" s="11"/>
      <c r="AY294" s="11"/>
    </row>
    <row r="295" spans="1:51" ht="14.5">
      <c r="A295" s="7" t="s">
        <v>154</v>
      </c>
      <c r="B295" s="1" t="e">
        <f>#REF!</f>
        <v>#REF!</v>
      </c>
      <c r="C295" s="21" t="s">
        <v>9</v>
      </c>
      <c r="D295" s="1">
        <f t="shared" si="212"/>
        <v>25</v>
      </c>
      <c r="E295" s="1">
        <f t="shared" si="209"/>
        <v>42.195250000000001</v>
      </c>
      <c r="F295" s="21">
        <v>5629.3033329999998</v>
      </c>
      <c r="G295" s="1">
        <f t="shared" ca="1" si="210"/>
        <v>0.28351663612787903</v>
      </c>
      <c r="H295" s="1" t="e">
        <f t="shared" ca="1" si="211"/>
        <v>#REF!</v>
      </c>
      <c r="I295" s="1" t="e">
        <f ca="1">(((1)/(2*$B$294*$H$294))*LN(($G$294+($H$294*$E$295^2))/($G$294+($H$294*$E$294^2))))</f>
        <v>#REF!</v>
      </c>
      <c r="J295" s="1" t="e">
        <f t="shared" ca="1" si="213"/>
        <v>#REF!</v>
      </c>
      <c r="V295" s="1" t="e">
        <f t="shared" si="215"/>
        <v>#REF!</v>
      </c>
      <c r="W295" s="1" t="e">
        <f t="shared" si="214"/>
        <v>#REF!</v>
      </c>
      <c r="X295" s="1" t="e">
        <f>#REF!*W295</f>
        <v>#REF!</v>
      </c>
      <c r="Y295" s="1" t="e">
        <f>W295*#REF!</f>
        <v>#REF!</v>
      </c>
      <c r="AT295" s="11">
        <f t="shared" si="206"/>
        <v>507.97188664649997</v>
      </c>
      <c r="AU295" s="11">
        <f t="shared" si="207"/>
        <v>1896.6425030105124</v>
      </c>
      <c r="AV295" s="11">
        <f t="shared" si="208"/>
        <v>2.1751390567182989E-3</v>
      </c>
      <c r="AW295" s="11">
        <f t="shared" si="161"/>
        <v>3.6770358841811742E-7</v>
      </c>
      <c r="AX295" s="11"/>
      <c r="AY295" s="11"/>
    </row>
    <row r="296" spans="1:51" ht="14.5">
      <c r="A296" s="21" t="s">
        <v>155</v>
      </c>
      <c r="B296" s="1">
        <f>0.9*B18</f>
        <v>2.16</v>
      </c>
      <c r="D296" s="1">
        <f t="shared" si="212"/>
        <v>30</v>
      </c>
      <c r="E296" s="1">
        <f t="shared" si="209"/>
        <v>50.634300000000003</v>
      </c>
      <c r="F296" s="21">
        <v>5558.9473330000001</v>
      </c>
      <c r="G296" s="1">
        <f t="shared" ca="1" si="210"/>
        <v>0.27947326963917307</v>
      </c>
      <c r="H296" s="1" t="e">
        <f t="shared" ca="1" si="211"/>
        <v>#REF!</v>
      </c>
      <c r="I296" s="1" t="e">
        <f ca="1">(((1)/(2*$B$294*$H$295))*LN(($G$295+($H$295*$E$296^2))/($G$295+($H$295*$E$295^2))))</f>
        <v>#REF!</v>
      </c>
      <c r="J296" s="1" t="e">
        <f t="shared" ca="1" si="213"/>
        <v>#REF!</v>
      </c>
      <c r="V296" s="1" t="e">
        <f t="shared" si="215"/>
        <v>#REF!</v>
      </c>
      <c r="W296" s="1" t="e">
        <f t="shared" si="214"/>
        <v>#REF!</v>
      </c>
      <c r="X296" s="1" t="e">
        <f>#REF!*W296</f>
        <v>#REF!</v>
      </c>
      <c r="Y296" s="1" t="e">
        <f>W296*#REF!</f>
        <v>#REF!</v>
      </c>
      <c r="AT296" s="11">
        <f t="shared" si="206"/>
        <v>507.97188664649997</v>
      </c>
      <c r="AU296" s="11">
        <f t="shared" si="207"/>
        <v>1896.6425030105124</v>
      </c>
      <c r="AV296" s="11">
        <f t="shared" si="208"/>
        <v>2.1751390567182989E-3</v>
      </c>
      <c r="AW296" s="11">
        <f t="shared" si="161"/>
        <v>3.6770358841811742E-7</v>
      </c>
      <c r="AX296" s="11"/>
      <c r="AY296" s="11"/>
    </row>
    <row r="297" spans="1:51" ht="14.5">
      <c r="A297" s="21" t="s">
        <v>156</v>
      </c>
      <c r="B297" s="1" t="e">
        <f>(((0.5*#REF!*B3)*(B296)*(#REF!)^2)/(0.5*#REF!*B3*B18*#REF!^2))</f>
        <v>#REF!</v>
      </c>
      <c r="D297" s="1">
        <f t="shared" si="212"/>
        <v>35</v>
      </c>
      <c r="E297" s="1">
        <f t="shared" si="209"/>
        <v>59.073349999999998</v>
      </c>
      <c r="F297" s="21">
        <v>5480.8130000000001</v>
      </c>
      <c r="G297" s="1">
        <f t="shared" ca="1" si="210"/>
        <v>0.27498288156040807</v>
      </c>
      <c r="H297" s="1" t="e">
        <f t="shared" ca="1" si="211"/>
        <v>#REF!</v>
      </c>
      <c r="I297" s="1" t="e">
        <f ca="1">(((1)/(2*$B$294*$H$296))*LN(($G$296+($H$296*$E$297^2))/($G$296+($H$296*$E$296^2))))</f>
        <v>#REF!</v>
      </c>
      <c r="J297" s="1" t="e">
        <f t="shared" ca="1" si="213"/>
        <v>#REF!</v>
      </c>
      <c r="V297" s="1" t="e">
        <f t="shared" si="215"/>
        <v>#REF!</v>
      </c>
      <c r="W297" s="1" t="e">
        <f t="shared" si="214"/>
        <v>#REF!</v>
      </c>
      <c r="X297" s="1" t="e">
        <f>#REF!*W297</f>
        <v>#REF!</v>
      </c>
      <c r="Y297" s="1" t="e">
        <f>W297*#REF!</f>
        <v>#REF!</v>
      </c>
      <c r="AT297" s="11">
        <f t="shared" si="206"/>
        <v>507.97188664649997</v>
      </c>
      <c r="AU297" s="11">
        <f t="shared" si="207"/>
        <v>1896.6425030105124</v>
      </c>
      <c r="AV297" s="11">
        <f t="shared" si="208"/>
        <v>2.1751390567182989E-3</v>
      </c>
      <c r="AW297" s="11">
        <f t="shared" si="161"/>
        <v>3.6770358841811742E-7</v>
      </c>
      <c r="AX297" s="11"/>
      <c r="AY297" s="11"/>
    </row>
    <row r="298" spans="1:51" ht="14.5">
      <c r="A298" s="21" t="s">
        <v>157</v>
      </c>
      <c r="B298" s="1" t="e">
        <f>((#REF!)^2)/(B297*B294)</f>
        <v>#REF!</v>
      </c>
      <c r="C298" s="21" t="s">
        <v>9</v>
      </c>
      <c r="D298" s="1">
        <f t="shared" si="212"/>
        <v>40</v>
      </c>
      <c r="E298" s="1">
        <f t="shared" si="209"/>
        <v>67.5124</v>
      </c>
      <c r="F298" s="21">
        <v>5375.2529999999997</v>
      </c>
      <c r="G298" s="1">
        <f t="shared" ca="1" si="210"/>
        <v>0.26891633760469985</v>
      </c>
      <c r="H298" s="1" t="e">
        <f t="shared" ca="1" si="211"/>
        <v>#REF!</v>
      </c>
      <c r="I298" s="1" t="e">
        <f ca="1">(((1)/(2*$B$294*$H$297))*LN(($G$297+($H$297*$E$298^2))/($G$297+($H$297*$E$297^2))))</f>
        <v>#REF!</v>
      </c>
      <c r="J298" s="1" t="e">
        <f t="shared" ca="1" si="213"/>
        <v>#REF!</v>
      </c>
      <c r="V298" s="1" t="e">
        <f t="shared" si="215"/>
        <v>#REF!</v>
      </c>
      <c r="W298" s="1" t="e">
        <f t="shared" si="214"/>
        <v>#REF!</v>
      </c>
      <c r="X298" s="1" t="e">
        <f>#REF!*W298</f>
        <v>#REF!</v>
      </c>
      <c r="Y298" s="1" t="e">
        <f>W298*#REF!</f>
        <v>#REF!</v>
      </c>
      <c r="AT298" s="11">
        <f t="shared" si="206"/>
        <v>507.97188664649997</v>
      </c>
      <c r="AU298" s="11">
        <f t="shared" si="207"/>
        <v>1896.6425030105124</v>
      </c>
      <c r="AV298" s="11">
        <f t="shared" si="208"/>
        <v>2.1751390567182989E-3</v>
      </c>
      <c r="AW298" s="11">
        <f t="shared" si="161"/>
        <v>3.6770358841811742E-7</v>
      </c>
      <c r="AX298" s="11"/>
      <c r="AY298" s="11"/>
    </row>
    <row r="299" spans="1:51" ht="14.5">
      <c r="A299" s="21" t="s">
        <v>158</v>
      </c>
      <c r="B299" s="1" t="e">
        <f>#REF!</f>
        <v>#REF!</v>
      </c>
      <c r="D299" s="1">
        <f t="shared" si="212"/>
        <v>45</v>
      </c>
      <c r="E299" s="1">
        <f t="shared" si="209"/>
        <v>75.951450000000008</v>
      </c>
      <c r="F299" s="21">
        <v>5368.4063329999999</v>
      </c>
      <c r="G299" s="1">
        <f t="shared" ca="1" si="210"/>
        <v>0.26852285895459005</v>
      </c>
      <c r="H299" s="1" t="e">
        <f t="shared" ca="1" si="211"/>
        <v>#REF!</v>
      </c>
      <c r="I299" s="1" t="e">
        <f ca="1">(((1)/(2*$B$294*$H$298))*LN(($G$298+($H$298*$E$299^2))/($G$298+($H$298*$E$298^2))))</f>
        <v>#REF!</v>
      </c>
      <c r="J299" s="1" t="e">
        <f t="shared" ca="1" si="213"/>
        <v>#REF!</v>
      </c>
      <c r="V299" s="1" t="e">
        <f t="shared" si="215"/>
        <v>#REF!</v>
      </c>
      <c r="W299" s="1" t="e">
        <f t="shared" si="214"/>
        <v>#REF!</v>
      </c>
      <c r="X299" s="1" t="e">
        <f>#REF!*W299</f>
        <v>#REF!</v>
      </c>
      <c r="Y299" s="1" t="e">
        <f>W299*#REF!</f>
        <v>#REF!</v>
      </c>
      <c r="AT299" s="11">
        <f t="shared" si="206"/>
        <v>507.97188664649997</v>
      </c>
      <c r="AU299" s="11">
        <f t="shared" si="207"/>
        <v>1896.6425030105124</v>
      </c>
      <c r="AV299" s="11">
        <f t="shared" si="208"/>
        <v>2.1751390567182989E-3</v>
      </c>
      <c r="AW299" s="11">
        <f t="shared" si="161"/>
        <v>3.6770358841811742E-7</v>
      </c>
      <c r="AX299" s="11"/>
      <c r="AY299" s="11"/>
    </row>
    <row r="300" spans="1:51" ht="14.5">
      <c r="D300" s="1">
        <f t="shared" si="212"/>
        <v>50</v>
      </c>
      <c r="E300" s="1">
        <f t="shared" si="209"/>
        <v>84.390500000000003</v>
      </c>
      <c r="F300" s="21">
        <v>5309.72</v>
      </c>
      <c r="G300" s="1">
        <f t="shared" ca="1" si="210"/>
        <v>0.26515014941741855</v>
      </c>
      <c r="H300" s="1" t="e">
        <f t="shared" ca="1" si="211"/>
        <v>#REF!</v>
      </c>
      <c r="I300" s="1" t="e">
        <f ca="1">(((1)/(2*$B$294*$H$299))*LN(($G$299+($H$299*$E$300^2))/($G$299+($H$299*$E$299^2))))</f>
        <v>#REF!</v>
      </c>
      <c r="J300" s="1" t="e">
        <f t="shared" ca="1" si="213"/>
        <v>#REF!</v>
      </c>
      <c r="V300" s="1" t="e">
        <f t="shared" si="215"/>
        <v>#REF!</v>
      </c>
      <c r="W300" s="1" t="e">
        <f t="shared" si="214"/>
        <v>#REF!</v>
      </c>
      <c r="X300" s="1" t="e">
        <f>#REF!*W300</f>
        <v>#REF!</v>
      </c>
      <c r="Y300" s="1" t="e">
        <f>W300*#REF!</f>
        <v>#REF!</v>
      </c>
      <c r="AT300" s="11">
        <f t="shared" si="206"/>
        <v>507.97188664649997</v>
      </c>
      <c r="AU300" s="11">
        <f t="shared" si="207"/>
        <v>1896.6425030105124</v>
      </c>
      <c r="AV300" s="11">
        <f t="shared" si="208"/>
        <v>2.1751390567182989E-3</v>
      </c>
      <c r="AW300" s="11">
        <f t="shared" si="161"/>
        <v>3.6770358841811742E-7</v>
      </c>
      <c r="AX300" s="11"/>
      <c r="AY300" s="11"/>
    </row>
    <row r="301" spans="1:51" ht="14.5">
      <c r="D301" s="1">
        <f t="shared" si="212"/>
        <v>55</v>
      </c>
      <c r="E301" s="1">
        <f t="shared" si="209"/>
        <v>92.829549999999998</v>
      </c>
      <c r="F301" s="21">
        <v>5262.348</v>
      </c>
      <c r="G301" s="1">
        <f t="shared" ca="1" si="210"/>
        <v>0.26242767575059578</v>
      </c>
      <c r="H301" s="1" t="e">
        <f t="shared" ca="1" si="211"/>
        <v>#REF!</v>
      </c>
      <c r="I301" s="1" t="e">
        <f ca="1">(((1)/(2*$B$294*$H$300))*LN(($G$300+($H$300*$E$301^2))/($G$300+($H$300*$E$300^2))))</f>
        <v>#REF!</v>
      </c>
      <c r="J301" s="1" t="e">
        <f t="shared" ca="1" si="213"/>
        <v>#REF!</v>
      </c>
      <c r="V301" s="1" t="e">
        <f t="shared" si="215"/>
        <v>#REF!</v>
      </c>
      <c r="W301" s="1" t="e">
        <f t="shared" si="214"/>
        <v>#REF!</v>
      </c>
      <c r="X301" s="1" t="e">
        <f>#REF!*W301</f>
        <v>#REF!</v>
      </c>
      <c r="Y301" s="1" t="e">
        <f>W301*#REF!</f>
        <v>#REF!</v>
      </c>
      <c r="AT301" s="11">
        <f t="shared" si="206"/>
        <v>507.97188664649997</v>
      </c>
      <c r="AU301" s="11">
        <f t="shared" si="207"/>
        <v>1896.6425030105124</v>
      </c>
      <c r="AV301" s="11">
        <f t="shared" si="208"/>
        <v>2.1751390567182989E-3</v>
      </c>
      <c r="AW301" s="11">
        <f t="shared" si="161"/>
        <v>3.6770358841811742E-7</v>
      </c>
      <c r="AX301" s="11"/>
      <c r="AY301" s="11"/>
    </row>
    <row r="302" spans="1:51" ht="14.5">
      <c r="D302" s="1">
        <f t="shared" si="212"/>
        <v>60</v>
      </c>
      <c r="E302" s="1">
        <f t="shared" si="209"/>
        <v>101.26860000000001</v>
      </c>
      <c r="F302" s="21">
        <v>5231.594333</v>
      </c>
      <c r="G302" s="1">
        <f t="shared" ca="1" si="210"/>
        <v>0.26066025937455645</v>
      </c>
      <c r="H302" s="1" t="e">
        <f t="shared" ca="1" si="211"/>
        <v>#REF!</v>
      </c>
      <c r="I302" s="1" t="e">
        <f ca="1">(((1)/(2*$B$294*$H$301))*LN(($G$301+($H$301*$E$302^2))/($G$301+($H$301*$E$301^2))))</f>
        <v>#REF!</v>
      </c>
      <c r="J302" s="1" t="e">
        <f t="shared" ca="1" si="213"/>
        <v>#REF!</v>
      </c>
      <c r="V302" s="1" t="e">
        <f t="shared" si="215"/>
        <v>#REF!</v>
      </c>
      <c r="W302" s="1" t="e">
        <f t="shared" si="214"/>
        <v>#REF!</v>
      </c>
      <c r="X302" s="1" t="e">
        <f>#REF!*W302</f>
        <v>#REF!</v>
      </c>
      <c r="Y302" s="1" t="e">
        <f>W302*#REF!</f>
        <v>#REF!</v>
      </c>
      <c r="AT302" s="11">
        <f t="shared" si="206"/>
        <v>507.97188664649997</v>
      </c>
      <c r="AU302" s="11">
        <f t="shared" si="207"/>
        <v>1896.6425030105124</v>
      </c>
      <c r="AV302" s="11">
        <f t="shared" si="208"/>
        <v>2.1751390567182989E-3</v>
      </c>
      <c r="AW302" s="11">
        <f t="shared" si="161"/>
        <v>3.6770358841811742E-7</v>
      </c>
      <c r="AX302" s="11"/>
      <c r="AY302" s="11"/>
    </row>
    <row r="303" spans="1:51" ht="14.5">
      <c r="D303" s="1">
        <f t="shared" si="212"/>
        <v>65</v>
      </c>
      <c r="E303" s="1">
        <f t="shared" si="209"/>
        <v>109.70765</v>
      </c>
      <c r="F303" s="21">
        <v>5185.1063329999997</v>
      </c>
      <c r="G303" s="1">
        <f t="shared" ca="1" si="210"/>
        <v>0.25798858927780616</v>
      </c>
      <c r="H303" s="1" t="e">
        <f t="shared" ca="1" si="211"/>
        <v>#REF!</v>
      </c>
      <c r="I303" s="1" t="e">
        <f ca="1">(((1)/(2*$B$294*$H$302))*LN(($G$302+($H$302*$E$303^2))/($G$302+($H$302*$E$302^2))))</f>
        <v>#REF!</v>
      </c>
      <c r="J303" s="1" t="e">
        <f t="shared" ca="1" si="213"/>
        <v>#REF!</v>
      </c>
      <c r="V303" s="1" t="e">
        <f t="shared" si="215"/>
        <v>#REF!</v>
      </c>
      <c r="W303" s="1" t="e">
        <f t="shared" si="214"/>
        <v>#REF!</v>
      </c>
      <c r="X303" s="1" t="e">
        <f>#REF!*W303</f>
        <v>#REF!</v>
      </c>
      <c r="Y303" s="1" t="e">
        <f>W303*#REF!</f>
        <v>#REF!</v>
      </c>
      <c r="AT303" s="11">
        <f t="shared" si="206"/>
        <v>507.97188664649997</v>
      </c>
      <c r="AU303" s="11">
        <f t="shared" si="207"/>
        <v>1896.6425030105124</v>
      </c>
      <c r="AV303" s="11">
        <f t="shared" si="208"/>
        <v>2.1751390567182989E-3</v>
      </c>
      <c r="AW303" s="11">
        <f t="shared" si="161"/>
        <v>3.6770358841811742E-7</v>
      </c>
      <c r="AX303" s="11"/>
      <c r="AY303" s="11"/>
    </row>
    <row r="304" spans="1:51" ht="14.5">
      <c r="D304" s="1">
        <f t="shared" si="212"/>
        <v>70</v>
      </c>
      <c r="E304" s="1">
        <f t="shared" si="209"/>
        <v>118.1467</v>
      </c>
      <c r="F304" s="21">
        <v>5143.1293329999999</v>
      </c>
      <c r="G304" s="1">
        <f t="shared" ca="1" si="210"/>
        <v>0.25557616681069018</v>
      </c>
      <c r="H304" s="1" t="e">
        <f t="shared" ca="1" si="211"/>
        <v>#REF!</v>
      </c>
      <c r="I304" s="1" t="e">
        <f ca="1">(((1)/(2*$B$294*$H$303))*LN(($G$303+($H$303*$E$304^2))/($G$303+($H$303*$E$303^2))))</f>
        <v>#REF!</v>
      </c>
      <c r="J304" s="1" t="e">
        <f t="shared" ca="1" si="213"/>
        <v>#REF!</v>
      </c>
      <c r="V304" s="1" t="e">
        <f t="shared" si="215"/>
        <v>#REF!</v>
      </c>
      <c r="W304" s="1" t="e">
        <f t="shared" si="214"/>
        <v>#REF!</v>
      </c>
      <c r="X304" s="1" t="e">
        <f>#REF!*W304</f>
        <v>#REF!</v>
      </c>
      <c r="Y304" s="1" t="e">
        <f>W304*#REF!</f>
        <v>#REF!</v>
      </c>
      <c r="AT304" s="11">
        <f t="shared" si="206"/>
        <v>507.97188664649997</v>
      </c>
      <c r="AU304" s="11">
        <f t="shared" si="207"/>
        <v>1896.6425030105124</v>
      </c>
      <c r="AV304" s="11">
        <f t="shared" si="208"/>
        <v>2.1751390567182989E-3</v>
      </c>
      <c r="AW304" s="11">
        <f t="shared" si="161"/>
        <v>3.6770358841811742E-7</v>
      </c>
      <c r="AX304" s="11"/>
      <c r="AY304" s="11"/>
    </row>
    <row r="305" spans="4:51" ht="14.5">
      <c r="D305" s="1">
        <f t="shared" si="212"/>
        <v>75</v>
      </c>
      <c r="E305" s="1">
        <f t="shared" si="209"/>
        <v>126.58575</v>
      </c>
      <c r="F305" s="21">
        <v>5116.8346670000001</v>
      </c>
      <c r="G305" s="1">
        <f t="shared" ca="1" si="210"/>
        <v>0.25406500967645695</v>
      </c>
      <c r="H305" s="1" t="e">
        <f t="shared" ca="1" si="211"/>
        <v>#REF!</v>
      </c>
      <c r="I305" s="1" t="e">
        <f ca="1">(((1)/(2*$B$294*$H$304))*LN(($G$304+($H$304*$E$305^2))/($G$304+($H$304*$E$304^2))))</f>
        <v>#REF!</v>
      </c>
      <c r="J305" s="1" t="e">
        <f t="shared" ca="1" si="213"/>
        <v>#REF!</v>
      </c>
      <c r="V305" s="1" t="e">
        <f t="shared" si="215"/>
        <v>#REF!</v>
      </c>
      <c r="W305" s="1" t="e">
        <f t="shared" si="214"/>
        <v>#REF!</v>
      </c>
      <c r="X305" s="1" t="e">
        <f>#REF!*W305</f>
        <v>#REF!</v>
      </c>
      <c r="Y305" s="1" t="e">
        <f>W305*#REF!</f>
        <v>#REF!</v>
      </c>
    </row>
    <row r="306" spans="4:51" ht="14.5">
      <c r="D306" s="1">
        <f t="shared" si="212"/>
        <v>80</v>
      </c>
      <c r="E306" s="1">
        <f t="shared" si="209"/>
        <v>135.0248</v>
      </c>
      <c r="F306" s="21">
        <v>5076.8379999999997</v>
      </c>
      <c r="G306" s="1">
        <f t="shared" ca="1" si="210"/>
        <v>0.2517663971486308</v>
      </c>
      <c r="H306" s="1" t="e">
        <f t="shared" ca="1" si="211"/>
        <v>#REF!</v>
      </c>
      <c r="I306" s="1" t="e">
        <f ca="1">(((1)/(2*$B$294*$H$305))*LN(($G$305+($H$305*$E$306^2))/($G$305+($H$305*$E$305^2))))</f>
        <v>#REF!</v>
      </c>
      <c r="J306" s="1" t="e">
        <f t="shared" ca="1" si="213"/>
        <v>#REF!</v>
      </c>
      <c r="V306" s="1" t="e">
        <f t="shared" si="215"/>
        <v>#REF!</v>
      </c>
      <c r="W306" s="1" t="e">
        <f t="shared" si="214"/>
        <v>#REF!</v>
      </c>
      <c r="X306" s="1" t="e">
        <f>#REF!*W306</f>
        <v>#REF!</v>
      </c>
      <c r="Y306" s="1" t="e">
        <f>W306*#REF!</f>
        <v>#REF!</v>
      </c>
    </row>
    <row r="307" spans="4:51" ht="14.5">
      <c r="D307" s="1">
        <f t="shared" si="212"/>
        <v>85</v>
      </c>
      <c r="E307" s="1">
        <f t="shared" si="209"/>
        <v>143.46385000000001</v>
      </c>
      <c r="F307" s="21">
        <v>5051.1586669999997</v>
      </c>
      <c r="G307" s="1">
        <f t="shared" ca="1" si="210"/>
        <v>0.250290603264605</v>
      </c>
      <c r="H307" s="1" t="e">
        <f t="shared" ca="1" si="211"/>
        <v>#REF!</v>
      </c>
      <c r="I307" s="1" t="e">
        <f ca="1">(((1)/(2*$B$294*$H$306))*LN(($G$306+($H$306*$E$307^2))/($G$306+($H$306*$E$306^2))))</f>
        <v>#REF!</v>
      </c>
      <c r="J307" s="1" t="e">
        <f t="shared" ca="1" si="213"/>
        <v>#REF!</v>
      </c>
      <c r="V307" s="1" t="e">
        <f t="shared" si="215"/>
        <v>#REF!</v>
      </c>
      <c r="W307" s="1" t="e">
        <f t="shared" si="214"/>
        <v>#REF!</v>
      </c>
      <c r="X307" s="1" t="e">
        <f>#REF!*W307</f>
        <v>#REF!</v>
      </c>
      <c r="Y307" s="1" t="e">
        <f>W307*#REF!</f>
        <v>#REF!</v>
      </c>
      <c r="AT307" s="28"/>
      <c r="AU307" s="28"/>
      <c r="AV307" s="28"/>
      <c r="AW307" s="28"/>
      <c r="AX307" s="28"/>
      <c r="AY307" s="28"/>
    </row>
    <row r="308" spans="4:51" ht="14.5">
      <c r="D308" s="1">
        <f t="shared" si="212"/>
        <v>90</v>
      </c>
      <c r="E308" s="1">
        <f t="shared" si="209"/>
        <v>151.90290000000002</v>
      </c>
      <c r="F308" s="21">
        <v>5035.853333</v>
      </c>
      <c r="G308" s="1">
        <f t="shared" ca="1" si="210"/>
        <v>0.24941100416013554</v>
      </c>
      <c r="H308" s="1" t="e">
        <f t="shared" ca="1" si="211"/>
        <v>#REF!</v>
      </c>
      <c r="I308" s="1" t="e">
        <f ca="1">(((1)/(2*$B$294*$H$307))*LN(($G$307+($H$307*$E$308^2))/($G$307+($H$307*$E$307^2))))</f>
        <v>#REF!</v>
      </c>
      <c r="J308" s="1" t="e">
        <f t="shared" ca="1" si="213"/>
        <v>#REF!</v>
      </c>
      <c r="V308" s="1" t="e">
        <f t="shared" si="215"/>
        <v>#REF!</v>
      </c>
      <c r="W308" s="1" t="e">
        <f t="shared" si="214"/>
        <v>#REF!</v>
      </c>
      <c r="X308" s="1" t="e">
        <f>#REF!*W308</f>
        <v>#REF!</v>
      </c>
      <c r="Y308" s="1" t="e">
        <f>W308*#REF!</f>
        <v>#REF!</v>
      </c>
    </row>
    <row r="309" spans="4:51" ht="14.5">
      <c r="D309" s="1">
        <f t="shared" si="212"/>
        <v>95</v>
      </c>
      <c r="E309" s="1">
        <f t="shared" si="209"/>
        <v>160.34195</v>
      </c>
      <c r="F309" s="21">
        <v>4987.6172669999996</v>
      </c>
      <c r="G309" s="1">
        <f t="shared" ca="1" si="210"/>
        <v>0.24663887253225145</v>
      </c>
      <c r="H309" s="1" t="e">
        <f t="shared" ca="1" si="211"/>
        <v>#REF!</v>
      </c>
      <c r="I309" s="1" t="e">
        <f ca="1">(((1)/(2*$B$294*$H$308))*LN(($G$308+($H$308*$E$309^2))/($G$308+($H$308*$E$308^2))))</f>
        <v>#REF!</v>
      </c>
      <c r="J309" s="1" t="e">
        <f t="shared" ca="1" si="213"/>
        <v>#REF!</v>
      </c>
      <c r="V309" s="1" t="e">
        <f t="shared" si="215"/>
        <v>#REF!</v>
      </c>
      <c r="W309" s="1" t="e">
        <f t="shared" si="214"/>
        <v>#REF!</v>
      </c>
      <c r="X309" s="1" t="e">
        <f>#REF!*W309</f>
        <v>#REF!</v>
      </c>
      <c r="Y309" s="1" t="e">
        <f>W309*#REF!</f>
        <v>#REF!</v>
      </c>
    </row>
    <row r="310" spans="4:51" ht="14.5">
      <c r="D310" s="1">
        <f t="shared" si="212"/>
        <v>100</v>
      </c>
      <c r="E310" s="1">
        <f t="shared" si="209"/>
        <v>168.78100000000001</v>
      </c>
      <c r="F310" s="21">
        <v>4954.2696669999996</v>
      </c>
      <c r="G310" s="1">
        <f t="shared" ca="1" si="210"/>
        <v>0.24472238256240139</v>
      </c>
      <c r="H310" s="1" t="e">
        <f t="shared" ca="1" si="211"/>
        <v>#REF!</v>
      </c>
      <c r="I310" s="1" t="e">
        <f ca="1">(((1)/(2*$B$294*$H$309))*LN(($G$309+($H$309*$E$310^2))/($G$309+($H$309*$E$309^2))))</f>
        <v>#REF!</v>
      </c>
      <c r="J310" s="1" t="e">
        <f t="shared" ca="1" si="213"/>
        <v>#REF!</v>
      </c>
      <c r="V310" s="1" t="e">
        <f t="shared" si="215"/>
        <v>#REF!</v>
      </c>
      <c r="W310" s="1" t="e">
        <f t="shared" si="214"/>
        <v>#REF!</v>
      </c>
      <c r="X310" s="1" t="e">
        <f>#REF!*W310</f>
        <v>#REF!</v>
      </c>
      <c r="Y310" s="1" t="e">
        <f>W310*#REF!</f>
        <v>#REF!</v>
      </c>
    </row>
    <row r="311" spans="4:51" ht="14.5">
      <c r="D311" s="1">
        <f t="shared" si="212"/>
        <v>105</v>
      </c>
      <c r="E311" s="1">
        <f t="shared" si="209"/>
        <v>177.22005000000001</v>
      </c>
      <c r="F311" s="21">
        <v>4926.9610000000002</v>
      </c>
      <c r="G311" s="1">
        <f t="shared" ca="1" si="210"/>
        <v>0.24315295068737966</v>
      </c>
      <c r="H311" s="1" t="e">
        <f t="shared" ca="1" si="211"/>
        <v>#REF!</v>
      </c>
      <c r="I311" s="1" t="e">
        <f ca="1">(((1)/(2*$B$294*$H$310))*LN(($G$310+($H$310*$E$311^2))/($G$310+($H$310*$E$310^2))))</f>
        <v>#REF!</v>
      </c>
      <c r="J311" s="1" t="e">
        <f t="shared" ca="1" si="213"/>
        <v>#REF!</v>
      </c>
      <c r="V311" s="1" t="e">
        <f t="shared" si="215"/>
        <v>#REF!</v>
      </c>
      <c r="W311" s="1" t="e">
        <f t="shared" si="214"/>
        <v>#REF!</v>
      </c>
      <c r="X311" s="1" t="e">
        <f>#REF!*W311</f>
        <v>#REF!</v>
      </c>
      <c r="Y311" s="1" t="e">
        <f>W311*#REF!</f>
        <v>#REF!</v>
      </c>
    </row>
    <row r="312" spans="4:51" ht="14.5">
      <c r="D312" s="1">
        <f t="shared" si="212"/>
        <v>110</v>
      </c>
      <c r="E312" s="1">
        <f t="shared" si="209"/>
        <v>185.6591</v>
      </c>
      <c r="F312" s="21">
        <v>4897.0436669999999</v>
      </c>
      <c r="G312" s="1">
        <f t="shared" ca="1" si="210"/>
        <v>0.24143359851153598</v>
      </c>
      <c r="H312" s="1" t="e">
        <f t="shared" ca="1" si="211"/>
        <v>#REF!</v>
      </c>
      <c r="I312" s="1" t="e">
        <f ca="1">(((1)/(2*$B$294*$H$311))*LN(($G$311+($H$311*$E$312^2))/($G$311+($H$311*$E$311^2))))</f>
        <v>#REF!</v>
      </c>
      <c r="J312" s="1" t="e">
        <f t="shared" ca="1" si="213"/>
        <v>#REF!</v>
      </c>
      <c r="V312" s="1" t="e">
        <f t="shared" si="215"/>
        <v>#REF!</v>
      </c>
      <c r="W312" s="1" t="e">
        <f t="shared" si="214"/>
        <v>#REF!</v>
      </c>
      <c r="X312" s="1" t="e">
        <f>#REF!*W312</f>
        <v>#REF!</v>
      </c>
      <c r="Y312" s="1" t="e">
        <f>W312*#REF!</f>
        <v>#REF!</v>
      </c>
    </row>
    <row r="313" spans="4:51" ht="14.5">
      <c r="D313" s="1">
        <f t="shared" si="212"/>
        <v>115</v>
      </c>
      <c r="E313" s="1">
        <f t="shared" si="209"/>
        <v>194.09815</v>
      </c>
      <c r="F313" s="21">
        <v>4876.43</v>
      </c>
      <c r="G313" s="1">
        <f t="shared" ca="1" si="210"/>
        <v>0.24024892896868047</v>
      </c>
      <c r="H313" s="1" t="e">
        <f t="shared" ca="1" si="211"/>
        <v>#REF!</v>
      </c>
      <c r="I313" s="1" t="e">
        <f ca="1">(((1)/(2*$B$294*$H$312))*LN(($G$312+($H$312*$E$313^2))/($G$312+($H$312*$E$312^2))))</f>
        <v>#REF!</v>
      </c>
      <c r="J313" s="1" t="e">
        <f t="shared" ca="1" si="213"/>
        <v>#REF!</v>
      </c>
      <c r="V313" s="1" t="e">
        <f t="shared" si="215"/>
        <v>#REF!</v>
      </c>
      <c r="W313" s="1" t="e">
        <f t="shared" si="214"/>
        <v>#REF!</v>
      </c>
      <c r="X313" s="1" t="e">
        <f>#REF!*W313</f>
        <v>#REF!</v>
      </c>
      <c r="Y313" s="1" t="e">
        <f>W313*#REF!</f>
        <v>#REF!</v>
      </c>
    </row>
    <row r="314" spans="4:51" ht="14.5">
      <c r="D314" s="1">
        <f t="shared" si="212"/>
        <v>120</v>
      </c>
      <c r="E314" s="1">
        <f t="shared" si="209"/>
        <v>202.53720000000001</v>
      </c>
      <c r="F314" s="21">
        <v>4844.9093329999996</v>
      </c>
      <c r="G314" s="1">
        <f t="shared" ca="1" si="210"/>
        <v>0.23843743302449003</v>
      </c>
      <c r="H314" s="1" t="e">
        <f t="shared" ca="1" si="211"/>
        <v>#REF!</v>
      </c>
      <c r="I314" s="1" t="e">
        <f ca="1">(((1)/(2*$B$294*$H$313))*LN(($G$313+($H$313*$E$314^2))/($G$313+($H$313*$E$313^2))))</f>
        <v>#REF!</v>
      </c>
      <c r="J314" s="1" t="e">
        <f t="shared" ca="1" si="213"/>
        <v>#REF!</v>
      </c>
      <c r="L314" s="21"/>
      <c r="S314" s="32"/>
      <c r="V314" s="1" t="e">
        <f t="shared" si="215"/>
        <v>#REF!</v>
      </c>
      <c r="W314" s="1" t="e">
        <f t="shared" si="214"/>
        <v>#REF!</v>
      </c>
      <c r="X314" s="1" t="e">
        <f>#REF!*W314</f>
        <v>#REF!</v>
      </c>
      <c r="Y314" s="1" t="e">
        <f>W314*#REF!</f>
        <v>#REF!</v>
      </c>
      <c r="AB314" s="38"/>
      <c r="AI314" s="2"/>
      <c r="AL314" s="21"/>
    </row>
    <row r="315" spans="4:51" ht="14.5">
      <c r="D315" s="1">
        <f t="shared" si="212"/>
        <v>125</v>
      </c>
      <c r="E315" s="1">
        <f t="shared" si="209"/>
        <v>210.97624999999999</v>
      </c>
      <c r="F315" s="21">
        <v>4803.8726669999996</v>
      </c>
      <c r="G315" s="1">
        <f t="shared" ca="1" si="210"/>
        <v>0.23607905164816648</v>
      </c>
      <c r="H315" s="1" t="e">
        <f t="shared" ca="1" si="211"/>
        <v>#REF!</v>
      </c>
      <c r="I315" s="1" t="e">
        <f ca="1">(((1)/(2*$B$294*$H$314))*LN(($G$314+($H$314*$E$315^2))/($G$314+($H$314*$E$314^2))))</f>
        <v>#REF!</v>
      </c>
      <c r="J315" s="1" t="e">
        <f t="shared" ca="1" si="213"/>
        <v>#REF!</v>
      </c>
      <c r="L315" s="21"/>
      <c r="S315" s="32"/>
      <c r="V315" s="1" t="e">
        <f t="shared" si="215"/>
        <v>#REF!</v>
      </c>
      <c r="W315" s="1" t="e">
        <f t="shared" si="214"/>
        <v>#REF!</v>
      </c>
      <c r="X315" s="1" t="e">
        <f>#REF!*W315</f>
        <v>#REF!</v>
      </c>
      <c r="Y315" s="1" t="e">
        <f>W315*#REF!</f>
        <v>#REF!</v>
      </c>
      <c r="AB315" s="38"/>
      <c r="AI315" s="2"/>
      <c r="AL315" s="21"/>
    </row>
    <row r="316" spans="4:51" ht="14.5">
      <c r="D316" s="1">
        <f t="shared" si="212"/>
        <v>130</v>
      </c>
      <c r="E316" s="1">
        <f t="shared" si="209"/>
        <v>219.4153</v>
      </c>
      <c r="F316" s="21">
        <v>4772.5730000000003</v>
      </c>
      <c r="G316" s="1">
        <f t="shared" ca="1" si="210"/>
        <v>0.23428025659649424</v>
      </c>
      <c r="H316" s="1" t="e">
        <f t="shared" ca="1" si="211"/>
        <v>#REF!</v>
      </c>
      <c r="I316" s="1" t="e">
        <f ca="1">(((1)/(2*$B$294*$H$315))*LN(($G$315+($H$315*$E$316^2))/($G$315+($H$315*$E$315^2))))</f>
        <v>#REF!</v>
      </c>
      <c r="J316" s="1" t="e">
        <f t="shared" ca="1" si="213"/>
        <v>#REF!</v>
      </c>
      <c r="L316" s="21"/>
      <c r="S316" s="32"/>
      <c r="V316" s="1" t="e">
        <f t="shared" si="215"/>
        <v>#REF!</v>
      </c>
      <c r="W316" s="1" t="e">
        <f t="shared" si="214"/>
        <v>#REF!</v>
      </c>
      <c r="X316" s="1" t="e">
        <f>#REF!*W316</f>
        <v>#REF!</v>
      </c>
      <c r="Y316" s="1" t="e">
        <f>W316*#REF!</f>
        <v>#REF!</v>
      </c>
      <c r="AB316" s="38"/>
      <c r="AI316" s="2"/>
      <c r="AL316" s="21"/>
    </row>
    <row r="317" spans="4:51" ht="14.5">
      <c r="H317" s="21"/>
      <c r="L317" s="21"/>
      <c r="S317" s="32"/>
      <c r="V317" s="1" t="e">
        <f t="shared" si="215"/>
        <v>#REF!</v>
      </c>
      <c r="W317" s="1" t="e">
        <f t="shared" si="214"/>
        <v>#REF!</v>
      </c>
      <c r="X317" s="1" t="e">
        <f>#REF!*W317</f>
        <v>#REF!</v>
      </c>
      <c r="Y317" s="1" t="e">
        <f>W317*#REF!</f>
        <v>#REF!</v>
      </c>
      <c r="AB317" s="38"/>
      <c r="AI317" s="2"/>
      <c r="AL317" s="21"/>
    </row>
    <row r="318" spans="4:51" ht="14.5">
      <c r="H318" s="34" t="s">
        <v>160</v>
      </c>
      <c r="I318" s="1" t="e">
        <f ca="1">SUM(I291:I316)</f>
        <v>#REF!</v>
      </c>
      <c r="J318" s="21" t="s">
        <v>9</v>
      </c>
      <c r="K318" s="21" t="s">
        <v>161</v>
      </c>
      <c r="L318" s="21" t="e">
        <f ca="1">SUM(J290:J316)</f>
        <v>#REF!</v>
      </c>
      <c r="M318" s="21" t="s">
        <v>18</v>
      </c>
      <c r="S318" s="32"/>
      <c r="V318" s="1" t="e">
        <f t="shared" si="215"/>
        <v>#REF!</v>
      </c>
      <c r="W318" s="1" t="e">
        <f t="shared" si="214"/>
        <v>#REF!</v>
      </c>
      <c r="X318" s="1" t="e">
        <f>#REF!*W318</f>
        <v>#REF!</v>
      </c>
      <c r="Y318" s="1" t="e">
        <f>W318*#REF!</f>
        <v>#REF!</v>
      </c>
      <c r="AB318" s="38"/>
      <c r="AI318" s="2"/>
      <c r="AL318" s="21"/>
    </row>
    <row r="319" spans="4:51" ht="14.5">
      <c r="H319" s="7" t="s">
        <v>154</v>
      </c>
      <c r="I319" s="1" t="e">
        <f>B295</f>
        <v>#REF!</v>
      </c>
      <c r="K319" s="21" t="s">
        <v>162</v>
      </c>
      <c r="L319" s="21">
        <v>1</v>
      </c>
      <c r="M319" s="21" t="s">
        <v>18</v>
      </c>
      <c r="S319" s="32"/>
      <c r="V319" s="1" t="e">
        <f t="shared" si="215"/>
        <v>#REF!</v>
      </c>
      <c r="W319" s="1" t="e">
        <f t="shared" si="214"/>
        <v>#REF!</v>
      </c>
      <c r="X319" s="1" t="e">
        <f>#REF!*W319</f>
        <v>#REF!</v>
      </c>
      <c r="Y319" s="1" t="e">
        <f>W319*#REF!</f>
        <v>#REF!</v>
      </c>
      <c r="AB319" s="38"/>
      <c r="AI319" s="2"/>
      <c r="AL319" s="21"/>
    </row>
    <row r="320" spans="4:51" ht="14.5">
      <c r="H320" s="7" t="s">
        <v>138</v>
      </c>
      <c r="I320" s="1" t="e">
        <f>K290</f>
        <v>#REF!</v>
      </c>
      <c r="K320" s="21" t="s">
        <v>163</v>
      </c>
      <c r="L320" s="21" t="e">
        <f>K290/#REF!</f>
        <v>#REF!</v>
      </c>
      <c r="M320" s="21" t="s">
        <v>18</v>
      </c>
      <c r="S320" s="32"/>
      <c r="V320" s="1" t="e">
        <f t="shared" si="215"/>
        <v>#REF!</v>
      </c>
      <c r="W320" s="1" t="e">
        <f t="shared" si="214"/>
        <v>#REF!</v>
      </c>
      <c r="X320" s="1" t="e">
        <f>#REF!*W320</f>
        <v>#REF!</v>
      </c>
      <c r="Y320" s="1" t="e">
        <f>W320*#REF!</f>
        <v>#REF!</v>
      </c>
      <c r="AB320" s="38"/>
      <c r="AI320" s="2"/>
      <c r="AL320" s="21"/>
    </row>
    <row r="321" spans="8:38" ht="14.5">
      <c r="H321" s="7" t="s">
        <v>148</v>
      </c>
      <c r="I321" s="1" t="e">
        <f>K293</f>
        <v>#REF!</v>
      </c>
      <c r="K321" s="21" t="s">
        <v>164</v>
      </c>
      <c r="L321" s="1" t="e">
        <f>K293/#REF!</f>
        <v>#REF!</v>
      </c>
      <c r="M321" s="21" t="s">
        <v>18</v>
      </c>
      <c r="S321" s="32"/>
      <c r="V321" s="1" t="e">
        <f t="shared" si="215"/>
        <v>#REF!</v>
      </c>
      <c r="W321" s="1" t="e">
        <f t="shared" si="214"/>
        <v>#REF!</v>
      </c>
      <c r="X321" s="1" t="e">
        <f>#REF!*W321</f>
        <v>#REF!</v>
      </c>
      <c r="Y321" s="1" t="e">
        <f>W321*#REF!</f>
        <v>#REF!</v>
      </c>
      <c r="AB321" s="38"/>
      <c r="AI321" s="2"/>
      <c r="AL321" s="21"/>
    </row>
    <row r="322" spans="8:38" ht="14.5">
      <c r="H322" s="6" t="s">
        <v>165</v>
      </c>
      <c r="I322" s="5" t="e">
        <f ca="1">SUM(I318:I321)</f>
        <v>#REF!</v>
      </c>
      <c r="J322" s="6" t="s">
        <v>9</v>
      </c>
      <c r="K322" s="51" t="s">
        <v>166</v>
      </c>
      <c r="L322" s="21" t="e">
        <f ca="1">SUM(L318:L321)</f>
        <v>#REF!</v>
      </c>
      <c r="M322" s="21" t="s">
        <v>18</v>
      </c>
      <c r="S322" s="32"/>
      <c r="V322" s="1" t="e">
        <f t="shared" si="215"/>
        <v>#REF!</v>
      </c>
      <c r="W322" s="1" t="e">
        <f t="shared" si="214"/>
        <v>#REF!</v>
      </c>
      <c r="X322" s="1" t="e">
        <f>#REF!*W322</f>
        <v>#REF!</v>
      </c>
      <c r="Y322" s="1" t="e">
        <f>W322*#REF!</f>
        <v>#REF!</v>
      </c>
      <c r="AB322" s="38"/>
      <c r="AI322" s="2"/>
      <c r="AL322" s="21"/>
    </row>
    <row r="323" spans="8:38" ht="14.5">
      <c r="H323" s="21"/>
      <c r="L323" s="21"/>
      <c r="S323" s="32"/>
      <c r="V323" s="1" t="e">
        <f t="shared" si="215"/>
        <v>#REF!</v>
      </c>
      <c r="W323" s="1" t="e">
        <f t="shared" si="214"/>
        <v>#REF!</v>
      </c>
      <c r="X323" s="1" t="e">
        <f>#REF!*W323</f>
        <v>#REF!</v>
      </c>
      <c r="Y323" s="1" t="e">
        <f>W323*#REF!</f>
        <v>#REF!</v>
      </c>
      <c r="AB323" s="38"/>
      <c r="AI323" s="2"/>
      <c r="AL323" s="21"/>
    </row>
    <row r="324" spans="8:38" ht="14.5">
      <c r="H324" s="21"/>
      <c r="L324" s="21"/>
      <c r="S324" s="32"/>
      <c r="V324" s="1" t="e">
        <f t="shared" si="215"/>
        <v>#REF!</v>
      </c>
      <c r="W324" s="1" t="e">
        <f t="shared" si="214"/>
        <v>#REF!</v>
      </c>
      <c r="X324" s="1" t="e">
        <f>#REF!*W324</f>
        <v>#REF!</v>
      </c>
      <c r="Y324" s="1" t="e">
        <f>W324*#REF!</f>
        <v>#REF!</v>
      </c>
      <c r="AB324" s="38"/>
      <c r="AI324" s="2"/>
      <c r="AL324" s="21"/>
    </row>
    <row r="325" spans="8:38" ht="14.5">
      <c r="H325" s="21"/>
      <c r="L325" s="21"/>
      <c r="S325" s="32"/>
      <c r="V325" s="1" t="e">
        <f t="shared" si="215"/>
        <v>#REF!</v>
      </c>
      <c r="W325" s="1" t="e">
        <f t="shared" si="214"/>
        <v>#REF!</v>
      </c>
      <c r="X325" s="1" t="e">
        <f>#REF!*W325</f>
        <v>#REF!</v>
      </c>
      <c r="Y325" s="1" t="e">
        <f>W325*#REF!</f>
        <v>#REF!</v>
      </c>
      <c r="AB325" s="38"/>
      <c r="AI325" s="2"/>
      <c r="AL325" s="21"/>
    </row>
    <row r="326" spans="8:38" ht="14.5">
      <c r="H326" s="21"/>
      <c r="L326" s="21"/>
      <c r="S326" s="32"/>
      <c r="V326" s="1" t="e">
        <f t="shared" si="215"/>
        <v>#REF!</v>
      </c>
      <c r="W326" s="1" t="e">
        <f t="shared" si="214"/>
        <v>#REF!</v>
      </c>
      <c r="X326" s="1" t="e">
        <f>#REF!*W326</f>
        <v>#REF!</v>
      </c>
      <c r="Y326" s="1" t="e">
        <f>W326*#REF!</f>
        <v>#REF!</v>
      </c>
      <c r="AB326" s="38"/>
      <c r="AI326" s="2"/>
      <c r="AL326" s="21"/>
    </row>
    <row r="327" spans="8:38" ht="14.5">
      <c r="H327" s="21"/>
      <c r="L327" s="21"/>
      <c r="S327" s="32"/>
      <c r="V327" s="1" t="e">
        <f t="shared" si="215"/>
        <v>#REF!</v>
      </c>
      <c r="W327" s="1" t="e">
        <f t="shared" si="214"/>
        <v>#REF!</v>
      </c>
      <c r="X327" s="1" t="e">
        <f>#REF!*W327</f>
        <v>#REF!</v>
      </c>
      <c r="Y327" s="1" t="e">
        <f>W327*#REF!</f>
        <v>#REF!</v>
      </c>
      <c r="AB327" s="38"/>
      <c r="AI327" s="2"/>
      <c r="AL327" s="21"/>
    </row>
    <row r="328" spans="8:38" ht="14.5">
      <c r="H328" s="21"/>
      <c r="L328" s="21"/>
      <c r="S328" s="32"/>
      <c r="V328" s="1" t="e">
        <f t="shared" si="215"/>
        <v>#REF!</v>
      </c>
      <c r="W328" s="1" t="e">
        <f t="shared" si="214"/>
        <v>#REF!</v>
      </c>
      <c r="X328" s="1" t="e">
        <f>#REF!*W328</f>
        <v>#REF!</v>
      </c>
      <c r="Y328" s="1" t="e">
        <f>W328*#REF!</f>
        <v>#REF!</v>
      </c>
      <c r="AB328" s="38"/>
      <c r="AI328" s="2"/>
      <c r="AL328" s="21"/>
    </row>
    <row r="329" spans="8:38" ht="14.5">
      <c r="H329" s="21"/>
      <c r="L329" s="21"/>
      <c r="S329" s="32"/>
      <c r="V329" s="1" t="e">
        <f t="shared" si="215"/>
        <v>#REF!</v>
      </c>
      <c r="W329" s="1" t="e">
        <f t="shared" si="214"/>
        <v>#REF!</v>
      </c>
      <c r="X329" s="1" t="e">
        <f>#REF!*W329</f>
        <v>#REF!</v>
      </c>
      <c r="Y329" s="1" t="e">
        <f>W329*#REF!</f>
        <v>#REF!</v>
      </c>
      <c r="AB329" s="38"/>
      <c r="AI329" s="2"/>
      <c r="AL329" s="21"/>
    </row>
    <row r="330" spans="8:38" ht="14.5">
      <c r="H330" s="21"/>
      <c r="L330" s="21"/>
      <c r="S330" s="32"/>
      <c r="V330" s="1" t="e">
        <f t="shared" si="215"/>
        <v>#REF!</v>
      </c>
      <c r="W330" s="1" t="e">
        <f t="shared" si="214"/>
        <v>#REF!</v>
      </c>
      <c r="X330" s="1" t="e">
        <f>#REF!*W330</f>
        <v>#REF!</v>
      </c>
      <c r="Y330" s="1" t="e">
        <f>W330*#REF!</f>
        <v>#REF!</v>
      </c>
      <c r="AB330" s="38"/>
      <c r="AI330" s="2"/>
      <c r="AL330" s="21"/>
    </row>
    <row r="331" spans="8:38" ht="14.5">
      <c r="H331" s="21"/>
      <c r="L331" s="21"/>
      <c r="S331" s="32"/>
      <c r="V331" s="1" t="e">
        <f t="shared" si="215"/>
        <v>#REF!</v>
      </c>
      <c r="W331" s="1" t="e">
        <f t="shared" si="214"/>
        <v>#REF!</v>
      </c>
      <c r="X331" s="1" t="e">
        <f>#REF!*W331</f>
        <v>#REF!</v>
      </c>
      <c r="Y331" s="1" t="e">
        <f>W331*#REF!</f>
        <v>#REF!</v>
      </c>
      <c r="AB331" s="38"/>
      <c r="AI331" s="2"/>
      <c r="AL331" s="21"/>
    </row>
    <row r="332" spans="8:38" ht="14.5">
      <c r="H332" s="21"/>
      <c r="L332" s="21"/>
      <c r="S332" s="32"/>
      <c r="V332" s="1" t="e">
        <f t="shared" si="215"/>
        <v>#REF!</v>
      </c>
      <c r="W332" s="1" t="e">
        <f t="shared" si="214"/>
        <v>#REF!</v>
      </c>
      <c r="X332" s="1" t="e">
        <f>#REF!*W332</f>
        <v>#REF!</v>
      </c>
      <c r="Y332" s="1" t="e">
        <f>W332*#REF!</f>
        <v>#REF!</v>
      </c>
      <c r="AB332" s="38"/>
      <c r="AI332" s="2"/>
      <c r="AL332" s="21"/>
    </row>
    <row r="333" spans="8:38" ht="14.5">
      <c r="H333" s="21"/>
      <c r="L333" s="21"/>
      <c r="S333" s="32"/>
      <c r="V333" s="1" t="e">
        <f t="shared" si="215"/>
        <v>#REF!</v>
      </c>
      <c r="W333" s="1" t="e">
        <f t="shared" si="214"/>
        <v>#REF!</v>
      </c>
      <c r="X333" s="1" t="e">
        <f>#REF!*W333</f>
        <v>#REF!</v>
      </c>
      <c r="Y333" s="1" t="e">
        <f>W333*#REF!</f>
        <v>#REF!</v>
      </c>
      <c r="AB333" s="38"/>
      <c r="AI333" s="2"/>
      <c r="AL333" s="21"/>
    </row>
    <row r="334" spans="8:38" ht="14.5">
      <c r="H334" s="21"/>
      <c r="L334" s="21"/>
      <c r="S334" s="32"/>
      <c r="V334" s="1" t="e">
        <f t="shared" si="215"/>
        <v>#REF!</v>
      </c>
      <c r="W334" s="1" t="e">
        <f t="shared" si="214"/>
        <v>#REF!</v>
      </c>
      <c r="X334" s="1" t="e">
        <f>#REF!*W334</f>
        <v>#REF!</v>
      </c>
      <c r="Y334" s="1" t="e">
        <f>W334*#REF!</f>
        <v>#REF!</v>
      </c>
      <c r="AB334" s="38"/>
      <c r="AI334" s="2"/>
      <c r="AL334" s="21"/>
    </row>
    <row r="335" spans="8:38" ht="14.5">
      <c r="H335" s="21"/>
      <c r="L335" s="21"/>
      <c r="S335" s="32"/>
      <c r="V335" s="1" t="e">
        <f t="shared" si="215"/>
        <v>#REF!</v>
      </c>
      <c r="W335" s="1" t="e">
        <f t="shared" si="214"/>
        <v>#REF!</v>
      </c>
      <c r="X335" s="1" t="e">
        <f>#REF!*W335</f>
        <v>#REF!</v>
      </c>
      <c r="Y335" s="1" t="e">
        <f>W335*#REF!</f>
        <v>#REF!</v>
      </c>
      <c r="AB335" s="38"/>
      <c r="AI335" s="2"/>
      <c r="AL335" s="21"/>
    </row>
    <row r="336" spans="8:38" ht="14.5">
      <c r="H336" s="21"/>
      <c r="L336" s="21"/>
      <c r="S336" s="32"/>
      <c r="V336" s="1" t="e">
        <f t="shared" si="215"/>
        <v>#REF!</v>
      </c>
      <c r="W336" s="1" t="e">
        <f t="shared" si="214"/>
        <v>#REF!</v>
      </c>
      <c r="X336" s="1" t="e">
        <f>#REF!*W336</f>
        <v>#REF!</v>
      </c>
      <c r="Y336" s="1" t="e">
        <f>W336*#REF!</f>
        <v>#REF!</v>
      </c>
      <c r="AB336" s="38"/>
      <c r="AI336" s="2"/>
      <c r="AL336" s="21"/>
    </row>
    <row r="337" spans="1:45" ht="14.5">
      <c r="H337" s="21"/>
      <c r="L337" s="21"/>
      <c r="S337" s="32"/>
      <c r="V337" s="1" t="e">
        <f t="shared" si="215"/>
        <v>#REF!</v>
      </c>
      <c r="W337" s="1" t="e">
        <f t="shared" si="214"/>
        <v>#REF!</v>
      </c>
      <c r="X337" s="1" t="e">
        <f>#REF!*W337</f>
        <v>#REF!</v>
      </c>
      <c r="Y337" s="1" t="e">
        <f>W337*#REF!</f>
        <v>#REF!</v>
      </c>
      <c r="AB337" s="38"/>
      <c r="AI337" s="2"/>
      <c r="AL337" s="21"/>
    </row>
    <row r="338" spans="1:45" ht="14.5">
      <c r="H338" s="21"/>
      <c r="L338" s="21"/>
      <c r="S338" s="32"/>
      <c r="V338" s="1" t="e">
        <f t="shared" si="215"/>
        <v>#REF!</v>
      </c>
      <c r="W338" s="1" t="e">
        <f t="shared" si="214"/>
        <v>#REF!</v>
      </c>
      <c r="X338" s="1" t="e">
        <f>#REF!*W338</f>
        <v>#REF!</v>
      </c>
      <c r="Y338" s="1" t="e">
        <f>W338*#REF!</f>
        <v>#REF!</v>
      </c>
      <c r="AB338" s="38"/>
      <c r="AI338" s="2"/>
      <c r="AL338" s="21"/>
    </row>
    <row r="339" spans="1:45" ht="14.5">
      <c r="H339" s="21"/>
      <c r="L339" s="21"/>
      <c r="S339" s="32"/>
      <c r="V339" s="1" t="e">
        <f t="shared" si="215"/>
        <v>#REF!</v>
      </c>
      <c r="W339" s="1" t="e">
        <f t="shared" si="214"/>
        <v>#REF!</v>
      </c>
      <c r="X339" s="1" t="e">
        <f>#REF!*W339</f>
        <v>#REF!</v>
      </c>
      <c r="Y339" s="1" t="e">
        <f>W339*#REF!</f>
        <v>#REF!</v>
      </c>
      <c r="AB339" s="38"/>
      <c r="AI339" s="2"/>
      <c r="AL339" s="21"/>
    </row>
    <row r="340" spans="1:45" ht="14.5">
      <c r="H340" s="21"/>
      <c r="L340" s="21"/>
      <c r="S340" s="32"/>
      <c r="V340" s="1" t="e">
        <f t="shared" si="215"/>
        <v>#REF!</v>
      </c>
      <c r="W340" s="1" t="e">
        <f t="shared" si="214"/>
        <v>#REF!</v>
      </c>
      <c r="X340" s="1" t="e">
        <f>#REF!*W340</f>
        <v>#REF!</v>
      </c>
      <c r="Y340" s="1" t="e">
        <f>W340*#REF!</f>
        <v>#REF!</v>
      </c>
      <c r="AB340" s="38"/>
      <c r="AI340" s="2"/>
      <c r="AL340" s="21"/>
    </row>
    <row r="341" spans="1:45" ht="14.5">
      <c r="H341" s="21"/>
      <c r="L341" s="21"/>
      <c r="S341" s="32"/>
      <c r="V341" s="1" t="e">
        <f t="shared" si="215"/>
        <v>#REF!</v>
      </c>
      <c r="W341" s="1" t="e">
        <f t="shared" si="214"/>
        <v>#REF!</v>
      </c>
      <c r="X341" s="1" t="e">
        <f>#REF!*W341</f>
        <v>#REF!</v>
      </c>
      <c r="Y341" s="1" t="e">
        <f>W341*#REF!</f>
        <v>#REF!</v>
      </c>
      <c r="AB341" s="38"/>
      <c r="AI341" s="2"/>
      <c r="AL341" s="21"/>
    </row>
    <row r="342" spans="1:45" ht="14.5">
      <c r="H342" s="21"/>
      <c r="L342" s="21"/>
      <c r="S342" s="32"/>
      <c r="V342" s="1" t="e">
        <f t="shared" si="215"/>
        <v>#REF!</v>
      </c>
      <c r="W342" s="1" t="e">
        <f t="shared" si="214"/>
        <v>#REF!</v>
      </c>
      <c r="X342" s="1" t="e">
        <f>#REF!*W342</f>
        <v>#REF!</v>
      </c>
      <c r="Y342" s="1" t="e">
        <f>W342*#REF!</f>
        <v>#REF!</v>
      </c>
      <c r="AB342" s="38"/>
      <c r="AI342" s="2"/>
      <c r="AL342" s="21"/>
    </row>
    <row r="343" spans="1:45" ht="14.5">
      <c r="A343" s="21"/>
      <c r="B343" s="21"/>
      <c r="C343" s="21"/>
      <c r="D343" s="21"/>
      <c r="L343" s="21"/>
      <c r="Q343" s="21"/>
      <c r="T343" s="21"/>
      <c r="U343" s="21"/>
      <c r="V343" s="1" t="e">
        <f t="shared" si="215"/>
        <v>#REF!</v>
      </c>
      <c r="W343" s="1" t="e">
        <f t="shared" si="214"/>
        <v>#REF!</v>
      </c>
      <c r="X343" s="1" t="e">
        <f>#REF!*W343</f>
        <v>#REF!</v>
      </c>
      <c r="Y343" s="1" t="e">
        <f>W343*#REF!</f>
        <v>#REF!</v>
      </c>
      <c r="Z343" s="21"/>
      <c r="AA343" s="21"/>
      <c r="AB343" s="21"/>
      <c r="AC343" s="21"/>
      <c r="AE343" s="21"/>
      <c r="AI343" s="21"/>
    </row>
    <row r="344" spans="1:45" ht="14.5">
      <c r="L344" s="2"/>
      <c r="M344" s="2"/>
      <c r="V344" s="1" t="e">
        <f t="shared" si="215"/>
        <v>#REF!</v>
      </c>
      <c r="W344" s="1" t="e">
        <f t="shared" si="214"/>
        <v>#REF!</v>
      </c>
      <c r="X344" s="1" t="e">
        <f>#REF!*W344</f>
        <v>#REF!</v>
      </c>
      <c r="Y344" s="1" t="e">
        <f>W344*#REF!</f>
        <v>#REF!</v>
      </c>
      <c r="Z344" s="21"/>
      <c r="AA344" s="21"/>
      <c r="AB344" s="21"/>
      <c r="AC344" s="21"/>
      <c r="AE344" s="21"/>
      <c r="AF344" s="21"/>
      <c r="AG344" s="21"/>
      <c r="AQ344" s="15"/>
      <c r="AR344" s="16"/>
      <c r="AS344" s="16"/>
    </row>
    <row r="345" spans="1:45" ht="14.5">
      <c r="V345" s="1" t="e">
        <f t="shared" si="215"/>
        <v>#REF!</v>
      </c>
      <c r="W345" s="1" t="e">
        <f t="shared" si="214"/>
        <v>#REF!</v>
      </c>
      <c r="X345" s="1" t="e">
        <f>#REF!*W345</f>
        <v>#REF!</v>
      </c>
      <c r="Y345" s="1" t="e">
        <f>W345*#REF!</f>
        <v>#REF!</v>
      </c>
      <c r="Z345" s="21"/>
      <c r="AA345" s="21"/>
      <c r="AB345" s="21"/>
      <c r="AC345" s="21"/>
      <c r="AE345" s="21"/>
      <c r="AF345" s="21"/>
      <c r="AG345" s="21"/>
    </row>
    <row r="346" spans="1:45" ht="14.5">
      <c r="E346" s="32"/>
      <c r="F346" s="21"/>
      <c r="H346" s="21"/>
      <c r="L346" s="21"/>
      <c r="S346" s="21"/>
      <c r="V346" s="1" t="e">
        <f t="shared" si="215"/>
        <v>#REF!</v>
      </c>
      <c r="W346" s="1" t="e">
        <f t="shared" si="214"/>
        <v>#REF!</v>
      </c>
      <c r="X346" s="1" t="e">
        <f>#REF!*W346</f>
        <v>#REF!</v>
      </c>
      <c r="Y346" s="1" t="e">
        <f>W346*#REF!</f>
        <v>#REF!</v>
      </c>
      <c r="AB346" s="38"/>
      <c r="AE346" s="21"/>
      <c r="AI346" s="2"/>
      <c r="AL346" s="21"/>
      <c r="AO346" s="21"/>
    </row>
    <row r="347" spans="1:45" ht="14.5">
      <c r="H347" s="21"/>
      <c r="L347" s="21"/>
      <c r="S347" s="21"/>
      <c r="V347" s="1" t="e">
        <f t="shared" si="215"/>
        <v>#REF!</v>
      </c>
      <c r="W347" s="1" t="e">
        <f t="shared" si="214"/>
        <v>#REF!</v>
      </c>
      <c r="X347" s="1" t="e">
        <f>#REF!*W347</f>
        <v>#REF!</v>
      </c>
      <c r="Y347" s="1" t="e">
        <f>W347*#REF!</f>
        <v>#REF!</v>
      </c>
      <c r="AB347" s="38"/>
      <c r="AE347" s="21"/>
      <c r="AI347" s="2"/>
      <c r="AL347" s="21"/>
      <c r="AO347" s="21"/>
    </row>
    <row r="348" spans="1:45" ht="14.5">
      <c r="H348" s="21"/>
      <c r="L348" s="21"/>
      <c r="S348" s="21"/>
      <c r="V348" s="1" t="e">
        <f t="shared" si="215"/>
        <v>#REF!</v>
      </c>
      <c r="W348" s="1" t="e">
        <f t="shared" si="214"/>
        <v>#REF!</v>
      </c>
      <c r="X348" s="1" t="e">
        <f>#REF!*W348</f>
        <v>#REF!</v>
      </c>
      <c r="Y348" s="1" t="e">
        <f>W348*#REF!</f>
        <v>#REF!</v>
      </c>
      <c r="AB348" s="38"/>
      <c r="AE348" s="21"/>
      <c r="AI348" s="2"/>
      <c r="AL348" s="21"/>
      <c r="AO348" s="21"/>
    </row>
    <row r="349" spans="1:45" ht="14.5">
      <c r="H349" s="21"/>
      <c r="L349" s="21"/>
      <c r="S349" s="21"/>
      <c r="V349" s="1" t="e">
        <f t="shared" si="215"/>
        <v>#REF!</v>
      </c>
      <c r="W349" s="1" t="e">
        <f t="shared" si="214"/>
        <v>#REF!</v>
      </c>
      <c r="X349" s="1" t="e">
        <f>#REF!*W349</f>
        <v>#REF!</v>
      </c>
      <c r="Y349" s="1" t="e">
        <f>W349*#REF!</f>
        <v>#REF!</v>
      </c>
      <c r="AB349" s="38"/>
      <c r="AE349" s="21"/>
      <c r="AI349" s="2"/>
      <c r="AL349" s="21"/>
      <c r="AO349" s="21"/>
    </row>
    <row r="350" spans="1:45" ht="14.5">
      <c r="V350" s="1" t="e">
        <f t="shared" si="215"/>
        <v>#REF!</v>
      </c>
      <c r="W350" s="1" t="e">
        <f t="shared" si="214"/>
        <v>#REF!</v>
      </c>
      <c r="X350" s="1" t="e">
        <f>#REF!*W350</f>
        <v>#REF!</v>
      </c>
      <c r="Y350" s="1" t="e">
        <f>W350*#REF!</f>
        <v>#REF!</v>
      </c>
    </row>
    <row r="351" spans="1:45" ht="14.5">
      <c r="V351" s="1" t="e">
        <f t="shared" si="215"/>
        <v>#REF!</v>
      </c>
      <c r="W351" s="1" t="e">
        <f t="shared" si="214"/>
        <v>#REF!</v>
      </c>
      <c r="X351" s="1" t="e">
        <f>#REF!*W351</f>
        <v>#REF!</v>
      </c>
      <c r="Y351" s="1" t="e">
        <f>W351*#REF!</f>
        <v>#REF!</v>
      </c>
    </row>
    <row r="352" spans="1:45" ht="14.5">
      <c r="V352" s="1" t="e">
        <f t="shared" si="215"/>
        <v>#REF!</v>
      </c>
      <c r="W352" s="1" t="e">
        <f t="shared" si="214"/>
        <v>#REF!</v>
      </c>
      <c r="X352" s="1" t="e">
        <f>#REF!*W352</f>
        <v>#REF!</v>
      </c>
      <c r="Y352" s="1" t="e">
        <f>W352*#REF!</f>
        <v>#REF!</v>
      </c>
    </row>
    <row r="353" spans="22:51" ht="14.5">
      <c r="V353" s="1" t="e">
        <f t="shared" si="215"/>
        <v>#REF!</v>
      </c>
      <c r="W353" s="1" t="e">
        <f t="shared" si="214"/>
        <v>#REF!</v>
      </c>
      <c r="X353" s="1" t="e">
        <f>#REF!*W353</f>
        <v>#REF!</v>
      </c>
      <c r="Y353" s="1" t="e">
        <f>W353*#REF!</f>
        <v>#REF!</v>
      </c>
    </row>
    <row r="354" spans="22:51" ht="14.5">
      <c r="V354" s="1" t="e">
        <f t="shared" si="215"/>
        <v>#REF!</v>
      </c>
      <c r="W354" s="1" t="e">
        <f t="shared" si="214"/>
        <v>#REF!</v>
      </c>
      <c r="X354" s="1" t="e">
        <f>#REF!*W354</f>
        <v>#REF!</v>
      </c>
      <c r="Y354" s="1" t="e">
        <f>W354*#REF!</f>
        <v>#REF!</v>
      </c>
    </row>
    <row r="355" spans="22:51" ht="14.5">
      <c r="V355" s="1" t="e">
        <f t="shared" si="215"/>
        <v>#REF!</v>
      </c>
      <c r="W355" s="1" t="e">
        <f t="shared" si="214"/>
        <v>#REF!</v>
      </c>
      <c r="X355" s="1" t="e">
        <f>#REF!*W355</f>
        <v>#REF!</v>
      </c>
      <c r="Y355" s="1" t="e">
        <f>W355*#REF!</f>
        <v>#REF!</v>
      </c>
    </row>
    <row r="356" spans="22:51" ht="14.5">
      <c r="V356" s="1" t="e">
        <f t="shared" si="215"/>
        <v>#REF!</v>
      </c>
      <c r="W356" s="1" t="e">
        <f t="shared" si="214"/>
        <v>#REF!</v>
      </c>
      <c r="X356" s="1" t="e">
        <f>#REF!*W356</f>
        <v>#REF!</v>
      </c>
      <c r="Y356" s="1" t="e">
        <f>W356*#REF!</f>
        <v>#REF!</v>
      </c>
    </row>
    <row r="357" spans="22:51" ht="14.5">
      <c r="V357" s="1" t="e">
        <f t="shared" si="215"/>
        <v>#REF!</v>
      </c>
      <c r="W357" s="1" t="e">
        <f t="shared" si="214"/>
        <v>#REF!</v>
      </c>
      <c r="X357" s="1" t="e">
        <f>#REF!*W357</f>
        <v>#REF!</v>
      </c>
      <c r="Y357" s="1" t="e">
        <f>W357*#REF!</f>
        <v>#REF!</v>
      </c>
    </row>
    <row r="358" spans="22:51" ht="14.5">
      <c r="V358" s="1" t="e">
        <f t="shared" si="215"/>
        <v>#REF!</v>
      </c>
      <c r="W358" s="1" t="e">
        <f t="shared" si="214"/>
        <v>#REF!</v>
      </c>
      <c r="X358" s="1" t="e">
        <f>#REF!*W358</f>
        <v>#REF!</v>
      </c>
      <c r="Y358" s="1" t="e">
        <f>W358*#REF!</f>
        <v>#REF!</v>
      </c>
    </row>
    <row r="359" spans="22:51" ht="14.5">
      <c r="V359" s="1" t="e">
        <f t="shared" si="215"/>
        <v>#REF!</v>
      </c>
      <c r="W359" s="1" t="e">
        <f t="shared" si="214"/>
        <v>#REF!</v>
      </c>
      <c r="X359" s="1" t="e">
        <f>#REF!*W359</f>
        <v>#REF!</v>
      </c>
      <c r="Y359" s="1" t="e">
        <f>W359*#REF!</f>
        <v>#REF!</v>
      </c>
    </row>
    <row r="360" spans="22:51" ht="14.5">
      <c r="V360" s="1" t="e">
        <f t="shared" si="215"/>
        <v>#REF!</v>
      </c>
      <c r="W360" s="1" t="e">
        <f t="shared" si="214"/>
        <v>#REF!</v>
      </c>
      <c r="X360" s="1" t="e">
        <f>#REF!*W360</f>
        <v>#REF!</v>
      </c>
      <c r="Y360" s="1" t="e">
        <f>W360*#REF!</f>
        <v>#REF!</v>
      </c>
    </row>
    <row r="361" spans="22:51" ht="14.5">
      <c r="V361" s="1" t="e">
        <f t="shared" si="215"/>
        <v>#REF!</v>
      </c>
      <c r="W361" s="1" t="e">
        <f t="shared" si="214"/>
        <v>#REF!</v>
      </c>
      <c r="X361" s="1" t="e">
        <f>#REF!*W361</f>
        <v>#REF!</v>
      </c>
      <c r="Y361" s="1" t="e">
        <f>W361*#REF!</f>
        <v>#REF!</v>
      </c>
    </row>
    <row r="362" spans="22:51" ht="14.5">
      <c r="V362" s="1" t="e">
        <f t="shared" si="215"/>
        <v>#REF!</v>
      </c>
      <c r="W362" s="1" t="e">
        <f t="shared" si="214"/>
        <v>#REF!</v>
      </c>
      <c r="X362" s="1" t="e">
        <f>#REF!*W362</f>
        <v>#REF!</v>
      </c>
      <c r="Y362" s="1" t="e">
        <f>W362*#REF!</f>
        <v>#REF!</v>
      </c>
    </row>
    <row r="363" spans="22:51" ht="14.5">
      <c r="V363" s="1" t="e">
        <f t="shared" si="215"/>
        <v>#REF!</v>
      </c>
      <c r="W363" s="1" t="e">
        <f t="shared" si="214"/>
        <v>#REF!</v>
      </c>
      <c r="X363" s="1" t="e">
        <f>#REF!*W363</f>
        <v>#REF!</v>
      </c>
      <c r="Y363" s="1" t="e">
        <f>W363*#REF!</f>
        <v>#REF!</v>
      </c>
    </row>
    <row r="364" spans="22:51" ht="14.5">
      <c r="V364" s="1" t="e">
        <f t="shared" si="215"/>
        <v>#REF!</v>
      </c>
      <c r="W364" s="1" t="e">
        <f t="shared" si="214"/>
        <v>#REF!</v>
      </c>
      <c r="X364" s="1" t="e">
        <f>#REF!*W364</f>
        <v>#REF!</v>
      </c>
      <c r="Y364" s="1" t="e">
        <f>W364*#REF!</f>
        <v>#REF!</v>
      </c>
      <c r="AT364" s="17"/>
      <c r="AU364" s="18"/>
      <c r="AV364" s="18"/>
      <c r="AW364" s="19"/>
      <c r="AX364" s="19"/>
      <c r="AY364" s="19"/>
    </row>
    <row r="365" spans="22:51" ht="14.5">
      <c r="V365" s="1" t="e">
        <f t="shared" si="215"/>
        <v>#REF!</v>
      </c>
      <c r="W365" s="1" t="e">
        <f t="shared" si="214"/>
        <v>#REF!</v>
      </c>
      <c r="X365" s="1" t="e">
        <f>#REF!*W365</f>
        <v>#REF!</v>
      </c>
      <c r="Y365" s="1" t="e">
        <f>W365*#REF!</f>
        <v>#REF!</v>
      </c>
    </row>
    <row r="366" spans="22:51" ht="14.5">
      <c r="V366" s="1" t="e">
        <f t="shared" si="215"/>
        <v>#REF!</v>
      </c>
      <c r="W366" s="1" t="e">
        <f t="shared" si="214"/>
        <v>#REF!</v>
      </c>
      <c r="X366" s="1" t="e">
        <f>#REF!*W366</f>
        <v>#REF!</v>
      </c>
      <c r="Y366" s="1" t="e">
        <f>W366*#REF!</f>
        <v>#REF!</v>
      </c>
    </row>
    <row r="367" spans="22:51" ht="14.5">
      <c r="V367" s="1" t="e">
        <f t="shared" si="215"/>
        <v>#REF!</v>
      </c>
      <c r="W367" s="1" t="e">
        <f t="shared" si="214"/>
        <v>#REF!</v>
      </c>
      <c r="X367" s="1" t="e">
        <f>#REF!*W367</f>
        <v>#REF!</v>
      </c>
      <c r="Y367" s="1" t="e">
        <f>W367*#REF!</f>
        <v>#REF!</v>
      </c>
    </row>
    <row r="368" spans="22:51" ht="14.5">
      <c r="V368" s="1" t="e">
        <f t="shared" si="215"/>
        <v>#REF!</v>
      </c>
      <c r="W368" s="1" t="e">
        <f t="shared" si="214"/>
        <v>#REF!</v>
      </c>
      <c r="X368" s="1" t="e">
        <f>#REF!*W368</f>
        <v>#REF!</v>
      </c>
      <c r="Y368" s="1" t="e">
        <f>W368*#REF!</f>
        <v>#REF!</v>
      </c>
    </row>
    <row r="369" spans="22:25" ht="14.5">
      <c r="V369" s="1" t="e">
        <f t="shared" si="215"/>
        <v>#REF!</v>
      </c>
      <c r="W369" s="1" t="e">
        <f t="shared" si="214"/>
        <v>#REF!</v>
      </c>
      <c r="X369" s="1" t="e">
        <f>#REF!*W369</f>
        <v>#REF!</v>
      </c>
      <c r="Y369" s="1" t="e">
        <f>W369*#REF!</f>
        <v>#REF!</v>
      </c>
    </row>
    <row r="370" spans="22:25" ht="14.5">
      <c r="V370" s="1" t="e">
        <f t="shared" si="215"/>
        <v>#REF!</v>
      </c>
      <c r="W370" s="1" t="e">
        <f t="shared" si="214"/>
        <v>#REF!</v>
      </c>
      <c r="X370" s="1" t="e">
        <f>#REF!*W370</f>
        <v>#REF!</v>
      </c>
      <c r="Y370" s="1" t="e">
        <f>W370*#REF!</f>
        <v>#REF!</v>
      </c>
    </row>
    <row r="371" spans="22:25" ht="14.5">
      <c r="V371" s="1" t="e">
        <f t="shared" si="215"/>
        <v>#REF!</v>
      </c>
      <c r="W371" s="1" t="e">
        <f t="shared" si="214"/>
        <v>#REF!</v>
      </c>
      <c r="X371" s="1" t="e">
        <f>#REF!*W371</f>
        <v>#REF!</v>
      </c>
      <c r="Y371" s="1" t="e">
        <f>W371*#REF!</f>
        <v>#REF!</v>
      </c>
    </row>
    <row r="372" spans="22:25" ht="14.5">
      <c r="V372" s="1" t="e">
        <f t="shared" si="215"/>
        <v>#REF!</v>
      </c>
      <c r="W372" s="1" t="e">
        <f t="shared" si="214"/>
        <v>#REF!</v>
      </c>
      <c r="X372" s="1" t="e">
        <f>#REF!*W372</f>
        <v>#REF!</v>
      </c>
      <c r="Y372" s="1" t="e">
        <f>W372*#REF!</f>
        <v>#REF!</v>
      </c>
    </row>
    <row r="373" spans="22:25" ht="14.5">
      <c r="V373" s="1" t="e">
        <f t="shared" si="215"/>
        <v>#REF!</v>
      </c>
      <c r="W373" s="1" t="e">
        <f t="shared" si="214"/>
        <v>#REF!</v>
      </c>
      <c r="X373" s="1" t="e">
        <f>#REF!*W373</f>
        <v>#REF!</v>
      </c>
      <c r="Y373" s="1" t="e">
        <f>W373*#REF!</f>
        <v>#REF!</v>
      </c>
    </row>
    <row r="374" spans="22:25" ht="14.5">
      <c r="V374" s="1" t="e">
        <f t="shared" si="215"/>
        <v>#REF!</v>
      </c>
      <c r="W374" s="1" t="e">
        <f t="shared" si="214"/>
        <v>#REF!</v>
      </c>
      <c r="X374" s="1" t="e">
        <f>#REF!*W374</f>
        <v>#REF!</v>
      </c>
      <c r="Y374" s="1" t="e">
        <f>W374*#REF!</f>
        <v>#REF!</v>
      </c>
    </row>
    <row r="375" spans="22:25" ht="14.5">
      <c r="V375" s="1" t="e">
        <f t="shared" si="215"/>
        <v>#REF!</v>
      </c>
      <c r="W375" s="1" t="e">
        <f t="shared" si="214"/>
        <v>#REF!</v>
      </c>
      <c r="X375" s="1" t="e">
        <f>#REF!*W375</f>
        <v>#REF!</v>
      </c>
      <c r="Y375" s="1" t="e">
        <f>W375*#REF!</f>
        <v>#REF!</v>
      </c>
    </row>
    <row r="376" spans="22:25" ht="14.5">
      <c r="V376" s="1" t="e">
        <f t="shared" si="215"/>
        <v>#REF!</v>
      </c>
      <c r="W376" s="1" t="e">
        <f t="shared" si="214"/>
        <v>#REF!</v>
      </c>
      <c r="X376" s="1" t="e">
        <f>#REF!*W376</f>
        <v>#REF!</v>
      </c>
      <c r="Y376" s="1" t="e">
        <f>W376*#REF!</f>
        <v>#REF!</v>
      </c>
    </row>
    <row r="377" spans="22:25" ht="14.5">
      <c r="V377" s="1" t="e">
        <f t="shared" si="215"/>
        <v>#REF!</v>
      </c>
      <c r="W377" s="1" t="e">
        <f t="shared" si="214"/>
        <v>#REF!</v>
      </c>
      <c r="X377" s="1" t="e">
        <f>#REF!*W377</f>
        <v>#REF!</v>
      </c>
      <c r="Y377" s="1" t="e">
        <f>W377*#REF!</f>
        <v>#REF!</v>
      </c>
    </row>
    <row r="378" spans="22:25" ht="14.5">
      <c r="V378" s="1" t="e">
        <f t="shared" si="215"/>
        <v>#REF!</v>
      </c>
      <c r="W378" s="1" t="e">
        <f t="shared" si="214"/>
        <v>#REF!</v>
      </c>
      <c r="X378" s="1" t="e">
        <f>#REF!*W378</f>
        <v>#REF!</v>
      </c>
      <c r="Y378" s="1" t="e">
        <f>W378*#REF!</f>
        <v>#REF!</v>
      </c>
    </row>
    <row r="379" spans="22:25" ht="14.5">
      <c r="V379" s="1" t="e">
        <f t="shared" si="215"/>
        <v>#REF!</v>
      </c>
      <c r="W379" s="1" t="e">
        <f t="shared" si="214"/>
        <v>#REF!</v>
      </c>
      <c r="X379" s="1" t="e">
        <f>#REF!*W379</f>
        <v>#REF!</v>
      </c>
      <c r="Y379" s="1" t="e">
        <f>W379*#REF!</f>
        <v>#REF!</v>
      </c>
    </row>
    <row r="380" spans="22:25" ht="14.5">
      <c r="V380" s="1" t="e">
        <f t="shared" si="215"/>
        <v>#REF!</v>
      </c>
      <c r="W380" s="1" t="e">
        <f t="shared" si="214"/>
        <v>#REF!</v>
      </c>
      <c r="X380" s="1" t="e">
        <f>#REF!*W380</f>
        <v>#REF!</v>
      </c>
      <c r="Y380" s="1" t="e">
        <f>W380*#REF!</f>
        <v>#REF!</v>
      </c>
    </row>
    <row r="381" spans="22:25" ht="14.5">
      <c r="V381" s="1" t="e">
        <f t="shared" si="215"/>
        <v>#REF!</v>
      </c>
      <c r="W381" s="1" t="e">
        <f t="shared" si="214"/>
        <v>#REF!</v>
      </c>
      <c r="X381" s="1" t="e">
        <f>#REF!*W381</f>
        <v>#REF!</v>
      </c>
      <c r="Y381" s="1" t="e">
        <f>W381*#REF!</f>
        <v>#REF!</v>
      </c>
    </row>
    <row r="382" spans="22:25" ht="14.5">
      <c r="V382" s="1" t="e">
        <f t="shared" si="215"/>
        <v>#REF!</v>
      </c>
      <c r="W382" s="1" t="e">
        <f t="shared" si="214"/>
        <v>#REF!</v>
      </c>
      <c r="X382" s="1" t="e">
        <f>#REF!*W382</f>
        <v>#REF!</v>
      </c>
      <c r="Y382" s="1" t="e">
        <f>W382*#REF!</f>
        <v>#REF!</v>
      </c>
    </row>
    <row r="383" spans="22:25" ht="14.5">
      <c r="V383" s="1" t="e">
        <f t="shared" si="215"/>
        <v>#REF!</v>
      </c>
      <c r="W383" s="1" t="e">
        <f t="shared" si="214"/>
        <v>#REF!</v>
      </c>
      <c r="X383" s="1" t="e">
        <f>#REF!*W383</f>
        <v>#REF!</v>
      </c>
      <c r="Y383" s="1" t="e">
        <f>W383*#REF!</f>
        <v>#REF!</v>
      </c>
    </row>
    <row r="384" spans="22:25" ht="14.5">
      <c r="V384" s="1" t="e">
        <f t="shared" si="215"/>
        <v>#REF!</v>
      </c>
      <c r="W384" s="1" t="e">
        <f t="shared" si="214"/>
        <v>#REF!</v>
      </c>
      <c r="X384" s="1" t="e">
        <f>#REF!*W384</f>
        <v>#REF!</v>
      </c>
      <c r="Y384" s="1" t="e">
        <f>W384*#REF!</f>
        <v>#REF!</v>
      </c>
    </row>
    <row r="385" spans="22:25" ht="14.5">
      <c r="V385" s="1" t="e">
        <f t="shared" si="215"/>
        <v>#REF!</v>
      </c>
      <c r="W385" s="1" t="e">
        <f t="shared" si="214"/>
        <v>#REF!</v>
      </c>
      <c r="X385" s="1" t="e">
        <f>#REF!*W385</f>
        <v>#REF!</v>
      </c>
      <c r="Y385" s="1" t="e">
        <f>W385*#REF!</f>
        <v>#REF!</v>
      </c>
    </row>
    <row r="386" spans="22:25" ht="14.5">
      <c r="V386" s="1" t="e">
        <f t="shared" si="215"/>
        <v>#REF!</v>
      </c>
      <c r="W386" s="1" t="e">
        <f t="shared" si="214"/>
        <v>#REF!</v>
      </c>
      <c r="X386" s="1" t="e">
        <f>#REF!*W386</f>
        <v>#REF!</v>
      </c>
      <c r="Y386" s="1" t="e">
        <f>W386*#REF!</f>
        <v>#REF!</v>
      </c>
    </row>
    <row r="387" spans="22:25" ht="14.5">
      <c r="V387" s="1" t="e">
        <f t="shared" si="215"/>
        <v>#REF!</v>
      </c>
      <c r="W387" s="1" t="e">
        <f t="shared" si="214"/>
        <v>#REF!</v>
      </c>
      <c r="X387" s="1" t="e">
        <f>#REF!*W387</f>
        <v>#REF!</v>
      </c>
      <c r="Y387" s="1" t="e">
        <f>W387*#REF!</f>
        <v>#REF!</v>
      </c>
    </row>
    <row r="388" spans="22:25" ht="14.5">
      <c r="V388" s="1" t="e">
        <f t="shared" si="215"/>
        <v>#REF!</v>
      </c>
      <c r="W388" s="1" t="e">
        <f t="shared" si="214"/>
        <v>#REF!</v>
      </c>
      <c r="X388" s="1" t="e">
        <f>#REF!*W388</f>
        <v>#REF!</v>
      </c>
      <c r="Y388" s="1" t="e">
        <f>W388*#REF!</f>
        <v>#REF!</v>
      </c>
    </row>
    <row r="389" spans="22:25" ht="14.5">
      <c r="V389" s="1" t="e">
        <f t="shared" si="215"/>
        <v>#REF!</v>
      </c>
      <c r="W389" s="1" t="e">
        <f t="shared" si="214"/>
        <v>#REF!</v>
      </c>
      <c r="X389" s="1" t="e">
        <f>#REF!*W389</f>
        <v>#REF!</v>
      </c>
      <c r="Y389" s="1" t="e">
        <f>W389*#REF!</f>
        <v>#REF!</v>
      </c>
    </row>
    <row r="390" spans="22:25" ht="14.5">
      <c r="V390" s="1" t="e">
        <f t="shared" si="215"/>
        <v>#REF!</v>
      </c>
      <c r="W390" s="1" t="e">
        <f t="shared" si="214"/>
        <v>#REF!</v>
      </c>
      <c r="X390" s="1" t="e">
        <f>#REF!*W390</f>
        <v>#REF!</v>
      </c>
      <c r="Y390" s="1" t="e">
        <f>W390*#REF!</f>
        <v>#REF!</v>
      </c>
    </row>
    <row r="391" spans="22:25" ht="14.5">
      <c r="V391" s="1" t="e">
        <f t="shared" si="215"/>
        <v>#REF!</v>
      </c>
      <c r="W391" s="1" t="e">
        <f t="shared" si="214"/>
        <v>#REF!</v>
      </c>
      <c r="X391" s="1" t="e">
        <f>#REF!*W391</f>
        <v>#REF!</v>
      </c>
      <c r="Y391" s="1" t="e">
        <f>W391*#REF!</f>
        <v>#REF!</v>
      </c>
    </row>
    <row r="392" spans="22:25" ht="14.5">
      <c r="V392" s="1" t="e">
        <f t="shared" si="215"/>
        <v>#REF!</v>
      </c>
      <c r="W392" s="1" t="e">
        <f t="shared" si="214"/>
        <v>#REF!</v>
      </c>
      <c r="X392" s="1" t="e">
        <f>#REF!*W392</f>
        <v>#REF!</v>
      </c>
      <c r="Y392" s="1" t="e">
        <f>W392*#REF!</f>
        <v>#REF!</v>
      </c>
    </row>
    <row r="393" spans="22:25" ht="14.5">
      <c r="V393" s="1" t="e">
        <f t="shared" si="215"/>
        <v>#REF!</v>
      </c>
      <c r="W393" s="1" t="e">
        <f t="shared" si="214"/>
        <v>#REF!</v>
      </c>
      <c r="X393" s="1" t="e">
        <f>#REF!*W393</f>
        <v>#REF!</v>
      </c>
      <c r="Y393" s="1" t="e">
        <f>W393*#REF!</f>
        <v>#REF!</v>
      </c>
    </row>
    <row r="394" spans="22:25" ht="14.5">
      <c r="V394" s="1" t="e">
        <f t="shared" si="215"/>
        <v>#REF!</v>
      </c>
      <c r="W394" s="1" t="e">
        <f t="shared" si="214"/>
        <v>#REF!</v>
      </c>
      <c r="X394" s="1" t="e">
        <f>#REF!*W394</f>
        <v>#REF!</v>
      </c>
      <c r="Y394" s="1" t="e">
        <f>W394*#REF!</f>
        <v>#REF!</v>
      </c>
    </row>
    <row r="395" spans="22:25" ht="14.5">
      <c r="V395" s="1" t="e">
        <f t="shared" si="215"/>
        <v>#REF!</v>
      </c>
      <c r="W395" s="1" t="e">
        <f t="shared" si="214"/>
        <v>#REF!</v>
      </c>
      <c r="X395" s="1" t="e">
        <f>#REF!*W395</f>
        <v>#REF!</v>
      </c>
      <c r="Y395" s="1" t="e">
        <f>W395*#REF!</f>
        <v>#REF!</v>
      </c>
    </row>
    <row r="396" spans="22:25" ht="14.5">
      <c r="V396" s="1" t="e">
        <f t="shared" si="215"/>
        <v>#REF!</v>
      </c>
      <c r="W396" s="1" t="e">
        <f t="shared" si="214"/>
        <v>#REF!</v>
      </c>
      <c r="X396" s="1" t="e">
        <f>#REF!*W396</f>
        <v>#REF!</v>
      </c>
      <c r="Y396" s="1" t="e">
        <f>W396*#REF!</f>
        <v>#REF!</v>
      </c>
    </row>
    <row r="397" spans="22:25" ht="14.5">
      <c r="V397" s="1" t="e">
        <f t="shared" si="215"/>
        <v>#REF!</v>
      </c>
      <c r="W397" s="1" t="e">
        <f t="shared" si="214"/>
        <v>#REF!</v>
      </c>
      <c r="X397" s="1" t="e">
        <f>#REF!*W397</f>
        <v>#REF!</v>
      </c>
      <c r="Y397" s="1" t="e">
        <f>W397*#REF!</f>
        <v>#REF!</v>
      </c>
    </row>
    <row r="398" spans="22:25" ht="14.5">
      <c r="V398" s="1" t="e">
        <f t="shared" si="215"/>
        <v>#REF!</v>
      </c>
      <c r="W398" s="1" t="e">
        <f t="shared" si="214"/>
        <v>#REF!</v>
      </c>
      <c r="X398" s="1" t="e">
        <f>#REF!*W398</f>
        <v>#REF!</v>
      </c>
      <c r="Y398" s="1" t="e">
        <f>W398*#REF!</f>
        <v>#REF!</v>
      </c>
    </row>
    <row r="399" spans="22:25" ht="14.5">
      <c r="V399" s="1" t="e">
        <f t="shared" si="215"/>
        <v>#REF!</v>
      </c>
      <c r="W399" s="1" t="e">
        <f t="shared" si="214"/>
        <v>#REF!</v>
      </c>
      <c r="X399" s="1" t="e">
        <f>#REF!*W399</f>
        <v>#REF!</v>
      </c>
      <c r="Y399" s="1" t="e">
        <f>W399*#REF!</f>
        <v>#REF!</v>
      </c>
    </row>
    <row r="400" spans="22:25" ht="14.5">
      <c r="V400" s="1" t="e">
        <f t="shared" si="215"/>
        <v>#REF!</v>
      </c>
      <c r="W400" s="1" t="e">
        <f t="shared" si="214"/>
        <v>#REF!</v>
      </c>
      <c r="X400" s="1" t="e">
        <f>#REF!*W400</f>
        <v>#REF!</v>
      </c>
      <c r="Y400" s="1" t="e">
        <f>W400*#REF!</f>
        <v>#REF!</v>
      </c>
    </row>
    <row r="401" spans="22:25" ht="14.5">
      <c r="V401" s="1" t="e">
        <f t="shared" si="215"/>
        <v>#REF!</v>
      </c>
      <c r="W401" s="1" t="e">
        <f t="shared" si="214"/>
        <v>#REF!</v>
      </c>
      <c r="X401" s="1" t="e">
        <f>#REF!*W401</f>
        <v>#REF!</v>
      </c>
      <c r="Y401" s="1" t="e">
        <f>W401*#REF!</f>
        <v>#REF!</v>
      </c>
    </row>
    <row r="402" spans="22:25" ht="14.5">
      <c r="V402" s="1" t="e">
        <f t="shared" si="215"/>
        <v>#REF!</v>
      </c>
      <c r="W402" s="1" t="e">
        <f t="shared" si="214"/>
        <v>#REF!</v>
      </c>
      <c r="X402" s="1" t="e">
        <f>#REF!*W402</f>
        <v>#REF!</v>
      </c>
      <c r="Y402" s="1" t="e">
        <f>W402*#REF!</f>
        <v>#REF!</v>
      </c>
    </row>
    <row r="403" spans="22:25" ht="14.5">
      <c r="V403" s="1" t="e">
        <f t="shared" si="215"/>
        <v>#REF!</v>
      </c>
      <c r="W403" s="1" t="e">
        <f t="shared" si="214"/>
        <v>#REF!</v>
      </c>
      <c r="X403" s="1" t="e">
        <f>#REF!*W403</f>
        <v>#REF!</v>
      </c>
      <c r="Y403" s="1" t="e">
        <f>W403*#REF!</f>
        <v>#REF!</v>
      </c>
    </row>
    <row r="404" spans="22:25" ht="14.5">
      <c r="V404" s="1" t="e">
        <f t="shared" si="215"/>
        <v>#REF!</v>
      </c>
      <c r="W404" s="1" t="e">
        <f t="shared" si="214"/>
        <v>#REF!</v>
      </c>
      <c r="X404" s="1" t="e">
        <f>#REF!*W404</f>
        <v>#REF!</v>
      </c>
      <c r="Y404" s="1" t="e">
        <f>W404*#REF!</f>
        <v>#REF!</v>
      </c>
    </row>
    <row r="405" spans="22:25" ht="14.5">
      <c r="V405" s="1" t="e">
        <f t="shared" si="215"/>
        <v>#REF!</v>
      </c>
      <c r="W405" s="1" t="e">
        <f t="shared" si="214"/>
        <v>#REF!</v>
      </c>
      <c r="X405" s="1" t="e">
        <f>#REF!*W405</f>
        <v>#REF!</v>
      </c>
      <c r="Y405" s="1" t="e">
        <f>W405*#REF!</f>
        <v>#REF!</v>
      </c>
    </row>
    <row r="406" spans="22:25" ht="14.5">
      <c r="V406" s="1" t="e">
        <f t="shared" si="215"/>
        <v>#REF!</v>
      </c>
      <c r="W406" s="1" t="e">
        <f t="shared" si="214"/>
        <v>#REF!</v>
      </c>
      <c r="X406" s="1" t="e">
        <f>#REF!*W406</f>
        <v>#REF!</v>
      </c>
      <c r="Y406" s="1" t="e">
        <f>W406*#REF!</f>
        <v>#REF!</v>
      </c>
    </row>
    <row r="407" spans="22:25" ht="14.5">
      <c r="V407" s="1" t="e">
        <f t="shared" si="215"/>
        <v>#REF!</v>
      </c>
      <c r="W407" s="1" t="e">
        <f t="shared" si="214"/>
        <v>#REF!</v>
      </c>
      <c r="X407" s="1" t="e">
        <f>#REF!*W407</f>
        <v>#REF!</v>
      </c>
      <c r="Y407" s="1" t="e">
        <f>W407*#REF!</f>
        <v>#REF!</v>
      </c>
    </row>
    <row r="408" spans="22:25" ht="14.5">
      <c r="V408" s="1" t="e">
        <f t="shared" si="215"/>
        <v>#REF!</v>
      </c>
      <c r="W408" s="1" t="e">
        <f t="shared" si="214"/>
        <v>#REF!</v>
      </c>
      <c r="X408" s="1" t="e">
        <f>#REF!*W408</f>
        <v>#REF!</v>
      </c>
      <c r="Y408" s="1" t="e">
        <f>W408*#REF!</f>
        <v>#REF!</v>
      </c>
    </row>
    <row r="409" spans="22:25" ht="14.5">
      <c r="V409" s="1" t="e">
        <f t="shared" si="215"/>
        <v>#REF!</v>
      </c>
      <c r="W409" s="1" t="e">
        <f t="shared" si="214"/>
        <v>#REF!</v>
      </c>
      <c r="X409" s="1" t="e">
        <f>#REF!*W409</f>
        <v>#REF!</v>
      </c>
      <c r="Y409" s="1" t="e">
        <f>W409*#REF!</f>
        <v>#REF!</v>
      </c>
    </row>
    <row r="410" spans="22:25" ht="14.5">
      <c r="V410" s="1" t="e">
        <f t="shared" si="215"/>
        <v>#REF!</v>
      </c>
      <c r="W410" s="1" t="e">
        <f t="shared" si="214"/>
        <v>#REF!</v>
      </c>
      <c r="X410" s="1" t="e">
        <f>#REF!*W410</f>
        <v>#REF!</v>
      </c>
      <c r="Y410" s="1" t="e">
        <f>W410*#REF!</f>
        <v>#REF!</v>
      </c>
    </row>
    <row r="411" spans="22:25" ht="14.5">
      <c r="V411" s="1" t="e">
        <f t="shared" si="215"/>
        <v>#REF!</v>
      </c>
      <c r="W411" s="1" t="e">
        <f t="shared" si="214"/>
        <v>#REF!</v>
      </c>
      <c r="X411" s="1" t="e">
        <f>#REF!*W411</f>
        <v>#REF!</v>
      </c>
      <c r="Y411" s="1" t="e">
        <f>W411*#REF!</f>
        <v>#REF!</v>
      </c>
    </row>
    <row r="412" spans="22:25" ht="14.5">
      <c r="V412" s="1" t="e">
        <f t="shared" si="215"/>
        <v>#REF!</v>
      </c>
      <c r="W412" s="1" t="e">
        <f t="shared" si="214"/>
        <v>#REF!</v>
      </c>
      <c r="X412" s="1" t="e">
        <f>#REF!*W412</f>
        <v>#REF!</v>
      </c>
      <c r="Y412" s="1" t="e">
        <f>W412*#REF!</f>
        <v>#REF!</v>
      </c>
    </row>
    <row r="413" spans="22:25" ht="14.5">
      <c r="V413" s="1" t="e">
        <f t="shared" si="215"/>
        <v>#REF!</v>
      </c>
      <c r="W413" s="1" t="e">
        <f t="shared" si="214"/>
        <v>#REF!</v>
      </c>
      <c r="X413" s="1" t="e">
        <f>#REF!*W413</f>
        <v>#REF!</v>
      </c>
      <c r="Y413" s="1" t="e">
        <f>W413*#REF!</f>
        <v>#REF!</v>
      </c>
    </row>
    <row r="414" spans="22:25" ht="14.5">
      <c r="V414" s="1" t="e">
        <f t="shared" si="215"/>
        <v>#REF!</v>
      </c>
      <c r="W414" s="1" t="e">
        <f t="shared" si="214"/>
        <v>#REF!</v>
      </c>
      <c r="X414" s="1" t="e">
        <f>#REF!*W414</f>
        <v>#REF!</v>
      </c>
      <c r="Y414" s="1" t="e">
        <f>W414*#REF!</f>
        <v>#REF!</v>
      </c>
    </row>
    <row r="415" spans="22:25" ht="14.5">
      <c r="V415" s="1" t="e">
        <f t="shared" si="215"/>
        <v>#REF!</v>
      </c>
      <c r="W415" s="1" t="e">
        <f t="shared" si="214"/>
        <v>#REF!</v>
      </c>
      <c r="X415" s="1" t="e">
        <f>#REF!*W415</f>
        <v>#REF!</v>
      </c>
      <c r="Y415" s="1" t="e">
        <f>W415*#REF!</f>
        <v>#REF!</v>
      </c>
    </row>
    <row r="416" spans="22:25" ht="14.5">
      <c r="V416" s="1" t="e">
        <f t="shared" si="215"/>
        <v>#REF!</v>
      </c>
      <c r="W416" s="1" t="e">
        <f t="shared" si="214"/>
        <v>#REF!</v>
      </c>
      <c r="X416" s="1" t="e">
        <f>#REF!*W416</f>
        <v>#REF!</v>
      </c>
      <c r="Y416" s="1" t="e">
        <f>W416*#REF!</f>
        <v>#REF!</v>
      </c>
    </row>
    <row r="417" spans="22:25" ht="14.5">
      <c r="V417" s="1" t="e">
        <f t="shared" si="215"/>
        <v>#REF!</v>
      </c>
      <c r="W417" s="1" t="e">
        <f t="shared" si="214"/>
        <v>#REF!</v>
      </c>
      <c r="X417" s="1" t="e">
        <f>#REF!*W417</f>
        <v>#REF!</v>
      </c>
      <c r="Y417" s="1" t="e">
        <f>W417*#REF!</f>
        <v>#REF!</v>
      </c>
    </row>
    <row r="418" spans="22:25" ht="14.5">
      <c r="V418" s="1" t="e">
        <f t="shared" si="215"/>
        <v>#REF!</v>
      </c>
      <c r="W418" s="1" t="e">
        <f t="shared" si="214"/>
        <v>#REF!</v>
      </c>
      <c r="X418" s="1" t="e">
        <f>#REF!*W418</f>
        <v>#REF!</v>
      </c>
      <c r="Y418" s="1" t="e">
        <f>W418*#REF!</f>
        <v>#REF!</v>
      </c>
    </row>
    <row r="419" spans="22:25" ht="14.5">
      <c r="V419" s="1" t="e">
        <f t="shared" si="215"/>
        <v>#REF!</v>
      </c>
      <c r="W419" s="1" t="e">
        <f t="shared" si="214"/>
        <v>#REF!</v>
      </c>
      <c r="X419" s="1" t="e">
        <f>#REF!*W419</f>
        <v>#REF!</v>
      </c>
      <c r="Y419" s="1" t="e">
        <f>W419*#REF!</f>
        <v>#REF!</v>
      </c>
    </row>
    <row r="420" spans="22:25" ht="14.5">
      <c r="V420" s="1" t="e">
        <f t="shared" si="215"/>
        <v>#REF!</v>
      </c>
      <c r="W420" s="1" t="e">
        <f t="shared" si="214"/>
        <v>#REF!</v>
      </c>
      <c r="X420" s="1" t="e">
        <f>#REF!*W420</f>
        <v>#REF!</v>
      </c>
      <c r="Y420" s="1" t="e">
        <f>W420*#REF!</f>
        <v>#REF!</v>
      </c>
    </row>
    <row r="421" spans="22:25" ht="14.5">
      <c r="V421" s="1" t="e">
        <f t="shared" si="215"/>
        <v>#REF!</v>
      </c>
      <c r="W421" s="1" t="e">
        <f t="shared" si="214"/>
        <v>#REF!</v>
      </c>
      <c r="X421" s="1" t="e">
        <f>#REF!*W421</f>
        <v>#REF!</v>
      </c>
      <c r="Y421" s="1" t="e">
        <f>W421*#REF!</f>
        <v>#REF!</v>
      </c>
    </row>
    <row r="422" spans="22:25" ht="14.5">
      <c r="V422" s="1" t="e">
        <f t="shared" si="215"/>
        <v>#REF!</v>
      </c>
      <c r="W422" s="1" t="e">
        <f t="shared" si="214"/>
        <v>#REF!</v>
      </c>
      <c r="X422" s="1" t="e">
        <f>#REF!*W422</f>
        <v>#REF!</v>
      </c>
      <c r="Y422" s="1" t="e">
        <f>W422*#REF!</f>
        <v>#REF!</v>
      </c>
    </row>
    <row r="423" spans="22:25" ht="14.5">
      <c r="V423" s="1" t="e">
        <f t="shared" si="215"/>
        <v>#REF!</v>
      </c>
      <c r="W423" s="1" t="e">
        <f t="shared" si="214"/>
        <v>#REF!</v>
      </c>
      <c r="X423" s="1" t="e">
        <f>#REF!*W423</f>
        <v>#REF!</v>
      </c>
      <c r="Y423" s="1" t="e">
        <f>W423*#REF!</f>
        <v>#REF!</v>
      </c>
    </row>
    <row r="424" spans="22:25" ht="14.5">
      <c r="V424" s="1" t="e">
        <f t="shared" si="215"/>
        <v>#REF!</v>
      </c>
      <c r="W424" s="1" t="e">
        <f t="shared" si="214"/>
        <v>#REF!</v>
      </c>
      <c r="X424" s="1" t="e">
        <f>#REF!*W424</f>
        <v>#REF!</v>
      </c>
      <c r="Y424" s="1" t="e">
        <f>W424*#REF!</f>
        <v>#REF!</v>
      </c>
    </row>
    <row r="425" spans="22:25" ht="14.5">
      <c r="V425" s="1" t="e">
        <f t="shared" si="215"/>
        <v>#REF!</v>
      </c>
      <c r="W425" s="1" t="e">
        <f t="shared" si="214"/>
        <v>#REF!</v>
      </c>
      <c r="X425" s="1" t="e">
        <f>#REF!*W425</f>
        <v>#REF!</v>
      </c>
      <c r="Y425" s="1" t="e">
        <f>W425*#REF!</f>
        <v>#REF!</v>
      </c>
    </row>
    <row r="426" spans="22:25" ht="14.5">
      <c r="V426" s="1" t="e">
        <f t="shared" si="215"/>
        <v>#REF!</v>
      </c>
      <c r="W426" s="1" t="e">
        <f t="shared" si="214"/>
        <v>#REF!</v>
      </c>
      <c r="X426" s="1" t="e">
        <f>#REF!*W426</f>
        <v>#REF!</v>
      </c>
      <c r="Y426" s="1" t="e">
        <f>W426*#REF!</f>
        <v>#REF!</v>
      </c>
    </row>
    <row r="427" spans="22:25" ht="14.5">
      <c r="V427" s="1" t="e">
        <f t="shared" si="215"/>
        <v>#REF!</v>
      </c>
      <c r="W427" s="1" t="e">
        <f t="shared" si="214"/>
        <v>#REF!</v>
      </c>
      <c r="X427" s="1" t="e">
        <f>#REF!*W427</f>
        <v>#REF!</v>
      </c>
      <c r="Y427" s="1" t="e">
        <f>W427*#REF!</f>
        <v>#REF!</v>
      </c>
    </row>
    <row r="428" spans="22:25" ht="14.5">
      <c r="V428" s="1" t="e">
        <f t="shared" si="215"/>
        <v>#REF!</v>
      </c>
      <c r="W428" s="1" t="e">
        <f t="shared" si="214"/>
        <v>#REF!</v>
      </c>
      <c r="X428" s="1" t="e">
        <f>#REF!*W428</f>
        <v>#REF!</v>
      </c>
      <c r="Y428" s="1" t="e">
        <f>W428*#REF!</f>
        <v>#REF!</v>
      </c>
    </row>
    <row r="429" spans="22:25" ht="14.5">
      <c r="V429" s="1" t="e">
        <f t="shared" si="215"/>
        <v>#REF!</v>
      </c>
      <c r="W429" s="1" t="e">
        <f t="shared" si="214"/>
        <v>#REF!</v>
      </c>
      <c r="X429" s="1" t="e">
        <f>#REF!*W429</f>
        <v>#REF!</v>
      </c>
      <c r="Y429" s="1" t="e">
        <f>W429*#REF!</f>
        <v>#REF!</v>
      </c>
    </row>
    <row r="430" spans="22:25" ht="14.5">
      <c r="V430" s="1" t="e">
        <f t="shared" si="215"/>
        <v>#REF!</v>
      </c>
      <c r="W430" s="1" t="e">
        <f t="shared" si="214"/>
        <v>#REF!</v>
      </c>
      <c r="X430" s="1" t="e">
        <f>#REF!*W430</f>
        <v>#REF!</v>
      </c>
      <c r="Y430" s="1" t="e">
        <f>W430*#REF!</f>
        <v>#REF!</v>
      </c>
    </row>
    <row r="431" spans="22:25" ht="14.5">
      <c r="V431" s="1" t="e">
        <f t="shared" si="215"/>
        <v>#REF!</v>
      </c>
      <c r="W431" s="1" t="e">
        <f t="shared" si="214"/>
        <v>#REF!</v>
      </c>
      <c r="X431" s="1" t="e">
        <f>#REF!*W431</f>
        <v>#REF!</v>
      </c>
      <c r="Y431" s="1" t="e">
        <f>W431*#REF!</f>
        <v>#REF!</v>
      </c>
    </row>
    <row r="432" spans="22:25" ht="14.5">
      <c r="V432" s="1" t="e">
        <f t="shared" si="215"/>
        <v>#REF!</v>
      </c>
      <c r="W432" s="1" t="e">
        <f t="shared" si="214"/>
        <v>#REF!</v>
      </c>
      <c r="X432" s="1" t="e">
        <f>#REF!*W432</f>
        <v>#REF!</v>
      </c>
      <c r="Y432" s="1" t="e">
        <f>W432*#REF!</f>
        <v>#REF!</v>
      </c>
    </row>
    <row r="433" spans="22:25" ht="14.5">
      <c r="V433" s="1" t="e">
        <f t="shared" si="215"/>
        <v>#REF!</v>
      </c>
      <c r="W433" s="1" t="e">
        <f t="shared" si="214"/>
        <v>#REF!</v>
      </c>
      <c r="X433" s="1" t="e">
        <f>#REF!*W433</f>
        <v>#REF!</v>
      </c>
      <c r="Y433" s="1" t="e">
        <f>W433*#REF!</f>
        <v>#REF!</v>
      </c>
    </row>
    <row r="434" spans="22:25" ht="14.5">
      <c r="V434" s="1" t="e">
        <f t="shared" si="215"/>
        <v>#REF!</v>
      </c>
      <c r="W434" s="1" t="e">
        <f t="shared" si="214"/>
        <v>#REF!</v>
      </c>
      <c r="X434" s="1" t="e">
        <f>#REF!*W434</f>
        <v>#REF!</v>
      </c>
      <c r="Y434" s="1" t="e">
        <f>W434*#REF!</f>
        <v>#REF!</v>
      </c>
    </row>
    <row r="435" spans="22:25" ht="14.5">
      <c r="V435" s="1" t="e">
        <f t="shared" si="215"/>
        <v>#REF!</v>
      </c>
      <c r="W435" s="1" t="e">
        <f t="shared" si="214"/>
        <v>#REF!</v>
      </c>
      <c r="X435" s="1" t="e">
        <f>#REF!*W435</f>
        <v>#REF!</v>
      </c>
      <c r="Y435" s="1" t="e">
        <f>W435*#REF!</f>
        <v>#REF!</v>
      </c>
    </row>
    <row r="436" spans="22:25" ht="14.5">
      <c r="V436" s="1" t="e">
        <f t="shared" si="215"/>
        <v>#REF!</v>
      </c>
      <c r="W436" s="1" t="e">
        <f t="shared" si="214"/>
        <v>#REF!</v>
      </c>
      <c r="X436" s="1" t="e">
        <f>#REF!*W436</f>
        <v>#REF!</v>
      </c>
      <c r="Y436" s="1" t="e">
        <f>W436*#REF!</f>
        <v>#REF!</v>
      </c>
    </row>
    <row r="437" spans="22:25" ht="14.5">
      <c r="V437" s="1" t="e">
        <f t="shared" si="215"/>
        <v>#REF!</v>
      </c>
      <c r="W437" s="1" t="e">
        <f t="shared" si="214"/>
        <v>#REF!</v>
      </c>
      <c r="X437" s="1" t="e">
        <f>#REF!*W437</f>
        <v>#REF!</v>
      </c>
      <c r="Y437" s="1" t="e">
        <f>W437*#REF!</f>
        <v>#REF!</v>
      </c>
    </row>
    <row r="438" spans="22:25" ht="14.5">
      <c r="V438" s="1" t="e">
        <f t="shared" si="215"/>
        <v>#REF!</v>
      </c>
      <c r="W438" s="1" t="e">
        <f t="shared" si="214"/>
        <v>#REF!</v>
      </c>
      <c r="X438" s="1" t="e">
        <f>#REF!*W438</f>
        <v>#REF!</v>
      </c>
      <c r="Y438" s="1" t="e">
        <f>W438*#REF!</f>
        <v>#REF!</v>
      </c>
    </row>
    <row r="439" spans="22:25" ht="14.5">
      <c r="V439" s="1" t="e">
        <f t="shared" si="215"/>
        <v>#REF!</v>
      </c>
      <c r="W439" s="1" t="e">
        <f t="shared" si="214"/>
        <v>#REF!</v>
      </c>
      <c r="X439" s="1" t="e">
        <f>#REF!*W439</f>
        <v>#REF!</v>
      </c>
      <c r="Y439" s="1" t="e">
        <f>W439*#REF!</f>
        <v>#REF!</v>
      </c>
    </row>
    <row r="440" spans="22:25" ht="14.5">
      <c r="V440" s="1" t="e">
        <f t="shared" si="215"/>
        <v>#REF!</v>
      </c>
      <c r="W440" s="1" t="e">
        <f t="shared" si="214"/>
        <v>#REF!</v>
      </c>
      <c r="X440" s="1" t="e">
        <f>#REF!*W440</f>
        <v>#REF!</v>
      </c>
      <c r="Y440" s="1" t="e">
        <f>W440*#REF!</f>
        <v>#REF!</v>
      </c>
    </row>
    <row r="441" spans="22:25" ht="14.5">
      <c r="V441" s="1" t="e">
        <f t="shared" si="215"/>
        <v>#REF!</v>
      </c>
      <c r="W441" s="1" t="e">
        <f t="shared" si="214"/>
        <v>#REF!</v>
      </c>
      <c r="X441" s="1" t="e">
        <f>#REF!*W441</f>
        <v>#REF!</v>
      </c>
      <c r="Y441" s="1" t="e">
        <f>W441*#REF!</f>
        <v>#REF!</v>
      </c>
    </row>
    <row r="442" spans="22:25" ht="14.5">
      <c r="V442" s="1" t="e">
        <f t="shared" si="215"/>
        <v>#REF!</v>
      </c>
      <c r="W442" s="1" t="e">
        <f t="shared" si="214"/>
        <v>#REF!</v>
      </c>
      <c r="X442" s="1" t="e">
        <f>#REF!*W442</f>
        <v>#REF!</v>
      </c>
      <c r="Y442" s="1" t="e">
        <f>W442*#REF!</f>
        <v>#REF!</v>
      </c>
    </row>
    <row r="443" spans="22:25" ht="14.5">
      <c r="V443" s="1" t="e">
        <f t="shared" si="215"/>
        <v>#REF!</v>
      </c>
      <c r="W443" s="1" t="e">
        <f t="shared" si="214"/>
        <v>#REF!</v>
      </c>
      <c r="X443" s="1" t="e">
        <f>#REF!*W443</f>
        <v>#REF!</v>
      </c>
      <c r="Y443" s="1" t="e">
        <f>W443*#REF!</f>
        <v>#REF!</v>
      </c>
    </row>
    <row r="444" spans="22:25" ht="14.5">
      <c r="V444" s="1" t="e">
        <f t="shared" si="215"/>
        <v>#REF!</v>
      </c>
      <c r="W444" s="1" t="e">
        <f t="shared" si="214"/>
        <v>#REF!</v>
      </c>
      <c r="X444" s="1" t="e">
        <f>#REF!*W444</f>
        <v>#REF!</v>
      </c>
      <c r="Y444" s="1" t="e">
        <f>W444*#REF!</f>
        <v>#REF!</v>
      </c>
    </row>
    <row r="445" spans="22:25" ht="14.5">
      <c r="V445" s="1" t="e">
        <f t="shared" si="215"/>
        <v>#REF!</v>
      </c>
      <c r="W445" s="1" t="e">
        <f t="shared" si="214"/>
        <v>#REF!</v>
      </c>
      <c r="X445" s="1" t="e">
        <f>#REF!*W445</f>
        <v>#REF!</v>
      </c>
      <c r="Y445" s="1" t="e">
        <f>W445*#REF!</f>
        <v>#REF!</v>
      </c>
    </row>
    <row r="446" spans="22:25" ht="14.5">
      <c r="V446" s="1" t="e">
        <f t="shared" si="215"/>
        <v>#REF!</v>
      </c>
      <c r="W446" s="1" t="e">
        <f t="shared" si="214"/>
        <v>#REF!</v>
      </c>
      <c r="X446" s="1" t="e">
        <f>#REF!*W446</f>
        <v>#REF!</v>
      </c>
      <c r="Y446" s="1" t="e">
        <f>W446*#REF!</f>
        <v>#REF!</v>
      </c>
    </row>
    <row r="447" spans="22:25" ht="14.5">
      <c r="V447" s="1" t="e">
        <f t="shared" si="215"/>
        <v>#REF!</v>
      </c>
      <c r="W447" s="1" t="e">
        <f t="shared" si="214"/>
        <v>#REF!</v>
      </c>
      <c r="X447" s="1" t="e">
        <f>#REF!*W447</f>
        <v>#REF!</v>
      </c>
      <c r="Y447" s="1" t="e">
        <f>W447*#REF!</f>
        <v>#REF!</v>
      </c>
    </row>
    <row r="448" spans="22:25" ht="14.5">
      <c r="V448" s="1" t="e">
        <f t="shared" si="215"/>
        <v>#REF!</v>
      </c>
      <c r="W448" s="1" t="e">
        <f t="shared" si="214"/>
        <v>#REF!</v>
      </c>
      <c r="X448" s="1" t="e">
        <f>#REF!*W448</f>
        <v>#REF!</v>
      </c>
      <c r="Y448" s="1" t="e">
        <f>W448*#REF!</f>
        <v>#REF!</v>
      </c>
    </row>
    <row r="449" spans="22:25" ht="14.5">
      <c r="V449" s="1" t="e">
        <f t="shared" si="215"/>
        <v>#REF!</v>
      </c>
      <c r="W449" s="1" t="e">
        <f t="shared" si="214"/>
        <v>#REF!</v>
      </c>
      <c r="X449" s="1" t="e">
        <f>#REF!*W449</f>
        <v>#REF!</v>
      </c>
      <c r="Y449" s="1" t="e">
        <f>W449*#REF!</f>
        <v>#REF!</v>
      </c>
    </row>
    <row r="450" spans="22:25" ht="14.5">
      <c r="V450" s="1" t="e">
        <f t="shared" si="215"/>
        <v>#REF!</v>
      </c>
      <c r="W450" s="1" t="e">
        <f t="shared" si="214"/>
        <v>#REF!</v>
      </c>
      <c r="X450" s="1" t="e">
        <f>#REF!*W450</f>
        <v>#REF!</v>
      </c>
      <c r="Y450" s="1" t="e">
        <f>W450*#REF!</f>
        <v>#REF!</v>
      </c>
    </row>
    <row r="451" spans="22:25" ht="14.5">
      <c r="V451" s="1" t="e">
        <f t="shared" si="215"/>
        <v>#REF!</v>
      </c>
      <c r="W451" s="1" t="e">
        <f t="shared" si="214"/>
        <v>#REF!</v>
      </c>
      <c r="X451" s="1" t="e">
        <f>#REF!*W451</f>
        <v>#REF!</v>
      </c>
      <c r="Y451" s="1" t="e">
        <f>W451*#REF!</f>
        <v>#REF!</v>
      </c>
    </row>
    <row r="452" spans="22:25" ht="14.5">
      <c r="V452" s="1" t="e">
        <f t="shared" si="215"/>
        <v>#REF!</v>
      </c>
      <c r="W452" s="1" t="e">
        <f t="shared" si="214"/>
        <v>#REF!</v>
      </c>
      <c r="X452" s="1" t="e">
        <f>#REF!*W452</f>
        <v>#REF!</v>
      </c>
      <c r="Y452" s="1" t="e">
        <f>W452*#REF!</f>
        <v>#REF!</v>
      </c>
    </row>
    <row r="453" spans="22:25" ht="14.5">
      <c r="V453" s="1" t="e">
        <f t="shared" si="215"/>
        <v>#REF!</v>
      </c>
      <c r="W453" s="1" t="e">
        <f t="shared" si="214"/>
        <v>#REF!</v>
      </c>
      <c r="X453" s="1" t="e">
        <f>#REF!*W453</f>
        <v>#REF!</v>
      </c>
      <c r="Y453" s="1" t="e">
        <f>W453*#REF!</f>
        <v>#REF!</v>
      </c>
    </row>
    <row r="454" spans="22:25" ht="14.5">
      <c r="V454" s="1" t="e">
        <f t="shared" si="215"/>
        <v>#REF!</v>
      </c>
      <c r="W454" s="1" t="e">
        <f t="shared" si="214"/>
        <v>#REF!</v>
      </c>
      <c r="X454" s="1" t="e">
        <f>#REF!*W454</f>
        <v>#REF!</v>
      </c>
      <c r="Y454" s="1" t="e">
        <f>W454*#REF!</f>
        <v>#REF!</v>
      </c>
    </row>
    <row r="455" spans="22:25" ht="14.5">
      <c r="V455" s="1" t="e">
        <f t="shared" si="215"/>
        <v>#REF!</v>
      </c>
      <c r="W455" s="1" t="e">
        <f t="shared" si="214"/>
        <v>#REF!</v>
      </c>
      <c r="X455" s="1" t="e">
        <f>#REF!*W455</f>
        <v>#REF!</v>
      </c>
      <c r="Y455" s="1" t="e">
        <f>W455*#REF!</f>
        <v>#REF!</v>
      </c>
    </row>
    <row r="456" spans="22:25" ht="14.5">
      <c r="V456" s="1" t="e">
        <f t="shared" si="215"/>
        <v>#REF!</v>
      </c>
      <c r="W456" s="1" t="e">
        <f t="shared" si="214"/>
        <v>#REF!</v>
      </c>
      <c r="X456" s="1" t="e">
        <f>#REF!*W456</f>
        <v>#REF!</v>
      </c>
      <c r="Y456" s="1" t="e">
        <f>W456*#REF!</f>
        <v>#REF!</v>
      </c>
    </row>
    <row r="457" spans="22:25" ht="14.5">
      <c r="V457" s="1" t="e">
        <f t="shared" si="215"/>
        <v>#REF!</v>
      </c>
      <c r="W457" s="1" t="e">
        <f t="shared" si="214"/>
        <v>#REF!</v>
      </c>
      <c r="X457" s="1" t="e">
        <f>#REF!*W457</f>
        <v>#REF!</v>
      </c>
      <c r="Y457" s="1" t="e">
        <f>W457*#REF!</f>
        <v>#REF!</v>
      </c>
    </row>
    <row r="458" spans="22:25" ht="14.5">
      <c r="V458" s="1" t="e">
        <f t="shared" si="215"/>
        <v>#REF!</v>
      </c>
      <c r="W458" s="1" t="e">
        <f t="shared" si="214"/>
        <v>#REF!</v>
      </c>
      <c r="X458" s="1" t="e">
        <f>#REF!*W458</f>
        <v>#REF!</v>
      </c>
      <c r="Y458" s="1" t="e">
        <f>W458*#REF!</f>
        <v>#REF!</v>
      </c>
    </row>
    <row r="459" spans="22:25" ht="14.5">
      <c r="V459" s="1" t="e">
        <f t="shared" si="215"/>
        <v>#REF!</v>
      </c>
      <c r="W459" s="1" t="e">
        <f t="shared" si="214"/>
        <v>#REF!</v>
      </c>
      <c r="X459" s="1" t="e">
        <f>#REF!*W459</f>
        <v>#REF!</v>
      </c>
      <c r="Y459" s="1" t="e">
        <f>W459*#REF!</f>
        <v>#REF!</v>
      </c>
    </row>
    <row r="460" spans="22:25" ht="14.5">
      <c r="V460" s="1" t="e">
        <f t="shared" si="215"/>
        <v>#REF!</v>
      </c>
      <c r="W460" s="1" t="e">
        <f t="shared" si="214"/>
        <v>#REF!</v>
      </c>
      <c r="X460" s="1" t="e">
        <f>#REF!*W460</f>
        <v>#REF!</v>
      </c>
      <c r="Y460" s="1" t="e">
        <f>W460*#REF!</f>
        <v>#REF!</v>
      </c>
    </row>
    <row r="461" spans="22:25" ht="14.5">
      <c r="V461" s="1" t="e">
        <f t="shared" si="215"/>
        <v>#REF!</v>
      </c>
      <c r="W461" s="1" t="e">
        <f t="shared" si="214"/>
        <v>#REF!</v>
      </c>
      <c r="X461" s="1" t="e">
        <f>#REF!*W461</f>
        <v>#REF!</v>
      </c>
      <c r="Y461" s="1" t="e">
        <f>W461*#REF!</f>
        <v>#REF!</v>
      </c>
    </row>
    <row r="462" spans="22:25" ht="14.5">
      <c r="V462" s="1" t="e">
        <f t="shared" si="215"/>
        <v>#REF!</v>
      </c>
      <c r="W462" s="1" t="e">
        <f t="shared" si="214"/>
        <v>#REF!</v>
      </c>
      <c r="X462" s="1" t="e">
        <f>#REF!*W462</f>
        <v>#REF!</v>
      </c>
      <c r="Y462" s="1" t="e">
        <f>W462*#REF!</f>
        <v>#REF!</v>
      </c>
    </row>
    <row r="463" spans="22:25" ht="14.5">
      <c r="V463" s="1" t="e">
        <f t="shared" si="215"/>
        <v>#REF!</v>
      </c>
      <c r="W463" s="1" t="e">
        <f t="shared" si="214"/>
        <v>#REF!</v>
      </c>
      <c r="X463" s="1" t="e">
        <f>#REF!*W463</f>
        <v>#REF!</v>
      </c>
      <c r="Y463" s="1" t="e">
        <f>W463*#REF!</f>
        <v>#REF!</v>
      </c>
    </row>
    <row r="464" spans="22:25" ht="14.5">
      <c r="V464" s="1" t="e">
        <f t="shared" si="215"/>
        <v>#REF!</v>
      </c>
      <c r="W464" s="1" t="e">
        <f t="shared" si="214"/>
        <v>#REF!</v>
      </c>
      <c r="X464" s="1" t="e">
        <f>#REF!*W464</f>
        <v>#REF!</v>
      </c>
      <c r="Y464" s="1" t="e">
        <f>W464*#REF!</f>
        <v>#REF!</v>
      </c>
    </row>
    <row r="465" spans="22:25" ht="14.5">
      <c r="V465" s="1" t="e">
        <f t="shared" si="215"/>
        <v>#REF!</v>
      </c>
      <c r="W465" s="1" t="e">
        <f t="shared" si="214"/>
        <v>#REF!</v>
      </c>
      <c r="X465" s="1" t="e">
        <f>#REF!*W465</f>
        <v>#REF!</v>
      </c>
      <c r="Y465" s="1" t="e">
        <f>W465*#REF!</f>
        <v>#REF!</v>
      </c>
    </row>
    <row r="466" spans="22:25" ht="14.5">
      <c r="V466" s="1" t="e">
        <f t="shared" si="215"/>
        <v>#REF!</v>
      </c>
      <c r="W466" s="1" t="e">
        <f t="shared" si="214"/>
        <v>#REF!</v>
      </c>
      <c r="X466" s="1" t="e">
        <f>#REF!*W466</f>
        <v>#REF!</v>
      </c>
      <c r="Y466" s="1" t="e">
        <f>W466*#REF!</f>
        <v>#REF!</v>
      </c>
    </row>
    <row r="467" spans="22:25" ht="14.5">
      <c r="V467" s="1" t="e">
        <f t="shared" si="215"/>
        <v>#REF!</v>
      </c>
      <c r="W467" s="1" t="e">
        <f t="shared" si="214"/>
        <v>#REF!</v>
      </c>
      <c r="X467" s="1" t="e">
        <f>#REF!*W467</f>
        <v>#REF!</v>
      </c>
      <c r="Y467" s="1" t="e">
        <f>W467*#REF!</f>
        <v>#REF!</v>
      </c>
    </row>
    <row r="468" spans="22:25" ht="14.5">
      <c r="V468" s="1" t="e">
        <f t="shared" si="215"/>
        <v>#REF!</v>
      </c>
      <c r="W468" s="1" t="e">
        <f t="shared" si="214"/>
        <v>#REF!</v>
      </c>
      <c r="X468" s="1" t="e">
        <f>#REF!*W468</f>
        <v>#REF!</v>
      </c>
      <c r="Y468" s="1" t="e">
        <f>W468*#REF!</f>
        <v>#REF!</v>
      </c>
    </row>
    <row r="469" spans="22:25" ht="14.5">
      <c r="V469" s="1" t="e">
        <f t="shared" si="215"/>
        <v>#REF!</v>
      </c>
      <c r="W469" s="1" t="e">
        <f t="shared" si="214"/>
        <v>#REF!</v>
      </c>
      <c r="X469" s="1" t="e">
        <f>#REF!*W469</f>
        <v>#REF!</v>
      </c>
      <c r="Y469" s="1" t="e">
        <f>W469*#REF!</f>
        <v>#REF!</v>
      </c>
    </row>
    <row r="470" spans="22:25" ht="14.5">
      <c r="V470" s="1" t="e">
        <f t="shared" si="215"/>
        <v>#REF!</v>
      </c>
      <c r="W470" s="1" t="e">
        <f t="shared" si="214"/>
        <v>#REF!</v>
      </c>
      <c r="X470" s="1" t="e">
        <f>#REF!*W470</f>
        <v>#REF!</v>
      </c>
      <c r="Y470" s="1" t="e">
        <f>W470*#REF!</f>
        <v>#REF!</v>
      </c>
    </row>
    <row r="471" spans="22:25" ht="14.5">
      <c r="V471" s="1" t="e">
        <f t="shared" si="215"/>
        <v>#REF!</v>
      </c>
      <c r="W471" s="1" t="e">
        <f t="shared" si="214"/>
        <v>#REF!</v>
      </c>
      <c r="X471" s="1" t="e">
        <f>#REF!*W471</f>
        <v>#REF!</v>
      </c>
      <c r="Y471" s="1" t="e">
        <f>W471*#REF!</f>
        <v>#REF!</v>
      </c>
    </row>
    <row r="472" spans="22:25" ht="14.5">
      <c r="V472" s="1" t="e">
        <f t="shared" si="215"/>
        <v>#REF!</v>
      </c>
      <c r="W472" s="1" t="e">
        <f t="shared" si="214"/>
        <v>#REF!</v>
      </c>
      <c r="X472" s="1" t="e">
        <f>#REF!*W472</f>
        <v>#REF!</v>
      </c>
      <c r="Y472" s="1" t="e">
        <f>W472*#REF!</f>
        <v>#REF!</v>
      </c>
    </row>
    <row r="473" spans="22:25" ht="14.5">
      <c r="V473" s="1" t="e">
        <f t="shared" si="215"/>
        <v>#REF!</v>
      </c>
      <c r="W473" s="1" t="e">
        <f t="shared" si="214"/>
        <v>#REF!</v>
      </c>
      <c r="X473" s="1" t="e">
        <f>#REF!*W473</f>
        <v>#REF!</v>
      </c>
      <c r="Y473" s="1" t="e">
        <f>W473*#REF!</f>
        <v>#REF!</v>
      </c>
    </row>
    <row r="474" spans="22:25" ht="14.5">
      <c r="V474" s="1" t="e">
        <f t="shared" si="215"/>
        <v>#REF!</v>
      </c>
      <c r="W474" s="1" t="e">
        <f t="shared" si="214"/>
        <v>#REF!</v>
      </c>
      <c r="X474" s="1" t="e">
        <f>#REF!*W474</f>
        <v>#REF!</v>
      </c>
      <c r="Y474" s="1" t="e">
        <f>W474*#REF!</f>
        <v>#REF!</v>
      </c>
    </row>
    <row r="475" spans="22:25" ht="14.5">
      <c r="V475" s="1" t="e">
        <f t="shared" si="215"/>
        <v>#REF!</v>
      </c>
      <c r="W475" s="1" t="e">
        <f t="shared" si="214"/>
        <v>#REF!</v>
      </c>
      <c r="X475" s="1" t="e">
        <f>#REF!*W475</f>
        <v>#REF!</v>
      </c>
      <c r="Y475" s="1" t="e">
        <f>W475*#REF!</f>
        <v>#REF!</v>
      </c>
    </row>
    <row r="476" spans="22:25" ht="14.5">
      <c r="V476" s="1" t="e">
        <f t="shared" si="215"/>
        <v>#REF!</v>
      </c>
      <c r="W476" s="1" t="e">
        <f t="shared" si="214"/>
        <v>#REF!</v>
      </c>
      <c r="X476" s="1" t="e">
        <f>#REF!*W476</f>
        <v>#REF!</v>
      </c>
      <c r="Y476" s="1" t="e">
        <f>W476*#REF!</f>
        <v>#REF!</v>
      </c>
    </row>
    <row r="477" spans="22:25" ht="14.5">
      <c r="V477" s="1" t="e">
        <f t="shared" si="215"/>
        <v>#REF!</v>
      </c>
      <c r="W477" s="1" t="e">
        <f t="shared" si="214"/>
        <v>#REF!</v>
      </c>
      <c r="X477" s="1" t="e">
        <f>#REF!*W477</f>
        <v>#REF!</v>
      </c>
      <c r="Y477" s="1" t="e">
        <f>W477*#REF!</f>
        <v>#REF!</v>
      </c>
    </row>
    <row r="478" spans="22:25" ht="14.5">
      <c r="V478" s="1" t="e">
        <f t="shared" si="215"/>
        <v>#REF!</v>
      </c>
      <c r="W478" s="1" t="e">
        <f t="shared" si="214"/>
        <v>#REF!</v>
      </c>
      <c r="X478" s="1" t="e">
        <f>#REF!*W478</f>
        <v>#REF!</v>
      </c>
      <c r="Y478" s="1" t="e">
        <f>W478*#REF!</f>
        <v>#REF!</v>
      </c>
    </row>
    <row r="479" spans="22:25" ht="14.5">
      <c r="V479" s="1" t="e">
        <f t="shared" si="215"/>
        <v>#REF!</v>
      </c>
      <c r="W479" s="1" t="e">
        <f t="shared" si="214"/>
        <v>#REF!</v>
      </c>
      <c r="X479" s="1" t="e">
        <f>#REF!*W479</f>
        <v>#REF!</v>
      </c>
      <c r="Y479" s="1" t="e">
        <f>W479*#REF!</f>
        <v>#REF!</v>
      </c>
    </row>
    <row r="480" spans="22:25" ht="14.5">
      <c r="V480" s="1" t="e">
        <f t="shared" si="215"/>
        <v>#REF!</v>
      </c>
      <c r="W480" s="1" t="e">
        <f t="shared" si="214"/>
        <v>#REF!</v>
      </c>
      <c r="X480" s="1" t="e">
        <f>#REF!*W480</f>
        <v>#REF!</v>
      </c>
      <c r="Y480" s="1" t="e">
        <f>W480*#REF!</f>
        <v>#REF!</v>
      </c>
    </row>
    <row r="481" spans="21:25" ht="14.5">
      <c r="V481" s="1" t="e">
        <f t="shared" si="215"/>
        <v>#REF!</v>
      </c>
      <c r="W481" s="1" t="e">
        <f t="shared" si="214"/>
        <v>#REF!</v>
      </c>
      <c r="X481" s="1" t="e">
        <f>#REF!*W481</f>
        <v>#REF!</v>
      </c>
      <c r="Y481" s="1" t="e">
        <f>W481*#REF!</f>
        <v>#REF!</v>
      </c>
    </row>
    <row r="482" spans="21:25" ht="14.5">
      <c r="V482" s="1" t="e">
        <f t="shared" si="215"/>
        <v>#REF!</v>
      </c>
      <c r="W482" s="1" t="e">
        <f t="shared" si="214"/>
        <v>#REF!</v>
      </c>
      <c r="X482" s="1" t="e">
        <f>#REF!*W482</f>
        <v>#REF!</v>
      </c>
      <c r="Y482" s="1" t="e">
        <f>W482*#REF!</f>
        <v>#REF!</v>
      </c>
    </row>
    <row r="483" spans="21:25" ht="14.5">
      <c r="V483" s="1" t="e">
        <f t="shared" si="215"/>
        <v>#REF!</v>
      </c>
      <c r="W483" s="1" t="e">
        <f t="shared" si="214"/>
        <v>#REF!</v>
      </c>
      <c r="X483" s="1" t="e">
        <f>#REF!*W483</f>
        <v>#REF!</v>
      </c>
      <c r="Y483" s="1" t="e">
        <f>W483*#REF!</f>
        <v>#REF!</v>
      </c>
    </row>
    <row r="484" spans="21:25" ht="14.5">
      <c r="V484" s="1" t="e">
        <f t="shared" si="215"/>
        <v>#REF!</v>
      </c>
      <c r="W484" s="1" t="e">
        <f t="shared" si="214"/>
        <v>#REF!</v>
      </c>
      <c r="X484" s="1" t="e">
        <f>#REF!*W484</f>
        <v>#REF!</v>
      </c>
      <c r="Y484" s="1" t="e">
        <f>W484*#REF!</f>
        <v>#REF!</v>
      </c>
    </row>
    <row r="485" spans="21:25" ht="14.5">
      <c r="V485" s="1" t="e">
        <f t="shared" si="215"/>
        <v>#REF!</v>
      </c>
      <c r="W485" s="1" t="e">
        <f t="shared" si="214"/>
        <v>#REF!</v>
      </c>
      <c r="X485" s="1" t="e">
        <f>#REF!*W485</f>
        <v>#REF!</v>
      </c>
      <c r="Y485" s="1" t="e">
        <f>W485*#REF!</f>
        <v>#REF!</v>
      </c>
    </row>
    <row r="486" spans="21:25" ht="14.5">
      <c r="V486" s="1" t="e">
        <f t="shared" si="215"/>
        <v>#REF!</v>
      </c>
      <c r="W486" s="1" t="e">
        <f t="shared" si="214"/>
        <v>#REF!</v>
      </c>
      <c r="X486" s="1" t="e">
        <f>#REF!*W486</f>
        <v>#REF!</v>
      </c>
      <c r="Y486" s="1" t="e">
        <f>W486*#REF!</f>
        <v>#REF!</v>
      </c>
    </row>
    <row r="487" spans="21:25" ht="14.5">
      <c r="V487" s="1" t="e">
        <f t="shared" si="215"/>
        <v>#REF!</v>
      </c>
      <c r="W487" s="1" t="e">
        <f t="shared" si="214"/>
        <v>#REF!</v>
      </c>
      <c r="X487" s="1" t="e">
        <f>#REF!*W487</f>
        <v>#REF!</v>
      </c>
      <c r="Y487" s="1" t="e">
        <f>W487*#REF!</f>
        <v>#REF!</v>
      </c>
    </row>
    <row r="488" spans="21:25" ht="14.5">
      <c r="V488" s="1" t="e">
        <f t="shared" si="215"/>
        <v>#REF!</v>
      </c>
      <c r="W488" s="1" t="e">
        <f t="shared" si="214"/>
        <v>#REF!</v>
      </c>
      <c r="X488" s="1" t="e">
        <f>#REF!*W488</f>
        <v>#REF!</v>
      </c>
      <c r="Y488" s="1" t="e">
        <f>W488*#REF!</f>
        <v>#REF!</v>
      </c>
    </row>
    <row r="489" spans="21:25" ht="14.5">
      <c r="V489" s="1" t="e">
        <f t="shared" si="215"/>
        <v>#REF!</v>
      </c>
      <c r="W489" s="1" t="e">
        <f t="shared" si="214"/>
        <v>#REF!</v>
      </c>
      <c r="X489" s="1" t="e">
        <f>#REF!*W489</f>
        <v>#REF!</v>
      </c>
      <c r="Y489" s="1" t="e">
        <f>W489*#REF!</f>
        <v>#REF!</v>
      </c>
    </row>
    <row r="490" spans="21:25" ht="14.5">
      <c r="V490" s="1" t="e">
        <f t="shared" si="215"/>
        <v>#REF!</v>
      </c>
      <c r="W490" s="1" t="e">
        <f t="shared" si="214"/>
        <v>#REF!</v>
      </c>
      <c r="X490" s="1" t="e">
        <f>#REF!*W490</f>
        <v>#REF!</v>
      </c>
      <c r="Y490" s="1" t="e">
        <f>W490*#REF!</f>
        <v>#REF!</v>
      </c>
    </row>
    <row r="491" spans="21:25" ht="14.5">
      <c r="U491" s="21" t="s">
        <v>140</v>
      </c>
      <c r="V491" s="1" t="e">
        <f t="shared" si="215"/>
        <v>#REF!</v>
      </c>
      <c r="W491" s="1" t="e">
        <f t="shared" si="214"/>
        <v>#REF!</v>
      </c>
      <c r="X491" s="1" t="e">
        <f>#REF!*W491</f>
        <v>#REF!</v>
      </c>
      <c r="Y491" s="1" t="e">
        <f>W491*#REF!</f>
        <v>#REF!</v>
      </c>
    </row>
    <row r="492" spans="21:25" ht="14.5">
      <c r="U492" s="26" t="s">
        <v>182</v>
      </c>
      <c r="X492" s="29" t="e">
        <f>SUM(X291:X490)</f>
        <v>#REF!</v>
      </c>
      <c r="Y492" s="29" t="e">
        <f>SUM(Y291:Y490)</f>
        <v>#REF!</v>
      </c>
    </row>
    <row r="493" spans="21:25" ht="14"/>
    <row r="494" spans="21:25" ht="14"/>
    <row r="495" spans="21:25" ht="14"/>
    <row r="496" spans="21:25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</sheetData>
  <mergeCells count="1">
    <mergeCell ref="A1:B1"/>
  </mergeCells>
  <conditionalFormatting sqref="M1:P19 AD191:AG197 AD288:AE288 AF288:AG349 AD294:AE349 AD375:AG1222">
    <cfRule type="notContainsBlanks" dxfId="4" priority="1">
      <formula>LEN(TRIM(M1))&gt;0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A317"/>
  <sheetViews>
    <sheetView topLeftCell="C10" zoomScale="60" zoomScaleNormal="60" workbookViewId="0">
      <selection activeCell="K23" sqref="K23"/>
    </sheetView>
  </sheetViews>
  <sheetFormatPr defaultColWidth="12.6640625" defaultRowHeight="15" customHeight="1"/>
  <cols>
    <col min="1" max="1" width="14" customWidth="1"/>
    <col min="50" max="50" width="17.25" customWidth="1"/>
  </cols>
  <sheetData>
    <row r="1" spans="1:7">
      <c r="A1" s="181" t="s">
        <v>70</v>
      </c>
      <c r="B1" s="182"/>
      <c r="C1" s="26"/>
    </row>
    <row r="2" spans="1:7">
      <c r="A2" s="26" t="s">
        <v>74</v>
      </c>
    </row>
    <row r="3" spans="1:7">
      <c r="A3" s="21" t="s">
        <v>76</v>
      </c>
      <c r="B3" s="21">
        <v>230</v>
      </c>
      <c r="F3">
        <v>0</v>
      </c>
      <c r="G3">
        <v>100</v>
      </c>
    </row>
    <row r="4" spans="1:7">
      <c r="A4" s="21" t="s">
        <v>12</v>
      </c>
      <c r="B4" s="21">
        <v>5.55</v>
      </c>
      <c r="F4">
        <v>10000</v>
      </c>
      <c r="G4">
        <v>100</v>
      </c>
    </row>
    <row r="5" spans="1:7">
      <c r="A5" s="21" t="s">
        <v>11</v>
      </c>
      <c r="B5" s="21">
        <v>0.84</v>
      </c>
      <c r="F5">
        <v>2000</v>
      </c>
      <c r="G5">
        <v>100</v>
      </c>
    </row>
    <row r="6" spans="1:7">
      <c r="A6" s="21" t="s">
        <v>10</v>
      </c>
      <c r="B6" s="30">
        <v>6</v>
      </c>
      <c r="F6">
        <v>36250</v>
      </c>
      <c r="G6">
        <v>100</v>
      </c>
    </row>
    <row r="7" spans="1:7">
      <c r="A7" s="21" t="s">
        <v>84</v>
      </c>
      <c r="B7" s="76">
        <f>77.04843221/12</f>
        <v>6.4207026841666668</v>
      </c>
    </row>
    <row r="8" spans="1:7">
      <c r="A8" s="21" t="s">
        <v>15</v>
      </c>
      <c r="B8" s="21">
        <v>6.3156723449164814E-2</v>
      </c>
    </row>
    <row r="9" spans="1:7">
      <c r="A9" s="26" t="s">
        <v>89</v>
      </c>
      <c r="B9" s="79"/>
    </row>
    <row r="10" spans="1:7">
      <c r="A10" s="21" t="s">
        <v>97</v>
      </c>
      <c r="B10" s="63">
        <f ca="1">Ashvat_Design_0!B10</f>
        <v>17400.351958329771</v>
      </c>
    </row>
    <row r="11" spans="1:7">
      <c r="A11" s="21" t="s">
        <v>94</v>
      </c>
      <c r="B11" s="21">
        <v>0.99</v>
      </c>
    </row>
    <row r="12" spans="1:7">
      <c r="A12" s="21" t="s">
        <v>96</v>
      </c>
      <c r="B12" s="32">
        <f ca="1">B10*B11</f>
        <v>17226.348438746474</v>
      </c>
    </row>
    <row r="13" spans="1:7">
      <c r="A13" s="26" t="s">
        <v>98</v>
      </c>
      <c r="B13" s="79"/>
    </row>
    <row r="14" spans="1:7">
      <c r="A14" s="21" t="s">
        <v>100</v>
      </c>
      <c r="B14" s="21">
        <v>0.78</v>
      </c>
    </row>
    <row r="15" spans="1:7">
      <c r="A15" s="21" t="s">
        <v>102</v>
      </c>
      <c r="B15" s="21">
        <v>6280</v>
      </c>
    </row>
    <row r="16" spans="1:7">
      <c r="A16" s="26" t="s">
        <v>104</v>
      </c>
      <c r="B16" s="79"/>
    </row>
    <row r="17" spans="1:53">
      <c r="A17" s="6" t="s">
        <v>105</v>
      </c>
      <c r="B17" s="6">
        <v>5.0000000000000001E-3</v>
      </c>
      <c r="AK17" s="11" t="e">
        <f>(AG17/D17)*60</f>
        <v>#DIV/0!</v>
      </c>
    </row>
    <row r="18" spans="1:53">
      <c r="A18" s="33" t="s">
        <v>106</v>
      </c>
      <c r="B18" s="21">
        <v>2.1</v>
      </c>
    </row>
    <row r="20" spans="1:53">
      <c r="A20" s="22" t="s">
        <v>3</v>
      </c>
      <c r="B20" s="4" t="s">
        <v>22</v>
      </c>
      <c r="C20" s="7">
        <v>18000</v>
      </c>
      <c r="D20" s="4" t="s">
        <v>9</v>
      </c>
      <c r="E20" s="4"/>
      <c r="F20" s="4"/>
      <c r="G20" s="4"/>
      <c r="H20" s="5"/>
      <c r="I20" s="5"/>
      <c r="J20" s="4"/>
      <c r="K20" s="4"/>
      <c r="L20" s="6" t="s">
        <v>60</v>
      </c>
      <c r="M20" s="4"/>
      <c r="N20" s="4"/>
      <c r="O20" s="4"/>
      <c r="P20" s="4"/>
      <c r="Q20" s="7"/>
      <c r="R20" s="4"/>
      <c r="S20" s="8"/>
      <c r="T20" s="7"/>
      <c r="U20" s="7"/>
      <c r="V20" s="7"/>
      <c r="W20" s="7"/>
      <c r="X20" s="4"/>
      <c r="Y20" s="4"/>
      <c r="Z20" s="9"/>
      <c r="AA20" s="9"/>
      <c r="AB20" s="7"/>
      <c r="AC20" s="7"/>
      <c r="AD20" s="5"/>
      <c r="AE20" s="7"/>
      <c r="AF20" s="4"/>
      <c r="AG20" s="4"/>
      <c r="AH20" s="4"/>
      <c r="AI20" s="7" t="s">
        <v>61</v>
      </c>
      <c r="AJ20" s="10"/>
      <c r="AK20" s="11"/>
      <c r="AL20" s="5"/>
      <c r="AM20" s="4"/>
      <c r="AN20" s="4"/>
      <c r="AO20" s="4"/>
      <c r="AP20" s="4"/>
      <c r="AQ20" s="11"/>
      <c r="AR20" s="11"/>
      <c r="AS20" s="11"/>
      <c r="AT20" s="11"/>
      <c r="AU20" s="11"/>
      <c r="AV20" s="11"/>
      <c r="AW20" s="11"/>
      <c r="AX20" s="4"/>
      <c r="AY20" s="11"/>
      <c r="AZ20" s="11"/>
      <c r="BA20" s="11"/>
    </row>
    <row r="21" spans="1:53">
      <c r="A21" s="4" t="s">
        <v>2</v>
      </c>
      <c r="B21" s="4" t="s">
        <v>2</v>
      </c>
      <c r="C21" s="4" t="s">
        <v>2</v>
      </c>
      <c r="D21" s="23" t="s">
        <v>23</v>
      </c>
      <c r="E21" s="4" t="s">
        <v>24</v>
      </c>
      <c r="F21" s="4" t="s">
        <v>25</v>
      </c>
      <c r="G21" s="4"/>
      <c r="H21" s="5" t="s">
        <v>0</v>
      </c>
      <c r="I21" s="5" t="s">
        <v>26</v>
      </c>
      <c r="J21" s="4" t="s">
        <v>27</v>
      </c>
      <c r="K21" s="4" t="s">
        <v>28</v>
      </c>
      <c r="L21" s="12" t="s">
        <v>29</v>
      </c>
      <c r="M21" s="13" t="s">
        <v>30</v>
      </c>
      <c r="N21" s="4" t="s">
        <v>31</v>
      </c>
      <c r="O21" s="4" t="s">
        <v>32</v>
      </c>
      <c r="P21" s="4" t="s">
        <v>33</v>
      </c>
      <c r="Q21" s="4" t="s">
        <v>34</v>
      </c>
      <c r="R21" s="4" t="s">
        <v>13</v>
      </c>
      <c r="S21" s="8" t="s">
        <v>35</v>
      </c>
      <c r="T21" s="4" t="s">
        <v>36</v>
      </c>
      <c r="U21" s="4" t="s">
        <v>37</v>
      </c>
      <c r="V21" s="4" t="s">
        <v>38</v>
      </c>
      <c r="W21" s="4" t="s">
        <v>39</v>
      </c>
      <c r="X21" s="4" t="s">
        <v>40</v>
      </c>
      <c r="Y21" s="7" t="s">
        <v>108</v>
      </c>
      <c r="Z21" s="35" t="s">
        <v>109</v>
      </c>
      <c r="AA21" s="9" t="s">
        <v>110</v>
      </c>
      <c r="AB21" s="7" t="s">
        <v>111</v>
      </c>
      <c r="AC21" s="7" t="s">
        <v>112</v>
      </c>
      <c r="AD21" s="5" t="s">
        <v>41</v>
      </c>
      <c r="AE21" s="7" t="s">
        <v>113</v>
      </c>
      <c r="AF21" s="7" t="s">
        <v>114</v>
      </c>
      <c r="AG21" s="7" t="s">
        <v>115</v>
      </c>
      <c r="AH21" s="4" t="s">
        <v>42</v>
      </c>
      <c r="AI21" s="4" t="s">
        <v>43</v>
      </c>
      <c r="AJ21" s="10" t="s">
        <v>35</v>
      </c>
      <c r="AK21" s="36" t="s">
        <v>116</v>
      </c>
      <c r="AL21" s="5" t="s">
        <v>44</v>
      </c>
      <c r="AM21" s="4" t="s">
        <v>45</v>
      </c>
      <c r="AN21" s="4" t="s">
        <v>46</v>
      </c>
      <c r="AO21" s="4" t="s">
        <v>47</v>
      </c>
      <c r="AP21" s="7" t="s">
        <v>85</v>
      </c>
      <c r="AQ21" s="15" t="s">
        <v>62</v>
      </c>
      <c r="AR21" s="16" t="s">
        <v>63</v>
      </c>
      <c r="AS21" s="16" t="s">
        <v>64</v>
      </c>
      <c r="AT21" s="17" t="s">
        <v>65</v>
      </c>
      <c r="AU21" s="18" t="s">
        <v>66</v>
      </c>
      <c r="AV21" s="18" t="s">
        <v>67</v>
      </c>
      <c r="AW21" s="19" t="s">
        <v>68</v>
      </c>
      <c r="AX21" s="37" t="s">
        <v>117</v>
      </c>
      <c r="AY21" s="19" t="s">
        <v>196</v>
      </c>
      <c r="AZ21" s="19"/>
      <c r="BA21" s="19"/>
    </row>
    <row r="22" spans="1:53">
      <c r="A22" s="4" t="s">
        <v>18</v>
      </c>
      <c r="B22" s="4" t="s">
        <v>21</v>
      </c>
      <c r="C22" s="4" t="s">
        <v>48</v>
      </c>
      <c r="D22" s="23" t="s">
        <v>8</v>
      </c>
      <c r="E22" s="4" t="s">
        <v>49</v>
      </c>
      <c r="F22" s="4" t="s">
        <v>49</v>
      </c>
      <c r="G22" s="4"/>
      <c r="H22" s="5" t="s">
        <v>9</v>
      </c>
      <c r="I22" s="5" t="s">
        <v>50</v>
      </c>
      <c r="J22" s="4"/>
      <c r="K22" s="4" t="s">
        <v>51</v>
      </c>
      <c r="L22" s="5" t="s">
        <v>52</v>
      </c>
      <c r="M22" s="4" t="s">
        <v>52</v>
      </c>
      <c r="N22" s="4" t="s">
        <v>53</v>
      </c>
      <c r="O22" s="4" t="s">
        <v>54</v>
      </c>
      <c r="P22" s="4"/>
      <c r="Q22" s="4"/>
      <c r="R22" s="4"/>
      <c r="S22" s="8" t="s">
        <v>55</v>
      </c>
      <c r="T22" s="4"/>
      <c r="U22" s="4"/>
      <c r="V22" s="4"/>
      <c r="W22" s="4"/>
      <c r="X22" s="4"/>
      <c r="Y22" s="4"/>
      <c r="Z22" s="9" t="s">
        <v>118</v>
      </c>
      <c r="AA22" s="9" t="s">
        <v>118</v>
      </c>
      <c r="AB22" s="7" t="s">
        <v>119</v>
      </c>
      <c r="AC22" s="7" t="s">
        <v>119</v>
      </c>
      <c r="AD22" s="5" t="s">
        <v>20</v>
      </c>
      <c r="AE22" s="7" t="s">
        <v>118</v>
      </c>
      <c r="AF22" s="7" t="s">
        <v>118</v>
      </c>
      <c r="AG22" s="7" t="s">
        <v>119</v>
      </c>
      <c r="AH22" s="4" t="s">
        <v>56</v>
      </c>
      <c r="AI22" s="4" t="s">
        <v>57</v>
      </c>
      <c r="AJ22" s="10" t="s">
        <v>55</v>
      </c>
      <c r="AK22" s="11"/>
      <c r="AL22" s="5" t="s">
        <v>9</v>
      </c>
      <c r="AM22" s="4" t="s">
        <v>18</v>
      </c>
      <c r="AN22" s="4" t="s">
        <v>8</v>
      </c>
      <c r="AO22" s="4" t="s">
        <v>49</v>
      </c>
      <c r="AP22" s="4"/>
      <c r="AQ22" s="11"/>
      <c r="AR22" s="11"/>
      <c r="AS22" s="11"/>
      <c r="AT22" s="11"/>
      <c r="AU22" s="11"/>
      <c r="AV22" s="11"/>
      <c r="AW22" s="11"/>
      <c r="AX22" s="4"/>
      <c r="AY22" s="11"/>
      <c r="AZ22" s="11"/>
      <c r="BA22" s="11"/>
    </row>
    <row r="23" spans="1:53">
      <c r="A23" s="4">
        <v>0</v>
      </c>
      <c r="B23" s="4">
        <v>0</v>
      </c>
      <c r="C23" s="4">
        <v>0</v>
      </c>
      <c r="D23" s="23">
        <f ca="1">$B$12</f>
        <v>17226.348438746474</v>
      </c>
      <c r="E23" s="7">
        <v>0</v>
      </c>
      <c r="F23" s="7">
        <v>0</v>
      </c>
      <c r="G23" s="4"/>
      <c r="H23" s="5">
        <v>0</v>
      </c>
      <c r="I23" s="5">
        <v>15</v>
      </c>
      <c r="J23" s="4">
        <f t="shared" ref="J23:J107" si="0">SQRT((((((((L23^2)*(0.2))/(661.477)^2) + 1)^(3.5) - 1)*(1/AR23) + 1)^(1/3.5) - 1)*(5))</f>
        <v>1.5117683608055736E-2</v>
      </c>
      <c r="K23" s="4">
        <v>625.90470834258872</v>
      </c>
      <c r="L23" s="6">
        <v>10</v>
      </c>
      <c r="M23" s="4">
        <f t="shared" ref="M23:M107" si="1">K23*0.592484</f>
        <v>370.83852521765033</v>
      </c>
      <c r="N23" s="4">
        <f t="shared" ref="N23:N107" si="2">0.5*AV23*K23^2</f>
        <v>442.54598339074721</v>
      </c>
      <c r="O23" s="4">
        <f t="shared" ref="O23:O107" si="3">P23/$B$7</f>
        <v>3638456.077683365</v>
      </c>
      <c r="P23" s="4">
        <f t="shared" ref="P23:P107" si="4">(AV23*K23*$B$7)/(AW23)</f>
        <v>23361444.704204105</v>
      </c>
      <c r="Q23" s="4">
        <f t="shared" ref="Q23:Q107" si="5">0.455/(LOG10(P23)^2.58 * (1+0.144*J23*J23)^0.65)</f>
        <v>2.6312620735901085E-3</v>
      </c>
      <c r="R23" s="4">
        <f t="shared" ref="R23:R107" si="6">(((Q23*$B$4)+$B$17)+(0.1*(Q23*$B$4)))</f>
        <v>2.1063854959267613E-2</v>
      </c>
      <c r="S23" s="24">
        <f ca="1">AJ23</f>
        <v>13.295545528430752</v>
      </c>
      <c r="T23" s="4">
        <f t="shared" ref="T23:T107" ca="1" si="7">(D23*COS(RADIANS(S23)))/(N23*$B$3)</f>
        <v>0.16470532497792137</v>
      </c>
      <c r="U23" s="4">
        <f t="shared" ref="U23:U107" ca="1" si="8">(W23)/(N23*$B$3)</f>
        <v>2.2777160705352829E-2</v>
      </c>
      <c r="V23" s="4">
        <f t="shared" ref="V23:V107" ca="1" si="9">T23/U23</f>
        <v>7.2311613861166721</v>
      </c>
      <c r="W23" s="20">
        <f t="shared" ref="W23:W107" ca="1" si="10">(N23*$B$3*R23)+((N23*$B$3)*((T23^2)/(PI()*$B$6*$B$5)))</f>
        <v>2318.3864261358744</v>
      </c>
      <c r="X23" s="4">
        <f t="shared" ref="X23:X107" si="11">SQRT(PI()*$B$6*$B$5*R23)</f>
        <v>0.57750949954215725</v>
      </c>
      <c r="Y23" s="4">
        <f t="shared" ref="Y23:Y107" ca="1" si="12">SQRT((2*((T23*N23*$B$3)/(D23))*D23)/(AV23*$B$3*$B$18))</f>
        <v>175.28808292462003</v>
      </c>
      <c r="Z23" s="14">
        <f t="shared" ref="Z23:Z107" ca="1" si="13">(D23/(V23))</f>
        <v>2382.2381383742681</v>
      </c>
      <c r="AA23" s="14">
        <f t="shared" ref="AA23:AA107" si="14">$B$15*AR23</f>
        <v>6280</v>
      </c>
      <c r="AB23" s="25">
        <f t="shared" ref="AB23:AB107" ca="1" si="15">Z23*K23</f>
        <v>1491054.0672017378</v>
      </c>
      <c r="AC23" s="4">
        <f t="shared" ref="AC23:AC107" si="16">AA23*K23</f>
        <v>3930681.5683914572</v>
      </c>
      <c r="AD23" s="5">
        <v>100</v>
      </c>
      <c r="AE23" s="4">
        <f t="shared" ref="AE23:AE107" si="17">AA23*(AD23/100)</f>
        <v>6280</v>
      </c>
      <c r="AF23" s="4">
        <f t="shared" ref="AF23:AF107" ca="1" si="18">AA23-Z23</f>
        <v>3897.7618616257319</v>
      </c>
      <c r="AG23" s="4">
        <f t="shared" ref="AG23:AG107" ca="1" si="19">AC23-AB23</f>
        <v>2439627.5011897194</v>
      </c>
      <c r="AH23" s="4">
        <f t="shared" ref="AH23:AH107" si="20">(AP23*AE23)</f>
        <v>4006.6002801032937</v>
      </c>
      <c r="AI23" s="13">
        <f t="shared" ref="AI23:AI107" ca="1" si="21">K23*SIN(RADIANS(AJ23))</f>
        <v>143.94185728521703</v>
      </c>
      <c r="AJ23" s="10">
        <f t="shared" ref="AJ23:AJ107" ca="1" si="22">DEGREES(ASIN(((AE23-W23)/(D23))))</f>
        <v>13.295545528430752</v>
      </c>
      <c r="AK23" s="11">
        <f ca="1">AI23*60</f>
        <v>8636.5114371130221</v>
      </c>
      <c r="AL23" s="6">
        <v>500</v>
      </c>
      <c r="AM23" s="4">
        <f t="shared" ref="AM23:AM107" ca="1" si="23">AL23/AI23</f>
        <v>3.4736247637076341</v>
      </c>
      <c r="AN23" s="4">
        <f t="shared" ref="AN23:AN107" ca="1" si="24">AH23*(AM23/3600)</f>
        <v>3.8659516531235396</v>
      </c>
      <c r="AO23" s="4">
        <f t="shared" ref="AO23:AO107" ca="1" si="25">M23*COS(RADIANS(AJ23))*(AM23/3600)</f>
        <v>0.34822977235941449</v>
      </c>
      <c r="AP23" s="4">
        <f t="shared" ref="AP23:AP107" si="26">(-39.149*(J23)^6)+(63.432*(J23)^5)-(35.357*(J23)^4)+(7.316*(J23)^3)-(0.244*(J23)^2)+(0.3523*(J23))+0.6327</f>
        <v>0.63799367517568373</v>
      </c>
      <c r="AQ23" s="11">
        <f t="shared" ref="AQ23:AQ107" si="27">IF(H23 &lt;= 36089, ((1 - 6.87535*10^(-6)*H23) + ((I23*1.8)/518.67)), 0.75187 + ((I23*1.8)/518.67))</f>
        <v>1.0520562207183759</v>
      </c>
      <c r="AR23" s="11">
        <f t="shared" ref="AR23:AR107" si="28">IF(H23 &lt;= 36089, (1 - 6.87535*10^(-6)*H23)^5.2561, 0.22336*EXP((36089 - H23)/(20806.7)))</f>
        <v>1</v>
      </c>
      <c r="AS23" s="11">
        <f t="shared" ref="AS23:AS107" si="29">(AR23/AQ23)</f>
        <v>0.95051954477981193</v>
      </c>
      <c r="AT23" s="11">
        <f t="shared" ref="AT23:AT107" si="30">(518.67*AQ23)</f>
        <v>545.66999999999996</v>
      </c>
      <c r="AU23" s="11">
        <f t="shared" ref="AU23:AU107" si="31">2116.22*AR23</f>
        <v>2116.2199999999998</v>
      </c>
      <c r="AV23" s="11">
        <f t="shared" ref="AV23:AV107" si="32">(0.0023769*AS23)</f>
        <v>2.259289905987135E-3</v>
      </c>
      <c r="AW23" s="11">
        <f t="shared" ref="AW23:AW107" si="33">((2.2697*10^-8)*(AT23^1.5))/(AT23+198.72)</f>
        <v>3.8865391239478742E-7</v>
      </c>
      <c r="AX23" s="4">
        <f t="shared" ref="AX23:AX107" ca="1" si="34">AG23/D23</f>
        <v>141.62185966831902</v>
      </c>
      <c r="AY23" s="11">
        <f t="shared" ref="AY23:AY107" ca="1" si="35">SQRT(((D23/$B$3)/(3*AV23*R23))*((AE23/D23)+SQRT((AE23/D23)^2+12*R23*$B$8)))</f>
        <v>627.42325361773737</v>
      </c>
      <c r="AZ23" s="11"/>
      <c r="BA23" s="11"/>
    </row>
    <row r="24" spans="1:53">
      <c r="A24" s="4">
        <f t="shared" ref="A24:A107" ca="1" si="36">A23+AM23</f>
        <v>3.4736247637076341</v>
      </c>
      <c r="B24" s="4">
        <f t="shared" ref="B24:C24" ca="1" si="37">A24/60</f>
        <v>5.7893746061793899E-2</v>
      </c>
      <c r="C24" s="4">
        <f t="shared" ca="1" si="37"/>
        <v>9.6489576769656497E-4</v>
      </c>
      <c r="D24" s="4">
        <f ca="1">D23</f>
        <v>17226.348438746474</v>
      </c>
      <c r="E24" s="4">
        <f t="shared" ref="E24:E107" ca="1" si="38">E23+AO23</f>
        <v>0.34822977235941449</v>
      </c>
      <c r="F24" s="4">
        <f t="shared" ref="F24:F107" ca="1" si="39">F23+AO23</f>
        <v>0.34822977235941449</v>
      </c>
      <c r="G24" s="4"/>
      <c r="H24" s="5">
        <f t="shared" ref="H24:H107" si="40">H23+500</f>
        <v>500</v>
      </c>
      <c r="I24" s="5">
        <v>15</v>
      </c>
      <c r="J24" s="4">
        <f t="shared" si="0"/>
        <v>1.7139114664605874E-2</v>
      </c>
      <c r="K24" s="4">
        <v>624.64088297313162</v>
      </c>
      <c r="L24" s="6">
        <f t="shared" ref="L24:L107" si="41">L23+1.235</f>
        <v>11.234999999999999</v>
      </c>
      <c r="M24" s="4">
        <f t="shared" si="1"/>
        <v>370.08972890745292</v>
      </c>
      <c r="N24" s="4">
        <f t="shared" si="2"/>
        <v>434.27367957587177</v>
      </c>
      <c r="O24" s="4">
        <f t="shared" si="3"/>
        <v>3586663.8334937971</v>
      </c>
      <c r="P24" s="4">
        <f t="shared" si="4"/>
        <v>23028902.102917131</v>
      </c>
      <c r="Q24" s="4">
        <f t="shared" si="5"/>
        <v>2.6369911570750431E-3</v>
      </c>
      <c r="R24" s="4">
        <f t="shared" si="6"/>
        <v>2.1098831013943137E-2</v>
      </c>
      <c r="S24" s="24">
        <f t="shared" ref="S24:S87" ca="1" si="42">AJ24</f>
        <v>13.023039680522722</v>
      </c>
      <c r="T24" s="4">
        <f t="shared" ca="1" si="7"/>
        <v>0.16802947115538197</v>
      </c>
      <c r="U24" s="4">
        <f t="shared" ca="1" si="8"/>
        <v>2.2881991828768097E-2</v>
      </c>
      <c r="V24" s="4">
        <f t="shared" ca="1" si="9"/>
        <v>7.3433061427864432</v>
      </c>
      <c r="W24" s="20">
        <f t="shared" ca="1" si="10"/>
        <v>2285.5207611259552</v>
      </c>
      <c r="X24" s="4">
        <f t="shared" si="11"/>
        <v>0.57798877139974847</v>
      </c>
      <c r="Y24" s="4">
        <f t="shared" ca="1" si="12"/>
        <v>176.69061747109308</v>
      </c>
      <c r="Z24" s="14">
        <f t="shared" ca="1" si="13"/>
        <v>2345.8573160086003</v>
      </c>
      <c r="AA24" s="14">
        <f t="shared" si="14"/>
        <v>6167.3551817834068</v>
      </c>
      <c r="AB24" s="25">
        <f t="shared" ca="1" si="15"/>
        <v>1465318.3852005927</v>
      </c>
      <c r="AC24" s="4">
        <f t="shared" si="16"/>
        <v>3852382.1863581059</v>
      </c>
      <c r="AD24" s="5">
        <v>100</v>
      </c>
      <c r="AE24" s="4">
        <f t="shared" si="17"/>
        <v>6167.3551817834068</v>
      </c>
      <c r="AF24" s="4">
        <f t="shared" ca="1" si="18"/>
        <v>3821.4978657748065</v>
      </c>
      <c r="AG24" s="4">
        <f t="shared" ca="1" si="19"/>
        <v>2387063.8011575132</v>
      </c>
      <c r="AH24" s="4">
        <f t="shared" si="20"/>
        <v>3939.0916685763596</v>
      </c>
      <c r="AI24" s="13">
        <f t="shared" ca="1" si="21"/>
        <v>140.75835564901701</v>
      </c>
      <c r="AJ24" s="10">
        <f t="shared" ca="1" si="22"/>
        <v>13.023039680522722</v>
      </c>
      <c r="AK24" s="11">
        <f t="shared" ref="AK24:AK87" ca="1" si="43">AI24*60</f>
        <v>8445.5013389410196</v>
      </c>
      <c r="AL24" s="6">
        <v>500</v>
      </c>
      <c r="AM24" s="4">
        <f t="shared" ca="1" si="23"/>
        <v>3.5521869923428007</v>
      </c>
      <c r="AN24" s="4">
        <f t="shared" ca="1" si="24"/>
        <v>3.8867750518785678</v>
      </c>
      <c r="AO24" s="4">
        <f t="shared" ca="1" si="25"/>
        <v>0.3557819643914652</v>
      </c>
      <c r="AP24" s="4">
        <f t="shared" si="26"/>
        <v>0.63870031033907426</v>
      </c>
      <c r="AQ24" s="11">
        <f t="shared" si="27"/>
        <v>1.0486185457183759</v>
      </c>
      <c r="AR24" s="11">
        <f t="shared" si="28"/>
        <v>0.9820629270355743</v>
      </c>
      <c r="AS24" s="11">
        <f t="shared" si="29"/>
        <v>0.93653019112187608</v>
      </c>
      <c r="AT24" s="11">
        <f t="shared" si="30"/>
        <v>543.88698110774999</v>
      </c>
      <c r="AU24" s="11">
        <f t="shared" si="31"/>
        <v>2078.2612074512226</v>
      </c>
      <c r="AV24" s="11">
        <f t="shared" si="32"/>
        <v>2.2260386112775872E-3</v>
      </c>
      <c r="AW24" s="11">
        <f t="shared" si="33"/>
        <v>3.8767913253979071E-7</v>
      </c>
      <c r="AX24" s="4">
        <f t="shared" ca="1" si="34"/>
        <v>138.57050492421217</v>
      </c>
      <c r="AY24" s="11">
        <f t="shared" ca="1" si="35"/>
        <v>626.21038126833935</v>
      </c>
      <c r="AZ24" s="11"/>
      <c r="BA24" s="11"/>
    </row>
    <row r="25" spans="1:53">
      <c r="A25" s="4">
        <f t="shared" ca="1" si="36"/>
        <v>7.0258117560504347</v>
      </c>
      <c r="B25" s="4">
        <f t="shared" ref="B25:C25" ca="1" si="44">A25/60</f>
        <v>0.11709686260084058</v>
      </c>
      <c r="C25" s="4">
        <f t="shared" ca="1" si="44"/>
        <v>1.9516143766806764E-3</v>
      </c>
      <c r="D25" s="41">
        <f t="shared" ref="D25:D88" ca="1" si="45">D24</f>
        <v>17226.348438746474</v>
      </c>
      <c r="E25" s="4">
        <f t="shared" ca="1" si="38"/>
        <v>0.70401173675087969</v>
      </c>
      <c r="F25" s="4">
        <f t="shared" ca="1" si="39"/>
        <v>0.70401173675087969</v>
      </c>
      <c r="G25" s="4"/>
      <c r="H25" s="5">
        <f t="shared" si="40"/>
        <v>1000</v>
      </c>
      <c r="I25" s="5">
        <v>15</v>
      </c>
      <c r="J25" s="4">
        <f t="shared" si="0"/>
        <v>1.9196641640731919E-2</v>
      </c>
      <c r="K25" s="4">
        <v>623.3855459878115</v>
      </c>
      <c r="L25" s="6">
        <f t="shared" si="41"/>
        <v>12.469999999999999</v>
      </c>
      <c r="M25" s="4">
        <f t="shared" si="1"/>
        <v>369.34596182904249</v>
      </c>
      <c r="N25" s="4">
        <f t="shared" si="2"/>
        <v>426.14204925949872</v>
      </c>
      <c r="O25" s="4">
        <f t="shared" si="3"/>
        <v>3535495.9872636129</v>
      </c>
      <c r="P25" s="4">
        <f t="shared" si="4"/>
        <v>22700368.57528396</v>
      </c>
      <c r="Q25" s="4">
        <f t="shared" si="5"/>
        <v>2.642748076073057E-3</v>
      </c>
      <c r="R25" s="4">
        <f t="shared" si="6"/>
        <v>2.1133977004426013E-2</v>
      </c>
      <c r="S25" s="24">
        <f t="shared" ca="1" si="42"/>
        <v>12.754254303130333</v>
      </c>
      <c r="T25" s="4">
        <f t="shared" ca="1" si="7"/>
        <v>0.17141971640353457</v>
      </c>
      <c r="U25" s="4">
        <f t="shared" ca="1" si="8"/>
        <v>2.2989819586795066E-2</v>
      </c>
      <c r="V25" s="4">
        <f t="shared" ca="1" si="9"/>
        <v>7.4563315191040012</v>
      </c>
      <c r="W25" s="20">
        <f t="shared" ca="1" si="10"/>
        <v>2253.2936310892924</v>
      </c>
      <c r="X25" s="4">
        <f t="shared" si="11"/>
        <v>0.57846997188024507</v>
      </c>
      <c r="Y25" s="4">
        <f t="shared" ca="1" si="12"/>
        <v>178.10555585826478</v>
      </c>
      <c r="Z25" s="14">
        <f t="shared" ca="1" si="13"/>
        <v>2310.2980862117702</v>
      </c>
      <c r="AA25" s="14">
        <f t="shared" si="14"/>
        <v>6056.3520804675572</v>
      </c>
      <c r="AB25" s="25">
        <f t="shared" ca="1" si="15"/>
        <v>1440206.4338677204</v>
      </c>
      <c r="AC25" s="4">
        <f t="shared" si="16"/>
        <v>3775442.3483766862</v>
      </c>
      <c r="AD25" s="5">
        <v>100</v>
      </c>
      <c r="AE25" s="4">
        <f t="shared" si="17"/>
        <v>6056.3520804675572</v>
      </c>
      <c r="AF25" s="4">
        <f t="shared" ca="1" si="18"/>
        <v>3746.0539942557871</v>
      </c>
      <c r="AG25" s="4">
        <f t="shared" ca="1" si="19"/>
        <v>2335235.9145089658</v>
      </c>
      <c r="AH25" s="4">
        <f t="shared" si="20"/>
        <v>3872.5537175883014</v>
      </c>
      <c r="AI25" s="13">
        <f t="shared" ca="1" si="21"/>
        <v>137.62473668283386</v>
      </c>
      <c r="AJ25" s="10">
        <f t="shared" ca="1" si="22"/>
        <v>12.754254303130333</v>
      </c>
      <c r="AK25" s="11">
        <f t="shared" ca="1" si="43"/>
        <v>8257.4842009700315</v>
      </c>
      <c r="AL25" s="6">
        <v>500</v>
      </c>
      <c r="AM25" s="4">
        <f t="shared" ca="1" si="23"/>
        <v>3.633067804898229</v>
      </c>
      <c r="AN25" s="4">
        <f t="shared" ca="1" si="24"/>
        <v>3.9081250650302795</v>
      </c>
      <c r="AO25" s="4">
        <f t="shared" ca="1" si="25"/>
        <v>0.3635416118654155</v>
      </c>
      <c r="AP25" s="4">
        <f t="shared" si="26"/>
        <v>0.63942017672283935</v>
      </c>
      <c r="AQ25" s="11">
        <f t="shared" si="27"/>
        <v>1.0451808707183758</v>
      </c>
      <c r="AR25" s="11">
        <f t="shared" si="28"/>
        <v>0.96438727395980217</v>
      </c>
      <c r="AS25" s="11">
        <f t="shared" si="29"/>
        <v>0.92269893276649573</v>
      </c>
      <c r="AT25" s="11">
        <f t="shared" si="30"/>
        <v>542.10396221549991</v>
      </c>
      <c r="AU25" s="11">
        <f t="shared" si="31"/>
        <v>2040.8556368992124</v>
      </c>
      <c r="AV25" s="11">
        <f t="shared" si="32"/>
        <v>2.1931630932926836E-3</v>
      </c>
      <c r="AW25" s="11">
        <f t="shared" si="33"/>
        <v>3.8670279284088386E-7</v>
      </c>
      <c r="AX25" s="4">
        <f t="shared" ca="1" si="34"/>
        <v>135.56186459438041</v>
      </c>
      <c r="AY25" s="11">
        <f t="shared" ca="1" si="35"/>
        <v>625.00775667609685</v>
      </c>
      <c r="AZ25" s="11"/>
      <c r="BA25" s="11"/>
    </row>
    <row r="26" spans="1:53">
      <c r="A26" s="4">
        <f t="shared" ca="1" si="36"/>
        <v>10.658879560948664</v>
      </c>
      <c r="B26" s="4">
        <f t="shared" ref="B26:C26" ca="1" si="46">A26/60</f>
        <v>0.17764799268247775</v>
      </c>
      <c r="C26" s="4">
        <f t="shared" ca="1" si="46"/>
        <v>2.9607998780412956E-3</v>
      </c>
      <c r="D26" s="41">
        <f t="shared" ca="1" si="45"/>
        <v>17226.348438746474</v>
      </c>
      <c r="E26" s="4">
        <f t="shared" ca="1" si="38"/>
        <v>1.0675533486162951</v>
      </c>
      <c r="F26" s="4">
        <f t="shared" ca="1" si="39"/>
        <v>1.0675533486162951</v>
      </c>
      <c r="G26" s="4"/>
      <c r="H26" s="5">
        <f t="shared" si="40"/>
        <v>1500</v>
      </c>
      <c r="I26" s="5">
        <v>15</v>
      </c>
      <c r="J26" s="4">
        <f t="shared" si="0"/>
        <v>2.1290940684013136E-2</v>
      </c>
      <c r="K26" s="4">
        <v>622.139095972463</v>
      </c>
      <c r="L26" s="6">
        <f t="shared" si="41"/>
        <v>13.704999999999998</v>
      </c>
      <c r="M26" s="4">
        <f t="shared" si="1"/>
        <v>368.60746013814878</v>
      </c>
      <c r="N26" s="4">
        <f t="shared" si="2"/>
        <v>418.14942509069118</v>
      </c>
      <c r="O26" s="4">
        <f t="shared" si="3"/>
        <v>3484948.3448617035</v>
      </c>
      <c r="P26" s="4">
        <f t="shared" si="4"/>
        <v>22375817.192035723</v>
      </c>
      <c r="Q26" s="4">
        <f t="shared" si="5"/>
        <v>2.6485327115202081E-3</v>
      </c>
      <c r="R26" s="4">
        <f t="shared" si="6"/>
        <v>2.1169292203830868E-2</v>
      </c>
      <c r="S26" s="24">
        <f t="shared" ca="1" si="42"/>
        <v>12.489123532156698</v>
      </c>
      <c r="T26" s="4">
        <f t="shared" ca="1" si="7"/>
        <v>0.17487739259239585</v>
      </c>
      <c r="U26" s="4">
        <f t="shared" ca="1" si="8"/>
        <v>2.3100757590122607E-2</v>
      </c>
      <c r="V26" s="4">
        <f t="shared" ca="1" si="9"/>
        <v>7.5702016226156026</v>
      </c>
      <c r="W26" s="20">
        <f t="shared" ca="1" si="10"/>
        <v>2221.7007562579133</v>
      </c>
      <c r="X26" s="4">
        <f t="shared" si="11"/>
        <v>0.57895308623499342</v>
      </c>
      <c r="Y26" s="4">
        <f t="shared" ca="1" si="12"/>
        <v>179.53316249833782</v>
      </c>
      <c r="Z26" s="14">
        <f t="shared" ca="1" si="13"/>
        <v>2275.5468476934102</v>
      </c>
      <c r="AA26" s="14">
        <f t="shared" si="14"/>
        <v>5946.972327978373</v>
      </c>
      <c r="AB26" s="25">
        <f t="shared" ca="1" si="15"/>
        <v>1415706.6586669663</v>
      </c>
      <c r="AC26" s="4">
        <f t="shared" si="16"/>
        <v>3699843.9879017188</v>
      </c>
      <c r="AD26" s="5">
        <v>100</v>
      </c>
      <c r="AE26" s="4">
        <f t="shared" si="17"/>
        <v>5946.972327978373</v>
      </c>
      <c r="AF26" s="4">
        <f t="shared" ca="1" si="18"/>
        <v>3671.4254802849628</v>
      </c>
      <c r="AG26" s="4">
        <f t="shared" ca="1" si="19"/>
        <v>2284137.3292347528</v>
      </c>
      <c r="AH26" s="4">
        <f t="shared" si="20"/>
        <v>3806.9769903843558</v>
      </c>
      <c r="AI26" s="13">
        <f t="shared" ca="1" si="21"/>
        <v>134.54024200910294</v>
      </c>
      <c r="AJ26" s="10">
        <f t="shared" ca="1" si="22"/>
        <v>12.489123532156698</v>
      </c>
      <c r="AK26" s="11">
        <f t="shared" ca="1" si="43"/>
        <v>8072.4145205461764</v>
      </c>
      <c r="AL26" s="6">
        <v>500</v>
      </c>
      <c r="AM26" s="4">
        <f t="shared" ca="1" si="23"/>
        <v>3.7163601947896763</v>
      </c>
      <c r="AN26" s="4">
        <f t="shared" ca="1" si="24"/>
        <v>3.9300271526512836</v>
      </c>
      <c r="AO26" s="4">
        <f t="shared" ca="1" si="25"/>
        <v>0.3715174365501297</v>
      </c>
      <c r="AP26" s="4">
        <f t="shared" si="26"/>
        <v>0.64015380943911471</v>
      </c>
      <c r="AQ26" s="11">
        <f t="shared" si="27"/>
        <v>1.0417431957183758</v>
      </c>
      <c r="AR26" s="11">
        <f t="shared" si="28"/>
        <v>0.94697011592012315</v>
      </c>
      <c r="AS26" s="11">
        <f t="shared" si="29"/>
        <v>0.9090245271696753</v>
      </c>
      <c r="AT26" s="11">
        <f t="shared" si="30"/>
        <v>540.32094332324994</v>
      </c>
      <c r="AU26" s="11">
        <f t="shared" si="31"/>
        <v>2003.9970987124827</v>
      </c>
      <c r="AV26" s="11">
        <f t="shared" si="32"/>
        <v>2.1606603986296011E-3</v>
      </c>
      <c r="AW26" s="11">
        <f t="shared" si="33"/>
        <v>3.8572488716766502E-7</v>
      </c>
      <c r="AX26" s="4">
        <f t="shared" ca="1" si="34"/>
        <v>132.59556065272326</v>
      </c>
      <c r="AY26" s="11">
        <f t="shared" ca="1" si="35"/>
        <v>623.81583624298958</v>
      </c>
      <c r="AZ26" s="11"/>
      <c r="BA26" s="11"/>
    </row>
    <row r="27" spans="1:53">
      <c r="A27" s="4">
        <f t="shared" ca="1" si="36"/>
        <v>14.37523975573834</v>
      </c>
      <c r="B27" s="4">
        <f t="shared" ref="B27:C27" ca="1" si="47">A27/60</f>
        <v>0.23958732926230566</v>
      </c>
      <c r="C27" s="4">
        <f t="shared" ca="1" si="47"/>
        <v>3.993122154371761E-3</v>
      </c>
      <c r="D27" s="41">
        <f t="shared" ca="1" si="45"/>
        <v>17226.348438746474</v>
      </c>
      <c r="E27" s="4">
        <f t="shared" ca="1" si="38"/>
        <v>1.4390707851664248</v>
      </c>
      <c r="F27" s="4">
        <f t="shared" ca="1" si="39"/>
        <v>1.4390707851664248</v>
      </c>
      <c r="G27" s="4"/>
      <c r="H27" s="5">
        <f t="shared" si="40"/>
        <v>2000</v>
      </c>
      <c r="I27" s="5">
        <v>15</v>
      </c>
      <c r="J27" s="4">
        <f t="shared" si="0"/>
        <v>2.3422701907505467E-2</v>
      </c>
      <c r="K27" s="4">
        <v>620.90194680442153</v>
      </c>
      <c r="L27" s="6">
        <f t="shared" si="41"/>
        <v>14.939999999999998</v>
      </c>
      <c r="M27" s="4">
        <f t="shared" si="1"/>
        <v>367.87446905047091</v>
      </c>
      <c r="N27" s="4">
        <f t="shared" si="2"/>
        <v>410.29415554731344</v>
      </c>
      <c r="O27" s="4">
        <f t="shared" si="3"/>
        <v>3435016.7418991365</v>
      </c>
      <c r="P27" s="4">
        <f t="shared" si="4"/>
        <v>22055221.214869224</v>
      </c>
      <c r="Q27" s="4">
        <f t="shared" si="5"/>
        <v>2.6543449267836467E-3</v>
      </c>
      <c r="R27" s="4">
        <f t="shared" si="6"/>
        <v>2.1204775778014162E-2</v>
      </c>
      <c r="S27" s="24">
        <f t="shared" ca="1" si="42"/>
        <v>12.227582683653319</v>
      </c>
      <c r="T27" s="4">
        <f t="shared" ca="1" si="7"/>
        <v>0.17840384162307008</v>
      </c>
      <c r="U27" s="4">
        <f t="shared" ca="1" si="8"/>
        <v>2.3214923595563944E-2</v>
      </c>
      <c r="V27" s="4">
        <f t="shared" ca="1" si="9"/>
        <v>7.6848773974496574</v>
      </c>
      <c r="W27" s="20">
        <f t="shared" ca="1" si="10"/>
        <v>2190.737918729581</v>
      </c>
      <c r="X27" s="4">
        <f t="shared" si="11"/>
        <v>0.5794380982800057</v>
      </c>
      <c r="Y27" s="4">
        <f t="shared" ca="1" si="12"/>
        <v>180.97370397470323</v>
      </c>
      <c r="Z27" s="14">
        <f t="shared" ca="1" si="13"/>
        <v>2241.5905352586756</v>
      </c>
      <c r="AA27" s="14">
        <f t="shared" si="14"/>
        <v>5839.1976991269457</v>
      </c>
      <c r="AB27" s="25">
        <f t="shared" ca="1" si="15"/>
        <v>1391807.927280477</v>
      </c>
      <c r="AC27" s="4">
        <f t="shared" si="16"/>
        <v>3625569.2191638192</v>
      </c>
      <c r="AD27" s="5">
        <v>100</v>
      </c>
      <c r="AE27" s="4">
        <f t="shared" si="17"/>
        <v>5839.1976991269457</v>
      </c>
      <c r="AF27" s="4">
        <f t="shared" ca="1" si="18"/>
        <v>3597.6071638682702</v>
      </c>
      <c r="AG27" s="4">
        <f t="shared" ca="1" si="19"/>
        <v>2233761.291883342</v>
      </c>
      <c r="AH27" s="4">
        <f t="shared" si="20"/>
        <v>3742.3521109757717</v>
      </c>
      <c r="AI27" s="13">
        <f t="shared" ca="1" si="21"/>
        <v>131.504119317071</v>
      </c>
      <c r="AJ27" s="10">
        <f t="shared" ca="1" si="22"/>
        <v>12.227582683653319</v>
      </c>
      <c r="AK27" s="11">
        <f t="shared" ca="1" si="43"/>
        <v>7890.2471590242603</v>
      </c>
      <c r="AL27" s="6">
        <v>500</v>
      </c>
      <c r="AM27" s="4">
        <f t="shared" ca="1" si="23"/>
        <v>3.8021622637876811</v>
      </c>
      <c r="AN27" s="4">
        <f t="shared" ca="1" si="24"/>
        <v>3.9525083261550682</v>
      </c>
      <c r="AO27" s="4">
        <f t="shared" ca="1" si="25"/>
        <v>0.37971865673059019</v>
      </c>
      <c r="AP27" s="4">
        <f t="shared" si="26"/>
        <v>0.64090176490090645</v>
      </c>
      <c r="AQ27" s="11">
        <f t="shared" si="27"/>
        <v>1.0383055207183758</v>
      </c>
      <c r="AR27" s="11">
        <f t="shared" si="28"/>
        <v>0.92980855081639258</v>
      </c>
      <c r="AS27" s="11">
        <f t="shared" si="29"/>
        <v>0.89550573724493243</v>
      </c>
      <c r="AT27" s="11">
        <f t="shared" si="30"/>
        <v>538.53792443099996</v>
      </c>
      <c r="AU27" s="11">
        <f t="shared" si="31"/>
        <v>1967.6794514086662</v>
      </c>
      <c r="AV27" s="11">
        <f t="shared" si="32"/>
        <v>2.12852758685748E-3</v>
      </c>
      <c r="AW27" s="11">
        <f t="shared" si="33"/>
        <v>3.8474540935600882E-7</v>
      </c>
      <c r="AX27" s="4">
        <f t="shared" ca="1" si="34"/>
        <v>129.67120105727341</v>
      </c>
      <c r="AY27" s="11">
        <f t="shared" ca="1" si="35"/>
        <v>622.63509311368387</v>
      </c>
      <c r="AZ27" s="11"/>
      <c r="BA27" s="11"/>
    </row>
    <row r="28" spans="1:53">
      <c r="A28" s="4">
        <f t="shared" ca="1" si="36"/>
        <v>18.177402019526021</v>
      </c>
      <c r="B28" s="4">
        <f t="shared" ref="B28:C28" ca="1" si="48">A28/60</f>
        <v>0.3029567003254337</v>
      </c>
      <c r="C28" s="4">
        <f t="shared" ca="1" si="48"/>
        <v>5.0492783387572288E-3</v>
      </c>
      <c r="D28" s="41">
        <f t="shared" ca="1" si="45"/>
        <v>17226.348438746474</v>
      </c>
      <c r="E28" s="4">
        <f t="shared" ca="1" si="38"/>
        <v>1.818789441897015</v>
      </c>
      <c r="F28" s="4">
        <f t="shared" ca="1" si="39"/>
        <v>1.818789441897015</v>
      </c>
      <c r="G28" s="4"/>
      <c r="H28" s="5">
        <f t="shared" si="40"/>
        <v>2500</v>
      </c>
      <c r="I28" s="5">
        <v>15</v>
      </c>
      <c r="J28" s="4">
        <f t="shared" si="0"/>
        <v>2.5592629694525661E-2</v>
      </c>
      <c r="K28" s="4">
        <v>619.6745281492058</v>
      </c>
      <c r="L28" s="6">
        <f t="shared" si="41"/>
        <v>16.174999999999997</v>
      </c>
      <c r="M28" s="4">
        <f t="shared" si="1"/>
        <v>367.14724313595406</v>
      </c>
      <c r="N28" s="4">
        <f t="shared" si="2"/>
        <v>402.57460476912729</v>
      </c>
      <c r="O28" s="4">
        <f t="shared" si="3"/>
        <v>3385697.0433329772</v>
      </c>
      <c r="P28" s="4">
        <f t="shared" si="4"/>
        <v>21738554.093903195</v>
      </c>
      <c r="Q28" s="4">
        <f t="shared" si="5"/>
        <v>2.6601845668213935E-3</v>
      </c>
      <c r="R28" s="4">
        <f t="shared" si="6"/>
        <v>2.1240426780444605E-2</v>
      </c>
      <c r="S28" s="24">
        <f t="shared" ca="1" si="42"/>
        <v>11.969568214302246</v>
      </c>
      <c r="T28" s="4">
        <f t="shared" ca="1" si="7"/>
        <v>0.18200041421731841</v>
      </c>
      <c r="U28" s="4">
        <f t="shared" ca="1" si="8"/>
        <v>2.3332439610447116E-2</v>
      </c>
      <c r="V28" s="4">
        <f t="shared" ca="1" si="9"/>
        <v>7.8003165230877789</v>
      </c>
      <c r="W28" s="20">
        <f t="shared" ca="1" si="10"/>
        <v>2160.400960529314</v>
      </c>
      <c r="X28" s="4">
        <f t="shared" si="11"/>
        <v>0.57992499033244427</v>
      </c>
      <c r="Y28" s="4">
        <f t="shared" ca="1" si="12"/>
        <v>182.42744918033577</v>
      </c>
      <c r="Z28" s="14">
        <f t="shared" ca="1" si="13"/>
        <v>2208.4165928086431</v>
      </c>
      <c r="AA28" s="14">
        <f t="shared" si="14"/>
        <v>5733.0101109885436</v>
      </c>
      <c r="AB28" s="25">
        <f t="shared" ca="1" si="15"/>
        <v>1368499.5101055726</v>
      </c>
      <c r="AC28" s="4">
        <f t="shared" si="16"/>
        <v>3552600.3354014517</v>
      </c>
      <c r="AD28" s="5">
        <v>100</v>
      </c>
      <c r="AE28" s="4">
        <f t="shared" si="17"/>
        <v>5733.0101109885436</v>
      </c>
      <c r="AF28" s="4">
        <f t="shared" ca="1" si="18"/>
        <v>3524.5935181799005</v>
      </c>
      <c r="AG28" s="4">
        <f t="shared" ca="1" si="19"/>
        <v>2184100.825295879</v>
      </c>
      <c r="AH28" s="4">
        <f t="shared" si="20"/>
        <v>3678.6697600355942</v>
      </c>
      <c r="AI28" s="13">
        <f t="shared" ca="1" si="21"/>
        <v>128.51562230059338</v>
      </c>
      <c r="AJ28" s="10">
        <f t="shared" ca="1" si="22"/>
        <v>11.969568214302246</v>
      </c>
      <c r="AK28" s="11">
        <f t="shared" ca="1" si="43"/>
        <v>7710.9373380356028</v>
      </c>
      <c r="AL28" s="6">
        <v>500</v>
      </c>
      <c r="AM28" s="4">
        <f t="shared" ca="1" si="23"/>
        <v>3.8905775893184265</v>
      </c>
      <c r="AN28" s="4">
        <f t="shared" ca="1" si="24"/>
        <v>3.9755972574716325</v>
      </c>
      <c r="AO28" s="4">
        <f t="shared" ca="1" si="25"/>
        <v>0.38815502398707191</v>
      </c>
      <c r="AP28" s="4">
        <f t="shared" si="26"/>
        <v>0.64166462099633048</v>
      </c>
      <c r="AQ28" s="11">
        <f t="shared" si="27"/>
        <v>1.0348678457183758</v>
      </c>
      <c r="AR28" s="11">
        <f t="shared" si="28"/>
        <v>0.91289969920199743</v>
      </c>
      <c r="AS28" s="11">
        <f t="shared" si="29"/>
        <v>0.88214133135839046</v>
      </c>
      <c r="AT28" s="11">
        <f t="shared" si="30"/>
        <v>536.75490553874988</v>
      </c>
      <c r="AU28" s="11">
        <f t="shared" si="31"/>
        <v>1931.8966014452508</v>
      </c>
      <c r="AV28" s="11">
        <f t="shared" si="32"/>
        <v>2.0967617305057583E-3</v>
      </c>
      <c r="AW28" s="11">
        <f t="shared" si="33"/>
        <v>3.8376435320786708E-7</v>
      </c>
      <c r="AX28" s="4">
        <f t="shared" ca="1" si="34"/>
        <v>126.78838077971744</v>
      </c>
      <c r="AY28" s="11">
        <f t="shared" ca="1" si="35"/>
        <v>621.46601766468177</v>
      </c>
      <c r="AZ28" s="11"/>
      <c r="BA28" s="11"/>
    </row>
    <row r="29" spans="1:53">
      <c r="A29" s="4">
        <f t="shared" ca="1" si="36"/>
        <v>22.067979608844446</v>
      </c>
      <c r="B29" s="4">
        <f t="shared" ref="B29:C29" ca="1" si="49">A29/60</f>
        <v>0.36779966014740745</v>
      </c>
      <c r="C29" s="4">
        <f t="shared" ca="1" si="49"/>
        <v>6.1299943357901237E-3</v>
      </c>
      <c r="D29" s="41">
        <f t="shared" ca="1" si="45"/>
        <v>17226.348438746474</v>
      </c>
      <c r="E29" s="4">
        <f t="shared" ca="1" si="38"/>
        <v>2.2069444658840869</v>
      </c>
      <c r="F29" s="4">
        <f t="shared" ca="1" si="39"/>
        <v>2.2069444658840869</v>
      </c>
      <c r="G29" s="4"/>
      <c r="H29" s="5">
        <f t="shared" si="40"/>
        <v>3000</v>
      </c>
      <c r="I29" s="5">
        <v>15</v>
      </c>
      <c r="J29" s="4">
        <f t="shared" si="0"/>
        <v>2.7801443009921149E-2</v>
      </c>
      <c r="K29" s="4">
        <v>618.45728596451136</v>
      </c>
      <c r="L29" s="6">
        <f t="shared" si="41"/>
        <v>17.409999999999997</v>
      </c>
      <c r="M29" s="4">
        <f t="shared" si="1"/>
        <v>366.42604661739756</v>
      </c>
      <c r="N29" s="4">
        <f t="shared" si="2"/>
        <v>394.98915238473205</v>
      </c>
      <c r="O29" s="4">
        <f t="shared" si="3"/>
        <v>3336985.1430220325</v>
      </c>
      <c r="P29" s="4">
        <f t="shared" si="4"/>
        <v>21425789.464825854</v>
      </c>
      <c r="Q29" s="4">
        <f t="shared" si="5"/>
        <v>2.6660514573157617E-3</v>
      </c>
      <c r="R29" s="4">
        <f t="shared" si="6"/>
        <v>2.1276244146912725E-2</v>
      </c>
      <c r="S29" s="24">
        <f t="shared" ca="1" si="42"/>
        <v>11.715017684667357</v>
      </c>
      <c r="T29" s="4">
        <f t="shared" ca="1" si="7"/>
        <v>0.18566846858938893</v>
      </c>
      <c r="U29" s="4">
        <f t="shared" ca="1" si="8"/>
        <v>2.3453431994317129E-2</v>
      </c>
      <c r="V29" s="4">
        <f t="shared" ca="1" si="9"/>
        <v>7.9164733176098592</v>
      </c>
      <c r="W29" s="20">
        <f t="shared" ca="1" si="10"/>
        <v>2130.6857815081039</v>
      </c>
      <c r="X29" s="4">
        <f t="shared" si="11"/>
        <v>0.58041374314529814</v>
      </c>
      <c r="Y29" s="4">
        <f t="shared" ca="1" si="12"/>
        <v>183.89466945521247</v>
      </c>
      <c r="Z29" s="14">
        <f t="shared" ca="1" si="13"/>
        <v>2176.0129476375791</v>
      </c>
      <c r="AA29" s="14">
        <f t="shared" si="14"/>
        <v>5628.3916222821908</v>
      </c>
      <c r="AB29" s="25">
        <f t="shared" ca="1" si="15"/>
        <v>1345771.0618195736</v>
      </c>
      <c r="AC29" s="4">
        <f t="shared" si="16"/>
        <v>3480919.8070620368</v>
      </c>
      <c r="AD29" s="5">
        <v>100</v>
      </c>
      <c r="AE29" s="4">
        <f t="shared" si="17"/>
        <v>5628.3916222821908</v>
      </c>
      <c r="AF29" s="4">
        <f t="shared" ca="1" si="18"/>
        <v>3452.3786746446117</v>
      </c>
      <c r="AG29" s="4">
        <f t="shared" ca="1" si="19"/>
        <v>2135148.7452424634</v>
      </c>
      <c r="AH29" s="4">
        <f t="shared" si="20"/>
        <v>3615.920670655742</v>
      </c>
      <c r="AI29" s="13">
        <f t="shared" ca="1" si="21"/>
        <v>125.57401059657026</v>
      </c>
      <c r="AJ29" s="10">
        <f t="shared" ca="1" si="22"/>
        <v>11.715017684667357</v>
      </c>
      <c r="AK29" s="11">
        <f t="shared" ca="1" si="43"/>
        <v>7534.4406357942153</v>
      </c>
      <c r="AL29" s="6">
        <v>500</v>
      </c>
      <c r="AM29" s="4">
        <f t="shared" ca="1" si="23"/>
        <v>3.9817156243129199</v>
      </c>
      <c r="AN29" s="4">
        <f t="shared" ca="1" si="24"/>
        <v>3.999324397396117</v>
      </c>
      <c r="AO29" s="4">
        <f t="shared" ca="1" si="25"/>
        <v>0.39683686324417972</v>
      </c>
      <c r="AP29" s="4">
        <f t="shared" si="26"/>
        <v>0.64244297719808707</v>
      </c>
      <c r="AQ29" s="11">
        <f t="shared" si="27"/>
        <v>1.0314301707183759</v>
      </c>
      <c r="AR29" s="11">
        <f t="shared" si="28"/>
        <v>0.8962407041850623</v>
      </c>
      <c r="AS29" s="11">
        <f t="shared" si="29"/>
        <v>0.86893008332386068</v>
      </c>
      <c r="AT29" s="11">
        <f t="shared" si="30"/>
        <v>534.97188664650002</v>
      </c>
      <c r="AU29" s="11">
        <f t="shared" si="31"/>
        <v>1896.6425030105124</v>
      </c>
      <c r="AV29" s="11">
        <f t="shared" si="32"/>
        <v>2.0653599150524844E-3</v>
      </c>
      <c r="AW29" s="11">
        <f t="shared" si="33"/>
        <v>3.8278171249107636E-7</v>
      </c>
      <c r="AX29" s="4">
        <f t="shared" ca="1" si="34"/>
        <v>123.94668277114182</v>
      </c>
      <c r="AY29" s="11">
        <f t="shared" ca="1" si="35"/>
        <v>620.30911799604667</v>
      </c>
      <c r="AZ29" s="11"/>
      <c r="BA29" s="11"/>
    </row>
    <row r="30" spans="1:53">
      <c r="A30" s="4">
        <f t="shared" ca="1" si="36"/>
        <v>26.049695233157365</v>
      </c>
      <c r="B30" s="4">
        <f t="shared" ref="B30:C30" ca="1" si="50">A30/60</f>
        <v>0.43416158721928944</v>
      </c>
      <c r="C30" s="4">
        <f t="shared" ca="1" si="50"/>
        <v>7.2360264536548242E-3</v>
      </c>
      <c r="D30" s="41">
        <f t="shared" ca="1" si="45"/>
        <v>17226.348438746474</v>
      </c>
      <c r="E30" s="4">
        <f t="shared" ca="1" si="38"/>
        <v>2.6037813291282665</v>
      </c>
      <c r="F30" s="4">
        <f t="shared" ca="1" si="39"/>
        <v>2.6037813291282665</v>
      </c>
      <c r="G30" s="4"/>
      <c r="H30" s="5">
        <f t="shared" si="40"/>
        <v>3500</v>
      </c>
      <c r="I30" s="5">
        <v>15</v>
      </c>
      <c r="J30" s="4">
        <f t="shared" si="0"/>
        <v>3.0049875717259533E-2</v>
      </c>
      <c r="K30" s="4">
        <v>617.25068301071781</v>
      </c>
      <c r="L30" s="6">
        <f t="shared" si="41"/>
        <v>18.644999999999996</v>
      </c>
      <c r="M30" s="4">
        <f t="shared" si="1"/>
        <v>365.71115367292214</v>
      </c>
      <c r="N30" s="4">
        <f t="shared" si="2"/>
        <v>387.53619333207359</v>
      </c>
      <c r="O30" s="4">
        <f t="shared" si="3"/>
        <v>3288876.9632315966</v>
      </c>
      <c r="P30" s="4">
        <f t="shared" si="4"/>
        <v>21116901.145715028</v>
      </c>
      <c r="Q30" s="4">
        <f t="shared" si="5"/>
        <v>2.6719454037805062E-3</v>
      </c>
      <c r="R30" s="4">
        <f t="shared" si="6"/>
        <v>2.131222669007999E-2</v>
      </c>
      <c r="S30" s="24">
        <f t="shared" ca="1" si="42"/>
        <v>11.463869725115311</v>
      </c>
      <c r="T30" s="4">
        <f t="shared" ca="1" si="7"/>
        <v>0.18940936899420541</v>
      </c>
      <c r="U30" s="4">
        <f t="shared" ca="1" si="8"/>
        <v>2.3578031557245561E-2</v>
      </c>
      <c r="V30" s="4">
        <f t="shared" ca="1" si="9"/>
        <v>8.0332986464257932</v>
      </c>
      <c r="W30" s="20">
        <f t="shared" ca="1" si="10"/>
        <v>2101.5883370704432</v>
      </c>
      <c r="X30" s="4">
        <f t="shared" si="11"/>
        <v>0.58090433584027057</v>
      </c>
      <c r="Y30" s="4">
        <f t="shared" ca="1" si="12"/>
        <v>185.37563872299978</v>
      </c>
      <c r="Z30" s="14">
        <f t="shared" ca="1" si="13"/>
        <v>2144.3679859220583</v>
      </c>
      <c r="AA30" s="14">
        <f t="shared" si="14"/>
        <v>5525.3244327507737</v>
      </c>
      <c r="AB30" s="25">
        <f t="shared" ca="1" si="15"/>
        <v>1323612.6039367078</v>
      </c>
      <c r="AC30" s="4">
        <f t="shared" si="16"/>
        <v>3410510.2799712219</v>
      </c>
      <c r="AD30" s="5">
        <v>100</v>
      </c>
      <c r="AE30" s="4">
        <f t="shared" si="17"/>
        <v>5525.3244327507737</v>
      </c>
      <c r="AF30" s="4">
        <f t="shared" ca="1" si="18"/>
        <v>3380.9564468287153</v>
      </c>
      <c r="AG30" s="4">
        <f t="shared" ca="1" si="19"/>
        <v>2086897.6760345141</v>
      </c>
      <c r="AH30" s="4">
        <f t="shared" si="20"/>
        <v>3554.095623965713</v>
      </c>
      <c r="AI30" s="13">
        <f t="shared" ca="1" si="21"/>
        <v>122.6785497240826</v>
      </c>
      <c r="AJ30" s="10">
        <f t="shared" ca="1" si="22"/>
        <v>11.463869725115311</v>
      </c>
      <c r="AK30" s="11">
        <f t="shared" ca="1" si="43"/>
        <v>7360.7129834449561</v>
      </c>
      <c r="AL30" s="6">
        <v>500</v>
      </c>
      <c r="AM30" s="4">
        <f t="shared" ca="1" si="23"/>
        <v>4.0756921330139164</v>
      </c>
      <c r="AN30" s="4">
        <f t="shared" ca="1" si="24"/>
        <v>4.0237221040489564</v>
      </c>
      <c r="AO30" s="4">
        <f t="shared" ca="1" si="25"/>
        <v>0.40577511643133601</v>
      </c>
      <c r="AP30" s="4">
        <f t="shared" si="26"/>
        <v>0.6432374546007088</v>
      </c>
      <c r="AQ30" s="11">
        <f t="shared" si="27"/>
        <v>1.0279924957183759</v>
      </c>
      <c r="AR30" s="11">
        <f t="shared" si="28"/>
        <v>0.87982873132974104</v>
      </c>
      <c r="AS30" s="11">
        <f t="shared" si="29"/>
        <v>0.85587077239790943</v>
      </c>
      <c r="AT30" s="11">
        <f t="shared" si="30"/>
        <v>533.18886775424994</v>
      </c>
      <c r="AU30" s="11">
        <f t="shared" si="31"/>
        <v>1861.9111578146244</v>
      </c>
      <c r="AV30" s="11">
        <f t="shared" si="32"/>
        <v>2.0343192389125908E-3</v>
      </c>
      <c r="AW30" s="11">
        <f t="shared" si="33"/>
        <v>3.8179748093915456E-7</v>
      </c>
      <c r="AX30" s="4">
        <f t="shared" ca="1" si="34"/>
        <v>121.14567886834021</v>
      </c>
      <c r="AY30" s="11">
        <f t="shared" ca="1" si="35"/>
        <v>619.16492042453478</v>
      </c>
      <c r="AZ30" s="11"/>
      <c r="BA30" s="11"/>
    </row>
    <row r="31" spans="1:53">
      <c r="A31" s="4">
        <f t="shared" ca="1" si="36"/>
        <v>30.125387366171282</v>
      </c>
      <c r="B31" s="4">
        <f t="shared" ref="B31:C31" ca="1" si="51">A31/60</f>
        <v>0.50208978943618798</v>
      </c>
      <c r="C31" s="4">
        <f t="shared" ca="1" si="51"/>
        <v>8.3681631572697993E-3</v>
      </c>
      <c r="D31" s="41">
        <f t="shared" ca="1" si="45"/>
        <v>17226.348438746474</v>
      </c>
      <c r="E31" s="4">
        <f t="shared" ca="1" si="38"/>
        <v>3.0095564455596024</v>
      </c>
      <c r="F31" s="4">
        <f t="shared" ca="1" si="39"/>
        <v>3.0095564455596024</v>
      </c>
      <c r="G31" s="4"/>
      <c r="H31" s="5">
        <f t="shared" si="40"/>
        <v>4000</v>
      </c>
      <c r="I31" s="5">
        <v>15</v>
      </c>
      <c r="J31" s="4">
        <f t="shared" si="0"/>
        <v>3.233867690261065E-2</v>
      </c>
      <c r="K31" s="4">
        <v>616.05519936701774</v>
      </c>
      <c r="L31" s="6">
        <f t="shared" si="41"/>
        <v>19.879999999999995</v>
      </c>
      <c r="M31" s="4">
        <f t="shared" si="1"/>
        <v>365.00284874176816</v>
      </c>
      <c r="N31" s="4">
        <f t="shared" si="2"/>
        <v>380.21413767226881</v>
      </c>
      <c r="O31" s="4">
        <f t="shared" si="3"/>
        <v>3241368.4540840061</v>
      </c>
      <c r="P31" s="4">
        <f t="shared" si="4"/>
        <v>20811863.133510336</v>
      </c>
      <c r="Q31" s="4">
        <f t="shared" si="5"/>
        <v>2.6778661906420391E-3</v>
      </c>
      <c r="R31" s="4">
        <f t="shared" si="6"/>
        <v>2.1348373093869649E-2</v>
      </c>
      <c r="S31" s="24">
        <f t="shared" ca="1" si="42"/>
        <v>11.216064004315225</v>
      </c>
      <c r="T31" s="4">
        <f t="shared" ca="1" si="7"/>
        <v>0.19322448414597629</v>
      </c>
      <c r="U31" s="4">
        <f t="shared" ca="1" si="8"/>
        <v>2.3706373653979373E-2</v>
      </c>
      <c r="V31" s="4">
        <f t="shared" ca="1" si="9"/>
        <v>8.1507398375770332</v>
      </c>
      <c r="W31" s="20">
        <f t="shared" ca="1" si="10"/>
        <v>2073.1046357224027</v>
      </c>
      <c r="X31" s="4">
        <f t="shared" si="11"/>
        <v>0.58139674583892043</v>
      </c>
      <c r="Y31" s="4">
        <f t="shared" ca="1" si="12"/>
        <v>186.87063362724439</v>
      </c>
      <c r="Z31" s="14">
        <f t="shared" ca="1" si="13"/>
        <v>2113.4705293044103</v>
      </c>
      <c r="AA31" s="14">
        <f t="shared" si="14"/>
        <v>5423.7908825417398</v>
      </c>
      <c r="AB31" s="25">
        <f t="shared" ca="1" si="15"/>
        <v>1302014.5082869451</v>
      </c>
      <c r="AC31" s="4">
        <f t="shared" si="16"/>
        <v>3341354.5734692644</v>
      </c>
      <c r="AD31" s="5">
        <v>100</v>
      </c>
      <c r="AE31" s="4">
        <f t="shared" si="17"/>
        <v>5423.7908825417398</v>
      </c>
      <c r="AF31" s="4">
        <f t="shared" ca="1" si="18"/>
        <v>3310.3203532373295</v>
      </c>
      <c r="AG31" s="4">
        <f t="shared" ca="1" si="19"/>
        <v>2039340.0651823194</v>
      </c>
      <c r="AH31" s="4">
        <f t="shared" si="20"/>
        <v>3493.1854446166208</v>
      </c>
      <c r="AI31" s="13">
        <f t="shared" ca="1" si="21"/>
        <v>119.82851102429105</v>
      </c>
      <c r="AJ31" s="10">
        <f t="shared" ca="1" si="22"/>
        <v>11.216064004315225</v>
      </c>
      <c r="AK31" s="11">
        <f t="shared" ca="1" si="43"/>
        <v>7189.7106614574632</v>
      </c>
      <c r="AL31" s="6">
        <v>500</v>
      </c>
      <c r="AM31" s="4">
        <f t="shared" ca="1" si="23"/>
        <v>4.1726296665627638</v>
      </c>
      <c r="AN31" s="4">
        <f t="shared" ca="1" si="24"/>
        <v>4.0488247825034867</v>
      </c>
      <c r="AO31" s="4">
        <f t="shared" ca="1" si="25"/>
        <v>0.41498139013744301</v>
      </c>
      <c r="AP31" s="4">
        <f t="shared" si="26"/>
        <v>0.64404869587811553</v>
      </c>
      <c r="AQ31" s="11">
        <f t="shared" si="27"/>
        <v>1.0245548207183759</v>
      </c>
      <c r="AR31" s="11">
        <f t="shared" si="28"/>
        <v>0.86366096855760188</v>
      </c>
      <c r="AS31" s="11">
        <f t="shared" si="29"/>
        <v>0.84296218327491557</v>
      </c>
      <c r="AT31" s="11">
        <f t="shared" si="30"/>
        <v>531.40584886199997</v>
      </c>
      <c r="AU31" s="11">
        <f t="shared" si="31"/>
        <v>1827.6966148809681</v>
      </c>
      <c r="AV31" s="11">
        <f t="shared" si="32"/>
        <v>2.0036368134261468E-3</v>
      </c>
      <c r="AW31" s="11">
        <f t="shared" si="33"/>
        <v>3.8081165225110524E-7</v>
      </c>
      <c r="AX31" s="4">
        <f t="shared" ca="1" si="34"/>
        <v>118.38493064469314</v>
      </c>
      <c r="AY31" s="11">
        <f t="shared" ca="1" si="35"/>
        <v>618.03396997682546</v>
      </c>
      <c r="AZ31" s="11"/>
      <c r="BA31" s="11"/>
    </row>
    <row r="32" spans="1:53">
      <c r="A32" s="4">
        <f t="shared" ca="1" si="36"/>
        <v>34.298017032734045</v>
      </c>
      <c r="B32" s="4">
        <f t="shared" ref="B32:C32" ca="1" si="52">A32/60</f>
        <v>0.57163361721223405</v>
      </c>
      <c r="C32" s="4">
        <f t="shared" ca="1" si="52"/>
        <v>9.5272269535372333E-3</v>
      </c>
      <c r="D32" s="41">
        <f t="shared" ca="1" si="45"/>
        <v>17226.348438746474</v>
      </c>
      <c r="E32" s="4">
        <f t="shared" ca="1" si="38"/>
        <v>3.4245378356970453</v>
      </c>
      <c r="F32" s="4">
        <f t="shared" ca="1" si="39"/>
        <v>3.4245378356970453</v>
      </c>
      <c r="G32" s="4"/>
      <c r="H32" s="5">
        <f t="shared" si="40"/>
        <v>4500</v>
      </c>
      <c r="I32" s="5">
        <v>15</v>
      </c>
      <c r="J32" s="4">
        <f t="shared" si="0"/>
        <v>3.4668611204590687E-2</v>
      </c>
      <c r="K32" s="4">
        <v>614.87133295215199</v>
      </c>
      <c r="L32" s="6">
        <f t="shared" si="41"/>
        <v>21.114999999999995</v>
      </c>
      <c r="M32" s="4">
        <f t="shared" si="1"/>
        <v>364.30142683282281</v>
      </c>
      <c r="N32" s="4">
        <f t="shared" si="2"/>
        <v>373.02141039646983</v>
      </c>
      <c r="O32" s="4">
        <f t="shared" si="3"/>
        <v>3194455.5929517993</v>
      </c>
      <c r="P32" s="4">
        <f t="shared" si="4"/>
        <v>20510649.600116838</v>
      </c>
      <c r="Q32" s="4">
        <f t="shared" si="5"/>
        <v>2.6838135802951272E-3</v>
      </c>
      <c r="R32" s="4">
        <f t="shared" si="6"/>
        <v>2.1384681907701753E-2</v>
      </c>
      <c r="S32" s="24">
        <f t="shared" ca="1" si="42"/>
        <v>10.971541200233805</v>
      </c>
      <c r="T32" s="4">
        <f t="shared" ca="1" si="7"/>
        <v>0.19711518550130391</v>
      </c>
      <c r="U32" s="4">
        <f t="shared" ca="1" si="8"/>
        <v>2.3838598273092208E-2</v>
      </c>
      <c r="V32" s="4">
        <f t="shared" ca="1" si="9"/>
        <v>8.2687406047610388</v>
      </c>
      <c r="W32" s="20">
        <f t="shared" ca="1" si="10"/>
        <v>2045.2307364318522</v>
      </c>
      <c r="X32" s="4">
        <f t="shared" si="11"/>
        <v>0.58189094879210446</v>
      </c>
      <c r="Y32" s="4">
        <f t="shared" ca="1" si="12"/>
        <v>188.37993366729492</v>
      </c>
      <c r="Z32" s="14">
        <f t="shared" ca="1" si="13"/>
        <v>2083.3098124795156</v>
      </c>
      <c r="AA32" s="14">
        <f t="shared" si="14"/>
        <v>5323.7734515883203</v>
      </c>
      <c r="AB32" s="25">
        <f t="shared" ca="1" si="15"/>
        <v>1280967.4813515774</v>
      </c>
      <c r="AC32" s="4">
        <f t="shared" si="16"/>
        <v>3273435.6785133895</v>
      </c>
      <c r="AD32" s="5">
        <v>100</v>
      </c>
      <c r="AE32" s="4">
        <f t="shared" si="17"/>
        <v>5323.7734515883203</v>
      </c>
      <c r="AF32" s="4">
        <f t="shared" ca="1" si="18"/>
        <v>3240.4636391088047</v>
      </c>
      <c r="AG32" s="4">
        <f t="shared" ca="1" si="19"/>
        <v>1992468.1971618121</v>
      </c>
      <c r="AH32" s="4">
        <f t="shared" si="20"/>
        <v>3433.1809961329659</v>
      </c>
      <c r="AI32" s="13">
        <f t="shared" ca="1" si="21"/>
        <v>117.02317160116125</v>
      </c>
      <c r="AJ32" s="10">
        <f t="shared" ca="1" si="22"/>
        <v>10.971541200233805</v>
      </c>
      <c r="AK32" s="11">
        <f t="shared" ca="1" si="43"/>
        <v>7021.3902960696751</v>
      </c>
      <c r="AL32" s="6">
        <v>500</v>
      </c>
      <c r="AM32" s="4">
        <f t="shared" ca="1" si="23"/>
        <v>4.2726580826582072</v>
      </c>
      <c r="AN32" s="4">
        <f t="shared" ca="1" si="24"/>
        <v>4.0746690367655756</v>
      </c>
      <c r="AO32" s="4">
        <f t="shared" ca="1" si="25"/>
        <v>0.42446800768925186</v>
      </c>
      <c r="AP32" s="4">
        <f t="shared" si="26"/>
        <v>0.64487736515322491</v>
      </c>
      <c r="AQ32" s="11">
        <f t="shared" si="27"/>
        <v>1.0211171457183759</v>
      </c>
      <c r="AR32" s="11">
        <f t="shared" si="28"/>
        <v>0.84773462604909555</v>
      </c>
      <c r="AS32" s="11">
        <f t="shared" si="29"/>
        <v>0.83020310608211134</v>
      </c>
      <c r="AT32" s="11">
        <f t="shared" si="30"/>
        <v>529.62282996975</v>
      </c>
      <c r="AU32" s="11">
        <f t="shared" si="31"/>
        <v>1793.9929703376167</v>
      </c>
      <c r="AV32" s="11">
        <f t="shared" si="32"/>
        <v>1.9733097628465705E-3</v>
      </c>
      <c r="AW32" s="11">
        <f t="shared" si="33"/>
        <v>3.79824220091224E-7</v>
      </c>
      <c r="AX32" s="4">
        <f t="shared" ca="1" si="34"/>
        <v>115.66399020933771</v>
      </c>
      <c r="AY32" s="11">
        <f t="shared" ca="1" si="35"/>
        <v>616.91683088144464</v>
      </c>
      <c r="AZ32" s="11"/>
      <c r="BA32" s="11"/>
    </row>
    <row r="33" spans="1:53">
      <c r="A33" s="4">
        <f t="shared" ca="1" si="36"/>
        <v>38.570675115392248</v>
      </c>
      <c r="B33" s="4">
        <f t="shared" ref="B33:C33" ca="1" si="53">A33/60</f>
        <v>0.64284458525653743</v>
      </c>
      <c r="C33" s="4">
        <f t="shared" ca="1" si="53"/>
        <v>1.0714076420942291E-2</v>
      </c>
      <c r="D33" s="41">
        <f t="shared" ca="1" si="45"/>
        <v>17226.348438746474</v>
      </c>
      <c r="E33" s="4">
        <f t="shared" ca="1" si="38"/>
        <v>3.8490058433862973</v>
      </c>
      <c r="F33" s="4">
        <f t="shared" ca="1" si="39"/>
        <v>3.8490058433862973</v>
      </c>
      <c r="G33" s="4"/>
      <c r="H33" s="5">
        <f t="shared" si="40"/>
        <v>5000</v>
      </c>
      <c r="I33" s="5">
        <v>15</v>
      </c>
      <c r="J33" s="4">
        <f t="shared" si="0"/>
        <v>3.7040459150832677E-2</v>
      </c>
      <c r="K33" s="4">
        <v>613.69960004864834</v>
      </c>
      <c r="L33" s="6">
        <f t="shared" si="41"/>
        <v>22.349999999999994</v>
      </c>
      <c r="M33" s="4">
        <f t="shared" si="1"/>
        <v>363.60719383522337</v>
      </c>
      <c r="N33" s="4">
        <f t="shared" si="2"/>
        <v>365.95645122554083</v>
      </c>
      <c r="O33" s="4">
        <f t="shared" si="3"/>
        <v>3148134.3837905172</v>
      </c>
      <c r="P33" s="4">
        <f t="shared" si="4"/>
        <v>20213234.88812115</v>
      </c>
      <c r="Q33" s="4">
        <f t="shared" si="5"/>
        <v>2.6897873121335676E-3</v>
      </c>
      <c r="R33" s="4">
        <f t="shared" si="6"/>
        <v>2.1421151540575431E-2</v>
      </c>
      <c r="S33" s="24">
        <f t="shared" ca="1" si="42"/>
        <v>10.730242973549531</v>
      </c>
      <c r="T33" s="4">
        <f t="shared" ca="1" si="7"/>
        <v>0.20108284540090596</v>
      </c>
      <c r="U33" s="4">
        <f t="shared" ca="1" si="8"/>
        <v>2.3974850120230266E-2</v>
      </c>
      <c r="V33" s="4">
        <f t="shared" ca="1" si="9"/>
        <v>8.3872409792972942</v>
      </c>
      <c r="W33" s="20">
        <f t="shared" ca="1" si="10"/>
        <v>2017.9627457926508</v>
      </c>
      <c r="X33" s="4">
        <f t="shared" si="11"/>
        <v>0.58238691850777302</v>
      </c>
      <c r="Y33" s="4">
        <f t="shared" ca="1" si="12"/>
        <v>189.9038213341735</v>
      </c>
      <c r="Z33" s="14">
        <f t="shared" ca="1" si="13"/>
        <v>2053.8754617003679</v>
      </c>
      <c r="AA33" s="14">
        <f t="shared" si="14"/>
        <v>5225.2547589913302</v>
      </c>
      <c r="AB33" s="25">
        <f t="shared" ca="1" si="15"/>
        <v>1260462.5493952488</v>
      </c>
      <c r="AC33" s="4">
        <f t="shared" si="16"/>
        <v>3206736.7557452759</v>
      </c>
      <c r="AD33" s="5">
        <v>100</v>
      </c>
      <c r="AE33" s="4">
        <f t="shared" si="17"/>
        <v>5225.2547589913302</v>
      </c>
      <c r="AF33" s="4">
        <f t="shared" ca="1" si="18"/>
        <v>3171.3792972909623</v>
      </c>
      <c r="AG33" s="4">
        <f t="shared" ca="1" si="19"/>
        <v>1946274.2063500271</v>
      </c>
      <c r="AH33" s="4">
        <f t="shared" si="20"/>
        <v>3374.0731761365541</v>
      </c>
      <c r="AI33" s="13">
        <f t="shared" ca="1" si="21"/>
        <v>114.26181426308614</v>
      </c>
      <c r="AJ33" s="10">
        <f t="shared" ca="1" si="22"/>
        <v>10.730242973549531</v>
      </c>
      <c r="AK33" s="11">
        <f t="shared" ca="1" si="43"/>
        <v>6855.7088557851685</v>
      </c>
      <c r="AL33" s="6">
        <v>500</v>
      </c>
      <c r="AM33" s="4">
        <f t="shared" ca="1" si="23"/>
        <v>4.3759151141146546</v>
      </c>
      <c r="AN33" s="4">
        <f t="shared" ca="1" si="24"/>
        <v>4.1012938354402175</v>
      </c>
      <c r="AO33" s="4">
        <f t="shared" ca="1" si="25"/>
        <v>0.43424806613633637</v>
      </c>
      <c r="AP33" s="4">
        <f t="shared" si="26"/>
        <v>0.64572414777109866</v>
      </c>
      <c r="AQ33" s="11">
        <f t="shared" si="27"/>
        <v>1.0176794707183758</v>
      </c>
      <c r="AR33" s="11">
        <f t="shared" si="28"/>
        <v>0.83204693614511627</v>
      </c>
      <c r="AS33" s="11">
        <f t="shared" si="29"/>
        <v>0.81759233637461282</v>
      </c>
      <c r="AT33" s="11">
        <f t="shared" si="30"/>
        <v>527.83981107749992</v>
      </c>
      <c r="AU33" s="11">
        <f t="shared" si="31"/>
        <v>1760.7943672090178</v>
      </c>
      <c r="AV33" s="11">
        <f t="shared" si="32"/>
        <v>1.9433352243288171E-3</v>
      </c>
      <c r="AW33" s="11">
        <f t="shared" si="33"/>
        <v>3.7883517808889214E-7</v>
      </c>
      <c r="AX33" s="4">
        <f t="shared" ca="1" si="34"/>
        <v>112.9824009580787</v>
      </c>
      <c r="AY33" s="11">
        <f t="shared" ca="1" si="35"/>
        <v>615.81408705785282</v>
      </c>
      <c r="AZ33" s="11"/>
      <c r="BA33" s="11"/>
    </row>
    <row r="34" spans="1:53">
      <c r="A34" s="4">
        <f t="shared" ca="1" si="36"/>
        <v>42.946590229506903</v>
      </c>
      <c r="B34" s="4">
        <f t="shared" ref="B34:C34" ca="1" si="54">A34/60</f>
        <v>0.71577650382511504</v>
      </c>
      <c r="C34" s="4">
        <f t="shared" ca="1" si="54"/>
        <v>1.1929608397085251E-2</v>
      </c>
      <c r="D34" s="41">
        <f t="shared" ca="1" si="45"/>
        <v>17226.348438746474</v>
      </c>
      <c r="E34" s="4">
        <f t="shared" ca="1" si="38"/>
        <v>4.2832539095226334</v>
      </c>
      <c r="F34" s="4">
        <f t="shared" ca="1" si="39"/>
        <v>4.2832539095226334</v>
      </c>
      <c r="G34" s="4"/>
      <c r="H34" s="5">
        <f t="shared" si="40"/>
        <v>5500</v>
      </c>
      <c r="I34" s="5">
        <v>15</v>
      </c>
      <c r="J34" s="4">
        <f t="shared" si="0"/>
        <v>3.9455017500778171E-2</v>
      </c>
      <c r="K34" s="4">
        <v>612.54053582931579</v>
      </c>
      <c r="L34" s="6">
        <f t="shared" si="41"/>
        <v>23.584999999999994</v>
      </c>
      <c r="M34" s="4">
        <f t="shared" si="1"/>
        <v>362.92046683029633</v>
      </c>
      <c r="N34" s="4">
        <f t="shared" si="2"/>
        <v>359.01771440229135</v>
      </c>
      <c r="O34" s="4">
        <f t="shared" si="3"/>
        <v>3102400.8564075558</v>
      </c>
      <c r="P34" s="4">
        <f t="shared" si="4"/>
        <v>19919593.506096959</v>
      </c>
      <c r="Q34" s="4">
        <f t="shared" si="5"/>
        <v>2.6957871015565885E-3</v>
      </c>
      <c r="R34" s="4">
        <f t="shared" si="6"/>
        <v>2.1457780255002973E-2</v>
      </c>
      <c r="S34" s="24">
        <f t="shared" ca="1" si="42"/>
        <v>10.492111943415807</v>
      </c>
      <c r="T34" s="4">
        <f t="shared" ca="1" si="7"/>
        <v>0.20512883506417906</v>
      </c>
      <c r="U34" s="4">
        <f t="shared" ca="1" si="8"/>
        <v>2.4115278694472095E-2</v>
      </c>
      <c r="V34" s="4">
        <f t="shared" ca="1" si="9"/>
        <v>8.5061772523159931</v>
      </c>
      <c r="W34" s="20">
        <f t="shared" ca="1" si="10"/>
        <v>1991.2968149846381</v>
      </c>
      <c r="X34" s="4">
        <f t="shared" si="11"/>
        <v>0.582884626877194</v>
      </c>
      <c r="Y34" s="4">
        <f t="shared" ca="1" si="12"/>
        <v>191.4425822466103</v>
      </c>
      <c r="Z34" s="14">
        <f t="shared" ca="1" si="13"/>
        <v>2025.1574741234347</v>
      </c>
      <c r="AA34" s="14">
        <f t="shared" si="14"/>
        <v>5128.2175624015072</v>
      </c>
      <c r="AB34" s="25">
        <f t="shared" ca="1" si="15"/>
        <v>1240491.0443383125</v>
      </c>
      <c r="AC34" s="4">
        <f t="shared" si="16"/>
        <v>3141241.1335227271</v>
      </c>
      <c r="AD34" s="5">
        <v>100</v>
      </c>
      <c r="AE34" s="4">
        <f t="shared" si="17"/>
        <v>5128.2175624015072</v>
      </c>
      <c r="AF34" s="4">
        <f t="shared" ca="1" si="18"/>
        <v>3103.0600882780727</v>
      </c>
      <c r="AG34" s="4">
        <f t="shared" ca="1" si="19"/>
        <v>1900750.0891844146</v>
      </c>
      <c r="AH34" s="4">
        <f t="shared" si="20"/>
        <v>3315.8529114473858</v>
      </c>
      <c r="AI34" s="13">
        <f t="shared" ca="1" si="21"/>
        <v>111.54372746547381</v>
      </c>
      <c r="AJ34" s="10">
        <f t="shared" ca="1" si="22"/>
        <v>10.492111943415807</v>
      </c>
      <c r="AK34" s="11">
        <f t="shared" ca="1" si="43"/>
        <v>6692.6236479284289</v>
      </c>
      <c r="AL34" s="6">
        <v>500</v>
      </c>
      <c r="AM34" s="4">
        <f t="shared" ca="1" si="23"/>
        <v>4.4825469917594898</v>
      </c>
      <c r="AN34" s="4">
        <f t="shared" ca="1" si="24"/>
        <v>4.1287406925903962</v>
      </c>
      <c r="AO34" s="4">
        <f t="shared" ca="1" si="25"/>
        <v>0.44433549868651273</v>
      </c>
      <c r="AP34" s="4">
        <f t="shared" si="26"/>
        <v>0.64658974996657437</v>
      </c>
      <c r="AQ34" s="11">
        <f t="shared" si="27"/>
        <v>1.0142417957183758</v>
      </c>
      <c r="AR34" s="11">
        <f t="shared" si="28"/>
        <v>0.81659515324864762</v>
      </c>
      <c r="AS34" s="11">
        <f t="shared" si="29"/>
        <v>0.8051286751304334</v>
      </c>
      <c r="AT34" s="11">
        <f t="shared" si="30"/>
        <v>526.05679218524995</v>
      </c>
      <c r="AU34" s="11">
        <f t="shared" si="31"/>
        <v>1728.0949952078529</v>
      </c>
      <c r="AV34" s="11">
        <f t="shared" si="32"/>
        <v>1.9137103479175271E-3</v>
      </c>
      <c r="AW34" s="11">
        <f t="shared" si="33"/>
        <v>3.7784451983838536E-7</v>
      </c>
      <c r="AX34" s="4">
        <f t="shared" ca="1" si="34"/>
        <v>110.33969827924416</v>
      </c>
      <c r="AY34" s="11">
        <f t="shared" ca="1" si="35"/>
        <v>614.72634260104689</v>
      </c>
      <c r="AZ34" s="11"/>
      <c r="BA34" s="11"/>
    </row>
    <row r="35" spans="1:53">
      <c r="A35" s="4">
        <f t="shared" ca="1" si="36"/>
        <v>47.429137221266394</v>
      </c>
      <c r="B35" s="4">
        <f t="shared" ref="B35:C35" ca="1" si="55">A35/60</f>
        <v>0.79048562035443992</v>
      </c>
      <c r="C35" s="4">
        <f t="shared" ca="1" si="55"/>
        <v>1.3174760339240666E-2</v>
      </c>
      <c r="D35" s="41">
        <f t="shared" ca="1" si="45"/>
        <v>17226.348438746474</v>
      </c>
      <c r="E35" s="4">
        <f t="shared" ca="1" si="38"/>
        <v>4.7275894082091465</v>
      </c>
      <c r="F35" s="4">
        <f t="shared" ca="1" si="39"/>
        <v>4.7275894082091465</v>
      </c>
      <c r="G35" s="4"/>
      <c r="H35" s="5">
        <f t="shared" si="40"/>
        <v>6000</v>
      </c>
      <c r="I35" s="5">
        <v>15</v>
      </c>
      <c r="J35" s="4">
        <f t="shared" si="0"/>
        <v>4.1913099595134749E-2</v>
      </c>
      <c r="K35" s="4">
        <v>611.39469488464943</v>
      </c>
      <c r="L35" s="6">
        <f t="shared" si="41"/>
        <v>24.819999999999993</v>
      </c>
      <c r="M35" s="4">
        <f t="shared" si="1"/>
        <v>362.24157440403661</v>
      </c>
      <c r="N35" s="4">
        <f t="shared" si="2"/>
        <v>352.20366847606283</v>
      </c>
      <c r="O35" s="4">
        <f t="shared" si="3"/>
        <v>3057251.065664182</v>
      </c>
      <c r="P35" s="4">
        <f t="shared" si="4"/>
        <v>19629700.123481415</v>
      </c>
      <c r="Q35" s="4">
        <f t="shared" si="5"/>
        <v>2.7018126389518216E-3</v>
      </c>
      <c r="R35" s="4">
        <f t="shared" si="6"/>
        <v>2.1494566160800872E-2</v>
      </c>
      <c r="S35" s="24">
        <f t="shared" ca="1" si="42"/>
        <v>10.257091665508179</v>
      </c>
      <c r="T35" s="4">
        <f t="shared" ca="1" si="7"/>
        <v>0.20925452243096748</v>
      </c>
      <c r="U35" s="4">
        <f t="shared" ca="1" si="8"/>
        <v>2.426003835674553E-2</v>
      </c>
      <c r="V35" s="4">
        <f t="shared" ca="1" si="9"/>
        <v>8.6254819285058559</v>
      </c>
      <c r="W35" s="20">
        <f t="shared" ca="1" si="10"/>
        <v>1965.2291365216272</v>
      </c>
      <c r="X35" s="4">
        <f t="shared" si="11"/>
        <v>0.58338404379968589</v>
      </c>
      <c r="Y35" s="4">
        <f t="shared" ca="1" si="12"/>
        <v>192.99650528744664</v>
      </c>
      <c r="Z35" s="14">
        <f t="shared" ca="1" si="13"/>
        <v>1997.1461979203866</v>
      </c>
      <c r="AA35" s="14">
        <f t="shared" si="14"/>
        <v>5032.6447574024405</v>
      </c>
      <c r="AB35" s="25">
        <f t="shared" ca="1" si="15"/>
        <v>1221044.5903175725</v>
      </c>
      <c r="AC35" s="4">
        <f t="shared" si="16"/>
        <v>3076932.3059148956</v>
      </c>
      <c r="AD35" s="5">
        <v>100</v>
      </c>
      <c r="AE35" s="4">
        <f t="shared" si="17"/>
        <v>5032.6447574024405</v>
      </c>
      <c r="AF35" s="4">
        <f t="shared" ca="1" si="18"/>
        <v>3035.4985594820537</v>
      </c>
      <c r="AG35" s="4">
        <f t="shared" ca="1" si="19"/>
        <v>1855887.7155973231</v>
      </c>
      <c r="AH35" s="4">
        <f t="shared" si="20"/>
        <v>3258.511153068348</v>
      </c>
      <c r="AI35" s="13">
        <f t="shared" ca="1" si="21"/>
        <v>108.86820525437494</v>
      </c>
      <c r="AJ35" s="10">
        <f t="shared" ca="1" si="22"/>
        <v>10.257091665508179</v>
      </c>
      <c r="AK35" s="11">
        <f t="shared" ca="1" si="43"/>
        <v>6532.0923152624964</v>
      </c>
      <c r="AL35" s="6">
        <v>500</v>
      </c>
      <c r="AM35" s="4">
        <f t="shared" ca="1" si="23"/>
        <v>4.592709127809445</v>
      </c>
      <c r="AN35" s="4">
        <f t="shared" ca="1" si="24"/>
        <v>4.1570538654905222</v>
      </c>
      <c r="AO35" s="4">
        <f t="shared" ca="1" si="25"/>
        <v>0.45474514320533049</v>
      </c>
      <c r="AP35" s="4">
        <f t="shared" si="26"/>
        <v>0.64747489841707062</v>
      </c>
      <c r="AQ35" s="11">
        <f t="shared" si="27"/>
        <v>1.0108041207183758</v>
      </c>
      <c r="AR35" s="11">
        <f t="shared" si="28"/>
        <v>0.80137655372650329</v>
      </c>
      <c r="AS35" s="11">
        <f t="shared" si="29"/>
        <v>0.79281092874548942</v>
      </c>
      <c r="AT35" s="11">
        <f t="shared" si="30"/>
        <v>524.27377329299998</v>
      </c>
      <c r="AU35" s="11">
        <f t="shared" si="31"/>
        <v>1695.8890905271007</v>
      </c>
      <c r="AV35" s="11">
        <f t="shared" si="32"/>
        <v>1.8844322965351538E-3</v>
      </c>
      <c r="AW35" s="11">
        <f t="shared" si="33"/>
        <v>3.7685223889866925E-7</v>
      </c>
      <c r="AX35" s="4">
        <f t="shared" ca="1" si="34"/>
        <v>107.73541021746406</v>
      </c>
      <c r="AY35" s="11">
        <f t="shared" ca="1" si="35"/>
        <v>613.65422225990335</v>
      </c>
      <c r="AZ35" s="11"/>
      <c r="BA35" s="11"/>
    </row>
    <row r="36" spans="1:53">
      <c r="A36" s="4">
        <f t="shared" ca="1" si="36"/>
        <v>52.021846349075837</v>
      </c>
      <c r="B36" s="4">
        <f t="shared" ref="B36:C36" ca="1" si="56">A36/60</f>
        <v>0.86703077248459726</v>
      </c>
      <c r="C36" s="4">
        <f t="shared" ca="1" si="56"/>
        <v>1.4450512874743287E-2</v>
      </c>
      <c r="D36" s="41">
        <f t="shared" ca="1" si="45"/>
        <v>17226.348438746474</v>
      </c>
      <c r="E36" s="4">
        <f t="shared" ca="1" si="38"/>
        <v>5.1823345514144767</v>
      </c>
      <c r="F36" s="4">
        <f t="shared" ca="1" si="39"/>
        <v>5.1823345514144767</v>
      </c>
      <c r="G36" s="4"/>
      <c r="H36" s="5">
        <f t="shared" si="40"/>
        <v>6500</v>
      </c>
      <c r="I36" s="5">
        <v>15</v>
      </c>
      <c r="J36" s="4">
        <f t="shared" si="0"/>
        <v>4.4415535711707525E-2</v>
      </c>
      <c r="K36" s="4">
        <v>610.26265174965272</v>
      </c>
      <c r="L36" s="6">
        <f t="shared" si="41"/>
        <v>26.054999999999993</v>
      </c>
      <c r="M36" s="4">
        <f t="shared" si="1"/>
        <v>361.57085695924127</v>
      </c>
      <c r="N36" s="4">
        <f t="shared" si="2"/>
        <v>345.51279607945139</v>
      </c>
      <c r="O36" s="4">
        <f t="shared" si="3"/>
        <v>3012681.0906071989</v>
      </c>
      <c r="P36" s="4">
        <f t="shared" si="4"/>
        <v>19343529.564999804</v>
      </c>
      <c r="Q36" s="4">
        <f t="shared" si="5"/>
        <v>2.7078635886558771E-3</v>
      </c>
      <c r="R36" s="4">
        <f t="shared" si="6"/>
        <v>2.1531507208744128E-2</v>
      </c>
      <c r="S36" s="24">
        <f t="shared" ca="1" si="42"/>
        <v>10.02512661229564</v>
      </c>
      <c r="T36" s="4">
        <f t="shared" ca="1" si="7"/>
        <v>0.21346126984513131</v>
      </c>
      <c r="U36" s="4">
        <f t="shared" ca="1" si="8"/>
        <v>2.4409288389168039E-2</v>
      </c>
      <c r="V36" s="4">
        <f t="shared" ca="1" si="9"/>
        <v>8.7450836928067801</v>
      </c>
      <c r="W36" s="20">
        <f t="shared" ca="1" si="10"/>
        <v>1939.7559407797617</v>
      </c>
      <c r="X36" s="4">
        <f t="shared" si="11"/>
        <v>0.58388513710595458</v>
      </c>
      <c r="Y36" s="4">
        <f t="shared" ca="1" si="12"/>
        <v>194.56588274061102</v>
      </c>
      <c r="Z36" s="14">
        <f t="shared" ca="1" si="13"/>
        <v>1969.8323130876279</v>
      </c>
      <c r="AA36" s="14">
        <f t="shared" si="14"/>
        <v>4938.5193768940417</v>
      </c>
      <c r="AB36" s="25">
        <f t="shared" ca="1" si="15"/>
        <v>1202115.090887008</v>
      </c>
      <c r="AC36" s="4">
        <f t="shared" si="16"/>
        <v>3013793.9306604005</v>
      </c>
      <c r="AD36" s="5">
        <v>100</v>
      </c>
      <c r="AE36" s="4">
        <f t="shared" si="17"/>
        <v>4938.5193768940417</v>
      </c>
      <c r="AF36" s="4">
        <f t="shared" ca="1" si="18"/>
        <v>2968.6870638064138</v>
      </c>
      <c r="AG36" s="4">
        <f t="shared" ca="1" si="19"/>
        <v>1811678.8397733925</v>
      </c>
      <c r="AH36" s="4">
        <f t="shared" si="20"/>
        <v>3202.0388710604575</v>
      </c>
      <c r="AI36" s="13">
        <f t="shared" ca="1" si="21"/>
        <v>106.23454721122363</v>
      </c>
      <c r="AJ36" s="10">
        <f t="shared" ca="1" si="22"/>
        <v>10.02512661229564</v>
      </c>
      <c r="AK36" s="11">
        <f t="shared" ca="1" si="43"/>
        <v>6374.0728326734179</v>
      </c>
      <c r="AL36" s="6">
        <v>500</v>
      </c>
      <c r="AM36" s="4">
        <f t="shared" ca="1" si="23"/>
        <v>4.7065668666696707</v>
      </c>
      <c r="AN36" s="4">
        <f t="shared" ca="1" si="24"/>
        <v>4.1862805712004185</v>
      </c>
      <c r="AO36" s="4">
        <f t="shared" ca="1" si="25"/>
        <v>0.46549281747326909</v>
      </c>
      <c r="AP36" s="4">
        <f t="shared" si="26"/>
        <v>0.64838033967061193</v>
      </c>
      <c r="AQ36" s="11">
        <f t="shared" si="27"/>
        <v>1.0073664457183757</v>
      </c>
      <c r="AR36" s="11">
        <f t="shared" si="28"/>
        <v>0.78638843581115314</v>
      </c>
      <c r="AS36" s="11">
        <f t="shared" si="29"/>
        <v>0.78063790902858765</v>
      </c>
      <c r="AT36" s="11">
        <f t="shared" si="30"/>
        <v>522.49075440074989</v>
      </c>
      <c r="AU36" s="11">
        <f t="shared" si="31"/>
        <v>1664.1709356322783</v>
      </c>
      <c r="AV36" s="11">
        <f t="shared" si="32"/>
        <v>1.85549824597005E-3</v>
      </c>
      <c r="AW36" s="11">
        <f t="shared" si="33"/>
        <v>3.7585832879320501E-7</v>
      </c>
      <c r="AX36" s="4">
        <f t="shared" ca="1" si="34"/>
        <v>105.16905809814357</v>
      </c>
      <c r="AY36" s="11">
        <f t="shared" ca="1" si="35"/>
        <v>612.59837190737335</v>
      </c>
      <c r="AZ36" s="11"/>
      <c r="BA36" s="11"/>
    </row>
    <row r="37" spans="1:53">
      <c r="A37" s="4">
        <f t="shared" ca="1" si="36"/>
        <v>56.728413215745505</v>
      </c>
      <c r="B37" s="4">
        <f t="shared" ref="B37:C37" ca="1" si="57">A37/60</f>
        <v>0.94547355359575846</v>
      </c>
      <c r="C37" s="4">
        <f t="shared" ca="1" si="57"/>
        <v>1.5757892559929307E-2</v>
      </c>
      <c r="D37" s="41">
        <f t="shared" ca="1" si="45"/>
        <v>17226.348438746474</v>
      </c>
      <c r="E37" s="4">
        <f t="shared" ca="1" si="38"/>
        <v>5.6478273688877456</v>
      </c>
      <c r="F37" s="4">
        <f t="shared" ca="1" si="39"/>
        <v>5.6478273688877456</v>
      </c>
      <c r="G37" s="4"/>
      <c r="H37" s="5">
        <f t="shared" si="40"/>
        <v>7000</v>
      </c>
      <c r="I37" s="5">
        <v>15</v>
      </c>
      <c r="J37" s="4">
        <f t="shared" si="0"/>
        <v>4.6963173427695001E-2</v>
      </c>
      <c r="K37" s="4">
        <v>609.1450014284718</v>
      </c>
      <c r="L37" s="6">
        <f t="shared" si="41"/>
        <v>27.289999999999992</v>
      </c>
      <c r="M37" s="4">
        <f t="shared" si="1"/>
        <v>360.90866702634668</v>
      </c>
      <c r="N37" s="4">
        <f t="shared" si="2"/>
        <v>338.94359369699879</v>
      </c>
      <c r="O37" s="4">
        <f t="shared" si="3"/>
        <v>2968687.0335272928</v>
      </c>
      <c r="P37" s="4">
        <f t="shared" si="4"/>
        <v>19061056.804619469</v>
      </c>
      <c r="Q37" s="4">
        <f t="shared" si="5"/>
        <v>2.7139395878937322E-3</v>
      </c>
      <c r="R37" s="4">
        <f t="shared" si="6"/>
        <v>2.1568601184091235E-2</v>
      </c>
      <c r="S37" s="24">
        <f t="shared" ca="1" si="42"/>
        <v>9.7961621554797631</v>
      </c>
      <c r="T37" s="4">
        <f t="shared" ca="1" si="7"/>
        <v>0.21775043157477114</v>
      </c>
      <c r="U37" s="4">
        <f t="shared" ca="1" si="8"/>
        <v>2.4563193044097875E-2</v>
      </c>
      <c r="V37" s="4">
        <f t="shared" ca="1" si="9"/>
        <v>8.8649073914717675</v>
      </c>
      <c r="W37" s="20">
        <f t="shared" ca="1" si="10"/>
        <v>1914.8734922991209</v>
      </c>
      <c r="X37" s="4">
        <f t="shared" si="11"/>
        <v>0.58438787248014623</v>
      </c>
      <c r="Y37" s="4">
        <f t="shared" ca="1" si="12"/>
        <v>196.15101042886448</v>
      </c>
      <c r="Z37" s="14">
        <f t="shared" ca="1" si="13"/>
        <v>1943.2068128899568</v>
      </c>
      <c r="AA37" s="14">
        <f t="shared" si="14"/>
        <v>4845.8245904765809</v>
      </c>
      <c r="AB37" s="25">
        <f t="shared" ca="1" si="15"/>
        <v>1183694.7168136688</v>
      </c>
      <c r="AC37" s="4">
        <f t="shared" si="16"/>
        <v>2951809.8270879807</v>
      </c>
      <c r="AD37" s="5">
        <v>100</v>
      </c>
      <c r="AE37" s="4">
        <f t="shared" si="17"/>
        <v>4845.8245904765809</v>
      </c>
      <c r="AF37" s="4">
        <f t="shared" ca="1" si="18"/>
        <v>2902.617777586624</v>
      </c>
      <c r="AG37" s="4">
        <f t="shared" ca="1" si="19"/>
        <v>1768115.1102743119</v>
      </c>
      <c r="AH37" s="4">
        <f t="shared" si="20"/>
        <v>3146.4270493174877</v>
      </c>
      <c r="AI37" s="13">
        <f t="shared" ca="1" si="21"/>
        <v>103.64205839876811</v>
      </c>
      <c r="AJ37" s="10">
        <f t="shared" ca="1" si="22"/>
        <v>9.7961621554797631</v>
      </c>
      <c r="AK37" s="11">
        <f t="shared" ca="1" si="43"/>
        <v>6218.523503926087</v>
      </c>
      <c r="AL37" s="6">
        <v>500</v>
      </c>
      <c r="AM37" s="4">
        <f t="shared" ca="1" si="23"/>
        <v>4.8242963110229296</v>
      </c>
      <c r="AN37" s="4">
        <f t="shared" ca="1" si="24"/>
        <v>4.2164712241458657</v>
      </c>
      <c r="AO37" s="4">
        <f t="shared" ca="1" si="25"/>
        <v>0.47659540198627343</v>
      </c>
      <c r="AP37" s="4">
        <f t="shared" si="26"/>
        <v>0.64930683943886636</v>
      </c>
      <c r="AQ37" s="11">
        <f t="shared" si="27"/>
        <v>1.0039287707183759</v>
      </c>
      <c r="AR37" s="11">
        <f t="shared" si="28"/>
        <v>0.77162811950264032</v>
      </c>
      <c r="AS37" s="11">
        <f t="shared" si="29"/>
        <v>0.76860843319640149</v>
      </c>
      <c r="AT37" s="11">
        <f t="shared" si="30"/>
        <v>520.70773550850004</v>
      </c>
      <c r="AU37" s="11">
        <f t="shared" si="31"/>
        <v>1632.9348590538773</v>
      </c>
      <c r="AV37" s="11">
        <f t="shared" si="32"/>
        <v>1.8269053848645267E-3</v>
      </c>
      <c r="AW37" s="11">
        <f t="shared" si="33"/>
        <v>3.7486278300974495E-7</v>
      </c>
      <c r="AX37" s="4">
        <f t="shared" ca="1" si="34"/>
        <v>102.64015711521124</v>
      </c>
      <c r="AY37" s="11">
        <f t="shared" ca="1" si="35"/>
        <v>611.55945900051165</v>
      </c>
      <c r="AZ37" s="11"/>
      <c r="BA37" s="11"/>
    </row>
    <row r="38" spans="1:53">
      <c r="A38" s="4">
        <f t="shared" ca="1" si="36"/>
        <v>61.552709526768432</v>
      </c>
      <c r="B38" s="4">
        <f t="shared" ref="B38:C38" ca="1" si="58">A38/60</f>
        <v>1.0258784921128072</v>
      </c>
      <c r="C38" s="4">
        <f t="shared" ca="1" si="58"/>
        <v>1.7097974868546788E-2</v>
      </c>
      <c r="D38" s="41">
        <f t="shared" ca="1" si="45"/>
        <v>17226.348438746474</v>
      </c>
      <c r="E38" s="4">
        <f t="shared" ca="1" si="38"/>
        <v>6.1244227708740189</v>
      </c>
      <c r="F38" s="4">
        <f t="shared" ca="1" si="39"/>
        <v>6.1244227708740189</v>
      </c>
      <c r="G38" s="4"/>
      <c r="H38" s="5">
        <f t="shared" si="40"/>
        <v>7500</v>
      </c>
      <c r="I38" s="5">
        <v>15</v>
      </c>
      <c r="J38" s="4">
        <f t="shared" si="0"/>
        <v>4.9556877988570731E-2</v>
      </c>
      <c r="K38" s="4">
        <v>608.04235991509222</v>
      </c>
      <c r="L38" s="6">
        <f t="shared" si="41"/>
        <v>28.524999999999991</v>
      </c>
      <c r="M38" s="4">
        <f t="shared" si="1"/>
        <v>360.2553695719335</v>
      </c>
      <c r="N38" s="4">
        <f t="shared" si="2"/>
        <v>332.49457142569423</v>
      </c>
      <c r="O38" s="4">
        <f t="shared" si="3"/>
        <v>2925265.0189407468</v>
      </c>
      <c r="P38" s="4">
        <f t="shared" si="4"/>
        <v>18782256.959011707</v>
      </c>
      <c r="Q38" s="4">
        <f t="shared" si="5"/>
        <v>2.7200402456983483E-3</v>
      </c>
      <c r="R38" s="4">
        <f t="shared" si="6"/>
        <v>2.1605845699988416E-2</v>
      </c>
      <c r="S38" s="24">
        <f t="shared" ca="1" si="42"/>
        <v>9.5701445505489229</v>
      </c>
      <c r="T38" s="4">
        <f t="shared" ca="1" si="7"/>
        <v>0.22212335116432902</v>
      </c>
      <c r="U38" s="4">
        <f t="shared" ca="1" si="8"/>
        <v>2.4721921581604259E-2</v>
      </c>
      <c r="V38" s="4">
        <f t="shared" ca="1" si="9"/>
        <v>8.984874028951392</v>
      </c>
      <c r="W38" s="20">
        <f t="shared" ca="1" si="10"/>
        <v>1890.5780858518799</v>
      </c>
      <c r="X38" s="4">
        <f t="shared" si="11"/>
        <v>0.5848922133807376</v>
      </c>
      <c r="Y38" s="4">
        <f t="shared" ca="1" si="12"/>
        <v>197.75218785251138</v>
      </c>
      <c r="Z38" s="14">
        <f t="shared" ca="1" si="13"/>
        <v>1917.2609858790563</v>
      </c>
      <c r="AA38" s="14">
        <f t="shared" si="14"/>
        <v>4754.5437038352875</v>
      </c>
      <c r="AB38" s="25">
        <f t="shared" ca="1" si="15"/>
        <v>1165775.8944270378</v>
      </c>
      <c r="AC38" s="4">
        <f t="shared" si="16"/>
        <v>2890963.9739994514</v>
      </c>
      <c r="AD38" s="5">
        <v>100</v>
      </c>
      <c r="AE38" s="4">
        <f t="shared" si="17"/>
        <v>4754.5437038352875</v>
      </c>
      <c r="AF38" s="4">
        <f t="shared" ca="1" si="18"/>
        <v>2837.282717956231</v>
      </c>
      <c r="AG38" s="4">
        <f t="shared" ca="1" si="19"/>
        <v>1725188.0795724136</v>
      </c>
      <c r="AH38" s="4">
        <f t="shared" si="20"/>
        <v>3091.6666802502336</v>
      </c>
      <c r="AI38" s="13">
        <f t="shared" ca="1" si="21"/>
        <v>101.09004930826973</v>
      </c>
      <c r="AJ38" s="10">
        <f t="shared" ca="1" si="22"/>
        <v>9.5701445505489229</v>
      </c>
      <c r="AK38" s="11">
        <f t="shared" ca="1" si="43"/>
        <v>6065.4029584961836</v>
      </c>
      <c r="AL38" s="6">
        <v>500</v>
      </c>
      <c r="AM38" s="4">
        <f t="shared" ca="1" si="23"/>
        <v>4.9460852321406197</v>
      </c>
      <c r="AN38" s="4">
        <f t="shared" ca="1" si="24"/>
        <v>4.2476796971908044</v>
      </c>
      <c r="AO38" s="4">
        <f t="shared" ca="1" si="25"/>
        <v>0.48807093119122491</v>
      </c>
      <c r="AP38" s="4">
        <f t="shared" si="26"/>
        <v>0.65025518174463681</v>
      </c>
      <c r="AQ38" s="11">
        <f t="shared" si="27"/>
        <v>1.0004910957183759</v>
      </c>
      <c r="AR38" s="11">
        <f t="shared" si="28"/>
        <v>0.75709294647058711</v>
      </c>
      <c r="AS38" s="11">
        <f t="shared" si="29"/>
        <v>0.75672132386843161</v>
      </c>
      <c r="AT38" s="11">
        <f t="shared" si="30"/>
        <v>518.92471661624995</v>
      </c>
      <c r="AU38" s="11">
        <f t="shared" si="31"/>
        <v>1602.1752351799857</v>
      </c>
      <c r="AV38" s="11">
        <f t="shared" si="32"/>
        <v>1.798650914702875E-3</v>
      </c>
      <c r="AW38" s="11">
        <f t="shared" si="33"/>
        <v>3.7386559500013913E-7</v>
      </c>
      <c r="AX38" s="4">
        <f t="shared" ca="1" si="34"/>
        <v>100.14821688455014</v>
      </c>
      <c r="AY38" s="11">
        <f t="shared" ca="1" si="35"/>
        <v>610.53817302821233</v>
      </c>
      <c r="AZ38" s="11"/>
      <c r="BA38" s="11"/>
    </row>
    <row r="39" spans="1:53">
      <c r="A39" s="4">
        <f t="shared" ca="1" si="36"/>
        <v>66.498794758909057</v>
      </c>
      <c r="B39" s="4">
        <f t="shared" ref="B39:C39" ca="1" si="59">A39/60</f>
        <v>1.1083132459818177</v>
      </c>
      <c r="C39" s="4">
        <f t="shared" ca="1" si="59"/>
        <v>1.8471887433030295E-2</v>
      </c>
      <c r="D39" s="41">
        <f t="shared" ca="1" si="45"/>
        <v>17226.348438746474</v>
      </c>
      <c r="E39" s="4">
        <f t="shared" ca="1" si="38"/>
        <v>6.6124937020652439</v>
      </c>
      <c r="F39" s="4">
        <f t="shared" ca="1" si="39"/>
        <v>6.6124937020652439</v>
      </c>
      <c r="G39" s="4"/>
      <c r="H39" s="5">
        <f t="shared" si="40"/>
        <v>8000</v>
      </c>
      <c r="I39" s="5">
        <v>15</v>
      </c>
      <c r="J39" s="4">
        <f t="shared" si="0"/>
        <v>5.2197532683354059E-2</v>
      </c>
      <c r="K39" s="4">
        <v>606.95536470821969</v>
      </c>
      <c r="L39" s="6">
        <f t="shared" si="41"/>
        <v>29.759999999999991</v>
      </c>
      <c r="M39" s="4">
        <f t="shared" si="1"/>
        <v>359.61134230378485</v>
      </c>
      <c r="N39" s="4">
        <f t="shared" si="2"/>
        <v>326.1642527271693</v>
      </c>
      <c r="O39" s="4">
        <f t="shared" si="3"/>
        <v>2882411.1924916864</v>
      </c>
      <c r="P39" s="4">
        <f t="shared" si="4"/>
        <v>18507105.280503415</v>
      </c>
      <c r="Q39" s="4">
        <f t="shared" si="5"/>
        <v>2.7261651418121458E-3</v>
      </c>
      <c r="R39" s="4">
        <f t="shared" si="6"/>
        <v>2.164323819076315E-2</v>
      </c>
      <c r="S39" s="24">
        <f t="shared" ca="1" si="42"/>
        <v>9.3470209233972579</v>
      </c>
      <c r="T39" s="4">
        <f t="shared" ca="1" si="7"/>
        <v>0.22658135861421105</v>
      </c>
      <c r="U39" s="4">
        <f t="shared" ca="1" si="8"/>
        <v>2.4885648293986134E-2</v>
      </c>
      <c r="V39" s="4">
        <f t="shared" ca="1" si="9"/>
        <v>9.1049007820691052</v>
      </c>
      <c r="W39" s="20">
        <f t="shared" ca="1" si="10"/>
        <v>1866.8660422710029</v>
      </c>
      <c r="X39" s="4">
        <f t="shared" si="11"/>
        <v>0.585398120960409</v>
      </c>
      <c r="Y39" s="4">
        <f t="shared" ca="1" si="12"/>
        <v>199.36971832926784</v>
      </c>
      <c r="Z39" s="14">
        <f t="shared" ca="1" si="13"/>
        <v>1891.9863984318733</v>
      </c>
      <c r="AA39" s="14">
        <f t="shared" si="14"/>
        <v>4664.6601581255309</v>
      </c>
      <c r="AB39" s="25">
        <f t="shared" ca="1" si="15"/>
        <v>1148351.2944832088</v>
      </c>
      <c r="AC39" s="4">
        <f t="shared" si="16"/>
        <v>2831240.5075149834</v>
      </c>
      <c r="AD39" s="5">
        <v>100</v>
      </c>
      <c r="AE39" s="4">
        <f t="shared" si="17"/>
        <v>4664.6601581255309</v>
      </c>
      <c r="AF39" s="4">
        <f t="shared" ca="1" si="18"/>
        <v>2772.6737596936573</v>
      </c>
      <c r="AG39" s="4">
        <f t="shared" ca="1" si="19"/>
        <v>1682889.2130317746</v>
      </c>
      <c r="AH39" s="4">
        <f t="shared" si="20"/>
        <v>3037.7487593916326</v>
      </c>
      <c r="AI39" s="13">
        <f t="shared" ca="1" si="21"/>
        <v>98.577835808049301</v>
      </c>
      <c r="AJ39" s="10">
        <f t="shared" ca="1" si="22"/>
        <v>9.3470209233972579</v>
      </c>
      <c r="AK39" s="11">
        <f t="shared" ca="1" si="43"/>
        <v>5914.6701484829582</v>
      </c>
      <c r="AL39" s="6">
        <v>500</v>
      </c>
      <c r="AM39" s="4">
        <f t="shared" ca="1" si="23"/>
        <v>5.072134074576355</v>
      </c>
      <c r="AN39" s="4">
        <f t="shared" ca="1" si="24"/>
        <v>4.2799636090312081</v>
      </c>
      <c r="AO39" s="4">
        <f t="shared" ca="1" si="25"/>
        <v>0.49993869417030701</v>
      </c>
      <c r="AP39" s="4">
        <f t="shared" si="26"/>
        <v>0.65122616791280585</v>
      </c>
      <c r="AQ39" s="11">
        <f t="shared" si="27"/>
        <v>0.99705342071837588</v>
      </c>
      <c r="AR39" s="11">
        <f t="shared" si="28"/>
        <v>0.7427802799562947</v>
      </c>
      <c r="AS39" s="11">
        <f t="shared" si="29"/>
        <v>0.74497540906195614</v>
      </c>
      <c r="AT39" s="11">
        <f t="shared" si="30"/>
        <v>517.14169772399998</v>
      </c>
      <c r="AU39" s="11">
        <f t="shared" si="31"/>
        <v>1571.8864840491099</v>
      </c>
      <c r="AV39" s="11">
        <f t="shared" si="32"/>
        <v>1.7707320497993635E-3</v>
      </c>
      <c r="AW39" s="11">
        <f t="shared" si="33"/>
        <v>3.7286675818013285E-7</v>
      </c>
      <c r="AX39" s="4">
        <f t="shared" ca="1" si="34"/>
        <v>97.69274196535612</v>
      </c>
      <c r="AY39" s="11">
        <f t="shared" ca="1" si="35"/>
        <v>609.5352259443946</v>
      </c>
      <c r="AZ39" s="11"/>
      <c r="BA39" s="11"/>
    </row>
    <row r="40" spans="1:53">
      <c r="A40" s="4">
        <f t="shared" ca="1" si="36"/>
        <v>71.570928833485411</v>
      </c>
      <c r="B40" s="4">
        <f t="shared" ref="B40:C40" ca="1" si="60">A40/60</f>
        <v>1.1928488138914235</v>
      </c>
      <c r="C40" s="4">
        <f t="shared" ca="1" si="60"/>
        <v>1.9880813564857058E-2</v>
      </c>
      <c r="D40" s="41">
        <f t="shared" ca="1" si="45"/>
        <v>17226.348438746474</v>
      </c>
      <c r="E40" s="4">
        <f t="shared" ca="1" si="38"/>
        <v>7.1124323962355511</v>
      </c>
      <c r="F40" s="4">
        <f t="shared" ca="1" si="39"/>
        <v>7.1124323962355511</v>
      </c>
      <c r="G40" s="4"/>
      <c r="H40" s="5">
        <f t="shared" si="40"/>
        <v>8500</v>
      </c>
      <c r="I40" s="5">
        <v>15</v>
      </c>
      <c r="J40" s="4">
        <f t="shared" si="0"/>
        <v>5.4886039226444951E-2</v>
      </c>
      <c r="K40" s="4">
        <v>605.884675318326</v>
      </c>
      <c r="L40" s="6">
        <f t="shared" si="41"/>
        <v>30.99499999999999</v>
      </c>
      <c r="M40" s="4">
        <f t="shared" si="1"/>
        <v>358.97697597130309</v>
      </c>
      <c r="N40" s="4">
        <f t="shared" si="2"/>
        <v>319.95117417149766</v>
      </c>
      <c r="O40" s="4">
        <f t="shared" si="3"/>
        <v>2840121.719771842</v>
      </c>
      <c r="P40" s="4">
        <f t="shared" si="4"/>
        <v>18235577.149499115</v>
      </c>
      <c r="Q40" s="4">
        <f t="shared" si="5"/>
        <v>2.7323138255721247E-3</v>
      </c>
      <c r="R40" s="4">
        <f t="shared" si="6"/>
        <v>2.168077590511782E-2</v>
      </c>
      <c r="S40" s="24">
        <f t="shared" ca="1" si="42"/>
        <v>9.1267392589598817</v>
      </c>
      <c r="T40" s="4">
        <f t="shared" ca="1" si="7"/>
        <v>0.23112576738409735</v>
      </c>
      <c r="U40" s="4">
        <f t="shared" ca="1" si="8"/>
        <v>2.5054552515890186E-2</v>
      </c>
      <c r="V40" s="4">
        <f t="shared" ca="1" si="9"/>
        <v>9.2249010329564634</v>
      </c>
      <c r="W40" s="20">
        <f t="shared" ca="1" si="10"/>
        <v>1843.7337040341185</v>
      </c>
      <c r="X40" s="4">
        <f t="shared" si="11"/>
        <v>0.58590555398505095</v>
      </c>
      <c r="Y40" s="4">
        <f t="shared" ca="1" si="12"/>
        <v>201.00390913547861</v>
      </c>
      <c r="Z40" s="14">
        <f t="shared" ca="1" si="13"/>
        <v>1867.3748777579729</v>
      </c>
      <c r="AA40" s="14">
        <f t="shared" si="14"/>
        <v>4576.1575293585593</v>
      </c>
      <c r="AB40" s="25">
        <f t="shared" ca="1" si="15"/>
        <v>1131413.821507988</v>
      </c>
      <c r="AC40" s="4">
        <f t="shared" si="16"/>
        <v>2772623.7188809235</v>
      </c>
      <c r="AD40" s="5">
        <v>100</v>
      </c>
      <c r="AE40" s="4">
        <f t="shared" si="17"/>
        <v>4576.1575293585593</v>
      </c>
      <c r="AF40" s="4">
        <f t="shared" ca="1" si="18"/>
        <v>2708.7826516005862</v>
      </c>
      <c r="AG40" s="4">
        <f t="shared" ca="1" si="19"/>
        <v>1641209.8973729354</v>
      </c>
      <c r="AH40" s="4">
        <f t="shared" si="20"/>
        <v>2984.6642799362398</v>
      </c>
      <c r="AI40" s="13">
        <f t="shared" ca="1" si="21"/>
        <v>96.104739093459727</v>
      </c>
      <c r="AJ40" s="10">
        <f t="shared" ca="1" si="22"/>
        <v>9.1267392589598817</v>
      </c>
      <c r="AK40" s="11">
        <f t="shared" ca="1" si="43"/>
        <v>5766.2843456075834</v>
      </c>
      <c r="AL40" s="6">
        <v>500</v>
      </c>
      <c r="AM40" s="4">
        <f t="shared" ca="1" si="23"/>
        <v>5.2026570668254051</v>
      </c>
      <c r="AN40" s="4">
        <f t="shared" ca="1" si="24"/>
        <v>4.3133846411421217</v>
      </c>
      <c r="AO40" s="4">
        <f t="shared" ca="1" si="25"/>
        <v>0.51221934592985718</v>
      </c>
      <c r="AP40" s="4">
        <f t="shared" si="26"/>
        <v>0.65222061539358778</v>
      </c>
      <c r="AQ40" s="11">
        <f t="shared" si="27"/>
        <v>0.99361574571837585</v>
      </c>
      <c r="AR40" s="11">
        <f t="shared" si="28"/>
        <v>0.72868750467492982</v>
      </c>
      <c r="AS40" s="11">
        <f t="shared" si="29"/>
        <v>0.73336952218696461</v>
      </c>
      <c r="AT40" s="11">
        <f t="shared" si="30"/>
        <v>515.35867883175001</v>
      </c>
      <c r="AU40" s="11">
        <f t="shared" si="31"/>
        <v>1542.0630711431797</v>
      </c>
      <c r="AV40" s="11">
        <f t="shared" si="32"/>
        <v>1.743146017286196E-3</v>
      </c>
      <c r="AW40" s="11">
        <f t="shared" si="33"/>
        <v>3.7186626592916741E-7</v>
      </c>
      <c r="AX40" s="4">
        <f t="shared" ca="1" si="34"/>
        <v>95.273232351519937</v>
      </c>
      <c r="AY40" s="11">
        <f t="shared" ca="1" si="35"/>
        <v>608.5513525842905</v>
      </c>
      <c r="AZ40" s="11"/>
      <c r="BA40" s="11"/>
    </row>
    <row r="41" spans="1:53">
      <c r="A41" s="4">
        <f t="shared" ca="1" si="36"/>
        <v>76.77358590031082</v>
      </c>
      <c r="B41" s="4">
        <f t="shared" ref="B41:C41" ca="1" si="61">A41/60</f>
        <v>1.2795597650051804</v>
      </c>
      <c r="C41" s="4">
        <f t="shared" ca="1" si="61"/>
        <v>2.1325996083419674E-2</v>
      </c>
      <c r="D41" s="41">
        <f t="shared" ca="1" si="45"/>
        <v>17226.348438746474</v>
      </c>
      <c r="E41" s="4">
        <f t="shared" ca="1" si="38"/>
        <v>7.6246517421654083</v>
      </c>
      <c r="F41" s="4">
        <f t="shared" ca="1" si="39"/>
        <v>7.6246517421654083</v>
      </c>
      <c r="G41" s="4"/>
      <c r="H41" s="5">
        <f t="shared" si="40"/>
        <v>9000</v>
      </c>
      <c r="I41" s="5">
        <v>15</v>
      </c>
      <c r="J41" s="4">
        <f t="shared" si="0"/>
        <v>5.7623318145719443E-2</v>
      </c>
      <c r="K41" s="4">
        <v>604.83097376471403</v>
      </c>
      <c r="L41" s="6">
        <f t="shared" si="41"/>
        <v>32.22999999999999</v>
      </c>
      <c r="M41" s="4">
        <f t="shared" si="1"/>
        <v>358.35267466001284</v>
      </c>
      <c r="N41" s="4">
        <f t="shared" si="2"/>
        <v>313.85388517256115</v>
      </c>
      <c r="O41" s="4">
        <f t="shared" si="3"/>
        <v>2798392.7850551549</v>
      </c>
      <c r="P41" s="4">
        <f t="shared" si="4"/>
        <v>17967648.066356268</v>
      </c>
      <c r="Q41" s="4">
        <f t="shared" si="5"/>
        <v>2.7384858147807352E-3</v>
      </c>
      <c r="R41" s="4">
        <f t="shared" si="6"/>
        <v>2.1718455899236388E-2</v>
      </c>
      <c r="S41" s="24">
        <f t="shared" ca="1" si="42"/>
        <v>8.9092483918169698</v>
      </c>
      <c r="T41" s="4">
        <f t="shared" ca="1" si="7"/>
        <v>0.23575787121670982</v>
      </c>
      <c r="U41" s="4">
        <f t="shared" ca="1" si="8"/>
        <v>2.5228818618503377E-2</v>
      </c>
      <c r="V41" s="4">
        <f t="shared" ca="1" si="9"/>
        <v>9.3447844222004015</v>
      </c>
      <c r="W41" s="20">
        <f t="shared" ca="1" si="10"/>
        <v>1821.1774305981603</v>
      </c>
      <c r="X41" s="4">
        <f t="shared" si="11"/>
        <v>0.58641446875208403</v>
      </c>
      <c r="Y41" s="4">
        <f t="shared" ca="1" si="12"/>
        <v>202.65507164887273</v>
      </c>
      <c r="Z41" s="14">
        <f t="shared" ca="1" si="13"/>
        <v>1843.4184953289925</v>
      </c>
      <c r="AA41" s="14">
        <f t="shared" si="14"/>
        <v>4489.0195277878074</v>
      </c>
      <c r="AB41" s="25">
        <f t="shared" ca="1" si="15"/>
        <v>1114956.6035857184</v>
      </c>
      <c r="AC41" s="4">
        <f t="shared" si="16"/>
        <v>2715098.0522407163</v>
      </c>
      <c r="AD41" s="5">
        <v>100</v>
      </c>
      <c r="AE41" s="4">
        <f t="shared" si="17"/>
        <v>4489.0195277878074</v>
      </c>
      <c r="AF41" s="4">
        <f t="shared" ca="1" si="18"/>
        <v>2645.6010324588151</v>
      </c>
      <c r="AG41" s="4">
        <f t="shared" ca="1" si="19"/>
        <v>1600141.4486549979</v>
      </c>
      <c r="AH41" s="4">
        <f t="shared" si="20"/>
        <v>2932.4042272284969</v>
      </c>
      <c r="AI41" s="13">
        <f t="shared" ca="1" si="21"/>
        <v>93.670085638365777</v>
      </c>
      <c r="AJ41" s="10">
        <f t="shared" ca="1" si="22"/>
        <v>8.9092483918169698</v>
      </c>
      <c r="AK41" s="11">
        <f t="shared" ca="1" si="43"/>
        <v>5620.2051383019461</v>
      </c>
      <c r="AL41" s="6">
        <v>500</v>
      </c>
      <c r="AM41" s="4">
        <f t="shared" ca="1" si="23"/>
        <v>5.3378834511837789</v>
      </c>
      <c r="AN41" s="4">
        <f t="shared" ca="1" si="24"/>
        <v>4.3480088879734309</v>
      </c>
      <c r="AO41" s="4">
        <f t="shared" ca="1" si="25"/>
        <v>0.52493503061361502</v>
      </c>
      <c r="AP41" s="4">
        <f t="shared" si="26"/>
        <v>0.65323935640653985</v>
      </c>
      <c r="AQ41" s="11">
        <f t="shared" si="27"/>
        <v>0.99017807071837594</v>
      </c>
      <c r="AR41" s="11">
        <f t="shared" si="28"/>
        <v>0.71481202671780375</v>
      </c>
      <c r="AS41" s="11">
        <f t="shared" si="29"/>
        <v>0.72190250204107864</v>
      </c>
      <c r="AT41" s="11">
        <f t="shared" si="30"/>
        <v>513.57565993950004</v>
      </c>
      <c r="AU41" s="11">
        <f t="shared" si="31"/>
        <v>1512.6995071807505</v>
      </c>
      <c r="AV41" s="11">
        <f t="shared" si="32"/>
        <v>1.7158900571014398E-3</v>
      </c>
      <c r="AW41" s="11">
        <f t="shared" si="33"/>
        <v>3.7086411159018176E-7</v>
      </c>
      <c r="AX41" s="4">
        <f t="shared" ca="1" si="34"/>
        <v>92.889183934992829</v>
      </c>
      <c r="AY41" s="11">
        <f t="shared" ca="1" si="35"/>
        <v>607.58731106136395</v>
      </c>
      <c r="AZ41" s="11"/>
      <c r="BA41" s="11"/>
    </row>
    <row r="42" spans="1:53">
      <c r="A42" s="4">
        <f t="shared" ca="1" si="36"/>
        <v>82.111469351494605</v>
      </c>
      <c r="B42" s="4">
        <f t="shared" ref="B42:C42" ca="1" si="62">A42/60</f>
        <v>1.3685244891915767</v>
      </c>
      <c r="C42" s="4">
        <f t="shared" ca="1" si="62"/>
        <v>2.2808741486526278E-2</v>
      </c>
      <c r="D42" s="41">
        <f t="shared" ca="1" si="45"/>
        <v>17226.348438746474</v>
      </c>
      <c r="E42" s="4">
        <f t="shared" ca="1" si="38"/>
        <v>8.1495867727790241</v>
      </c>
      <c r="F42" s="4">
        <f t="shared" ca="1" si="39"/>
        <v>8.1495867727790241</v>
      </c>
      <c r="G42" s="4"/>
      <c r="H42" s="5">
        <f t="shared" si="40"/>
        <v>9500</v>
      </c>
      <c r="I42" s="5">
        <v>15</v>
      </c>
      <c r="J42" s="4">
        <f t="shared" si="0"/>
        <v>6.041030917719363E-2</v>
      </c>
      <c r="K42" s="4">
        <v>603.79496506031501</v>
      </c>
      <c r="L42" s="6">
        <f t="shared" si="41"/>
        <v>33.464999999999989</v>
      </c>
      <c r="M42" s="4">
        <f t="shared" si="1"/>
        <v>357.73885607879566</v>
      </c>
      <c r="N42" s="4">
        <f t="shared" si="2"/>
        <v>307.87094771498113</v>
      </c>
      <c r="O42" s="4">
        <f t="shared" si="3"/>
        <v>2757220.5899447505</v>
      </c>
      <c r="P42" s="4">
        <f t="shared" si="4"/>
        <v>17703293.64269786</v>
      </c>
      <c r="Q42" s="4">
        <f t="shared" si="5"/>
        <v>2.7446805945647019E-3</v>
      </c>
      <c r="R42" s="4">
        <f t="shared" si="6"/>
        <v>2.1756275029817505E-2</v>
      </c>
      <c r="S42" s="24">
        <f t="shared" ca="1" si="42"/>
        <v>8.6944979987197915</v>
      </c>
      <c r="T42" s="4">
        <f t="shared" ca="1" si="7"/>
        <v>0.24047894077951956</v>
      </c>
      <c r="U42" s="4">
        <f t="shared" ca="1" si="8"/>
        <v>2.5408635986221433E-2</v>
      </c>
      <c r="V42" s="4">
        <f t="shared" ca="1" si="9"/>
        <v>9.4644569236194425</v>
      </c>
      <c r="W42" s="20">
        <f t="shared" ca="1" si="10"/>
        <v>1799.1935934812823</v>
      </c>
      <c r="X42" s="4">
        <f t="shared" si="11"/>
        <v>0.58692481900827365</v>
      </c>
      <c r="Y42" s="4">
        <f t="shared" ca="1" si="12"/>
        <v>204.32352149304677</v>
      </c>
      <c r="Z42" s="14">
        <f t="shared" ca="1" si="13"/>
        <v>1820.1095506871081</v>
      </c>
      <c r="AA42" s="14">
        <f t="shared" si="14"/>
        <v>4403.2299972957699</v>
      </c>
      <c r="AB42" s="25">
        <f t="shared" ca="1" si="15"/>
        <v>1098972.9825630682</v>
      </c>
      <c r="AC42" s="4">
        <f t="shared" si="16"/>
        <v>2658648.1023697304</v>
      </c>
      <c r="AD42" s="5">
        <v>100</v>
      </c>
      <c r="AE42" s="4">
        <f t="shared" si="17"/>
        <v>4403.2299972957699</v>
      </c>
      <c r="AF42" s="4">
        <f t="shared" ca="1" si="18"/>
        <v>2583.120446608662</v>
      </c>
      <c r="AG42" s="4">
        <f t="shared" ca="1" si="19"/>
        <v>1559675.1198066622</v>
      </c>
      <c r="AH42" s="4">
        <f t="shared" si="20"/>
        <v>2880.9595732171924</v>
      </c>
      <c r="AI42" s="13">
        <f t="shared" ca="1" si="21"/>
        <v>91.273207148210361</v>
      </c>
      <c r="AJ42" s="10">
        <f t="shared" ca="1" si="22"/>
        <v>8.6944979987197915</v>
      </c>
      <c r="AK42" s="11">
        <f t="shared" ca="1" si="43"/>
        <v>5476.3924288926219</v>
      </c>
      <c r="AL42" s="6">
        <v>500</v>
      </c>
      <c r="AM42" s="4">
        <f t="shared" ca="1" si="23"/>
        <v>5.4780588479606607</v>
      </c>
      <c r="AN42" s="4">
        <f t="shared" ca="1" si="24"/>
        <v>4.3839072446331695</v>
      </c>
      <c r="AO42" s="4">
        <f t="shared" ca="1" si="25"/>
        <v>0.53810951815141239</v>
      </c>
      <c r="AP42" s="4">
        <f t="shared" si="26"/>
        <v>0.65428323639385744</v>
      </c>
      <c r="AQ42" s="11">
        <f t="shared" si="27"/>
        <v>0.98674039571837591</v>
      </c>
      <c r="AR42" s="11">
        <f t="shared" si="28"/>
        <v>0.70115127345474038</v>
      </c>
      <c r="AS42" s="11">
        <f t="shared" si="29"/>
        <v>0.71057319280445763</v>
      </c>
      <c r="AT42" s="11">
        <f t="shared" si="30"/>
        <v>511.79264104725002</v>
      </c>
      <c r="AU42" s="11">
        <f t="shared" si="31"/>
        <v>1483.7903479103904</v>
      </c>
      <c r="AV42" s="11">
        <f t="shared" si="32"/>
        <v>1.6889614219769153E-3</v>
      </c>
      <c r="AW42" s="11">
        <f t="shared" si="33"/>
        <v>3.6986028846941337E-7</v>
      </c>
      <c r="AX42" s="4">
        <f t="shared" ca="1" si="34"/>
        <v>90.540088942967913</v>
      </c>
      <c r="AY42" s="11">
        <f t="shared" ca="1" si="35"/>
        <v>606.64388314231655</v>
      </c>
      <c r="AZ42" s="11"/>
      <c r="BA42" s="11"/>
    </row>
    <row r="43" spans="1:53">
      <c r="A43" s="4">
        <f t="shared" ca="1" si="36"/>
        <v>87.589528199455259</v>
      </c>
      <c r="B43" s="4">
        <f t="shared" ref="B43:C43" ca="1" si="63">A43/60</f>
        <v>1.459825469990921</v>
      </c>
      <c r="C43" s="4">
        <f t="shared" ca="1" si="63"/>
        <v>2.4330424499848683E-2</v>
      </c>
      <c r="D43" s="41">
        <f t="shared" ca="1" si="45"/>
        <v>17226.348438746474</v>
      </c>
      <c r="E43" s="4">
        <f t="shared" ca="1" si="38"/>
        <v>8.687696290930436</v>
      </c>
      <c r="F43" s="4">
        <f t="shared" ca="1" si="39"/>
        <v>8.687696290930436</v>
      </c>
      <c r="G43" s="4"/>
      <c r="H43" s="5">
        <f t="shared" si="40"/>
        <v>10000</v>
      </c>
      <c r="I43" s="5">
        <v>15</v>
      </c>
      <c r="J43" s="4">
        <f t="shared" si="0"/>
        <v>6.3247971665747901E-2</v>
      </c>
      <c r="K43" s="4">
        <v>602.77737768180566</v>
      </c>
      <c r="L43" s="6">
        <f t="shared" si="41"/>
        <v>34.699999999999989</v>
      </c>
      <c r="M43" s="4">
        <f t="shared" si="1"/>
        <v>357.13595183842693</v>
      </c>
      <c r="N43" s="4">
        <f t="shared" si="2"/>
        <v>302.00093607267416</v>
      </c>
      <c r="O43" s="4">
        <f t="shared" si="3"/>
        <v>2716601.3519300357</v>
      </c>
      <c r="P43" s="4">
        <f t="shared" si="4"/>
        <v>17442489.592147976</v>
      </c>
      <c r="Q43" s="4">
        <f t="shared" si="5"/>
        <v>2.7508976162244005E-3</v>
      </c>
      <c r="R43" s="4">
        <f t="shared" si="6"/>
        <v>2.1794229947049965E-2</v>
      </c>
      <c r="S43" s="24">
        <f t="shared" ca="1" si="42"/>
        <v>8.4824385929913397</v>
      </c>
      <c r="T43" s="4">
        <f t="shared" ca="1" si="7"/>
        <v>0.24529022012268248</v>
      </c>
      <c r="U43" s="4">
        <f t="shared" ca="1" si="8"/>
        <v>2.559419897412642E-2</v>
      </c>
      <c r="V43" s="4">
        <f t="shared" ca="1" si="9"/>
        <v>9.5838209420287086</v>
      </c>
      <c r="W43" s="20">
        <f t="shared" ca="1" si="10"/>
        <v>1777.7785710897849</v>
      </c>
      <c r="X43" s="4">
        <f t="shared" si="11"/>
        <v>0.58743655586725796</v>
      </c>
      <c r="Y43" s="4">
        <f t="shared" ca="1" si="12"/>
        <v>206.00957868386453</v>
      </c>
      <c r="Z43" s="14">
        <f t="shared" ca="1" si="13"/>
        <v>1797.4405555932674</v>
      </c>
      <c r="AA43" s="14">
        <f t="shared" si="14"/>
        <v>4318.772914781468</v>
      </c>
      <c r="AB43" s="25">
        <f t="shared" ca="1" si="15"/>
        <v>1083456.5046394377</v>
      </c>
      <c r="AC43" s="4">
        <f t="shared" si="16"/>
        <v>2603258.6123751816</v>
      </c>
      <c r="AD43" s="5">
        <v>100</v>
      </c>
      <c r="AE43" s="4">
        <f t="shared" si="17"/>
        <v>4318.772914781468</v>
      </c>
      <c r="AF43" s="4">
        <f t="shared" ca="1" si="18"/>
        <v>2521.3323591882008</v>
      </c>
      <c r="AG43" s="4">
        <f t="shared" ca="1" si="19"/>
        <v>1519802.107735744</v>
      </c>
      <c r="AH43" s="4">
        <f t="shared" si="20"/>
        <v>2830.3212708941528</v>
      </c>
      <c r="AI43" s="13">
        <f t="shared" ca="1" si="21"/>
        <v>88.913440514746071</v>
      </c>
      <c r="AJ43" s="10">
        <f t="shared" ca="1" si="22"/>
        <v>8.4824385929913397</v>
      </c>
      <c r="AK43" s="11">
        <f t="shared" ca="1" si="43"/>
        <v>5334.8064308847643</v>
      </c>
      <c r="AL43" s="6">
        <v>500</v>
      </c>
      <c r="AM43" s="4">
        <f t="shared" ca="1" si="23"/>
        <v>5.6234467714369485</v>
      </c>
      <c r="AN43" s="4">
        <f t="shared" ca="1" si="24"/>
        <v>4.4211558369275128</v>
      </c>
      <c r="AO43" s="4">
        <f t="shared" ca="1" si="25"/>
        <v>0.55176835607726737</v>
      </c>
      <c r="AP43" s="4">
        <f t="shared" si="26"/>
        <v>0.65535311227109716</v>
      </c>
      <c r="AQ43" s="11">
        <f t="shared" si="27"/>
        <v>0.98330272071837588</v>
      </c>
      <c r="AR43" s="11">
        <f t="shared" si="28"/>
        <v>0.68770269343653956</v>
      </c>
      <c r="AS43" s="11">
        <f t="shared" si="29"/>
        <v>0.69938044403469313</v>
      </c>
      <c r="AT43" s="11">
        <f t="shared" si="30"/>
        <v>510.00962215499999</v>
      </c>
      <c r="AU43" s="11">
        <f t="shared" si="31"/>
        <v>1455.3301939042735</v>
      </c>
      <c r="AV43" s="11">
        <f t="shared" si="32"/>
        <v>1.6623573774260621E-3</v>
      </c>
      <c r="AW43" s="11">
        <f t="shared" si="33"/>
        <v>3.6885478983619832E-7</v>
      </c>
      <c r="AX43" s="4">
        <f t="shared" ca="1" si="34"/>
        <v>88.225436350591835</v>
      </c>
      <c r="AY43" s="11">
        <f t="shared" ca="1" si="35"/>
        <v>605.7218745975315</v>
      </c>
      <c r="AZ43" s="11"/>
      <c r="BA43" s="11"/>
    </row>
    <row r="44" spans="1:53">
      <c r="A44" s="4">
        <f t="shared" ca="1" si="36"/>
        <v>93.212974970892205</v>
      </c>
      <c r="B44" s="4">
        <f t="shared" ref="B44:C44" ca="1" si="64">A44/60</f>
        <v>1.5535495828482033</v>
      </c>
      <c r="C44" s="4">
        <f t="shared" ca="1" si="64"/>
        <v>2.5892493047470055E-2</v>
      </c>
      <c r="D44" s="41">
        <f t="shared" ca="1" si="45"/>
        <v>17226.348438746474</v>
      </c>
      <c r="E44" s="4">
        <f t="shared" ca="1" si="38"/>
        <v>9.2394646470077042</v>
      </c>
      <c r="F44" s="4">
        <f t="shared" ca="1" si="39"/>
        <v>9.2394646470077042</v>
      </c>
      <c r="G44" s="4"/>
      <c r="H44" s="5">
        <f t="shared" si="40"/>
        <v>10500</v>
      </c>
      <c r="I44" s="5">
        <v>15</v>
      </c>
      <c r="J44" s="4">
        <f t="shared" si="0"/>
        <v>6.6137284972212163E-2</v>
      </c>
      <c r="K44" s="4">
        <v>601.77896402250917</v>
      </c>
      <c r="L44" s="6">
        <f t="shared" si="41"/>
        <v>35.934999999999988</v>
      </c>
      <c r="M44" s="4">
        <f t="shared" si="1"/>
        <v>356.54440771991233</v>
      </c>
      <c r="N44" s="4">
        <f t="shared" si="2"/>
        <v>296.24243651914219</v>
      </c>
      <c r="O44" s="4">
        <f t="shared" si="3"/>
        <v>2676531.302851968</v>
      </c>
      <c r="P44" s="4">
        <f t="shared" si="4"/>
        <v>17185211.720477737</v>
      </c>
      <c r="Q44" s="4">
        <f t="shared" si="5"/>
        <v>2.7571362960764523E-3</v>
      </c>
      <c r="R44" s="4">
        <f t="shared" si="6"/>
        <v>2.1832317087546738E-2</v>
      </c>
      <c r="S44" s="24">
        <f t="shared" ca="1" si="42"/>
        <v>8.2730215207532467</v>
      </c>
      <c r="T44" s="4">
        <f t="shared" ca="1" si="7"/>
        <v>0.25019292295241607</v>
      </c>
      <c r="U44" s="4">
        <f t="shared" ca="1" si="8"/>
        <v>2.5785706844542771E-2</v>
      </c>
      <c r="V44" s="4">
        <f t="shared" ca="1" si="9"/>
        <v>9.7027754352743809</v>
      </c>
      <c r="W44" s="20">
        <f t="shared" ca="1" si="10"/>
        <v>1756.9287432890046</v>
      </c>
      <c r="X44" s="4">
        <f t="shared" si="11"/>
        <v>0.58794962772700343</v>
      </c>
      <c r="Y44" s="4">
        <f t="shared" ca="1" si="12"/>
        <v>207.71356777796359</v>
      </c>
      <c r="Z44" s="14">
        <f t="shared" ca="1" si="13"/>
        <v>1775.4042184796103</v>
      </c>
      <c r="AA44" s="14">
        <f t="shared" si="14"/>
        <v>4235.6323895484802</v>
      </c>
      <c r="AB44" s="25">
        <f t="shared" ca="1" si="15"/>
        <v>1068400.9113178523</v>
      </c>
      <c r="AC44" s="4">
        <f t="shared" si="16"/>
        <v>2548914.4713626695</v>
      </c>
      <c r="AD44" s="5">
        <v>100</v>
      </c>
      <c r="AE44" s="4">
        <f t="shared" si="17"/>
        <v>4235.6323895484802</v>
      </c>
      <c r="AF44" s="4">
        <f t="shared" ca="1" si="18"/>
        <v>2460.2281710688699</v>
      </c>
      <c r="AG44" s="4">
        <f t="shared" ca="1" si="19"/>
        <v>1480513.5600448172</v>
      </c>
      <c r="AH44" s="4">
        <f t="shared" si="20"/>
        <v>2780.4802487387319</v>
      </c>
      <c r="AI44" s="13">
        <f t="shared" ca="1" si="21"/>
        <v>86.590127772510485</v>
      </c>
      <c r="AJ44" s="10">
        <f t="shared" ca="1" si="22"/>
        <v>8.2730215207532467</v>
      </c>
      <c r="AK44" s="11">
        <f t="shared" ca="1" si="43"/>
        <v>5195.4076663506294</v>
      </c>
      <c r="AL44" s="6">
        <v>500</v>
      </c>
      <c r="AM44" s="4">
        <f t="shared" ca="1" si="23"/>
        <v>5.7743303175807705</v>
      </c>
      <c r="AN44" s="4">
        <f t="shared" ca="1" si="24"/>
        <v>4.4598364993684951</v>
      </c>
      <c r="AO44" s="4">
        <f t="shared" ca="1" si="25"/>
        <v>0.56593903851149918</v>
      </c>
      <c r="AP44" s="4">
        <f t="shared" si="26"/>
        <v>0.656449850463801</v>
      </c>
      <c r="AQ44" s="11">
        <f t="shared" si="27"/>
        <v>0.97986504571837596</v>
      </c>
      <c r="AR44" s="11">
        <f t="shared" si="28"/>
        <v>0.67446375629752875</v>
      </c>
      <c r="AS44" s="11">
        <f t="shared" si="29"/>
        <v>0.68832311066168705</v>
      </c>
      <c r="AT44" s="11">
        <f t="shared" si="30"/>
        <v>508.22660326275002</v>
      </c>
      <c r="AU44" s="11">
        <f t="shared" si="31"/>
        <v>1427.3136903519562</v>
      </c>
      <c r="AV44" s="11">
        <f t="shared" si="32"/>
        <v>1.636075201731764E-3</v>
      </c>
      <c r="AW44" s="11">
        <f t="shared" si="33"/>
        <v>3.6784760892277591E-7</v>
      </c>
      <c r="AX44" s="4">
        <f t="shared" ca="1" si="34"/>
        <v>85.944712270811991</v>
      </c>
      <c r="AY44" s="11">
        <f t="shared" ca="1" si="35"/>
        <v>604.82211552425963</v>
      </c>
      <c r="AZ44" s="11"/>
      <c r="BA44" s="11"/>
    </row>
    <row r="45" spans="1:53">
      <c r="A45" s="4">
        <f t="shared" ca="1" si="36"/>
        <v>98.987305288472982</v>
      </c>
      <c r="B45" s="4">
        <f t="shared" ref="B45:C45" ca="1" si="65">A45/60</f>
        <v>1.6497884214745497</v>
      </c>
      <c r="C45" s="4">
        <f t="shared" ca="1" si="65"/>
        <v>2.7496473691242494E-2</v>
      </c>
      <c r="D45" s="41">
        <f t="shared" ca="1" si="45"/>
        <v>17226.348438746474</v>
      </c>
      <c r="E45" s="4">
        <f t="shared" ca="1" si="38"/>
        <v>9.8054036855192042</v>
      </c>
      <c r="F45" s="4">
        <f t="shared" ca="1" si="39"/>
        <v>9.8054036855192042</v>
      </c>
      <c r="G45" s="4"/>
      <c r="H45" s="5">
        <f t="shared" si="40"/>
        <v>11000</v>
      </c>
      <c r="I45" s="5">
        <v>15</v>
      </c>
      <c r="J45" s="4">
        <f t="shared" si="0"/>
        <v>6.9079248886527098E-2</v>
      </c>
      <c r="K45" s="4">
        <v>600.80050082542368</v>
      </c>
      <c r="L45" s="6">
        <f t="shared" si="41"/>
        <v>37.169999999999987</v>
      </c>
      <c r="M45" s="4">
        <f t="shared" si="1"/>
        <v>355.96468393105033</v>
      </c>
      <c r="N45" s="4">
        <f t="shared" si="2"/>
        <v>290.5940470296735</v>
      </c>
      <c r="O45" s="4">
        <f t="shared" si="3"/>
        <v>2637006.6872750255</v>
      </c>
      <c r="P45" s="4">
        <f t="shared" si="4"/>
        <v>16931435.915152207</v>
      </c>
      <c r="Q45" s="4">
        <f t="shared" si="5"/>
        <v>2.7633960142925793E-3</v>
      </c>
      <c r="R45" s="4">
        <f t="shared" si="6"/>
        <v>2.1870532667256196E-2</v>
      </c>
      <c r="S45" s="24">
        <f t="shared" ca="1" si="42"/>
        <v>8.0661989589286129</v>
      </c>
      <c r="T45" s="4">
        <f t="shared" ca="1" si="7"/>
        <v>0.25518822872006264</v>
      </c>
      <c r="U45" s="4">
        <f t="shared" ca="1" si="8"/>
        <v>2.5983363680885347E-2</v>
      </c>
      <c r="V45" s="4">
        <f t="shared" ca="1" si="9"/>
        <v>9.8212160617138178</v>
      </c>
      <c r="W45" s="20">
        <f t="shared" ca="1" si="10"/>
        <v>1736.6404857186308</v>
      </c>
      <c r="X45" s="4">
        <f t="shared" si="11"/>
        <v>0.58846398018743695</v>
      </c>
      <c r="Y45" s="4">
        <f t="shared" ca="1" si="12"/>
        <v>209.43581802355985</v>
      </c>
      <c r="Z45" s="14">
        <f t="shared" ca="1" si="13"/>
        <v>1753.9934291742329</v>
      </c>
      <c r="AA45" s="14">
        <f t="shared" si="14"/>
        <v>4153.7926626935287</v>
      </c>
      <c r="AB45" s="25">
        <f t="shared" ca="1" si="15"/>
        <v>1053800.1306923814</v>
      </c>
      <c r="AC45" s="4">
        <f t="shared" si="16"/>
        <v>2495600.7120712423</v>
      </c>
      <c r="AD45" s="5">
        <v>100</v>
      </c>
      <c r="AE45" s="4">
        <f t="shared" si="17"/>
        <v>4153.7926626935287</v>
      </c>
      <c r="AF45" s="4">
        <f t="shared" ca="1" si="18"/>
        <v>2399.7992335192957</v>
      </c>
      <c r="AG45" s="4">
        <f t="shared" ca="1" si="19"/>
        <v>1441800.5813788609</v>
      </c>
      <c r="AH45" s="4">
        <f t="shared" si="20"/>
        <v>2731.4274051909829</v>
      </c>
      <c r="AI45" s="13">
        <f t="shared" ca="1" si="21"/>
        <v>84.302616057118215</v>
      </c>
      <c r="AJ45" s="10">
        <f t="shared" ca="1" si="22"/>
        <v>8.0661989589286129</v>
      </c>
      <c r="AK45" s="11">
        <f t="shared" ca="1" si="43"/>
        <v>5058.1569634270927</v>
      </c>
      <c r="AL45" s="6">
        <v>500</v>
      </c>
      <c r="AM45" s="4">
        <f t="shared" ca="1" si="23"/>
        <v>5.9310140466012475</v>
      </c>
      <c r="AN45" s="4">
        <f t="shared" ca="1" si="24"/>
        <v>4.5000373076275881</v>
      </c>
      <c r="AO45" s="4">
        <f t="shared" ca="1" si="25"/>
        <v>0.58065119460717718</v>
      </c>
      <c r="AP45" s="4">
        <f t="shared" si="26"/>
        <v>0.65757432471840993</v>
      </c>
      <c r="AQ45" s="11">
        <f t="shared" si="27"/>
        <v>0.97642737071837593</v>
      </c>
      <c r="AR45" s="11">
        <f t="shared" si="28"/>
        <v>0.6614319526582052</v>
      </c>
      <c r="AS45" s="11">
        <f t="shared" si="29"/>
        <v>0.67740005298251449</v>
      </c>
      <c r="AT45" s="11">
        <f t="shared" si="30"/>
        <v>506.44358437049999</v>
      </c>
      <c r="AU45" s="11">
        <f t="shared" si="31"/>
        <v>1399.735526854347</v>
      </c>
      <c r="AV45" s="11">
        <f t="shared" si="32"/>
        <v>1.6101121859341387E-3</v>
      </c>
      <c r="AW45" s="11">
        <f t="shared" si="33"/>
        <v>3.6683873892408451E-7</v>
      </c>
      <c r="AX45" s="4">
        <f t="shared" ca="1" si="34"/>
        <v>83.697400322861327</v>
      </c>
      <c r="AY45" s="11">
        <f t="shared" ca="1" si="35"/>
        <v>603.94546063977782</v>
      </c>
      <c r="AZ45" s="11"/>
      <c r="BA45" s="11"/>
    </row>
    <row r="46" spans="1:53">
      <c r="A46" s="4">
        <f t="shared" ca="1" si="36"/>
        <v>104.91831933507423</v>
      </c>
      <c r="B46" s="4">
        <f t="shared" ref="B46:C46" ca="1" si="66">A46/60</f>
        <v>1.7486386555845705</v>
      </c>
      <c r="C46" s="4">
        <f t="shared" ca="1" si="66"/>
        <v>2.9143977593076176E-2</v>
      </c>
      <c r="D46" s="41">
        <f t="shared" ca="1" si="45"/>
        <v>17226.348438746474</v>
      </c>
      <c r="E46" s="4">
        <f t="shared" ca="1" si="38"/>
        <v>10.386054880126382</v>
      </c>
      <c r="F46" s="4">
        <f t="shared" ca="1" si="39"/>
        <v>10.386054880126382</v>
      </c>
      <c r="G46" s="4"/>
      <c r="H46" s="5">
        <f t="shared" si="40"/>
        <v>11500</v>
      </c>
      <c r="I46" s="5">
        <v>15</v>
      </c>
      <c r="J46" s="4">
        <f t="shared" si="0"/>
        <v>7.2074884046747362E-2</v>
      </c>
      <c r="K46" s="4">
        <v>599.84278959361961</v>
      </c>
      <c r="L46" s="6">
        <f t="shared" si="41"/>
        <v>38.404999999999987</v>
      </c>
      <c r="M46" s="4">
        <f t="shared" si="1"/>
        <v>355.39725534958615</v>
      </c>
      <c r="N46" s="4">
        <f t="shared" si="2"/>
        <v>285.05437697570409</v>
      </c>
      <c r="O46" s="4">
        <f t="shared" si="3"/>
        <v>2598023.7607646072</v>
      </c>
      <c r="P46" s="4">
        <f t="shared" si="4"/>
        <v>16681138.134270092</v>
      </c>
      <c r="Q46" s="4">
        <f t="shared" si="5"/>
        <v>2.7696761137379297E-3</v>
      </c>
      <c r="R46" s="4">
        <f t="shared" si="6"/>
        <v>2.1908872674370063E-2</v>
      </c>
      <c r="S46" s="24">
        <f t="shared" ca="1" si="42"/>
        <v>7.8619239149682958</v>
      </c>
      <c r="T46" s="4">
        <f t="shared" ca="1" si="7"/>
        <v>0.26027727852823423</v>
      </c>
      <c r="U46" s="4">
        <f t="shared" ca="1" si="8"/>
        <v>2.6187378276965673E-2</v>
      </c>
      <c r="V46" s="4">
        <f t="shared" ca="1" si="9"/>
        <v>9.9390353541871441</v>
      </c>
      <c r="W46" s="20">
        <f t="shared" ca="1" si="10"/>
        <v>1716.9101638545335</v>
      </c>
      <c r="X46" s="4">
        <f t="shared" si="11"/>
        <v>0.58897955596851159</v>
      </c>
      <c r="Y46" s="4">
        <f t="shared" ca="1" si="12"/>
        <v>211.17666351374146</v>
      </c>
      <c r="Z46" s="14">
        <f t="shared" ca="1" si="13"/>
        <v>1733.2012438701418</v>
      </c>
      <c r="AA46" s="14">
        <f t="shared" si="14"/>
        <v>4073.2381064956821</v>
      </c>
      <c r="AB46" s="25">
        <f t="shared" ca="1" si="15"/>
        <v>1039648.2690501972</v>
      </c>
      <c r="AC46" s="4">
        <f t="shared" si="16"/>
        <v>2443302.5084794029</v>
      </c>
      <c r="AD46" s="5">
        <v>100</v>
      </c>
      <c r="AE46" s="4">
        <f t="shared" si="17"/>
        <v>4073.2381064956821</v>
      </c>
      <c r="AF46" s="4">
        <f t="shared" ca="1" si="18"/>
        <v>2340.0368626255404</v>
      </c>
      <c r="AG46" s="4">
        <f t="shared" ca="1" si="19"/>
        <v>1403654.2394292057</v>
      </c>
      <c r="AH46" s="4">
        <f t="shared" si="20"/>
        <v>2683.1536031790442</v>
      </c>
      <c r="AI46" s="13">
        <f t="shared" ca="1" si="21"/>
        <v>82.050257565445676</v>
      </c>
      <c r="AJ46" s="10">
        <f t="shared" ca="1" si="22"/>
        <v>7.8619239149682958</v>
      </c>
      <c r="AK46" s="11">
        <f t="shared" ca="1" si="43"/>
        <v>4923.0154539267405</v>
      </c>
      <c r="AL46" s="6">
        <v>500</v>
      </c>
      <c r="AM46" s="4">
        <f t="shared" ca="1" si="23"/>
        <v>6.0938260870319079</v>
      </c>
      <c r="AN46" s="4">
        <f t="shared" ca="1" si="24"/>
        <v>4.5418531729350331</v>
      </c>
      <c r="AO46" s="4">
        <f t="shared" ca="1" si="25"/>
        <v>0.59593679912065656</v>
      </c>
      <c r="AP46" s="4">
        <f t="shared" si="26"/>
        <v>0.65872741367615129</v>
      </c>
      <c r="AQ46" s="11">
        <f t="shared" si="27"/>
        <v>0.9729896957183759</v>
      </c>
      <c r="AR46" s="11">
        <f t="shared" si="28"/>
        <v>0.64860479402797488</v>
      </c>
      <c r="AS46" s="11">
        <f t="shared" si="29"/>
        <v>0.66661013665627589</v>
      </c>
      <c r="AT46" s="11">
        <f t="shared" si="30"/>
        <v>504.66056547824996</v>
      </c>
      <c r="AU46" s="11">
        <f t="shared" si="31"/>
        <v>1372.5904372178809</v>
      </c>
      <c r="AV46" s="11">
        <f t="shared" si="32"/>
        <v>1.5844656338183021E-3</v>
      </c>
      <c r="AW46" s="11">
        <f t="shared" si="33"/>
        <v>3.6582817299757026E-7</v>
      </c>
      <c r="AX46" s="4">
        <f t="shared" ca="1" si="34"/>
        <v>81.482981980790967</v>
      </c>
      <c r="AY46" s="11">
        <f t="shared" ca="1" si="35"/>
        <v>603.09278954173124</v>
      </c>
      <c r="AZ46" s="11"/>
      <c r="BA46" s="11"/>
    </row>
    <row r="47" spans="1:53">
      <c r="A47" s="4">
        <f t="shared" ca="1" si="36"/>
        <v>111.01214542210614</v>
      </c>
      <c r="B47" s="4">
        <f t="shared" ref="B47:C47" ca="1" si="67">A47/60</f>
        <v>1.8502024237017691</v>
      </c>
      <c r="C47" s="4">
        <f t="shared" ca="1" si="67"/>
        <v>3.0836707061696153E-2</v>
      </c>
      <c r="D47" s="41">
        <f t="shared" ca="1" si="45"/>
        <v>17226.348438746474</v>
      </c>
      <c r="E47" s="4">
        <f t="shared" ca="1" si="38"/>
        <v>10.981991679247038</v>
      </c>
      <c r="F47" s="4">
        <f t="shared" ca="1" si="39"/>
        <v>10.981991679247038</v>
      </c>
      <c r="G47" s="4"/>
      <c r="H47" s="5">
        <f t="shared" si="40"/>
        <v>12000</v>
      </c>
      <c r="I47" s="5">
        <v>15</v>
      </c>
      <c r="J47" s="4">
        <f t="shared" si="0"/>
        <v>7.5125232364026961E-2</v>
      </c>
      <c r="K47" s="4">
        <v>598.90665697514805</v>
      </c>
      <c r="L47" s="6">
        <f t="shared" si="41"/>
        <v>39.639999999999986</v>
      </c>
      <c r="M47" s="4">
        <f t="shared" si="1"/>
        <v>354.84261175126363</v>
      </c>
      <c r="N47" s="4">
        <f t="shared" si="2"/>
        <v>279.62204681165792</v>
      </c>
      <c r="O47" s="4">
        <f t="shared" si="3"/>
        <v>2559578.7880693637</v>
      </c>
      <c r="P47" s="4">
        <f t="shared" si="4"/>
        <v>16434294.394893026</v>
      </c>
      <c r="Q47" s="4">
        <f t="shared" si="5"/>
        <v>2.7759758988123232E-3</v>
      </c>
      <c r="R47" s="4">
        <f t="shared" si="6"/>
        <v>2.1947332862249234E-2</v>
      </c>
      <c r="S47" s="24">
        <f t="shared" ca="1" si="42"/>
        <v>7.6601502282443139</v>
      </c>
      <c r="T47" s="4">
        <f t="shared" ca="1" si="7"/>
        <v>0.26546117085671084</v>
      </c>
      <c r="U47" s="4">
        <f t="shared" ca="1" si="8"/>
        <v>2.6397963999885626E-2</v>
      </c>
      <c r="V47" s="4">
        <f t="shared" ca="1" si="9"/>
        <v>10.056122921368519</v>
      </c>
      <c r="W47" s="20">
        <f t="shared" ca="1" si="10"/>
        <v>1697.7341268209502</v>
      </c>
      <c r="X47" s="4">
        <f t="shared" si="11"/>
        <v>0.58949629482898147</v>
      </c>
      <c r="Y47" s="4">
        <f t="shared" ca="1" si="12"/>
        <v>212.93644334244749</v>
      </c>
      <c r="Z47" s="14">
        <f t="shared" ca="1" si="13"/>
        <v>1713.0208703139213</v>
      </c>
      <c r="AA47" s="14">
        <f t="shared" si="14"/>
        <v>3993.9532238061101</v>
      </c>
      <c r="AB47" s="25">
        <f t="shared" ca="1" si="15"/>
        <v>1025939.6027683693</v>
      </c>
      <c r="AC47" s="4">
        <f t="shared" si="16"/>
        <v>2392005.1733848327</v>
      </c>
      <c r="AD47" s="5">
        <v>100</v>
      </c>
      <c r="AE47" s="4">
        <f t="shared" si="17"/>
        <v>3993.9532238061101</v>
      </c>
      <c r="AF47" s="4">
        <f t="shared" ca="1" si="18"/>
        <v>2280.9323534921887</v>
      </c>
      <c r="AG47" s="4">
        <f t="shared" ca="1" si="19"/>
        <v>1366065.5706164634</v>
      </c>
      <c r="AH47" s="4">
        <f t="shared" si="20"/>
        <v>2635.6496647293629</v>
      </c>
      <c r="AI47" s="13">
        <f t="shared" ca="1" si="21"/>
        <v>79.832409517774011</v>
      </c>
      <c r="AJ47" s="10">
        <f t="shared" ca="1" si="22"/>
        <v>7.6601502282443139</v>
      </c>
      <c r="AK47" s="11">
        <f t="shared" ca="1" si="43"/>
        <v>4789.9445710664404</v>
      </c>
      <c r="AL47" s="6">
        <v>500</v>
      </c>
      <c r="AM47" s="4">
        <f t="shared" ca="1" si="23"/>
        <v>6.2631204922942887</v>
      </c>
      <c r="AN47" s="4">
        <f t="shared" ca="1" si="24"/>
        <v>4.5853865071319566</v>
      </c>
      <c r="AO47" s="4">
        <f t="shared" ca="1" si="25"/>
        <v>0.6118304081900402</v>
      </c>
      <c r="AP47" s="4">
        <f t="shared" si="26"/>
        <v>0.65990999819914586</v>
      </c>
      <c r="AQ47" s="11">
        <f t="shared" si="27"/>
        <v>0.96955202071837587</v>
      </c>
      <c r="AR47" s="11">
        <f t="shared" si="28"/>
        <v>0.63597981270797932</v>
      </c>
      <c r="AS47" s="11">
        <f t="shared" si="29"/>
        <v>0.65595223269893144</v>
      </c>
      <c r="AT47" s="11">
        <f t="shared" si="30"/>
        <v>502.87754658599999</v>
      </c>
      <c r="AU47" s="11">
        <f t="shared" si="31"/>
        <v>1345.8731992488799</v>
      </c>
      <c r="AV47" s="11">
        <f t="shared" si="32"/>
        <v>1.55913286190209E-3</v>
      </c>
      <c r="AW47" s="11">
        <f t="shared" si="33"/>
        <v>3.6481590426298337E-7</v>
      </c>
      <c r="AX47" s="4">
        <f t="shared" ca="1" si="34"/>
        <v>79.300936903367855</v>
      </c>
      <c r="AY47" s="11">
        <f t="shared" ca="1" si="35"/>
        <v>602.26500693284424</v>
      </c>
      <c r="AZ47" s="11"/>
      <c r="BA47" s="11"/>
    </row>
    <row r="48" spans="1:53">
      <c r="A48" s="4">
        <f t="shared" ca="1" si="36"/>
        <v>117.27526591440044</v>
      </c>
      <c r="B48" s="4">
        <f t="shared" ref="B48:C48" ca="1" si="68">A48/60</f>
        <v>1.9545877652400072</v>
      </c>
      <c r="C48" s="4">
        <f t="shared" ca="1" si="68"/>
        <v>3.257646275400012E-2</v>
      </c>
      <c r="D48" s="41">
        <f t="shared" ca="1" si="45"/>
        <v>17226.348438746474</v>
      </c>
      <c r="E48" s="4">
        <f t="shared" ca="1" si="38"/>
        <v>11.593822087437077</v>
      </c>
      <c r="F48" s="4">
        <f t="shared" ca="1" si="39"/>
        <v>11.593822087437077</v>
      </c>
      <c r="G48" s="4"/>
      <c r="H48" s="5">
        <f t="shared" si="40"/>
        <v>12500</v>
      </c>
      <c r="I48" s="5">
        <v>15</v>
      </c>
      <c r="J48" s="4">
        <f t="shared" si="0"/>
        <v>7.8231357453050751E-2</v>
      </c>
      <c r="K48" s="4">
        <v>597.9929551195188</v>
      </c>
      <c r="L48" s="6">
        <f t="shared" si="41"/>
        <v>40.874999999999986</v>
      </c>
      <c r="M48" s="4">
        <f t="shared" si="1"/>
        <v>354.30125802103299</v>
      </c>
      <c r="N48" s="4">
        <f t="shared" si="2"/>
        <v>274.2956877546676</v>
      </c>
      <c r="O48" s="4">
        <f t="shared" si="3"/>
        <v>2521668.0412081825</v>
      </c>
      <c r="P48" s="4">
        <f t="shared" si="4"/>
        <v>16190880.760762678</v>
      </c>
      <c r="Q48" s="4">
        <f t="shared" si="5"/>
        <v>2.7822946342981425E-3</v>
      </c>
      <c r="R48" s="4">
        <f t="shared" si="6"/>
        <v>2.1985908742390162E-2</v>
      </c>
      <c r="S48" s="24">
        <f t="shared" ca="1" si="42"/>
        <v>7.4608325730505376</v>
      </c>
      <c r="T48" s="4">
        <f t="shared" ca="1" si="7"/>
        <v>0.27074095711215834</v>
      </c>
      <c r="U48" s="4">
        <f t="shared" ca="1" si="8"/>
        <v>2.6615338624623987E-2</v>
      </c>
      <c r="V48" s="4">
        <f t="shared" ca="1" si="9"/>
        <v>10.172365677199167</v>
      </c>
      <c r="W48" s="20">
        <f t="shared" ca="1" si="10"/>
        <v>1679.1087009588591</v>
      </c>
      <c r="X48" s="4">
        <f t="shared" si="11"/>
        <v>0.59001413348617859</v>
      </c>
      <c r="Y48" s="4">
        <f t="shared" ca="1" si="12"/>
        <v>214.71550176332767</v>
      </c>
      <c r="Z48" s="14">
        <f t="shared" ca="1" si="13"/>
        <v>1693.4456531933811</v>
      </c>
      <c r="AA48" s="14">
        <f t="shared" si="14"/>
        <v>3915.922647438425</v>
      </c>
      <c r="AB48" s="25">
        <f t="shared" ca="1" si="15"/>
        <v>1012668.5704874137</v>
      </c>
      <c r="AC48" s="4">
        <f t="shared" si="16"/>
        <v>2341694.1559611531</v>
      </c>
      <c r="AD48" s="5">
        <v>100</v>
      </c>
      <c r="AE48" s="4">
        <f t="shared" si="17"/>
        <v>3915.922647438425</v>
      </c>
      <c r="AF48" s="4">
        <f t="shared" ca="1" si="18"/>
        <v>2222.4769942450439</v>
      </c>
      <c r="AG48" s="4">
        <f t="shared" ca="1" si="19"/>
        <v>1329025.5854737395</v>
      </c>
      <c r="AH48" s="4">
        <f t="shared" si="20"/>
        <v>2588.9063656901767</v>
      </c>
      <c r="AI48" s="13">
        <f t="shared" ca="1" si="21"/>
        <v>77.6484341219562</v>
      </c>
      <c r="AJ48" s="10">
        <f t="shared" ca="1" si="22"/>
        <v>7.4608325730505376</v>
      </c>
      <c r="AK48" s="11">
        <f t="shared" ca="1" si="43"/>
        <v>4658.9060473173722</v>
      </c>
      <c r="AL48" s="6">
        <v>500</v>
      </c>
      <c r="AM48" s="4">
        <f t="shared" ca="1" si="23"/>
        <v>6.439279885730727</v>
      </c>
      <c r="AN48" s="4">
        <f t="shared" ca="1" si="24"/>
        <v>4.6307479685080537</v>
      </c>
      <c r="AO48" s="4">
        <f t="shared" ca="1" si="25"/>
        <v>0.62836942390709194</v>
      </c>
      <c r="AP48" s="4">
        <f t="shared" si="26"/>
        <v>0.66112295843833713</v>
      </c>
      <c r="AQ48" s="11">
        <f t="shared" si="27"/>
        <v>0.96611434571837584</v>
      </c>
      <c r="AR48" s="11">
        <f t="shared" si="28"/>
        <v>0.62355456169401668</v>
      </c>
      <c r="AS48" s="11">
        <f t="shared" si="29"/>
        <v>0.64542521747812243</v>
      </c>
      <c r="AT48" s="11">
        <f t="shared" si="30"/>
        <v>501.09452769374997</v>
      </c>
      <c r="AU48" s="11">
        <f t="shared" si="31"/>
        <v>1319.5786345481119</v>
      </c>
      <c r="AV48" s="11">
        <f t="shared" si="32"/>
        <v>1.5341111994237491E-3</v>
      </c>
      <c r="AW48" s="11">
        <f t="shared" si="33"/>
        <v>3.6380192580218367E-7</v>
      </c>
      <c r="AX48" s="4">
        <f t="shared" ca="1" si="34"/>
        <v>77.150743246573384</v>
      </c>
      <c r="AY48" s="11">
        <f t="shared" ca="1" si="35"/>
        <v>601.46304280720153</v>
      </c>
      <c r="AZ48" s="11"/>
      <c r="BA48" s="11"/>
    </row>
    <row r="49" spans="1:53">
      <c r="A49" s="4">
        <f t="shared" ca="1" si="36"/>
        <v>123.71454580013116</v>
      </c>
      <c r="B49" s="4">
        <f t="shared" ref="B49:C49" ca="1" si="69">A49/60</f>
        <v>2.0619090966688529</v>
      </c>
      <c r="C49" s="4">
        <f t="shared" ca="1" si="69"/>
        <v>3.4365151611147546E-2</v>
      </c>
      <c r="D49" s="41">
        <f t="shared" ca="1" si="45"/>
        <v>17226.348438746474</v>
      </c>
      <c r="E49" s="4">
        <f t="shared" ca="1" si="38"/>
        <v>12.222191511344169</v>
      </c>
      <c r="F49" s="4">
        <f t="shared" ca="1" si="39"/>
        <v>12.222191511344169</v>
      </c>
      <c r="G49" s="4"/>
      <c r="H49" s="5">
        <f t="shared" si="40"/>
        <v>13000</v>
      </c>
      <c r="I49" s="5">
        <v>15</v>
      </c>
      <c r="J49" s="4">
        <f t="shared" si="0"/>
        <v>8.1394345068107235E-2</v>
      </c>
      <c r="K49" s="4">
        <v>597.10256200275467</v>
      </c>
      <c r="L49" s="6">
        <f t="shared" si="41"/>
        <v>42.109999999999985</v>
      </c>
      <c r="M49" s="4">
        <f t="shared" si="1"/>
        <v>353.77371434564009</v>
      </c>
      <c r="N49" s="4">
        <f t="shared" si="2"/>
        <v>269.07394145767307</v>
      </c>
      <c r="O49" s="4">
        <f t="shared" si="3"/>
        <v>2484287.7974624247</v>
      </c>
      <c r="P49" s="4">
        <f t="shared" si="4"/>
        <v>15950873.329409486</v>
      </c>
      <c r="Q49" s="4">
        <f t="shared" si="5"/>
        <v>2.788631544218731E-3</v>
      </c>
      <c r="R49" s="4">
        <f t="shared" si="6"/>
        <v>2.2024595577455352E-2</v>
      </c>
      <c r="S49" s="24">
        <f t="shared" ca="1" si="42"/>
        <v>7.2639264631457499</v>
      </c>
      <c r="T49" s="4">
        <f t="shared" ca="1" si="7"/>
        <v>0.27611763700723818</v>
      </c>
      <c r="U49" s="4">
        <f t="shared" ca="1" si="8"/>
        <v>2.6839724138410376E-2</v>
      </c>
      <c r="V49" s="4">
        <f t="shared" ca="1" si="9"/>
        <v>10.287648098889576</v>
      </c>
      <c r="W49" s="20">
        <f t="shared" ca="1" si="10"/>
        <v>1661.0301831585075</v>
      </c>
      <c r="X49" s="4">
        <f t="shared" si="11"/>
        <v>0.59053300553709664</v>
      </c>
      <c r="Y49" s="4">
        <f t="shared" ca="1" si="12"/>
        <v>216.51418835168207</v>
      </c>
      <c r="Z49" s="14">
        <f t="shared" ca="1" si="13"/>
        <v>1674.4690597072274</v>
      </c>
      <c r="AA49" s="14">
        <f t="shared" si="14"/>
        <v>3839.1311395596122</v>
      </c>
      <c r="AB49" s="25">
        <f t="shared" ca="1" si="15"/>
        <v>999829.76554552908</v>
      </c>
      <c r="AC49" s="4">
        <f t="shared" si="16"/>
        <v>2292355.0392955993</v>
      </c>
      <c r="AD49" s="5">
        <v>100</v>
      </c>
      <c r="AE49" s="4">
        <f t="shared" si="17"/>
        <v>3839.1311395596122</v>
      </c>
      <c r="AF49" s="4">
        <f t="shared" ca="1" si="18"/>
        <v>2164.6620798523845</v>
      </c>
      <c r="AG49" s="4">
        <f t="shared" ca="1" si="19"/>
        <v>1292525.2737500702</v>
      </c>
      <c r="AH49" s="4">
        <f t="shared" si="20"/>
        <v>2542.9144306027001</v>
      </c>
      <c r="AI49" s="13">
        <f t="shared" ca="1" si="21"/>
        <v>75.497698539667311</v>
      </c>
      <c r="AJ49" s="10">
        <f t="shared" ca="1" si="22"/>
        <v>7.2639264631457499</v>
      </c>
      <c r="AK49" s="11">
        <f t="shared" ca="1" si="43"/>
        <v>4529.861912380039</v>
      </c>
      <c r="AL49" s="6">
        <v>500</v>
      </c>
      <c r="AM49" s="4">
        <f t="shared" ca="1" si="23"/>
        <v>6.622718436076493</v>
      </c>
      <c r="AN49" s="4">
        <f t="shared" ca="1" si="24"/>
        <v>4.6780573002548502</v>
      </c>
      <c r="AO49" s="4">
        <f t="shared" ca="1" si="25"/>
        <v>0.64559439186374645</v>
      </c>
      <c r="AP49" s="4">
        <f t="shared" si="26"/>
        <v>0.66236717063392592</v>
      </c>
      <c r="AQ49" s="11">
        <f t="shared" si="27"/>
        <v>0.96267667071837593</v>
      </c>
      <c r="AR49" s="11">
        <f t="shared" si="28"/>
        <v>0.61132661457955606</v>
      </c>
      <c r="AS49" s="11">
        <f t="shared" si="29"/>
        <v>0.63502797270797806</v>
      </c>
      <c r="AT49" s="11">
        <f t="shared" si="30"/>
        <v>499.3115088015</v>
      </c>
      <c r="AU49" s="11">
        <f t="shared" si="31"/>
        <v>1293.701608305548</v>
      </c>
      <c r="AV49" s="11">
        <f t="shared" si="32"/>
        <v>1.5093979883295931E-3</v>
      </c>
      <c r="AW49" s="11">
        <f t="shared" si="33"/>
        <v>3.6278623065894438E-7</v>
      </c>
      <c r="AX49" s="4">
        <f t="shared" ca="1" si="34"/>
        <v>75.031877959861163</v>
      </c>
      <c r="AY49" s="11">
        <f t="shared" ca="1" si="35"/>
        <v>600.68785259533172</v>
      </c>
      <c r="AZ49" s="11"/>
      <c r="BA49" s="11"/>
    </row>
    <row r="50" spans="1:53">
      <c r="A50" s="4">
        <f t="shared" ca="1" si="36"/>
        <v>130.33726423620766</v>
      </c>
      <c r="B50" s="4">
        <f t="shared" ref="B50:C50" ca="1" si="70">A50/60</f>
        <v>2.1722877372701275</v>
      </c>
      <c r="C50" s="4">
        <f t="shared" ca="1" si="70"/>
        <v>3.6204795621168788E-2</v>
      </c>
      <c r="D50" s="41">
        <f t="shared" ca="1" si="45"/>
        <v>17226.348438746474</v>
      </c>
      <c r="E50" s="4">
        <f t="shared" ca="1" si="38"/>
        <v>12.867785903207915</v>
      </c>
      <c r="F50" s="4">
        <f t="shared" ca="1" si="39"/>
        <v>12.867785903207915</v>
      </c>
      <c r="G50" s="4"/>
      <c r="H50" s="5">
        <f t="shared" si="40"/>
        <v>13500</v>
      </c>
      <c r="I50" s="5">
        <v>15</v>
      </c>
      <c r="J50" s="4">
        <f t="shared" si="0"/>
        <v>8.4615303544211817E-2</v>
      </c>
      <c r="K50" s="4">
        <v>596.2363817179637</v>
      </c>
      <c r="L50" s="6">
        <f t="shared" si="41"/>
        <v>43.344999999999985</v>
      </c>
      <c r="M50" s="4">
        <f t="shared" si="1"/>
        <v>353.26051638578599</v>
      </c>
      <c r="N50" s="4">
        <f t="shared" si="2"/>
        <v>263.95545967646967</v>
      </c>
      <c r="O50" s="4">
        <f t="shared" si="3"/>
        <v>2447434.3372744629</v>
      </c>
      <c r="P50" s="4">
        <f t="shared" si="4"/>
        <v>15714248.218659811</v>
      </c>
      <c r="Q50" s="4">
        <f t="shared" si="5"/>
        <v>2.7949858107114743E-3</v>
      </c>
      <c r="R50" s="4">
        <f t="shared" si="6"/>
        <v>2.2063388374393551E-2</v>
      </c>
      <c r="S50" s="24">
        <f t="shared" ca="1" si="42"/>
        <v>7.0693882577688782</v>
      </c>
      <c r="T50" s="4">
        <f t="shared" ca="1" si="7"/>
        <v>0.28159215377633862</v>
      </c>
      <c r="U50" s="4">
        <f t="shared" ca="1" si="8"/>
        <v>2.7071346512989373E-2</v>
      </c>
      <c r="V50" s="4">
        <f t="shared" ca="1" si="9"/>
        <v>10.401852513735328</v>
      </c>
      <c r="W50" s="20">
        <f t="shared" ca="1" si="10"/>
        <v>1643.494833966334</v>
      </c>
      <c r="X50" s="4">
        <f t="shared" si="11"/>
        <v>0.59105284138110514</v>
      </c>
      <c r="Y50" s="4">
        <f t="shared" ca="1" si="12"/>
        <v>218.33285816968433</v>
      </c>
      <c r="Z50" s="14">
        <f t="shared" ca="1" si="13"/>
        <v>1656.0846653035705</v>
      </c>
      <c r="AA50" s="14">
        <f t="shared" si="14"/>
        <v>3763.5635910815286</v>
      </c>
      <c r="AB50" s="25">
        <f t="shared" ca="1" si="15"/>
        <v>987417.92865920579</v>
      </c>
      <c r="AC50" s="4">
        <f t="shared" si="16"/>
        <v>2243973.5379119166</v>
      </c>
      <c r="AD50" s="5">
        <v>100</v>
      </c>
      <c r="AE50" s="4">
        <f t="shared" si="17"/>
        <v>3763.5635910815286</v>
      </c>
      <c r="AF50" s="4">
        <f t="shared" ca="1" si="18"/>
        <v>2107.478925777958</v>
      </c>
      <c r="AG50" s="4">
        <f t="shared" ca="1" si="19"/>
        <v>1256555.6092527108</v>
      </c>
      <c r="AH50" s="4">
        <f t="shared" si="20"/>
        <v>2497.6645277562989</v>
      </c>
      <c r="AI50" s="13">
        <f t="shared" ca="1" si="21"/>
        <v>73.379574854788402</v>
      </c>
      <c r="AJ50" s="10">
        <f t="shared" ca="1" si="22"/>
        <v>7.0693882577688782</v>
      </c>
      <c r="AK50" s="11">
        <f t="shared" ca="1" si="43"/>
        <v>4402.774491287304</v>
      </c>
      <c r="AL50" s="6">
        <v>500</v>
      </c>
      <c r="AM50" s="4">
        <f t="shared" ca="1" si="23"/>
        <v>6.8138852124648466</v>
      </c>
      <c r="AN50" s="4">
        <f t="shared" ca="1" si="24"/>
        <v>4.7274442753823998</v>
      </c>
      <c r="AO50" s="4">
        <f t="shared" ca="1" si="25"/>
        <v>0.66354933656370918</v>
      </c>
      <c r="AP50" s="4">
        <f t="shared" si="26"/>
        <v>0.66364350363973779</v>
      </c>
      <c r="AQ50" s="11">
        <f t="shared" si="27"/>
        <v>0.9592389957183759</v>
      </c>
      <c r="AR50" s="11">
        <f t="shared" si="28"/>
        <v>0.59929356545884216</v>
      </c>
      <c r="AS50" s="11">
        <f t="shared" si="29"/>
        <v>0.62475938544390608</v>
      </c>
      <c r="AT50" s="11">
        <f t="shared" si="30"/>
        <v>497.52848990924997</v>
      </c>
      <c r="AU50" s="11">
        <f t="shared" si="31"/>
        <v>1268.2370290953108</v>
      </c>
      <c r="AV50" s="11">
        <f t="shared" si="32"/>
        <v>1.4849905832616203E-3</v>
      </c>
      <c r="AW50" s="11">
        <f t="shared" si="33"/>
        <v>3.617688118387565E-7</v>
      </c>
      <c r="AX50" s="4">
        <f t="shared" ca="1" si="34"/>
        <v>72.94381706725467</v>
      </c>
      <c r="AY50" s="11">
        <f t="shared" ca="1" si="35"/>
        <v>599.94041726539126</v>
      </c>
      <c r="AZ50" s="11"/>
      <c r="BA50" s="11"/>
    </row>
    <row r="51" spans="1:53">
      <c r="A51" s="4">
        <f t="shared" ca="1" si="36"/>
        <v>137.1511494486725</v>
      </c>
      <c r="B51" s="4">
        <f t="shared" ref="B51:C51" ca="1" si="71">A51/60</f>
        <v>2.2858524908112083</v>
      </c>
      <c r="C51" s="4">
        <f t="shared" ca="1" si="71"/>
        <v>3.8097541513520142E-2</v>
      </c>
      <c r="D51" s="41">
        <f t="shared" ca="1" si="45"/>
        <v>17226.348438746474</v>
      </c>
      <c r="E51" s="4">
        <f t="shared" ca="1" si="38"/>
        <v>13.531335239771625</v>
      </c>
      <c r="F51" s="4">
        <f t="shared" ca="1" si="39"/>
        <v>13.531335239771625</v>
      </c>
      <c r="G51" s="4"/>
      <c r="H51" s="5">
        <f t="shared" si="40"/>
        <v>14000</v>
      </c>
      <c r="I51" s="5">
        <v>15</v>
      </c>
      <c r="J51" s="4">
        <f t="shared" si="0"/>
        <v>8.7895364243216992E-2</v>
      </c>
      <c r="K51" s="4">
        <v>595.39534472837568</v>
      </c>
      <c r="L51" s="6">
        <f t="shared" si="41"/>
        <v>44.579999999999984</v>
      </c>
      <c r="M51" s="4">
        <f t="shared" si="1"/>
        <v>352.76221542604696</v>
      </c>
      <c r="N51" s="4">
        <f t="shared" si="2"/>
        <v>258.938903931401</v>
      </c>
      <c r="O51" s="4">
        <f t="shared" si="3"/>
        <v>2411103.9420545292</v>
      </c>
      <c r="P51" s="4">
        <f t="shared" si="4"/>
        <v>15480981.552554347</v>
      </c>
      <c r="Q51" s="4">
        <f t="shared" si="5"/>
        <v>2.8013565729197846E-3</v>
      </c>
      <c r="R51" s="4">
        <f t="shared" si="6"/>
        <v>2.2102281877675288E-2</v>
      </c>
      <c r="S51" s="24">
        <f t="shared" ca="1" si="42"/>
        <v>6.8771751690501386</v>
      </c>
      <c r="T51" s="4">
        <f t="shared" ca="1" si="7"/>
        <v>0.28716538923687907</v>
      </c>
      <c r="U51" s="4">
        <f t="shared" ca="1" si="8"/>
        <v>2.7310435442900627E-2</v>
      </c>
      <c r="V51" s="4">
        <f t="shared" ca="1" si="9"/>
        <v>10.51485941471973</v>
      </c>
      <c r="W51" s="20">
        <f t="shared" ca="1" si="10"/>
        <v>1626.4988704790142</v>
      </c>
      <c r="X51" s="4">
        <f t="shared" si="11"/>
        <v>0.59157356814461926</v>
      </c>
      <c r="Y51" s="4">
        <f t="shared" ca="1" si="12"/>
        <v>220.17187193509207</v>
      </c>
      <c r="Z51" s="14">
        <f t="shared" ca="1" si="13"/>
        <v>1638.2861395779903</v>
      </c>
      <c r="AA51" s="14">
        <f t="shared" si="14"/>
        <v>3689.2050210530151</v>
      </c>
      <c r="AB51" s="25">
        <f t="shared" ca="1" si="15"/>
        <v>975427.94083775731</v>
      </c>
      <c r="AC51" s="4">
        <f t="shared" si="16"/>
        <v>2196535.4952835143</v>
      </c>
      <c r="AD51" s="5">
        <v>100</v>
      </c>
      <c r="AE51" s="4">
        <f t="shared" si="17"/>
        <v>3689.2050210530151</v>
      </c>
      <c r="AF51" s="4">
        <f t="shared" ca="1" si="18"/>
        <v>2050.918881475025</v>
      </c>
      <c r="AG51" s="4">
        <f t="shared" ca="1" si="19"/>
        <v>1221107.5544457571</v>
      </c>
      <c r="AH51" s="4">
        <f t="shared" si="20"/>
        <v>2453.1472644680475</v>
      </c>
      <c r="AI51" s="13">
        <f t="shared" ca="1" si="21"/>
        <v>71.293440043972339</v>
      </c>
      <c r="AJ51" s="10">
        <f t="shared" ca="1" si="22"/>
        <v>6.8771751690501386</v>
      </c>
      <c r="AK51" s="11">
        <f t="shared" ca="1" si="43"/>
        <v>4277.6064026383401</v>
      </c>
      <c r="AL51" s="6">
        <v>500</v>
      </c>
      <c r="AM51" s="4">
        <f t="shared" ca="1" si="23"/>
        <v>7.0132679765713393</v>
      </c>
      <c r="AN51" s="4">
        <f t="shared" ca="1" si="24"/>
        <v>4.7790497643631502</v>
      </c>
      <c r="AO51" s="4">
        <f t="shared" ca="1" si="25"/>
        <v>0.68228214043745294</v>
      </c>
      <c r="AP51" s="4">
        <f t="shared" si="26"/>
        <v>0.6649528151644557</v>
      </c>
      <c r="AQ51" s="11">
        <f t="shared" si="27"/>
        <v>0.95580132071837587</v>
      </c>
      <c r="AR51" s="11">
        <f t="shared" si="28"/>
        <v>0.58745302883009798</v>
      </c>
      <c r="AS51" s="11">
        <f t="shared" si="29"/>
        <v>0.61461834807737137</v>
      </c>
      <c r="AT51" s="11">
        <f t="shared" si="30"/>
        <v>495.745471017</v>
      </c>
      <c r="AU51" s="11">
        <f t="shared" si="31"/>
        <v>1243.1798486708299</v>
      </c>
      <c r="AV51" s="11">
        <f t="shared" si="32"/>
        <v>1.460886351545104E-3</v>
      </c>
      <c r="AW51" s="11">
        <f t="shared" si="33"/>
        <v>3.6074966230862931E-7</v>
      </c>
      <c r="AX51" s="4">
        <f t="shared" ca="1" si="34"/>
        <v>70.886035934300111</v>
      </c>
      <c r="AY51" s="11">
        <f t="shared" ca="1" si="35"/>
        <v>599.22174337784361</v>
      </c>
      <c r="AZ51" s="11"/>
      <c r="BA51" s="11"/>
    </row>
    <row r="52" spans="1:53">
      <c r="A52" s="4">
        <f t="shared" ca="1" si="36"/>
        <v>144.16441742524384</v>
      </c>
      <c r="B52" s="4">
        <f t="shared" ref="B52:C52" ca="1" si="72">A52/60</f>
        <v>2.4027402904207307</v>
      </c>
      <c r="C52" s="4">
        <f t="shared" ca="1" si="72"/>
        <v>4.004567150701218E-2</v>
      </c>
      <c r="D52" s="41">
        <f t="shared" ca="1" si="45"/>
        <v>17226.348438746474</v>
      </c>
      <c r="E52" s="4">
        <f t="shared" ca="1" si="38"/>
        <v>14.213617380209078</v>
      </c>
      <c r="F52" s="4">
        <f t="shared" ca="1" si="39"/>
        <v>14.213617380209078</v>
      </c>
      <c r="G52" s="4"/>
      <c r="H52" s="5">
        <f t="shared" si="40"/>
        <v>14500</v>
      </c>
      <c r="I52" s="5">
        <v>15</v>
      </c>
      <c r="J52" s="4">
        <f t="shared" si="0"/>
        <v>9.1235682004592672E-2</v>
      </c>
      <c r="K52" s="4">
        <v>594.58040807976636</v>
      </c>
      <c r="L52" s="6">
        <f t="shared" si="41"/>
        <v>45.814999999999984</v>
      </c>
      <c r="M52" s="4">
        <f t="shared" si="1"/>
        <v>352.27937850073232</v>
      </c>
      <c r="N52" s="4">
        <f t="shared" si="2"/>
        <v>254.0229451644646</v>
      </c>
      <c r="O52" s="4">
        <f t="shared" si="3"/>
        <v>2375292.8918983419</v>
      </c>
      <c r="P52" s="4">
        <f t="shared" si="4"/>
        <v>15251049.446693689</v>
      </c>
      <c r="Q52" s="4">
        <f t="shared" si="5"/>
        <v>2.8077429259085566E-3</v>
      </c>
      <c r="R52" s="4">
        <f t="shared" si="6"/>
        <v>2.214127056267174E-2</v>
      </c>
      <c r="S52" s="24">
        <f t="shared" ca="1" si="42"/>
        <v>6.6872452707348824</v>
      </c>
      <c r="T52" s="4">
        <f t="shared" ca="1" si="7"/>
        <v>0.29283815870703656</v>
      </c>
      <c r="U52" s="4">
        <f t="shared" ca="1" si="8"/>
        <v>2.7557224047949691E-2</v>
      </c>
      <c r="V52" s="4">
        <f t="shared" ca="1" si="9"/>
        <v>10.626547804579186</v>
      </c>
      <c r="W52" s="20">
        <f t="shared" ca="1" si="10"/>
        <v>1610.0384590399535</v>
      </c>
      <c r="X52" s="4">
        <f t="shared" si="11"/>
        <v>0.59209510960807699</v>
      </c>
      <c r="Y52" s="4">
        <f t="shared" ca="1" si="12"/>
        <v>222.03159619365553</v>
      </c>
      <c r="Z52" s="14">
        <f t="shared" ca="1" si="13"/>
        <v>1621.0672323257518</v>
      </c>
      <c r="AA52" s="14">
        <f t="shared" si="14"/>
        <v>3616.0405760525705</v>
      </c>
      <c r="AB52" s="25">
        <f t="shared" ca="1" si="15"/>
        <v>963854.81652098289</v>
      </c>
      <c r="AC52" s="4">
        <f t="shared" si="16"/>
        <v>2150026.8813423309</v>
      </c>
      <c r="AD52" s="5">
        <v>100</v>
      </c>
      <c r="AE52" s="4">
        <f t="shared" si="17"/>
        <v>3616.0405760525705</v>
      </c>
      <c r="AF52" s="4">
        <f t="shared" ca="1" si="18"/>
        <v>1994.9733437268187</v>
      </c>
      <c r="AG52" s="4">
        <f t="shared" ca="1" si="19"/>
        <v>1186172.0648213481</v>
      </c>
      <c r="AH52" s="4">
        <f t="shared" si="20"/>
        <v>2409.3531826299409</v>
      </c>
      <c r="AI52" s="13">
        <f t="shared" ca="1" si="21"/>
        <v>69.23867594942422</v>
      </c>
      <c r="AJ52" s="10">
        <f t="shared" ca="1" si="22"/>
        <v>6.6872452707348824</v>
      </c>
      <c r="AK52" s="11">
        <f t="shared" ca="1" si="43"/>
        <v>4154.3205569654529</v>
      </c>
      <c r="AL52" s="6">
        <v>500</v>
      </c>
      <c r="AM52" s="4">
        <f t="shared" ca="1" si="23"/>
        <v>7.2213974797153515</v>
      </c>
      <c r="AN52" s="4">
        <f t="shared" ca="1" si="24"/>
        <v>4.833026944663338</v>
      </c>
      <c r="AO52" s="4">
        <f t="shared" ca="1" si="25"/>
        <v>0.70184497321590367</v>
      </c>
      <c r="AP52" s="4">
        <f t="shared" si="26"/>
        <v>0.66629594772415335</v>
      </c>
      <c r="AQ52" s="11">
        <f t="shared" si="27"/>
        <v>0.95236364571837595</v>
      </c>
      <c r="AR52" s="11">
        <f t="shared" si="28"/>
        <v>0.57580263949881694</v>
      </c>
      <c r="AS52" s="11">
        <f t="shared" si="29"/>
        <v>0.60460375833065749</v>
      </c>
      <c r="AT52" s="11">
        <f t="shared" si="30"/>
        <v>493.96245212475003</v>
      </c>
      <c r="AU52" s="11">
        <f t="shared" si="31"/>
        <v>1218.5250617601862</v>
      </c>
      <c r="AV52" s="11">
        <f t="shared" si="32"/>
        <v>1.4370826731761397E-3</v>
      </c>
      <c r="AW52" s="11">
        <f t="shared" si="33"/>
        <v>3.5972877499689833E-7</v>
      </c>
      <c r="AX52" s="4">
        <f t="shared" ca="1" si="34"/>
        <v>68.858009521817351</v>
      </c>
      <c r="AY52" s="11">
        <f t="shared" ca="1" si="35"/>
        <v>598.53286309114901</v>
      </c>
      <c r="AZ52" s="11"/>
      <c r="BA52" s="11"/>
    </row>
    <row r="53" spans="1:53">
      <c r="A53" s="4">
        <f t="shared" ca="1" si="36"/>
        <v>151.3858149049592</v>
      </c>
      <c r="B53" s="4">
        <f t="shared" ref="B53:C53" ca="1" si="73">A53/60</f>
        <v>2.5230969150826534</v>
      </c>
      <c r="C53" s="4">
        <f t="shared" ca="1" si="73"/>
        <v>4.2051615251377558E-2</v>
      </c>
      <c r="D53" s="41">
        <f t="shared" ca="1" si="45"/>
        <v>17226.348438746474</v>
      </c>
      <c r="E53" s="4">
        <f t="shared" ca="1" si="38"/>
        <v>14.915462353424982</v>
      </c>
      <c r="F53" s="4">
        <f t="shared" ca="1" si="39"/>
        <v>14.915462353424982</v>
      </c>
      <c r="G53" s="4"/>
      <c r="H53" s="5">
        <f t="shared" si="40"/>
        <v>15000</v>
      </c>
      <c r="I53" s="5">
        <v>15</v>
      </c>
      <c r="J53" s="4">
        <f t="shared" si="0"/>
        <v>9.4637435600529299E-2</v>
      </c>
      <c r="K53" s="4">
        <v>593.79255556925136</v>
      </c>
      <c r="L53" s="6">
        <f t="shared" si="41"/>
        <v>47.049999999999983</v>
      </c>
      <c r="M53" s="4">
        <f t="shared" si="1"/>
        <v>351.81258849389235</v>
      </c>
      <c r="N53" s="4">
        <f t="shared" si="2"/>
        <v>249.20626339273346</v>
      </c>
      <c r="O53" s="4">
        <f t="shared" si="3"/>
        <v>2339997.463219177</v>
      </c>
      <c r="P53" s="4">
        <f t="shared" si="4"/>
        <v>15024427.993034562</v>
      </c>
      <c r="Q53" s="4">
        <f t="shared" si="5"/>
        <v>2.8141439196076156E-3</v>
      </c>
      <c r="R53" s="4">
        <f t="shared" si="6"/>
        <v>2.2180348629204493E-2</v>
      </c>
      <c r="S53" s="24">
        <f t="shared" ca="1" si="42"/>
        <v>6.4995575081298069</v>
      </c>
      <c r="T53" s="4">
        <f t="shared" ca="1" si="7"/>
        <v>0.29861120579267442</v>
      </c>
      <c r="U53" s="4">
        <f t="shared" ca="1" si="8"/>
        <v>2.7811948538110726E-2</v>
      </c>
      <c r="V53" s="4">
        <f t="shared" ca="1" si="9"/>
        <v>10.736795567685139</v>
      </c>
      <c r="W53" s="20">
        <f t="shared" ca="1" si="10"/>
        <v>1594.1097077563211</v>
      </c>
      <c r="X53" s="4">
        <f t="shared" si="11"/>
        <v>0.59261738613556481</v>
      </c>
      <c r="Y53" s="4">
        <f t="shared" ca="1" si="12"/>
        <v>223.9124034954354</v>
      </c>
      <c r="Z53" s="14">
        <f t="shared" ca="1" si="13"/>
        <v>1604.421759746748</v>
      </c>
      <c r="AA53" s="14">
        <f t="shared" si="14"/>
        <v>3544.0555295816152</v>
      </c>
      <c r="AB53" s="25">
        <f t="shared" ca="1" si="15"/>
        <v>952693.69693093689</v>
      </c>
      <c r="AC53" s="4">
        <f t="shared" si="16"/>
        <v>2104433.7899896037</v>
      </c>
      <c r="AD53" s="5">
        <v>100</v>
      </c>
      <c r="AE53" s="4">
        <f t="shared" si="17"/>
        <v>3544.0555295816152</v>
      </c>
      <c r="AF53" s="4">
        <f t="shared" ca="1" si="18"/>
        <v>1939.6337698348673</v>
      </c>
      <c r="AG53" s="4">
        <f t="shared" ca="1" si="19"/>
        <v>1151740.0930586667</v>
      </c>
      <c r="AH53" s="4">
        <f t="shared" si="20"/>
        <v>2366.2727545705739</v>
      </c>
      <c r="AI53" s="13">
        <f t="shared" ca="1" si="21"/>
        <v>67.214669253925805</v>
      </c>
      <c r="AJ53" s="10">
        <f t="shared" ca="1" si="22"/>
        <v>6.4995575081298069</v>
      </c>
      <c r="AK53" s="11">
        <f t="shared" ca="1" si="43"/>
        <v>4032.8801552355485</v>
      </c>
      <c r="AL53" s="6">
        <v>500</v>
      </c>
      <c r="AM53" s="4">
        <f t="shared" ca="1" si="23"/>
        <v>7.4388523450302708</v>
      </c>
      <c r="AN53" s="4">
        <f t="shared" ca="1" si="24"/>
        <v>4.8895426748107091</v>
      </c>
      <c r="AO53" s="4">
        <f t="shared" ca="1" si="25"/>
        <v>0.72229477964255706</v>
      </c>
      <c r="AP53" s="4">
        <f t="shared" si="26"/>
        <v>0.66767372430248528</v>
      </c>
      <c r="AQ53" s="11">
        <f t="shared" si="27"/>
        <v>0.94892597071837592</v>
      </c>
      <c r="AR53" s="11">
        <f t="shared" si="28"/>
        <v>0.56434005248114893</v>
      </c>
      <c r="AS53" s="11">
        <f t="shared" si="29"/>
        <v>0.59471451925161278</v>
      </c>
      <c r="AT53" s="11">
        <f t="shared" si="30"/>
        <v>492.1794332325</v>
      </c>
      <c r="AU53" s="11">
        <f t="shared" si="31"/>
        <v>1194.2677058616569</v>
      </c>
      <c r="AV53" s="11">
        <f t="shared" si="32"/>
        <v>1.4135769408091584E-3</v>
      </c>
      <c r="AW53" s="11">
        <f t="shared" si="33"/>
        <v>3.5870614279303359E-7</v>
      </c>
      <c r="AX53" s="4">
        <f t="shared" ca="1" si="34"/>
        <v>66.85921262733244</v>
      </c>
      <c r="AY53" s="11">
        <f t="shared" ca="1" si="35"/>
        <v>597.87483411615563</v>
      </c>
      <c r="AZ53" s="11"/>
      <c r="BA53" s="11"/>
    </row>
    <row r="54" spans="1:53">
      <c r="A54" s="4">
        <f t="shared" ca="1" si="36"/>
        <v>158.82466724998949</v>
      </c>
      <c r="B54" s="4">
        <f t="shared" ref="B54:C54" ca="1" si="74">A54/60</f>
        <v>2.6470777874998248</v>
      </c>
      <c r="C54" s="4">
        <f t="shared" ca="1" si="74"/>
        <v>4.4117963124997078E-2</v>
      </c>
      <c r="D54" s="41">
        <f t="shared" ca="1" si="45"/>
        <v>17226.348438746474</v>
      </c>
      <c r="E54" s="4">
        <f t="shared" ca="1" si="38"/>
        <v>15.637757133067538</v>
      </c>
      <c r="F54" s="4">
        <f t="shared" ca="1" si="39"/>
        <v>15.637757133067538</v>
      </c>
      <c r="G54" s="4"/>
      <c r="H54" s="5">
        <f t="shared" si="40"/>
        <v>15500</v>
      </c>
      <c r="I54" s="5">
        <v>15</v>
      </c>
      <c r="J54" s="4">
        <f t="shared" si="0"/>
        <v>9.8101828195001267E-2</v>
      </c>
      <c r="K54" s="4">
        <v>593.03279786747862</v>
      </c>
      <c r="L54" s="6">
        <f t="shared" si="41"/>
        <v>48.284999999999982</v>
      </c>
      <c r="M54" s="4">
        <f t="shared" si="1"/>
        <v>351.36244421171523</v>
      </c>
      <c r="N54" s="4">
        <f t="shared" si="2"/>
        <v>244.48754735908614</v>
      </c>
      <c r="O54" s="4">
        <f t="shared" si="3"/>
        <v>2305213.926298805</v>
      </c>
      <c r="P54" s="4">
        <f t="shared" si="4"/>
        <v>14801093.244165119</v>
      </c>
      <c r="Q54" s="4">
        <f t="shared" si="5"/>
        <v>2.8205585577879043E-3</v>
      </c>
      <c r="R54" s="4">
        <f t="shared" si="6"/>
        <v>2.2219509995295157E-2</v>
      </c>
      <c r="S54" s="24">
        <f t="shared" ca="1" si="42"/>
        <v>6.3140717091733753</v>
      </c>
      <c r="T54" s="4">
        <f t="shared" ca="1" si="7"/>
        <v>0.30448519705833188</v>
      </c>
      <c r="U54" s="4">
        <f t="shared" ca="1" si="8"/>
        <v>2.8074847839198391E-2</v>
      </c>
      <c r="V54" s="4">
        <f t="shared" ca="1" si="9"/>
        <v>10.845479868753074</v>
      </c>
      <c r="W54" s="20">
        <f t="shared" ca="1" si="10"/>
        <v>1578.7086588575853</v>
      </c>
      <c r="X54" s="4">
        <f t="shared" si="11"/>
        <v>0.59314031460744987</v>
      </c>
      <c r="Y54" s="4">
        <f t="shared" ca="1" si="12"/>
        <v>225.81467257524727</v>
      </c>
      <c r="Z54" s="14">
        <f t="shared" ca="1" si="13"/>
        <v>1588.3435908057263</v>
      </c>
      <c r="AA54" s="14">
        <f t="shared" si="14"/>
        <v>3473.2352814583737</v>
      </c>
      <c r="AB54" s="25">
        <f t="shared" ca="1" si="15"/>
        <v>941939.84363039746</v>
      </c>
      <c r="AC54" s="4">
        <f t="shared" si="16"/>
        <v>2059742.436615299</v>
      </c>
      <c r="AD54" s="5">
        <v>100</v>
      </c>
      <c r="AE54" s="4">
        <f t="shared" si="17"/>
        <v>3473.2352814583737</v>
      </c>
      <c r="AF54" s="4">
        <f t="shared" ca="1" si="18"/>
        <v>1884.8916906526474</v>
      </c>
      <c r="AG54" s="4">
        <f t="shared" ca="1" si="19"/>
        <v>1117802.5929849015</v>
      </c>
      <c r="AH54" s="4">
        <f t="shared" si="20"/>
        <v>2323.8963792817026</v>
      </c>
      <c r="AI54" s="13">
        <f t="shared" ca="1" si="21"/>
        <v>65.220811458120394</v>
      </c>
      <c r="AJ54" s="10">
        <f t="shared" ca="1" si="22"/>
        <v>6.3140717091733753</v>
      </c>
      <c r="AK54" s="11">
        <f t="shared" ca="1" si="43"/>
        <v>3913.2486874872238</v>
      </c>
      <c r="AL54" s="6">
        <v>500</v>
      </c>
      <c r="AM54" s="4">
        <f t="shared" ca="1" si="23"/>
        <v>7.6662646296736146</v>
      </c>
      <c r="AN54" s="4">
        <f t="shared" ca="1" si="24"/>
        <v>4.9487790598649708</v>
      </c>
      <c r="AO54" s="4">
        <f t="shared" ca="1" si="25"/>
        <v>0.74369383498384622</v>
      </c>
      <c r="AP54" s="4">
        <f t="shared" si="26"/>
        <v>0.66908694371719146</v>
      </c>
      <c r="AQ54" s="11">
        <f t="shared" si="27"/>
        <v>0.94548829571837589</v>
      </c>
      <c r="AR54" s="11">
        <f t="shared" si="28"/>
        <v>0.55306294290738434</v>
      </c>
      <c r="AS54" s="11">
        <f t="shared" si="29"/>
        <v>0.58494953920838411</v>
      </c>
      <c r="AT54" s="11">
        <f t="shared" si="30"/>
        <v>490.39641434024998</v>
      </c>
      <c r="AU54" s="11">
        <f t="shared" si="31"/>
        <v>1170.4028610394648</v>
      </c>
      <c r="AV54" s="11">
        <f t="shared" si="32"/>
        <v>1.3903665597444082E-3</v>
      </c>
      <c r="AW54" s="11">
        <f t="shared" si="33"/>
        <v>3.5768175854744082E-7</v>
      </c>
      <c r="AX54" s="4">
        <f t="shared" ca="1" si="34"/>
        <v>64.889120115013867</v>
      </c>
      <c r="AY54" s="11">
        <f t="shared" ca="1" si="35"/>
        <v>597.2487396170784</v>
      </c>
      <c r="AZ54" s="11"/>
      <c r="BA54" s="11"/>
    </row>
    <row r="55" spans="1:53">
      <c r="A55" s="4">
        <f t="shared" ca="1" si="36"/>
        <v>166.49093187966309</v>
      </c>
      <c r="B55" s="4">
        <f t="shared" ref="B55:C55" ca="1" si="75">A55/60</f>
        <v>2.7748488646610516</v>
      </c>
      <c r="C55" s="4">
        <f t="shared" ca="1" si="75"/>
        <v>4.6247481077684192E-2</v>
      </c>
      <c r="D55" s="41">
        <f t="shared" ca="1" si="45"/>
        <v>17226.348438746474</v>
      </c>
      <c r="E55" s="4">
        <f t="shared" ca="1" si="38"/>
        <v>16.381450968051386</v>
      </c>
      <c r="F55" s="4">
        <f t="shared" ca="1" si="39"/>
        <v>16.381450968051386</v>
      </c>
      <c r="G55" s="4"/>
      <c r="H55" s="5">
        <f t="shared" si="40"/>
        <v>16000</v>
      </c>
      <c r="I55" s="5">
        <v>15</v>
      </c>
      <c r="J55" s="4">
        <f t="shared" si="0"/>
        <v>0.10163008780637076</v>
      </c>
      <c r="K55" s="4">
        <v>592.30217259135429</v>
      </c>
      <c r="L55" s="6">
        <f t="shared" si="41"/>
        <v>49.519999999999982</v>
      </c>
      <c r="M55" s="4">
        <f t="shared" si="1"/>
        <v>350.92956042561599</v>
      </c>
      <c r="N55" s="4">
        <f t="shared" si="2"/>
        <v>239.86549418135729</v>
      </c>
      <c r="O55" s="4">
        <f t="shared" si="3"/>
        <v>2270938.5427625757</v>
      </c>
      <c r="P55" s="4">
        <f t="shared" si="4"/>
        <v>14581021.197093207</v>
      </c>
      <c r="Q55" s="4">
        <f t="shared" si="5"/>
        <v>2.8269857970752124E-3</v>
      </c>
      <c r="R55" s="4">
        <f t="shared" si="6"/>
        <v>2.2258748291144173E-2</v>
      </c>
      <c r="S55" s="24">
        <f t="shared" ca="1" si="42"/>
        <v>6.1307485965237403</v>
      </c>
      <c r="T55" s="4">
        <f t="shared" ca="1" si="7"/>
        <v>0.31046071659925462</v>
      </c>
      <c r="U55" s="4">
        <f t="shared" ca="1" si="8"/>
        <v>2.834616317776693E-2</v>
      </c>
      <c r="V55" s="4">
        <f t="shared" ca="1" si="9"/>
        <v>10.952477577027491</v>
      </c>
      <c r="W55" s="20">
        <f t="shared" ca="1" si="10"/>
        <v>1563.8312809195054</v>
      </c>
      <c r="X55" s="4">
        <f t="shared" si="11"/>
        <v>0.59366380835637689</v>
      </c>
      <c r="Y55" s="4">
        <f t="shared" ca="1" si="12"/>
        <v>227.73878853745271</v>
      </c>
      <c r="Z55" s="14">
        <f t="shared" ca="1" si="13"/>
        <v>1572.8266337543798</v>
      </c>
      <c r="AA55" s="14">
        <f t="shared" si="14"/>
        <v>3403.5653572123151</v>
      </c>
      <c r="AB55" s="25">
        <f t="shared" ca="1" si="15"/>
        <v>931588.63228226546</v>
      </c>
      <c r="AC55" s="4">
        <f t="shared" si="16"/>
        <v>2015939.1556335231</v>
      </c>
      <c r="AD55" s="5">
        <v>100</v>
      </c>
      <c r="AE55" s="4">
        <f t="shared" si="17"/>
        <v>3403.5653572123151</v>
      </c>
      <c r="AF55" s="4">
        <f t="shared" ca="1" si="18"/>
        <v>1830.7387234579353</v>
      </c>
      <c r="AG55" s="4">
        <f t="shared" ca="1" si="19"/>
        <v>1084350.5233512577</v>
      </c>
      <c r="AH55" s="4">
        <f t="shared" si="20"/>
        <v>2282.2143790637056</v>
      </c>
      <c r="AI55" s="13">
        <f t="shared" ca="1" si="21"/>
        <v>63.256498860060979</v>
      </c>
      <c r="AJ55" s="10">
        <f t="shared" ca="1" si="22"/>
        <v>6.1307485965237403</v>
      </c>
      <c r="AK55" s="11">
        <f t="shared" ca="1" si="43"/>
        <v>3795.3899316036586</v>
      </c>
      <c r="AL55" s="6">
        <v>500</v>
      </c>
      <c r="AM55" s="4">
        <f t="shared" ca="1" si="23"/>
        <v>7.9043261800834674</v>
      </c>
      <c r="AN55" s="4">
        <f t="shared" ca="1" si="24"/>
        <v>5.0109352402767167</v>
      </c>
      <c r="AO55" s="4">
        <f t="shared" ca="1" si="25"/>
        <v>0.76611037959403261</v>
      </c>
      <c r="AP55" s="4">
        <f t="shared" si="26"/>
        <v>0.67053637569426594</v>
      </c>
      <c r="AQ55" s="11">
        <f t="shared" si="27"/>
        <v>0.94205062071837586</v>
      </c>
      <c r="AR55" s="11">
        <f t="shared" si="28"/>
        <v>0.54196900592552788</v>
      </c>
      <c r="AS55" s="11">
        <f t="shared" si="29"/>
        <v>0.57530773188413242</v>
      </c>
      <c r="AT55" s="11">
        <f t="shared" si="30"/>
        <v>488.61339544799995</v>
      </c>
      <c r="AU55" s="11">
        <f t="shared" si="31"/>
        <v>1146.9256497197205</v>
      </c>
      <c r="AV55" s="11">
        <f t="shared" si="32"/>
        <v>1.3674489479153942E-3</v>
      </c>
      <c r="AW55" s="11">
        <f t="shared" si="33"/>
        <v>3.5665561507127427E-7</v>
      </c>
      <c r="AX55" s="4">
        <f t="shared" ca="1" si="34"/>
        <v>62.947207134872258</v>
      </c>
      <c r="AY55" s="11">
        <f t="shared" ca="1" si="35"/>
        <v>596.65568805719124</v>
      </c>
      <c r="AZ55" s="11"/>
      <c r="BA55" s="11"/>
    </row>
    <row r="56" spans="1:53">
      <c r="A56" s="4">
        <f t="shared" ca="1" si="36"/>
        <v>174.39525805974657</v>
      </c>
      <c r="B56" s="4">
        <f t="shared" ref="B56:C56" ca="1" si="76">A56/60</f>
        <v>2.9065876343291093</v>
      </c>
      <c r="C56" s="4">
        <f t="shared" ca="1" si="76"/>
        <v>4.8443127238818488E-2</v>
      </c>
      <c r="D56" s="41">
        <f t="shared" ca="1" si="45"/>
        <v>17226.348438746474</v>
      </c>
      <c r="E56" s="4">
        <f t="shared" ca="1" si="38"/>
        <v>17.147561347645418</v>
      </c>
      <c r="F56" s="4">
        <f t="shared" ca="1" si="39"/>
        <v>17.147561347645418</v>
      </c>
      <c r="G56" s="4"/>
      <c r="H56" s="5">
        <f t="shared" si="40"/>
        <v>16500</v>
      </c>
      <c r="I56" s="5">
        <v>15</v>
      </c>
      <c r="J56" s="4">
        <f t="shared" si="0"/>
        <v>0.10522346777317203</v>
      </c>
      <c r="K56" s="4">
        <v>591.60174432457825</v>
      </c>
      <c r="L56" s="6">
        <f t="shared" si="41"/>
        <v>50.754999999999981</v>
      </c>
      <c r="M56" s="4">
        <f t="shared" si="1"/>
        <v>350.51456788440345</v>
      </c>
      <c r="N56" s="4">
        <f t="shared" si="2"/>
        <v>235.33880900113763</v>
      </c>
      <c r="O56" s="4">
        <f t="shared" si="3"/>
        <v>2237167.5629852051</v>
      </c>
      <c r="P56" s="4">
        <f t="shared" si="4"/>
        <v>14364187.776589708</v>
      </c>
      <c r="Q56" s="4">
        <f t="shared" si="5"/>
        <v>2.8334245460062079E-3</v>
      </c>
      <c r="R56" s="4">
        <f t="shared" si="6"/>
        <v>2.2298056853367901E-2</v>
      </c>
      <c r="S56" s="24">
        <f t="shared" ca="1" si="42"/>
        <v>5.9495498005490948</v>
      </c>
      <c r="T56" s="4">
        <f t="shared" ca="1" si="7"/>
        <v>0.31653826053363482</v>
      </c>
      <c r="U56" s="4">
        <f t="shared" ca="1" si="8"/>
        <v>2.8626137623844788E-2</v>
      </c>
      <c r="V56" s="4">
        <f t="shared" ca="1" si="9"/>
        <v>11.057665714216617</v>
      </c>
      <c r="W56" s="20">
        <f t="shared" ca="1" si="10"/>
        <v>1549.4734609806064</v>
      </c>
      <c r="X56" s="4">
        <f t="shared" si="11"/>
        <v>0.59418777710698101</v>
      </c>
      <c r="Y56" s="4">
        <f t="shared" ca="1" si="12"/>
        <v>229.68514304532027</v>
      </c>
      <c r="Z56" s="14">
        <f t="shared" ca="1" si="13"/>
        <v>1557.864822825934</v>
      </c>
      <c r="AA56" s="14">
        <f t="shared" si="14"/>
        <v>3335.0314074792086</v>
      </c>
      <c r="AB56" s="25">
        <f t="shared" ca="1" si="15"/>
        <v>921635.54660572263</v>
      </c>
      <c r="AC56" s="4">
        <f t="shared" si="16"/>
        <v>1973010.3980419531</v>
      </c>
      <c r="AD56" s="5">
        <v>100</v>
      </c>
      <c r="AE56" s="4">
        <f t="shared" si="17"/>
        <v>3335.0314074792086</v>
      </c>
      <c r="AF56" s="4">
        <f t="shared" ca="1" si="18"/>
        <v>1777.1665846532746</v>
      </c>
      <c r="AG56" s="4">
        <f t="shared" ca="1" si="19"/>
        <v>1051374.8514362304</v>
      </c>
      <c r="AH56" s="4">
        <f t="shared" si="20"/>
        <v>2241.2169966479778</v>
      </c>
      <c r="AI56" s="13">
        <f t="shared" ca="1" si="21"/>
        <v>61.321132537015643</v>
      </c>
      <c r="AJ56" s="10">
        <f t="shared" ca="1" si="22"/>
        <v>5.9495498005490948</v>
      </c>
      <c r="AK56" s="11">
        <f t="shared" ca="1" si="43"/>
        <v>3679.2679522209387</v>
      </c>
      <c r="AL56" s="6">
        <v>500</v>
      </c>
      <c r="AM56" s="4">
        <f t="shared" ca="1" si="23"/>
        <v>8.1537959152692103</v>
      </c>
      <c r="AN56" s="4">
        <f t="shared" ca="1" si="24"/>
        <v>5.0762294423611696</v>
      </c>
      <c r="AO56" s="4">
        <f t="shared" ca="1" si="25"/>
        <v>0.78961934598053685</v>
      </c>
      <c r="AP56" s="4">
        <f t="shared" si="26"/>
        <v>0.67202275565434844</v>
      </c>
      <c r="AQ56" s="11">
        <f t="shared" si="27"/>
        <v>0.93861294571837595</v>
      </c>
      <c r="AR56" s="11">
        <f t="shared" si="28"/>
        <v>0.53105595660496951</v>
      </c>
      <c r="AS56" s="11">
        <f t="shared" si="29"/>
        <v>0.56578801627173492</v>
      </c>
      <c r="AT56" s="11">
        <f t="shared" si="30"/>
        <v>486.83037655575004</v>
      </c>
      <c r="AU56" s="11">
        <f t="shared" si="31"/>
        <v>1123.8312364865685</v>
      </c>
      <c r="AV56" s="11">
        <f t="shared" si="32"/>
        <v>1.3448215358762867E-3</v>
      </c>
      <c r="AW56" s="11">
        <f t="shared" si="33"/>
        <v>3.5562770513624282E-7</v>
      </c>
      <c r="AX56" s="4">
        <f t="shared" ca="1" si="34"/>
        <v>61.032949331932635</v>
      </c>
      <c r="AY56" s="11">
        <f t="shared" ca="1" si="35"/>
        <v>596.09681298764599</v>
      </c>
      <c r="AZ56" s="11"/>
      <c r="BA56" s="11"/>
    </row>
    <row r="57" spans="1:53">
      <c r="A57" s="4">
        <f t="shared" ca="1" si="36"/>
        <v>182.54905397501577</v>
      </c>
      <c r="B57" s="4">
        <f t="shared" ref="B57:C57" ca="1" si="77">A57/60</f>
        <v>3.0424842329169293</v>
      </c>
      <c r="C57" s="4">
        <f t="shared" ca="1" si="77"/>
        <v>5.0708070548615487E-2</v>
      </c>
      <c r="D57" s="41">
        <f t="shared" ca="1" si="45"/>
        <v>17226.348438746474</v>
      </c>
      <c r="E57" s="4">
        <f t="shared" ca="1" si="38"/>
        <v>17.937180693625955</v>
      </c>
      <c r="F57" s="4">
        <f t="shared" ca="1" si="39"/>
        <v>17.937180693625955</v>
      </c>
      <c r="G57" s="4"/>
      <c r="H57" s="5">
        <f t="shared" si="40"/>
        <v>17000</v>
      </c>
      <c r="I57" s="5">
        <v>15</v>
      </c>
      <c r="J57" s="4">
        <f t="shared" si="0"/>
        <v>0.10888324722246145</v>
      </c>
      <c r="K57" s="4">
        <v>590.93260458343445</v>
      </c>
      <c r="L57" s="6">
        <f t="shared" si="41"/>
        <v>51.989999999999981</v>
      </c>
      <c r="M57" s="4">
        <f t="shared" si="1"/>
        <v>350.11811329401161</v>
      </c>
      <c r="N57" s="4">
        <f t="shared" si="2"/>
        <v>230.90620463355683</v>
      </c>
      <c r="O57" s="4">
        <f t="shared" si="3"/>
        <v>2203897.2234346443</v>
      </c>
      <c r="P57" s="4">
        <f t="shared" si="4"/>
        <v>14150568.818134286</v>
      </c>
      <c r="Q57" s="4">
        <f t="shared" si="5"/>
        <v>2.8398736641316387E-3</v>
      </c>
      <c r="R57" s="4">
        <f t="shared" si="6"/>
        <v>2.2337428719523655E-2</v>
      </c>
      <c r="S57" s="24">
        <f t="shared" ca="1" si="42"/>
        <v>5.7704378730961849</v>
      </c>
      <c r="T57" s="4">
        <f t="shared" ca="1" si="7"/>
        <v>0.32271823143646949</v>
      </c>
      <c r="U57" s="4">
        <f t="shared" ca="1" si="8"/>
        <v>2.891501559029503E-2</v>
      </c>
      <c r="V57" s="4">
        <f t="shared" ca="1" si="9"/>
        <v>11.160921924067228</v>
      </c>
      <c r="W57" s="20">
        <f t="shared" ca="1" si="10"/>
        <v>1535.6309965812845</v>
      </c>
      <c r="X57" s="4">
        <f t="shared" si="11"/>
        <v>0.59471212691967157</v>
      </c>
      <c r="Y57" s="4">
        <f t="shared" ca="1" si="12"/>
        <v>231.6541345151862</v>
      </c>
      <c r="Z57" s="14">
        <f t="shared" ca="1" si="13"/>
        <v>1543.4521051168597</v>
      </c>
      <c r="AA57" s="14">
        <f t="shared" si="14"/>
        <v>3267.6192073967618</v>
      </c>
      <c r="AB57" s="25">
        <f t="shared" ca="1" si="15"/>
        <v>912076.17252649076</v>
      </c>
      <c r="AC57" s="4">
        <f t="shared" si="16"/>
        <v>1930942.7290138262</v>
      </c>
      <c r="AD57" s="5">
        <v>100</v>
      </c>
      <c r="AE57" s="4">
        <f t="shared" si="17"/>
        <v>3267.6192073967618</v>
      </c>
      <c r="AF57" s="4">
        <f t="shared" ca="1" si="18"/>
        <v>1724.1671022799021</v>
      </c>
      <c r="AG57" s="4">
        <f t="shared" ca="1" si="19"/>
        <v>1018866.5564873355</v>
      </c>
      <c r="AH57" s="4">
        <f t="shared" si="20"/>
        <v>2200.8943928577814</v>
      </c>
      <c r="AI57" s="13">
        <f t="shared" ca="1" si="21"/>
        <v>59.414118329506501</v>
      </c>
      <c r="AJ57" s="10">
        <f t="shared" ca="1" si="22"/>
        <v>5.7704378730961849</v>
      </c>
      <c r="AK57" s="11">
        <f t="shared" ca="1" si="43"/>
        <v>3564.8470997703898</v>
      </c>
      <c r="AL57" s="6">
        <v>500</v>
      </c>
      <c r="AM57" s="4">
        <f t="shared" ca="1" si="23"/>
        <v>8.4155082000381682</v>
      </c>
      <c r="AN57" s="4">
        <f t="shared" ca="1" si="24"/>
        <v>5.1449013362535236</v>
      </c>
      <c r="AO57" s="4">
        <f t="shared" ca="1" si="25"/>
        <v>0.81430319449665067</v>
      </c>
      <c r="AP57" s="4">
        <f t="shared" si="26"/>
        <v>0.6735467792194747</v>
      </c>
      <c r="AQ57" s="11">
        <f t="shared" si="27"/>
        <v>0.93517527071837592</v>
      </c>
      <c r="AR57" s="11">
        <f t="shared" si="28"/>
        <v>0.52032152984024871</v>
      </c>
      <c r="AS57" s="11">
        <f t="shared" si="29"/>
        <v>0.55638931666847014</v>
      </c>
      <c r="AT57" s="11">
        <f t="shared" si="30"/>
        <v>485.04735766350001</v>
      </c>
      <c r="AU57" s="11">
        <f t="shared" si="31"/>
        <v>1101.1148278785311</v>
      </c>
      <c r="AV57" s="11">
        <f t="shared" si="32"/>
        <v>1.3224817667892867E-3</v>
      </c>
      <c r="AW57" s="11">
        <f t="shared" si="33"/>
        <v>3.5459802147442123E-7</v>
      </c>
      <c r="AX57" s="4">
        <f t="shared" ca="1" si="34"/>
        <v>59.145823046028916</v>
      </c>
      <c r="AY57" s="11">
        <f t="shared" ca="1" si="35"/>
        <v>595.57327277814863</v>
      </c>
      <c r="AZ57" s="11"/>
      <c r="BA57" s="11"/>
    </row>
    <row r="58" spans="1:53">
      <c r="A58" s="4">
        <f t="shared" ca="1" si="36"/>
        <v>190.96456217505394</v>
      </c>
      <c r="B58" s="4">
        <f t="shared" ref="B58:C58" ca="1" si="78">A58/60</f>
        <v>3.1827427029175657</v>
      </c>
      <c r="C58" s="4">
        <f t="shared" ca="1" si="78"/>
        <v>5.3045711715292758E-2</v>
      </c>
      <c r="D58" s="41">
        <f t="shared" ca="1" si="45"/>
        <v>17226.348438746474</v>
      </c>
      <c r="E58" s="4">
        <f t="shared" ca="1" si="38"/>
        <v>18.751483888122607</v>
      </c>
      <c r="F58" s="4">
        <f t="shared" ca="1" si="39"/>
        <v>18.751483888122607</v>
      </c>
      <c r="G58" s="4"/>
      <c r="H58" s="5">
        <f t="shared" si="40"/>
        <v>17500</v>
      </c>
      <c r="I58" s="5">
        <v>15</v>
      </c>
      <c r="J58" s="4">
        <f t="shared" si="0"/>
        <v>0.11261073154023085</v>
      </c>
      <c r="K58" s="4">
        <v>590.2958717255085</v>
      </c>
      <c r="L58" s="6">
        <f t="shared" si="41"/>
        <v>53.22499999999998</v>
      </c>
      <c r="M58" s="4">
        <f t="shared" si="1"/>
        <v>349.74085926341621</v>
      </c>
      <c r="N58" s="4">
        <f t="shared" si="2"/>
        <v>226.56640121950582</v>
      </c>
      <c r="O58" s="4">
        <f t="shared" si="3"/>
        <v>2171123.7439626753</v>
      </c>
      <c r="P58" s="4">
        <f t="shared" si="4"/>
        <v>13940140.050519131</v>
      </c>
      <c r="Q58" s="4">
        <f t="shared" si="5"/>
        <v>2.8463319611713471E-3</v>
      </c>
      <c r="R58" s="4">
        <f t="shared" si="6"/>
        <v>2.2376856622951073E-2</v>
      </c>
      <c r="S58" s="24">
        <f t="shared" ca="1" si="42"/>
        <v>5.5933763019039082</v>
      </c>
      <c r="T58" s="4">
        <f t="shared" ca="1" si="7"/>
        <v>0.32900093273867559</v>
      </c>
      <c r="U58" s="4">
        <f t="shared" ca="1" si="8"/>
        <v>2.92130422878039E-2</v>
      </c>
      <c r="V58" s="4">
        <f t="shared" ca="1" si="9"/>
        <v>11.262124961083892</v>
      </c>
      <c r="W58" s="20">
        <f t="shared" ca="1" si="10"/>
        <v>1522.2995877588228</v>
      </c>
      <c r="X58" s="4">
        <f t="shared" si="11"/>
        <v>0.59523676013882054</v>
      </c>
      <c r="Y58" s="4">
        <f t="shared" ca="1" si="12"/>
        <v>233.64616831564427</v>
      </c>
      <c r="Z58" s="14">
        <f t="shared" ca="1" si="13"/>
        <v>1529.5824276743394</v>
      </c>
      <c r="AA58" s="14">
        <f t="shared" si="14"/>
        <v>3201.3146560008763</v>
      </c>
      <c r="AB58" s="25">
        <f t="shared" ca="1" si="15"/>
        <v>902906.19252004381</v>
      </c>
      <c r="AC58" s="4">
        <f t="shared" si="16"/>
        <v>1889722.8255316836</v>
      </c>
      <c r="AD58" s="5">
        <v>100</v>
      </c>
      <c r="AE58" s="4">
        <f t="shared" si="17"/>
        <v>3201.3146560008763</v>
      </c>
      <c r="AF58" s="4">
        <f t="shared" ca="1" si="18"/>
        <v>1671.7322283265369</v>
      </c>
      <c r="AG58" s="4">
        <f t="shared" ca="1" si="19"/>
        <v>986816.63301163982</v>
      </c>
      <c r="AH58" s="4">
        <f t="shared" si="20"/>
        <v>2161.2366448732614</v>
      </c>
      <c r="AI58" s="13">
        <f t="shared" ca="1" si="21"/>
        <v>57.534866827547376</v>
      </c>
      <c r="AJ58" s="10">
        <f t="shared" ca="1" si="22"/>
        <v>5.5933763019039082</v>
      </c>
      <c r="AK58" s="11">
        <f t="shared" ca="1" si="43"/>
        <v>3452.0920096528425</v>
      </c>
      <c r="AL58" s="6">
        <v>500</v>
      </c>
      <c r="AM58" s="4">
        <f t="shared" ca="1" si="23"/>
        <v>8.6903825031641997</v>
      </c>
      <c r="AN58" s="4">
        <f t="shared" ca="1" si="24"/>
        <v>5.2172147566121909</v>
      </c>
      <c r="AO58" s="4">
        <f t="shared" ca="1" si="25"/>
        <v>0.84025287708642171</v>
      </c>
      <c r="AP58" s="4">
        <f t="shared" si="26"/>
        <v>0.67510909645261374</v>
      </c>
      <c r="AQ58" s="11">
        <f t="shared" si="27"/>
        <v>0.93173759571837589</v>
      </c>
      <c r="AR58" s="11">
        <f t="shared" si="28"/>
        <v>0.50976348025491658</v>
      </c>
      <c r="AS58" s="11">
        <f t="shared" si="29"/>
        <v>0.54711056267069003</v>
      </c>
      <c r="AT58" s="11">
        <f t="shared" si="30"/>
        <v>483.26433877124998</v>
      </c>
      <c r="AU58" s="11">
        <f t="shared" si="31"/>
        <v>1078.7716721850595</v>
      </c>
      <c r="AV58" s="11">
        <f t="shared" si="32"/>
        <v>1.3004270964119631E-3</v>
      </c>
      <c r="AW58" s="11">
        <f t="shared" si="33"/>
        <v>3.5356655677805922E-7</v>
      </c>
      <c r="AX58" s="4">
        <f t="shared" ca="1" si="34"/>
        <v>57.285305502821259</v>
      </c>
      <c r="AY58" s="11">
        <f t="shared" ca="1" si="35"/>
        <v>595.08625028859228</v>
      </c>
      <c r="AZ58" s="11"/>
      <c r="BA58" s="11"/>
    </row>
    <row r="59" spans="1:53">
      <c r="A59" s="4">
        <f t="shared" ca="1" si="36"/>
        <v>199.65494467821813</v>
      </c>
      <c r="B59" s="4">
        <f t="shared" ref="B59:C59" ca="1" si="79">A59/60</f>
        <v>3.3275824113036356</v>
      </c>
      <c r="C59" s="4">
        <f t="shared" ca="1" si="79"/>
        <v>5.5459706855060596E-2</v>
      </c>
      <c r="D59" s="41">
        <f t="shared" ca="1" si="45"/>
        <v>17226.348438746474</v>
      </c>
      <c r="E59" s="4">
        <f t="shared" ca="1" si="38"/>
        <v>19.591736765209028</v>
      </c>
      <c r="F59" s="4">
        <f t="shared" ca="1" si="39"/>
        <v>19.591736765209028</v>
      </c>
      <c r="G59" s="4"/>
      <c r="H59" s="5">
        <f t="shared" si="40"/>
        <v>18000</v>
      </c>
      <c r="I59" s="5">
        <v>15</v>
      </c>
      <c r="J59" s="4">
        <f t="shared" si="0"/>
        <v>0.11640725284349195</v>
      </c>
      <c r="K59" s="4">
        <v>589.69269079925698</v>
      </c>
      <c r="L59" s="6">
        <f t="shared" si="41"/>
        <v>54.45999999999998</v>
      </c>
      <c r="M59" s="4">
        <f t="shared" si="1"/>
        <v>349.383484215507</v>
      </c>
      <c r="N59" s="4">
        <f t="shared" si="2"/>
        <v>222.31812588184829</v>
      </c>
      <c r="O59" s="4">
        <f t="shared" si="3"/>
        <v>2138843.3250518483</v>
      </c>
      <c r="P59" s="4">
        <f t="shared" si="4"/>
        <v>13732877.07817236</v>
      </c>
      <c r="Q59" s="4">
        <f t="shared" si="5"/>
        <v>2.8527981962257723E-3</v>
      </c>
      <c r="R59" s="4">
        <f t="shared" si="6"/>
        <v>2.2416332987958341E-2</v>
      </c>
      <c r="S59" s="24">
        <f t="shared" ca="1" si="42"/>
        <v>5.4183295255194812</v>
      </c>
      <c r="T59" s="4">
        <f t="shared" ca="1" si="7"/>
        <v>0.3353865631173622</v>
      </c>
      <c r="U59" s="4">
        <f t="shared" ca="1" si="8"/>
        <v>2.952046313474822E-2</v>
      </c>
      <c r="V59" s="4">
        <f t="shared" ca="1" si="9"/>
        <v>11.361155195515286</v>
      </c>
      <c r="W59" s="20">
        <f t="shared" ca="1" si="10"/>
        <v>1509.4748290347259</v>
      </c>
      <c r="X59" s="4">
        <f t="shared" si="11"/>
        <v>0.59576157534568974</v>
      </c>
      <c r="Y59" s="4">
        <f t="shared" ca="1" si="12"/>
        <v>235.66165697200208</v>
      </c>
      <c r="Z59" s="14">
        <f t="shared" ca="1" si="13"/>
        <v>1516.2497248119998</v>
      </c>
      <c r="AA59" s="14">
        <f t="shared" si="14"/>
        <v>3136.1037756224764</v>
      </c>
      <c r="AB59" s="25">
        <f t="shared" ca="1" si="15"/>
        <v>894121.38014802116</v>
      </c>
      <c r="AC59" s="4">
        <f t="shared" si="16"/>
        <v>1849337.4740725274</v>
      </c>
      <c r="AD59" s="5">
        <v>100</v>
      </c>
      <c r="AE59" s="4">
        <f t="shared" si="17"/>
        <v>3136.1037756224764</v>
      </c>
      <c r="AF59" s="4">
        <f t="shared" ca="1" si="18"/>
        <v>1619.8540508104766</v>
      </c>
      <c r="AG59" s="4">
        <f t="shared" ca="1" si="19"/>
        <v>955216.09392450622</v>
      </c>
      <c r="AH59" s="4">
        <f t="shared" si="20"/>
        <v>2122.2337451704161</v>
      </c>
      <c r="AI59" s="13">
        <f t="shared" ca="1" si="21"/>
        <v>55.682793359025496</v>
      </c>
      <c r="AJ59" s="10">
        <f t="shared" ca="1" si="22"/>
        <v>5.4183295255194812</v>
      </c>
      <c r="AK59" s="11">
        <f t="shared" ca="1" si="43"/>
        <v>3340.9676015415298</v>
      </c>
      <c r="AL59" s="6">
        <v>500</v>
      </c>
      <c r="AM59" s="4">
        <f t="shared" ca="1" si="23"/>
        <v>8.9794345764256835</v>
      </c>
      <c r="AN59" s="4">
        <f t="shared" ca="1" si="24"/>
        <v>5.2934608529557243</v>
      </c>
      <c r="AO59" s="4">
        <f t="shared" ca="1" si="25"/>
        <v>0.86756895258317757</v>
      </c>
      <c r="AP59" s="4">
        <f t="shared" si="26"/>
        <v>0.67671030584731851</v>
      </c>
      <c r="AQ59" s="11">
        <f t="shared" si="27"/>
        <v>0.92829992071837586</v>
      </c>
      <c r="AR59" s="11">
        <f t="shared" si="28"/>
        <v>0.49937958210548988</v>
      </c>
      <c r="AS59" s="11">
        <f t="shared" si="29"/>
        <v>0.53795068916847377</v>
      </c>
      <c r="AT59" s="11">
        <f t="shared" si="30"/>
        <v>481.48131987899995</v>
      </c>
      <c r="AU59" s="11">
        <f t="shared" si="31"/>
        <v>1056.7970592432796</v>
      </c>
      <c r="AV59" s="11">
        <f t="shared" si="32"/>
        <v>1.2786549930845453E-3</v>
      </c>
      <c r="AW59" s="11">
        <f t="shared" si="33"/>
        <v>3.5253330369939681E-7</v>
      </c>
      <c r="AX59" s="4">
        <f t="shared" ca="1" si="34"/>
        <v>55.450874996582577</v>
      </c>
      <c r="AY59" s="11">
        <f t="shared" ca="1" si="35"/>
        <v>594.63695248114414</v>
      </c>
      <c r="AZ59" s="11"/>
      <c r="BA59" s="11"/>
    </row>
    <row r="60" spans="1:53">
      <c r="A60" s="4">
        <f t="shared" ca="1" si="36"/>
        <v>208.63437925464382</v>
      </c>
      <c r="B60" s="4">
        <f t="shared" ref="B60:C60" ca="1" si="80">A60/60</f>
        <v>3.4772396542440638</v>
      </c>
      <c r="C60" s="4">
        <f t="shared" ca="1" si="80"/>
        <v>5.7953994237401066E-2</v>
      </c>
      <c r="D60" s="41">
        <f t="shared" ca="1" si="45"/>
        <v>17226.348438746474</v>
      </c>
      <c r="E60" s="4">
        <f t="shared" ca="1" si="38"/>
        <v>20.459305717792205</v>
      </c>
      <c r="F60" s="4">
        <f t="shared" ca="1" si="39"/>
        <v>20.459305717792205</v>
      </c>
      <c r="G60" s="4"/>
      <c r="H60" s="5">
        <f t="shared" si="40"/>
        <v>18500</v>
      </c>
      <c r="I60" s="5">
        <v>15</v>
      </c>
      <c r="J60" s="4">
        <f t="shared" si="0"/>
        <v>0.12027417045297048</v>
      </c>
      <c r="K60" s="4">
        <v>589.12423333267691</v>
      </c>
      <c r="L60" s="6">
        <f t="shared" si="41"/>
        <v>55.694999999999979</v>
      </c>
      <c r="M60" s="4">
        <f t="shared" si="1"/>
        <v>349.04668226187778</v>
      </c>
      <c r="N60" s="4">
        <f t="shared" si="2"/>
        <v>218.16011238729419</v>
      </c>
      <c r="O60" s="4">
        <f t="shared" si="3"/>
        <v>2107052.1450297008</v>
      </c>
      <c r="P60" s="4">
        <f t="shared" si="4"/>
        <v>13528755.363271333</v>
      </c>
      <c r="Q60" s="4">
        <f t="shared" si="5"/>
        <v>2.8592710770483322E-3</v>
      </c>
      <c r="R60" s="4">
        <f t="shared" si="6"/>
        <v>2.2455849925380071E-2</v>
      </c>
      <c r="S60" s="24">
        <f t="shared" ca="1" si="42"/>
        <v>5.245262948565947</v>
      </c>
      <c r="T60" s="4">
        <f t="shared" ca="1" si="7"/>
        <v>0.3418752109053253</v>
      </c>
      <c r="U60" s="4">
        <f t="shared" ca="1" si="8"/>
        <v>2.9837523121470956E-2</v>
      </c>
      <c r="V60" s="4">
        <f t="shared" ca="1" si="9"/>
        <v>11.45789513135939</v>
      </c>
      <c r="W60" s="20">
        <f t="shared" ca="1" si="10"/>
        <v>1497.1522014338764</v>
      </c>
      <c r="X60" s="4">
        <f t="shared" si="11"/>
        <v>0.59628646731640012</v>
      </c>
      <c r="Y60" s="4">
        <f t="shared" ca="1" si="12"/>
        <v>237.7010203762421</v>
      </c>
      <c r="Z60" s="14">
        <f t="shared" ca="1" si="13"/>
        <v>1503.4479056802734</v>
      </c>
      <c r="AA60" s="14">
        <f t="shared" si="14"/>
        <v>3071.972711284965</v>
      </c>
      <c r="AB60" s="25">
        <f t="shared" ca="1" si="15"/>
        <v>885717.59478950978</v>
      </c>
      <c r="AC60" s="4">
        <f t="shared" si="16"/>
        <v>1809773.5683546599</v>
      </c>
      <c r="AD60" s="5">
        <v>100</v>
      </c>
      <c r="AE60" s="4">
        <f t="shared" si="17"/>
        <v>3071.972711284965</v>
      </c>
      <c r="AF60" s="4">
        <f t="shared" ca="1" si="18"/>
        <v>1568.5248056046917</v>
      </c>
      <c r="AG60" s="4">
        <f t="shared" ca="1" si="19"/>
        <v>924055.97356515017</v>
      </c>
      <c r="AH60" s="4">
        <f t="shared" si="20"/>
        <v>2083.8756012069312</v>
      </c>
      <c r="AI60" s="13">
        <f t="shared" ca="1" si="21"/>
        <v>53.857317980159792</v>
      </c>
      <c r="AJ60" s="10">
        <f t="shared" ca="1" si="22"/>
        <v>5.245262948565947</v>
      </c>
      <c r="AK60" s="11">
        <f t="shared" ca="1" si="43"/>
        <v>3231.4390788095875</v>
      </c>
      <c r="AL60" s="6">
        <v>500</v>
      </c>
      <c r="AM60" s="4">
        <f t="shared" ca="1" si="23"/>
        <v>9.2837894412824706</v>
      </c>
      <c r="AN60" s="4">
        <f t="shared" ca="1" si="24"/>
        <v>5.3739617509530744</v>
      </c>
      <c r="AO60" s="4">
        <f t="shared" ca="1" si="25"/>
        <v>0.89636288212831927</v>
      </c>
      <c r="AP60" s="4">
        <f t="shared" si="26"/>
        <v>0.67835094809005447</v>
      </c>
      <c r="AQ60" s="11">
        <f t="shared" si="27"/>
        <v>0.92486224571837594</v>
      </c>
      <c r="AR60" s="11">
        <f t="shared" si="28"/>
        <v>0.48916762918550399</v>
      </c>
      <c r="AS60" s="11">
        <f t="shared" si="29"/>
        <v>0.52890863634026786</v>
      </c>
      <c r="AT60" s="11">
        <f t="shared" si="30"/>
        <v>479.69830098674998</v>
      </c>
      <c r="AU60" s="11">
        <f t="shared" si="31"/>
        <v>1035.1863202349471</v>
      </c>
      <c r="AV60" s="11">
        <f t="shared" si="32"/>
        <v>1.2571629377171826E-3</v>
      </c>
      <c r="AW60" s="11">
        <f t="shared" si="33"/>
        <v>3.5149825485047556E-7</v>
      </c>
      <c r="AX60" s="4">
        <f t="shared" ca="1" si="34"/>
        <v>53.64201106525347</v>
      </c>
      <c r="AY60" s="11">
        <f t="shared" ca="1" si="35"/>
        <v>594.22660997273579</v>
      </c>
      <c r="AZ60" s="11"/>
      <c r="BA60" s="11"/>
    </row>
    <row r="61" spans="1:53">
      <c r="A61" s="4">
        <f t="shared" ca="1" si="36"/>
        <v>217.91816869592628</v>
      </c>
      <c r="B61" s="4">
        <f t="shared" ref="B61:C61" ca="1" si="81">A61/60</f>
        <v>3.6319694782654381</v>
      </c>
      <c r="C61" s="4">
        <f t="shared" ca="1" si="81"/>
        <v>6.0532824637757304E-2</v>
      </c>
      <c r="D61" s="41">
        <f t="shared" ca="1" si="45"/>
        <v>17226.348438746474</v>
      </c>
      <c r="E61" s="4">
        <f t="shared" ca="1" si="38"/>
        <v>21.355668599920524</v>
      </c>
      <c r="F61" s="4">
        <f t="shared" ca="1" si="39"/>
        <v>21.355668599920524</v>
      </c>
      <c r="G61" s="4"/>
      <c r="H61" s="5">
        <f t="shared" si="40"/>
        <v>19000</v>
      </c>
      <c r="I61" s="5">
        <v>15</v>
      </c>
      <c r="J61" s="4">
        <f t="shared" si="0"/>
        <v>0.12421287136617805</v>
      </c>
      <c r="K61" s="4">
        <v>588.59169705966121</v>
      </c>
      <c r="L61" s="6">
        <f t="shared" si="41"/>
        <v>56.929999999999978</v>
      </c>
      <c r="M61" s="4">
        <f t="shared" si="1"/>
        <v>348.73116304069634</v>
      </c>
      <c r="N61" s="4">
        <f t="shared" si="2"/>
        <v>214.09110081568679</v>
      </c>
      <c r="O61" s="4">
        <f t="shared" si="3"/>
        <v>2075746.3572621478</v>
      </c>
      <c r="P61" s="4">
        <f t="shared" si="4"/>
        <v>13327750.207722254</v>
      </c>
      <c r="Q61" s="4">
        <f t="shared" si="5"/>
        <v>2.8657492593828228E-3</v>
      </c>
      <c r="R61" s="4">
        <f t="shared" si="6"/>
        <v>2.2495399228532133E-2</v>
      </c>
      <c r="S61" s="24">
        <f t="shared" ca="1" si="42"/>
        <v>5.0741429572009</v>
      </c>
      <c r="T61" s="4">
        <f t="shared" ca="1" si="7"/>
        <v>0.348466848549984</v>
      </c>
      <c r="U61" s="4">
        <f t="shared" ca="1" si="8"/>
        <v>3.0164466128809842E-2</v>
      </c>
      <c r="V61" s="4">
        <f t="shared" ca="1" si="9"/>
        <v>11.552229933788421</v>
      </c>
      <c r="W61" s="20">
        <f t="shared" ca="1" si="10"/>
        <v>1485.3270645779114</v>
      </c>
      <c r="X61" s="4">
        <f t="shared" si="11"/>
        <v>0.59681132698522676</v>
      </c>
      <c r="Y61" s="4">
        <f t="shared" ca="1" si="12"/>
        <v>239.76468600272997</v>
      </c>
      <c r="Z61" s="14">
        <f t="shared" ca="1" si="13"/>
        <v>1491.1708421213264</v>
      </c>
      <c r="AA61" s="14">
        <f t="shared" si="14"/>
        <v>3008.9077301022539</v>
      </c>
      <c r="AB61" s="25">
        <f t="shared" ca="1" si="15"/>
        <v>877690.77657007566</v>
      </c>
      <c r="AC61" s="4">
        <f t="shared" si="16"/>
        <v>1771018.1071568187</v>
      </c>
      <c r="AD61" s="5">
        <v>100</v>
      </c>
      <c r="AE61" s="4">
        <f t="shared" si="17"/>
        <v>3008.9077301022539</v>
      </c>
      <c r="AF61" s="4">
        <f t="shared" ca="1" si="18"/>
        <v>1517.7368879809276</v>
      </c>
      <c r="AG61" s="4">
        <f t="shared" ca="1" si="19"/>
        <v>893327.33058674308</v>
      </c>
      <c r="AH61" s="4">
        <f t="shared" si="20"/>
        <v>2046.1520359327619</v>
      </c>
      <c r="AI61" s="13">
        <f t="shared" ca="1" si="21"/>
        <v>52.057865467948048</v>
      </c>
      <c r="AJ61" s="10">
        <f t="shared" ca="1" si="22"/>
        <v>5.0741429572009</v>
      </c>
      <c r="AK61" s="11">
        <f t="shared" ca="1" si="43"/>
        <v>3123.4719280768827</v>
      </c>
      <c r="AL61" s="6">
        <v>500</v>
      </c>
      <c r="AM61" s="4">
        <f t="shared" ca="1" si="23"/>
        <v>9.6046965334729162</v>
      </c>
      <c r="AN61" s="4">
        <f t="shared" ca="1" si="24"/>
        <v>5.4590748240227631</v>
      </c>
      <c r="AO61" s="4">
        <f t="shared" ca="1" si="25"/>
        <v>0.92675853960446619</v>
      </c>
      <c r="AP61" s="4">
        <f t="shared" si="26"/>
        <v>0.68003149962435905</v>
      </c>
      <c r="AQ61" s="11">
        <f t="shared" si="27"/>
        <v>0.92142457071837591</v>
      </c>
      <c r="AR61" s="11">
        <f t="shared" si="28"/>
        <v>0.47912543472965829</v>
      </c>
      <c r="AS61" s="11">
        <f t="shared" si="29"/>
        <v>0.51998334964750803</v>
      </c>
      <c r="AT61" s="11">
        <f t="shared" si="30"/>
        <v>477.91528209450001</v>
      </c>
      <c r="AU61" s="11">
        <f t="shared" si="31"/>
        <v>1013.9348274835974</v>
      </c>
      <c r="AV61" s="11">
        <f t="shared" si="32"/>
        <v>1.2359484237771618E-3</v>
      </c>
      <c r="AW61" s="11">
        <f t="shared" si="33"/>
        <v>3.5046140280295339E-7</v>
      </c>
      <c r="AX61" s="4">
        <f t="shared" ca="1" si="34"/>
        <v>51.858194658214444</v>
      </c>
      <c r="AY61" s="11">
        <f t="shared" ca="1" si="35"/>
        <v>593.85647652837997</v>
      </c>
      <c r="AZ61" s="11"/>
      <c r="BA61" s="11"/>
    </row>
    <row r="62" spans="1:53">
      <c r="A62" s="4">
        <f t="shared" ca="1" si="36"/>
        <v>227.5228652293992</v>
      </c>
      <c r="B62" s="4">
        <f t="shared" ref="B62:C62" ca="1" si="82">A62/60</f>
        <v>3.7920477538233199</v>
      </c>
      <c r="C62" s="4">
        <f t="shared" ca="1" si="82"/>
        <v>6.3200795897055337E-2</v>
      </c>
      <c r="D62" s="41">
        <f t="shared" ca="1" si="45"/>
        <v>17226.348438746474</v>
      </c>
      <c r="E62" s="4">
        <f t="shared" ca="1" si="38"/>
        <v>22.282427139524991</v>
      </c>
      <c r="F62" s="4">
        <f t="shared" ca="1" si="39"/>
        <v>22.282427139524991</v>
      </c>
      <c r="G62" s="4"/>
      <c r="H62" s="5">
        <f t="shared" si="40"/>
        <v>19500</v>
      </c>
      <c r="I62" s="5">
        <v>15</v>
      </c>
      <c r="J62" s="4">
        <f t="shared" si="0"/>
        <v>0.12822477072974794</v>
      </c>
      <c r="K62" s="4">
        <v>588.09630558304002</v>
      </c>
      <c r="L62" s="6">
        <f t="shared" si="41"/>
        <v>58.164999999999978</v>
      </c>
      <c r="M62" s="4">
        <f t="shared" si="1"/>
        <v>348.43765151706191</v>
      </c>
      <c r="N62" s="4">
        <f t="shared" si="2"/>
        <v>210.10983723855955</v>
      </c>
      <c r="O62" s="4">
        <f t="shared" si="3"/>
        <v>2044922.0873391728</v>
      </c>
      <c r="P62" s="4">
        <f t="shared" si="4"/>
        <v>13129836.73509033</v>
      </c>
      <c r="Q62" s="4">
        <f t="shared" si="5"/>
        <v>2.872231346369773E-3</v>
      </c>
      <c r="R62" s="4">
        <f t="shared" si="6"/>
        <v>2.2534972369587465E-2</v>
      </c>
      <c r="S62" s="24">
        <f t="shared" ca="1" si="42"/>
        <v>4.9049369345980995</v>
      </c>
      <c r="T62" s="4">
        <f t="shared" ca="1" si="7"/>
        <v>0.35516132715396986</v>
      </c>
      <c r="U62" s="4">
        <f t="shared" ca="1" si="8"/>
        <v>3.0501534201071968E-2</v>
      </c>
      <c r="V62" s="4">
        <f t="shared" ca="1" si="9"/>
        <v>11.644047962068997</v>
      </c>
      <c r="W62" s="20">
        <f t="shared" ca="1" si="10"/>
        <v>1473.9946488981254</v>
      </c>
      <c r="X62" s="4">
        <f t="shared" si="11"/>
        <v>0.59733604141348318</v>
      </c>
      <c r="Y62" s="4">
        <f t="shared" ca="1" si="12"/>
        <v>241.85308912991499</v>
      </c>
      <c r="Z62" s="14">
        <f t="shared" ca="1" si="13"/>
        <v>1479.4123568420594</v>
      </c>
      <c r="AA62" s="14">
        <f t="shared" si="14"/>
        <v>2946.8952206774302</v>
      </c>
      <c r="AB62" s="25">
        <f t="shared" ca="1" si="15"/>
        <v>870036.94149271317</v>
      </c>
      <c r="AC62" s="4">
        <f t="shared" si="16"/>
        <v>1733058.1922207142</v>
      </c>
      <c r="AD62" s="5">
        <v>100</v>
      </c>
      <c r="AE62" s="4">
        <f t="shared" si="17"/>
        <v>2946.8952206774302</v>
      </c>
      <c r="AF62" s="4">
        <f t="shared" ca="1" si="18"/>
        <v>1467.4828638353708</v>
      </c>
      <c r="AG62" s="4">
        <f t="shared" ca="1" si="19"/>
        <v>863021.250728001</v>
      </c>
      <c r="AH62" s="4">
        <f t="shared" si="20"/>
        <v>2009.0527892060159</v>
      </c>
      <c r="AI62" s="13">
        <f t="shared" ca="1" si="21"/>
        <v>50.283865314498918</v>
      </c>
      <c r="AJ62" s="10">
        <f t="shared" ca="1" si="22"/>
        <v>4.9049369345980995</v>
      </c>
      <c r="AK62" s="11">
        <f t="shared" ca="1" si="43"/>
        <v>3017.031918869935</v>
      </c>
      <c r="AL62" s="6">
        <v>500</v>
      </c>
      <c r="AM62" s="4">
        <f t="shared" ca="1" si="23"/>
        <v>9.9435474355991751</v>
      </c>
      <c r="AN62" s="4">
        <f t="shared" ca="1" si="24"/>
        <v>5.5491976972480135</v>
      </c>
      <c r="AO62" s="4">
        <f t="shared" ca="1" si="25"/>
        <v>0.95889397992614644</v>
      </c>
      <c r="AP62" s="4">
        <f t="shared" si="26"/>
        <v>0.68175236605262679</v>
      </c>
      <c r="AQ62" s="11">
        <f t="shared" si="27"/>
        <v>0.91798689571837588</v>
      </c>
      <c r="AR62" s="11">
        <f t="shared" si="28"/>
        <v>0.46925083131806217</v>
      </c>
      <c r="AS62" s="11">
        <f t="shared" si="29"/>
        <v>0.51117377982922863</v>
      </c>
      <c r="AT62" s="11">
        <f t="shared" si="30"/>
        <v>476.13226320224999</v>
      </c>
      <c r="AU62" s="11">
        <f t="shared" si="31"/>
        <v>993.03799425190948</v>
      </c>
      <c r="AV62" s="11">
        <f t="shared" si="32"/>
        <v>1.2150089572760935E-3</v>
      </c>
      <c r="AW62" s="11">
        <f t="shared" si="33"/>
        <v>3.4942274008792472E-7</v>
      </c>
      <c r="AX62" s="4">
        <f t="shared" ca="1" si="34"/>
        <v>50.098908297178347</v>
      </c>
      <c r="AY62" s="11">
        <f t="shared" ca="1" si="35"/>
        <v>593.52782849625646</v>
      </c>
      <c r="AZ62" s="11"/>
      <c r="BA62" s="11"/>
    </row>
    <row r="63" spans="1:53">
      <c r="A63" s="4">
        <f t="shared" ca="1" si="36"/>
        <v>237.46641266499839</v>
      </c>
      <c r="B63" s="4">
        <f t="shared" ref="B63:C63" ca="1" si="83">A63/60</f>
        <v>3.9577735444166398</v>
      </c>
      <c r="C63" s="4">
        <f t="shared" ca="1" si="83"/>
        <v>6.5962892406944001E-2</v>
      </c>
      <c r="D63" s="41">
        <f t="shared" ca="1" si="45"/>
        <v>17226.348438746474</v>
      </c>
      <c r="E63" s="4">
        <f t="shared" ca="1" si="38"/>
        <v>23.241321119451136</v>
      </c>
      <c r="F63" s="4">
        <f t="shared" ca="1" si="39"/>
        <v>23.241321119451136</v>
      </c>
      <c r="G63" s="4"/>
      <c r="H63" s="5">
        <f t="shared" si="40"/>
        <v>20000</v>
      </c>
      <c r="I63" s="5">
        <v>15</v>
      </c>
      <c r="J63" s="4">
        <f t="shared" si="0"/>
        <v>0.1323113123104098</v>
      </c>
      <c r="K63" s="4">
        <v>587.63930797374337</v>
      </c>
      <c r="L63" s="6">
        <f t="shared" si="41"/>
        <v>59.399999999999977</v>
      </c>
      <c r="M63" s="4">
        <f t="shared" si="1"/>
        <v>348.1668877455154</v>
      </c>
      <c r="N63" s="4">
        <f t="shared" si="2"/>
        <v>206.21507340888328</v>
      </c>
      <c r="O63" s="4">
        <f t="shared" si="3"/>
        <v>2014575.4302670355</v>
      </c>
      <c r="P63" s="4">
        <f t="shared" si="4"/>
        <v>12934989.872571772</v>
      </c>
      <c r="Q63" s="4">
        <f t="shared" si="5"/>
        <v>2.8787158880251417E-3</v>
      </c>
      <c r="R63" s="4">
        <f t="shared" si="6"/>
        <v>2.2574560496393489E-2</v>
      </c>
      <c r="S63" s="24">
        <f t="shared" ca="1" si="42"/>
        <v>4.7376132762759005</v>
      </c>
      <c r="T63" s="4">
        <f t="shared" ca="1" si="7"/>
        <v>0.36195837113147483</v>
      </c>
      <c r="U63" s="4">
        <f t="shared" ca="1" si="8"/>
        <v>3.0848966774027743E-2</v>
      </c>
      <c r="V63" s="4">
        <f t="shared" ca="1" si="9"/>
        <v>11.733241303764299</v>
      </c>
      <c r="W63" s="20">
        <f t="shared" ca="1" si="10"/>
        <v>1463.1500480156965</v>
      </c>
      <c r="X63" s="4">
        <f t="shared" si="11"/>
        <v>0.59786049376420602</v>
      </c>
      <c r="Y63" s="4">
        <f t="shared" ca="1" si="12"/>
        <v>243.96667306827206</v>
      </c>
      <c r="Z63" s="14">
        <f t="shared" ca="1" si="13"/>
        <v>1468.1662119417811</v>
      </c>
      <c r="AA63" s="14">
        <f t="shared" si="14"/>
        <v>2885.9216925020037</v>
      </c>
      <c r="AB63" s="25">
        <f t="shared" ca="1" si="15"/>
        <v>862752.17677590041</v>
      </c>
      <c r="AC63" s="4">
        <f t="shared" si="16"/>
        <v>1695881.0262482916</v>
      </c>
      <c r="AD63" s="5">
        <v>100</v>
      </c>
      <c r="AE63" s="4">
        <f t="shared" si="17"/>
        <v>2885.9216925020037</v>
      </c>
      <c r="AF63" s="4">
        <f t="shared" ca="1" si="18"/>
        <v>1417.7554805602226</v>
      </c>
      <c r="AG63" s="4">
        <f t="shared" ca="1" si="19"/>
        <v>833128.84947239119</v>
      </c>
      <c r="AH63" s="4">
        <f t="shared" si="20"/>
        <v>1972.5675201988836</v>
      </c>
      <c r="AI63" s="13">
        <f t="shared" ca="1" si="21"/>
        <v>48.534751723124785</v>
      </c>
      <c r="AJ63" s="10">
        <f t="shared" ca="1" si="22"/>
        <v>4.7376132762759005</v>
      </c>
      <c r="AK63" s="11">
        <f t="shared" ca="1" si="43"/>
        <v>2912.0851033874869</v>
      </c>
      <c r="AL63" s="6">
        <v>500</v>
      </c>
      <c r="AM63" s="4">
        <f t="shared" ca="1" si="23"/>
        <v>10.301896728602628</v>
      </c>
      <c r="AN63" s="4">
        <f t="shared" ca="1" si="24"/>
        <v>5.6447741342457434</v>
      </c>
      <c r="AO63" s="4">
        <f t="shared" ca="1" si="25"/>
        <v>0.99292351807733037</v>
      </c>
      <c r="AP63" s="4">
        <f t="shared" si="26"/>
        <v>0.68351387541937403</v>
      </c>
      <c r="AQ63" s="11">
        <f t="shared" si="27"/>
        <v>0.91454922071837585</v>
      </c>
      <c r="AR63" s="11">
        <f t="shared" si="28"/>
        <v>0.45954167078057384</v>
      </c>
      <c r="AS63" s="11">
        <f t="shared" si="29"/>
        <v>0.50247888289665277</v>
      </c>
      <c r="AT63" s="11">
        <f t="shared" si="30"/>
        <v>474.34924430999996</v>
      </c>
      <c r="AU63" s="11">
        <f t="shared" si="31"/>
        <v>972.49127453926587</v>
      </c>
      <c r="AV63" s="11">
        <f t="shared" si="32"/>
        <v>1.1943420567570538E-3</v>
      </c>
      <c r="AW63" s="11">
        <f t="shared" si="33"/>
        <v>3.4838225919573639E-7</v>
      </c>
      <c r="AX63" s="4">
        <f t="shared" ca="1" si="34"/>
        <v>48.363636230558924</v>
      </c>
      <c r="AY63" s="11">
        <f t="shared" ca="1" si="35"/>
        <v>593.24196418605868</v>
      </c>
      <c r="AZ63" s="11"/>
      <c r="BA63" s="11"/>
    </row>
    <row r="64" spans="1:53">
      <c r="A64" s="4">
        <f t="shared" ca="1" si="36"/>
        <v>247.76830939360102</v>
      </c>
      <c r="B64" s="4">
        <f t="shared" ref="B64:C64" ca="1" si="84">A64/60</f>
        <v>4.1294718232266838</v>
      </c>
      <c r="C64" s="4">
        <f t="shared" ca="1" si="84"/>
        <v>6.8824530387111393E-2</v>
      </c>
      <c r="D64" s="41">
        <f t="shared" ca="1" si="45"/>
        <v>17226.348438746474</v>
      </c>
      <c r="E64" s="4">
        <f t="shared" ca="1" si="38"/>
        <v>24.234244637528466</v>
      </c>
      <c r="F64" s="4">
        <f t="shared" ca="1" si="39"/>
        <v>24.234244637528466</v>
      </c>
      <c r="G64" s="4"/>
      <c r="H64" s="5">
        <f t="shared" si="40"/>
        <v>20500</v>
      </c>
      <c r="I64" s="5">
        <v>15</v>
      </c>
      <c r="J64" s="4">
        <f t="shared" si="0"/>
        <v>0.13647396896359754</v>
      </c>
      <c r="K64" s="4">
        <v>587.22197830602033</v>
      </c>
      <c r="L64" s="6">
        <f t="shared" si="41"/>
        <v>60.634999999999977</v>
      </c>
      <c r="M64" s="4">
        <f t="shared" si="1"/>
        <v>347.91962659466418</v>
      </c>
      <c r="N64" s="4">
        <f t="shared" si="2"/>
        <v>202.40556646400262</v>
      </c>
      <c r="O64" s="4">
        <f t="shared" si="3"/>
        <v>1984702.4476822298</v>
      </c>
      <c r="P64" s="4">
        <f t="shared" si="4"/>
        <v>12743184.333105447</v>
      </c>
      <c r="Q64" s="4">
        <f t="shared" si="5"/>
        <v>2.885201380794432E-3</v>
      </c>
      <c r="R64" s="4">
        <f t="shared" si="6"/>
        <v>2.2614154429750011E-2</v>
      </c>
      <c r="S64" s="24">
        <f t="shared" ca="1" si="42"/>
        <v>4.5721414050896003</v>
      </c>
      <c r="T64" s="4">
        <f t="shared" ca="1" si="7"/>
        <v>0.36885757301613259</v>
      </c>
      <c r="U64" s="4">
        <f t="shared" ca="1" si="8"/>
        <v>3.1206999858909752E-2</v>
      </c>
      <c r="V64" s="4">
        <f t="shared" ca="1" si="9"/>
        <v>11.819706305757615</v>
      </c>
      <c r="W64" s="20">
        <f t="shared" ca="1" si="10"/>
        <v>1452.788211339476</v>
      </c>
      <c r="X64" s="4">
        <f t="shared" si="11"/>
        <v>0.59838456328283107</v>
      </c>
      <c r="Y64" s="4">
        <f t="shared" ca="1" si="12"/>
        <v>246.10588939473558</v>
      </c>
      <c r="Z64" s="14">
        <f t="shared" ca="1" si="13"/>
        <v>1457.4260978341886</v>
      </c>
      <c r="AA64" s="14">
        <f t="shared" si="14"/>
        <v>2825.9737753557747</v>
      </c>
      <c r="AB64" s="25">
        <f t="shared" ca="1" si="15"/>
        <v>855832.63640501571</v>
      </c>
      <c r="AC64" s="4">
        <f t="shared" si="16"/>
        <v>1659473.9110053512</v>
      </c>
      <c r="AD64" s="5">
        <v>100</v>
      </c>
      <c r="AE64" s="4">
        <f t="shared" si="17"/>
        <v>2825.9737753557747</v>
      </c>
      <c r="AF64" s="4">
        <f t="shared" ca="1" si="18"/>
        <v>1368.5476775215861</v>
      </c>
      <c r="AG64" s="4">
        <f t="shared" ca="1" si="19"/>
        <v>803641.27460033551</v>
      </c>
      <c r="AH64" s="4">
        <f t="shared" si="20"/>
        <v>1936.6858108812901</v>
      </c>
      <c r="AI64" s="13">
        <f t="shared" ca="1" si="21"/>
        <v>46.809963606053515</v>
      </c>
      <c r="AJ64" s="10">
        <f t="shared" ca="1" si="22"/>
        <v>4.5721414050896003</v>
      </c>
      <c r="AK64" s="11">
        <f t="shared" ca="1" si="43"/>
        <v>2808.5978163632108</v>
      </c>
      <c r="AL64" s="6">
        <v>500</v>
      </c>
      <c r="AM64" s="4">
        <f t="shared" ca="1" si="23"/>
        <v>10.681486621265808</v>
      </c>
      <c r="AN64" s="4">
        <f t="shared" ca="1" si="24"/>
        <v>5.746300994034395</v>
      </c>
      <c r="AO64" s="4">
        <f t="shared" ca="1" si="25"/>
        <v>1.0290201845613312</v>
      </c>
      <c r="AP64" s="4">
        <f t="shared" si="26"/>
        <v>0.68531627142841123</v>
      </c>
      <c r="AQ64" s="11">
        <f t="shared" si="27"/>
        <v>0.91111154571837594</v>
      </c>
      <c r="AR64" s="11">
        <f t="shared" si="28"/>
        <v>0.44999582410123801</v>
      </c>
      <c r="AS64" s="11">
        <f t="shared" si="29"/>
        <v>0.49389762012776806</v>
      </c>
      <c r="AT64" s="11">
        <f t="shared" si="30"/>
        <v>472.56622541774999</v>
      </c>
      <c r="AU64" s="11">
        <f t="shared" si="31"/>
        <v>952.29016287952186</v>
      </c>
      <c r="AV64" s="11">
        <f t="shared" si="32"/>
        <v>1.1739452532816919E-3</v>
      </c>
      <c r="AW64" s="11">
        <f t="shared" si="33"/>
        <v>3.4733995257580868E-7</v>
      </c>
      <c r="AX64" s="4">
        <f t="shared" ca="1" si="34"/>
        <v>46.65186458162777</v>
      </c>
      <c r="AY64" s="11">
        <f t="shared" ca="1" si="35"/>
        <v>593.00020319266139</v>
      </c>
      <c r="AZ64" s="11"/>
      <c r="BA64" s="11"/>
    </row>
    <row r="65" spans="1:53">
      <c r="A65" s="4">
        <f t="shared" ca="1" si="36"/>
        <v>258.44979601486682</v>
      </c>
      <c r="B65" s="4">
        <f t="shared" ref="B65:C65" ca="1" si="85">A65/60</f>
        <v>4.3074966002477799</v>
      </c>
      <c r="C65" s="4">
        <f t="shared" ca="1" si="85"/>
        <v>7.1791610004129661E-2</v>
      </c>
      <c r="D65" s="41">
        <f t="shared" ca="1" si="45"/>
        <v>17226.348438746474</v>
      </c>
      <c r="E65" s="4">
        <f t="shared" ca="1" si="38"/>
        <v>25.263264822089798</v>
      </c>
      <c r="F65" s="4">
        <f t="shared" ca="1" si="39"/>
        <v>25.263264822089798</v>
      </c>
      <c r="G65" s="4"/>
      <c r="H65" s="5">
        <f t="shared" si="40"/>
        <v>21000</v>
      </c>
      <c r="I65" s="5">
        <v>15</v>
      </c>
      <c r="J65" s="4">
        <f t="shared" si="0"/>
        <v>0.14071424309879516</v>
      </c>
      <c r="K65" s="4">
        <v>586.84561512917594</v>
      </c>
      <c r="L65" s="6">
        <f t="shared" si="41"/>
        <v>61.869999999999976</v>
      </c>
      <c r="M65" s="4">
        <f t="shared" si="1"/>
        <v>347.69663743419466</v>
      </c>
      <c r="N65" s="4">
        <f t="shared" si="2"/>
        <v>198.68007864380229</v>
      </c>
      <c r="O65" s="4">
        <f t="shared" si="3"/>
        <v>1955299.1651034381</v>
      </c>
      <c r="P65" s="4">
        <f t="shared" si="4"/>
        <v>12554394.597728487</v>
      </c>
      <c r="Q65" s="4">
        <f t="shared" si="5"/>
        <v>2.8916862671847102E-3</v>
      </c>
      <c r="R65" s="4">
        <f t="shared" si="6"/>
        <v>2.2653744661162656E-2</v>
      </c>
      <c r="S65" s="24">
        <f t="shared" ca="1" si="42"/>
        <v>4.4084917856988506</v>
      </c>
      <c r="T65" s="4">
        <f t="shared" ca="1" si="7"/>
        <v>0.37585838845768532</v>
      </c>
      <c r="U65" s="4">
        <f t="shared" ca="1" si="8"/>
        <v>3.1575865183842491E-2</v>
      </c>
      <c r="V65" s="4">
        <f t="shared" ca="1" si="9"/>
        <v>11.903344097441032</v>
      </c>
      <c r="W65" s="20">
        <f t="shared" ca="1" si="10"/>
        <v>1442.9039369335428</v>
      </c>
      <c r="X65" s="4">
        <f t="shared" si="11"/>
        <v>0.59890812528399573</v>
      </c>
      <c r="Y65" s="4">
        <f t="shared" ca="1" si="12"/>
        <v>248.27119819387889</v>
      </c>
      <c r="Z65" s="14">
        <f t="shared" ca="1" si="13"/>
        <v>1447.1856226058169</v>
      </c>
      <c r="AA65" s="14">
        <f t="shared" si="14"/>
        <v>2767.0382187073028</v>
      </c>
      <c r="AB65" s="25">
        <f t="shared" ca="1" si="15"/>
        <v>849274.53690421011</v>
      </c>
      <c r="AC65" s="4">
        <f t="shared" si="16"/>
        <v>1623824.2455432264</v>
      </c>
      <c r="AD65" s="5">
        <v>100</v>
      </c>
      <c r="AE65" s="4">
        <f t="shared" si="17"/>
        <v>2767.0382187073028</v>
      </c>
      <c r="AF65" s="4">
        <f t="shared" ca="1" si="18"/>
        <v>1319.8525961014859</v>
      </c>
      <c r="AG65" s="4">
        <f t="shared" ca="1" si="19"/>
        <v>774549.70863901626</v>
      </c>
      <c r="AH65" s="4">
        <f t="shared" si="20"/>
        <v>1901.3971706730697</v>
      </c>
      <c r="AI65" s="13">
        <f t="shared" ca="1" si="21"/>
        <v>45.108944583597264</v>
      </c>
      <c r="AJ65" s="10">
        <f t="shared" ca="1" si="22"/>
        <v>4.4084917856988506</v>
      </c>
      <c r="AK65" s="11">
        <f t="shared" ca="1" si="43"/>
        <v>2706.536675015836</v>
      </c>
      <c r="AL65" s="6">
        <v>500</v>
      </c>
      <c r="AM65" s="4">
        <f t="shared" ca="1" si="23"/>
        <v>11.084276181043979</v>
      </c>
      <c r="AN65" s="4">
        <f t="shared" ca="1" si="24"/>
        <v>5.854336491554422</v>
      </c>
      <c r="AO65" s="4">
        <f t="shared" ca="1" si="25"/>
        <v>1.067378639284972</v>
      </c>
      <c r="AP65" s="4">
        <f t="shared" si="26"/>
        <v>0.68715970665607906</v>
      </c>
      <c r="AQ65" s="11">
        <f t="shared" si="27"/>
        <v>0.90767387071837591</v>
      </c>
      <c r="AR65" s="11">
        <f t="shared" si="28"/>
        <v>0.4406111813228189</v>
      </c>
      <c r="AS65" s="11">
        <f t="shared" si="29"/>
        <v>0.48542895806188452</v>
      </c>
      <c r="AT65" s="11">
        <f t="shared" si="30"/>
        <v>470.78320652550002</v>
      </c>
      <c r="AU65" s="11">
        <f t="shared" si="31"/>
        <v>932.43019413897571</v>
      </c>
      <c r="AV65" s="11">
        <f t="shared" si="32"/>
        <v>1.1538160904172932E-3</v>
      </c>
      <c r="AW65" s="11">
        <f t="shared" si="33"/>
        <v>3.4629581263645513E-7</v>
      </c>
      <c r="AX65" s="4">
        <f t="shared" ca="1" si="34"/>
        <v>44.963081490727042</v>
      </c>
      <c r="AY65" s="11">
        <f t="shared" ca="1" si="35"/>
        <v>592.8038856677698</v>
      </c>
      <c r="AZ65" s="11"/>
      <c r="BA65" s="11"/>
    </row>
    <row r="66" spans="1:53">
      <c r="A66" s="4">
        <f t="shared" ca="1" si="36"/>
        <v>269.53407219591082</v>
      </c>
      <c r="B66" s="4">
        <f t="shared" ref="B66:C66" ca="1" si="86">A66/60</f>
        <v>4.4922345365985139</v>
      </c>
      <c r="C66" s="4">
        <f t="shared" ca="1" si="86"/>
        <v>7.4870575609975232E-2</v>
      </c>
      <c r="D66" s="41">
        <f t="shared" ca="1" si="45"/>
        <v>17226.348438746474</v>
      </c>
      <c r="E66" s="4">
        <f t="shared" ca="1" si="38"/>
        <v>26.33064346137477</v>
      </c>
      <c r="F66" s="4">
        <f t="shared" ca="1" si="39"/>
        <v>26.33064346137477</v>
      </c>
      <c r="G66" s="4"/>
      <c r="H66" s="5">
        <f t="shared" si="40"/>
        <v>21500</v>
      </c>
      <c r="I66" s="5">
        <v>15</v>
      </c>
      <c r="J66" s="4">
        <f t="shared" si="0"/>
        <v>0.14503366714053265</v>
      </c>
      <c r="K66" s="4">
        <v>586.51154087685586</v>
      </c>
      <c r="L66" s="6">
        <f t="shared" si="41"/>
        <v>63.104999999999976</v>
      </c>
      <c r="M66" s="4">
        <f t="shared" si="1"/>
        <v>347.49870378488305</v>
      </c>
      <c r="N66" s="4">
        <f t="shared" si="2"/>
        <v>195.03737702618105</v>
      </c>
      <c r="O66" s="4">
        <f t="shared" si="3"/>
        <v>1926361.5692385647</v>
      </c>
      <c r="P66" s="4">
        <f t="shared" si="4"/>
        <v>12368594.898285564</v>
      </c>
      <c r="Q66" s="4">
        <f t="shared" si="5"/>
        <v>2.898168935476435E-3</v>
      </c>
      <c r="R66" s="4">
        <f t="shared" si="6"/>
        <v>2.2693321351083637E-2</v>
      </c>
      <c r="S66" s="24">
        <f t="shared" ca="1" si="42"/>
        <v>4.2466359383166852</v>
      </c>
      <c r="T66" s="4">
        <f t="shared" ca="1" si="7"/>
        <v>0.38296013144588686</v>
      </c>
      <c r="U66" s="4">
        <f t="shared" ca="1" si="8"/>
        <v>3.1955789294595117E-2</v>
      </c>
      <c r="V66" s="4">
        <f t="shared" ca="1" si="9"/>
        <v>11.984061101274669</v>
      </c>
      <c r="W66" s="20">
        <f t="shared" ca="1" si="10"/>
        <v>1433.4918647084039</v>
      </c>
      <c r="X66" s="4">
        <f t="shared" si="11"/>
        <v>0.59943105114455697</v>
      </c>
      <c r="Y66" s="4">
        <f t="shared" ca="1" si="12"/>
        <v>250.46306830609348</v>
      </c>
      <c r="Z66" s="14">
        <f t="shared" ca="1" si="13"/>
        <v>1437.4383018553049</v>
      </c>
      <c r="AA66" s="14">
        <f t="shared" si="14"/>
        <v>2709.1018911150022</v>
      </c>
      <c r="AB66" s="25">
        <f t="shared" ca="1" si="15"/>
        <v>843074.15333656594</v>
      </c>
      <c r="AC66" s="4">
        <f t="shared" si="16"/>
        <v>1588919.5245502642</v>
      </c>
      <c r="AD66" s="5">
        <v>100</v>
      </c>
      <c r="AE66" s="4">
        <f t="shared" si="17"/>
        <v>2709.1018911150022</v>
      </c>
      <c r="AF66" s="4">
        <f t="shared" ca="1" si="18"/>
        <v>1271.6635892596973</v>
      </c>
      <c r="AG66" s="4">
        <f t="shared" ca="1" si="19"/>
        <v>745845.37121369829</v>
      </c>
      <c r="AH66" s="4">
        <f t="shared" si="20"/>
        <v>1866.6910423578581</v>
      </c>
      <c r="AI66" s="13">
        <f t="shared" ca="1" si="21"/>
        <v>43.431142984597777</v>
      </c>
      <c r="AJ66" s="10">
        <f t="shared" ca="1" si="22"/>
        <v>4.2466359383166852</v>
      </c>
      <c r="AK66" s="11">
        <f t="shared" ca="1" si="43"/>
        <v>2605.8685790758668</v>
      </c>
      <c r="AL66" s="6">
        <v>500</v>
      </c>
      <c r="AM66" s="4">
        <f t="shared" ca="1" si="23"/>
        <v>11.512476201174758</v>
      </c>
      <c r="AN66" s="4">
        <f t="shared" ca="1" si="24"/>
        <v>5.9695100555808178</v>
      </c>
      <c r="AO66" s="4">
        <f t="shared" ca="1" si="25"/>
        <v>1.1082186469858533</v>
      </c>
      <c r="AP66" s="4">
        <f t="shared" si="26"/>
        <v>0.68904423583329022</v>
      </c>
      <c r="AQ66" s="11">
        <f t="shared" si="27"/>
        <v>0.90423619571837588</v>
      </c>
      <c r="AR66" s="11">
        <f t="shared" si="28"/>
        <v>0.43138565145143348</v>
      </c>
      <c r="AS66" s="11">
        <f t="shared" si="29"/>
        <v>0.47707186849417876</v>
      </c>
      <c r="AT66" s="11">
        <f t="shared" si="30"/>
        <v>469.00018763324999</v>
      </c>
      <c r="AU66" s="11">
        <f t="shared" si="31"/>
        <v>912.90694331455245</v>
      </c>
      <c r="AV66" s="11">
        <f t="shared" si="32"/>
        <v>1.1339521242238134E-3</v>
      </c>
      <c r="AW66" s="11">
        <f t="shared" si="33"/>
        <v>3.4524983174471144E-7</v>
      </c>
      <c r="AX66" s="4">
        <f t="shared" ca="1" si="34"/>
        <v>43.296777251765143</v>
      </c>
      <c r="AY66" s="11">
        <f t="shared" ca="1" si="35"/>
        <v>592.6543715428146</v>
      </c>
      <c r="AZ66" s="11"/>
      <c r="BA66" s="11"/>
    </row>
    <row r="67" spans="1:53">
      <c r="A67" s="4">
        <f t="shared" ca="1" si="36"/>
        <v>281.04654839708559</v>
      </c>
      <c r="B67" s="4">
        <f t="shared" ref="B67:C67" ca="1" si="87">A67/60</f>
        <v>4.6841091399514267</v>
      </c>
      <c r="C67" s="4">
        <f t="shared" ca="1" si="87"/>
        <v>7.8068485665857112E-2</v>
      </c>
      <c r="D67" s="41">
        <f t="shared" ca="1" si="45"/>
        <v>17226.348438746474</v>
      </c>
      <c r="E67" s="4">
        <f t="shared" ca="1" si="38"/>
        <v>27.438862108360624</v>
      </c>
      <c r="F67" s="4">
        <f t="shared" ca="1" si="39"/>
        <v>27.438862108360624</v>
      </c>
      <c r="G67" s="4"/>
      <c r="H67" s="5">
        <f t="shared" si="40"/>
        <v>22000</v>
      </c>
      <c r="I67" s="5">
        <v>15</v>
      </c>
      <c r="J67" s="4">
        <f t="shared" si="0"/>
        <v>0.14943380398393849</v>
      </c>
      <c r="K67" s="4">
        <v>586.22110121552498</v>
      </c>
      <c r="L67" s="6">
        <f t="shared" si="41"/>
        <v>64.339999999999975</v>
      </c>
      <c r="M67" s="4">
        <f t="shared" si="1"/>
        <v>347.32662293257908</v>
      </c>
      <c r="N67" s="4">
        <f t="shared" si="2"/>
        <v>191.4762332819277</v>
      </c>
      <c r="O67" s="4">
        <f t="shared" si="3"/>
        <v>1897885.6053648782</v>
      </c>
      <c r="P67" s="4">
        <f t="shared" si="4"/>
        <v>12185759.200607553</v>
      </c>
      <c r="Q67" s="4">
        <f t="shared" si="5"/>
        <v>2.9046477195163152E-3</v>
      </c>
      <c r="R67" s="4">
        <f t="shared" si="6"/>
        <v>2.2732874327647107E-2</v>
      </c>
      <c r="S67" s="24">
        <f t="shared" ca="1" si="42"/>
        <v>4.0865464515432262</v>
      </c>
      <c r="T67" s="4">
        <f t="shared" ca="1" si="7"/>
        <v>0.39016196980098156</v>
      </c>
      <c r="U67" s="4">
        <f t="shared" ca="1" si="8"/>
        <v>3.2346992617035837E-2</v>
      </c>
      <c r="V67" s="4">
        <f t="shared" ca="1" si="9"/>
        <v>12.061769525847643</v>
      </c>
      <c r="W67" s="20">
        <f t="shared" ca="1" si="10"/>
        <v>1424.5464699909198</v>
      </c>
      <c r="X67" s="4">
        <f t="shared" si="11"/>
        <v>0.59995320830285548</v>
      </c>
      <c r="Y67" s="4">
        <f t="shared" ca="1" si="12"/>
        <v>252.68197758302662</v>
      </c>
      <c r="Z67" s="14">
        <f t="shared" ca="1" si="13"/>
        <v>1428.177549059568</v>
      </c>
      <c r="AA67" s="14">
        <f t="shared" si="14"/>
        <v>2652.1517796288399</v>
      </c>
      <c r="AB67" s="25">
        <f t="shared" ca="1" si="15"/>
        <v>837227.8155409894</v>
      </c>
      <c r="AC67" s="4">
        <f t="shared" si="16"/>
        <v>1554747.3368447328</v>
      </c>
      <c r="AD67" s="5">
        <v>100</v>
      </c>
      <c r="AE67" s="4">
        <f t="shared" si="17"/>
        <v>2652.1517796288399</v>
      </c>
      <c r="AF67" s="4">
        <f t="shared" ca="1" si="18"/>
        <v>1223.9742305692719</v>
      </c>
      <c r="AG67" s="4">
        <f t="shared" ca="1" si="19"/>
        <v>717519.52130374336</v>
      </c>
      <c r="AH67" s="4">
        <f t="shared" si="20"/>
        <v>1832.5568093539048</v>
      </c>
      <c r="AI67" s="13">
        <f t="shared" ca="1" si="21"/>
        <v>41.776011847948801</v>
      </c>
      <c r="AJ67" s="10">
        <f t="shared" ca="1" si="22"/>
        <v>4.0865464515432262</v>
      </c>
      <c r="AK67" s="11">
        <f t="shared" ca="1" si="43"/>
        <v>2506.5607108769282</v>
      </c>
      <c r="AL67" s="6">
        <v>500</v>
      </c>
      <c r="AM67" s="4">
        <f t="shared" ca="1" si="23"/>
        <v>11.968591013901436</v>
      </c>
      <c r="AN67" s="4">
        <f t="shared" ca="1" si="24"/>
        <v>6.0925341558047315</v>
      </c>
      <c r="AO67" s="4">
        <f t="shared" ca="1" si="25"/>
        <v>1.1517892446996953</v>
      </c>
      <c r="AP67" s="4">
        <f t="shared" si="26"/>
        <v>0.69096980928081164</v>
      </c>
      <c r="AQ67" s="11">
        <f t="shared" si="27"/>
        <v>0.90079852071837596</v>
      </c>
      <c r="AR67" s="11">
        <f t="shared" si="28"/>
        <v>0.42231716236128025</v>
      </c>
      <c r="AS67" s="11">
        <f t="shared" si="29"/>
        <v>0.46882532847021929</v>
      </c>
      <c r="AT67" s="11">
        <f t="shared" si="30"/>
        <v>467.21716874100002</v>
      </c>
      <c r="AU67" s="11">
        <f t="shared" si="31"/>
        <v>893.71602533218845</v>
      </c>
      <c r="AV67" s="11">
        <f t="shared" si="32"/>
        <v>1.1143509232408642E-3</v>
      </c>
      <c r="AW67" s="11">
        <f t="shared" si="33"/>
        <v>3.4420200222615868E-7</v>
      </c>
      <c r="AX67" s="4">
        <f t="shared" ca="1" si="34"/>
        <v>41.652444443179725</v>
      </c>
      <c r="AY67" s="11">
        <f t="shared" ca="1" si="35"/>
        <v>592.55303970698776</v>
      </c>
      <c r="AZ67" s="11"/>
      <c r="BA67" s="11"/>
    </row>
    <row r="68" spans="1:53">
      <c r="A68" s="4">
        <f t="shared" ca="1" si="36"/>
        <v>293.01513941098705</v>
      </c>
      <c r="B68" s="4">
        <f t="shared" ref="B68:C68" ca="1" si="88">A68/60</f>
        <v>4.8835856568497844</v>
      </c>
      <c r="C68" s="4">
        <f t="shared" ca="1" si="88"/>
        <v>8.1393094280829734E-2</v>
      </c>
      <c r="D68" s="41">
        <f t="shared" ca="1" si="45"/>
        <v>17226.348438746474</v>
      </c>
      <c r="E68" s="4">
        <f t="shared" ca="1" si="38"/>
        <v>28.59065135306032</v>
      </c>
      <c r="F68" s="4">
        <f t="shared" ca="1" si="39"/>
        <v>28.59065135306032</v>
      </c>
      <c r="G68" s="4"/>
      <c r="H68" s="5">
        <f t="shared" si="40"/>
        <v>22500</v>
      </c>
      <c r="I68" s="5">
        <v>15</v>
      </c>
      <c r="J68" s="4">
        <f t="shared" si="0"/>
        <v>0.15391624744358287</v>
      </c>
      <c r="K68" s="4">
        <v>585.9756643344067</v>
      </c>
      <c r="L68" s="6">
        <f t="shared" si="41"/>
        <v>65.574999999999974</v>
      </c>
      <c r="M68" s="4">
        <f t="shared" si="1"/>
        <v>347.1812055075066</v>
      </c>
      <c r="N68" s="4">
        <f t="shared" si="2"/>
        <v>187.99542345108344</v>
      </c>
      <c r="O68" s="4">
        <f t="shared" si="3"/>
        <v>1869867.1748007874</v>
      </c>
      <c r="P68" s="4">
        <f t="shared" si="4"/>
        <v>12005861.188278558</v>
      </c>
      <c r="Q68" s="4">
        <f t="shared" si="5"/>
        <v>2.9111208985917944E-3</v>
      </c>
      <c r="R68" s="4">
        <f t="shared" si="6"/>
        <v>2.2772393085902905E-2</v>
      </c>
      <c r="S68" s="24">
        <f t="shared" ca="1" si="42"/>
        <v>3.9281969940853139</v>
      </c>
      <c r="T68" s="4">
        <f t="shared" ca="1" si="7"/>
        <v>0.39746292097066199</v>
      </c>
      <c r="U68" s="4">
        <f t="shared" ca="1" si="8"/>
        <v>3.2749688484172479E-2</v>
      </c>
      <c r="V68" s="4">
        <f t="shared" ca="1" si="9"/>
        <v>12.136387836566779</v>
      </c>
      <c r="W68" s="20">
        <f t="shared" ca="1" si="10"/>
        <v>1416.0620575288076</v>
      </c>
      <c r="X68" s="4">
        <f t="shared" si="11"/>
        <v>0.60047446026420725</v>
      </c>
      <c r="Y68" s="4">
        <f t="shared" ca="1" si="12"/>
        <v>254.92841315053496</v>
      </c>
      <c r="Z68" s="14">
        <f t="shared" ca="1" si="13"/>
        <v>1419.3966665142086</v>
      </c>
      <c r="AA68" s="14">
        <f t="shared" si="14"/>
        <v>2596.1749891926393</v>
      </c>
      <c r="AB68" s="25">
        <f t="shared" ca="1" si="15"/>
        <v>831731.90461470571</v>
      </c>
      <c r="AC68" s="4">
        <f t="shared" si="16"/>
        <v>1521295.364020528</v>
      </c>
      <c r="AD68" s="5">
        <v>100</v>
      </c>
      <c r="AE68" s="4">
        <f t="shared" si="17"/>
        <v>2596.1749891926393</v>
      </c>
      <c r="AF68" s="4">
        <f t="shared" ca="1" si="18"/>
        <v>1176.7783226784306</v>
      </c>
      <c r="AG68" s="4">
        <f t="shared" ca="1" si="19"/>
        <v>689563.45940582233</v>
      </c>
      <c r="AH68" s="4">
        <f t="shared" si="20"/>
        <v>1798.9838044382223</v>
      </c>
      <c r="AI68" s="13">
        <f t="shared" ca="1" si="21"/>
        <v>40.14300892497554</v>
      </c>
      <c r="AJ68" s="10">
        <f t="shared" ca="1" si="22"/>
        <v>3.9281969940853139</v>
      </c>
      <c r="AK68" s="11">
        <f t="shared" ca="1" si="43"/>
        <v>2408.5805354985323</v>
      </c>
      <c r="AL68" s="6">
        <v>500</v>
      </c>
      <c r="AM68" s="4">
        <f t="shared" ca="1" si="23"/>
        <v>12.455468919493923</v>
      </c>
      <c r="AN68" s="4">
        <f t="shared" ca="1" si="24"/>
        <v>6.224218573014781</v>
      </c>
      <c r="AO68" s="4">
        <f t="shared" ca="1" si="25"/>
        <v>1.1983737676179864</v>
      </c>
      <c r="AP68" s="4">
        <f t="shared" si="26"/>
        <v>0.6929362665949077</v>
      </c>
      <c r="AQ68" s="11">
        <f t="shared" si="27"/>
        <v>0.89736084571837593</v>
      </c>
      <c r="AR68" s="11">
        <f t="shared" si="28"/>
        <v>0.41340366069946483</v>
      </c>
      <c r="AS68" s="11">
        <f t="shared" si="29"/>
        <v>0.46068832028047468</v>
      </c>
      <c r="AT68" s="11">
        <f t="shared" si="30"/>
        <v>465.43414984875</v>
      </c>
      <c r="AU68" s="11">
        <f t="shared" si="31"/>
        <v>874.85309484542142</v>
      </c>
      <c r="AV68" s="11">
        <f t="shared" si="32"/>
        <v>1.0950100684746602E-3</v>
      </c>
      <c r="AW68" s="11">
        <f t="shared" si="33"/>
        <v>3.4315231636475111E-7</v>
      </c>
      <c r="AX68" s="4">
        <f t="shared" ca="1" si="34"/>
        <v>40.029578053513497</v>
      </c>
      <c r="AY68" s="11">
        <f t="shared" ca="1" si="35"/>
        <v>592.50128714491586</v>
      </c>
      <c r="AZ68" s="11"/>
      <c r="BA68" s="11"/>
    </row>
    <row r="69" spans="1:53">
      <c r="A69" s="4">
        <f t="shared" ca="1" si="36"/>
        <v>305.47060833048096</v>
      </c>
      <c r="B69" s="4">
        <f t="shared" ref="B69:C69" ca="1" si="89">A69/60</f>
        <v>5.0911768055080158</v>
      </c>
      <c r="C69" s="4">
        <f t="shared" ca="1" si="89"/>
        <v>8.4852946758466927E-2</v>
      </c>
      <c r="D69" s="41">
        <f t="shared" ca="1" si="45"/>
        <v>17226.348438746474</v>
      </c>
      <c r="E69" s="4">
        <f t="shared" ca="1" si="38"/>
        <v>29.789025120678307</v>
      </c>
      <c r="F69" s="4">
        <f t="shared" ca="1" si="39"/>
        <v>29.789025120678307</v>
      </c>
      <c r="G69" s="4"/>
      <c r="H69" s="5">
        <f t="shared" si="40"/>
        <v>23000</v>
      </c>
      <c r="I69" s="5">
        <v>15</v>
      </c>
      <c r="J69" s="4">
        <f t="shared" si="0"/>
        <v>0.15848262269441266</v>
      </c>
      <c r="K69" s="4">
        <v>585.77662017982175</v>
      </c>
      <c r="L69" s="6">
        <f t="shared" si="41"/>
        <v>66.809999999999974</v>
      </c>
      <c r="M69" s="4">
        <f t="shared" si="1"/>
        <v>347.06327503062153</v>
      </c>
      <c r="N69" s="4">
        <f t="shared" si="2"/>
        <v>184.59372774285345</v>
      </c>
      <c r="O69" s="4">
        <f t="shared" si="3"/>
        <v>1842302.1324884053</v>
      </c>
      <c r="P69" s="4">
        <f t="shared" si="4"/>
        <v>11828874.247114278</v>
      </c>
      <c r="Q69" s="4">
        <f t="shared" si="5"/>
        <v>2.9175866973868252E-3</v>
      </c>
      <c r="R69" s="4">
        <f t="shared" si="6"/>
        <v>2.2811866787546566E-2</v>
      </c>
      <c r="S69" s="24">
        <f t="shared" ca="1" si="42"/>
        <v>3.771562325163508</v>
      </c>
      <c r="T69" s="4">
        <f t="shared" ca="1" si="7"/>
        <v>0.4048618481735638</v>
      </c>
      <c r="U69" s="4">
        <f t="shared" ca="1" si="8"/>
        <v>3.3164082131176505E-2</v>
      </c>
      <c r="V69" s="4">
        <f t="shared" ca="1" si="9"/>
        <v>12.207841199167879</v>
      </c>
      <c r="W69" s="20">
        <f t="shared" ca="1" si="10"/>
        <v>1408.032755985726</v>
      </c>
      <c r="X69" s="4">
        <f t="shared" si="11"/>
        <v>0.60099466661252776</v>
      </c>
      <c r="Y69" s="4">
        <f t="shared" ca="1" si="12"/>
        <v>257.20287167941314</v>
      </c>
      <c r="Z69" s="14">
        <f t="shared" ca="1" si="13"/>
        <v>1411.0888368961312</v>
      </c>
      <c r="AA69" s="14">
        <f t="shared" si="14"/>
        <v>2541.1587420470269</v>
      </c>
      <c r="AB69" s="25">
        <f t="shared" ca="1" si="15"/>
        <v>826582.84965049149</v>
      </c>
      <c r="AC69" s="4">
        <f t="shared" si="16"/>
        <v>1488551.3792567148</v>
      </c>
      <c r="AD69" s="5">
        <v>100</v>
      </c>
      <c r="AE69" s="4">
        <f t="shared" si="17"/>
        <v>2541.1587420470269</v>
      </c>
      <c r="AF69" s="4">
        <f t="shared" ca="1" si="18"/>
        <v>1130.0699051508957</v>
      </c>
      <c r="AG69" s="4">
        <f t="shared" ca="1" si="19"/>
        <v>661968.52960622334</v>
      </c>
      <c r="AH69" s="4">
        <f t="shared" si="20"/>
        <v>1765.9613200211616</v>
      </c>
      <c r="AI69" s="13">
        <f t="shared" ca="1" si="21"/>
        <v>38.531596682437531</v>
      </c>
      <c r="AJ69" s="10">
        <f t="shared" ca="1" si="22"/>
        <v>3.771562325163508</v>
      </c>
      <c r="AK69" s="11">
        <f t="shared" ca="1" si="43"/>
        <v>2311.8958009462517</v>
      </c>
      <c r="AL69" s="6">
        <v>500</v>
      </c>
      <c r="AM69" s="4">
        <f t="shared" ca="1" si="23"/>
        <v>12.976363375771992</v>
      </c>
      <c r="AN69" s="4">
        <f t="shared" ca="1" si="24"/>
        <v>6.3654877211534897</v>
      </c>
      <c r="AO69" s="4">
        <f t="shared" ca="1" si="25"/>
        <v>1.2482959470147523</v>
      </c>
      <c r="AP69" s="4">
        <f t="shared" si="26"/>
        <v>0.6949433306943249</v>
      </c>
      <c r="AQ69" s="11">
        <f t="shared" si="27"/>
        <v>0.8939231707183759</v>
      </c>
      <c r="AR69" s="11">
        <f t="shared" si="28"/>
        <v>0.40464311179092788</v>
      </c>
      <c r="AS69" s="11">
        <f t="shared" si="29"/>
        <v>0.45265983145480831</v>
      </c>
      <c r="AT69" s="11">
        <f t="shared" si="30"/>
        <v>463.65113095649997</v>
      </c>
      <c r="AU69" s="11">
        <f t="shared" si="31"/>
        <v>856.31384603419735</v>
      </c>
      <c r="AV69" s="11">
        <f t="shared" si="32"/>
        <v>1.0759271533849338E-3</v>
      </c>
      <c r="AW69" s="11">
        <f t="shared" si="33"/>
        <v>3.4210076640265183E-7</v>
      </c>
      <c r="AX69" s="4">
        <f t="shared" ca="1" si="34"/>
        <v>38.42767560171292</v>
      </c>
      <c r="AY69" s="11">
        <f t="shared" ca="1" si="35"/>
        <v>592.50052803909853</v>
      </c>
      <c r="AZ69" s="11"/>
      <c r="BA69" s="11"/>
    </row>
    <row r="70" spans="1:53">
      <c r="A70" s="4">
        <f t="shared" ca="1" si="36"/>
        <v>318.44697170625295</v>
      </c>
      <c r="B70" s="4">
        <f t="shared" ref="B70:C70" ca="1" si="90">A70/60</f>
        <v>5.3074495284375489</v>
      </c>
      <c r="C70" s="4">
        <f t="shared" ca="1" si="90"/>
        <v>8.8457492140625815E-2</v>
      </c>
      <c r="D70" s="41">
        <f t="shared" ca="1" si="45"/>
        <v>17226.348438746474</v>
      </c>
      <c r="E70" s="4">
        <f t="shared" ca="1" si="38"/>
        <v>31.03732106769306</v>
      </c>
      <c r="F70" s="4">
        <f t="shared" ca="1" si="39"/>
        <v>31.03732106769306</v>
      </c>
      <c r="G70" s="4"/>
      <c r="H70" s="5">
        <f t="shared" si="40"/>
        <v>23500</v>
      </c>
      <c r="I70" s="5">
        <v>15</v>
      </c>
      <c r="J70" s="4">
        <f t="shared" si="0"/>
        <v>0.16313458670324291</v>
      </c>
      <c r="K70" s="4">
        <v>585.62537963753221</v>
      </c>
      <c r="L70" s="6">
        <f t="shared" si="41"/>
        <v>68.044999999999973</v>
      </c>
      <c r="M70" s="4">
        <f t="shared" si="1"/>
        <v>346.97366742916364</v>
      </c>
      <c r="N70" s="4">
        <f t="shared" si="2"/>
        <v>181.26993036107169</v>
      </c>
      <c r="O70" s="4">
        <f t="shared" si="3"/>
        <v>1815186.2847064619</v>
      </c>
      <c r="P70" s="4">
        <f t="shared" si="4"/>
        <v>11654771.4504773</v>
      </c>
      <c r="Q70" s="4">
        <f t="shared" si="5"/>
        <v>2.9240432860178898E-3</v>
      </c>
      <c r="R70" s="4">
        <f t="shared" si="6"/>
        <v>2.2851284261139217E-2</v>
      </c>
      <c r="S70" s="24">
        <f t="shared" ca="1" si="42"/>
        <v>3.6166183034093256</v>
      </c>
      <c r="T70" s="4">
        <f t="shared" ca="1" si="7"/>
        <v>0.41235745692912312</v>
      </c>
      <c r="U70" s="4">
        <f t="shared" ca="1" si="8"/>
        <v>3.3590369662309522E-2</v>
      </c>
      <c r="V70" s="4">
        <f t="shared" ca="1" si="9"/>
        <v>12.276061891388286</v>
      </c>
      <c r="W70" s="20">
        <f t="shared" ca="1" si="10"/>
        <v>1400.4525129825854</v>
      </c>
      <c r="X70" s="4">
        <f t="shared" si="11"/>
        <v>0.60151368302793462</v>
      </c>
      <c r="Y70" s="4">
        <f t="shared" ca="1" si="12"/>
        <v>259.50585966415952</v>
      </c>
      <c r="Z70" s="14">
        <f t="shared" ca="1" si="13"/>
        <v>1403.2471154964473</v>
      </c>
      <c r="AA70" s="14">
        <f t="shared" si="14"/>
        <v>2487.0903771329772</v>
      </c>
      <c r="AB70" s="25">
        <f t="shared" ca="1" si="15"/>
        <v>821777.12473787903</v>
      </c>
      <c r="AC70" s="4">
        <f t="shared" si="16"/>
        <v>1456503.246301353</v>
      </c>
      <c r="AD70" s="5">
        <v>100</v>
      </c>
      <c r="AE70" s="4">
        <f t="shared" si="17"/>
        <v>2487.0903771329772</v>
      </c>
      <c r="AF70" s="4">
        <f t="shared" ca="1" si="18"/>
        <v>1083.8432616365299</v>
      </c>
      <c r="AG70" s="4">
        <f t="shared" ca="1" si="19"/>
        <v>634726.12156347395</v>
      </c>
      <c r="AH70" s="4">
        <f t="shared" si="20"/>
        <v>1733.4786200676758</v>
      </c>
      <c r="AI70" s="13">
        <f t="shared" ca="1" si="21"/>
        <v>36.941242305899692</v>
      </c>
      <c r="AJ70" s="10">
        <f t="shared" ca="1" si="22"/>
        <v>3.6166183034093256</v>
      </c>
      <c r="AK70" s="11">
        <f t="shared" ca="1" si="43"/>
        <v>2216.4745383539816</v>
      </c>
      <c r="AL70" s="6">
        <v>500</v>
      </c>
      <c r="AM70" s="4">
        <f t="shared" ca="1" si="23"/>
        <v>13.535007725502172</v>
      </c>
      <c r="AN70" s="4">
        <f t="shared" ca="1" si="24"/>
        <v>6.517401809613566</v>
      </c>
      <c r="AO70" s="4">
        <f t="shared" ca="1" si="25"/>
        <v>1.3019273569569447</v>
      </c>
      <c r="AP70" s="4">
        <f t="shared" si="26"/>
        <v>0.69699060235437194</v>
      </c>
      <c r="AQ70" s="11">
        <f t="shared" si="27"/>
        <v>0.89048549571837587</v>
      </c>
      <c r="AR70" s="11">
        <f t="shared" si="28"/>
        <v>0.39603349954346773</v>
      </c>
      <c r="AS70" s="11">
        <f t="shared" si="29"/>
        <v>0.44473885475695263</v>
      </c>
      <c r="AT70" s="11">
        <f t="shared" si="30"/>
        <v>461.86811206425</v>
      </c>
      <c r="AU70" s="11">
        <f t="shared" si="31"/>
        <v>838.09401240387717</v>
      </c>
      <c r="AV70" s="11">
        <f t="shared" si="32"/>
        <v>1.0570997838718007E-3</v>
      </c>
      <c r="AW70" s="11">
        <f t="shared" si="33"/>
        <v>3.4104734454006021E-7</v>
      </c>
      <c r="AX70" s="4">
        <f t="shared" ca="1" si="34"/>
        <v>36.846237252220682</v>
      </c>
      <c r="AY70" s="11">
        <f t="shared" ca="1" si="35"/>
        <v>592.55219284282646</v>
      </c>
      <c r="AZ70" s="11"/>
      <c r="BA70" s="11"/>
    </row>
    <row r="71" spans="1:53">
      <c r="A71" s="4">
        <f t="shared" ca="1" si="36"/>
        <v>331.98197943175512</v>
      </c>
      <c r="B71" s="4">
        <f t="shared" ref="B71:C71" ca="1" si="91">A71/60</f>
        <v>5.5330329905292519</v>
      </c>
      <c r="C71" s="4">
        <f t="shared" ca="1" si="91"/>
        <v>9.2217216508820865E-2</v>
      </c>
      <c r="D71" s="41">
        <f t="shared" ca="1" si="45"/>
        <v>17226.348438746474</v>
      </c>
      <c r="E71" s="4">
        <f t="shared" ca="1" si="38"/>
        <v>32.339248424650002</v>
      </c>
      <c r="F71" s="4">
        <f t="shared" ca="1" si="39"/>
        <v>32.339248424650002</v>
      </c>
      <c r="G71" s="4"/>
      <c r="H71" s="5">
        <f t="shared" si="40"/>
        <v>24000</v>
      </c>
      <c r="I71" s="5">
        <v>15</v>
      </c>
      <c r="J71" s="4">
        <f t="shared" si="0"/>
        <v>0.16787382864949854</v>
      </c>
      <c r="K71" s="4">
        <v>585.52337366737913</v>
      </c>
      <c r="L71" s="6">
        <f t="shared" si="41"/>
        <v>69.279999999999973</v>
      </c>
      <c r="M71" s="4">
        <f t="shared" si="1"/>
        <v>346.91323052394347</v>
      </c>
      <c r="N71" s="4">
        <f t="shared" si="2"/>
        <v>178.0228193571474</v>
      </c>
      <c r="O71" s="4">
        <f t="shared" si="3"/>
        <v>1788515.3869331467</v>
      </c>
      <c r="P71" s="4">
        <f t="shared" si="4"/>
        <v>11483525.54555504</v>
      </c>
      <c r="Q71" s="4">
        <f t="shared" si="5"/>
        <v>2.9304887801483667E-3</v>
      </c>
      <c r="R71" s="4">
        <f t="shared" si="6"/>
        <v>2.289063400280578E-2</v>
      </c>
      <c r="S71" s="24">
        <f t="shared" ca="1" si="42"/>
        <v>3.4633418940596634</v>
      </c>
      <c r="T71" s="4">
        <f t="shared" ca="1" si="7"/>
        <v>0.41994829201293493</v>
      </c>
      <c r="U71" s="4">
        <f t="shared" ca="1" si="8"/>
        <v>3.402873699418868E-2</v>
      </c>
      <c r="V71" s="4">
        <f t="shared" ca="1" si="9"/>
        <v>12.340989678360744</v>
      </c>
      <c r="W71" s="20">
        <f t="shared" ca="1" si="10"/>
        <v>1393.315090739716</v>
      </c>
      <c r="X71" s="4">
        <f t="shared" si="11"/>
        <v>0.60203136131011137</v>
      </c>
      <c r="Y71" s="4">
        <f t="shared" ca="1" si="12"/>
        <v>261.83789371003917</v>
      </c>
      <c r="Z71" s="14">
        <f t="shared" ca="1" si="13"/>
        <v>1395.8644231711774</v>
      </c>
      <c r="AA71" s="14">
        <f t="shared" si="14"/>
        <v>2433.9573494959841</v>
      </c>
      <c r="AB71" s="25">
        <f t="shared" ca="1" si="15"/>
        <v>817311.24623745796</v>
      </c>
      <c r="AC71" s="4">
        <f t="shared" si="16"/>
        <v>1425138.9186394007</v>
      </c>
      <c r="AD71" s="5">
        <v>100</v>
      </c>
      <c r="AE71" s="4">
        <f t="shared" si="17"/>
        <v>2433.9573494959841</v>
      </c>
      <c r="AF71" s="4">
        <f t="shared" ca="1" si="18"/>
        <v>1038.0929263248067</v>
      </c>
      <c r="AG71" s="4">
        <f t="shared" ca="1" si="19"/>
        <v>607827.67240194278</v>
      </c>
      <c r="AH71" s="4">
        <f t="shared" si="20"/>
        <v>1701.5249537603006</v>
      </c>
      <c r="AI71" s="13">
        <f t="shared" ca="1" si="21"/>
        <v>35.371417703202511</v>
      </c>
      <c r="AJ71" s="10">
        <f t="shared" ca="1" si="22"/>
        <v>3.4633418940596634</v>
      </c>
      <c r="AK71" s="11">
        <f t="shared" ca="1" si="43"/>
        <v>2122.2850621921507</v>
      </c>
      <c r="AL71" s="6">
        <v>500</v>
      </c>
      <c r="AM71" s="4">
        <f t="shared" ca="1" si="23"/>
        <v>14.135707089702832</v>
      </c>
      <c r="AN71" s="4">
        <f t="shared" ca="1" si="24"/>
        <v>6.6811828756043781</v>
      </c>
      <c r="AO71" s="4">
        <f t="shared" ca="1" si="25"/>
        <v>1.3596965712688125</v>
      </c>
      <c r="AP71" s="4">
        <f t="shared" si="26"/>
        <v>0.69907755536991922</v>
      </c>
      <c r="AQ71" s="11">
        <f t="shared" si="27"/>
        <v>0.88704782071837585</v>
      </c>
      <c r="AR71" s="11">
        <f t="shared" si="28"/>
        <v>0.38757282635286372</v>
      </c>
      <c r="AS71" s="11">
        <f t="shared" si="29"/>
        <v>0.4369243881789685</v>
      </c>
      <c r="AT71" s="11">
        <f t="shared" si="30"/>
        <v>460.08509317199997</v>
      </c>
      <c r="AU71" s="11">
        <f t="shared" si="31"/>
        <v>820.18936658445716</v>
      </c>
      <c r="AV71" s="11">
        <f t="shared" si="32"/>
        <v>1.0385255782625902E-3</v>
      </c>
      <c r="AW71" s="11">
        <f t="shared" si="33"/>
        <v>3.3999204293505313E-7</v>
      </c>
      <c r="AX71" s="4">
        <f t="shared" ca="1" si="34"/>
        <v>35.284765924900398</v>
      </c>
      <c r="AY71" s="11">
        <f t="shared" ca="1" si="35"/>
        <v>592.65772732986261</v>
      </c>
      <c r="AZ71" s="11"/>
      <c r="BA71" s="11"/>
    </row>
    <row r="72" spans="1:53">
      <c r="A72" s="4">
        <f t="shared" ca="1" si="36"/>
        <v>346.11768652145793</v>
      </c>
      <c r="B72" s="4">
        <f t="shared" ref="B72:C72" ca="1" si="92">A72/60</f>
        <v>5.7686281086909652</v>
      </c>
      <c r="C72" s="4">
        <f t="shared" ca="1" si="92"/>
        <v>9.6143801811516091E-2</v>
      </c>
      <c r="D72" s="41">
        <f t="shared" ca="1" si="45"/>
        <v>17226.348438746474</v>
      </c>
      <c r="E72" s="4">
        <f t="shared" ca="1" si="38"/>
        <v>33.698944995918815</v>
      </c>
      <c r="F72" s="4">
        <f t="shared" ca="1" si="39"/>
        <v>33.698944995918815</v>
      </c>
      <c r="G72" s="4"/>
      <c r="H72" s="5">
        <f t="shared" si="40"/>
        <v>24500</v>
      </c>
      <c r="I72" s="5">
        <v>15</v>
      </c>
      <c r="J72" s="4">
        <f t="shared" si="0"/>
        <v>0.17270207033341403</v>
      </c>
      <c r="K72" s="4">
        <v>585.47205239519485</v>
      </c>
      <c r="L72" s="6">
        <f t="shared" si="41"/>
        <v>70.514999999999972</v>
      </c>
      <c r="M72" s="4">
        <f t="shared" si="1"/>
        <v>346.88282349131464</v>
      </c>
      <c r="N72" s="4">
        <f t="shared" si="2"/>
        <v>174.85118651232281</v>
      </c>
      <c r="O72" s="4">
        <f t="shared" si="3"/>
        <v>1762285.1418786673</v>
      </c>
      <c r="P72" s="4">
        <f t="shared" si="4"/>
        <v>11315108.940727394</v>
      </c>
      <c r="Q72" s="4">
        <f t="shared" si="5"/>
        <v>2.9369212411782678E-3</v>
      </c>
      <c r="R72" s="4">
        <f t="shared" si="6"/>
        <v>2.2929904177393323E-2</v>
      </c>
      <c r="S72" s="24">
        <f t="shared" ca="1" si="42"/>
        <v>3.3117111742612915</v>
      </c>
      <c r="T72" s="4">
        <f t="shared" ca="1" si="7"/>
        <v>0.42763273487557968</v>
      </c>
      <c r="U72" s="4">
        <f t="shared" ca="1" si="8"/>
        <v>3.4479358780333293E-2</v>
      </c>
      <c r="V72" s="4">
        <f t="shared" ca="1" si="9"/>
        <v>12.402572147585802</v>
      </c>
      <c r="W72" s="20">
        <f t="shared" ca="1" si="10"/>
        <v>1386.6140623728311</v>
      </c>
      <c r="X72" s="4">
        <f t="shared" si="11"/>
        <v>0.60254754940712563</v>
      </c>
      <c r="Y72" s="4">
        <f t="shared" ca="1" si="12"/>
        <v>264.1995008287073</v>
      </c>
      <c r="Z72" s="14">
        <f t="shared" ca="1" si="13"/>
        <v>1388.9335400560144</v>
      </c>
      <c r="AA72" s="14">
        <f t="shared" si="14"/>
        <v>2381.7472296908577</v>
      </c>
      <c r="AB72" s="25">
        <f t="shared" ca="1" si="15"/>
        <v>813181.7703371183</v>
      </c>
      <c r="AC72" s="4">
        <f t="shared" si="16"/>
        <v>1394446.438853676</v>
      </c>
      <c r="AD72" s="5">
        <v>100</v>
      </c>
      <c r="AE72" s="4">
        <f t="shared" si="17"/>
        <v>2381.7472296908577</v>
      </c>
      <c r="AF72" s="4">
        <f t="shared" ca="1" si="18"/>
        <v>992.81368963484329</v>
      </c>
      <c r="AG72" s="4">
        <f t="shared" ca="1" si="19"/>
        <v>581264.66851655766</v>
      </c>
      <c r="AH72" s="4">
        <f t="shared" si="20"/>
        <v>1670.0895709954125</v>
      </c>
      <c r="AI72" s="13">
        <f t="shared" ca="1" si="21"/>
        <v>33.821599507748736</v>
      </c>
      <c r="AJ72" s="10">
        <f t="shared" ca="1" si="22"/>
        <v>3.3117111742612915</v>
      </c>
      <c r="AK72" s="11">
        <f t="shared" ca="1" si="43"/>
        <v>2029.2959704649243</v>
      </c>
      <c r="AL72" s="6">
        <v>500</v>
      </c>
      <c r="AM72" s="4">
        <f t="shared" ca="1" si="23"/>
        <v>14.783452210338158</v>
      </c>
      <c r="AN72" s="4">
        <f t="shared" ca="1" si="24"/>
        <v>6.858247044387455</v>
      </c>
      <c r="AO72" s="4">
        <f t="shared" ca="1" si="25"/>
        <v>1.422100507343647</v>
      </c>
      <c r="AP72" s="4">
        <f t="shared" si="26"/>
        <v>0.7012035325059176</v>
      </c>
      <c r="AQ72" s="11">
        <f t="shared" si="27"/>
        <v>0.88361014571837593</v>
      </c>
      <c r="AR72" s="11">
        <f t="shared" si="28"/>
        <v>0.37925911300809834</v>
      </c>
      <c r="AS72" s="11">
        <f t="shared" si="29"/>
        <v>0.42921543493568681</v>
      </c>
      <c r="AT72" s="11">
        <f t="shared" si="30"/>
        <v>458.30207427975</v>
      </c>
      <c r="AU72" s="11">
        <f t="shared" si="31"/>
        <v>802.59572012999774</v>
      </c>
      <c r="AV72" s="11">
        <f t="shared" si="32"/>
        <v>1.0202021672986339E-3</v>
      </c>
      <c r="AW72" s="11">
        <f t="shared" si="33"/>
        <v>3.3893485370342016E-7</v>
      </c>
      <c r="AX72" s="4">
        <f t="shared" ca="1" si="34"/>
        <v>33.7427673998016</v>
      </c>
      <c r="AY72" s="11">
        <f t="shared" ca="1" si="35"/>
        <v>592.81859162772253</v>
      </c>
      <c r="AZ72" s="11"/>
      <c r="BA72" s="11"/>
    </row>
    <row r="73" spans="1:53">
      <c r="A73" s="4">
        <f t="shared" ca="1" si="36"/>
        <v>360.9011387317961</v>
      </c>
      <c r="B73" s="4">
        <f t="shared" ref="B73:C73" ca="1" si="93">A73/60</f>
        <v>6.0150189788632682</v>
      </c>
      <c r="C73" s="4">
        <f t="shared" ca="1" si="93"/>
        <v>0.1002503163143878</v>
      </c>
      <c r="D73" s="41">
        <f t="shared" ca="1" si="45"/>
        <v>17226.348438746474</v>
      </c>
      <c r="E73" s="4">
        <f t="shared" ca="1" si="38"/>
        <v>35.121045503262465</v>
      </c>
      <c r="F73" s="4">
        <f t="shared" ca="1" si="39"/>
        <v>35.121045503262465</v>
      </c>
      <c r="G73" s="4"/>
      <c r="H73" s="5">
        <f t="shared" si="40"/>
        <v>25000</v>
      </c>
      <c r="I73" s="5">
        <v>15</v>
      </c>
      <c r="J73" s="4">
        <f t="shared" si="0"/>
        <v>0.17762106657015447</v>
      </c>
      <c r="K73" s="4">
        <v>585.47288416763467</v>
      </c>
      <c r="L73" s="6">
        <f t="shared" si="41"/>
        <v>71.749999999999972</v>
      </c>
      <c r="M73" s="4">
        <f t="shared" si="1"/>
        <v>346.88331630317685</v>
      </c>
      <c r="N73" s="4">
        <f t="shared" si="2"/>
        <v>171.75382725093451</v>
      </c>
      <c r="O73" s="4">
        <f t="shared" si="3"/>
        <v>1736491.1977068705</v>
      </c>
      <c r="P73" s="4">
        <f t="shared" si="4"/>
        <v>11149493.694148293</v>
      </c>
      <c r="Q73" s="4">
        <f t="shared" si="5"/>
        <v>2.9433386765057106E-3</v>
      </c>
      <c r="R73" s="4">
        <f t="shared" si="6"/>
        <v>2.2969082620067364E-2</v>
      </c>
      <c r="S73" s="24">
        <f t="shared" ca="1" si="42"/>
        <v>3.1617053363063512</v>
      </c>
      <c r="T73" s="4">
        <f t="shared" ca="1" si="7"/>
        <v>0.43540900156125917</v>
      </c>
      <c r="U73" s="4">
        <f t="shared" ca="1" si="8"/>
        <v>3.4942397322426495E-2</v>
      </c>
      <c r="V73" s="4">
        <f t="shared" ca="1" si="9"/>
        <v>12.460764999710191</v>
      </c>
      <c r="W73" s="20">
        <f t="shared" ca="1" si="10"/>
        <v>1380.3428088933981</v>
      </c>
      <c r="X73" s="4">
        <f t="shared" si="11"/>
        <v>0.60306209144934586</v>
      </c>
      <c r="Y73" s="4">
        <f t="shared" ca="1" si="12"/>
        <v>266.59121874265662</v>
      </c>
      <c r="Z73" s="14">
        <f t="shared" ca="1" si="13"/>
        <v>1382.4471000895305</v>
      </c>
      <c r="AA73" s="14">
        <f t="shared" si="14"/>
        <v>2330.4477031871365</v>
      </c>
      <c r="AB73" s="25">
        <f t="shared" ca="1" si="15"/>
        <v>809385.29089860013</v>
      </c>
      <c r="AC73" s="4">
        <f t="shared" si="16"/>
        <v>1364413.9381868127</v>
      </c>
      <c r="AD73" s="5">
        <v>100</v>
      </c>
      <c r="AE73" s="4">
        <f t="shared" si="17"/>
        <v>2330.4477031871365</v>
      </c>
      <c r="AF73" s="4">
        <f t="shared" ca="1" si="18"/>
        <v>948.00060309760602</v>
      </c>
      <c r="AG73" s="4">
        <f t="shared" ca="1" si="19"/>
        <v>555028.64728821255</v>
      </c>
      <c r="AH73" s="4">
        <f t="shared" si="20"/>
        <v>1639.1617398001101</v>
      </c>
      <c r="AI73" s="13">
        <f t="shared" ca="1" si="21"/>
        <v>32.291269081308485</v>
      </c>
      <c r="AJ73" s="10">
        <f t="shared" ca="1" si="22"/>
        <v>3.1617053363063512</v>
      </c>
      <c r="AK73" s="11">
        <f t="shared" ca="1" si="43"/>
        <v>1937.4761448785091</v>
      </c>
      <c r="AL73" s="6">
        <v>500</v>
      </c>
      <c r="AM73" s="4">
        <f t="shared" ca="1" si="23"/>
        <v>15.484061612475323</v>
      </c>
      <c r="AN73" s="4">
        <f t="shared" ca="1" si="24"/>
        <v>7.0502448255214301</v>
      </c>
      <c r="AO73" s="4">
        <f t="shared" ca="1" si="25"/>
        <v>1.4897185914767574</v>
      </c>
      <c r="AP73" s="4">
        <f t="shared" si="26"/>
        <v>0.70336774241206146</v>
      </c>
      <c r="AQ73" s="11">
        <f t="shared" si="27"/>
        <v>0.8801724707183759</v>
      </c>
      <c r="AR73" s="11">
        <f t="shared" si="28"/>
        <v>0.37109039859667781</v>
      </c>
      <c r="AS73" s="11">
        <f t="shared" si="29"/>
        <v>0.42161100345913183</v>
      </c>
      <c r="AT73" s="11">
        <f t="shared" si="30"/>
        <v>456.51905538749998</v>
      </c>
      <c r="AU73" s="11">
        <f t="shared" si="31"/>
        <v>785.30892331826146</v>
      </c>
      <c r="AV73" s="11">
        <f t="shared" si="32"/>
        <v>1.0021271941220104E-3</v>
      </c>
      <c r="AW73" s="11">
        <f t="shared" si="33"/>
        <v>3.3787576891850962E-7</v>
      </c>
      <c r="AX73" s="4">
        <f t="shared" ca="1" si="34"/>
        <v>32.219750416740141</v>
      </c>
      <c r="AY73" s="11">
        <f t="shared" ca="1" si="35"/>
        <v>593.03625924186758</v>
      </c>
      <c r="AZ73" s="11"/>
      <c r="BA73" s="11"/>
    </row>
    <row r="74" spans="1:53">
      <c r="A74" s="4">
        <f t="shared" ca="1" si="36"/>
        <v>376.38520034427142</v>
      </c>
      <c r="B74" s="4">
        <f t="shared" ref="B74:C74" ca="1" si="94">A74/60</f>
        <v>6.2730866724045233</v>
      </c>
      <c r="C74" s="4">
        <f t="shared" ca="1" si="94"/>
        <v>0.10455144454007539</v>
      </c>
      <c r="D74" s="41">
        <f t="shared" ca="1" si="45"/>
        <v>17226.348438746474</v>
      </c>
      <c r="E74" s="4">
        <f t="shared" ca="1" si="38"/>
        <v>36.610764094739224</v>
      </c>
      <c r="F74" s="4">
        <f t="shared" ca="1" si="39"/>
        <v>36.610764094739224</v>
      </c>
      <c r="G74" s="4"/>
      <c r="H74" s="5">
        <f t="shared" si="40"/>
        <v>25500</v>
      </c>
      <c r="I74" s="5">
        <v>15</v>
      </c>
      <c r="J74" s="4">
        <f t="shared" si="0"/>
        <v>0.18263260556798117</v>
      </c>
      <c r="K74" s="4">
        <v>585.52735457623669</v>
      </c>
      <c r="L74" s="6">
        <f t="shared" si="41"/>
        <v>72.984999999999971</v>
      </c>
      <c r="M74" s="4">
        <f t="shared" si="1"/>
        <v>346.91558914874702</v>
      </c>
      <c r="N74" s="4">
        <f t="shared" si="2"/>
        <v>168.7295405862219</v>
      </c>
      <c r="O74" s="4">
        <f t="shared" si="3"/>
        <v>1711129.1464650324</v>
      </c>
      <c r="P74" s="4">
        <f t="shared" si="4"/>
        <v>10986651.503663851</v>
      </c>
      <c r="Q74" s="4">
        <f t="shared" si="5"/>
        <v>2.9497390398553164E-3</v>
      </c>
      <c r="R74" s="4">
        <f t="shared" si="6"/>
        <v>2.3008156838316706E-2</v>
      </c>
      <c r="S74" s="24">
        <f t="shared" ca="1" si="42"/>
        <v>3.0133046886304649</v>
      </c>
      <c r="T74" s="4">
        <f t="shared" ca="1" si="7"/>
        <v>0.44327514116042566</v>
      </c>
      <c r="U74" s="4">
        <f t="shared" ca="1" si="8"/>
        <v>3.5418001474185834E-2</v>
      </c>
      <c r="V74" s="4">
        <f t="shared" ca="1" si="9"/>
        <v>12.51553229177834</v>
      </c>
      <c r="W74" s="20">
        <f t="shared" ca="1" si="10"/>
        <v>1374.4945169609464</v>
      </c>
      <c r="X74" s="4">
        <f t="shared" si="11"/>
        <v>0.60357482778800797</v>
      </c>
      <c r="Y74" s="4">
        <f t="shared" ca="1" si="12"/>
        <v>269.01359619875041</v>
      </c>
      <c r="Z74" s="14">
        <f t="shared" ca="1" si="13"/>
        <v>1376.3975863865371</v>
      </c>
      <c r="AA74" s="14">
        <f t="shared" si="14"/>
        <v>2280.0465697751488</v>
      </c>
      <c r="AB74" s="25">
        <f t="shared" ca="1" si="15"/>
        <v>805918.43760202627</v>
      </c>
      <c r="AC74" s="4">
        <f t="shared" si="16"/>
        <v>1335029.6363110656</v>
      </c>
      <c r="AD74" s="5">
        <v>100</v>
      </c>
      <c r="AE74" s="4">
        <f t="shared" si="17"/>
        <v>2280.0465697751488</v>
      </c>
      <c r="AF74" s="4">
        <f t="shared" ca="1" si="18"/>
        <v>903.64898338861167</v>
      </c>
      <c r="AG74" s="4">
        <f t="shared" ca="1" si="19"/>
        <v>529111.19870903937</v>
      </c>
      <c r="AH74" s="4">
        <f t="shared" si="20"/>
        <v>1608.7307657503834</v>
      </c>
      <c r="AI74" s="13">
        <f t="shared" ca="1" si="21"/>
        <v>30.779912516036617</v>
      </c>
      <c r="AJ74" s="10">
        <f t="shared" ca="1" si="22"/>
        <v>3.0133046886304649</v>
      </c>
      <c r="AK74" s="11">
        <f t="shared" ca="1" si="43"/>
        <v>1846.794750962197</v>
      </c>
      <c r="AL74" s="6">
        <v>500</v>
      </c>
      <c r="AM74" s="4">
        <f t="shared" ca="1" si="23"/>
        <v>16.244360660203156</v>
      </c>
      <c r="AN74" s="4">
        <f t="shared" ca="1" si="24"/>
        <v>7.2591118788927851</v>
      </c>
      <c r="AO74" s="4">
        <f t="shared" ca="1" si="25"/>
        <v>1.5632306000117397</v>
      </c>
      <c r="AP74" s="4">
        <f t="shared" si="26"/>
        <v>0.70556925769679846</v>
      </c>
      <c r="AQ74" s="11">
        <f t="shared" si="27"/>
        <v>0.87673479571837587</v>
      </c>
      <c r="AR74" s="11">
        <f t="shared" si="28"/>
        <v>0.36306474041005554</v>
      </c>
      <c r="AS74" s="11">
        <f t="shared" si="29"/>
        <v>0.41411010739293042</v>
      </c>
      <c r="AT74" s="11">
        <f t="shared" si="30"/>
        <v>454.73603649525</v>
      </c>
      <c r="AU74" s="11">
        <f t="shared" si="31"/>
        <v>768.32486495056764</v>
      </c>
      <c r="AV74" s="11">
        <f t="shared" si="32"/>
        <v>9.8429831426225618E-4</v>
      </c>
      <c r="AW74" s="11">
        <f t="shared" si="33"/>
        <v>3.3681478061107052E-7</v>
      </c>
      <c r="AX74" s="4">
        <f t="shared" ca="1" si="34"/>
        <v>30.715226769646236</v>
      </c>
      <c r="AY74" s="11">
        <f t="shared" ca="1" si="35"/>
        <v>593.31221607858674</v>
      </c>
      <c r="AZ74" s="11"/>
      <c r="BA74" s="11"/>
    </row>
    <row r="75" spans="1:53">
      <c r="A75" s="4">
        <f t="shared" ca="1" si="36"/>
        <v>392.62956100447457</v>
      </c>
      <c r="B75" s="4">
        <f t="shared" ref="B75:C75" ca="1" si="95">A75/60</f>
        <v>6.5438260167412432</v>
      </c>
      <c r="C75" s="4">
        <f t="shared" ca="1" si="95"/>
        <v>0.10906376694568738</v>
      </c>
      <c r="D75" s="41">
        <f t="shared" ca="1" si="45"/>
        <v>17226.348438746474</v>
      </c>
      <c r="E75" s="4">
        <f t="shared" ca="1" si="38"/>
        <v>38.173994694750967</v>
      </c>
      <c r="F75" s="4">
        <f t="shared" ca="1" si="39"/>
        <v>38.173994694750967</v>
      </c>
      <c r="G75" s="4"/>
      <c r="H75" s="5">
        <f t="shared" si="40"/>
        <v>26000</v>
      </c>
      <c r="I75" s="5">
        <v>15</v>
      </c>
      <c r="J75" s="4">
        <f t="shared" si="0"/>
        <v>0.18773850928846578</v>
      </c>
      <c r="K75" s="4">
        <v>585.6369654576348</v>
      </c>
      <c r="L75" s="6">
        <f t="shared" si="41"/>
        <v>74.21999999999997</v>
      </c>
      <c r="M75" s="4">
        <f t="shared" si="1"/>
        <v>346.98053184220129</v>
      </c>
      <c r="N75" s="4">
        <f t="shared" si="2"/>
        <v>165.77712910003311</v>
      </c>
      <c r="O75" s="4">
        <f t="shared" si="3"/>
        <v>1686194.5227400118</v>
      </c>
      <c r="P75" s="4">
        <f t="shared" si="4"/>
        <v>10826553.698183926</v>
      </c>
      <c r="Q75" s="4">
        <f t="shared" si="5"/>
        <v>2.9561202316680324E-3</v>
      </c>
      <c r="R75" s="4">
        <f t="shared" si="6"/>
        <v>2.3047114014333337E-2</v>
      </c>
      <c r="S75" s="24">
        <f t="shared" ca="1" si="42"/>
        <v>2.8664906544174618</v>
      </c>
      <c r="T75" s="4">
        <f t="shared" ca="1" si="7"/>
        <v>0.45122903482797527</v>
      </c>
      <c r="U75" s="4">
        <f t="shared" ca="1" si="8"/>
        <v>3.5906305544166323E-2</v>
      </c>
      <c r="V75" s="4">
        <f t="shared" ca="1" si="9"/>
        <v>12.566846630125839</v>
      </c>
      <c r="W75" s="20">
        <f t="shared" ca="1" si="10"/>
        <v>1369.0621774311139</v>
      </c>
      <c r="X75" s="4">
        <f t="shared" si="11"/>
        <v>0.60408559503793413</v>
      </c>
      <c r="Y75" s="4">
        <f t="shared" ca="1" si="12"/>
        <v>271.46719329111096</v>
      </c>
      <c r="Z75" s="14">
        <f t="shared" ca="1" si="13"/>
        <v>1370.7773275000154</v>
      </c>
      <c r="AA75" s="14">
        <f t="shared" si="14"/>
        <v>2230.5317429726733</v>
      </c>
      <c r="AB75" s="25">
        <f t="shared" ca="1" si="15"/>
        <v>802777.87439523544</v>
      </c>
      <c r="AC75" s="4">
        <f t="shared" si="16"/>
        <v>1306281.8413114455</v>
      </c>
      <c r="AD75" s="5">
        <v>100</v>
      </c>
      <c r="AE75" s="4">
        <f t="shared" si="17"/>
        <v>2230.5317429726733</v>
      </c>
      <c r="AF75" s="4">
        <f t="shared" ca="1" si="18"/>
        <v>859.75441547265791</v>
      </c>
      <c r="AG75" s="4">
        <f t="shared" ca="1" si="19"/>
        <v>503503.96691621002</v>
      </c>
      <c r="AH75" s="4">
        <f t="shared" si="20"/>
        <v>1578.7860134625805</v>
      </c>
      <c r="AI75" s="13">
        <f t="shared" ca="1" si="21"/>
        <v>29.287020635383005</v>
      </c>
      <c r="AJ75" s="10">
        <f t="shared" ca="1" si="22"/>
        <v>2.8664906544174618</v>
      </c>
      <c r="AK75" s="11">
        <f t="shared" ca="1" si="43"/>
        <v>1757.2212381229804</v>
      </c>
      <c r="AL75" s="6">
        <v>500</v>
      </c>
      <c r="AM75" s="4">
        <f t="shared" ca="1" si="23"/>
        <v>17.072409181694873</v>
      </c>
      <c r="AN75" s="4">
        <f t="shared" ca="1" si="24"/>
        <v>7.4871335644916686</v>
      </c>
      <c r="AO75" s="4">
        <f t="shared" ca="1" si="25"/>
        <v>1.6434393395690305</v>
      </c>
      <c r="AP75" s="4">
        <f t="shared" si="26"/>
        <v>0.70780701437519178</v>
      </c>
      <c r="AQ75" s="11">
        <f t="shared" si="27"/>
        <v>0.87329712071837595</v>
      </c>
      <c r="AR75" s="11">
        <f t="shared" si="28"/>
        <v>0.35518021384915177</v>
      </c>
      <c r="AS75" s="11">
        <f t="shared" si="29"/>
        <v>0.40671176558669953</v>
      </c>
      <c r="AT75" s="11">
        <f t="shared" si="30"/>
        <v>452.95301760300003</v>
      </c>
      <c r="AU75" s="11">
        <f t="shared" si="31"/>
        <v>751.63947215185192</v>
      </c>
      <c r="AV75" s="11">
        <f t="shared" si="32"/>
        <v>9.6671319562302604E-4</v>
      </c>
      <c r="AW75" s="11">
        <f t="shared" si="33"/>
        <v>3.3575188076910466E-7</v>
      </c>
      <c r="AX75" s="4">
        <f t="shared" ca="1" si="34"/>
        <v>29.228711395602595</v>
      </c>
      <c r="AY75" s="11">
        <f t="shared" ca="1" si="35"/>
        <v>593.64795947471202</v>
      </c>
      <c r="AZ75" s="11"/>
      <c r="BA75" s="11"/>
    </row>
    <row r="76" spans="1:53">
      <c r="A76" s="4">
        <f t="shared" ca="1" si="36"/>
        <v>409.70197018616943</v>
      </c>
      <c r="B76" s="4">
        <f t="shared" ref="B76:C76" ca="1" si="96">A76/60</f>
        <v>6.8283661697694908</v>
      </c>
      <c r="C76" s="4">
        <f t="shared" ca="1" si="96"/>
        <v>0.11380610282949151</v>
      </c>
      <c r="D76" s="41">
        <f t="shared" ca="1" si="45"/>
        <v>17226.348438746474</v>
      </c>
      <c r="E76" s="4">
        <f t="shared" ca="1" si="38"/>
        <v>39.817434034319994</v>
      </c>
      <c r="F76" s="4">
        <f t="shared" ca="1" si="39"/>
        <v>39.817434034319994</v>
      </c>
      <c r="G76" s="4"/>
      <c r="H76" s="5">
        <f t="shared" si="40"/>
        <v>26500</v>
      </c>
      <c r="I76" s="5">
        <v>15</v>
      </c>
      <c r="J76" s="4">
        <f t="shared" si="0"/>
        <v>0.19294063378687576</v>
      </c>
      <c r="K76" s="4">
        <v>585.80323387745318</v>
      </c>
      <c r="L76" s="6">
        <f t="shared" si="41"/>
        <v>75.45499999999997</v>
      </c>
      <c r="M76" s="4">
        <f t="shared" si="1"/>
        <v>347.079043220649</v>
      </c>
      <c r="N76" s="4">
        <f t="shared" si="2"/>
        <v>162.89539895758563</v>
      </c>
      <c r="O76" s="4">
        <f t="shared" si="3"/>
        <v>1661682.8025583078</v>
      </c>
      <c r="P76" s="4">
        <f t="shared" si="4"/>
        <v>10669171.230619716</v>
      </c>
      <c r="Q76" s="4">
        <f t="shared" si="5"/>
        <v>2.9624800995457466E-3</v>
      </c>
      <c r="R76" s="4">
        <f t="shared" si="6"/>
        <v>2.3085941007726783E-2</v>
      </c>
      <c r="S76" s="24">
        <f t="shared" ca="1" si="42"/>
        <v>2.7212457676700788</v>
      </c>
      <c r="T76" s="4">
        <f t="shared" ca="1" si="7"/>
        <v>0.45926839539540537</v>
      </c>
      <c r="U76" s="4">
        <f t="shared" ca="1" si="8"/>
        <v>3.6407428204197692E-2</v>
      </c>
      <c r="V76" s="4">
        <f t="shared" ca="1" si="9"/>
        <v>12.614689310640536</v>
      </c>
      <c r="W76" s="20">
        <f t="shared" ca="1" si="10"/>
        <v>1364.0385847387606</v>
      </c>
      <c r="X76" s="4">
        <f t="shared" si="11"/>
        <v>0.60459422612381297</v>
      </c>
      <c r="Y76" s="4">
        <f t="shared" ca="1" si="12"/>
        <v>273.95258179362639</v>
      </c>
      <c r="Z76" s="14">
        <f t="shared" ca="1" si="13"/>
        <v>1365.5784946059659</v>
      </c>
      <c r="AA76" s="14">
        <f t="shared" si="14"/>
        <v>2181.8912494322476</v>
      </c>
      <c r="AB76" s="25">
        <f t="shared" ca="1" si="15"/>
        <v>799960.29825367907</v>
      </c>
      <c r="AC76" s="4">
        <f t="shared" si="16"/>
        <v>1278158.9498863274</v>
      </c>
      <c r="AD76" s="5">
        <v>100</v>
      </c>
      <c r="AE76" s="4">
        <f t="shared" si="17"/>
        <v>2181.8912494322476</v>
      </c>
      <c r="AF76" s="4">
        <f t="shared" ca="1" si="18"/>
        <v>816.31275482628166</v>
      </c>
      <c r="AG76" s="4">
        <f t="shared" ca="1" si="19"/>
        <v>478198.65163264831</v>
      </c>
      <c r="AH76" s="4">
        <f t="shared" si="20"/>
        <v>1549.3169302194417</v>
      </c>
      <c r="AI76" s="13">
        <f t="shared" ca="1" si="21"/>
        <v>27.812088993574324</v>
      </c>
      <c r="AJ76" s="10">
        <f t="shared" ca="1" si="22"/>
        <v>2.7212457676700788</v>
      </c>
      <c r="AK76" s="11">
        <f t="shared" ca="1" si="43"/>
        <v>1668.7253396144595</v>
      </c>
      <c r="AL76" s="6">
        <v>500</v>
      </c>
      <c r="AM76" s="4">
        <f t="shared" ca="1" si="23"/>
        <v>17.977793761393453</v>
      </c>
      <c r="AN76" s="4">
        <f t="shared" ca="1" si="24"/>
        <v>7.7370278451445378</v>
      </c>
      <c r="AO76" s="4">
        <f t="shared" ca="1" si="25"/>
        <v>1.7312997702716761</v>
      </c>
      <c r="AP76" s="4">
        <f t="shared" si="26"/>
        <v>0.7100798129249527</v>
      </c>
      <c r="AQ76" s="11">
        <f t="shared" si="27"/>
        <v>0.86985944571837592</v>
      </c>
      <c r="AR76" s="11">
        <f t="shared" si="28"/>
        <v>0.3474349123299757</v>
      </c>
      <c r="AS76" s="11">
        <f t="shared" si="29"/>
        <v>0.39941500209041886</v>
      </c>
      <c r="AT76" s="11">
        <f t="shared" si="30"/>
        <v>451.16999871075001</v>
      </c>
      <c r="AU76" s="11">
        <f t="shared" si="31"/>
        <v>735.24871017094108</v>
      </c>
      <c r="AV76" s="11">
        <f t="shared" si="32"/>
        <v>9.4936951846871656E-4</v>
      </c>
      <c r="AW76" s="11">
        <f t="shared" si="33"/>
        <v>3.3468706133771274E-7</v>
      </c>
      <c r="AX76" s="4">
        <f t="shared" ca="1" si="34"/>
        <v>27.759722458478603</v>
      </c>
      <c r="AY76" s="11">
        <f t="shared" ca="1" si="35"/>
        <v>594.04499724264429</v>
      </c>
      <c r="AZ76" s="11"/>
      <c r="BA76" s="11"/>
    </row>
    <row r="77" spans="1:53">
      <c r="A77" s="4">
        <f t="shared" ca="1" si="36"/>
        <v>427.67976394756289</v>
      </c>
      <c r="B77" s="4">
        <f t="shared" ref="B77:C77" ca="1" si="97">A77/60</f>
        <v>7.1279960657927148</v>
      </c>
      <c r="C77" s="4">
        <f t="shared" ca="1" si="97"/>
        <v>0.11879993442987859</v>
      </c>
      <c r="D77" s="41">
        <f t="shared" ca="1" si="45"/>
        <v>17226.348438746474</v>
      </c>
      <c r="E77" s="4">
        <f t="shared" ca="1" si="38"/>
        <v>41.54873380459167</v>
      </c>
      <c r="F77" s="4">
        <f t="shared" ca="1" si="39"/>
        <v>41.54873380459167</v>
      </c>
      <c r="G77" s="4"/>
      <c r="H77" s="5">
        <f t="shared" si="40"/>
        <v>27000</v>
      </c>
      <c r="I77" s="5">
        <v>15</v>
      </c>
      <c r="J77" s="4">
        <f t="shared" si="0"/>
        <v>0.19824086953038492</v>
      </c>
      <c r="K77" s="4">
        <v>586.02769110592601</v>
      </c>
      <c r="L77" s="6">
        <f t="shared" si="41"/>
        <v>76.689999999999969</v>
      </c>
      <c r="M77" s="4">
        <f t="shared" si="1"/>
        <v>347.21203053720347</v>
      </c>
      <c r="N77" s="4">
        <f t="shared" si="2"/>
        <v>160.08315995819169</v>
      </c>
      <c r="O77" s="4">
        <f t="shared" si="3"/>
        <v>1637589.4025460938</v>
      </c>
      <c r="P77" s="4">
        <f t="shared" si="4"/>
        <v>10514474.672490593</v>
      </c>
      <c r="Q77" s="4">
        <f t="shared" si="5"/>
        <v>2.9688164387434422E-3</v>
      </c>
      <c r="R77" s="4">
        <f t="shared" si="6"/>
        <v>2.3124624358528714E-2</v>
      </c>
      <c r="S77" s="24">
        <f t="shared" ca="1" si="42"/>
        <v>2.5775536666228964</v>
      </c>
      <c r="T77" s="4">
        <f t="shared" ca="1" si="7"/>
        <v>0.46739076760176879</v>
      </c>
      <c r="U77" s="4">
        <f t="shared" ca="1" si="8"/>
        <v>3.6921471410490445E-2</v>
      </c>
      <c r="V77" s="4">
        <f t="shared" ca="1" si="9"/>
        <v>12.659050404718425</v>
      </c>
      <c r="W77" s="20">
        <f t="shared" ca="1" si="10"/>
        <v>1359.4163371503887</v>
      </c>
      <c r="X77" s="4">
        <f t="shared" si="11"/>
        <v>0.60510055032941257</v>
      </c>
      <c r="Y77" s="4">
        <f t="shared" ca="1" si="12"/>
        <v>276.4703455023473</v>
      </c>
      <c r="Z77" s="14">
        <f t="shared" ca="1" si="13"/>
        <v>1360.7930996408447</v>
      </c>
      <c r="AA77" s="14">
        <f t="shared" si="14"/>
        <v>2134.1132283491092</v>
      </c>
      <c r="AB77" s="25">
        <f t="shared" ca="1" si="15"/>
        <v>797462.43825540051</v>
      </c>
      <c r="AC77" s="4">
        <f t="shared" si="16"/>
        <v>1250649.4477680423</v>
      </c>
      <c r="AD77" s="5">
        <v>100</v>
      </c>
      <c r="AE77" s="4">
        <f t="shared" si="17"/>
        <v>2134.1132283491092</v>
      </c>
      <c r="AF77" s="4">
        <f t="shared" ca="1" si="18"/>
        <v>773.32012870826452</v>
      </c>
      <c r="AG77" s="4">
        <f t="shared" ca="1" si="19"/>
        <v>453187.00951264182</v>
      </c>
      <c r="AH77" s="4">
        <f t="shared" si="20"/>
        <v>1520.3130717776958</v>
      </c>
      <c r="AI77" s="13">
        <f t="shared" ca="1" si="21"/>
        <v>26.354617873337361</v>
      </c>
      <c r="AJ77" s="10">
        <f t="shared" ca="1" si="22"/>
        <v>2.5775536666228964</v>
      </c>
      <c r="AK77" s="11">
        <f t="shared" ca="1" si="43"/>
        <v>1581.2770724002417</v>
      </c>
      <c r="AL77" s="6">
        <v>500</v>
      </c>
      <c r="AM77" s="4">
        <f t="shared" ca="1" si="23"/>
        <v>18.972007198246793</v>
      </c>
      <c r="AN77" s="4">
        <f t="shared" ca="1" si="24"/>
        <v>8.0120529281542048</v>
      </c>
      <c r="AO77" s="4">
        <f t="shared" ca="1" si="25"/>
        <v>1.8279568136423121</v>
      </c>
      <c r="AP77" s="4">
        <f t="shared" si="26"/>
        <v>0.71238632120460066</v>
      </c>
      <c r="AQ77" s="11">
        <f t="shared" si="27"/>
        <v>0.86642177071837589</v>
      </c>
      <c r="AR77" s="11">
        <f t="shared" si="28"/>
        <v>0.33982694718934858</v>
      </c>
      <c r="AS77" s="11">
        <f t="shared" si="29"/>
        <v>0.39221884614878505</v>
      </c>
      <c r="AT77" s="11">
        <f t="shared" si="30"/>
        <v>449.38697981849998</v>
      </c>
      <c r="AU77" s="11">
        <f t="shared" si="31"/>
        <v>719.14858218104314</v>
      </c>
      <c r="AV77" s="11">
        <f t="shared" si="32"/>
        <v>9.3226497541104721E-4</v>
      </c>
      <c r="AW77" s="11">
        <f t="shared" si="33"/>
        <v>3.3362031421895518E-7</v>
      </c>
      <c r="AX77" s="4">
        <f t="shared" ca="1" si="34"/>
        <v>26.307781427043938</v>
      </c>
      <c r="AY77" s="11">
        <f t="shared" ca="1" si="35"/>
        <v>594.50484673939843</v>
      </c>
      <c r="AZ77" s="11"/>
      <c r="BA77" s="11"/>
    </row>
    <row r="78" spans="1:53">
      <c r="A78" s="4">
        <f t="shared" ca="1" si="36"/>
        <v>446.65177114580968</v>
      </c>
      <c r="B78" s="4">
        <f t="shared" ref="B78:C78" ca="1" si="98">A78/60</f>
        <v>7.4441961857634942</v>
      </c>
      <c r="C78" s="4">
        <f t="shared" ca="1" si="98"/>
        <v>0.12406993642939157</v>
      </c>
      <c r="D78" s="41">
        <f t="shared" ca="1" si="45"/>
        <v>17226.348438746474</v>
      </c>
      <c r="E78" s="4">
        <f t="shared" ca="1" si="38"/>
        <v>43.37669061823398</v>
      </c>
      <c r="F78" s="4">
        <f t="shared" ca="1" si="39"/>
        <v>43.37669061823398</v>
      </c>
      <c r="G78" s="4"/>
      <c r="H78" s="5">
        <f t="shared" si="40"/>
        <v>27500</v>
      </c>
      <c r="I78" s="5">
        <v>15</v>
      </c>
      <c r="J78" s="4">
        <f t="shared" si="0"/>
        <v>0.20364114169195696</v>
      </c>
      <c r="K78" s="4">
        <v>586.31188159378507</v>
      </c>
      <c r="L78" s="6">
        <f t="shared" si="41"/>
        <v>77.924999999999969</v>
      </c>
      <c r="M78" s="4">
        <f t="shared" si="1"/>
        <v>347.38040885421213</v>
      </c>
      <c r="N78" s="4">
        <f t="shared" si="2"/>
        <v>157.33922562261679</v>
      </c>
      <c r="O78" s="4">
        <f t="shared" si="3"/>
        <v>1613909.6793642016</v>
      </c>
      <c r="P78" s="4">
        <f t="shared" si="4"/>
        <v>10362434.210296294</v>
      </c>
      <c r="Q78" s="4">
        <f t="shared" si="5"/>
        <v>2.975126992700724E-3</v>
      </c>
      <c r="R78" s="4">
        <f t="shared" si="6"/>
        <v>2.3163150290437917E-2</v>
      </c>
      <c r="S78" s="24">
        <f t="shared" ca="1" si="42"/>
        <v>2.4353990843930138</v>
      </c>
      <c r="T78" s="4">
        <f t="shared" ca="1" si="7"/>
        <v>0.47559352896416746</v>
      </c>
      <c r="U78" s="4">
        <f t="shared" ca="1" si="8"/>
        <v>3.7448519344710052E-2</v>
      </c>
      <c r="V78" s="4">
        <f t="shared" ca="1" si="9"/>
        <v>12.699928789877495</v>
      </c>
      <c r="W78" s="20">
        <f t="shared" ca="1" si="10"/>
        <v>1355.1878379143609</v>
      </c>
      <c r="X78" s="4">
        <f t="shared" si="11"/>
        <v>0.60560439334902261</v>
      </c>
      <c r="Y78" s="4">
        <f t="shared" ca="1" si="12"/>
        <v>279.02108058804527</v>
      </c>
      <c r="Z78" s="14">
        <f t="shared" ca="1" si="13"/>
        <v>1356.4129944159035</v>
      </c>
      <c r="AA78" s="14">
        <f t="shared" si="14"/>
        <v>2087.1859308697644</v>
      </c>
      <c r="AB78" s="25">
        <f t="shared" ca="1" si="15"/>
        <v>795281.05497424875</v>
      </c>
      <c r="AC78" s="4">
        <f t="shared" si="16"/>
        <v>1223741.9103643275</v>
      </c>
      <c r="AD78" s="5">
        <v>100</v>
      </c>
      <c r="AE78" s="4">
        <f t="shared" si="17"/>
        <v>2087.1859308697644</v>
      </c>
      <c r="AF78" s="4">
        <f t="shared" ca="1" si="18"/>
        <v>730.77293645386089</v>
      </c>
      <c r="AG78" s="4">
        <f t="shared" ca="1" si="19"/>
        <v>428460.85539007874</v>
      </c>
      <c r="AH78" s="4">
        <f t="shared" si="20"/>
        <v>1491.7641303874909</v>
      </c>
      <c r="AI78" s="13">
        <f t="shared" ca="1" si="21"/>
        <v>24.914112281533267</v>
      </c>
      <c r="AJ78" s="10">
        <f t="shared" ca="1" si="22"/>
        <v>2.4353990843930138</v>
      </c>
      <c r="AK78" s="11">
        <f t="shared" ca="1" si="43"/>
        <v>1494.846736891996</v>
      </c>
      <c r="AL78" s="6">
        <v>500</v>
      </c>
      <c r="AM78" s="4">
        <f t="shared" ca="1" si="23"/>
        <v>20.068947042941918</v>
      </c>
      <c r="AN78" s="4">
        <f t="shared" ca="1" si="24"/>
        <v>8.3161487036963493</v>
      </c>
      <c r="AO78" s="4">
        <f t="shared" ca="1" si="25"/>
        <v>1.934795024812225</v>
      </c>
      <c r="AP78" s="4">
        <f t="shared" si="26"/>
        <v>0.71472507950733866</v>
      </c>
      <c r="AQ78" s="11">
        <f t="shared" si="27"/>
        <v>0.86298409571837587</v>
      </c>
      <c r="AR78" s="11">
        <f t="shared" si="28"/>
        <v>0.33235444759072685</v>
      </c>
      <c r="AS78" s="11">
        <f t="shared" si="29"/>
        <v>0.38512233219554792</v>
      </c>
      <c r="AT78" s="11">
        <f t="shared" si="30"/>
        <v>447.60396092624995</v>
      </c>
      <c r="AU78" s="11">
        <f t="shared" si="31"/>
        <v>703.33512908044793</v>
      </c>
      <c r="AV78" s="11">
        <f t="shared" si="32"/>
        <v>9.1539727139559781E-4</v>
      </c>
      <c r="AW78" s="11">
        <f t="shared" si="33"/>
        <v>3.3255163127171121E-7</v>
      </c>
      <c r="AX78" s="4">
        <f t="shared" ca="1" si="34"/>
        <v>24.872413147429459</v>
      </c>
      <c r="AY78" s="11">
        <f t="shared" ca="1" si="35"/>
        <v>595.0290339685431</v>
      </c>
      <c r="AZ78" s="11"/>
      <c r="BA78" s="11"/>
    </row>
    <row r="79" spans="1:53">
      <c r="A79" s="4">
        <f t="shared" ca="1" si="36"/>
        <v>466.72071818875162</v>
      </c>
      <c r="B79" s="4">
        <f t="shared" ref="B79:C79" ca="1" si="99">A79/60</f>
        <v>7.778678636479194</v>
      </c>
      <c r="C79" s="4">
        <f t="shared" ca="1" si="99"/>
        <v>0.12964464394131989</v>
      </c>
      <c r="D79" s="41">
        <f t="shared" ca="1" si="45"/>
        <v>17226.348438746474</v>
      </c>
      <c r="E79" s="4">
        <f t="shared" ca="1" si="38"/>
        <v>45.311485643046204</v>
      </c>
      <c r="F79" s="4">
        <f t="shared" ca="1" si="39"/>
        <v>45.311485643046204</v>
      </c>
      <c r="G79" s="4"/>
      <c r="H79" s="5">
        <f t="shared" si="40"/>
        <v>28000</v>
      </c>
      <c r="I79" s="5">
        <v>15</v>
      </c>
      <c r="J79" s="4">
        <f t="shared" si="0"/>
        <v>0.20914341041730139</v>
      </c>
      <c r="K79" s="4">
        <v>586.65736195735258</v>
      </c>
      <c r="L79" s="6">
        <f t="shared" si="41"/>
        <v>79.159999999999968</v>
      </c>
      <c r="M79" s="4">
        <f t="shared" si="1"/>
        <v>347.58510044194009</v>
      </c>
      <c r="N79" s="4">
        <f t="shared" si="2"/>
        <v>154.66241331746036</v>
      </c>
      <c r="O79" s="4">
        <f t="shared" si="3"/>
        <v>1590638.9294312235</v>
      </c>
      <c r="P79" s="4">
        <f t="shared" si="4"/>
        <v>10213019.64373905</v>
      </c>
      <c r="Q79" s="4">
        <f t="shared" si="5"/>
        <v>2.9814094536038203E-3</v>
      </c>
      <c r="R79" s="4">
        <f t="shared" si="6"/>
        <v>2.3201504714251326E-2</v>
      </c>
      <c r="S79" s="24">
        <f t="shared" ca="1" si="42"/>
        <v>2.2947678367852236</v>
      </c>
      <c r="T79" s="4">
        <f t="shared" ca="1" si="7"/>
        <v>0.48387389130406838</v>
      </c>
      <c r="U79" s="4">
        <f t="shared" ca="1" si="8"/>
        <v>3.7988637382517301E-2</v>
      </c>
      <c r="V79" s="4">
        <f t="shared" ca="1" si="9"/>
        <v>12.737332124651338</v>
      </c>
      <c r="W79" s="20">
        <f t="shared" ca="1" si="10"/>
        <v>1351.3452973310639</v>
      </c>
      <c r="X79" s="4">
        <f t="shared" si="11"/>
        <v>0.60610557734037174</v>
      </c>
      <c r="Y79" s="4">
        <f t="shared" ca="1" si="12"/>
        <v>281.60539595920875</v>
      </c>
      <c r="Z79" s="14">
        <f t="shared" ca="1" si="13"/>
        <v>1352.4298707267958</v>
      </c>
      <c r="AA79" s="14">
        <f t="shared" si="14"/>
        <v>2041.0977195011992</v>
      </c>
      <c r="AB79" s="25">
        <f t="shared" ca="1" si="15"/>
        <v>793412.94019290537</v>
      </c>
      <c r="AC79" s="4">
        <f t="shared" si="16"/>
        <v>1197425.0036197419</v>
      </c>
      <c r="AD79" s="5">
        <v>100</v>
      </c>
      <c r="AE79" s="4">
        <f t="shared" si="17"/>
        <v>2041.0977195011992</v>
      </c>
      <c r="AF79" s="4">
        <f t="shared" ca="1" si="18"/>
        <v>688.66784877440341</v>
      </c>
      <c r="AG79" s="4">
        <f t="shared" ca="1" si="19"/>
        <v>404012.06342683651</v>
      </c>
      <c r="AH79" s="4">
        <f t="shared" si="20"/>
        <v>1463.6599650329269</v>
      </c>
      <c r="AI79" s="13">
        <f t="shared" ca="1" si="21"/>
        <v>23.490081942373109</v>
      </c>
      <c r="AJ79" s="10">
        <f t="shared" ca="1" si="22"/>
        <v>2.2947678367852236</v>
      </c>
      <c r="AK79" s="11">
        <f t="shared" ca="1" si="43"/>
        <v>1409.4049165423867</v>
      </c>
      <c r="AL79" s="6">
        <v>500</v>
      </c>
      <c r="AM79" s="4">
        <f t="shared" ca="1" si="23"/>
        <v>21.285579217076457</v>
      </c>
      <c r="AN79" s="4">
        <f t="shared" ca="1" si="24"/>
        <v>8.6541250368254783</v>
      </c>
      <c r="AO79" s="4">
        <f t="shared" ca="1" si="25"/>
        <v>2.0535047125401724</v>
      </c>
      <c r="AP79" s="4">
        <f t="shared" si="26"/>
        <v>0.71709450804276742</v>
      </c>
      <c r="AQ79" s="11">
        <f t="shared" si="27"/>
        <v>0.85954642071837584</v>
      </c>
      <c r="AR79" s="11">
        <f t="shared" si="28"/>
        <v>0.32501556043012725</v>
      </c>
      <c r="AS79" s="11">
        <f t="shared" si="29"/>
        <v>0.37812449984782875</v>
      </c>
      <c r="AT79" s="11">
        <f t="shared" si="30"/>
        <v>445.82094203399998</v>
      </c>
      <c r="AU79" s="11">
        <f t="shared" si="31"/>
        <v>687.80442929344383</v>
      </c>
      <c r="AV79" s="11">
        <f t="shared" si="32"/>
        <v>8.9876412368830409E-4</v>
      </c>
      <c r="AW79" s="11">
        <f t="shared" si="33"/>
        <v>3.3148100431153839E-7</v>
      </c>
      <c r="AX79" s="4">
        <f t="shared" ca="1" si="34"/>
        <v>23.453145909791875</v>
      </c>
      <c r="AY79" s="11">
        <f t="shared" ca="1" si="35"/>
        <v>595.61909272399453</v>
      </c>
      <c r="AZ79" s="11"/>
      <c r="BA79" s="11"/>
    </row>
    <row r="80" spans="1:53">
      <c r="A80" s="4">
        <f t="shared" ca="1" si="36"/>
        <v>488.00629740582809</v>
      </c>
      <c r="B80" s="4">
        <f t="shared" ref="B80:C80" ca="1" si="100">A80/60</f>
        <v>8.1334382900971356</v>
      </c>
      <c r="C80" s="4">
        <f t="shared" ca="1" si="100"/>
        <v>0.13555730483495226</v>
      </c>
      <c r="D80" s="41">
        <f t="shared" ca="1" si="45"/>
        <v>17226.348438746474</v>
      </c>
      <c r="E80" s="4">
        <f t="shared" ca="1" si="38"/>
        <v>47.364990355586379</v>
      </c>
      <c r="F80" s="4">
        <f t="shared" ca="1" si="39"/>
        <v>47.364990355586379</v>
      </c>
      <c r="G80" s="4"/>
      <c r="H80" s="5">
        <f t="shared" si="40"/>
        <v>28500</v>
      </c>
      <c r="I80" s="5">
        <v>15</v>
      </c>
      <c r="J80" s="4">
        <f t="shared" si="0"/>
        <v>0.21474967106257278</v>
      </c>
      <c r="K80" s="4">
        <v>587.06569998211512</v>
      </c>
      <c r="L80" s="6">
        <f t="shared" si="41"/>
        <v>80.394999999999968</v>
      </c>
      <c r="M80" s="4">
        <f t="shared" si="1"/>
        <v>347.82703418820353</v>
      </c>
      <c r="N80" s="4">
        <f t="shared" si="2"/>
        <v>152.05154441666022</v>
      </c>
      <c r="O80" s="4">
        <f t="shared" si="3"/>
        <v>1567772.388946062</v>
      </c>
      <c r="P80" s="4">
        <f t="shared" si="4"/>
        <v>10066200.385868367</v>
      </c>
      <c r="Q80" s="4">
        <f t="shared" si="5"/>
        <v>2.9876614629685901E-3</v>
      </c>
      <c r="R80" s="4">
        <f t="shared" si="6"/>
        <v>2.3239673231423244E-2</v>
      </c>
      <c r="S80" s="24">
        <f t="shared" ca="1" si="42"/>
        <v>2.1556468071910961</v>
      </c>
      <c r="T80" s="4">
        <f t="shared" ca="1" si="7"/>
        <v>0.49222890294087535</v>
      </c>
      <c r="U80" s="4">
        <f t="shared" ca="1" si="8"/>
        <v>3.8541871097194522E-2</v>
      </c>
      <c r="V80" s="4">
        <f t="shared" ca="1" si="9"/>
        <v>12.771276768052521</v>
      </c>
      <c r="W80" s="20">
        <f t="shared" ca="1" si="10"/>
        <v>1347.880735758341</v>
      </c>
      <c r="X80" s="4">
        <f t="shared" si="11"/>
        <v>0.60660392097822757</v>
      </c>
      <c r="Y80" s="4">
        <f t="shared" ca="1" si="12"/>
        <v>284.22391363575696</v>
      </c>
      <c r="Z80" s="14">
        <f t="shared" ca="1" si="13"/>
        <v>1348.8352614703613</v>
      </c>
      <c r="AA80" s="14">
        <f t="shared" si="14"/>
        <v>1995.8370675207204</v>
      </c>
      <c r="AB80" s="25">
        <f t="shared" ca="1" si="15"/>
        <v>791854.91693565692</v>
      </c>
      <c r="AC80" s="4">
        <f t="shared" si="16"/>
        <v>1171687.4850943037</v>
      </c>
      <c r="AD80" s="5">
        <v>100</v>
      </c>
      <c r="AE80" s="4">
        <f t="shared" si="17"/>
        <v>1995.8370675207204</v>
      </c>
      <c r="AF80" s="4">
        <f t="shared" ca="1" si="18"/>
        <v>647.00180605035916</v>
      </c>
      <c r="AG80" s="4">
        <f t="shared" ca="1" si="19"/>
        <v>379832.56815864681</v>
      </c>
      <c r="AH80" s="4">
        <f t="shared" si="20"/>
        <v>1435.9906338785258</v>
      </c>
      <c r="AI80" s="13">
        <f t="shared" ca="1" si="21"/>
        <v>22.082041287886852</v>
      </c>
      <c r="AJ80" s="10">
        <f t="shared" ca="1" si="22"/>
        <v>2.1556468071910961</v>
      </c>
      <c r="AK80" s="11">
        <f t="shared" ca="1" si="43"/>
        <v>1324.9224772732111</v>
      </c>
      <c r="AL80" s="6">
        <v>500</v>
      </c>
      <c r="AM80" s="4">
        <f t="shared" ca="1" si="23"/>
        <v>22.642834214528708</v>
      </c>
      <c r="AN80" s="4">
        <f t="shared" ca="1" si="24"/>
        <v>9.0319160712576263</v>
      </c>
      <c r="AO80" s="4">
        <f t="shared" ca="1" si="25"/>
        <v>2.1861712324253149</v>
      </c>
      <c r="AP80" s="4">
        <f t="shared" si="26"/>
        <v>0.71949291715598307</v>
      </c>
      <c r="AQ80" s="11">
        <f t="shared" si="27"/>
        <v>0.85610874571837592</v>
      </c>
      <c r="AR80" s="11">
        <f t="shared" si="28"/>
        <v>0.31780845024215293</v>
      </c>
      <c r="AS80" s="11">
        <f t="shared" si="29"/>
        <v>0.37122439390042006</v>
      </c>
      <c r="AT80" s="11">
        <f t="shared" si="30"/>
        <v>444.03792314175001</v>
      </c>
      <c r="AU80" s="11">
        <f t="shared" si="31"/>
        <v>672.55259857144881</v>
      </c>
      <c r="AV80" s="11">
        <f t="shared" si="32"/>
        <v>8.823632618619084E-4</v>
      </c>
      <c r="AW80" s="11">
        <f t="shared" si="33"/>
        <v>3.3040842511054406E-7</v>
      </c>
      <c r="AX80" s="4">
        <f t="shared" ca="1" si="34"/>
        <v>22.049511509026836</v>
      </c>
      <c r="AY80" s="11">
        <f t="shared" ca="1" si="35"/>
        <v>596.27656378460733</v>
      </c>
      <c r="AZ80" s="11"/>
      <c r="BA80" s="11"/>
    </row>
    <row r="81" spans="1:53">
      <c r="A81" s="4">
        <f t="shared" ca="1" si="36"/>
        <v>510.6491316203568</v>
      </c>
      <c r="B81" s="4">
        <f t="shared" ref="B81:C81" ca="1" si="101">A81/60</f>
        <v>8.5108188603392794</v>
      </c>
      <c r="C81" s="4">
        <f t="shared" ca="1" si="101"/>
        <v>0.14184698100565465</v>
      </c>
      <c r="D81" s="41">
        <f t="shared" ca="1" si="45"/>
        <v>17226.348438746474</v>
      </c>
      <c r="E81" s="4">
        <f t="shared" ca="1" si="38"/>
        <v>49.551161588011695</v>
      </c>
      <c r="F81" s="4">
        <f t="shared" ca="1" si="39"/>
        <v>49.551161588011695</v>
      </c>
      <c r="G81" s="4"/>
      <c r="H81" s="5">
        <f t="shared" si="40"/>
        <v>29000</v>
      </c>
      <c r="I81" s="5">
        <v>15</v>
      </c>
      <c r="J81" s="4">
        <f t="shared" si="0"/>
        <v>0.22046195439986013</v>
      </c>
      <c r="K81" s="4">
        <v>587.53847365430238</v>
      </c>
      <c r="L81" s="6">
        <f t="shared" si="41"/>
        <v>81.629999999999967</v>
      </c>
      <c r="M81" s="4">
        <f t="shared" si="1"/>
        <v>348.1071450245957</v>
      </c>
      <c r="N81" s="4">
        <f t="shared" si="2"/>
        <v>149.50544449992267</v>
      </c>
      <c r="O81" s="4">
        <f t="shared" si="3"/>
        <v>1545305.2342193227</v>
      </c>
      <c r="P81" s="4">
        <f t="shared" si="4"/>
        <v>9921945.4652088042</v>
      </c>
      <c r="Q81" s="4">
        <f t="shared" si="5"/>
        <v>2.9938806122345903E-3</v>
      </c>
      <c r="R81" s="4">
        <f t="shared" si="6"/>
        <v>2.3277641137692175E-2</v>
      </c>
      <c r="S81" s="24">
        <f t="shared" ca="1" si="42"/>
        <v>2.0180239285456887</v>
      </c>
      <c r="T81" s="4">
        <f t="shared" ca="1" si="7"/>
        <v>0.50065545155902103</v>
      </c>
      <c r="U81" s="4">
        <f t="shared" ca="1" si="8"/>
        <v>3.910824530601683E-2</v>
      </c>
      <c r="V81" s="4">
        <f t="shared" ca="1" si="9"/>
        <v>12.801787644560848</v>
      </c>
      <c r="W81" s="20">
        <f t="shared" ca="1" si="10"/>
        <v>1344.7859875602539</v>
      </c>
      <c r="X81" s="4">
        <f t="shared" si="11"/>
        <v>0.60709923950784961</v>
      </c>
      <c r="Y81" s="4">
        <f t="shared" ca="1" si="12"/>
        <v>286.87726913375997</v>
      </c>
      <c r="Z81" s="14">
        <f t="shared" ca="1" si="13"/>
        <v>1345.6205427736109</v>
      </c>
      <c r="AA81" s="14">
        <f t="shared" si="14"/>
        <v>1951.3925583864452</v>
      </c>
      <c r="AB81" s="25">
        <f t="shared" ca="1" si="15"/>
        <v>790603.83981908124</v>
      </c>
      <c r="AC81" s="4">
        <f t="shared" si="16"/>
        <v>1146518.2052547361</v>
      </c>
      <c r="AD81" s="5">
        <v>100</v>
      </c>
      <c r="AE81" s="4">
        <f t="shared" si="17"/>
        <v>1951.3925583864452</v>
      </c>
      <c r="AF81" s="4">
        <f t="shared" ca="1" si="18"/>
        <v>605.77201561283437</v>
      </c>
      <c r="AG81" s="4">
        <f t="shared" ca="1" si="19"/>
        <v>355914.36543565488</v>
      </c>
      <c r="AH81" s="4">
        <f t="shared" si="20"/>
        <v>1408.7464288766253</v>
      </c>
      <c r="AI81" s="13">
        <f t="shared" ca="1" si="21"/>
        <v>20.689509445324195</v>
      </c>
      <c r="AJ81" s="10">
        <f t="shared" ca="1" si="22"/>
        <v>2.0180239285456887</v>
      </c>
      <c r="AK81" s="11">
        <f t="shared" ca="1" si="43"/>
        <v>1241.3705667194517</v>
      </c>
      <c r="AL81" s="6">
        <v>500</v>
      </c>
      <c r="AM81" s="4">
        <f t="shared" ca="1" si="23"/>
        <v>24.166836885202198</v>
      </c>
      <c r="AN81" s="4">
        <f t="shared" ca="1" si="24"/>
        <v>9.4569292109090277</v>
      </c>
      <c r="AO81" s="4">
        <f t="shared" ca="1" si="25"/>
        <v>2.3353975164635408</v>
      </c>
      <c r="AP81" s="4">
        <f t="shared" si="26"/>
        <v>0.72191852060842143</v>
      </c>
      <c r="AQ81" s="11">
        <f t="shared" si="27"/>
        <v>0.85267107071837589</v>
      </c>
      <c r="AR81" s="11">
        <f t="shared" si="28"/>
        <v>0.31073129910612185</v>
      </c>
      <c r="AS81" s="11">
        <f t="shared" si="29"/>
        <v>0.36442106432006721</v>
      </c>
      <c r="AT81" s="11">
        <f t="shared" si="30"/>
        <v>442.25490424949999</v>
      </c>
      <c r="AU81" s="11">
        <f t="shared" si="31"/>
        <v>657.57578979435709</v>
      </c>
      <c r="AV81" s="11">
        <f t="shared" si="32"/>
        <v>8.6619242778236769E-4</v>
      </c>
      <c r="AW81" s="11">
        <f t="shared" si="33"/>
        <v>3.2933388539725634E-7</v>
      </c>
      <c r="AX81" s="4">
        <f t="shared" ca="1" si="34"/>
        <v>20.661045299368972</v>
      </c>
      <c r="AY81" s="11">
        <f t="shared" ca="1" si="35"/>
        <v>597.00299416840721</v>
      </c>
      <c r="AZ81" s="11"/>
      <c r="BA81" s="11"/>
    </row>
    <row r="82" spans="1:53">
      <c r="A82" s="4">
        <f t="shared" ca="1" si="36"/>
        <v>534.815968505559</v>
      </c>
      <c r="B82" s="4">
        <f t="shared" ref="B82:C82" ca="1" si="102">A82/60</f>
        <v>8.9135994750926493</v>
      </c>
      <c r="C82" s="4">
        <f t="shared" ca="1" si="102"/>
        <v>0.14855999125154415</v>
      </c>
      <c r="D82" s="41">
        <f t="shared" ca="1" si="45"/>
        <v>17226.348438746474</v>
      </c>
      <c r="E82" s="4">
        <f t="shared" ca="1" si="38"/>
        <v>51.886559104475239</v>
      </c>
      <c r="F82" s="4">
        <f t="shared" ca="1" si="39"/>
        <v>51.886559104475239</v>
      </c>
      <c r="G82" s="4"/>
      <c r="H82" s="5">
        <f t="shared" si="40"/>
        <v>29500</v>
      </c>
      <c r="I82" s="5">
        <v>15</v>
      </c>
      <c r="J82" s="4">
        <f t="shared" si="0"/>
        <v>0.22628232678782628</v>
      </c>
      <c r="K82" s="4">
        <v>588.07727023014604</v>
      </c>
      <c r="L82" s="6">
        <f t="shared" si="41"/>
        <v>82.864999999999966</v>
      </c>
      <c r="M82" s="4">
        <f t="shared" si="1"/>
        <v>348.42637337503783</v>
      </c>
      <c r="N82" s="4">
        <f t="shared" si="2"/>
        <v>147.02294358756512</v>
      </c>
      <c r="O82" s="4">
        <f t="shared" si="3"/>
        <v>1523232.5823206378</v>
      </c>
      <c r="P82" s="4">
        <f t="shared" si="4"/>
        <v>9780223.5299162418</v>
      </c>
      <c r="Q82" s="4">
        <f t="shared" si="5"/>
        <v>3.0000644433597267E-3</v>
      </c>
      <c r="R82" s="4">
        <f t="shared" si="6"/>
        <v>2.3315393426711132E-2</v>
      </c>
      <c r="S82" s="24">
        <f t="shared" ca="1" si="42"/>
        <v>1.8818881623310859</v>
      </c>
      <c r="T82" s="4">
        <f t="shared" ca="1" si="7"/>
        <v>0.50915026774943861</v>
      </c>
      <c r="U82" s="4">
        <f t="shared" ca="1" si="8"/>
        <v>3.9687763166979188E-2</v>
      </c>
      <c r="V82" s="4">
        <f t="shared" ca="1" si="9"/>
        <v>12.828898056241659</v>
      </c>
      <c r="W82" s="20">
        <f t="shared" ca="1" si="10"/>
        <v>1342.0527059995479</v>
      </c>
      <c r="X82" s="4">
        <f t="shared" si="11"/>
        <v>0.60759134479743349</v>
      </c>
      <c r="Y82" s="4">
        <f t="shared" ca="1" si="12"/>
        <v>289.56611186145727</v>
      </c>
      <c r="Z82" s="14">
        <f t="shared" ca="1" si="13"/>
        <v>1342.7769371325949</v>
      </c>
      <c r="AA82" s="14">
        <f t="shared" si="14"/>
        <v>1907.7528851484342</v>
      </c>
      <c r="AB82" s="25">
        <f t="shared" ca="1" si="15"/>
        <v>789656.59571693279</v>
      </c>
      <c r="AC82" s="4">
        <f t="shared" si="16"/>
        <v>1121906.1089717764</v>
      </c>
      <c r="AD82" s="5">
        <v>100</v>
      </c>
      <c r="AE82" s="4">
        <f t="shared" si="17"/>
        <v>1907.7528851484342</v>
      </c>
      <c r="AF82" s="4">
        <f t="shared" ca="1" si="18"/>
        <v>564.97594801583932</v>
      </c>
      <c r="AG82" s="4">
        <f t="shared" ca="1" si="19"/>
        <v>332249.51325484365</v>
      </c>
      <c r="AH82" s="4">
        <f t="shared" si="20"/>
        <v>1381.9179124564819</v>
      </c>
      <c r="AI82" s="13">
        <f t="shared" ca="1" si="21"/>
        <v>19.312010221174283</v>
      </c>
      <c r="AJ82" s="10">
        <f t="shared" ca="1" si="22"/>
        <v>1.8818881623310859</v>
      </c>
      <c r="AK82" s="11">
        <f t="shared" ca="1" si="43"/>
        <v>1158.7206132704571</v>
      </c>
      <c r="AL82" s="6">
        <v>500</v>
      </c>
      <c r="AM82" s="4">
        <f t="shared" ca="1" si="23"/>
        <v>25.890624242306199</v>
      </c>
      <c r="AN82" s="4">
        <f t="shared" ca="1" si="24"/>
        <v>9.9385326125341571</v>
      </c>
      <c r="AO82" s="4">
        <f t="shared" ca="1" si="25"/>
        <v>2.5044752266900265</v>
      </c>
      <c r="AP82" s="4">
        <f t="shared" si="26"/>
        <v>0.72436945225689475</v>
      </c>
      <c r="AQ82" s="11">
        <f t="shared" si="27"/>
        <v>0.84923339571837586</v>
      </c>
      <c r="AR82" s="11">
        <f t="shared" si="28"/>
        <v>0.30378230655229843</v>
      </c>
      <c r="AS82" s="11">
        <f t="shared" si="29"/>
        <v>0.35771356623973277</v>
      </c>
      <c r="AT82" s="11">
        <f t="shared" si="30"/>
        <v>440.47188535724996</v>
      </c>
      <c r="AU82" s="11">
        <f t="shared" si="31"/>
        <v>642.87019277210493</v>
      </c>
      <c r="AV82" s="11">
        <f t="shared" si="32"/>
        <v>8.502493755952208E-4</v>
      </c>
      <c r="AW82" s="11">
        <f t="shared" si="33"/>
        <v>3.2825737685649887E-7</v>
      </c>
      <c r="AX82" s="4">
        <f t="shared" ca="1" si="34"/>
        <v>19.287286242714639</v>
      </c>
      <c r="AY82" s="11">
        <f t="shared" ca="1" si="35"/>
        <v>597.799936455129</v>
      </c>
      <c r="AZ82" s="11"/>
      <c r="BA82" s="11"/>
    </row>
    <row r="83" spans="1:53">
      <c r="A83" s="4">
        <f t="shared" ca="1" si="36"/>
        <v>560.70659274786522</v>
      </c>
      <c r="B83" s="4">
        <f t="shared" ref="B83:C83" ca="1" si="103">A83/60</f>
        <v>9.3451098791310869</v>
      </c>
      <c r="C83" s="4">
        <f t="shared" ca="1" si="103"/>
        <v>0.15575183131885145</v>
      </c>
      <c r="D83" s="41">
        <f t="shared" ca="1" si="45"/>
        <v>17226.348438746474</v>
      </c>
      <c r="E83" s="4">
        <f t="shared" ca="1" si="38"/>
        <v>54.391034331165265</v>
      </c>
      <c r="F83" s="4">
        <f t="shared" ca="1" si="39"/>
        <v>54.391034331165265</v>
      </c>
      <c r="G83" s="4"/>
      <c r="H83" s="5">
        <f t="shared" si="40"/>
        <v>30000</v>
      </c>
      <c r="I83" s="5">
        <v>15</v>
      </c>
      <c r="J83" s="4">
        <f t="shared" si="0"/>
        <v>0.23221289030436726</v>
      </c>
      <c r="K83" s="4">
        <v>588.68368535256229</v>
      </c>
      <c r="L83" s="6">
        <f t="shared" si="41"/>
        <v>84.099999999999966</v>
      </c>
      <c r="M83" s="4">
        <f t="shared" si="1"/>
        <v>348.78566463242754</v>
      </c>
      <c r="N83" s="4">
        <f t="shared" si="2"/>
        <v>144.60287641094493</v>
      </c>
      <c r="O83" s="4">
        <f t="shared" si="3"/>
        <v>1501549.4920466151</v>
      </c>
      <c r="P83" s="4">
        <f t="shared" si="4"/>
        <v>9641002.8539927974</v>
      </c>
      <c r="Q83" s="4">
        <f t="shared" si="5"/>
        <v>3.0062104494049352E-3</v>
      </c>
      <c r="R83" s="4">
        <f t="shared" si="6"/>
        <v>2.3352914793617129E-2</v>
      </c>
      <c r="S83" s="24">
        <f t="shared" ca="1" si="42"/>
        <v>1.747229474641987</v>
      </c>
      <c r="T83" s="4">
        <f t="shared" ca="1" si="7"/>
        <v>0.51770992922066006</v>
      </c>
      <c r="U83" s="4">
        <f t="shared" ca="1" si="8"/>
        <v>4.0280405333353149E-2</v>
      </c>
      <c r="V83" s="4">
        <f t="shared" ca="1" si="9"/>
        <v>12.852649444219562</v>
      </c>
      <c r="W83" s="20">
        <f t="shared" ca="1" si="10"/>
        <v>1339.6723690663755</v>
      </c>
      <c r="X83" s="4">
        <f t="shared" si="11"/>
        <v>0.60808004538868177</v>
      </c>
      <c r="Y83" s="4">
        <f t="shared" ca="1" si="12"/>
        <v>292.29110552687951</v>
      </c>
      <c r="Z83" s="14">
        <f t="shared" ca="1" si="13"/>
        <v>1340.2955175513614</v>
      </c>
      <c r="AA83" s="14">
        <f t="shared" si="14"/>
        <v>1864.9068498604609</v>
      </c>
      <c r="AB83" s="25">
        <f t="shared" ca="1" si="15"/>
        <v>789010.10473365523</v>
      </c>
      <c r="AC83" s="4">
        <f t="shared" si="16"/>
        <v>1097840.2372150936</v>
      </c>
      <c r="AD83" s="5">
        <v>100</v>
      </c>
      <c r="AE83" s="4">
        <f t="shared" si="17"/>
        <v>1864.9068498604609</v>
      </c>
      <c r="AF83" s="4">
        <f t="shared" ca="1" si="18"/>
        <v>524.61133230909945</v>
      </c>
      <c r="AG83" s="4">
        <f t="shared" ca="1" si="19"/>
        <v>308830.13248143834</v>
      </c>
      <c r="AH83" s="4">
        <f t="shared" si="20"/>
        <v>1355.4959561751798</v>
      </c>
      <c r="AI83" s="13">
        <f t="shared" ca="1" si="21"/>
        <v>17.949072081500365</v>
      </c>
      <c r="AJ83" s="10">
        <f t="shared" ca="1" si="22"/>
        <v>1.747229474641987</v>
      </c>
      <c r="AK83" s="11">
        <f t="shared" ca="1" si="43"/>
        <v>1076.9443248900218</v>
      </c>
      <c r="AL83" s="6">
        <v>500</v>
      </c>
      <c r="AM83" s="4">
        <f t="shared" ca="1" si="23"/>
        <v>27.856593239454245</v>
      </c>
      <c r="AN83" s="4">
        <f t="shared" ca="1" si="24"/>
        <v>10.488749858026967</v>
      </c>
      <c r="AO83" s="4">
        <f t="shared" ca="1" si="25"/>
        <v>2.6976286392245492</v>
      </c>
      <c r="AP83" s="4">
        <f t="shared" si="26"/>
        <v>0.72684378647469872</v>
      </c>
      <c r="AQ83" s="11">
        <f t="shared" si="27"/>
        <v>0.84579572071837594</v>
      </c>
      <c r="AR83" s="11">
        <f t="shared" si="28"/>
        <v>0.29695968946822626</v>
      </c>
      <c r="AS83" s="11">
        <f t="shared" si="29"/>
        <v>0.35110095995284035</v>
      </c>
      <c r="AT83" s="11">
        <f t="shared" si="30"/>
        <v>438.68886646499999</v>
      </c>
      <c r="AU83" s="11">
        <f t="shared" si="31"/>
        <v>628.43203404644976</v>
      </c>
      <c r="AV83" s="11">
        <f t="shared" si="32"/>
        <v>8.3453187171190623E-4</v>
      </c>
      <c r="AW83" s="11">
        <f t="shared" si="33"/>
        <v>3.2717889112927432E-7</v>
      </c>
      <c r="AX83" s="4">
        <f t="shared" ca="1" si="34"/>
        <v>17.927776950499862</v>
      </c>
      <c r="AY83" s="11">
        <f t="shared" ca="1" si="35"/>
        <v>598.66894818543847</v>
      </c>
      <c r="AZ83" s="11"/>
      <c r="BA83" s="11"/>
    </row>
    <row r="84" spans="1:53">
      <c r="A84" s="4">
        <f t="shared" ca="1" si="36"/>
        <v>588.56318598731946</v>
      </c>
      <c r="B84" s="4">
        <f t="shared" ref="B84:C84" ca="1" si="104">A84/60</f>
        <v>9.8093864331219915</v>
      </c>
      <c r="C84" s="4">
        <f t="shared" ca="1" si="104"/>
        <v>0.16348977388536653</v>
      </c>
      <c r="D84" s="41">
        <f t="shared" ca="1" si="45"/>
        <v>17226.348438746474</v>
      </c>
      <c r="E84" s="4">
        <f t="shared" ca="1" si="38"/>
        <v>57.088662970389812</v>
      </c>
      <c r="F84" s="4">
        <f t="shared" ca="1" si="39"/>
        <v>57.088662970389812</v>
      </c>
      <c r="G84" s="4"/>
      <c r="H84" s="5">
        <f t="shared" si="40"/>
        <v>30500</v>
      </c>
      <c r="I84" s="5">
        <v>15</v>
      </c>
      <c r="J84" s="4">
        <f t="shared" si="0"/>
        <v>0.23825578283830334</v>
      </c>
      <c r="K84" s="4">
        <v>589.35932222495626</v>
      </c>
      <c r="L84" s="6">
        <f t="shared" si="41"/>
        <v>85.334999999999965</v>
      </c>
      <c r="M84" s="4">
        <f t="shared" si="1"/>
        <v>349.185968669131</v>
      </c>
      <c r="N84" s="4">
        <f t="shared" si="2"/>
        <v>142.2440827173298</v>
      </c>
      <c r="O84" s="4">
        <f t="shared" si="3"/>
        <v>1480250.965211699</v>
      </c>
      <c r="P84" s="4">
        <f t="shared" si="4"/>
        <v>9504251.3455750551</v>
      </c>
      <c r="Q84" s="4">
        <f t="shared" si="5"/>
        <v>3.0123160750981067E-3</v>
      </c>
      <c r="R84" s="4">
        <f t="shared" si="6"/>
        <v>2.3390189638473939E-2</v>
      </c>
      <c r="S84" s="24">
        <f t="shared" ca="1" si="42"/>
        <v>1.6140388093554885</v>
      </c>
      <c r="T84" s="4">
        <f t="shared" ca="1" si="7"/>
        <v>0.52633086566909382</v>
      </c>
      <c r="U84" s="4">
        <f t="shared" ca="1" si="8"/>
        <v>4.0886129173316632E-2</v>
      </c>
      <c r="V84" s="4">
        <f t="shared" ca="1" si="9"/>
        <v>12.873091102314259</v>
      </c>
      <c r="W84" s="20">
        <f t="shared" ca="1" si="10"/>
        <v>1337.636286227757</v>
      </c>
      <c r="X84" s="4">
        <f t="shared" si="11"/>
        <v>0.60856514654462524</v>
      </c>
      <c r="Y84" s="4">
        <f t="shared" ca="1" si="12"/>
        <v>295.05292855738691</v>
      </c>
      <c r="Z84" s="14">
        <f t="shared" ca="1" si="13"/>
        <v>1338.1672126634455</v>
      </c>
      <c r="AA84" s="14">
        <f t="shared" si="14"/>
        <v>1822.8433629924295</v>
      </c>
      <c r="AB84" s="25">
        <f t="shared" ca="1" si="15"/>
        <v>788661.32147898711</v>
      </c>
      <c r="AC84" s="4">
        <f t="shared" si="16"/>
        <v>1074309.7289354783</v>
      </c>
      <c r="AD84" s="5">
        <v>100</v>
      </c>
      <c r="AE84" s="4">
        <f t="shared" si="17"/>
        <v>1822.8433629924295</v>
      </c>
      <c r="AF84" s="4">
        <f t="shared" ca="1" si="18"/>
        <v>484.67615032898402</v>
      </c>
      <c r="AG84" s="4">
        <f t="shared" ca="1" si="19"/>
        <v>285648.40745649114</v>
      </c>
      <c r="AH84" s="4">
        <f t="shared" si="20"/>
        <v>1329.4717811638523</v>
      </c>
      <c r="AI84" s="13">
        <f t="shared" ca="1" si="21"/>
        <v>16.600228128300216</v>
      </c>
      <c r="AJ84" s="10">
        <f t="shared" ca="1" si="22"/>
        <v>1.6140388093554885</v>
      </c>
      <c r="AK84" s="11">
        <f t="shared" ca="1" si="43"/>
        <v>996.01368769801297</v>
      </c>
      <c r="AL84" s="6">
        <v>500</v>
      </c>
      <c r="AM84" s="4">
        <f t="shared" ca="1" si="23"/>
        <v>30.120067997595502</v>
      </c>
      <c r="AN84" s="4">
        <f t="shared" ca="1" si="24"/>
        <v>11.123272347094344</v>
      </c>
      <c r="AO84" s="4">
        <f t="shared" ca="1" si="25"/>
        <v>2.9203700645605188</v>
      </c>
      <c r="AP84" s="4">
        <f t="shared" si="26"/>
        <v>0.72933956266069677</v>
      </c>
      <c r="AQ84" s="11">
        <f t="shared" si="27"/>
        <v>0.84235804571837591</v>
      </c>
      <c r="AR84" s="11">
        <f t="shared" si="28"/>
        <v>0.29026168200516395</v>
      </c>
      <c r="AS84" s="11">
        <f t="shared" si="29"/>
        <v>0.34458231090750052</v>
      </c>
      <c r="AT84" s="11">
        <f t="shared" si="30"/>
        <v>436.90584757275002</v>
      </c>
      <c r="AU84" s="11">
        <f t="shared" si="31"/>
        <v>614.25757669296797</v>
      </c>
      <c r="AV84" s="11">
        <f t="shared" si="32"/>
        <v>8.1903769479603798E-4</v>
      </c>
      <c r="AW84" s="11">
        <f t="shared" si="33"/>
        <v>3.2609841981264899E-7</v>
      </c>
      <c r="AX84" s="4">
        <f t="shared" ca="1" si="34"/>
        <v>16.582063718971028</v>
      </c>
      <c r="AY84" s="11">
        <f t="shared" ca="1" si="35"/>
        <v>599.61159134485922</v>
      </c>
      <c r="AZ84" s="11"/>
      <c r="BA84" s="11"/>
    </row>
    <row r="85" spans="1:53">
      <c r="A85" s="4">
        <f t="shared" ca="1" si="36"/>
        <v>618.68325398491493</v>
      </c>
      <c r="B85" s="4">
        <f t="shared" ref="B85:C85" ca="1" si="105">A85/60</f>
        <v>10.311387566415249</v>
      </c>
      <c r="C85" s="4">
        <f t="shared" ca="1" si="105"/>
        <v>0.17185645944025416</v>
      </c>
      <c r="D85" s="41">
        <f t="shared" ca="1" si="45"/>
        <v>17226.348438746474</v>
      </c>
      <c r="E85" s="4">
        <f t="shared" ca="1" si="38"/>
        <v>60.009033034950335</v>
      </c>
      <c r="F85" s="4">
        <f t="shared" ca="1" si="39"/>
        <v>60.009033034950335</v>
      </c>
      <c r="G85" s="4"/>
      <c r="H85" s="5">
        <f t="shared" si="40"/>
        <v>31000</v>
      </c>
      <c r="I85" s="5">
        <v>15</v>
      </c>
      <c r="J85" s="4">
        <f t="shared" si="0"/>
        <v>0.2444131781366925</v>
      </c>
      <c r="K85" s="4">
        <v>590.10579085171446</v>
      </c>
      <c r="L85" s="6">
        <f t="shared" si="41"/>
        <v>86.569999999999965</v>
      </c>
      <c r="M85" s="4">
        <f t="shared" si="1"/>
        <v>349.62823938698722</v>
      </c>
      <c r="N85" s="4">
        <f t="shared" si="2"/>
        <v>139.94540760775507</v>
      </c>
      <c r="O85" s="4">
        <f t="shared" si="3"/>
        <v>1459331.9482615364</v>
      </c>
      <c r="P85" s="4">
        <f t="shared" si="4"/>
        <v>9369936.5572930183</v>
      </c>
      <c r="Q85" s="4">
        <f t="shared" si="5"/>
        <v>3.0183787173666539E-3</v>
      </c>
      <c r="R85" s="4">
        <f t="shared" si="6"/>
        <v>2.3427202069523423E-2</v>
      </c>
      <c r="S85" s="24">
        <f t="shared" ca="1" si="42"/>
        <v>1.4823080584738801</v>
      </c>
      <c r="T85" s="4">
        <f t="shared" ca="1" si="7"/>
        <v>0.53500936429228274</v>
      </c>
      <c r="U85" s="4">
        <f t="shared" ca="1" si="8"/>
        <v>4.150486806157809E-2</v>
      </c>
      <c r="V85" s="4">
        <f t="shared" ca="1" si="9"/>
        <v>12.890279846174282</v>
      </c>
      <c r="W85" s="20">
        <f t="shared" ca="1" si="10"/>
        <v>1335.9356060742375</v>
      </c>
      <c r="X85" s="4">
        <f t="shared" si="11"/>
        <v>0.60904645029383675</v>
      </c>
      <c r="Y85" s="4">
        <f t="shared" ca="1" si="12"/>
        <v>297.85227453144989</v>
      </c>
      <c r="Z85" s="14">
        <f t="shared" ca="1" si="13"/>
        <v>1336.3828128106231</v>
      </c>
      <c r="AA85" s="14">
        <f t="shared" si="14"/>
        <v>1781.5514428434503</v>
      </c>
      <c r="AB85" s="25">
        <f t="shared" ca="1" si="15"/>
        <v>788607.23663425143</v>
      </c>
      <c r="AC85" s="4">
        <f t="shared" si="16"/>
        <v>1051303.8231221472</v>
      </c>
      <c r="AD85" s="5">
        <v>100</v>
      </c>
      <c r="AE85" s="4">
        <f t="shared" si="17"/>
        <v>1781.5514428434503</v>
      </c>
      <c r="AF85" s="4">
        <f t="shared" ca="1" si="18"/>
        <v>445.1686300328272</v>
      </c>
      <c r="AG85" s="4">
        <f t="shared" ca="1" si="19"/>
        <v>262696.58648789581</v>
      </c>
      <c r="AH85" s="4">
        <f t="shared" si="20"/>
        <v>1303.8370001485259</v>
      </c>
      <c r="AI85" s="13">
        <f t="shared" ca="1" si="21"/>
        <v>15.265016071617318</v>
      </c>
      <c r="AJ85" s="10">
        <f t="shared" ca="1" si="22"/>
        <v>1.4823080584738801</v>
      </c>
      <c r="AK85" s="11">
        <f t="shared" ca="1" si="43"/>
        <v>915.90096429703908</v>
      </c>
      <c r="AL85" s="6">
        <v>500</v>
      </c>
      <c r="AM85" s="4">
        <f t="shared" ca="1" si="23"/>
        <v>32.754633054705025</v>
      </c>
      <c r="AN85" s="4">
        <f t="shared" ca="1" si="24"/>
        <v>11.862972917503431</v>
      </c>
      <c r="AO85" s="4">
        <f t="shared" ca="1" si="25"/>
        <v>3.1800312253917995</v>
      </c>
      <c r="AP85" s="4">
        <f t="shared" si="26"/>
        <v>0.73185481417675657</v>
      </c>
      <c r="AQ85" s="11">
        <f t="shared" si="27"/>
        <v>0.83892037071837589</v>
      </c>
      <c r="AR85" s="11">
        <f t="shared" si="28"/>
        <v>0.28368653548462586</v>
      </c>
      <c r="AS85" s="11">
        <f t="shared" si="29"/>
        <v>0.33815668970071883</v>
      </c>
      <c r="AT85" s="11">
        <f t="shared" si="30"/>
        <v>435.12282868049999</v>
      </c>
      <c r="AU85" s="11">
        <f t="shared" si="31"/>
        <v>600.34312012327484</v>
      </c>
      <c r="AV85" s="11">
        <f t="shared" si="32"/>
        <v>8.0376463574963859E-4</v>
      </c>
      <c r="AW85" s="11">
        <f t="shared" si="33"/>
        <v>3.2501595445964785E-7</v>
      </c>
      <c r="AX85" s="4">
        <f t="shared" ca="1" si="34"/>
        <v>15.24969655768856</v>
      </c>
      <c r="AY85" s="11">
        <f t="shared" ca="1" si="35"/>
        <v>600.62943193998194</v>
      </c>
      <c r="AZ85" s="11"/>
      <c r="BA85" s="11"/>
    </row>
    <row r="86" spans="1:53">
      <c r="A86" s="4">
        <f t="shared" ca="1" si="36"/>
        <v>651.43788703961991</v>
      </c>
      <c r="B86" s="4">
        <f t="shared" ref="B86:C86" ca="1" si="106">A86/60</f>
        <v>10.857298117326998</v>
      </c>
      <c r="C86" s="4">
        <f t="shared" ca="1" si="106"/>
        <v>0.18095496862211663</v>
      </c>
      <c r="D86" s="41">
        <f t="shared" ca="1" si="45"/>
        <v>17226.348438746474</v>
      </c>
      <c r="E86" s="4">
        <f t="shared" ca="1" si="38"/>
        <v>63.189064260342136</v>
      </c>
      <c r="F86" s="4">
        <f t="shared" ca="1" si="39"/>
        <v>63.189064260342136</v>
      </c>
      <c r="G86" s="4"/>
      <c r="H86" s="5">
        <f t="shared" si="40"/>
        <v>31500</v>
      </c>
      <c r="I86" s="5">
        <v>15</v>
      </c>
      <c r="J86" s="4">
        <f t="shared" si="0"/>
        <v>0.25068728580445759</v>
      </c>
      <c r="K86" s="4">
        <v>590.92470735471068</v>
      </c>
      <c r="L86" s="6">
        <f t="shared" si="41"/>
        <v>87.804999999999964</v>
      </c>
      <c r="M86" s="4">
        <f t="shared" si="1"/>
        <v>350.11343431234843</v>
      </c>
      <c r="N86" s="4">
        <f t="shared" si="2"/>
        <v>137.7057019061059</v>
      </c>
      <c r="O86" s="4">
        <f t="shared" si="3"/>
        <v>1438787.3342058887</v>
      </c>
      <c r="P86" s="4">
        <f t="shared" si="4"/>
        <v>9238025.6986807529</v>
      </c>
      <c r="Q86" s="4">
        <f t="shared" si="5"/>
        <v>3.0243957258282083E-3</v>
      </c>
      <c r="R86" s="4">
        <f t="shared" si="6"/>
        <v>2.3463935906181212E-2</v>
      </c>
      <c r="S86" s="24">
        <f t="shared" ca="1" si="42"/>
        <v>1.3520300297358641</v>
      </c>
      <c r="T86" s="4">
        <f t="shared" ca="1" si="7"/>
        <v>0.54374157592328143</v>
      </c>
      <c r="U86" s="4">
        <f t="shared" ca="1" si="8"/>
        <v>4.213653074950377E-2</v>
      </c>
      <c r="V86" s="4">
        <f t="shared" ca="1" si="9"/>
        <v>12.904279641714094</v>
      </c>
      <c r="W86" s="20">
        <f t="shared" ca="1" si="10"/>
        <v>1334.5613248321852</v>
      </c>
      <c r="X86" s="4">
        <f t="shared" si="11"/>
        <v>0.60952375547019466</v>
      </c>
      <c r="Y86" s="4">
        <f t="shared" ca="1" si="12"/>
        <v>300.68985262301334</v>
      </c>
      <c r="Z86" s="14">
        <f t="shared" ca="1" si="13"/>
        <v>1334.9329770459217</v>
      </c>
      <c r="AA86" s="14">
        <f t="shared" si="14"/>
        <v>1741.0202149555553</v>
      </c>
      <c r="AB86" s="25">
        <f t="shared" ca="1" si="15"/>
        <v>788844.87879901403</v>
      </c>
      <c r="AC86" s="4">
        <f t="shared" si="16"/>
        <v>1028811.861021247</v>
      </c>
      <c r="AD86" s="5">
        <v>100</v>
      </c>
      <c r="AE86" s="4">
        <f t="shared" si="17"/>
        <v>1741.0202149555553</v>
      </c>
      <c r="AF86" s="4">
        <f t="shared" ca="1" si="18"/>
        <v>406.08723790963359</v>
      </c>
      <c r="AG86" s="4">
        <f t="shared" ca="1" si="19"/>
        <v>239966.98222223297</v>
      </c>
      <c r="AH86" s="4">
        <f t="shared" si="20"/>
        <v>1278.5836607631591</v>
      </c>
      <c r="AI86" s="13">
        <f t="shared" ca="1" si="21"/>
        <v>13.94297819714547</v>
      </c>
      <c r="AJ86" s="10">
        <f t="shared" ca="1" si="22"/>
        <v>1.3520300297358641</v>
      </c>
      <c r="AK86" s="11">
        <f t="shared" ca="1" si="43"/>
        <v>836.57869182872821</v>
      </c>
      <c r="AL86" s="6">
        <v>500</v>
      </c>
      <c r="AM86" s="4">
        <f t="shared" ca="1" si="23"/>
        <v>35.860344392015506</v>
      </c>
      <c r="AN86" s="4">
        <f t="shared" ca="1" si="24"/>
        <v>12.736236224714114</v>
      </c>
      <c r="AO86" s="4">
        <f t="shared" ca="1" si="25"/>
        <v>3.4865813615667296</v>
      </c>
      <c r="AP86" s="4">
        <f t="shared" si="26"/>
        <v>0.73438760203930131</v>
      </c>
      <c r="AQ86" s="11">
        <f t="shared" si="27"/>
        <v>0.83548269571837586</v>
      </c>
      <c r="AR86" s="11">
        <f t="shared" si="28"/>
        <v>0.27723251830502471</v>
      </c>
      <c r="AS86" s="11">
        <f t="shared" si="29"/>
        <v>0.33182317207258366</v>
      </c>
      <c r="AT86" s="11">
        <f t="shared" si="30"/>
        <v>433.33980978824997</v>
      </c>
      <c r="AU86" s="11">
        <f t="shared" si="31"/>
        <v>586.6849998874593</v>
      </c>
      <c r="AV86" s="11">
        <f t="shared" si="32"/>
        <v>7.8871049769932411E-4</v>
      </c>
      <c r="AW86" s="11">
        <f t="shared" si="33"/>
        <v>3.2393148657914687E-7</v>
      </c>
      <c r="AX86" s="4">
        <f t="shared" ca="1" si="34"/>
        <v>13.930229211112769</v>
      </c>
      <c r="AY86" s="11">
        <f t="shared" ca="1" si="35"/>
        <v>601.7240396740192</v>
      </c>
      <c r="AZ86" s="11"/>
      <c r="BA86" s="11"/>
    </row>
    <row r="87" spans="1:53">
      <c r="A87" s="4">
        <f t="shared" ca="1" si="36"/>
        <v>687.29823143163537</v>
      </c>
      <c r="B87" s="4">
        <f t="shared" ref="B87:C87" ca="1" si="107">A87/60</f>
        <v>11.45497052386059</v>
      </c>
      <c r="C87" s="4">
        <f t="shared" ca="1" si="107"/>
        <v>0.1909161753976765</v>
      </c>
      <c r="D87" s="41">
        <f t="shared" ca="1" si="45"/>
        <v>17226.348438746474</v>
      </c>
      <c r="E87" s="4">
        <f t="shared" ca="1" si="38"/>
        <v>66.67564562190887</v>
      </c>
      <c r="F87" s="4">
        <f t="shared" ca="1" si="39"/>
        <v>66.67564562190887</v>
      </c>
      <c r="G87" s="4"/>
      <c r="H87" s="5">
        <f t="shared" si="40"/>
        <v>32000</v>
      </c>
      <c r="I87" s="5">
        <v>15</v>
      </c>
      <c r="J87" s="4">
        <f t="shared" si="0"/>
        <v>0.25708035125272821</v>
      </c>
      <c r="K87" s="4">
        <v>591.81769337481444</v>
      </c>
      <c r="L87" s="6">
        <f t="shared" si="41"/>
        <v>89.039999999999964</v>
      </c>
      <c r="M87" s="4">
        <f t="shared" si="1"/>
        <v>350.64251424148358</v>
      </c>
      <c r="N87" s="4">
        <f t="shared" si="2"/>
        <v>135.52382255737413</v>
      </c>
      <c r="O87" s="4">
        <f t="shared" si="3"/>
        <v>1418611.9648653318</v>
      </c>
      <c r="P87" s="4">
        <f t="shared" si="4"/>
        <v>9108485.6506017856</v>
      </c>
      <c r="Q87" s="4">
        <f t="shared" si="5"/>
        <v>3.0303644032295455E-3</v>
      </c>
      <c r="R87" s="4">
        <f t="shared" si="6"/>
        <v>2.3500374681716375E-2</v>
      </c>
      <c r="S87" s="24">
        <f t="shared" ca="1" si="42"/>
        <v>1.2231984116173369</v>
      </c>
      <c r="T87" s="4">
        <f t="shared" ca="1" si="7"/>
        <v>0.55252352175875408</v>
      </c>
      <c r="U87" s="4">
        <f t="shared" ca="1" si="8"/>
        <v>4.278100081975842E-2</v>
      </c>
      <c r="V87" s="4">
        <f t="shared" ca="1" si="9"/>
        <v>12.915161197060423</v>
      </c>
      <c r="W87" s="20">
        <f t="shared" ca="1" si="10"/>
        <v>1333.504295702478</v>
      </c>
      <c r="X87" s="4">
        <f t="shared" si="11"/>
        <v>0.60999685774740364</v>
      </c>
      <c r="Y87" s="4">
        <f t="shared" ca="1" si="12"/>
        <v>303.56638805880237</v>
      </c>
      <c r="Z87" s="14">
        <f t="shared" ca="1" si="13"/>
        <v>1333.8082410204302</v>
      </c>
      <c r="AA87" s="14">
        <f t="shared" si="14"/>
        <v>1701.2389115280689</v>
      </c>
      <c r="AB87" s="25">
        <f t="shared" ca="1" si="15"/>
        <v>789371.31660502951</v>
      </c>
      <c r="AC87" s="4">
        <f t="shared" si="16"/>
        <v>1006823.2885000218</v>
      </c>
      <c r="AD87" s="5">
        <v>100</v>
      </c>
      <c r="AE87" s="4">
        <f t="shared" si="17"/>
        <v>1701.2389115280689</v>
      </c>
      <c r="AF87" s="4">
        <f t="shared" ca="1" si="18"/>
        <v>367.43067050763875</v>
      </c>
      <c r="AG87" s="4">
        <f t="shared" ca="1" si="19"/>
        <v>217451.97189499228</v>
      </c>
      <c r="AH87" s="4">
        <f t="shared" si="20"/>
        <v>1253.7042898017282</v>
      </c>
      <c r="AI87" s="13">
        <f t="shared" ca="1" si="21"/>
        <v>12.633661329087305</v>
      </c>
      <c r="AJ87" s="10">
        <f t="shared" ca="1" si="22"/>
        <v>1.2231984116173369</v>
      </c>
      <c r="AK87" s="11">
        <f t="shared" ca="1" si="43"/>
        <v>758.01967974523825</v>
      </c>
      <c r="AL87" s="6">
        <v>500</v>
      </c>
      <c r="AM87" s="4">
        <f t="shared" ca="1" si="23"/>
        <v>39.576808889820192</v>
      </c>
      <c r="AN87" s="4">
        <f t="shared" ca="1" si="24"/>
        <v>13.782670856064096</v>
      </c>
      <c r="AO87" s="4">
        <f t="shared" ca="1" si="25"/>
        <v>3.8539304008856003</v>
      </c>
      <c r="AP87" s="4">
        <f t="shared" si="26"/>
        <v>0.73693605366434933</v>
      </c>
      <c r="AQ87" s="11">
        <f t="shared" si="27"/>
        <v>0.83204502071837583</v>
      </c>
      <c r="AR87" s="11">
        <f t="shared" si="28"/>
        <v>0.2708979158484186</v>
      </c>
      <c r="AS87" s="11">
        <f t="shared" si="29"/>
        <v>0.32558083890043499</v>
      </c>
      <c r="AT87" s="11">
        <f t="shared" si="30"/>
        <v>431.55679089599994</v>
      </c>
      <c r="AU87" s="11">
        <f t="shared" si="31"/>
        <v>573.2795874767404</v>
      </c>
      <c r="AV87" s="11">
        <f t="shared" si="32"/>
        <v>7.738730959824439E-4</v>
      </c>
      <c r="AW87" s="11">
        <f t="shared" si="33"/>
        <v>3.228450076357796E-7</v>
      </c>
      <c r="AX87" s="4">
        <f t="shared" ca="1" si="34"/>
        <v>12.623219173129405</v>
      </c>
      <c r="AY87" s="11">
        <f t="shared" ca="1" si="35"/>
        <v>602.89698772818042</v>
      </c>
      <c r="AZ87" s="11"/>
      <c r="BA87" s="11"/>
    </row>
    <row r="88" spans="1:53">
      <c r="A88" s="4">
        <f t="shared" ca="1" si="36"/>
        <v>726.87504032145557</v>
      </c>
      <c r="B88" s="4">
        <f t="shared" ref="B88:C88" ca="1" si="108">A88/60</f>
        <v>12.114584005357592</v>
      </c>
      <c r="C88" s="4">
        <f t="shared" ca="1" si="108"/>
        <v>0.20190973342262655</v>
      </c>
      <c r="D88" s="41">
        <f t="shared" ca="1" si="45"/>
        <v>17226.348438746474</v>
      </c>
      <c r="E88" s="4">
        <f t="shared" ca="1" si="38"/>
        <v>70.529576022794473</v>
      </c>
      <c r="F88" s="4">
        <f t="shared" ca="1" si="39"/>
        <v>70.529576022794473</v>
      </c>
      <c r="G88" s="4"/>
      <c r="H88" s="5">
        <f t="shared" si="40"/>
        <v>32500</v>
      </c>
      <c r="I88" s="5">
        <v>15</v>
      </c>
      <c r="J88" s="4">
        <f t="shared" si="0"/>
        <v>0.26359465559227141</v>
      </c>
      <c r="K88" s="4">
        <v>592.7863755669656</v>
      </c>
      <c r="L88" s="6">
        <f t="shared" si="41"/>
        <v>90.274999999999963</v>
      </c>
      <c r="M88" s="4">
        <f t="shared" si="1"/>
        <v>351.21644294141805</v>
      </c>
      <c r="N88" s="4">
        <f t="shared" si="2"/>
        <v>133.39863305276711</v>
      </c>
      <c r="O88" s="4">
        <f t="shared" si="3"/>
        <v>1398800.6334234797</v>
      </c>
      <c r="P88" s="4">
        <f t="shared" si="4"/>
        <v>8981282.9816361703</v>
      </c>
      <c r="Q88" s="4">
        <f t="shared" si="5"/>
        <v>3.0362820058242534E-3</v>
      </c>
      <c r="R88" s="4">
        <f t="shared" si="6"/>
        <v>2.3536501645557067E-2</v>
      </c>
      <c r="S88" s="24">
        <f t="shared" ref="S88:S107" ca="1" si="109">AJ88</f>
        <v>1.0958077358678522</v>
      </c>
      <c r="T88" s="4">
        <f t="shared" ca="1" si="7"/>
        <v>0.56135110064807414</v>
      </c>
      <c r="U88" s="4">
        <f t="shared" ca="1" si="8"/>
        <v>4.343813623088643E-2</v>
      </c>
      <c r="V88" s="4">
        <f t="shared" ca="1" si="9"/>
        <v>12.923001522540664</v>
      </c>
      <c r="W88" s="20">
        <f t="shared" ca="1" si="10"/>
        <v>1332.7552389788293</v>
      </c>
      <c r="X88" s="4">
        <f t="shared" si="11"/>
        <v>0.61046554966751909</v>
      </c>
      <c r="Y88" s="4">
        <f t="shared" ca="1" si="12"/>
        <v>306.48262258894346</v>
      </c>
      <c r="Z88" s="14">
        <f t="shared" ca="1" si="13"/>
        <v>1332.9990257062022</v>
      </c>
      <c r="AA88" s="14">
        <f t="shared" si="14"/>
        <v>1662.1968708326388</v>
      </c>
      <c r="AB88" s="25">
        <f t="shared" ca="1" si="15"/>
        <v>790183.66108267603</v>
      </c>
      <c r="AC88" s="4">
        <f t="shared" si="16"/>
        <v>985327.65853963164</v>
      </c>
      <c r="AD88" s="5">
        <v>100</v>
      </c>
      <c r="AE88" s="4">
        <f t="shared" si="17"/>
        <v>1662.1968708326388</v>
      </c>
      <c r="AF88" s="4">
        <f t="shared" ca="1" si="18"/>
        <v>329.1978451264365</v>
      </c>
      <c r="AG88" s="4">
        <f t="shared" ca="1" si="19"/>
        <v>195143.99745695561</v>
      </c>
      <c r="AH88" s="4">
        <f t="shared" si="20"/>
        <v>1229.1919379760666</v>
      </c>
      <c r="AI88" s="13">
        <f t="shared" ca="1" si="21"/>
        <v>11.336616788049659</v>
      </c>
      <c r="AJ88" s="10">
        <f t="shared" ca="1" si="22"/>
        <v>1.0958077358678522</v>
      </c>
      <c r="AK88" s="11">
        <f t="shared" ref="AK88:AK106" ca="1" si="110">AI88*60</f>
        <v>680.19700728297948</v>
      </c>
      <c r="AL88" s="6">
        <v>500</v>
      </c>
      <c r="AM88" s="4">
        <f t="shared" ca="1" si="23"/>
        <v>44.104869146416611</v>
      </c>
      <c r="AN88" s="4">
        <f t="shared" ca="1" si="24"/>
        <v>15.059263772295738</v>
      </c>
      <c r="AO88" s="4">
        <f t="shared" ca="1" si="25"/>
        <v>4.302089525119027</v>
      </c>
      <c r="AP88" s="4">
        <f t="shared" si="26"/>
        <v>0.73949840692476554</v>
      </c>
      <c r="AQ88" s="11">
        <f t="shared" si="27"/>
        <v>0.82860734571837591</v>
      </c>
      <c r="AR88" s="11">
        <f t="shared" si="28"/>
        <v>0.26468103038736285</v>
      </c>
      <c r="AS88" s="11">
        <f t="shared" si="29"/>
        <v>0.31942877619301446</v>
      </c>
      <c r="AT88" s="11">
        <f t="shared" si="30"/>
        <v>429.77377200375003</v>
      </c>
      <c r="AU88" s="11">
        <f t="shared" si="31"/>
        <v>560.12329012634495</v>
      </c>
      <c r="AV88" s="11">
        <f t="shared" si="32"/>
        <v>7.5925025813317602E-4</v>
      </c>
      <c r="AW88" s="11">
        <f t="shared" si="33"/>
        <v>3.2175650904984332E-7</v>
      </c>
      <c r="AX88" s="4">
        <f t="shared" ca="1" si="34"/>
        <v>11.328227694386277</v>
      </c>
      <c r="AY88" s="11">
        <f t="shared" ca="1" si="35"/>
        <v>604.14985265470625</v>
      </c>
      <c r="AZ88" s="11"/>
      <c r="BA88" s="11"/>
    </row>
    <row r="89" spans="1:53">
      <c r="A89" s="4">
        <f t="shared" ca="1" si="36"/>
        <v>770.97990946787218</v>
      </c>
      <c r="B89" s="4">
        <f t="shared" ref="B89:C89" ca="1" si="111">A89/60</f>
        <v>12.849665157797869</v>
      </c>
      <c r="C89" s="4">
        <f t="shared" ca="1" si="111"/>
        <v>0.2141610859632978</v>
      </c>
      <c r="D89" s="41">
        <f t="shared" ref="D89:D107" ca="1" si="112">D88</f>
        <v>17226.348438746474</v>
      </c>
      <c r="E89" s="4">
        <f t="shared" ca="1" si="38"/>
        <v>74.831665547913502</v>
      </c>
      <c r="F89" s="4">
        <f t="shared" ca="1" si="39"/>
        <v>74.831665547913502</v>
      </c>
      <c r="G89" s="4"/>
      <c r="H89" s="5">
        <f t="shared" si="40"/>
        <v>33000</v>
      </c>
      <c r="I89" s="5">
        <v>15</v>
      </c>
      <c r="J89" s="4">
        <f t="shared" si="0"/>
        <v>0.27023251546801919</v>
      </c>
      <c r="K89" s="4">
        <v>593.83238519685835</v>
      </c>
      <c r="L89" s="6">
        <f t="shared" si="41"/>
        <v>91.509999999999962</v>
      </c>
      <c r="M89" s="4">
        <f t="shared" si="1"/>
        <v>351.83618691097541</v>
      </c>
      <c r="N89" s="4">
        <f t="shared" si="2"/>
        <v>131.32900387909299</v>
      </c>
      <c r="O89" s="4">
        <f t="shared" si="3"/>
        <v>1379348.0872737311</v>
      </c>
      <c r="P89" s="4">
        <f t="shared" si="4"/>
        <v>8856383.9663586039</v>
      </c>
      <c r="Q89" s="4">
        <f t="shared" si="5"/>
        <v>3.0421457436805581E-3</v>
      </c>
      <c r="R89" s="4">
        <f t="shared" si="6"/>
        <v>2.3572299765169807E-2</v>
      </c>
      <c r="S89" s="24">
        <f t="shared" ca="1" si="109"/>
        <v>0.96985333775200067</v>
      </c>
      <c r="T89" s="4">
        <f t="shared" ca="1" si="7"/>
        <v>0.57022009690572173</v>
      </c>
      <c r="U89" s="4">
        <f t="shared" ca="1" si="8"/>
        <v>4.4107768956606001E-2</v>
      </c>
      <c r="V89" s="4">
        <f t="shared" ca="1" si="9"/>
        <v>12.927883463494023</v>
      </c>
      <c r="W89" s="20">
        <f t="shared" ca="1" si="10"/>
        <v>1332.3047528920567</v>
      </c>
      <c r="X89" s="4">
        <f t="shared" si="11"/>
        <v>0.61092962066279644</v>
      </c>
      <c r="Y89" s="4">
        <f t="shared" ca="1" si="12"/>
        <v>309.43931497130006</v>
      </c>
      <c r="Z89" s="14">
        <f t="shared" ca="1" si="13"/>
        <v>1332.4956469007884</v>
      </c>
      <c r="AA89" s="14">
        <f t="shared" si="14"/>
        <v>1623.8835366289145</v>
      </c>
      <c r="AB89" s="25">
        <f t="shared" ca="1" si="15"/>
        <v>791279.06826352596</v>
      </c>
      <c r="AC89" s="4">
        <f t="shared" si="16"/>
        <v>964314.63383825822</v>
      </c>
      <c r="AD89" s="5">
        <v>100</v>
      </c>
      <c r="AE89" s="4">
        <f t="shared" si="17"/>
        <v>1623.8835366289145</v>
      </c>
      <c r="AF89" s="4">
        <f t="shared" ca="1" si="18"/>
        <v>291.38788972812608</v>
      </c>
      <c r="AG89" s="4">
        <f t="shared" ca="1" si="19"/>
        <v>173035.56557473226</v>
      </c>
      <c r="AH89" s="4">
        <f t="shared" si="20"/>
        <v>1205.040224655281</v>
      </c>
      <c r="AI89" s="13">
        <f t="shared" ca="1" si="21"/>
        <v>10.051400343778075</v>
      </c>
      <c r="AJ89" s="10">
        <f t="shared" ca="1" si="22"/>
        <v>0.96985333775200067</v>
      </c>
      <c r="AK89" s="11">
        <f t="shared" ca="1" si="110"/>
        <v>603.08402062668449</v>
      </c>
      <c r="AL89" s="6">
        <v>500</v>
      </c>
      <c r="AM89" s="4">
        <f t="shared" ca="1" si="23"/>
        <v>49.744312523528663</v>
      </c>
      <c r="AN89" s="4">
        <f t="shared" ca="1" si="24"/>
        <v>16.65108264963208</v>
      </c>
      <c r="AO89" s="4">
        <f t="shared" ca="1" si="25"/>
        <v>4.8609283096949314</v>
      </c>
      <c r="AP89" s="4">
        <f t="shared" si="26"/>
        <v>0.74207305972007864</v>
      </c>
      <c r="AQ89" s="11">
        <f t="shared" si="27"/>
        <v>0.82516967071837588</v>
      </c>
      <c r="AR89" s="11">
        <f t="shared" si="28"/>
        <v>0.25858018099186536</v>
      </c>
      <c r="AS89" s="11">
        <f t="shared" si="29"/>
        <v>0.3133660750845953</v>
      </c>
      <c r="AT89" s="11">
        <f t="shared" si="30"/>
        <v>427.9907531115</v>
      </c>
      <c r="AU89" s="11">
        <f t="shared" si="31"/>
        <v>547.21255061860529</v>
      </c>
      <c r="AV89" s="11">
        <f t="shared" si="32"/>
        <v>7.4483982386857456E-4</v>
      </c>
      <c r="AW89" s="11">
        <f t="shared" si="33"/>
        <v>3.2066598219721686E-7</v>
      </c>
      <c r="AX89" s="4">
        <f t="shared" ca="1" si="34"/>
        <v>10.044819782324321</v>
      </c>
      <c r="AY89" s="11">
        <f t="shared" ca="1" si="35"/>
        <v>605.48421438670641</v>
      </c>
      <c r="AZ89" s="11"/>
      <c r="BA89" s="11"/>
    </row>
    <row r="90" spans="1:53">
      <c r="A90" s="4">
        <f t="shared" ca="1" si="36"/>
        <v>820.72422199140078</v>
      </c>
      <c r="B90" s="4">
        <f t="shared" ref="B90:C90" ca="1" si="113">A90/60</f>
        <v>13.678737033190012</v>
      </c>
      <c r="C90" s="4">
        <f t="shared" ca="1" si="113"/>
        <v>0.22797895055316689</v>
      </c>
      <c r="D90" s="41">
        <f t="shared" ca="1" si="112"/>
        <v>17226.348438746474</v>
      </c>
      <c r="E90" s="4">
        <f t="shared" ca="1" si="38"/>
        <v>79.692593857608429</v>
      </c>
      <c r="F90" s="4">
        <f t="shared" ca="1" si="39"/>
        <v>79.692593857608429</v>
      </c>
      <c r="G90" s="4"/>
      <c r="H90" s="5">
        <f t="shared" si="40"/>
        <v>33500</v>
      </c>
      <c r="I90" s="5">
        <v>15</v>
      </c>
      <c r="J90" s="4">
        <f t="shared" si="0"/>
        <v>0.27699628283102323</v>
      </c>
      <c r="K90" s="4">
        <v>594.95735784668182</v>
      </c>
      <c r="L90" s="6">
        <f t="shared" si="41"/>
        <v>92.744999999999962</v>
      </c>
      <c r="M90" s="4">
        <f t="shared" si="1"/>
        <v>352.50271520643344</v>
      </c>
      <c r="N90" s="4">
        <f t="shared" si="2"/>
        <v>129.31381298962279</v>
      </c>
      <c r="O90" s="4">
        <f t="shared" si="3"/>
        <v>1360249.0311471503</v>
      </c>
      <c r="P90" s="4">
        <f t="shared" si="4"/>
        <v>8733754.6054216158</v>
      </c>
      <c r="Q90" s="4">
        <f t="shared" si="5"/>
        <v>3.0479527809116201E-3</v>
      </c>
      <c r="R90" s="4">
        <f t="shared" si="6"/>
        <v>2.3607751727465442E-2</v>
      </c>
      <c r="S90" s="24">
        <f t="shared" ca="1" si="109"/>
        <v>0.84533131418666108</v>
      </c>
      <c r="T90" s="4">
        <f t="shared" ca="1" si="7"/>
        <v>0.57912618860465626</v>
      </c>
      <c r="U90" s="4">
        <f t="shared" ca="1" si="8"/>
        <v>4.4789704723865204E-2</v>
      </c>
      <c r="V90" s="4">
        <f t="shared" ca="1" si="9"/>
        <v>12.929895210853704</v>
      </c>
      <c r="W90" s="20">
        <f t="shared" ca="1" si="10"/>
        <v>1332.1433251201358</v>
      </c>
      <c r="X90" s="4">
        <f t="shared" si="11"/>
        <v>0.61138885707025847</v>
      </c>
      <c r="Y90" s="4">
        <f t="shared" ca="1" si="12"/>
        <v>312.43724146994066</v>
      </c>
      <c r="Z90" s="14">
        <f t="shared" ca="1" si="13"/>
        <v>1332.2883254526464</v>
      </c>
      <c r="AA90" s="14">
        <f t="shared" si="14"/>
        <v>1586.2884575808973</v>
      </c>
      <c r="AB90" s="25">
        <f t="shared" ca="1" si="15"/>
        <v>792654.74200128659</v>
      </c>
      <c r="AC90" s="4">
        <f t="shared" si="16"/>
        <v>943773.98950501892</v>
      </c>
      <c r="AD90" s="5">
        <v>100</v>
      </c>
      <c r="AE90" s="4">
        <f t="shared" si="17"/>
        <v>1586.2884575808973</v>
      </c>
      <c r="AF90" s="4">
        <f t="shared" ca="1" si="18"/>
        <v>254.00013212825093</v>
      </c>
      <c r="AG90" s="4">
        <f t="shared" ca="1" si="19"/>
        <v>151119.24750373233</v>
      </c>
      <c r="AH90" s="4">
        <f t="shared" si="20"/>
        <v>1181.2433819607254</v>
      </c>
      <c r="AI90" s="13">
        <f t="shared" ca="1" si="21"/>
        <v>8.7775721625570782</v>
      </c>
      <c r="AJ90" s="10">
        <f t="shared" ca="1" si="22"/>
        <v>0.84533131418666108</v>
      </c>
      <c r="AK90" s="11">
        <f t="shared" ca="1" si="110"/>
        <v>526.65432975342469</v>
      </c>
      <c r="AL90" s="6">
        <v>500</v>
      </c>
      <c r="AM90" s="4">
        <f t="shared" ca="1" si="23"/>
        <v>56.963359655745656</v>
      </c>
      <c r="AN90" s="4">
        <f t="shared" ca="1" si="24"/>
        <v>18.690997668777264</v>
      </c>
      <c r="AO90" s="4">
        <f t="shared" ca="1" si="25"/>
        <v>5.5770982101392104</v>
      </c>
      <c r="AP90" s="4">
        <f t="shared" si="26"/>
        <v>0.74465862517976777</v>
      </c>
      <c r="AQ90" s="11">
        <f t="shared" si="27"/>
        <v>0.82173199571837596</v>
      </c>
      <c r="AR90" s="11">
        <f t="shared" si="28"/>
        <v>0.2525937034364486</v>
      </c>
      <c r="AS90" s="11">
        <f t="shared" si="29"/>
        <v>0.30739183182909374</v>
      </c>
      <c r="AT90" s="11">
        <f t="shared" si="30"/>
        <v>426.20773421925003</v>
      </c>
      <c r="AU90" s="11">
        <f t="shared" si="31"/>
        <v>534.54384708628118</v>
      </c>
      <c r="AV90" s="11">
        <f t="shared" si="32"/>
        <v>7.3063964507457291E-4</v>
      </c>
      <c r="AW90" s="11">
        <f t="shared" si="33"/>
        <v>3.1957341840927944E-7</v>
      </c>
      <c r="AX90" s="4">
        <f t="shared" ca="1" si="34"/>
        <v>8.7725641938036265</v>
      </c>
      <c r="AY90" s="11">
        <f t="shared" ca="1" si="35"/>
        <v>606.90165636922086</v>
      </c>
      <c r="AZ90" s="11"/>
      <c r="BA90" s="11"/>
    </row>
    <row r="91" spans="1:53">
      <c r="A91" s="4">
        <f t="shared" ca="1" si="36"/>
        <v>877.68758164714643</v>
      </c>
      <c r="B91" s="4">
        <f t="shared" ref="B91:C91" ca="1" si="114">A91/60</f>
        <v>14.628126360785775</v>
      </c>
      <c r="C91" s="4">
        <f t="shared" ca="1" si="114"/>
        <v>0.24380210601309624</v>
      </c>
      <c r="D91" s="41">
        <f t="shared" ca="1" si="112"/>
        <v>17226.348438746474</v>
      </c>
      <c r="E91" s="4">
        <f t="shared" ca="1" si="38"/>
        <v>85.269692067747641</v>
      </c>
      <c r="F91" s="4">
        <f t="shared" ca="1" si="39"/>
        <v>85.269692067747641</v>
      </c>
      <c r="G91" s="4"/>
      <c r="H91" s="5">
        <f t="shared" si="40"/>
        <v>34000</v>
      </c>
      <c r="I91" s="5">
        <v>15</v>
      </c>
      <c r="J91" s="4">
        <f t="shared" si="0"/>
        <v>0.28388834464345497</v>
      </c>
      <c r="K91" s="4">
        <v>596.16293323669959</v>
      </c>
      <c r="L91" s="6">
        <f t="shared" si="41"/>
        <v>93.979999999999961</v>
      </c>
      <c r="M91" s="4">
        <f t="shared" si="1"/>
        <v>353.21699933581272</v>
      </c>
      <c r="N91" s="4">
        <f t="shared" si="2"/>
        <v>127.35194629343457</v>
      </c>
      <c r="O91" s="4">
        <f t="shared" si="3"/>
        <v>1341498.1305056054</v>
      </c>
      <c r="P91" s="4">
        <f t="shared" si="4"/>
        <v>8613360.6473419052</v>
      </c>
      <c r="Q91" s="4">
        <f t="shared" si="5"/>
        <v>3.0537002358218051E-3</v>
      </c>
      <c r="R91" s="4">
        <f t="shared" si="6"/>
        <v>2.3642839939692122E-2</v>
      </c>
      <c r="S91" s="24">
        <f t="shared" ca="1" si="109"/>
        <v>0.72223847998431878</v>
      </c>
      <c r="T91" s="4">
        <f t="shared" ca="1" si="7"/>
        <v>0.58806495630417666</v>
      </c>
      <c r="U91" s="4">
        <f t="shared" ca="1" si="8"/>
        <v>4.5483722852929537E-2</v>
      </c>
      <c r="V91" s="4">
        <f t="shared" ca="1" si="9"/>
        <v>12.929129794534845</v>
      </c>
      <c r="W91" s="20">
        <f t="shared" ca="1" si="10"/>
        <v>1332.2613448981012</v>
      </c>
      <c r="X91" s="4">
        <f t="shared" si="11"/>
        <v>0.61184304213847363</v>
      </c>
      <c r="Y91" s="4">
        <f t="shared" ca="1" si="12"/>
        <v>315.47719636818687</v>
      </c>
      <c r="Z91" s="14">
        <f t="shared" ca="1" si="13"/>
        <v>1332.3671981410587</v>
      </c>
      <c r="AA91" s="14">
        <f t="shared" si="14"/>
        <v>1549.4012866739374</v>
      </c>
      <c r="AB91" s="25">
        <f t="shared" ca="1" si="15"/>
        <v>794307.93699213641</v>
      </c>
      <c r="AC91" s="4">
        <f t="shared" si="16"/>
        <v>923695.61582425097</v>
      </c>
      <c r="AD91" s="5">
        <v>100</v>
      </c>
      <c r="AE91" s="4">
        <f t="shared" si="17"/>
        <v>1549.4012866739374</v>
      </c>
      <c r="AF91" s="4">
        <f t="shared" ca="1" si="18"/>
        <v>217.03408853287874</v>
      </c>
      <c r="AG91" s="4">
        <f t="shared" ca="1" si="19"/>
        <v>129387.67883211456</v>
      </c>
      <c r="AH91" s="4">
        <f t="shared" si="20"/>
        <v>1157.7962974754714</v>
      </c>
      <c r="AI91" s="13">
        <f t="shared" ca="1" si="21"/>
        <v>7.5146967491241892</v>
      </c>
      <c r="AJ91" s="10">
        <f t="shared" ca="1" si="22"/>
        <v>0.72223847998431878</v>
      </c>
      <c r="AK91" s="11">
        <f t="shared" ca="1" si="110"/>
        <v>450.88180494745137</v>
      </c>
      <c r="AL91" s="6">
        <v>500</v>
      </c>
      <c r="AM91" s="4">
        <f t="shared" ca="1" si="23"/>
        <v>66.536284389423059</v>
      </c>
      <c r="AN91" s="4">
        <f t="shared" ca="1" si="24"/>
        <v>21.39873992051362</v>
      </c>
      <c r="AO91" s="4">
        <f t="shared" ca="1" si="25"/>
        <v>6.5277443233233692</v>
      </c>
      <c r="AP91" s="4">
        <f t="shared" si="26"/>
        <v>0.74725399251531854</v>
      </c>
      <c r="AQ91" s="11">
        <f t="shared" si="27"/>
        <v>0.81829432071837593</v>
      </c>
      <c r="AR91" s="11">
        <f t="shared" si="28"/>
        <v>0.24671995010731487</v>
      </c>
      <c r="AS91" s="11">
        <f t="shared" si="29"/>
        <v>0.30150514779415899</v>
      </c>
      <c r="AT91" s="11">
        <f t="shared" si="30"/>
        <v>424.424715327</v>
      </c>
      <c r="AU91" s="11">
        <f t="shared" si="31"/>
        <v>522.11369281610177</v>
      </c>
      <c r="AV91" s="11">
        <f t="shared" si="32"/>
        <v>7.1664758579193649E-4</v>
      </c>
      <c r="AW91" s="11">
        <f t="shared" si="33"/>
        <v>3.1847880897284264E-7</v>
      </c>
      <c r="AX91" s="4">
        <f t="shared" ca="1" si="34"/>
        <v>7.5110334202394569</v>
      </c>
      <c r="AY91" s="11">
        <f t="shared" ca="1" si="35"/>
        <v>608.40376581516557</v>
      </c>
      <c r="AZ91" s="11"/>
      <c r="BA91" s="11"/>
    </row>
    <row r="92" spans="1:53">
      <c r="A92" s="4">
        <f t="shared" ca="1" si="36"/>
        <v>944.22386603656946</v>
      </c>
      <c r="B92" s="4">
        <f t="shared" ref="B92:C92" ca="1" si="115">A92/60</f>
        <v>15.737064433942825</v>
      </c>
      <c r="C92" s="4">
        <f t="shared" ca="1" si="115"/>
        <v>0.26228440723238039</v>
      </c>
      <c r="D92" s="41">
        <f t="shared" ca="1" si="112"/>
        <v>17226.348438746474</v>
      </c>
      <c r="E92" s="4">
        <f t="shared" ca="1" si="38"/>
        <v>91.797436391071017</v>
      </c>
      <c r="F92" s="4">
        <f t="shared" ca="1" si="39"/>
        <v>91.797436391071017</v>
      </c>
      <c r="G92" s="4"/>
      <c r="H92" s="5">
        <f t="shared" si="40"/>
        <v>34500</v>
      </c>
      <c r="I92" s="5">
        <v>15</v>
      </c>
      <c r="J92" s="4">
        <f t="shared" si="0"/>
        <v>0.29091112251272677</v>
      </c>
      <c r="K92" s="4">
        <v>597.45075516871793</v>
      </c>
      <c r="L92" s="6">
        <f t="shared" si="41"/>
        <v>95.214999999999961</v>
      </c>
      <c r="M92" s="4">
        <f t="shared" si="1"/>
        <v>353.98001322538266</v>
      </c>
      <c r="N92" s="4">
        <f t="shared" si="2"/>
        <v>125.44229816008044</v>
      </c>
      <c r="O92" s="4">
        <f t="shared" si="3"/>
        <v>1323090.0151822153</v>
      </c>
      <c r="P92" s="4">
        <f t="shared" si="4"/>
        <v>8495167.6118745655</v>
      </c>
      <c r="Q92" s="4">
        <f t="shared" si="5"/>
        <v>3.0593851809636429E-3</v>
      </c>
      <c r="R92" s="4">
        <f t="shared" si="6"/>
        <v>2.3677546529783038E-2</v>
      </c>
      <c r="S92" s="24">
        <f t="shared" ca="1" si="109"/>
        <v>0.60057232242983116</v>
      </c>
      <c r="T92" s="4">
        <f t="shared" ca="1" si="7"/>
        <v>0.59703189216214836</v>
      </c>
      <c r="U92" s="4">
        <f t="shared" ca="1" si="8"/>
        <v>4.6189576201944964E-2</v>
      </c>
      <c r="V92" s="4">
        <f t="shared" ca="1" si="9"/>
        <v>12.925684564670425</v>
      </c>
      <c r="W92" s="20">
        <f t="shared" ca="1" si="10"/>
        <v>1332.6491156567913</v>
      </c>
      <c r="X92" s="4">
        <f t="shared" si="11"/>
        <v>0.61229195602612996</v>
      </c>
      <c r="Y92" s="4">
        <f t="shared" ca="1" si="12"/>
        <v>318.5599924967126</v>
      </c>
      <c r="Z92" s="14">
        <f t="shared" ca="1" si="13"/>
        <v>1332.7223291392231</v>
      </c>
      <c r="AA92" s="14">
        <f t="shared" si="14"/>
        <v>1513.211780632409</v>
      </c>
      <c r="AB92" s="25">
        <f t="shared" ca="1" si="15"/>
        <v>796235.96197444154</v>
      </c>
      <c r="AC92" s="4">
        <f t="shared" si="16"/>
        <v>904069.52106903307</v>
      </c>
      <c r="AD92" s="5">
        <v>100</v>
      </c>
      <c r="AE92" s="4">
        <f t="shared" si="17"/>
        <v>1513.211780632409</v>
      </c>
      <c r="AF92" s="4">
        <f t="shared" ca="1" si="18"/>
        <v>180.48945149318592</v>
      </c>
      <c r="AG92" s="4">
        <f t="shared" ca="1" si="19"/>
        <v>107833.55909459153</v>
      </c>
      <c r="AH92" s="4">
        <f t="shared" si="20"/>
        <v>1134.6945546995369</v>
      </c>
      <c r="AI92" s="13">
        <f t="shared" ca="1" si="21"/>
        <v>6.2623428829707928</v>
      </c>
      <c r="AJ92" s="10">
        <f t="shared" ca="1" si="22"/>
        <v>0.60057232242983116</v>
      </c>
      <c r="AK92" s="11">
        <f t="shared" ca="1" si="110"/>
        <v>375.74057297824754</v>
      </c>
      <c r="AL92" s="6">
        <v>500</v>
      </c>
      <c r="AM92" s="4">
        <f t="shared" ca="1" si="23"/>
        <v>79.842322489183957</v>
      </c>
      <c r="AN92" s="4">
        <f t="shared" ca="1" si="24"/>
        <v>25.165735711955946</v>
      </c>
      <c r="AO92" s="4">
        <f t="shared" ca="1" si="25"/>
        <v>7.8502871548329578</v>
      </c>
      <c r="AP92" s="4">
        <f t="shared" si="26"/>
        <v>0.74985839340037364</v>
      </c>
      <c r="AQ92" s="11">
        <f t="shared" si="27"/>
        <v>0.8148566457183759</v>
      </c>
      <c r="AR92" s="11">
        <f t="shared" si="28"/>
        <v>0.24095728990961929</v>
      </c>
      <c r="AS92" s="11">
        <f t="shared" si="29"/>
        <v>0.2957051294552453</v>
      </c>
      <c r="AT92" s="11">
        <f t="shared" si="30"/>
        <v>422.64169643474997</v>
      </c>
      <c r="AU92" s="11">
        <f t="shared" si="31"/>
        <v>509.91863605253445</v>
      </c>
      <c r="AV92" s="11">
        <f t="shared" si="32"/>
        <v>7.028615222021725E-4</v>
      </c>
      <c r="AW92" s="11">
        <f t="shared" si="33"/>
        <v>3.173821451300807E-7</v>
      </c>
      <c r="AX92" s="4">
        <f t="shared" ca="1" si="34"/>
        <v>6.2598036651834006</v>
      </c>
      <c r="AY92" s="11">
        <f t="shared" ca="1" si="35"/>
        <v>609.99213408906064</v>
      </c>
      <c r="AZ92" s="11"/>
      <c r="BA92" s="11"/>
    </row>
    <row r="93" spans="1:53">
      <c r="A93" s="4">
        <f t="shared" ca="1" si="36"/>
        <v>1024.0661885257534</v>
      </c>
      <c r="B93" s="4">
        <f t="shared" ref="B93:C93" ca="1" si="116">A93/60</f>
        <v>17.067769808762556</v>
      </c>
      <c r="C93" s="4">
        <f t="shared" ca="1" si="116"/>
        <v>0.28446283014604262</v>
      </c>
      <c r="D93" s="41">
        <f t="shared" ca="1" si="112"/>
        <v>17226.348438746474</v>
      </c>
      <c r="E93" s="4">
        <f t="shared" ca="1" si="38"/>
        <v>99.647723545903972</v>
      </c>
      <c r="F93" s="4">
        <f t="shared" ca="1" si="39"/>
        <v>99.647723545903972</v>
      </c>
      <c r="G93" s="4"/>
      <c r="H93" s="5">
        <f t="shared" si="40"/>
        <v>35000</v>
      </c>
      <c r="I93" s="5">
        <v>15</v>
      </c>
      <c r="J93" s="4">
        <f t="shared" si="0"/>
        <v>0.29806707225025064</v>
      </c>
      <c r="K93" s="4">
        <v>598.82247159671283</v>
      </c>
      <c r="L93" s="6">
        <f t="shared" si="41"/>
        <v>96.44999999999996</v>
      </c>
      <c r="M93" s="4">
        <f t="shared" si="1"/>
        <v>354.79273326150678</v>
      </c>
      <c r="N93" s="4">
        <f t="shared" si="2"/>
        <v>123.58377193628542</v>
      </c>
      <c r="O93" s="4">
        <f t="shared" si="3"/>
        <v>1305019.2832489586</v>
      </c>
      <c r="P93" s="4">
        <f t="shared" si="4"/>
        <v>8379140.8148458479</v>
      </c>
      <c r="Q93" s="4">
        <f t="shared" si="5"/>
        <v>3.0650046431017672E-3</v>
      </c>
      <c r="R93" s="4">
        <f t="shared" si="6"/>
        <v>2.3711853346136291E-2</v>
      </c>
      <c r="S93" s="24">
        <f t="shared" ca="1" si="109"/>
        <v>0.48033095443215218</v>
      </c>
      <c r="T93" s="4">
        <f t="shared" ca="1" si="7"/>
        <v>0.60602240937842122</v>
      </c>
      <c r="U93" s="4">
        <f t="shared" ca="1" si="8"/>
        <v>4.6906991217563573E-2</v>
      </c>
      <c r="V93" s="4">
        <f t="shared" ca="1" si="9"/>
        <v>12.919660665668657</v>
      </c>
      <c r="W93" s="20">
        <f t="shared" ca="1" si="10"/>
        <v>1333.2968681152056</v>
      </c>
      <c r="X93" s="4">
        <f t="shared" si="11"/>
        <v>0.6127353757921199</v>
      </c>
      <c r="Y93" s="4">
        <f t="shared" ca="1" si="12"/>
        <v>321.6864617771999</v>
      </c>
      <c r="Z93" s="14">
        <f t="shared" ca="1" si="13"/>
        <v>1333.3437219850484</v>
      </c>
      <c r="AA93" s="14">
        <f t="shared" si="14"/>
        <v>1477.7097993380396</v>
      </c>
      <c r="AB93" s="25">
        <f t="shared" ca="1" si="15"/>
        <v>798436.18308704707</v>
      </c>
      <c r="AC93" s="4">
        <f t="shared" si="16"/>
        <v>884885.83434228739</v>
      </c>
      <c r="AD93" s="5">
        <v>100</v>
      </c>
      <c r="AE93" s="4">
        <f t="shared" si="17"/>
        <v>1477.7097993380396</v>
      </c>
      <c r="AF93" s="4">
        <f t="shared" ca="1" si="18"/>
        <v>144.36607735299117</v>
      </c>
      <c r="AG93" s="4">
        <f t="shared" ca="1" si="19"/>
        <v>86449.651255240315</v>
      </c>
      <c r="AH93" s="4">
        <f t="shared" si="20"/>
        <v>1111.9344702391807</v>
      </c>
      <c r="AI93" s="13">
        <f t="shared" ca="1" si="21"/>
        <v>5.0200835489239859</v>
      </c>
      <c r="AJ93" s="10">
        <f t="shared" ca="1" si="22"/>
        <v>0.48033095443215218</v>
      </c>
      <c r="AK93" s="11">
        <f t="shared" ca="1" si="110"/>
        <v>301.20501293543913</v>
      </c>
      <c r="AL93" s="6">
        <v>500</v>
      </c>
      <c r="AM93" s="4">
        <f t="shared" ca="1" si="23"/>
        <v>99.599935962653632</v>
      </c>
      <c r="AN93" s="4">
        <f t="shared" ca="1" si="24"/>
        <v>30.763500564024884</v>
      </c>
      <c r="AO93" s="4">
        <f t="shared" ca="1" si="25"/>
        <v>9.8155810428937009</v>
      </c>
      <c r="AP93" s="4">
        <f t="shared" si="26"/>
        <v>0.75247147358519717</v>
      </c>
      <c r="AQ93" s="11">
        <f t="shared" si="27"/>
        <v>0.81141897071837588</v>
      </c>
      <c r="AR93" s="11">
        <f t="shared" si="28"/>
        <v>0.23530410817484707</v>
      </c>
      <c r="AS93" s="11">
        <f t="shared" si="29"/>
        <v>0.28999088838966214</v>
      </c>
      <c r="AT93" s="11">
        <f t="shared" si="30"/>
        <v>420.8586775425</v>
      </c>
      <c r="AU93" s="11">
        <f t="shared" si="31"/>
        <v>497.95525980177479</v>
      </c>
      <c r="AV93" s="11">
        <f t="shared" si="32"/>
        <v>6.8927934261338796E-4</v>
      </c>
      <c r="AW93" s="11">
        <f t="shared" si="33"/>
        <v>3.1628341807847827E-7</v>
      </c>
      <c r="AX93" s="4">
        <f t="shared" ca="1" si="34"/>
        <v>5.0184548143002194</v>
      </c>
      <c r="AY93" s="11">
        <f t="shared" ca="1" si="35"/>
        <v>611.66835722065798</v>
      </c>
      <c r="AZ93" s="11"/>
      <c r="BA93" s="11"/>
    </row>
    <row r="94" spans="1:53">
      <c r="A94" s="4">
        <f t="shared" ca="1" si="36"/>
        <v>1123.6661244884071</v>
      </c>
      <c r="B94" s="4">
        <f t="shared" ref="B94:C94" ca="1" si="117">A94/60</f>
        <v>18.727768741473451</v>
      </c>
      <c r="C94" s="4">
        <f t="shared" ca="1" si="117"/>
        <v>0.31212947902455751</v>
      </c>
      <c r="D94" s="41">
        <f t="shared" ca="1" si="112"/>
        <v>17226.348438746474</v>
      </c>
      <c r="E94" s="4">
        <f t="shared" ca="1" si="38"/>
        <v>109.46330458879767</v>
      </c>
      <c r="F94" s="4">
        <f t="shared" ca="1" si="39"/>
        <v>109.46330458879767</v>
      </c>
      <c r="G94" s="4"/>
      <c r="H94" s="5">
        <f t="shared" si="40"/>
        <v>35500</v>
      </c>
      <c r="I94" s="5">
        <v>15</v>
      </c>
      <c r="J94" s="4">
        <f t="shared" si="0"/>
        <v>0.30535868335063537</v>
      </c>
      <c r="K94" s="4">
        <v>600.27973482907919</v>
      </c>
      <c r="L94" s="6">
        <f t="shared" si="41"/>
        <v>97.68499999999996</v>
      </c>
      <c r="M94" s="4">
        <f t="shared" si="1"/>
        <v>355.65613841047218</v>
      </c>
      <c r="N94" s="4">
        <f t="shared" si="2"/>
        <v>121.77528047129998</v>
      </c>
      <c r="O94" s="4">
        <f t="shared" si="3"/>
        <v>1287280.5050897039</v>
      </c>
      <c r="P94" s="4">
        <f t="shared" si="4"/>
        <v>8265245.3943048846</v>
      </c>
      <c r="Q94" s="4">
        <f t="shared" si="5"/>
        <v>3.0705556030816298E-3</v>
      </c>
      <c r="R94" s="4">
        <f t="shared" si="6"/>
        <v>2.3745741956813348E-2</v>
      </c>
      <c r="S94" s="24">
        <f t="shared" ca="1" si="109"/>
        <v>0.36151306650417009</v>
      </c>
      <c r="T94" s="4">
        <f t="shared" ca="1" si="7"/>
        <v>0.61503185191378074</v>
      </c>
      <c r="U94" s="4">
        <f t="shared" ca="1" si="8"/>
        <v>4.7635668092336277E-2</v>
      </c>
      <c r="V94" s="4">
        <f t="shared" ca="1" si="9"/>
        <v>12.911162507926036</v>
      </c>
      <c r="W94" s="20">
        <f t="shared" ca="1" si="10"/>
        <v>1334.1947737478613</v>
      </c>
      <c r="X94" s="4">
        <f t="shared" si="11"/>
        <v>0.61317307537696175</v>
      </c>
      <c r="Y94" s="4">
        <f t="shared" ca="1" si="12"/>
        <v>324.85745578208525</v>
      </c>
      <c r="Z94" s="14">
        <f t="shared" ca="1" si="13"/>
        <v>1334.2213319808643</v>
      </c>
      <c r="AA94" s="14">
        <f t="shared" si="14"/>
        <v>1442.8853052489121</v>
      </c>
      <c r="AB94" s="25">
        <f t="shared" ca="1" si="15"/>
        <v>800906.02736477403</v>
      </c>
      <c r="AC94" s="4">
        <f t="shared" si="16"/>
        <v>866134.80842359189</v>
      </c>
      <c r="AD94" s="5">
        <v>100</v>
      </c>
      <c r="AE94" s="4">
        <f t="shared" si="17"/>
        <v>1442.8853052489121</v>
      </c>
      <c r="AF94" s="4">
        <f t="shared" ca="1" si="18"/>
        <v>108.66397326804781</v>
      </c>
      <c r="AG94" s="4">
        <f t="shared" ca="1" si="19"/>
        <v>65228.781058817869</v>
      </c>
      <c r="AH94" s="4">
        <f t="shared" si="20"/>
        <v>1089.5131265606176</v>
      </c>
      <c r="AI94" s="13">
        <f t="shared" ca="1" si="21"/>
        <v>3.7874958619280199</v>
      </c>
      <c r="AJ94" s="10">
        <f t="shared" ca="1" si="22"/>
        <v>0.36151306650417009</v>
      </c>
      <c r="AK94" s="11">
        <f t="shared" ca="1" si="110"/>
        <v>227.24975171568119</v>
      </c>
      <c r="AL94" s="6">
        <v>500</v>
      </c>
      <c r="AM94" s="4">
        <f t="shared" ca="1" si="23"/>
        <v>132.013345552667</v>
      </c>
      <c r="AN94" s="4">
        <f t="shared" ca="1" si="24"/>
        <v>39.952853572448177</v>
      </c>
      <c r="AO94" s="4">
        <f t="shared" ca="1" si="25"/>
        <v>13.041783919871987</v>
      </c>
      <c r="AP94" s="4">
        <f t="shared" si="26"/>
        <v>0.75509336923537773</v>
      </c>
      <c r="AQ94" s="11">
        <f t="shared" si="27"/>
        <v>0.80798129571837585</v>
      </c>
      <c r="AR94" s="11">
        <f t="shared" si="28"/>
        <v>0.22975880656829811</v>
      </c>
      <c r="AS94" s="11">
        <f t="shared" si="29"/>
        <v>0.28436154127060537</v>
      </c>
      <c r="AT94" s="11">
        <f t="shared" si="30"/>
        <v>419.07565865024998</v>
      </c>
      <c r="AU94" s="11">
        <f t="shared" si="31"/>
        <v>486.2201816359638</v>
      </c>
      <c r="AV94" s="11">
        <f t="shared" si="32"/>
        <v>6.7589894744610191E-4</v>
      </c>
      <c r="AW94" s="11">
        <f t="shared" si="33"/>
        <v>3.1518261897077876E-7</v>
      </c>
      <c r="AX94" s="4">
        <f t="shared" ca="1" si="34"/>
        <v>3.7865703977113117</v>
      </c>
      <c r="AY94" s="11">
        <f t="shared" ca="1" si="35"/>
        <v>613.43403654982092</v>
      </c>
      <c r="AZ94" s="11"/>
      <c r="BA94" s="11"/>
    </row>
    <row r="95" spans="1:53">
      <c r="A95" s="4">
        <f t="shared" ca="1" si="36"/>
        <v>1255.6794700410742</v>
      </c>
      <c r="B95" s="4">
        <f t="shared" ref="B95:C95" ca="1" si="118">A95/60</f>
        <v>20.927991167351237</v>
      </c>
      <c r="C95" s="4">
        <f t="shared" ca="1" si="118"/>
        <v>0.34879985278918729</v>
      </c>
      <c r="D95" s="41">
        <f t="shared" ca="1" si="112"/>
        <v>17226.348438746474</v>
      </c>
      <c r="E95" s="4">
        <f t="shared" ca="1" si="38"/>
        <v>122.50508850866966</v>
      </c>
      <c r="F95" s="4">
        <f t="shared" ca="1" si="39"/>
        <v>122.50508850866966</v>
      </c>
      <c r="G95" s="4"/>
      <c r="H95" s="5">
        <f t="shared" si="40"/>
        <v>36000</v>
      </c>
      <c r="I95" s="5">
        <v>15</v>
      </c>
      <c r="J95" s="4">
        <f t="shared" si="0"/>
        <v>0.31278847838674884</v>
      </c>
      <c r="K95" s="4">
        <v>601.82420186611182</v>
      </c>
      <c r="L95" s="6">
        <f t="shared" si="41"/>
        <v>98.919999999999959</v>
      </c>
      <c r="M95" s="4">
        <f t="shared" si="1"/>
        <v>356.57121041844141</v>
      </c>
      <c r="N95" s="4">
        <f t="shared" si="2"/>
        <v>120.01574664746444</v>
      </c>
      <c r="O95" s="4">
        <f t="shared" si="3"/>
        <v>1269868.2276552317</v>
      </c>
      <c r="P95" s="4">
        <f t="shared" si="4"/>
        <v>8153446.3378439145</v>
      </c>
      <c r="Q95" s="4">
        <f t="shared" si="5"/>
        <v>3.076034995602525E-3</v>
      </c>
      <c r="R95" s="4">
        <f t="shared" si="6"/>
        <v>2.3779193648153413E-2</v>
      </c>
      <c r="S95" s="24">
        <f t="shared" ca="1" si="109"/>
        <v>0.24411787783220554</v>
      </c>
      <c r="T95" s="4">
        <f t="shared" ca="1" si="7"/>
        <v>0.62405550442700874</v>
      </c>
      <c r="U95" s="4">
        <f t="shared" ca="1" si="8"/>
        <v>4.837528102869295E-2</v>
      </c>
      <c r="V95" s="4">
        <f t="shared" ca="1" si="9"/>
        <v>12.900297241826072</v>
      </c>
      <c r="W95" s="20">
        <f t="shared" ca="1" si="10"/>
        <v>1335.3329585460863</v>
      </c>
      <c r="X95" s="4">
        <f t="shared" si="11"/>
        <v>0.61360482557552642</v>
      </c>
      <c r="Y95" s="4">
        <f t="shared" ca="1" si="12"/>
        <v>328.07384631096858</v>
      </c>
      <c r="Z95" s="14">
        <f t="shared" ca="1" si="13"/>
        <v>1335.345078940835</v>
      </c>
      <c r="AA95" s="14">
        <f t="shared" si="14"/>
        <v>1408.728362819139</v>
      </c>
      <c r="AB95" s="25">
        <f t="shared" ca="1" si="15"/>
        <v>803642.98634940817</v>
      </c>
      <c r="AC95" s="4">
        <f t="shared" si="16"/>
        <v>847806.82259978272</v>
      </c>
      <c r="AD95" s="5">
        <v>100</v>
      </c>
      <c r="AE95" s="4">
        <f t="shared" si="17"/>
        <v>1408.728362819139</v>
      </c>
      <c r="AF95" s="4">
        <f t="shared" ca="1" si="18"/>
        <v>73.383283878303928</v>
      </c>
      <c r="AG95" s="4">
        <f t="shared" ca="1" si="19"/>
        <v>44163.836250374559</v>
      </c>
      <c r="AH95" s="4">
        <f t="shared" si="20"/>
        <v>1067.4283989634239</v>
      </c>
      <c r="AI95" s="13">
        <f t="shared" ca="1" si="21"/>
        <v>2.5641609859648686</v>
      </c>
      <c r="AJ95" s="10">
        <f t="shared" ca="1" si="22"/>
        <v>0.24411787783220554</v>
      </c>
      <c r="AK95" s="11">
        <f t="shared" ca="1" si="110"/>
        <v>153.84965915789212</v>
      </c>
      <c r="AL95" s="6">
        <v>500</v>
      </c>
      <c r="AM95" s="4">
        <f t="shared" ca="1" si="23"/>
        <v>194.99555711860069</v>
      </c>
      <c r="AN95" s="4">
        <f t="shared" ca="1" si="24"/>
        <v>57.817720927802441</v>
      </c>
      <c r="AO95" s="4">
        <f t="shared" ca="1" si="25"/>
        <v>19.313658537143031</v>
      </c>
      <c r="AP95" s="4">
        <f t="shared" si="26"/>
        <v>0.75772478721681469</v>
      </c>
      <c r="AQ95" s="11">
        <f t="shared" si="27"/>
        <v>0.80454362071837593</v>
      </c>
      <c r="AR95" s="11">
        <f t="shared" si="28"/>
        <v>0.2243198029966782</v>
      </c>
      <c r="AS95" s="11">
        <f t="shared" si="29"/>
        <v>0.27881620986116745</v>
      </c>
      <c r="AT95" s="11">
        <f t="shared" si="30"/>
        <v>417.29263975800001</v>
      </c>
      <c r="AU95" s="11">
        <f t="shared" si="31"/>
        <v>474.71005349763027</v>
      </c>
      <c r="AV95" s="11">
        <f t="shared" si="32"/>
        <v>6.6271824921900889E-4</v>
      </c>
      <c r="AW95" s="11">
        <f t="shared" si="33"/>
        <v>3.1407973891494336E-7</v>
      </c>
      <c r="AX95" s="4">
        <f t="shared" ca="1" si="34"/>
        <v>2.5637375446928012</v>
      </c>
      <c r="AY95" s="11">
        <f t="shared" ca="1" si="35"/>
        <v>615.29077950326712</v>
      </c>
      <c r="AZ95" s="11"/>
      <c r="BA95" s="11"/>
    </row>
    <row r="96" spans="1:53">
      <c r="A96" s="4">
        <f t="shared" ca="1" si="36"/>
        <v>1450.6750271596748</v>
      </c>
      <c r="B96" s="4">
        <f t="shared" ref="B96:C96" ca="1" si="119">A96/60</f>
        <v>24.177917119327912</v>
      </c>
      <c r="C96" s="4">
        <f t="shared" ca="1" si="119"/>
        <v>0.40296528532213188</v>
      </c>
      <c r="D96" s="41">
        <f t="shared" ca="1" si="112"/>
        <v>17226.348438746474</v>
      </c>
      <c r="E96" s="4">
        <f t="shared" ca="1" si="38"/>
        <v>141.8187470458127</v>
      </c>
      <c r="F96" s="4">
        <f t="shared" ca="1" si="39"/>
        <v>141.8187470458127</v>
      </c>
      <c r="G96" s="4"/>
      <c r="H96" s="5">
        <f t="shared" si="40"/>
        <v>36500</v>
      </c>
      <c r="I96" s="5">
        <v>15</v>
      </c>
      <c r="J96" s="4">
        <f t="shared" si="0"/>
        <v>0.32035496608576991</v>
      </c>
      <c r="K96" s="4">
        <v>604.36919186668911</v>
      </c>
      <c r="L96" s="6">
        <f t="shared" si="41"/>
        <v>100.15499999999996</v>
      </c>
      <c r="M96" s="4">
        <f t="shared" si="1"/>
        <v>358.07907627394343</v>
      </c>
      <c r="N96" s="4">
        <f t="shared" si="2"/>
        <v>118.24860585168545</v>
      </c>
      <c r="O96" s="4">
        <f t="shared" si="3"/>
        <v>1246688.8262990625</v>
      </c>
      <c r="P96" s="4">
        <f t="shared" si="4"/>
        <v>8004618.2933389824</v>
      </c>
      <c r="Q96" s="4">
        <f t="shared" si="5"/>
        <v>3.0838775427542669E-3</v>
      </c>
      <c r="R96" s="4">
        <f t="shared" si="6"/>
        <v>2.3827072398514802E-2</v>
      </c>
      <c r="S96" s="24">
        <f t="shared" ca="1" si="109"/>
        <v>0.12685281088366018</v>
      </c>
      <c r="T96" s="4">
        <f t="shared" ca="1" si="7"/>
        <v>0.6333857640048034</v>
      </c>
      <c r="U96" s="4">
        <f t="shared" ca="1" si="8"/>
        <v>4.9164130464892583E-2</v>
      </c>
      <c r="V96" s="4">
        <f t="shared" ca="1" si="9"/>
        <v>12.883086876866363</v>
      </c>
      <c r="W96" s="20">
        <f t="shared" ca="1" si="10"/>
        <v>1337.1256736383025</v>
      </c>
      <c r="X96" s="4">
        <f t="shared" si="11"/>
        <v>0.61422225313218681</v>
      </c>
      <c r="Y96" s="4">
        <f t="shared" ca="1" si="12"/>
        <v>331.91495395755885</v>
      </c>
      <c r="Z96" s="14">
        <f t="shared" ca="1" si="13"/>
        <v>1337.1289508013122</v>
      </c>
      <c r="AA96" s="14">
        <f t="shared" si="14"/>
        <v>1375.2647644063447</v>
      </c>
      <c r="AB96" s="25">
        <f t="shared" ca="1" si="15"/>
        <v>808119.54341734294</v>
      </c>
      <c r="AC96" s="4">
        <f t="shared" si="16"/>
        <v>831167.65426699515</v>
      </c>
      <c r="AD96" s="5">
        <v>100</v>
      </c>
      <c r="AE96" s="4">
        <f t="shared" si="17"/>
        <v>1375.2647644063447</v>
      </c>
      <c r="AF96" s="4">
        <f t="shared" ca="1" si="18"/>
        <v>38.135813605032581</v>
      </c>
      <c r="AG96" s="4">
        <f t="shared" ca="1" si="19"/>
        <v>23048.110849652207</v>
      </c>
      <c r="AH96" s="4">
        <f t="shared" si="20"/>
        <v>1045.7041359223517</v>
      </c>
      <c r="AI96" s="13">
        <f t="shared" ca="1" si="21"/>
        <v>1.3380718234031792</v>
      </c>
      <c r="AJ96" s="10">
        <f t="shared" ca="1" si="22"/>
        <v>0.12685281088366018</v>
      </c>
      <c r="AK96" s="11">
        <f t="shared" ca="1" si="110"/>
        <v>80.284309404190751</v>
      </c>
      <c r="AL96" s="6">
        <v>500</v>
      </c>
      <c r="AM96" s="4">
        <f t="shared" ca="1" si="23"/>
        <v>373.67201913595875</v>
      </c>
      <c r="AN96" s="4">
        <f t="shared" ca="1" si="24"/>
        <v>108.54177108025783</v>
      </c>
      <c r="AO96" s="4">
        <f t="shared" ca="1" si="25"/>
        <v>37.167723194919908</v>
      </c>
      <c r="AP96" s="4">
        <f t="shared" si="26"/>
        <v>0.76036568592939036</v>
      </c>
      <c r="AQ96" s="11">
        <f t="shared" si="27"/>
        <v>0.80392622071837594</v>
      </c>
      <c r="AR96" s="11">
        <f t="shared" si="28"/>
        <v>0.21899120452330328</v>
      </c>
      <c r="AS96" s="11">
        <f t="shared" si="29"/>
        <v>0.27240211710922446</v>
      </c>
      <c r="AT96" s="11">
        <f t="shared" si="30"/>
        <v>416.97241289999999</v>
      </c>
      <c r="AU96" s="11">
        <f t="shared" si="31"/>
        <v>463.43356683630481</v>
      </c>
      <c r="AV96" s="11">
        <f t="shared" si="32"/>
        <v>6.4747259215691558E-4</v>
      </c>
      <c r="AW96" s="11">
        <f t="shared" si="33"/>
        <v>3.1388144260453593E-7</v>
      </c>
      <c r="AX96" s="4">
        <f t="shared" ca="1" si="34"/>
        <v>1.3379568474193344</v>
      </c>
      <c r="AY96" s="11">
        <f t="shared" ca="1" si="35"/>
        <v>618.17591341428897</v>
      </c>
      <c r="AZ96" s="11"/>
      <c r="BA96" s="11"/>
    </row>
    <row r="97" spans="1:53">
      <c r="A97" s="4">
        <f t="shared" ca="1" si="36"/>
        <v>1824.3470462956334</v>
      </c>
      <c r="B97" s="4">
        <f t="shared" ref="B97:C97" ca="1" si="120">A97/60</f>
        <v>30.405784104927225</v>
      </c>
      <c r="C97" s="4">
        <f t="shared" ca="1" si="120"/>
        <v>0.50676306841545371</v>
      </c>
      <c r="D97" s="41">
        <f t="shared" ca="1" si="112"/>
        <v>17226.348438746474</v>
      </c>
      <c r="E97" s="4">
        <f t="shared" ca="1" si="38"/>
        <v>178.98647024073261</v>
      </c>
      <c r="F97" s="4">
        <f t="shared" ca="1" si="39"/>
        <v>178.98647024073261</v>
      </c>
      <c r="G97" s="4"/>
      <c r="H97" s="5">
        <f t="shared" si="40"/>
        <v>37000</v>
      </c>
      <c r="I97" s="5">
        <v>15</v>
      </c>
      <c r="J97" s="4">
        <f t="shared" si="0"/>
        <v>0.32804524115736156</v>
      </c>
      <c r="K97" s="4">
        <v>607.20401857186152</v>
      </c>
      <c r="L97" s="6">
        <f t="shared" si="41"/>
        <v>101.38999999999996</v>
      </c>
      <c r="M97" s="4">
        <f t="shared" si="1"/>
        <v>359.75866573953078</v>
      </c>
      <c r="N97" s="4">
        <f t="shared" si="2"/>
        <v>116.52638092588917</v>
      </c>
      <c r="O97" s="4">
        <f t="shared" si="3"/>
        <v>1222795.9085744501</v>
      </c>
      <c r="P97" s="4">
        <f t="shared" si="4"/>
        <v>7851208.9723719889</v>
      </c>
      <c r="Q97" s="4">
        <f t="shared" si="5"/>
        <v>3.0921627776349749E-3</v>
      </c>
      <c r="R97" s="4">
        <f t="shared" si="6"/>
        <v>2.3877653757461523E-2</v>
      </c>
      <c r="S97" s="24">
        <f t="shared" ca="1" si="109"/>
        <v>1.1238487607154292E-2</v>
      </c>
      <c r="T97" s="4">
        <f t="shared" ca="1" si="7"/>
        <v>0.64274857838253885</v>
      </c>
      <c r="U97" s="4">
        <f t="shared" ca="1" si="8"/>
        <v>4.9969321553396277E-2</v>
      </c>
      <c r="V97" s="4">
        <f t="shared" ca="1" si="9"/>
        <v>12.862863821269013</v>
      </c>
      <c r="W97" s="20">
        <f t="shared" ca="1" si="10"/>
        <v>1339.2311655260387</v>
      </c>
      <c r="X97" s="4">
        <f t="shared" si="11"/>
        <v>0.61487385910622783</v>
      </c>
      <c r="Y97" s="4">
        <f t="shared" ca="1" si="12"/>
        <v>335.92749553852849</v>
      </c>
      <c r="Z97" s="14">
        <f t="shared" ca="1" si="13"/>
        <v>1339.2311912890152</v>
      </c>
      <c r="AA97" s="14">
        <f t="shared" si="14"/>
        <v>1342.6100898351101</v>
      </c>
      <c r="AB97" s="25">
        <f t="shared" ca="1" si="15"/>
        <v>813186.56114747142</v>
      </c>
      <c r="AC97" s="4">
        <f t="shared" si="16"/>
        <v>815238.24192300683</v>
      </c>
      <c r="AD97" s="5">
        <v>100</v>
      </c>
      <c r="AE97" s="4">
        <f t="shared" si="17"/>
        <v>1342.6100898351101</v>
      </c>
      <c r="AF97" s="4">
        <f t="shared" ca="1" si="18"/>
        <v>3.3788985460948879</v>
      </c>
      <c r="AG97" s="4">
        <f t="shared" ca="1" si="19"/>
        <v>2051.6807755354093</v>
      </c>
      <c r="AH97" s="4">
        <f t="shared" si="20"/>
        <v>1024.4288481947478</v>
      </c>
      <c r="AI97" s="13">
        <f t="shared" ca="1" si="21"/>
        <v>0.11910222449137962</v>
      </c>
      <c r="AJ97" s="10">
        <f t="shared" ca="1" si="22"/>
        <v>1.1238487607154292E-2</v>
      </c>
      <c r="AK97" s="11">
        <f t="shared" ca="1" si="110"/>
        <v>7.1461334694827778</v>
      </c>
      <c r="AL97" s="6">
        <v>500</v>
      </c>
      <c r="AM97" s="4">
        <f t="shared" ca="1" si="23"/>
        <v>4198.0744031879012</v>
      </c>
      <c r="AN97" s="4">
        <f t="shared" ca="1" si="24"/>
        <v>1194.6190348593429</v>
      </c>
      <c r="AO97" s="4">
        <f t="shared" ca="1" si="25"/>
        <v>419.52600469789661</v>
      </c>
      <c r="AP97" s="4">
        <f t="shared" si="26"/>
        <v>0.763012922329938</v>
      </c>
      <c r="AQ97" s="11">
        <f t="shared" si="27"/>
        <v>0.80392622071837594</v>
      </c>
      <c r="AR97" s="11">
        <f t="shared" si="28"/>
        <v>0.21379141557883918</v>
      </c>
      <c r="AS97" s="11">
        <f t="shared" si="29"/>
        <v>0.26593412438743258</v>
      </c>
      <c r="AT97" s="11">
        <f t="shared" si="30"/>
        <v>416.97241289999999</v>
      </c>
      <c r="AU97" s="11">
        <f t="shared" si="31"/>
        <v>452.42966947625104</v>
      </c>
      <c r="AV97" s="11">
        <f t="shared" si="32"/>
        <v>6.3209882025648848E-4</v>
      </c>
      <c r="AW97" s="11">
        <f t="shared" si="33"/>
        <v>3.1388144260453593E-7</v>
      </c>
      <c r="AX97" s="4">
        <f t="shared" ca="1" si="34"/>
        <v>0.11910131638349154</v>
      </c>
      <c r="AY97" s="11">
        <f t="shared" ca="1" si="35"/>
        <v>621.35951636600782</v>
      </c>
      <c r="AZ97" s="11"/>
      <c r="BA97" s="11"/>
    </row>
    <row r="98" spans="1:53">
      <c r="A98" s="4">
        <f t="shared" ca="1" si="36"/>
        <v>6022.4214494835342</v>
      </c>
      <c r="B98" s="4">
        <f t="shared" ref="B98:C98" ca="1" si="121">A98/60</f>
        <v>100.37369082472557</v>
      </c>
      <c r="C98" s="4">
        <f t="shared" ca="1" si="121"/>
        <v>1.6728948470787595</v>
      </c>
      <c r="D98" s="41">
        <f t="shared" ca="1" si="112"/>
        <v>17226.348438746474</v>
      </c>
      <c r="E98" s="4">
        <f t="shared" ca="1" si="38"/>
        <v>598.51247493862923</v>
      </c>
      <c r="F98" s="4">
        <f t="shared" ca="1" si="39"/>
        <v>598.51247493862923</v>
      </c>
      <c r="G98" s="4"/>
      <c r="H98" s="5">
        <f t="shared" si="40"/>
        <v>37500</v>
      </c>
      <c r="I98" s="5">
        <v>15</v>
      </c>
      <c r="J98" s="4">
        <f t="shared" si="0"/>
        <v>0.33586214218986044</v>
      </c>
      <c r="K98" s="4">
        <v>610.13187245229688</v>
      </c>
      <c r="L98" s="6">
        <f t="shared" si="41"/>
        <v>102.62499999999996</v>
      </c>
      <c r="M98" s="4">
        <f t="shared" si="1"/>
        <v>361.49337231802667</v>
      </c>
      <c r="N98" s="4">
        <f t="shared" si="2"/>
        <v>114.85925623301954</v>
      </c>
      <c r="O98" s="4">
        <f t="shared" si="3"/>
        <v>1199517.6505319055</v>
      </c>
      <c r="P98" s="4">
        <f t="shared" si="4"/>
        <v>7701746.1984754987</v>
      </c>
      <c r="Q98" s="4">
        <f t="shared" si="5"/>
        <v>3.1003591768795523E-3</v>
      </c>
      <c r="R98" s="4">
        <f t="shared" si="6"/>
        <v>2.3927692774849667E-2</v>
      </c>
      <c r="S98" s="24">
        <f t="shared" ca="1" si="109"/>
        <v>-0.10248979904182882</v>
      </c>
      <c r="T98" s="4">
        <f t="shared" ca="1" si="7"/>
        <v>0.65207672202728595</v>
      </c>
      <c r="U98" s="4">
        <f t="shared" ca="1" si="8"/>
        <v>5.0782187459206055E-2</v>
      </c>
      <c r="V98" s="4">
        <f t="shared" ca="1" si="9"/>
        <v>12.840658401159009</v>
      </c>
      <c r="W98" s="20">
        <f t="shared" ca="1" si="10"/>
        <v>1341.5449847335412</v>
      </c>
      <c r="X98" s="4">
        <f t="shared" si="11"/>
        <v>0.61551779970010556</v>
      </c>
      <c r="Y98" s="4">
        <f t="shared" ca="1" si="12"/>
        <v>339.98786292974461</v>
      </c>
      <c r="Z98" s="14">
        <f t="shared" ca="1" si="13"/>
        <v>1341.5471310405399</v>
      </c>
      <c r="AA98" s="14">
        <f t="shared" si="14"/>
        <v>1310.7307770697992</v>
      </c>
      <c r="AB98" s="25">
        <f t="shared" ca="1" si="15"/>
        <v>818520.66304477141</v>
      </c>
      <c r="AC98" s="4">
        <f t="shared" si="16"/>
        <v>799718.62329445069</v>
      </c>
      <c r="AD98" s="5">
        <v>100</v>
      </c>
      <c r="AE98" s="4">
        <f t="shared" si="17"/>
        <v>1310.7307770697992</v>
      </c>
      <c r="AF98" s="4">
        <f t="shared" ca="1" si="18"/>
        <v>-30.816353970740693</v>
      </c>
      <c r="AG98" s="4">
        <f t="shared" ca="1" si="19"/>
        <v>-18802.03975032072</v>
      </c>
      <c r="AH98" s="4">
        <f t="shared" si="20"/>
        <v>1003.5868768533803</v>
      </c>
      <c r="AI98" s="13">
        <f t="shared" ca="1" si="21"/>
        <v>-1.0913938195819382</v>
      </c>
      <c r="AJ98" s="10">
        <f t="shared" ca="1" si="22"/>
        <v>-0.10248979904182882</v>
      </c>
      <c r="AK98" s="11">
        <f t="shared" ca="1" si="110"/>
        <v>-65.483629174916288</v>
      </c>
      <c r="AL98" s="6">
        <v>500</v>
      </c>
      <c r="AM98" s="4">
        <f t="shared" ca="1" si="23"/>
        <v>-458.12977041736099</v>
      </c>
      <c r="AN98" s="4">
        <f t="shared" ca="1" si="24"/>
        <v>-127.7147293018654</v>
      </c>
      <c r="AO98" s="4">
        <f t="shared" ca="1" si="25"/>
        <v>-46.002947419678897</v>
      </c>
      <c r="AP98" s="4">
        <f t="shared" si="26"/>
        <v>0.76566972746069673</v>
      </c>
      <c r="AQ98" s="11">
        <f t="shared" si="27"/>
        <v>0.80392622071837594</v>
      </c>
      <c r="AR98" s="11">
        <f t="shared" si="28"/>
        <v>0.20871509189009541</v>
      </c>
      <c r="AS98" s="11">
        <f t="shared" si="29"/>
        <v>0.25961970950964985</v>
      </c>
      <c r="AT98" s="11">
        <f t="shared" si="30"/>
        <v>416.97241289999999</v>
      </c>
      <c r="AU98" s="11">
        <f t="shared" si="31"/>
        <v>441.68705175965766</v>
      </c>
      <c r="AV98" s="11">
        <f t="shared" si="32"/>
        <v>6.1709008753348669E-4</v>
      </c>
      <c r="AW98" s="11">
        <f t="shared" si="33"/>
        <v>3.1388144260453593E-7</v>
      </c>
      <c r="AX98" s="4">
        <f t="shared" ca="1" si="34"/>
        <v>-1.0914698386124659</v>
      </c>
      <c r="AY98" s="11">
        <f t="shared" ca="1" si="35"/>
        <v>624.63962971624858</v>
      </c>
      <c r="AZ98" s="11"/>
      <c r="BA98" s="11"/>
    </row>
    <row r="99" spans="1:53">
      <c r="A99" s="4">
        <f t="shared" ca="1" si="36"/>
        <v>5564.2916790661729</v>
      </c>
      <c r="B99" s="4">
        <f t="shared" ref="B99:C99" ca="1" si="122">A99/60</f>
        <v>92.738194651102887</v>
      </c>
      <c r="C99" s="4">
        <f t="shared" ca="1" si="122"/>
        <v>1.5456365775183813</v>
      </c>
      <c r="D99" s="41">
        <f t="shared" ca="1" si="112"/>
        <v>17226.348438746474</v>
      </c>
      <c r="E99" s="4">
        <f t="shared" ca="1" si="38"/>
        <v>552.50952751895034</v>
      </c>
      <c r="F99" s="4">
        <f t="shared" ca="1" si="39"/>
        <v>552.50952751895034</v>
      </c>
      <c r="G99" s="4"/>
      <c r="H99" s="5">
        <f t="shared" si="40"/>
        <v>38000</v>
      </c>
      <c r="I99" s="5">
        <v>15</v>
      </c>
      <c r="J99" s="4">
        <f t="shared" si="0"/>
        <v>0.34380689365133044</v>
      </c>
      <c r="K99" s="4">
        <v>613.15369472254986</v>
      </c>
      <c r="L99" s="6">
        <f t="shared" si="41"/>
        <v>103.85999999999996</v>
      </c>
      <c r="M99" s="4">
        <f t="shared" si="1"/>
        <v>363.28375366399524</v>
      </c>
      <c r="N99" s="4">
        <f t="shared" si="2"/>
        <v>113.24547670923279</v>
      </c>
      <c r="O99" s="4">
        <f t="shared" si="3"/>
        <v>1176835.797344523</v>
      </c>
      <c r="P99" s="4">
        <f t="shared" si="4"/>
        <v>7556112.7628333978</v>
      </c>
      <c r="Q99" s="4">
        <f t="shared" si="5"/>
        <v>3.1084641190108359E-3</v>
      </c>
      <c r="R99" s="4">
        <f t="shared" si="6"/>
        <v>2.3977173446561154E-2</v>
      </c>
      <c r="S99" s="24">
        <f t="shared" ca="1" si="109"/>
        <v>-0.21435135169694375</v>
      </c>
      <c r="T99" s="4">
        <f t="shared" ca="1" si="7"/>
        <v>0.66136542639664309</v>
      </c>
      <c r="U99" s="4">
        <f t="shared" ca="1" si="8"/>
        <v>5.1602191261399602E-2</v>
      </c>
      <c r="V99" s="4">
        <f t="shared" ca="1" si="9"/>
        <v>12.81661515198812</v>
      </c>
      <c r="W99" s="20">
        <f t="shared" ca="1" si="10"/>
        <v>1344.054392186787</v>
      </c>
      <c r="X99" s="4">
        <f t="shared" si="11"/>
        <v>0.61615389331397274</v>
      </c>
      <c r="Y99" s="4">
        <f t="shared" ca="1" si="12"/>
        <v>344.09665131920121</v>
      </c>
      <c r="Z99" s="14">
        <f t="shared" ca="1" si="13"/>
        <v>1344.0637980047575</v>
      </c>
      <c r="AA99" s="14">
        <f t="shared" si="14"/>
        <v>1279.6084157009382</v>
      </c>
      <c r="AB99" s="25">
        <f t="shared" ca="1" si="15"/>
        <v>824117.68368944002</v>
      </c>
      <c r="AC99" s="4">
        <f t="shared" si="16"/>
        <v>784596.62788509869</v>
      </c>
      <c r="AD99" s="5">
        <v>100</v>
      </c>
      <c r="AE99" s="4">
        <f t="shared" si="17"/>
        <v>1279.6084157009382</v>
      </c>
      <c r="AF99" s="4">
        <f t="shared" ca="1" si="18"/>
        <v>-64.455382303819306</v>
      </c>
      <c r="AG99" s="4">
        <f t="shared" ca="1" si="19"/>
        <v>-39521.055804341333</v>
      </c>
      <c r="AH99" s="4">
        <f t="shared" si="20"/>
        <v>983.17383588264352</v>
      </c>
      <c r="AI99" s="13">
        <f t="shared" ca="1" si="21"/>
        <v>-2.2938865269566233</v>
      </c>
      <c r="AJ99" s="10">
        <f t="shared" ca="1" si="22"/>
        <v>-0.21435135169694375</v>
      </c>
      <c r="AK99" s="11">
        <f t="shared" ca="1" si="110"/>
        <v>-137.63319161739739</v>
      </c>
      <c r="AL99" s="6">
        <v>500</v>
      </c>
      <c r="AM99" s="4">
        <f t="shared" ca="1" si="23"/>
        <v>-217.97067733048107</v>
      </c>
      <c r="AN99" s="4">
        <f t="shared" ca="1" si="24"/>
        <v>-59.528629705818616</v>
      </c>
      <c r="AO99" s="4">
        <f t="shared" ca="1" si="25"/>
        <v>-21.995736585478888</v>
      </c>
      <c r="AP99" s="4">
        <f t="shared" si="26"/>
        <v>0.76833961375917093</v>
      </c>
      <c r="AQ99" s="11">
        <f t="shared" si="27"/>
        <v>0.80392622071837594</v>
      </c>
      <c r="AR99" s="11">
        <f t="shared" si="28"/>
        <v>0.2037593018632067</v>
      </c>
      <c r="AS99" s="11">
        <f t="shared" si="29"/>
        <v>0.2534552258802189</v>
      </c>
      <c r="AT99" s="11">
        <f t="shared" si="30"/>
        <v>416.97241289999999</v>
      </c>
      <c r="AU99" s="11">
        <f t="shared" si="31"/>
        <v>431.19950978895525</v>
      </c>
      <c r="AV99" s="11">
        <f t="shared" si="32"/>
        <v>6.0243772639469227E-4</v>
      </c>
      <c r="AW99" s="11">
        <f t="shared" si="33"/>
        <v>3.1388144260453593E-7</v>
      </c>
      <c r="AX99" s="4">
        <f t="shared" ca="1" si="34"/>
        <v>-2.2942213171218775</v>
      </c>
      <c r="AY99" s="11">
        <f t="shared" ca="1" si="35"/>
        <v>628.01712297524296</v>
      </c>
      <c r="AZ99" s="11"/>
      <c r="BA99" s="11"/>
    </row>
    <row r="100" spans="1:53">
      <c r="A100" s="4">
        <f t="shared" ca="1" si="36"/>
        <v>5346.3210017356923</v>
      </c>
      <c r="B100" s="4">
        <f t="shared" ref="B100:C100" ca="1" si="123">A100/60</f>
        <v>89.1053500289282</v>
      </c>
      <c r="C100" s="4">
        <f t="shared" ca="1" si="123"/>
        <v>1.4850891671488033</v>
      </c>
      <c r="D100" s="41">
        <f t="shared" ca="1" si="112"/>
        <v>17226.348438746474</v>
      </c>
      <c r="E100" s="4">
        <f t="shared" ca="1" si="38"/>
        <v>530.51379093347145</v>
      </c>
      <c r="F100" s="4">
        <f t="shared" ca="1" si="39"/>
        <v>530.51379093347145</v>
      </c>
      <c r="G100" s="4"/>
      <c r="H100" s="5">
        <f t="shared" si="40"/>
        <v>38500</v>
      </c>
      <c r="I100" s="5">
        <v>15</v>
      </c>
      <c r="J100" s="4">
        <f t="shared" si="0"/>
        <v>0.35188069775374903</v>
      </c>
      <c r="K100" s="4">
        <v>616.27040661912758</v>
      </c>
      <c r="L100" s="6">
        <f t="shared" si="41"/>
        <v>105.09499999999996</v>
      </c>
      <c r="M100" s="4">
        <f t="shared" si="1"/>
        <v>365.13035559532722</v>
      </c>
      <c r="N100" s="4">
        <f t="shared" si="2"/>
        <v>111.68333715165841</v>
      </c>
      <c r="O100" s="4">
        <f t="shared" si="3"/>
        <v>1154732.5944324823</v>
      </c>
      <c r="P100" s="4">
        <f t="shared" si="4"/>
        <v>7414194.6685673781</v>
      </c>
      <c r="Q100" s="4">
        <f t="shared" si="5"/>
        <v>3.1164749855714323E-3</v>
      </c>
      <c r="R100" s="4">
        <f t="shared" si="6"/>
        <v>2.4026079786913596E-2</v>
      </c>
      <c r="S100" s="24">
        <f t="shared" ca="1" si="109"/>
        <v>-0.32436500089388665</v>
      </c>
      <c r="T100" s="4">
        <f t="shared" ca="1" si="7"/>
        <v>0.67061003750358705</v>
      </c>
      <c r="U100" s="4">
        <f t="shared" ca="1" si="8"/>
        <v>5.2428783926426539E-2</v>
      </c>
      <c r="V100" s="4">
        <f t="shared" ca="1" si="9"/>
        <v>12.79087530324289</v>
      </c>
      <c r="W100" s="20">
        <f t="shared" ca="1" si="10"/>
        <v>1346.7469568925053</v>
      </c>
      <c r="X100" s="4">
        <f t="shared" si="11"/>
        <v>0.61678195903882849</v>
      </c>
      <c r="Y100" s="4">
        <f t="shared" ca="1" si="12"/>
        <v>348.25446299670671</v>
      </c>
      <c r="Z100" s="14">
        <f t="shared" ca="1" si="13"/>
        <v>1346.7685385361431</v>
      </c>
      <c r="AA100" s="14">
        <f t="shared" si="14"/>
        <v>1249.2250324610102</v>
      </c>
      <c r="AB100" s="25">
        <f t="shared" ca="1" si="15"/>
        <v>829973.59486551711</v>
      </c>
      <c r="AC100" s="4">
        <f t="shared" si="16"/>
        <v>769860.41871353961</v>
      </c>
      <c r="AD100" s="5">
        <v>100</v>
      </c>
      <c r="AE100" s="4">
        <f t="shared" si="17"/>
        <v>1249.2250324610102</v>
      </c>
      <c r="AF100" s="4">
        <f t="shared" ca="1" si="18"/>
        <v>-97.543506075132882</v>
      </c>
      <c r="AG100" s="4">
        <f t="shared" ca="1" si="19"/>
        <v>-60113.176151977503</v>
      </c>
      <c r="AH100" s="4">
        <f t="shared" si="20"/>
        <v>963.1862098550065</v>
      </c>
      <c r="AI100" s="13">
        <f t="shared" ca="1" si="21"/>
        <v>-3.4888343421927592</v>
      </c>
      <c r="AJ100" s="10">
        <f t="shared" ca="1" si="22"/>
        <v>-0.32436500089388665</v>
      </c>
      <c r="AK100" s="11">
        <f t="shared" ca="1" si="110"/>
        <v>-209.33006053156555</v>
      </c>
      <c r="AL100" s="6">
        <v>500</v>
      </c>
      <c r="AM100" s="4">
        <f t="shared" ca="1" si="23"/>
        <v>-143.3143425450651</v>
      </c>
      <c r="AN100" s="4">
        <f t="shared" ca="1" si="24"/>
        <v>-38.343999559400935</v>
      </c>
      <c r="AO100" s="4">
        <f t="shared" ca="1" si="25"/>
        <v>-14.535438418063542</v>
      </c>
      <c r="AP100" s="4">
        <f t="shared" si="26"/>
        <v>0.7710269845918003</v>
      </c>
      <c r="AQ100" s="11">
        <f t="shared" si="27"/>
        <v>0.80392622071837594</v>
      </c>
      <c r="AR100" s="11">
        <f t="shared" si="28"/>
        <v>0.19892118351289972</v>
      </c>
      <c r="AS100" s="11">
        <f t="shared" si="29"/>
        <v>0.24743711348927871</v>
      </c>
      <c r="AT100" s="11">
        <f t="shared" si="30"/>
        <v>416.97241289999999</v>
      </c>
      <c r="AU100" s="11">
        <f t="shared" si="31"/>
        <v>420.96098697366864</v>
      </c>
      <c r="AV100" s="11">
        <f t="shared" si="32"/>
        <v>5.8813327505266653E-4</v>
      </c>
      <c r="AW100" s="11">
        <f t="shared" si="33"/>
        <v>3.1388144260453593E-7</v>
      </c>
      <c r="AX100" s="4">
        <f t="shared" ca="1" si="34"/>
        <v>-3.4896064227266854</v>
      </c>
      <c r="AY100" s="11">
        <f t="shared" ca="1" si="35"/>
        <v>631.49285021910453</v>
      </c>
      <c r="AZ100" s="11"/>
      <c r="BA100" s="11"/>
    </row>
    <row r="101" spans="1:53">
      <c r="A101" s="4">
        <f t="shared" ca="1" si="36"/>
        <v>5203.006659190627</v>
      </c>
      <c r="B101" s="4">
        <f t="shared" ref="B101:C101" ca="1" si="124">A101/60</f>
        <v>86.716777653177118</v>
      </c>
      <c r="C101" s="4">
        <f t="shared" ca="1" si="124"/>
        <v>1.445279627552952</v>
      </c>
      <c r="D101" s="41">
        <f t="shared" ca="1" si="112"/>
        <v>17226.348438746474</v>
      </c>
      <c r="E101" s="4">
        <f t="shared" ca="1" si="38"/>
        <v>515.97835251540789</v>
      </c>
      <c r="F101" s="4">
        <f t="shared" ca="1" si="39"/>
        <v>515.97835251540789</v>
      </c>
      <c r="G101" s="4"/>
      <c r="H101" s="5">
        <f t="shared" si="40"/>
        <v>39000</v>
      </c>
      <c r="I101" s="5">
        <v>15</v>
      </c>
      <c r="J101" s="4">
        <f t="shared" si="0"/>
        <v>0.3600847326570622</v>
      </c>
      <c r="K101" s="4">
        <v>619.48291074394569</v>
      </c>
      <c r="L101" s="6">
        <f t="shared" si="41"/>
        <v>106.32999999999996</v>
      </c>
      <c r="M101" s="4">
        <f t="shared" si="1"/>
        <v>367.03371288921591</v>
      </c>
      <c r="N101" s="4">
        <f t="shared" si="2"/>
        <v>110.17118146619178</v>
      </c>
      <c r="O101" s="4">
        <f t="shared" si="3"/>
        <v>1133190.7797300823</v>
      </c>
      <c r="P101" s="4">
        <f t="shared" si="4"/>
        <v>7275881.0810858579</v>
      </c>
      <c r="Q101" s="4">
        <f t="shared" si="5"/>
        <v>3.124389160999426E-3</v>
      </c>
      <c r="R101" s="4">
        <f t="shared" si="6"/>
        <v>2.4074395827901499E-2</v>
      </c>
      <c r="S101" s="24">
        <f t="shared" ca="1" si="109"/>
        <v>-0.4325491666595675</v>
      </c>
      <c r="T101" s="4">
        <f t="shared" ca="1" si="7"/>
        <v>0.67980602377815513</v>
      </c>
      <c r="U101" s="4">
        <f t="shared" ca="1" si="8"/>
        <v>5.3261405899644787E-2</v>
      </c>
      <c r="V101" s="4">
        <f t="shared" ca="1" si="9"/>
        <v>12.763576407634574</v>
      </c>
      <c r="W101" s="20">
        <f t="shared" ca="1" si="10"/>
        <v>1349.6105633382806</v>
      </c>
      <c r="X101" s="4">
        <f t="shared" si="11"/>
        <v>0.61740181661997273</v>
      </c>
      <c r="Y101" s="4">
        <f t="shared" ca="1" si="12"/>
        <v>352.46190744720775</v>
      </c>
      <c r="Z101" s="14">
        <f t="shared" ca="1" si="13"/>
        <v>1349.6490237988844</v>
      </c>
      <c r="AA101" s="14">
        <f t="shared" si="14"/>
        <v>1219.5630808448332</v>
      </c>
      <c r="AB101" s="25">
        <f t="shared" ca="1" si="15"/>
        <v>836084.50574565772</v>
      </c>
      <c r="AC101" s="4">
        <f t="shared" si="16"/>
        <v>755498.48715761118</v>
      </c>
      <c r="AD101" s="5">
        <v>100</v>
      </c>
      <c r="AE101" s="4">
        <f t="shared" si="17"/>
        <v>1219.5630808448332</v>
      </c>
      <c r="AF101" s="4">
        <f t="shared" ca="1" si="18"/>
        <v>-130.08594295405123</v>
      </c>
      <c r="AG101" s="4">
        <f t="shared" ca="1" si="19"/>
        <v>-80586.018588046543</v>
      </c>
      <c r="AH101" s="4">
        <f t="shared" si="20"/>
        <v>943.62128756549316</v>
      </c>
      <c r="AI101" s="13">
        <f t="shared" ca="1" si="21"/>
        <v>-4.6766842825934081</v>
      </c>
      <c r="AJ101" s="10">
        <f t="shared" ca="1" si="22"/>
        <v>-0.4325491666595675</v>
      </c>
      <c r="AK101" s="11">
        <f t="shared" ca="1" si="110"/>
        <v>-280.60105695560446</v>
      </c>
      <c r="AL101" s="6">
        <v>500</v>
      </c>
      <c r="AM101" s="4">
        <f t="shared" ca="1" si="23"/>
        <v>-106.91335351864507</v>
      </c>
      <c r="AN101" s="4">
        <f t="shared" ca="1" si="24"/>
        <v>-28.02381008478017</v>
      </c>
      <c r="AO101" s="4">
        <f t="shared" ca="1" si="25"/>
        <v>-10.899913018983437</v>
      </c>
      <c r="AP101" s="4">
        <f t="shared" si="26"/>
        <v>0.77373717062000136</v>
      </c>
      <c r="AQ101" s="11">
        <f t="shared" si="27"/>
        <v>0.80392622071837594</v>
      </c>
      <c r="AR101" s="11">
        <f t="shared" si="28"/>
        <v>0.1941979428096868</v>
      </c>
      <c r="AS101" s="11">
        <f t="shared" si="29"/>
        <v>0.24156189685684656</v>
      </c>
      <c r="AT101" s="11">
        <f t="shared" si="30"/>
        <v>416.97241289999999</v>
      </c>
      <c r="AU101" s="11">
        <f t="shared" si="31"/>
        <v>410.96557053271539</v>
      </c>
      <c r="AV101" s="11">
        <f t="shared" si="32"/>
        <v>5.7416847263903859E-4</v>
      </c>
      <c r="AW101" s="11">
        <f t="shared" si="33"/>
        <v>3.1388144260453593E-7</v>
      </c>
      <c r="AX101" s="4">
        <f t="shared" ca="1" si="34"/>
        <v>-4.6780673730474378</v>
      </c>
      <c r="AY101" s="11">
        <f t="shared" ca="1" si="35"/>
        <v>635.06765165792842</v>
      </c>
      <c r="AZ101" s="11"/>
      <c r="BA101" s="11"/>
    </row>
    <row r="102" spans="1:53">
      <c r="A102" s="4">
        <f t="shared" ca="1" si="36"/>
        <v>5096.0933056719823</v>
      </c>
      <c r="B102" s="4">
        <f t="shared" ref="B102:C102" ca="1" si="125">A102/60</f>
        <v>84.934888427866369</v>
      </c>
      <c r="C102" s="4">
        <f t="shared" ca="1" si="125"/>
        <v>1.4155814737977728</v>
      </c>
      <c r="D102" s="41">
        <f t="shared" ca="1" si="112"/>
        <v>17226.348438746474</v>
      </c>
      <c r="E102" s="4">
        <f t="shared" ca="1" si="38"/>
        <v>505.07843949642444</v>
      </c>
      <c r="F102" s="4">
        <f t="shared" ca="1" si="39"/>
        <v>505.07843949642444</v>
      </c>
      <c r="G102" s="4"/>
      <c r="H102" s="5">
        <f t="shared" si="40"/>
        <v>39500</v>
      </c>
      <c r="I102" s="5">
        <v>15</v>
      </c>
      <c r="J102" s="4">
        <f t="shared" si="0"/>
        <v>0.36842015063457711</v>
      </c>
      <c r="K102" s="4">
        <v>622.79209247639369</v>
      </c>
      <c r="L102" s="6">
        <f t="shared" si="41"/>
        <v>107.56499999999996</v>
      </c>
      <c r="M102" s="4">
        <f t="shared" si="1"/>
        <v>368.99435011878364</v>
      </c>
      <c r="N102" s="4">
        <f t="shared" si="2"/>
        <v>108.70740189238366</v>
      </c>
      <c r="O102" s="4">
        <f t="shared" si="3"/>
        <v>1112193.575761863</v>
      </c>
      <c r="P102" s="4">
        <f t="shared" si="4"/>
        <v>7141064.2772071175</v>
      </c>
      <c r="Q102" s="4">
        <f t="shared" si="5"/>
        <v>3.1322040325073453E-3</v>
      </c>
      <c r="R102" s="4">
        <f t="shared" si="6"/>
        <v>2.4122105618457346E-2</v>
      </c>
      <c r="S102" s="24">
        <f t="shared" ca="1" si="109"/>
        <v>-0.53892191575387127</v>
      </c>
      <c r="T102" s="4">
        <f t="shared" ca="1" si="7"/>
        <v>0.68894898314324449</v>
      </c>
      <c r="U102" s="4">
        <f t="shared" ca="1" si="8"/>
        <v>5.4099488700094164E-2</v>
      </c>
      <c r="V102" s="4">
        <f t="shared" ca="1" si="9"/>
        <v>12.734852023509887</v>
      </c>
      <c r="W102" s="20">
        <f t="shared" ca="1" si="10"/>
        <v>1352.633417867529</v>
      </c>
      <c r="X102" s="4">
        <f t="shared" si="11"/>
        <v>0.61801328642053954</v>
      </c>
      <c r="Y102" s="4">
        <f t="shared" ca="1" si="12"/>
        <v>356.71960144327477</v>
      </c>
      <c r="Z102" s="14">
        <f t="shared" ca="1" si="13"/>
        <v>1352.6932552451185</v>
      </c>
      <c r="AA102" s="14">
        <f t="shared" si="14"/>
        <v>1190.605430976394</v>
      </c>
      <c r="AB102" s="25">
        <f t="shared" ca="1" si="15"/>
        <v>842446.66291281185</v>
      </c>
      <c r="AC102" s="4">
        <f t="shared" si="16"/>
        <v>741499.6476715469</v>
      </c>
      <c r="AD102" s="5">
        <v>100</v>
      </c>
      <c r="AE102" s="4">
        <f t="shared" si="17"/>
        <v>1190.605430976394</v>
      </c>
      <c r="AF102" s="4">
        <f t="shared" ca="1" si="18"/>
        <v>-162.08782426872449</v>
      </c>
      <c r="AG102" s="4">
        <f t="shared" ca="1" si="19"/>
        <v>-100947.01524126495</v>
      </c>
      <c r="AH102" s="4">
        <f t="shared" si="20"/>
        <v>924.47707736989526</v>
      </c>
      <c r="AI102" s="13">
        <f t="shared" ca="1" si="21"/>
        <v>-5.8578722794609082</v>
      </c>
      <c r="AJ102" s="10">
        <f t="shared" ca="1" si="22"/>
        <v>-0.53892191575387127</v>
      </c>
      <c r="AK102" s="11">
        <f t="shared" ca="1" si="110"/>
        <v>-351.4723367676545</v>
      </c>
      <c r="AL102" s="6">
        <v>500</v>
      </c>
      <c r="AM102" s="4">
        <f t="shared" ca="1" si="23"/>
        <v>-85.355223901538238</v>
      </c>
      <c r="AN102" s="4">
        <f t="shared" ca="1" si="24"/>
        <v>-21.919152202985305</v>
      </c>
      <c r="AO102" s="4">
        <f t="shared" ca="1" si="25"/>
        <v>-8.7483894839015708</v>
      </c>
      <c r="AP102" s="4">
        <f t="shared" si="26"/>
        <v>0.77647644913877834</v>
      </c>
      <c r="AQ102" s="11">
        <f t="shared" si="27"/>
        <v>0.80392622071837594</v>
      </c>
      <c r="AR102" s="11">
        <f t="shared" si="28"/>
        <v>0.18958685206630477</v>
      </c>
      <c r="AS102" s="11">
        <f t="shared" si="29"/>
        <v>0.23582618302571709</v>
      </c>
      <c r="AT102" s="11">
        <f t="shared" si="30"/>
        <v>416.97241289999999</v>
      </c>
      <c r="AU102" s="11">
        <f t="shared" si="31"/>
        <v>401.20748807975542</v>
      </c>
      <c r="AV102" s="11">
        <f t="shared" si="32"/>
        <v>5.605352544338269E-4</v>
      </c>
      <c r="AW102" s="11">
        <f t="shared" si="33"/>
        <v>3.1388144260453593E-7</v>
      </c>
      <c r="AX102" s="4">
        <f t="shared" ca="1" si="34"/>
        <v>-5.86003560767465</v>
      </c>
      <c r="AY102" s="11">
        <f t="shared" ca="1" si="35"/>
        <v>638.74235523644586</v>
      </c>
      <c r="AZ102" s="11"/>
      <c r="BA102" s="11"/>
    </row>
    <row r="103" spans="1:53">
      <c r="A103" s="4">
        <f t="shared" ca="1" si="36"/>
        <v>5010.7380817704443</v>
      </c>
      <c r="B103" s="4">
        <f t="shared" ref="B103:C103" ca="1" si="126">A103/60</f>
        <v>83.512301362840745</v>
      </c>
      <c r="C103" s="4">
        <f t="shared" ca="1" si="126"/>
        <v>1.3918716893806791</v>
      </c>
      <c r="D103" s="41">
        <f t="shared" ca="1" si="112"/>
        <v>17226.348438746474</v>
      </c>
      <c r="E103" s="4">
        <f t="shared" ca="1" si="38"/>
        <v>496.33005001252286</v>
      </c>
      <c r="F103" s="4">
        <f t="shared" ca="1" si="39"/>
        <v>496.33005001252286</v>
      </c>
      <c r="G103" s="4"/>
      <c r="H103" s="5">
        <f t="shared" si="40"/>
        <v>40000</v>
      </c>
      <c r="I103" s="5">
        <v>15</v>
      </c>
      <c r="J103" s="4">
        <f t="shared" si="0"/>
        <v>0.37688807620253817</v>
      </c>
      <c r="K103" s="4">
        <v>626.19882144277608</v>
      </c>
      <c r="L103" s="6">
        <f t="shared" si="41"/>
        <v>108.79999999999995</v>
      </c>
      <c r="M103" s="4">
        <f t="shared" si="1"/>
        <v>371.01278252370173</v>
      </c>
      <c r="N103" s="4">
        <f t="shared" si="2"/>
        <v>107.29043820543362</v>
      </c>
      <c r="O103" s="4">
        <f t="shared" si="3"/>
        <v>1091724.6815274553</v>
      </c>
      <c r="P103" s="4">
        <f t="shared" si="4"/>
        <v>7009639.5930543318</v>
      </c>
      <c r="Q103" s="4">
        <f t="shared" si="5"/>
        <v>3.1399169899852257E-3</v>
      </c>
      <c r="R103" s="4">
        <f t="shared" si="6"/>
        <v>2.4169193223859804E-2</v>
      </c>
      <c r="S103" s="24">
        <f t="shared" ca="1" si="109"/>
        <v>-0.64350101457680153</v>
      </c>
      <c r="T103" s="4">
        <f t="shared" ca="1" si="7"/>
        <v>0.69803464930183734</v>
      </c>
      <c r="U103" s="4">
        <f t="shared" ca="1" si="8"/>
        <v>5.4942456508588922E-2</v>
      </c>
      <c r="V103" s="4">
        <f t="shared" ca="1" si="9"/>
        <v>12.704831448384848</v>
      </c>
      <c r="W103" s="20">
        <f t="shared" ca="1" si="10"/>
        <v>1355.8040540245813</v>
      </c>
      <c r="X103" s="4">
        <f t="shared" si="11"/>
        <v>0.61861618938673246</v>
      </c>
      <c r="Y103" s="4">
        <f t="shared" ca="1" si="12"/>
        <v>361.0281691368927</v>
      </c>
      <c r="Z103" s="14">
        <f t="shared" ca="1" si="13"/>
        <v>1355.8895691557123</v>
      </c>
      <c r="AA103" s="14">
        <f t="shared" si="14"/>
        <v>1162.3353597162891</v>
      </c>
      <c r="AB103" s="25">
        <f t="shared" ca="1" si="15"/>
        <v>849056.45021186047</v>
      </c>
      <c r="AC103" s="4">
        <f t="shared" si="16"/>
        <v>727853.03237560543</v>
      </c>
      <c r="AD103" s="5">
        <v>100</v>
      </c>
      <c r="AE103" s="4">
        <f t="shared" si="17"/>
        <v>1162.3353597162891</v>
      </c>
      <c r="AF103" s="4">
        <f t="shared" ca="1" si="18"/>
        <v>-193.55420943942318</v>
      </c>
      <c r="AG103" s="4">
        <f t="shared" ca="1" si="19"/>
        <v>-121203.41783625504</v>
      </c>
      <c r="AH103" s="4">
        <f t="shared" si="20"/>
        <v>905.75220210192447</v>
      </c>
      <c r="AI103" s="13">
        <f t="shared" ca="1" si="21"/>
        <v>-7.032823514090091</v>
      </c>
      <c r="AJ103" s="10">
        <f t="shared" ca="1" si="22"/>
        <v>-0.64350101457680153</v>
      </c>
      <c r="AK103" s="11">
        <f t="shared" ca="1" si="110"/>
        <v>-421.96941084540543</v>
      </c>
      <c r="AL103" s="6">
        <v>500</v>
      </c>
      <c r="AM103" s="4">
        <f t="shared" ca="1" si="23"/>
        <v>-71.095200810636314</v>
      </c>
      <c r="AN103" s="4">
        <f t="shared" ca="1" si="24"/>
        <v>-17.887398525864548</v>
      </c>
      <c r="AO103" s="4">
        <f t="shared" ca="1" si="25"/>
        <v>-7.3265457447438775</v>
      </c>
      <c r="AP103" s="4">
        <f t="shared" si="26"/>
        <v>0.77925204161646322</v>
      </c>
      <c r="AQ103" s="11">
        <f t="shared" si="27"/>
        <v>0.80392622071837594</v>
      </c>
      <c r="AR103" s="11">
        <f t="shared" si="28"/>
        <v>0.18508524836246643</v>
      </c>
      <c r="AS103" s="11">
        <f t="shared" si="29"/>
        <v>0.23022665960201813</v>
      </c>
      <c r="AT103" s="11">
        <f t="shared" si="30"/>
        <v>416.97241289999999</v>
      </c>
      <c r="AU103" s="11">
        <f t="shared" si="31"/>
        <v>391.68110428961864</v>
      </c>
      <c r="AV103" s="11">
        <f t="shared" si="32"/>
        <v>5.4722574720803691E-4</v>
      </c>
      <c r="AW103" s="11">
        <f t="shared" si="33"/>
        <v>3.1388144260453593E-7</v>
      </c>
      <c r="AX103" s="4">
        <f t="shared" ca="1" si="34"/>
        <v>-7.0359320936314909</v>
      </c>
      <c r="AY103" s="11">
        <f t="shared" ca="1" si="35"/>
        <v>642.51777825710326</v>
      </c>
      <c r="AZ103" s="11"/>
      <c r="BA103" s="11"/>
    </row>
    <row r="104" spans="1:53">
      <c r="A104" s="4">
        <f t="shared" ca="1" si="36"/>
        <v>4939.6428809598083</v>
      </c>
      <c r="B104" s="4">
        <f t="shared" ref="B104:C104" ca="1" si="127">A104/60</f>
        <v>82.327381349330139</v>
      </c>
      <c r="C104" s="4">
        <f t="shared" ca="1" si="127"/>
        <v>1.3721230224888357</v>
      </c>
      <c r="D104" s="41">
        <f t="shared" ca="1" si="112"/>
        <v>17226.348438746474</v>
      </c>
      <c r="E104" s="4">
        <f t="shared" ca="1" si="38"/>
        <v>489.00350426777896</v>
      </c>
      <c r="F104" s="4">
        <f t="shared" ca="1" si="39"/>
        <v>489.00350426777896</v>
      </c>
      <c r="G104" s="4"/>
      <c r="H104" s="5">
        <f t="shared" si="40"/>
        <v>40500</v>
      </c>
      <c r="I104" s="5">
        <v>15</v>
      </c>
      <c r="J104" s="4">
        <f t="shared" si="0"/>
        <v>0.3854896042171948</v>
      </c>
      <c r="K104" s="4">
        <v>629.70395303217879</v>
      </c>
      <c r="L104" s="6">
        <f t="shared" si="41"/>
        <v>110.03499999999995</v>
      </c>
      <c r="M104" s="4">
        <f t="shared" si="1"/>
        <v>373.08951690831742</v>
      </c>
      <c r="N104" s="4">
        <f t="shared" si="2"/>
        <v>105.91877689569047</v>
      </c>
      <c r="O104" s="4">
        <f t="shared" si="3"/>
        <v>1071768.2641983638</v>
      </c>
      <c r="P104" s="4">
        <f t="shared" si="4"/>
        <v>6881505.3707430838</v>
      </c>
      <c r="Q104" s="4">
        <f t="shared" si="5"/>
        <v>3.1475254259486067E-3</v>
      </c>
      <c r="R104" s="4">
        <f t="shared" si="6"/>
        <v>2.4215642725416243E-2</v>
      </c>
      <c r="S104" s="24">
        <f t="shared" ca="1" si="109"/>
        <v>-0.74630397778488522</v>
      </c>
      <c r="T104" s="4">
        <f t="shared" ca="1" si="7"/>
        <v>0.70705889723985393</v>
      </c>
      <c r="U104" s="4">
        <f t="shared" ca="1" si="8"/>
        <v>5.5789727739800003E-2</v>
      </c>
      <c r="V104" s="4">
        <f t="shared" ca="1" si="9"/>
        <v>12.673639501119899</v>
      </c>
      <c r="W104" s="20">
        <f t="shared" ca="1" si="10"/>
        <v>1359.1113368749338</v>
      </c>
      <c r="X104" s="4">
        <f t="shared" si="11"/>
        <v>0.61921034701637445</v>
      </c>
      <c r="Y104" s="4">
        <f t="shared" ca="1" si="12"/>
        <v>365.38824215070133</v>
      </c>
      <c r="Z104" s="14">
        <f t="shared" ca="1" si="13"/>
        <v>1359.2266402420771</v>
      </c>
      <c r="AA104" s="14">
        <f t="shared" si="14"/>
        <v>1134.736541004055</v>
      </c>
      <c r="AB104" s="25">
        <f t="shared" ca="1" si="15"/>
        <v>855910.38842708315</v>
      </c>
      <c r="AC104" s="4">
        <f t="shared" si="16"/>
        <v>714548.0855203144</v>
      </c>
      <c r="AD104" s="5">
        <v>100</v>
      </c>
      <c r="AE104" s="4">
        <f t="shared" si="17"/>
        <v>1134.736541004055</v>
      </c>
      <c r="AF104" s="4">
        <f t="shared" ca="1" si="18"/>
        <v>-224.49009923802214</v>
      </c>
      <c r="AG104" s="4">
        <f t="shared" ca="1" si="19"/>
        <v>-141362.30290676875</v>
      </c>
      <c r="AH104" s="4">
        <f t="shared" si="20"/>
        <v>887.44577132882455</v>
      </c>
      <c r="AI104" s="13">
        <f t="shared" ca="1" si="21"/>
        <v>-8.2019527483191901</v>
      </c>
      <c r="AJ104" s="10">
        <f t="shared" ca="1" si="22"/>
        <v>-0.74630397778488522</v>
      </c>
      <c r="AK104" s="11">
        <f t="shared" ca="1" si="110"/>
        <v>-492.11716489915142</v>
      </c>
      <c r="AL104" s="6">
        <v>500</v>
      </c>
      <c r="AM104" s="4">
        <f t="shared" ca="1" si="23"/>
        <v>-60.961092479161628</v>
      </c>
      <c r="AN104" s="4">
        <f t="shared" ca="1" si="24"/>
        <v>-15.0276843711715</v>
      </c>
      <c r="AO104" s="4">
        <f t="shared" ca="1" si="25"/>
        <v>-6.317226436547922</v>
      </c>
      <c r="AP104" s="4">
        <f t="shared" si="26"/>
        <v>0.78207208392494454</v>
      </c>
      <c r="AQ104" s="11">
        <f t="shared" si="27"/>
        <v>0.80392622071837594</v>
      </c>
      <c r="AR104" s="11">
        <f t="shared" si="28"/>
        <v>0.18069053200701513</v>
      </c>
      <c r="AS104" s="11">
        <f t="shared" si="29"/>
        <v>0.22476009284229204</v>
      </c>
      <c r="AT104" s="11">
        <f t="shared" si="30"/>
        <v>416.97241289999999</v>
      </c>
      <c r="AU104" s="11">
        <f t="shared" si="31"/>
        <v>382.38091764388554</v>
      </c>
      <c r="AV104" s="11">
        <f t="shared" si="32"/>
        <v>5.3423226467684396E-4</v>
      </c>
      <c r="AW104" s="11">
        <f t="shared" si="33"/>
        <v>3.1388144260453593E-7</v>
      </c>
      <c r="AX104" s="4">
        <f t="shared" ca="1" si="34"/>
        <v>-8.2061676280045912</v>
      </c>
      <c r="AY104" s="11">
        <f t="shared" ca="1" si="35"/>
        <v>646.3947290159748</v>
      </c>
      <c r="AZ104" s="11"/>
      <c r="BA104" s="11"/>
    </row>
    <row r="105" spans="1:53">
      <c r="A105" s="4">
        <f t="shared" ca="1" si="36"/>
        <v>4878.6817884806469</v>
      </c>
      <c r="B105" s="4">
        <f t="shared" ref="B105:C105" ca="1" si="128">A105/60</f>
        <v>81.311363141344117</v>
      </c>
      <c r="C105" s="4">
        <f t="shared" ca="1" si="128"/>
        <v>1.3551893856890687</v>
      </c>
      <c r="D105" s="41">
        <f t="shared" ca="1" si="112"/>
        <v>17226.348438746474</v>
      </c>
      <c r="E105" s="4">
        <f t="shared" ca="1" si="38"/>
        <v>482.68627783123105</v>
      </c>
      <c r="F105" s="4">
        <f t="shared" ca="1" si="39"/>
        <v>482.68627783123105</v>
      </c>
      <c r="G105" s="4"/>
      <c r="H105" s="5">
        <f t="shared" si="40"/>
        <v>41000</v>
      </c>
      <c r="I105" s="5">
        <v>15</v>
      </c>
      <c r="J105" s="4">
        <f t="shared" si="0"/>
        <v>0.3942257979428484</v>
      </c>
      <c r="K105" s="4">
        <v>633.30832994811965</v>
      </c>
      <c r="L105" s="6">
        <f t="shared" si="41"/>
        <v>111.26999999999995</v>
      </c>
      <c r="M105" s="4">
        <f t="shared" si="1"/>
        <v>375.22505256098174</v>
      </c>
      <c r="N105" s="4">
        <f t="shared" si="2"/>
        <v>104.59095032639634</v>
      </c>
      <c r="O105" s="4">
        <f t="shared" si="3"/>
        <v>1052308.9506329712</v>
      </c>
      <c r="P105" s="4">
        <f t="shared" si="4"/>
        <v>6756562.9039017269</v>
      </c>
      <c r="Q105" s="4">
        <f t="shared" si="5"/>
        <v>3.1550267355520672E-3</v>
      </c>
      <c r="R105" s="4">
        <f t="shared" si="6"/>
        <v>2.426143822054537E-2</v>
      </c>
      <c r="S105" s="24">
        <f t="shared" ca="1" si="109"/>
        <v>-0.84734811268940879</v>
      </c>
      <c r="T105" s="4">
        <f t="shared" ca="1" si="7"/>
        <v>0.71601774795534179</v>
      </c>
      <c r="U105" s="4">
        <f t="shared" ca="1" si="8"/>
        <v>5.6640716589671E-2</v>
      </c>
      <c r="V105" s="4">
        <f t="shared" ca="1" si="9"/>
        <v>12.641396349952162</v>
      </c>
      <c r="W105" s="20">
        <f t="shared" ca="1" si="10"/>
        <v>1362.5444663148078</v>
      </c>
      <c r="X105" s="4">
        <f t="shared" si="11"/>
        <v>0.61979558133235124</v>
      </c>
      <c r="Y105" s="4">
        <f t="shared" ca="1" si="12"/>
        <v>369.80045966883006</v>
      </c>
      <c r="Z105" s="14">
        <f t="shared" ca="1" si="13"/>
        <v>1362.6934843168383</v>
      </c>
      <c r="AA105" s="14">
        <f t="shared" si="14"/>
        <v>1107.7930364298131</v>
      </c>
      <c r="AB105" s="25">
        <f t="shared" ca="1" si="15"/>
        <v>863005.13478388102</v>
      </c>
      <c r="AC105" s="4">
        <f t="shared" si="16"/>
        <v>701574.55782952148</v>
      </c>
      <c r="AD105" s="5">
        <v>100</v>
      </c>
      <c r="AE105" s="4">
        <f t="shared" si="17"/>
        <v>1107.7930364298131</v>
      </c>
      <c r="AF105" s="4">
        <f t="shared" ca="1" si="18"/>
        <v>-254.90044788702517</v>
      </c>
      <c r="AG105" s="4">
        <f t="shared" ca="1" si="19"/>
        <v>-161430.57695435954</v>
      </c>
      <c r="AH105" s="4">
        <f t="shared" si="20"/>
        <v>869.55722859436764</v>
      </c>
      <c r="AI105" s="13">
        <f t="shared" ca="1" si="21"/>
        <v>-9.3656646494781786</v>
      </c>
      <c r="AJ105" s="10">
        <f t="shared" ca="1" si="22"/>
        <v>-0.84734811268940879</v>
      </c>
      <c r="AK105" s="11">
        <f t="shared" ca="1" si="110"/>
        <v>-561.93987896869066</v>
      </c>
      <c r="AL105" s="6">
        <v>500</v>
      </c>
      <c r="AM105" s="4">
        <f t="shared" ca="1" si="23"/>
        <v>-53.386494041067145</v>
      </c>
      <c r="AN105" s="4">
        <f t="shared" ca="1" si="24"/>
        <v>-12.895169945200021</v>
      </c>
      <c r="AO105" s="4">
        <f t="shared" ca="1" si="25"/>
        <v>-5.5638220636294413</v>
      </c>
      <c r="AP105" s="4">
        <f t="shared" si="26"/>
        <v>0.78494556293364148</v>
      </c>
      <c r="AQ105" s="11">
        <f t="shared" si="27"/>
        <v>0.80392622071837594</v>
      </c>
      <c r="AR105" s="11">
        <f t="shared" si="28"/>
        <v>0.17640016503659445</v>
      </c>
      <c r="AS105" s="11">
        <f t="shared" si="29"/>
        <v>0.21942332578599813</v>
      </c>
      <c r="AT105" s="11">
        <f t="shared" si="30"/>
        <v>416.97241289999999</v>
      </c>
      <c r="AU105" s="11">
        <f t="shared" si="31"/>
        <v>373.30155725374186</v>
      </c>
      <c r="AV105" s="11">
        <f t="shared" si="32"/>
        <v>5.2154730306073897E-4</v>
      </c>
      <c r="AW105" s="11">
        <f t="shared" si="33"/>
        <v>3.1388144260453593E-7</v>
      </c>
      <c r="AX105" s="4">
        <f t="shared" ca="1" si="34"/>
        <v>-9.3711431374080867</v>
      </c>
      <c r="AY105" s="11">
        <f t="shared" ca="1" si="35"/>
        <v>650.37400844250192</v>
      </c>
      <c r="AZ105" s="11"/>
      <c r="BA105" s="11"/>
    </row>
    <row r="106" spans="1:53">
      <c r="A106" s="4">
        <f t="shared" ca="1" si="36"/>
        <v>4825.2952944395802</v>
      </c>
      <c r="B106" s="4">
        <f t="shared" ref="B106:C106" ca="1" si="129">A106/60</f>
        <v>80.421588240659673</v>
      </c>
      <c r="C106" s="4">
        <f t="shared" ca="1" si="129"/>
        <v>1.3403598040109945</v>
      </c>
      <c r="D106" s="41">
        <f t="shared" ca="1" si="112"/>
        <v>17226.348438746474</v>
      </c>
      <c r="E106" s="4">
        <f t="shared" ca="1" si="38"/>
        <v>477.12245576760159</v>
      </c>
      <c r="F106" s="4">
        <f t="shared" ca="1" si="39"/>
        <v>477.12245576760159</v>
      </c>
      <c r="G106" s="4"/>
      <c r="H106" s="5">
        <f t="shared" si="40"/>
        <v>41500</v>
      </c>
      <c r="I106" s="5">
        <v>15</v>
      </c>
      <c r="J106" s="4">
        <f t="shared" si="0"/>
        <v>0.40309768709487215</v>
      </c>
      <c r="K106" s="4">
        <v>637.01278378579877</v>
      </c>
      <c r="L106" s="6">
        <f t="shared" si="41"/>
        <v>112.50499999999995</v>
      </c>
      <c r="M106" s="4">
        <f t="shared" si="1"/>
        <v>377.41988218854522</v>
      </c>
      <c r="N106" s="4">
        <f t="shared" si="2"/>
        <v>103.30553587072568</v>
      </c>
      <c r="O106" s="4">
        <f t="shared" si="3"/>
        <v>1033331.8187189078</v>
      </c>
      <c r="P106" s="4">
        <f t="shared" si="4"/>
        <v>6634716.3820833145</v>
      </c>
      <c r="Q106" s="4">
        <f t="shared" si="5"/>
        <v>3.1624183166883658E-3</v>
      </c>
      <c r="R106" s="4">
        <f t="shared" si="6"/>
        <v>2.4306563823382477E-2</v>
      </c>
      <c r="S106" s="24">
        <f t="shared" ca="1" si="109"/>
        <v>-0.9466505595349507</v>
      </c>
      <c r="T106" s="4">
        <f t="shared" ca="1" si="7"/>
        <v>0.72490737243050751</v>
      </c>
      <c r="U106" s="4">
        <f t="shared" ca="1" si="8"/>
        <v>5.7494834550230196E-2</v>
      </c>
      <c r="V106" s="4">
        <f t="shared" ca="1" si="9"/>
        <v>12.608217383375445</v>
      </c>
      <c r="W106" s="20">
        <f t="shared" ca="1" si="10"/>
        <v>1366.092979392356</v>
      </c>
      <c r="X106" s="4">
        <f t="shared" si="11"/>
        <v>0.62037171486247744</v>
      </c>
      <c r="Y106" s="4">
        <f t="shared" ca="1" si="12"/>
        <v>374.26546852747691</v>
      </c>
      <c r="Z106" s="14">
        <f t="shared" ca="1" si="13"/>
        <v>1366.2794600496231</v>
      </c>
      <c r="AA106" s="14">
        <f t="shared" si="14"/>
        <v>1081.4892860297869</v>
      </c>
      <c r="AB106" s="25">
        <f t="shared" ca="1" si="15"/>
        <v>870337.48227556853</v>
      </c>
      <c r="AC106" s="4">
        <f t="shared" si="16"/>
        <v>688922.50072835048</v>
      </c>
      <c r="AD106" s="5">
        <v>100</v>
      </c>
      <c r="AE106" s="4">
        <f t="shared" si="17"/>
        <v>1081.4892860297869</v>
      </c>
      <c r="AF106" s="4">
        <f t="shared" ca="1" si="18"/>
        <v>-284.79017401983629</v>
      </c>
      <c r="AG106" s="4">
        <f t="shared" ca="1" si="19"/>
        <v>-181414.98154721805</v>
      </c>
      <c r="AH106" s="4">
        <f t="shared" si="20"/>
        <v>852.08617119473467</v>
      </c>
      <c r="AI106" s="13">
        <f t="shared" ca="1" si="21"/>
        <v>-10.524354109593443</v>
      </c>
      <c r="AJ106" s="10">
        <f t="shared" ca="1" si="22"/>
        <v>-0.9466505595349507</v>
      </c>
      <c r="AK106" s="11">
        <f t="shared" ca="1" si="110"/>
        <v>-631.46124657560654</v>
      </c>
      <c r="AL106" s="6">
        <v>500</v>
      </c>
      <c r="AM106" s="4">
        <f t="shared" ca="1" si="23"/>
        <v>-47.508853730437153</v>
      </c>
      <c r="AN106" s="4">
        <f t="shared" ca="1" si="24"/>
        <v>-11.244899242505245</v>
      </c>
      <c r="AO106" s="4">
        <f t="shared" ca="1" si="25"/>
        <v>-4.9800940672131286</v>
      </c>
      <c r="AP106" s="4">
        <f t="shared" si="26"/>
        <v>0.78788221224344712</v>
      </c>
      <c r="AQ106" s="11">
        <f t="shared" si="27"/>
        <v>0.80392622071837594</v>
      </c>
      <c r="AR106" s="11">
        <f t="shared" si="28"/>
        <v>0.17221166974996607</v>
      </c>
      <c r="AS106" s="11">
        <f t="shared" si="29"/>
        <v>0.21421327643235769</v>
      </c>
      <c r="AT106" s="11">
        <f t="shared" si="30"/>
        <v>416.97241289999999</v>
      </c>
      <c r="AU106" s="11">
        <f t="shared" si="31"/>
        <v>364.43777975827317</v>
      </c>
      <c r="AV106" s="11">
        <f t="shared" si="32"/>
        <v>5.0916353675207093E-4</v>
      </c>
      <c r="AW106" s="11">
        <f t="shared" si="33"/>
        <v>3.1388144260453593E-7</v>
      </c>
      <c r="AX106" s="4">
        <f t="shared" ca="1" si="34"/>
        <v>-10.531249973974127</v>
      </c>
      <c r="AY106" s="11">
        <f t="shared" ca="1" si="35"/>
        <v>654.45641173468903</v>
      </c>
      <c r="AZ106" s="11"/>
      <c r="BA106" s="11"/>
    </row>
    <row r="107" spans="1:53">
      <c r="A107" s="4">
        <f t="shared" ca="1" si="36"/>
        <v>4777.7864407091429</v>
      </c>
      <c r="B107" s="4">
        <f t="shared" ref="B107:C107" ca="1" si="130">A107/60</f>
        <v>79.629774011819052</v>
      </c>
      <c r="C107" s="4">
        <f t="shared" ca="1" si="130"/>
        <v>1.3271629001969842</v>
      </c>
      <c r="D107" s="41">
        <f t="shared" ca="1" si="112"/>
        <v>17226.348438746474</v>
      </c>
      <c r="E107" s="4">
        <f t="shared" ca="1" si="38"/>
        <v>472.14236170038845</v>
      </c>
      <c r="F107" s="4">
        <f t="shared" ca="1" si="39"/>
        <v>472.14236170038845</v>
      </c>
      <c r="G107" s="4"/>
      <c r="H107" s="5">
        <f t="shared" si="40"/>
        <v>42000</v>
      </c>
      <c r="I107" s="5">
        <v>15</v>
      </c>
      <c r="J107" s="4">
        <f t="shared" si="0"/>
        <v>0.41210626586199678</v>
      </c>
      <c r="K107" s="4">
        <v>640.81813662525178</v>
      </c>
      <c r="L107" s="6">
        <f t="shared" si="41"/>
        <v>113.73999999999995</v>
      </c>
      <c r="M107" s="4">
        <f t="shared" si="1"/>
        <v>379.67449286027568</v>
      </c>
      <c r="N107" s="4">
        <f t="shared" si="2"/>
        <v>102.06115502943288</v>
      </c>
      <c r="O107" s="4">
        <f t="shared" si="3"/>
        <v>1014822.388554367</v>
      </c>
      <c r="P107" s="4">
        <f t="shared" si="4"/>
        <v>6515872.8341434523</v>
      </c>
      <c r="Q107" s="4">
        <f t="shared" si="5"/>
        <v>3.1696975701926869E-3</v>
      </c>
      <c r="R107" s="4">
        <f t="shared" si="6"/>
        <v>2.4351003666026355E-2</v>
      </c>
      <c r="S107" s="24">
        <f t="shared" ca="1" si="109"/>
        <v>-1.0442283277799567</v>
      </c>
      <c r="T107" s="4">
        <f t="shared" ca="1" si="7"/>
        <v>0.73372409486834789</v>
      </c>
      <c r="U107" s="4">
        <f t="shared" ca="1" si="8"/>
        <v>5.8351491884628584E-2</v>
      </c>
      <c r="V107" s="4">
        <f t="shared" ca="1" si="9"/>
        <v>12.574213120703968</v>
      </c>
      <c r="W107" s="20">
        <f t="shared" ca="1" si="10"/>
        <v>1369.7467516702277</v>
      </c>
      <c r="X107" s="4">
        <f t="shared" si="11"/>
        <v>0.62093857062725755</v>
      </c>
      <c r="Y107" s="4">
        <f t="shared" ca="1" si="12"/>
        <v>378.78392330537685</v>
      </c>
      <c r="Z107" s="14">
        <f t="shared" ca="1" si="13"/>
        <v>1369.9742698318489</v>
      </c>
      <c r="AA107" s="14">
        <f t="shared" si="14"/>
        <v>1055.8100993003691</v>
      </c>
      <c r="AB107" s="25">
        <f t="shared" ca="1" si="15"/>
        <v>877904.35881818528</v>
      </c>
      <c r="AC107" s="4">
        <f t="shared" si="16"/>
        <v>676582.26046378457</v>
      </c>
      <c r="AD107" s="5">
        <v>100</v>
      </c>
      <c r="AE107" s="4">
        <f t="shared" si="17"/>
        <v>1055.8100993003691</v>
      </c>
      <c r="AF107" s="4">
        <f t="shared" ca="1" si="18"/>
        <v>-314.16417053147984</v>
      </c>
      <c r="AG107" s="4">
        <f t="shared" ca="1" si="19"/>
        <v>-201322.09835440072</v>
      </c>
      <c r="AH107" s="4">
        <f t="shared" si="20"/>
        <v>835.03213993826682</v>
      </c>
      <c r="AI107" s="13">
        <f t="shared" ca="1" si="21"/>
        <v>-11.678406558729835</v>
      </c>
      <c r="AJ107" s="10">
        <f t="shared" ca="1" si="22"/>
        <v>-1.0442283277799567</v>
      </c>
      <c r="AK107" s="11">
        <f ca="1">AI107*60</f>
        <v>-700.70439352379003</v>
      </c>
      <c r="AL107" s="6">
        <v>500</v>
      </c>
      <c r="AM107" s="4">
        <f t="shared" ca="1" si="23"/>
        <v>-42.814060076221644</v>
      </c>
      <c r="AN107" s="4">
        <f t="shared" ca="1" si="24"/>
        <v>-9.9308656124702424</v>
      </c>
      <c r="AO107" s="4">
        <f t="shared" ca="1" si="25"/>
        <v>-4.5146408149519628</v>
      </c>
      <c r="AP107" s="4">
        <f t="shared" si="26"/>
        <v>0.79089235885468379</v>
      </c>
      <c r="AQ107" s="11">
        <f t="shared" si="27"/>
        <v>0.80392622071837594</v>
      </c>
      <c r="AR107" s="11">
        <f t="shared" si="28"/>
        <v>0.16812262727712884</v>
      </c>
      <c r="AS107" s="11">
        <f t="shared" si="29"/>
        <v>0.20912693596048787</v>
      </c>
      <c r="AT107" s="11">
        <f t="shared" si="30"/>
        <v>416.97241289999999</v>
      </c>
      <c r="AU107" s="11">
        <f t="shared" si="31"/>
        <v>355.78446629640558</v>
      </c>
      <c r="AV107" s="11">
        <f t="shared" si="32"/>
        <v>4.9707381408448364E-4</v>
      </c>
      <c r="AW107" s="11">
        <f t="shared" si="33"/>
        <v>3.1388144260453593E-7</v>
      </c>
      <c r="AX107" s="4">
        <f t="shared" ca="1" si="34"/>
        <v>-11.686870207592905</v>
      </c>
      <c r="AY107" s="11">
        <f t="shared" ca="1" si="35"/>
        <v>658.64272998203637</v>
      </c>
      <c r="AZ107" s="11"/>
      <c r="BA107" s="11"/>
    </row>
    <row r="108" spans="1:53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5"/>
      <c r="M108" s="54"/>
      <c r="N108" s="54"/>
      <c r="O108" s="54"/>
      <c r="P108" s="54"/>
      <c r="Q108" s="54"/>
      <c r="R108" s="54"/>
      <c r="S108" s="56"/>
      <c r="T108" s="54"/>
      <c r="U108" s="54"/>
      <c r="V108" s="54"/>
      <c r="W108" s="54"/>
      <c r="X108" s="54"/>
      <c r="Y108" s="54"/>
      <c r="Z108" s="54"/>
      <c r="AA108" s="54"/>
      <c r="AB108" s="57"/>
      <c r="AC108" s="54"/>
      <c r="AD108" s="55"/>
      <c r="AE108" s="54"/>
      <c r="AF108" s="54"/>
      <c r="AG108" s="54"/>
      <c r="AH108" s="54"/>
      <c r="AI108" s="58"/>
      <c r="AJ108" s="54"/>
      <c r="AK108" s="54"/>
      <c r="AL108" s="55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</row>
    <row r="109" spans="1:53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5"/>
      <c r="M109" s="54"/>
      <c r="N109" s="54"/>
      <c r="O109" s="54"/>
      <c r="P109" s="54"/>
      <c r="Q109" s="54"/>
      <c r="R109" s="54"/>
      <c r="S109" s="56"/>
      <c r="T109" s="54"/>
      <c r="U109" s="54"/>
      <c r="V109" s="54"/>
      <c r="W109" s="54"/>
      <c r="X109" s="54"/>
      <c r="Y109" s="54"/>
      <c r="Z109" s="54"/>
      <c r="AA109" s="54"/>
      <c r="AB109" s="57"/>
      <c r="AC109" s="54"/>
      <c r="AD109" s="55"/>
      <c r="AE109" s="54"/>
      <c r="AF109" s="54"/>
      <c r="AG109" s="54"/>
      <c r="AH109" s="54"/>
      <c r="AI109" s="58"/>
      <c r="AJ109" s="54"/>
      <c r="AK109" s="54"/>
      <c r="AL109" s="55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</row>
    <row r="110" spans="1:53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5"/>
      <c r="M110" s="54"/>
      <c r="N110" s="54"/>
      <c r="O110" s="54"/>
      <c r="P110" s="54"/>
      <c r="Q110" s="54"/>
      <c r="R110" s="54"/>
      <c r="S110" s="56"/>
      <c r="T110" s="54"/>
      <c r="U110" s="54"/>
      <c r="V110" s="54"/>
      <c r="W110" s="54"/>
      <c r="X110" s="54"/>
      <c r="Y110" s="54"/>
      <c r="Z110" s="54"/>
      <c r="AA110" s="54"/>
      <c r="AB110" s="57"/>
      <c r="AC110" s="54"/>
      <c r="AD110" s="55"/>
      <c r="AE110" s="54"/>
      <c r="AF110" s="54"/>
      <c r="AG110" s="54"/>
      <c r="AH110" s="54"/>
      <c r="AI110" s="58"/>
      <c r="AJ110" s="54"/>
      <c r="AK110" s="54"/>
      <c r="AL110" s="55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</row>
    <row r="111" spans="1:53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5"/>
      <c r="M111" s="54"/>
      <c r="N111" s="54"/>
      <c r="O111" s="54"/>
      <c r="P111" s="54"/>
      <c r="Q111" s="54"/>
      <c r="R111" s="54"/>
      <c r="S111" s="56"/>
      <c r="T111" s="54"/>
      <c r="U111" s="54"/>
      <c r="V111" s="54"/>
      <c r="W111" s="54"/>
      <c r="X111" s="54"/>
      <c r="Y111" s="54"/>
      <c r="Z111" s="54"/>
      <c r="AA111" s="54"/>
      <c r="AB111" s="57"/>
      <c r="AC111" s="54"/>
      <c r="AD111" s="55"/>
      <c r="AE111" s="54"/>
      <c r="AF111" s="54"/>
      <c r="AG111" s="54"/>
      <c r="AH111" s="54"/>
      <c r="AI111" s="58"/>
      <c r="AJ111" s="54"/>
      <c r="AK111" s="54"/>
      <c r="AL111" s="55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</row>
    <row r="112" spans="1:53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5"/>
      <c r="M112" s="54"/>
      <c r="N112" s="54"/>
      <c r="O112" s="54"/>
      <c r="P112" s="54"/>
      <c r="Q112" s="54"/>
      <c r="R112" s="54"/>
      <c r="S112" s="56"/>
      <c r="T112" s="54"/>
      <c r="U112" s="54"/>
      <c r="V112" s="54"/>
      <c r="W112" s="54"/>
      <c r="X112" s="54"/>
      <c r="Y112" s="54"/>
      <c r="Z112" s="54"/>
      <c r="AA112" s="54"/>
      <c r="AB112" s="57"/>
      <c r="AC112" s="54"/>
      <c r="AD112" s="55"/>
      <c r="AE112" s="54"/>
      <c r="AF112" s="54"/>
      <c r="AG112" s="54"/>
      <c r="AH112" s="54"/>
      <c r="AI112" s="58"/>
      <c r="AJ112" s="54"/>
      <c r="AK112" s="54"/>
      <c r="AL112" s="55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</row>
    <row r="113" spans="1:5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5"/>
      <c r="M113" s="54"/>
      <c r="N113" s="54"/>
      <c r="O113" s="54"/>
      <c r="P113" s="54"/>
      <c r="Q113" s="54"/>
      <c r="R113" s="54"/>
      <c r="S113" s="56"/>
      <c r="T113" s="54"/>
      <c r="U113" s="54"/>
      <c r="V113" s="54"/>
      <c r="W113" s="54"/>
      <c r="X113" s="54"/>
      <c r="Y113" s="54"/>
      <c r="Z113" s="54"/>
      <c r="AA113" s="54"/>
      <c r="AB113" s="57"/>
      <c r="AC113" s="54"/>
      <c r="AD113" s="55"/>
      <c r="AE113" s="54"/>
      <c r="AF113" s="54"/>
      <c r="AG113" s="54"/>
      <c r="AH113" s="54"/>
      <c r="AI113" s="58"/>
      <c r="AJ113" s="54"/>
      <c r="AK113" s="54"/>
      <c r="AL113" s="55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</row>
    <row r="114" spans="1:53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5"/>
      <c r="M114" s="54"/>
      <c r="N114" s="54"/>
      <c r="O114" s="54"/>
      <c r="P114" s="54"/>
      <c r="Q114" s="54"/>
      <c r="R114" s="54"/>
      <c r="S114" s="56"/>
      <c r="T114" s="54"/>
      <c r="U114" s="54"/>
      <c r="V114" s="54"/>
      <c r="W114" s="54"/>
      <c r="X114" s="54"/>
      <c r="Y114" s="54"/>
      <c r="Z114" s="54"/>
      <c r="AA114" s="54"/>
      <c r="AB114" s="57"/>
      <c r="AC114" s="54"/>
      <c r="AD114" s="55"/>
      <c r="AE114" s="54"/>
      <c r="AF114" s="54"/>
      <c r="AG114" s="54"/>
      <c r="AH114" s="54"/>
      <c r="AI114" s="58"/>
      <c r="AJ114" s="54"/>
      <c r="AK114" s="54"/>
      <c r="AL114" s="55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</row>
    <row r="115" spans="1:53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5"/>
      <c r="M115" s="54"/>
      <c r="N115" s="54"/>
      <c r="O115" s="54"/>
      <c r="P115" s="54"/>
      <c r="Q115" s="54"/>
      <c r="R115" s="54"/>
      <c r="S115" s="56"/>
      <c r="T115" s="54"/>
      <c r="U115" s="54"/>
      <c r="V115" s="54"/>
      <c r="W115" s="54"/>
      <c r="X115" s="54"/>
      <c r="Y115" s="54"/>
      <c r="Z115" s="54"/>
      <c r="AA115" s="54"/>
      <c r="AB115" s="57"/>
      <c r="AC115" s="54"/>
      <c r="AD115" s="55"/>
      <c r="AE115" s="54"/>
      <c r="AF115" s="54"/>
      <c r="AG115" s="54"/>
      <c r="AH115" s="54"/>
      <c r="AI115" s="58"/>
      <c r="AJ115" s="54"/>
      <c r="AK115" s="54"/>
      <c r="AL115" s="55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</row>
    <row r="116" spans="1:53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5"/>
      <c r="M116" s="54"/>
      <c r="N116" s="54"/>
      <c r="O116" s="54"/>
      <c r="P116" s="54"/>
      <c r="Q116" s="54"/>
      <c r="R116" s="54"/>
      <c r="S116" s="56"/>
      <c r="T116" s="54"/>
      <c r="U116" s="54"/>
      <c r="V116" s="54"/>
      <c r="W116" s="54"/>
      <c r="X116" s="54"/>
      <c r="Y116" s="54"/>
      <c r="Z116" s="54"/>
      <c r="AA116" s="54"/>
      <c r="AB116" s="57"/>
      <c r="AC116" s="54"/>
      <c r="AD116" s="55"/>
      <c r="AE116" s="54"/>
      <c r="AF116" s="54"/>
      <c r="AG116" s="54"/>
      <c r="AH116" s="54"/>
      <c r="AI116" s="58"/>
      <c r="AJ116" s="54"/>
      <c r="AK116" s="54"/>
      <c r="AL116" s="55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</row>
    <row r="117" spans="1:53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5"/>
      <c r="M117" s="54"/>
      <c r="N117" s="54"/>
      <c r="O117" s="54"/>
      <c r="P117" s="54"/>
      <c r="Q117" s="54"/>
      <c r="R117" s="54"/>
      <c r="S117" s="56"/>
      <c r="T117" s="54"/>
      <c r="U117" s="54"/>
      <c r="V117" s="54"/>
      <c r="W117" s="54"/>
      <c r="X117" s="54"/>
      <c r="Y117" s="54"/>
      <c r="Z117" s="54"/>
      <c r="AA117" s="54"/>
      <c r="AB117" s="57"/>
      <c r="AC117" s="54"/>
      <c r="AD117" s="55"/>
      <c r="AE117" s="54"/>
      <c r="AF117" s="54"/>
      <c r="AG117" s="54"/>
      <c r="AH117" s="54"/>
      <c r="AI117" s="58"/>
      <c r="AJ117" s="54"/>
      <c r="AK117" s="54"/>
      <c r="AL117" s="55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</row>
    <row r="118" spans="1:53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5"/>
      <c r="M118" s="54"/>
      <c r="N118" s="54"/>
      <c r="O118" s="54"/>
      <c r="P118" s="54"/>
      <c r="Q118" s="54"/>
      <c r="R118" s="54"/>
      <c r="S118" s="56"/>
      <c r="T118" s="54"/>
      <c r="U118" s="54"/>
      <c r="V118" s="54"/>
      <c r="W118" s="54"/>
      <c r="X118" s="54"/>
      <c r="Y118" s="54"/>
      <c r="Z118" s="54"/>
      <c r="AA118" s="54"/>
      <c r="AB118" s="57"/>
      <c r="AC118" s="54"/>
      <c r="AD118" s="55"/>
      <c r="AE118" s="54"/>
      <c r="AF118" s="54"/>
      <c r="AG118" s="54"/>
      <c r="AH118" s="54"/>
      <c r="AI118" s="58"/>
      <c r="AJ118" s="54"/>
      <c r="AK118" s="54"/>
      <c r="AL118" s="55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</row>
    <row r="119" spans="1:53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5"/>
      <c r="M119" s="54"/>
      <c r="N119" s="54"/>
      <c r="O119" s="54"/>
      <c r="P119" s="54"/>
      <c r="Q119" s="54"/>
      <c r="R119" s="54"/>
      <c r="S119" s="56"/>
      <c r="T119" s="54"/>
      <c r="U119" s="54"/>
      <c r="V119" s="54"/>
      <c r="W119" s="54"/>
      <c r="X119" s="54"/>
      <c r="Y119" s="54"/>
      <c r="Z119" s="54"/>
      <c r="AA119" s="54"/>
      <c r="AB119" s="57"/>
      <c r="AC119" s="54"/>
      <c r="AD119" s="55"/>
      <c r="AE119" s="54"/>
      <c r="AF119" s="54"/>
      <c r="AG119" s="54"/>
      <c r="AH119" s="54"/>
      <c r="AI119" s="58"/>
      <c r="AJ119" s="54"/>
      <c r="AK119" s="54"/>
      <c r="AL119" s="55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</row>
    <row r="120" spans="1:53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5"/>
      <c r="M120" s="54"/>
      <c r="N120" s="54"/>
      <c r="O120" s="54"/>
      <c r="P120" s="54"/>
      <c r="Q120" s="54"/>
      <c r="R120" s="54"/>
      <c r="S120" s="56"/>
      <c r="T120" s="54"/>
      <c r="U120" s="54"/>
      <c r="V120" s="54"/>
      <c r="W120" s="54"/>
      <c r="X120" s="54"/>
      <c r="Y120" s="54"/>
      <c r="Z120" s="54"/>
      <c r="AA120" s="54"/>
      <c r="AB120" s="57"/>
      <c r="AC120" s="54"/>
      <c r="AD120" s="55"/>
      <c r="AE120" s="54"/>
      <c r="AF120" s="54"/>
      <c r="AG120" s="54"/>
      <c r="AH120" s="54"/>
      <c r="AI120" s="58"/>
      <c r="AJ120" s="54"/>
      <c r="AK120" s="54"/>
      <c r="AL120" s="55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</row>
    <row r="121" spans="1:53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5"/>
      <c r="M121" s="54"/>
      <c r="N121" s="54"/>
      <c r="O121" s="54"/>
      <c r="P121" s="54"/>
      <c r="Q121" s="54"/>
      <c r="R121" s="54"/>
      <c r="S121" s="56"/>
      <c r="T121" s="54"/>
      <c r="U121" s="54"/>
      <c r="V121" s="54"/>
      <c r="W121" s="54"/>
      <c r="X121" s="54"/>
      <c r="Y121" s="54"/>
      <c r="Z121" s="54"/>
      <c r="AA121" s="54"/>
      <c r="AB121" s="57"/>
      <c r="AC121" s="54"/>
      <c r="AD121" s="55"/>
      <c r="AE121" s="54"/>
      <c r="AF121" s="54"/>
      <c r="AG121" s="54"/>
      <c r="AH121" s="54"/>
      <c r="AI121" s="58"/>
      <c r="AJ121" s="54"/>
      <c r="AK121" s="54"/>
      <c r="AL121" s="55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</row>
    <row r="122" spans="1:53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5"/>
      <c r="M122" s="54"/>
      <c r="N122" s="54"/>
      <c r="O122" s="54"/>
      <c r="P122" s="54"/>
      <c r="Q122" s="54"/>
      <c r="R122" s="54"/>
      <c r="S122" s="56"/>
      <c r="T122" s="54"/>
      <c r="U122" s="54"/>
      <c r="V122" s="54"/>
      <c r="W122" s="54"/>
      <c r="X122" s="54"/>
      <c r="Y122" s="54"/>
      <c r="Z122" s="54"/>
      <c r="AA122" s="54"/>
      <c r="AB122" s="57"/>
      <c r="AC122" s="54"/>
      <c r="AD122" s="55"/>
      <c r="AE122" s="54"/>
      <c r="AF122" s="54"/>
      <c r="AG122" s="54"/>
      <c r="AH122" s="54"/>
      <c r="AI122" s="58"/>
      <c r="AJ122" s="54"/>
      <c r="AK122" s="54"/>
      <c r="AL122" s="55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</row>
    <row r="123" spans="1:53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5"/>
      <c r="M123" s="54"/>
      <c r="N123" s="54"/>
      <c r="O123" s="54"/>
      <c r="P123" s="54"/>
      <c r="Q123" s="54"/>
      <c r="R123" s="54"/>
      <c r="S123" s="56"/>
      <c r="T123" s="54"/>
      <c r="U123" s="54"/>
      <c r="V123" s="54"/>
      <c r="W123" s="54"/>
      <c r="X123" s="54"/>
      <c r="Y123" s="54"/>
      <c r="Z123" s="54"/>
      <c r="AA123" s="54"/>
      <c r="AB123" s="57"/>
      <c r="AC123" s="54"/>
      <c r="AD123" s="55"/>
      <c r="AE123" s="54"/>
      <c r="AF123" s="54"/>
      <c r="AG123" s="54"/>
      <c r="AH123" s="54"/>
      <c r="AI123" s="58"/>
      <c r="AJ123" s="54"/>
      <c r="AK123" s="54"/>
      <c r="AL123" s="55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</row>
    <row r="124" spans="1:53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5"/>
      <c r="M124" s="54"/>
      <c r="N124" s="54"/>
      <c r="O124" s="54"/>
      <c r="P124" s="54"/>
      <c r="Q124" s="54"/>
      <c r="R124" s="54"/>
      <c r="S124" s="56"/>
      <c r="T124" s="54"/>
      <c r="U124" s="54"/>
      <c r="V124" s="54"/>
      <c r="W124" s="54"/>
      <c r="X124" s="54"/>
      <c r="Y124" s="54"/>
      <c r="Z124" s="54"/>
      <c r="AA124" s="54"/>
      <c r="AB124" s="57"/>
      <c r="AC124" s="54"/>
      <c r="AD124" s="55"/>
      <c r="AE124" s="54"/>
      <c r="AF124" s="54"/>
      <c r="AG124" s="54"/>
      <c r="AH124" s="54"/>
      <c r="AI124" s="58"/>
      <c r="AJ124" s="54"/>
      <c r="AK124" s="54"/>
      <c r="AL124" s="55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</row>
    <row r="125" spans="1:53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5"/>
      <c r="M125" s="54"/>
      <c r="N125" s="54"/>
      <c r="O125" s="54"/>
      <c r="P125" s="54"/>
      <c r="Q125" s="54"/>
      <c r="R125" s="54"/>
      <c r="S125" s="56"/>
      <c r="T125" s="54"/>
      <c r="U125" s="54"/>
      <c r="V125" s="54"/>
      <c r="W125" s="54"/>
      <c r="X125" s="54"/>
      <c r="Y125" s="54"/>
      <c r="Z125" s="54"/>
      <c r="AA125" s="54"/>
      <c r="AB125" s="57"/>
      <c r="AC125" s="54"/>
      <c r="AD125" s="55"/>
      <c r="AE125" s="54"/>
      <c r="AF125" s="54"/>
      <c r="AG125" s="54"/>
      <c r="AH125" s="54"/>
      <c r="AI125" s="58"/>
      <c r="AJ125" s="54"/>
      <c r="AK125" s="54"/>
      <c r="AL125" s="55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</row>
    <row r="126" spans="1:53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5"/>
      <c r="M126" s="54"/>
      <c r="N126" s="54"/>
      <c r="O126" s="54"/>
      <c r="P126" s="54"/>
      <c r="Q126" s="54"/>
      <c r="R126" s="54"/>
      <c r="S126" s="56"/>
      <c r="T126" s="54"/>
      <c r="U126" s="54"/>
      <c r="V126" s="54"/>
      <c r="W126" s="54"/>
      <c r="X126" s="54"/>
      <c r="Y126" s="54"/>
      <c r="Z126" s="54"/>
      <c r="AA126" s="54"/>
      <c r="AB126" s="57"/>
      <c r="AC126" s="54"/>
      <c r="AD126" s="55"/>
      <c r="AE126" s="54"/>
      <c r="AF126" s="54"/>
      <c r="AG126" s="54"/>
      <c r="AH126" s="54"/>
      <c r="AI126" s="58"/>
      <c r="AJ126" s="54"/>
      <c r="AK126" s="54"/>
      <c r="AL126" s="55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</row>
    <row r="127" spans="1:53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5"/>
      <c r="M127" s="54"/>
      <c r="N127" s="54"/>
      <c r="O127" s="54"/>
      <c r="P127" s="54"/>
      <c r="Q127" s="54"/>
      <c r="R127" s="54"/>
      <c r="S127" s="56"/>
      <c r="T127" s="54"/>
      <c r="U127" s="54"/>
      <c r="V127" s="54"/>
      <c r="W127" s="54"/>
      <c r="X127" s="54"/>
      <c r="Y127" s="54"/>
      <c r="Z127" s="54"/>
      <c r="AA127" s="54"/>
      <c r="AB127" s="57"/>
      <c r="AC127" s="54"/>
      <c r="AD127" s="55"/>
      <c r="AE127" s="54"/>
      <c r="AF127" s="54"/>
      <c r="AG127" s="54"/>
      <c r="AH127" s="54"/>
      <c r="AI127" s="58"/>
      <c r="AJ127" s="54"/>
      <c r="AK127" s="54"/>
      <c r="AL127" s="55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</row>
    <row r="128" spans="1:53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5"/>
      <c r="M128" s="54"/>
      <c r="N128" s="54"/>
      <c r="O128" s="54"/>
      <c r="P128" s="54"/>
      <c r="Q128" s="54"/>
      <c r="R128" s="54"/>
      <c r="S128" s="56"/>
      <c r="T128" s="54"/>
      <c r="U128" s="54"/>
      <c r="V128" s="54"/>
      <c r="W128" s="54"/>
      <c r="X128" s="54"/>
      <c r="Y128" s="54"/>
      <c r="Z128" s="54"/>
      <c r="AA128" s="54"/>
      <c r="AB128" s="57"/>
      <c r="AC128" s="54"/>
      <c r="AD128" s="55"/>
      <c r="AE128" s="54"/>
      <c r="AF128" s="54"/>
      <c r="AG128" s="54"/>
      <c r="AH128" s="54"/>
      <c r="AI128" s="58"/>
      <c r="AJ128" s="54"/>
      <c r="AK128" s="54"/>
      <c r="AL128" s="55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</row>
    <row r="129" spans="1:53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5"/>
      <c r="M129" s="54"/>
      <c r="N129" s="54"/>
      <c r="O129" s="54"/>
      <c r="P129" s="54"/>
      <c r="Q129" s="54"/>
      <c r="R129" s="54"/>
      <c r="S129" s="56"/>
      <c r="T129" s="54"/>
      <c r="U129" s="54"/>
      <c r="V129" s="54"/>
      <c r="W129" s="54"/>
      <c r="X129" s="54"/>
      <c r="Y129" s="54"/>
      <c r="Z129" s="54"/>
      <c r="AA129" s="54"/>
      <c r="AB129" s="57"/>
      <c r="AC129" s="54"/>
      <c r="AD129" s="55"/>
      <c r="AE129" s="54"/>
      <c r="AF129" s="54"/>
      <c r="AG129" s="54"/>
      <c r="AH129" s="54"/>
      <c r="AI129" s="58"/>
      <c r="AJ129" s="54"/>
      <c r="AK129" s="54"/>
      <c r="AL129" s="55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</row>
    <row r="130" spans="1:53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5"/>
      <c r="M130" s="54"/>
      <c r="N130" s="54"/>
      <c r="O130" s="54"/>
      <c r="P130" s="54"/>
      <c r="Q130" s="54"/>
      <c r="R130" s="54"/>
      <c r="S130" s="56"/>
      <c r="T130" s="54"/>
      <c r="U130" s="54"/>
      <c r="V130" s="54"/>
      <c r="W130" s="54"/>
      <c r="X130" s="54"/>
      <c r="Y130" s="54"/>
      <c r="Z130" s="54"/>
      <c r="AA130" s="54"/>
      <c r="AB130" s="57"/>
      <c r="AC130" s="54"/>
      <c r="AD130" s="55"/>
      <c r="AE130" s="54"/>
      <c r="AF130" s="54"/>
      <c r="AG130" s="54"/>
      <c r="AH130" s="54"/>
      <c r="AI130" s="58"/>
      <c r="AJ130" s="54"/>
      <c r="AK130" s="54"/>
      <c r="AL130" s="55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</row>
    <row r="131" spans="1:53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5"/>
      <c r="M131" s="54"/>
      <c r="N131" s="54"/>
      <c r="O131" s="54"/>
      <c r="P131" s="54"/>
      <c r="Q131" s="54"/>
      <c r="R131" s="54"/>
      <c r="S131" s="56"/>
      <c r="T131" s="54"/>
      <c r="U131" s="54"/>
      <c r="V131" s="54"/>
      <c r="W131" s="54"/>
      <c r="X131" s="54"/>
      <c r="Y131" s="54"/>
      <c r="Z131" s="54"/>
      <c r="AA131" s="54"/>
      <c r="AB131" s="57"/>
      <c r="AC131" s="54"/>
      <c r="AD131" s="55"/>
      <c r="AE131" s="54"/>
      <c r="AF131" s="54"/>
      <c r="AG131" s="54"/>
      <c r="AH131" s="54"/>
      <c r="AI131" s="58"/>
      <c r="AJ131" s="54"/>
      <c r="AK131" s="54"/>
      <c r="AL131" s="55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</row>
    <row r="132" spans="1:53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5"/>
      <c r="M132" s="54"/>
      <c r="N132" s="54"/>
      <c r="O132" s="54"/>
      <c r="P132" s="54"/>
      <c r="Q132" s="54"/>
      <c r="R132" s="54"/>
      <c r="S132" s="56"/>
      <c r="T132" s="54"/>
      <c r="U132" s="54"/>
      <c r="V132" s="54"/>
      <c r="W132" s="54"/>
      <c r="X132" s="54"/>
      <c r="Y132" s="54"/>
      <c r="Z132" s="54"/>
      <c r="AA132" s="54"/>
      <c r="AB132" s="57"/>
      <c r="AC132" s="54"/>
      <c r="AD132" s="55"/>
      <c r="AE132" s="54"/>
      <c r="AF132" s="54"/>
      <c r="AG132" s="54"/>
      <c r="AH132" s="54"/>
      <c r="AI132" s="58"/>
      <c r="AJ132" s="54"/>
      <c r="AK132" s="54"/>
      <c r="AL132" s="55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</row>
    <row r="133" spans="1:53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5"/>
      <c r="M133" s="54"/>
      <c r="N133" s="54"/>
      <c r="O133" s="54"/>
      <c r="P133" s="54"/>
      <c r="Q133" s="54"/>
      <c r="R133" s="54"/>
      <c r="S133" s="56"/>
      <c r="T133" s="54"/>
      <c r="U133" s="54"/>
      <c r="V133" s="54"/>
      <c r="W133" s="54"/>
      <c r="X133" s="54"/>
      <c r="Y133" s="54"/>
      <c r="Z133" s="54"/>
      <c r="AA133" s="54"/>
      <c r="AB133" s="57"/>
      <c r="AC133" s="54"/>
      <c r="AD133" s="55"/>
      <c r="AE133" s="54"/>
      <c r="AF133" s="54"/>
      <c r="AG133" s="54"/>
      <c r="AH133" s="54"/>
      <c r="AI133" s="58"/>
      <c r="AJ133" s="54"/>
      <c r="AK133" s="54"/>
      <c r="AL133" s="55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</row>
    <row r="134" spans="1:53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5"/>
      <c r="M134" s="54"/>
      <c r="N134" s="54"/>
      <c r="O134" s="54"/>
      <c r="P134" s="54"/>
      <c r="Q134" s="54"/>
      <c r="R134" s="54"/>
      <c r="S134" s="56"/>
      <c r="T134" s="54"/>
      <c r="U134" s="54"/>
      <c r="V134" s="54"/>
      <c r="W134" s="54"/>
      <c r="X134" s="54"/>
      <c r="Y134" s="54"/>
      <c r="Z134" s="54"/>
      <c r="AA134" s="54"/>
      <c r="AB134" s="57"/>
      <c r="AC134" s="54"/>
      <c r="AD134" s="55"/>
      <c r="AE134" s="54"/>
      <c r="AF134" s="54"/>
      <c r="AG134" s="54"/>
      <c r="AH134" s="54"/>
      <c r="AI134" s="58"/>
      <c r="AJ134" s="54"/>
      <c r="AK134" s="54"/>
      <c r="AL134" s="55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</row>
    <row r="135" spans="1:53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5"/>
      <c r="M135" s="54"/>
      <c r="N135" s="54"/>
      <c r="O135" s="54"/>
      <c r="P135" s="54"/>
      <c r="Q135" s="54"/>
      <c r="R135" s="54"/>
      <c r="S135" s="56"/>
      <c r="T135" s="54"/>
      <c r="U135" s="54"/>
      <c r="V135" s="54"/>
      <c r="W135" s="54"/>
      <c r="X135" s="54"/>
      <c r="Y135" s="54"/>
      <c r="Z135" s="54"/>
      <c r="AA135" s="54"/>
      <c r="AB135" s="57"/>
      <c r="AC135" s="54"/>
      <c r="AD135" s="55"/>
      <c r="AE135" s="54"/>
      <c r="AF135" s="54"/>
      <c r="AG135" s="54"/>
      <c r="AH135" s="54"/>
      <c r="AI135" s="58"/>
      <c r="AJ135" s="54"/>
      <c r="AK135" s="54"/>
      <c r="AL135" s="55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</row>
    <row r="136" spans="1:53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5"/>
      <c r="M136" s="54"/>
      <c r="N136" s="54"/>
      <c r="O136" s="54"/>
      <c r="P136" s="54"/>
      <c r="Q136" s="54"/>
      <c r="R136" s="54"/>
      <c r="S136" s="56"/>
      <c r="T136" s="54"/>
      <c r="U136" s="54"/>
      <c r="V136" s="54"/>
      <c r="W136" s="54"/>
      <c r="X136" s="54"/>
      <c r="Y136" s="54"/>
      <c r="Z136" s="54"/>
      <c r="AA136" s="54"/>
      <c r="AB136" s="57"/>
      <c r="AC136" s="54"/>
      <c r="AD136" s="55"/>
      <c r="AE136" s="54"/>
      <c r="AF136" s="54"/>
      <c r="AG136" s="54"/>
      <c r="AH136" s="54"/>
      <c r="AI136" s="58"/>
      <c r="AJ136" s="54"/>
      <c r="AK136" s="54"/>
      <c r="AL136" s="55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</row>
    <row r="137" spans="1:53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5"/>
      <c r="M137" s="54"/>
      <c r="N137" s="54"/>
      <c r="O137" s="54"/>
      <c r="P137" s="54"/>
      <c r="Q137" s="54"/>
      <c r="R137" s="54"/>
      <c r="S137" s="56"/>
      <c r="T137" s="54"/>
      <c r="U137" s="54"/>
      <c r="V137" s="54"/>
      <c r="W137" s="54"/>
      <c r="X137" s="54"/>
      <c r="Y137" s="54"/>
      <c r="Z137" s="54"/>
      <c r="AA137" s="54"/>
      <c r="AB137" s="57"/>
      <c r="AC137" s="54"/>
      <c r="AD137" s="55"/>
      <c r="AE137" s="54"/>
      <c r="AF137" s="54"/>
      <c r="AG137" s="54"/>
      <c r="AH137" s="54"/>
      <c r="AI137" s="58"/>
      <c r="AJ137" s="54"/>
      <c r="AK137" s="54"/>
      <c r="AL137" s="55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</row>
    <row r="138" spans="1:53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5"/>
      <c r="M138" s="54"/>
      <c r="N138" s="54"/>
      <c r="O138" s="54"/>
      <c r="P138" s="54"/>
      <c r="Q138" s="54"/>
      <c r="R138" s="54"/>
      <c r="S138" s="56"/>
      <c r="T138" s="54"/>
      <c r="U138" s="54"/>
      <c r="V138" s="54"/>
      <c r="W138" s="54"/>
      <c r="X138" s="54"/>
      <c r="Y138" s="54"/>
      <c r="Z138" s="54"/>
      <c r="AA138" s="54"/>
      <c r="AB138" s="57"/>
      <c r="AC138" s="54"/>
      <c r="AD138" s="55"/>
      <c r="AE138" s="54"/>
      <c r="AF138" s="54"/>
      <c r="AG138" s="54"/>
      <c r="AH138" s="54"/>
      <c r="AI138" s="58"/>
      <c r="AJ138" s="54"/>
      <c r="AK138" s="54"/>
      <c r="AL138" s="55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</row>
    <row r="139" spans="1:53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5"/>
      <c r="M139" s="54"/>
      <c r="N139" s="54"/>
      <c r="O139" s="54"/>
      <c r="P139" s="54"/>
      <c r="Q139" s="54"/>
      <c r="R139" s="54"/>
      <c r="S139" s="56"/>
      <c r="T139" s="54"/>
      <c r="U139" s="54"/>
      <c r="V139" s="54"/>
      <c r="W139" s="54"/>
      <c r="X139" s="54"/>
      <c r="Y139" s="54"/>
      <c r="Z139" s="54"/>
      <c r="AA139" s="54"/>
      <c r="AB139" s="57"/>
      <c r="AC139" s="54"/>
      <c r="AD139" s="55"/>
      <c r="AE139" s="54"/>
      <c r="AF139" s="54"/>
      <c r="AG139" s="54"/>
      <c r="AH139" s="54"/>
      <c r="AI139" s="58"/>
      <c r="AJ139" s="54"/>
      <c r="AK139" s="54"/>
      <c r="AL139" s="55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</row>
    <row r="140" spans="1:53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5"/>
      <c r="M140" s="54"/>
      <c r="N140" s="54"/>
      <c r="O140" s="54"/>
      <c r="P140" s="54"/>
      <c r="Q140" s="54"/>
      <c r="R140" s="54"/>
      <c r="S140" s="56"/>
      <c r="T140" s="54"/>
      <c r="U140" s="54"/>
      <c r="V140" s="54"/>
      <c r="W140" s="54"/>
      <c r="X140" s="54"/>
      <c r="Y140" s="54"/>
      <c r="Z140" s="54"/>
      <c r="AA140" s="54"/>
      <c r="AB140" s="57"/>
      <c r="AC140" s="54"/>
      <c r="AD140" s="55"/>
      <c r="AE140" s="54"/>
      <c r="AF140" s="54"/>
      <c r="AG140" s="54"/>
      <c r="AH140" s="54"/>
      <c r="AI140" s="58"/>
      <c r="AJ140" s="54"/>
      <c r="AK140" s="54"/>
      <c r="AL140" s="55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</row>
    <row r="141" spans="1:53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5"/>
      <c r="M141" s="54"/>
      <c r="N141" s="54"/>
      <c r="O141" s="54"/>
      <c r="P141" s="54"/>
      <c r="Q141" s="54"/>
      <c r="R141" s="54"/>
      <c r="S141" s="56"/>
      <c r="T141" s="54"/>
      <c r="U141" s="54"/>
      <c r="V141" s="54"/>
      <c r="W141" s="54"/>
      <c r="X141" s="54"/>
      <c r="Y141" s="54"/>
      <c r="Z141" s="54"/>
      <c r="AA141" s="54"/>
      <c r="AB141" s="57"/>
      <c r="AC141" s="54"/>
      <c r="AD141" s="55"/>
      <c r="AE141" s="54"/>
      <c r="AF141" s="54"/>
      <c r="AG141" s="54"/>
      <c r="AH141" s="54"/>
      <c r="AI141" s="58"/>
      <c r="AJ141" s="54"/>
      <c r="AK141" s="54"/>
      <c r="AL141" s="55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</row>
    <row r="142" spans="1:53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5"/>
      <c r="M142" s="54"/>
      <c r="N142" s="54"/>
      <c r="O142" s="54"/>
      <c r="P142" s="54"/>
      <c r="Q142" s="54"/>
      <c r="R142" s="54"/>
      <c r="S142" s="56"/>
      <c r="T142" s="54"/>
      <c r="U142" s="54"/>
      <c r="V142" s="54"/>
      <c r="W142" s="54"/>
      <c r="X142" s="54"/>
      <c r="Y142" s="54"/>
      <c r="Z142" s="54"/>
      <c r="AA142" s="54"/>
      <c r="AB142" s="57"/>
      <c r="AC142" s="54"/>
      <c r="AD142" s="55"/>
      <c r="AE142" s="54"/>
      <c r="AF142" s="54"/>
      <c r="AG142" s="54"/>
      <c r="AH142" s="54"/>
      <c r="AI142" s="58"/>
      <c r="AJ142" s="54"/>
      <c r="AK142" s="54"/>
      <c r="AL142" s="55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</row>
    <row r="143" spans="1:53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5"/>
      <c r="M143" s="54"/>
      <c r="N143" s="54"/>
      <c r="O143" s="54"/>
      <c r="P143" s="54"/>
      <c r="Q143" s="54"/>
      <c r="R143" s="54"/>
      <c r="S143" s="56"/>
      <c r="T143" s="54"/>
      <c r="U143" s="54"/>
      <c r="V143" s="54"/>
      <c r="W143" s="54"/>
      <c r="X143" s="54"/>
      <c r="Y143" s="54"/>
      <c r="Z143" s="54"/>
      <c r="AA143" s="54"/>
      <c r="AB143" s="57"/>
      <c r="AC143" s="54"/>
      <c r="AD143" s="55"/>
      <c r="AE143" s="54"/>
      <c r="AF143" s="54"/>
      <c r="AG143" s="54"/>
      <c r="AH143" s="54"/>
      <c r="AI143" s="58"/>
      <c r="AJ143" s="54"/>
      <c r="AK143" s="54"/>
      <c r="AL143" s="55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</row>
    <row r="144" spans="1:53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7"/>
      <c r="AC144" s="54"/>
      <c r="AD144" s="54"/>
      <c r="AE144" s="54"/>
      <c r="AF144" s="54"/>
      <c r="AG144" s="54"/>
      <c r="AH144" s="54"/>
      <c r="AI144" s="58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</row>
    <row r="145" spans="1:53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5"/>
      <c r="M145" s="54"/>
      <c r="N145" s="54"/>
      <c r="O145" s="54"/>
      <c r="P145" s="54"/>
      <c r="Q145" s="54"/>
      <c r="R145" s="54"/>
      <c r="S145" s="56"/>
      <c r="T145" s="54"/>
      <c r="U145" s="54"/>
      <c r="V145" s="54"/>
      <c r="W145" s="54"/>
      <c r="X145" s="54"/>
      <c r="Y145" s="54"/>
      <c r="Z145" s="54"/>
      <c r="AA145" s="54"/>
      <c r="AB145" s="57"/>
      <c r="AC145" s="54"/>
      <c r="AD145" s="55"/>
      <c r="AE145" s="54"/>
      <c r="AF145" s="54"/>
      <c r="AG145" s="54"/>
      <c r="AH145" s="54"/>
      <c r="AI145" s="58"/>
      <c r="AJ145" s="54"/>
      <c r="AK145" s="54"/>
      <c r="AL145" s="55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</row>
    <row r="146" spans="1:53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</row>
    <row r="147" spans="1:53">
      <c r="A147" s="46"/>
      <c r="C147" s="47"/>
    </row>
    <row r="148" spans="1:53">
      <c r="A148" s="46"/>
      <c r="C148" s="47"/>
    </row>
    <row r="153" spans="1:53">
      <c r="A153" s="22"/>
      <c r="B153" s="4"/>
      <c r="C153" s="7"/>
      <c r="D153" s="4"/>
      <c r="E153" s="4"/>
      <c r="F153" s="4"/>
      <c r="G153" s="4"/>
      <c r="H153" s="5"/>
      <c r="I153" s="5"/>
      <c r="J153" s="4"/>
      <c r="K153" s="4"/>
      <c r="L153" s="6"/>
      <c r="M153" s="4"/>
      <c r="N153" s="4"/>
      <c r="O153" s="4"/>
      <c r="P153" s="4"/>
      <c r="Q153" s="7"/>
      <c r="R153" s="4"/>
      <c r="S153" s="8"/>
      <c r="T153" s="7"/>
      <c r="U153" s="7"/>
      <c r="V153" s="7"/>
      <c r="W153" s="7"/>
      <c r="X153" s="4"/>
      <c r="Y153" s="4"/>
      <c r="Z153" s="9"/>
      <c r="AA153" s="9"/>
      <c r="AB153" s="7"/>
      <c r="AC153" s="7"/>
      <c r="AD153" s="5"/>
      <c r="AE153" s="7"/>
      <c r="AF153" s="4"/>
      <c r="AG153" s="4"/>
      <c r="AH153" s="4"/>
      <c r="AI153" s="7"/>
      <c r="AJ153" s="10"/>
      <c r="AK153" s="11"/>
      <c r="AL153" s="5"/>
      <c r="AM153" s="4"/>
      <c r="AN153" s="4"/>
      <c r="AO153" s="4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</row>
    <row r="154" spans="1:53">
      <c r="A154" s="4"/>
      <c r="B154" s="4"/>
      <c r="C154" s="4"/>
      <c r="D154" s="23"/>
      <c r="E154" s="4"/>
      <c r="F154" s="4"/>
      <c r="G154" s="4"/>
      <c r="H154" s="5"/>
      <c r="I154" s="5"/>
      <c r="J154" s="4"/>
      <c r="K154" s="4"/>
      <c r="L154" s="12"/>
      <c r="M154" s="13"/>
      <c r="N154" s="4"/>
      <c r="O154" s="4"/>
      <c r="P154" s="4"/>
      <c r="Q154" s="4"/>
      <c r="R154" s="4"/>
      <c r="S154" s="8"/>
      <c r="T154" s="4"/>
      <c r="U154" s="4"/>
      <c r="V154" s="4"/>
      <c r="W154" s="4"/>
      <c r="X154" s="4"/>
      <c r="Y154" s="7"/>
      <c r="Z154" s="35"/>
      <c r="AA154" s="9"/>
      <c r="AB154" s="7"/>
      <c r="AC154" s="7"/>
      <c r="AD154" s="5"/>
      <c r="AE154" s="7"/>
      <c r="AF154" s="7"/>
      <c r="AG154" s="7"/>
      <c r="AH154" s="4"/>
      <c r="AI154" s="4"/>
      <c r="AJ154" s="10"/>
      <c r="AK154" s="36"/>
      <c r="AL154" s="5"/>
      <c r="AM154" s="4"/>
      <c r="AN154" s="4"/>
      <c r="AO154" s="4"/>
      <c r="AP154" s="36"/>
      <c r="AQ154" s="15"/>
      <c r="AR154" s="16"/>
      <c r="AS154" s="16"/>
      <c r="AT154" s="17"/>
      <c r="AU154" s="18"/>
      <c r="AV154" s="18"/>
      <c r="AW154" s="19"/>
      <c r="AX154" s="19"/>
      <c r="AY154" s="19"/>
      <c r="AZ154" s="19"/>
      <c r="BA154" s="19"/>
    </row>
    <row r="155" spans="1:53">
      <c r="A155" s="4"/>
      <c r="B155" s="4"/>
      <c r="C155" s="4"/>
      <c r="D155" s="23"/>
      <c r="E155" s="4"/>
      <c r="F155" s="4"/>
      <c r="G155" s="4"/>
      <c r="H155" s="5"/>
      <c r="I155" s="5"/>
      <c r="J155" s="4"/>
      <c r="K155" s="4"/>
      <c r="L155" s="5"/>
      <c r="M155" s="4"/>
      <c r="N155" s="4"/>
      <c r="O155" s="4"/>
      <c r="P155" s="4"/>
      <c r="Q155" s="4"/>
      <c r="R155" s="4"/>
      <c r="S155" s="8"/>
      <c r="T155" s="4"/>
      <c r="U155" s="4"/>
      <c r="V155" s="4"/>
      <c r="W155" s="4"/>
      <c r="X155" s="4"/>
      <c r="Y155" s="4"/>
      <c r="Z155" s="9"/>
      <c r="AA155" s="9"/>
      <c r="AB155" s="7"/>
      <c r="AC155" s="7"/>
      <c r="AD155" s="5"/>
      <c r="AE155" s="7"/>
      <c r="AF155" s="7"/>
      <c r="AG155" s="7"/>
      <c r="AH155" s="4"/>
      <c r="AI155" s="4"/>
      <c r="AJ155" s="10"/>
      <c r="AK155" s="11"/>
      <c r="AL155" s="5"/>
      <c r="AM155" s="4"/>
      <c r="AN155" s="4"/>
      <c r="AO155" s="4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</row>
    <row r="156" spans="1:53">
      <c r="A156" s="4"/>
      <c r="B156" s="4"/>
      <c r="C156" s="4"/>
      <c r="D156" s="23"/>
      <c r="E156" s="7"/>
      <c r="F156" s="7"/>
      <c r="G156" s="4"/>
      <c r="H156" s="5"/>
      <c r="I156" s="5"/>
      <c r="J156" s="4"/>
      <c r="K156" s="4"/>
      <c r="L156" s="6"/>
      <c r="M156" s="4"/>
      <c r="N156" s="4"/>
      <c r="O156" s="4"/>
      <c r="P156" s="4"/>
      <c r="Q156" s="4"/>
      <c r="R156" s="4"/>
      <c r="S156" s="24"/>
      <c r="T156" s="4"/>
      <c r="U156" s="4"/>
      <c r="V156" s="4"/>
      <c r="W156" s="20"/>
      <c r="X156" s="4"/>
      <c r="Y156" s="4"/>
      <c r="Z156" s="14"/>
      <c r="AA156" s="14"/>
      <c r="AB156" s="25"/>
      <c r="AC156" s="4"/>
      <c r="AD156" s="5"/>
      <c r="AE156" s="4"/>
      <c r="AF156" s="4"/>
      <c r="AG156" s="4"/>
      <c r="AH156" s="4"/>
      <c r="AI156" s="13"/>
      <c r="AJ156" s="10"/>
      <c r="AK156" s="11"/>
      <c r="AL156" s="6"/>
      <c r="AM156" s="4"/>
      <c r="AN156" s="4"/>
      <c r="AO156" s="4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</row>
    <row r="157" spans="1:53">
      <c r="A157" s="4"/>
      <c r="B157" s="4"/>
      <c r="C157" s="4"/>
      <c r="D157" s="4"/>
      <c r="E157" s="4"/>
      <c r="F157" s="4"/>
      <c r="G157" s="4"/>
      <c r="H157" s="5"/>
      <c r="I157" s="5"/>
      <c r="J157" s="4"/>
      <c r="K157" s="4"/>
      <c r="L157" s="6"/>
      <c r="M157" s="4"/>
      <c r="N157" s="4"/>
      <c r="O157" s="4"/>
      <c r="P157" s="4"/>
      <c r="Q157" s="4"/>
      <c r="R157" s="4"/>
      <c r="S157" s="24"/>
      <c r="T157" s="4"/>
      <c r="U157" s="4"/>
      <c r="V157" s="4"/>
      <c r="W157" s="20"/>
      <c r="X157" s="4"/>
      <c r="Y157" s="4"/>
      <c r="Z157" s="14"/>
      <c r="AA157" s="14"/>
      <c r="AB157" s="25"/>
      <c r="AC157" s="4"/>
      <c r="AD157" s="5"/>
      <c r="AE157" s="4"/>
      <c r="AF157" s="4"/>
      <c r="AG157" s="4"/>
      <c r="AH157" s="4"/>
      <c r="AI157" s="13"/>
      <c r="AJ157" s="10"/>
      <c r="AK157" s="11"/>
      <c r="AL157" s="6"/>
      <c r="AM157" s="4"/>
      <c r="AN157" s="4"/>
      <c r="AO157" s="4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</row>
    <row r="158" spans="1:53">
      <c r="A158" s="4"/>
      <c r="B158" s="4"/>
      <c r="C158" s="4"/>
      <c r="D158" s="4"/>
      <c r="E158" s="4"/>
      <c r="F158" s="4"/>
      <c r="G158" s="4"/>
      <c r="H158" s="5"/>
      <c r="I158" s="5"/>
      <c r="J158" s="4"/>
      <c r="K158" s="4"/>
      <c r="L158" s="6"/>
      <c r="M158" s="4"/>
      <c r="N158" s="4"/>
      <c r="O158" s="4"/>
      <c r="P158" s="4"/>
      <c r="Q158" s="4"/>
      <c r="R158" s="4"/>
      <c r="S158" s="24"/>
      <c r="T158" s="4"/>
      <c r="U158" s="4"/>
      <c r="V158" s="4"/>
      <c r="W158" s="20"/>
      <c r="X158" s="4"/>
      <c r="Y158" s="4"/>
      <c r="Z158" s="14"/>
      <c r="AA158" s="14"/>
      <c r="AB158" s="25"/>
      <c r="AC158" s="4"/>
      <c r="AD158" s="5"/>
      <c r="AE158" s="4"/>
      <c r="AF158" s="4"/>
      <c r="AG158" s="4"/>
      <c r="AH158" s="4"/>
      <c r="AI158" s="13"/>
      <c r="AJ158" s="10"/>
      <c r="AK158" s="11"/>
      <c r="AL158" s="6"/>
      <c r="AM158" s="4"/>
      <c r="AN158" s="4"/>
      <c r="AO158" s="4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</row>
    <row r="159" spans="1:53">
      <c r="A159" s="4"/>
      <c r="B159" s="4"/>
      <c r="C159" s="4"/>
      <c r="D159" s="4"/>
      <c r="E159" s="4"/>
      <c r="F159" s="4"/>
      <c r="G159" s="4"/>
      <c r="H159" s="5"/>
      <c r="I159" s="5"/>
      <c r="J159" s="4"/>
      <c r="K159" s="4"/>
      <c r="L159" s="6"/>
      <c r="M159" s="4"/>
      <c r="N159" s="4"/>
      <c r="O159" s="4"/>
      <c r="P159" s="4"/>
      <c r="Q159" s="4"/>
      <c r="R159" s="4"/>
      <c r="S159" s="24"/>
      <c r="T159" s="4"/>
      <c r="U159" s="4"/>
      <c r="V159" s="4"/>
      <c r="W159" s="20"/>
      <c r="X159" s="4"/>
      <c r="Y159" s="4"/>
      <c r="Z159" s="14"/>
      <c r="AA159" s="14"/>
      <c r="AB159" s="25"/>
      <c r="AC159" s="4"/>
      <c r="AD159" s="5"/>
      <c r="AE159" s="4"/>
      <c r="AF159" s="4"/>
      <c r="AG159" s="4"/>
      <c r="AH159" s="4"/>
      <c r="AI159" s="13"/>
      <c r="AJ159" s="10"/>
      <c r="AK159" s="11"/>
      <c r="AL159" s="6"/>
      <c r="AM159" s="4"/>
      <c r="AN159" s="4"/>
      <c r="AO159" s="4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</row>
    <row r="160" spans="1:53">
      <c r="A160" s="4"/>
      <c r="B160" s="4"/>
      <c r="C160" s="4"/>
      <c r="D160" s="4"/>
      <c r="E160" s="4"/>
      <c r="F160" s="4"/>
      <c r="G160" s="4"/>
      <c r="H160" s="5"/>
      <c r="I160" s="5"/>
      <c r="J160" s="4"/>
      <c r="K160" s="4"/>
      <c r="L160" s="6"/>
      <c r="M160" s="4"/>
      <c r="N160" s="4"/>
      <c r="O160" s="4"/>
      <c r="P160" s="4"/>
      <c r="Q160" s="4"/>
      <c r="R160" s="4"/>
      <c r="S160" s="24"/>
      <c r="T160" s="4"/>
      <c r="U160" s="4"/>
      <c r="V160" s="4"/>
      <c r="W160" s="20"/>
      <c r="X160" s="4"/>
      <c r="Y160" s="4"/>
      <c r="Z160" s="14"/>
      <c r="AA160" s="14"/>
      <c r="AB160" s="25"/>
      <c r="AC160" s="4"/>
      <c r="AD160" s="5"/>
      <c r="AE160" s="4"/>
      <c r="AF160" s="4"/>
      <c r="AG160" s="4"/>
      <c r="AH160" s="4"/>
      <c r="AI160" s="13"/>
      <c r="AJ160" s="10"/>
      <c r="AK160" s="11"/>
      <c r="AL160" s="6"/>
      <c r="AM160" s="4"/>
      <c r="AN160" s="4"/>
      <c r="AO160" s="4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</row>
    <row r="161" spans="1:53">
      <c r="A161" s="4"/>
      <c r="B161" s="4"/>
      <c r="C161" s="4"/>
      <c r="D161" s="4"/>
      <c r="E161" s="4"/>
      <c r="F161" s="4"/>
      <c r="G161" s="4"/>
      <c r="H161" s="5"/>
      <c r="I161" s="5"/>
      <c r="J161" s="4"/>
      <c r="K161" s="4"/>
      <c r="L161" s="6"/>
      <c r="M161" s="4"/>
      <c r="N161" s="4"/>
      <c r="O161" s="4"/>
      <c r="P161" s="4"/>
      <c r="Q161" s="4"/>
      <c r="R161" s="4"/>
      <c r="S161" s="24"/>
      <c r="T161" s="4"/>
      <c r="U161" s="4"/>
      <c r="V161" s="4"/>
      <c r="W161" s="20"/>
      <c r="X161" s="4"/>
      <c r="Y161" s="4"/>
      <c r="Z161" s="14"/>
      <c r="AA161" s="14"/>
      <c r="AB161" s="25"/>
      <c r="AC161" s="4"/>
      <c r="AD161" s="5"/>
      <c r="AE161" s="4"/>
      <c r="AF161" s="4"/>
      <c r="AG161" s="4"/>
      <c r="AH161" s="4"/>
      <c r="AI161" s="13"/>
      <c r="AJ161" s="10"/>
      <c r="AK161" s="11"/>
      <c r="AL161" s="6"/>
      <c r="AM161" s="4"/>
      <c r="AN161" s="4"/>
      <c r="AO161" s="4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</row>
    <row r="162" spans="1:53">
      <c r="A162" s="4"/>
      <c r="B162" s="4"/>
      <c r="C162" s="4"/>
      <c r="D162" s="4"/>
      <c r="E162" s="4"/>
      <c r="F162" s="4"/>
      <c r="G162" s="4"/>
      <c r="H162" s="5"/>
      <c r="I162" s="5"/>
      <c r="J162" s="4"/>
      <c r="K162" s="4"/>
      <c r="L162" s="6"/>
      <c r="M162" s="4"/>
      <c r="N162" s="4"/>
      <c r="O162" s="4"/>
      <c r="P162" s="4"/>
      <c r="Q162" s="4"/>
      <c r="R162" s="4"/>
      <c r="S162" s="24"/>
      <c r="T162" s="4"/>
      <c r="U162" s="4"/>
      <c r="V162" s="4"/>
      <c r="W162" s="20"/>
      <c r="X162" s="4"/>
      <c r="Y162" s="4"/>
      <c r="Z162" s="14"/>
      <c r="AA162" s="14"/>
      <c r="AB162" s="25"/>
      <c r="AC162" s="4"/>
      <c r="AD162" s="5"/>
      <c r="AE162" s="4"/>
      <c r="AF162" s="4"/>
      <c r="AG162" s="4"/>
      <c r="AH162" s="4"/>
      <c r="AI162" s="13"/>
      <c r="AJ162" s="10"/>
      <c r="AK162" s="11"/>
      <c r="AL162" s="6"/>
      <c r="AM162" s="4"/>
      <c r="AN162" s="4"/>
      <c r="AO162" s="4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</row>
    <row r="163" spans="1:53">
      <c r="A163" s="4"/>
      <c r="B163" s="4"/>
      <c r="C163" s="4"/>
      <c r="D163" s="4"/>
      <c r="E163" s="4"/>
      <c r="F163" s="4"/>
      <c r="G163" s="4"/>
      <c r="H163" s="5"/>
      <c r="I163" s="5"/>
      <c r="J163" s="4"/>
      <c r="K163" s="4"/>
      <c r="L163" s="6"/>
      <c r="M163" s="4"/>
      <c r="N163" s="4"/>
      <c r="O163" s="4"/>
      <c r="P163" s="4"/>
      <c r="Q163" s="4"/>
      <c r="R163" s="4"/>
      <c r="S163" s="24"/>
      <c r="T163" s="4"/>
      <c r="U163" s="4"/>
      <c r="V163" s="4"/>
      <c r="W163" s="20"/>
      <c r="X163" s="4"/>
      <c r="Y163" s="4"/>
      <c r="Z163" s="14"/>
      <c r="AA163" s="14"/>
      <c r="AB163" s="25"/>
      <c r="AC163" s="4"/>
      <c r="AD163" s="5"/>
      <c r="AE163" s="4"/>
      <c r="AF163" s="4"/>
      <c r="AG163" s="4"/>
      <c r="AH163" s="4"/>
      <c r="AI163" s="13"/>
      <c r="AJ163" s="10"/>
      <c r="AK163" s="11"/>
      <c r="AL163" s="6"/>
      <c r="AM163" s="4"/>
      <c r="AN163" s="4"/>
      <c r="AO163" s="4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</row>
    <row r="164" spans="1:53">
      <c r="A164" s="4"/>
      <c r="B164" s="4"/>
      <c r="C164" s="4"/>
      <c r="D164" s="4"/>
      <c r="E164" s="4"/>
      <c r="F164" s="4"/>
      <c r="G164" s="4"/>
      <c r="H164" s="5"/>
      <c r="I164" s="5"/>
      <c r="J164" s="4"/>
      <c r="K164" s="4"/>
      <c r="L164" s="6"/>
      <c r="M164" s="4"/>
      <c r="N164" s="4"/>
      <c r="O164" s="4"/>
      <c r="P164" s="4"/>
      <c r="Q164" s="4"/>
      <c r="R164" s="4"/>
      <c r="S164" s="24"/>
      <c r="T164" s="4"/>
      <c r="U164" s="4"/>
      <c r="V164" s="4"/>
      <c r="W164" s="20"/>
      <c r="X164" s="4"/>
      <c r="Y164" s="4"/>
      <c r="Z164" s="14"/>
      <c r="AA164" s="14"/>
      <c r="AB164" s="25"/>
      <c r="AC164" s="4"/>
      <c r="AD164" s="5"/>
      <c r="AE164" s="4"/>
      <c r="AF164" s="4"/>
      <c r="AG164" s="4"/>
      <c r="AH164" s="4"/>
      <c r="AI164" s="13"/>
      <c r="AJ164" s="10"/>
      <c r="AK164" s="11"/>
      <c r="AL164" s="6"/>
      <c r="AM164" s="4"/>
      <c r="AN164" s="4"/>
      <c r="AO164" s="4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</row>
    <row r="165" spans="1:53">
      <c r="A165" s="4"/>
      <c r="B165" s="4"/>
      <c r="C165" s="4"/>
      <c r="D165" s="4"/>
      <c r="E165" s="4"/>
      <c r="F165" s="4"/>
      <c r="G165" s="4"/>
      <c r="H165" s="5"/>
      <c r="I165" s="5"/>
      <c r="J165" s="4"/>
      <c r="K165" s="4"/>
      <c r="L165" s="6"/>
      <c r="M165" s="4"/>
      <c r="N165" s="4"/>
      <c r="O165" s="4"/>
      <c r="P165" s="4"/>
      <c r="Q165" s="4"/>
      <c r="R165" s="4"/>
      <c r="S165" s="24"/>
      <c r="T165" s="4"/>
      <c r="U165" s="4"/>
      <c r="V165" s="4"/>
      <c r="W165" s="20"/>
      <c r="X165" s="4"/>
      <c r="Y165" s="4"/>
      <c r="Z165" s="14"/>
      <c r="AA165" s="14"/>
      <c r="AB165" s="25"/>
      <c r="AC165" s="4"/>
      <c r="AD165" s="5"/>
      <c r="AE165" s="4"/>
      <c r="AF165" s="4"/>
      <c r="AG165" s="4"/>
      <c r="AH165" s="4"/>
      <c r="AI165" s="13"/>
      <c r="AJ165" s="10"/>
      <c r="AK165" s="11"/>
      <c r="AL165" s="6"/>
      <c r="AM165" s="4"/>
      <c r="AN165" s="4"/>
      <c r="AO165" s="4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</row>
    <row r="166" spans="1:53">
      <c r="A166" s="4"/>
      <c r="B166" s="4"/>
      <c r="C166" s="4"/>
      <c r="D166" s="4"/>
      <c r="E166" s="4"/>
      <c r="F166" s="4"/>
      <c r="G166" s="4"/>
      <c r="H166" s="5"/>
      <c r="I166" s="5"/>
      <c r="J166" s="4"/>
      <c r="K166" s="4"/>
      <c r="L166" s="6"/>
      <c r="M166" s="4"/>
      <c r="N166" s="4"/>
      <c r="O166" s="4"/>
      <c r="P166" s="4"/>
      <c r="Q166" s="4"/>
      <c r="R166" s="4"/>
      <c r="S166" s="24"/>
      <c r="T166" s="4"/>
      <c r="U166" s="4"/>
      <c r="V166" s="4"/>
      <c r="W166" s="20"/>
      <c r="X166" s="4"/>
      <c r="Y166" s="4"/>
      <c r="Z166" s="14"/>
      <c r="AA166" s="14"/>
      <c r="AB166" s="25"/>
      <c r="AC166" s="4"/>
      <c r="AD166" s="5"/>
      <c r="AE166" s="4"/>
      <c r="AF166" s="4"/>
      <c r="AG166" s="4"/>
      <c r="AH166" s="4"/>
      <c r="AI166" s="13"/>
      <c r="AJ166" s="10"/>
      <c r="AK166" s="11"/>
      <c r="AL166" s="6"/>
      <c r="AM166" s="4"/>
      <c r="AN166" s="4"/>
      <c r="AO166" s="4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</row>
    <row r="167" spans="1:53">
      <c r="A167" s="4"/>
      <c r="B167" s="4"/>
      <c r="C167" s="4"/>
      <c r="D167" s="4"/>
      <c r="E167" s="4"/>
      <c r="F167" s="4"/>
      <c r="G167" s="4"/>
      <c r="H167" s="5"/>
      <c r="I167" s="5"/>
      <c r="J167" s="4"/>
      <c r="K167" s="4"/>
      <c r="L167" s="6"/>
      <c r="M167" s="4"/>
      <c r="N167" s="4"/>
      <c r="O167" s="4"/>
      <c r="P167" s="4"/>
      <c r="Q167" s="4"/>
      <c r="R167" s="4"/>
      <c r="S167" s="24"/>
      <c r="T167" s="4"/>
      <c r="U167" s="4"/>
      <c r="V167" s="4"/>
      <c r="W167" s="20"/>
      <c r="X167" s="4"/>
      <c r="Y167" s="4"/>
      <c r="Z167" s="14"/>
      <c r="AA167" s="14"/>
      <c r="AB167" s="25"/>
      <c r="AC167" s="4"/>
      <c r="AD167" s="5"/>
      <c r="AE167" s="4"/>
      <c r="AF167" s="4"/>
      <c r="AG167" s="4"/>
      <c r="AH167" s="4"/>
      <c r="AI167" s="13"/>
      <c r="AJ167" s="10"/>
      <c r="AK167" s="11"/>
      <c r="AL167" s="6"/>
      <c r="AM167" s="4"/>
      <c r="AN167" s="4"/>
      <c r="AO167" s="4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</row>
    <row r="168" spans="1:53">
      <c r="A168" s="4"/>
      <c r="B168" s="4"/>
      <c r="C168" s="4"/>
      <c r="D168" s="4"/>
      <c r="E168" s="4"/>
      <c r="F168" s="4"/>
      <c r="G168" s="4"/>
      <c r="H168" s="5"/>
      <c r="I168" s="5"/>
      <c r="J168" s="4"/>
      <c r="K168" s="4"/>
      <c r="L168" s="6"/>
      <c r="M168" s="4"/>
      <c r="N168" s="4"/>
      <c r="O168" s="4"/>
      <c r="P168" s="4"/>
      <c r="Q168" s="4"/>
      <c r="R168" s="4"/>
      <c r="S168" s="24"/>
      <c r="T168" s="4"/>
      <c r="U168" s="4"/>
      <c r="V168" s="4"/>
      <c r="W168" s="20"/>
      <c r="X168" s="4"/>
      <c r="Y168" s="4"/>
      <c r="Z168" s="14"/>
      <c r="AA168" s="14"/>
      <c r="AB168" s="25"/>
      <c r="AC168" s="4"/>
      <c r="AD168" s="5"/>
      <c r="AE168" s="4"/>
      <c r="AF168" s="4"/>
      <c r="AG168" s="4"/>
      <c r="AH168" s="4"/>
      <c r="AI168" s="13"/>
      <c r="AJ168" s="10"/>
      <c r="AK168" s="11"/>
      <c r="AL168" s="6"/>
      <c r="AM168" s="4"/>
      <c r="AN168" s="4"/>
      <c r="AO168" s="4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</row>
    <row r="169" spans="1:53">
      <c r="A169" s="4"/>
      <c r="B169" s="4"/>
      <c r="C169" s="4"/>
      <c r="D169" s="4"/>
      <c r="E169" s="4"/>
      <c r="F169" s="4"/>
      <c r="G169" s="4"/>
      <c r="H169" s="5"/>
      <c r="I169" s="5"/>
      <c r="J169" s="4"/>
      <c r="K169" s="4"/>
      <c r="L169" s="6"/>
      <c r="M169" s="4"/>
      <c r="N169" s="4"/>
      <c r="O169" s="4"/>
      <c r="P169" s="4"/>
      <c r="Q169" s="4"/>
      <c r="R169" s="4"/>
      <c r="S169" s="24"/>
      <c r="T169" s="4"/>
      <c r="U169" s="4"/>
      <c r="V169" s="4"/>
      <c r="W169" s="20"/>
      <c r="X169" s="4"/>
      <c r="Y169" s="4"/>
      <c r="Z169" s="14"/>
      <c r="AA169" s="14"/>
      <c r="AB169" s="25"/>
      <c r="AC169" s="4"/>
      <c r="AD169" s="5"/>
      <c r="AE169" s="4"/>
      <c r="AF169" s="4"/>
      <c r="AG169" s="4"/>
      <c r="AH169" s="4"/>
      <c r="AI169" s="13"/>
      <c r="AJ169" s="10"/>
      <c r="AK169" s="11"/>
      <c r="AL169" s="6"/>
      <c r="AM169" s="4"/>
      <c r="AN169" s="4"/>
      <c r="AO169" s="4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</row>
    <row r="170" spans="1:53">
      <c r="A170" s="4"/>
      <c r="B170" s="4"/>
      <c r="C170" s="4"/>
      <c r="D170" s="4"/>
      <c r="E170" s="4"/>
      <c r="F170" s="4"/>
      <c r="G170" s="4"/>
      <c r="H170" s="5"/>
      <c r="I170" s="5"/>
      <c r="J170" s="4"/>
      <c r="K170" s="4"/>
      <c r="L170" s="6"/>
      <c r="M170" s="4"/>
      <c r="N170" s="4"/>
      <c r="O170" s="4"/>
      <c r="P170" s="4"/>
      <c r="Q170" s="4"/>
      <c r="R170" s="4"/>
      <c r="S170" s="24"/>
      <c r="T170" s="4"/>
      <c r="U170" s="4"/>
      <c r="V170" s="4"/>
      <c r="W170" s="20"/>
      <c r="X170" s="4"/>
      <c r="Y170" s="4"/>
      <c r="Z170" s="14"/>
      <c r="AA170" s="14"/>
      <c r="AB170" s="25"/>
      <c r="AC170" s="4"/>
      <c r="AD170" s="5"/>
      <c r="AE170" s="4"/>
      <c r="AF170" s="4"/>
      <c r="AG170" s="4"/>
      <c r="AH170" s="4"/>
      <c r="AI170" s="13"/>
      <c r="AJ170" s="10"/>
      <c r="AK170" s="11"/>
      <c r="AL170" s="6"/>
      <c r="AM170" s="4"/>
      <c r="AN170" s="4"/>
      <c r="AO170" s="4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</row>
    <row r="171" spans="1:53">
      <c r="A171" s="4"/>
      <c r="B171" s="4"/>
      <c r="C171" s="4"/>
      <c r="D171" s="4"/>
      <c r="E171" s="4"/>
      <c r="F171" s="4"/>
      <c r="G171" s="4"/>
      <c r="H171" s="5"/>
      <c r="I171" s="5"/>
      <c r="J171" s="4"/>
      <c r="K171" s="4"/>
      <c r="L171" s="6"/>
      <c r="M171" s="4"/>
      <c r="N171" s="4"/>
      <c r="O171" s="4"/>
      <c r="P171" s="4"/>
      <c r="Q171" s="4"/>
      <c r="R171" s="4"/>
      <c r="S171" s="24"/>
      <c r="T171" s="4"/>
      <c r="U171" s="4"/>
      <c r="V171" s="4"/>
      <c r="W171" s="20"/>
      <c r="X171" s="4"/>
      <c r="Y171" s="4"/>
      <c r="Z171" s="14"/>
      <c r="AA171" s="14"/>
      <c r="AB171" s="25"/>
      <c r="AC171" s="4"/>
      <c r="AD171" s="5"/>
      <c r="AE171" s="4"/>
      <c r="AF171" s="4"/>
      <c r="AG171" s="4"/>
      <c r="AH171" s="4"/>
      <c r="AI171" s="13"/>
      <c r="AJ171" s="10"/>
      <c r="AK171" s="11"/>
      <c r="AL171" s="6"/>
      <c r="AM171" s="4"/>
      <c r="AN171" s="4"/>
      <c r="AO171" s="4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</row>
    <row r="172" spans="1:53">
      <c r="A172" s="4"/>
      <c r="B172" s="4"/>
      <c r="C172" s="4"/>
      <c r="D172" s="4"/>
      <c r="E172" s="4"/>
      <c r="F172" s="4"/>
      <c r="G172" s="4"/>
      <c r="H172" s="5"/>
      <c r="I172" s="5"/>
      <c r="J172" s="4"/>
      <c r="K172" s="4"/>
      <c r="L172" s="6"/>
      <c r="M172" s="4"/>
      <c r="N172" s="4"/>
      <c r="O172" s="4"/>
      <c r="P172" s="4"/>
      <c r="Q172" s="4"/>
      <c r="R172" s="4"/>
      <c r="S172" s="24"/>
      <c r="T172" s="4"/>
      <c r="U172" s="4"/>
      <c r="V172" s="4"/>
      <c r="W172" s="20"/>
      <c r="X172" s="4"/>
      <c r="Y172" s="4"/>
      <c r="Z172" s="14"/>
      <c r="AA172" s="14"/>
      <c r="AB172" s="25"/>
      <c r="AC172" s="4"/>
      <c r="AD172" s="5"/>
      <c r="AE172" s="4"/>
      <c r="AF172" s="4"/>
      <c r="AG172" s="4"/>
      <c r="AH172" s="4"/>
      <c r="AI172" s="13"/>
      <c r="AJ172" s="10"/>
      <c r="AK172" s="11"/>
      <c r="AL172" s="6"/>
      <c r="AM172" s="4"/>
      <c r="AN172" s="4"/>
      <c r="AO172" s="4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</row>
    <row r="173" spans="1:53">
      <c r="A173" s="4"/>
      <c r="B173" s="4"/>
      <c r="C173" s="4"/>
      <c r="D173" s="4"/>
      <c r="E173" s="4"/>
      <c r="F173" s="4"/>
      <c r="G173" s="4"/>
      <c r="H173" s="5"/>
      <c r="I173" s="5"/>
      <c r="J173" s="4"/>
      <c r="K173" s="4"/>
      <c r="L173" s="6"/>
      <c r="M173" s="4"/>
      <c r="N173" s="4"/>
      <c r="O173" s="4"/>
      <c r="P173" s="4"/>
      <c r="Q173" s="4"/>
      <c r="R173" s="4"/>
      <c r="S173" s="24"/>
      <c r="T173" s="4"/>
      <c r="U173" s="4"/>
      <c r="V173" s="4"/>
      <c r="W173" s="20"/>
      <c r="X173" s="4"/>
      <c r="Y173" s="4"/>
      <c r="Z173" s="14"/>
      <c r="AA173" s="14"/>
      <c r="AB173" s="25"/>
      <c r="AC173" s="4"/>
      <c r="AD173" s="5"/>
      <c r="AE173" s="4"/>
      <c r="AF173" s="4"/>
      <c r="AG173" s="4"/>
      <c r="AH173" s="4"/>
      <c r="AI173" s="13"/>
      <c r="AJ173" s="10"/>
      <c r="AK173" s="11"/>
      <c r="AL173" s="6"/>
      <c r="AM173" s="4"/>
      <c r="AN173" s="4"/>
      <c r="AO173" s="4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</row>
    <row r="174" spans="1:53">
      <c r="A174" s="4"/>
      <c r="B174" s="4"/>
      <c r="C174" s="4"/>
      <c r="D174" s="4"/>
      <c r="E174" s="4"/>
      <c r="F174" s="4"/>
      <c r="G174" s="4"/>
      <c r="H174" s="5"/>
      <c r="I174" s="5"/>
      <c r="J174" s="4"/>
      <c r="K174" s="4"/>
      <c r="L174" s="6"/>
      <c r="M174" s="4"/>
      <c r="N174" s="4"/>
      <c r="O174" s="4"/>
      <c r="P174" s="4"/>
      <c r="Q174" s="4"/>
      <c r="R174" s="4"/>
      <c r="S174" s="24"/>
      <c r="T174" s="4"/>
      <c r="U174" s="4"/>
      <c r="V174" s="4"/>
      <c r="W174" s="20"/>
      <c r="X174" s="4"/>
      <c r="Y174" s="4"/>
      <c r="Z174" s="14"/>
      <c r="AA174" s="14"/>
      <c r="AB174" s="25"/>
      <c r="AC174" s="4"/>
      <c r="AD174" s="5"/>
      <c r="AE174" s="4"/>
      <c r="AF174" s="4"/>
      <c r="AG174" s="4"/>
      <c r="AH174" s="4"/>
      <c r="AI174" s="13"/>
      <c r="AJ174" s="10"/>
      <c r="AK174" s="11"/>
      <c r="AL174" s="6"/>
      <c r="AM174" s="4"/>
      <c r="AN174" s="4"/>
      <c r="AO174" s="4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</row>
    <row r="175" spans="1:53">
      <c r="A175" s="4"/>
      <c r="B175" s="4"/>
      <c r="C175" s="4"/>
      <c r="D175" s="4"/>
      <c r="E175" s="4"/>
      <c r="F175" s="4"/>
      <c r="G175" s="4"/>
      <c r="H175" s="5"/>
      <c r="I175" s="5"/>
      <c r="J175" s="4"/>
      <c r="K175" s="4"/>
      <c r="L175" s="6"/>
      <c r="M175" s="4"/>
      <c r="N175" s="4"/>
      <c r="O175" s="4"/>
      <c r="P175" s="4"/>
      <c r="Q175" s="4"/>
      <c r="R175" s="4"/>
      <c r="S175" s="24"/>
      <c r="T175" s="4"/>
      <c r="U175" s="4"/>
      <c r="V175" s="4"/>
      <c r="W175" s="20"/>
      <c r="X175" s="4"/>
      <c r="Y175" s="4"/>
      <c r="Z175" s="14"/>
      <c r="AA175" s="14"/>
      <c r="AB175" s="25"/>
      <c r="AC175" s="4"/>
      <c r="AD175" s="5"/>
      <c r="AE175" s="4"/>
      <c r="AF175" s="4"/>
      <c r="AG175" s="4"/>
      <c r="AH175" s="4"/>
      <c r="AI175" s="13"/>
      <c r="AJ175" s="10"/>
      <c r="AK175" s="11"/>
      <c r="AL175" s="6"/>
      <c r="AM175" s="4"/>
      <c r="AN175" s="4"/>
      <c r="AO175" s="4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</row>
    <row r="176" spans="1:53">
      <c r="A176" s="4"/>
      <c r="B176" s="4"/>
      <c r="C176" s="4"/>
      <c r="D176" s="4"/>
      <c r="E176" s="4"/>
      <c r="F176" s="4"/>
      <c r="G176" s="4"/>
      <c r="H176" s="5"/>
      <c r="I176" s="5"/>
      <c r="J176" s="4"/>
      <c r="K176" s="4"/>
      <c r="L176" s="6"/>
      <c r="M176" s="4"/>
      <c r="N176" s="4"/>
      <c r="O176" s="4"/>
      <c r="P176" s="4"/>
      <c r="Q176" s="4"/>
      <c r="R176" s="4"/>
      <c r="S176" s="24"/>
      <c r="T176" s="4"/>
      <c r="U176" s="4"/>
      <c r="V176" s="4"/>
      <c r="W176" s="20"/>
      <c r="X176" s="4"/>
      <c r="Y176" s="4"/>
      <c r="Z176" s="14"/>
      <c r="AA176" s="14"/>
      <c r="AB176" s="25"/>
      <c r="AC176" s="4"/>
      <c r="AD176" s="5"/>
      <c r="AE176" s="4"/>
      <c r="AF176" s="4"/>
      <c r="AG176" s="4"/>
      <c r="AH176" s="4"/>
      <c r="AI176" s="13"/>
      <c r="AJ176" s="10"/>
      <c r="AK176" s="11"/>
      <c r="AL176" s="6"/>
      <c r="AM176" s="4"/>
      <c r="AN176" s="4"/>
      <c r="AO176" s="4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</row>
    <row r="177" spans="1:53">
      <c r="A177" s="4"/>
      <c r="B177" s="4"/>
      <c r="C177" s="4"/>
      <c r="D177" s="4"/>
      <c r="E177" s="4"/>
      <c r="F177" s="4"/>
      <c r="G177" s="4"/>
      <c r="H177" s="5"/>
      <c r="I177" s="5"/>
      <c r="J177" s="4"/>
      <c r="K177" s="4"/>
      <c r="L177" s="6"/>
      <c r="M177" s="4"/>
      <c r="N177" s="4"/>
      <c r="O177" s="4"/>
      <c r="P177" s="4"/>
      <c r="Q177" s="4"/>
      <c r="R177" s="4"/>
      <c r="S177" s="24"/>
      <c r="T177" s="4"/>
      <c r="U177" s="4"/>
      <c r="V177" s="4"/>
      <c r="W177" s="20"/>
      <c r="X177" s="4"/>
      <c r="Y177" s="4"/>
      <c r="Z177" s="14"/>
      <c r="AA177" s="14"/>
      <c r="AB177" s="25"/>
      <c r="AC177" s="4"/>
      <c r="AD177" s="5"/>
      <c r="AE177" s="4"/>
      <c r="AF177" s="4"/>
      <c r="AG177" s="4"/>
      <c r="AH177" s="4"/>
      <c r="AI177" s="13"/>
      <c r="AJ177" s="10"/>
      <c r="AK177" s="11"/>
      <c r="AL177" s="6"/>
      <c r="AM177" s="4"/>
      <c r="AN177" s="4"/>
      <c r="AO177" s="4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</row>
    <row r="178" spans="1:53">
      <c r="A178" s="4"/>
      <c r="B178" s="4"/>
      <c r="C178" s="4"/>
      <c r="D178" s="4"/>
      <c r="E178" s="4"/>
      <c r="F178" s="4"/>
      <c r="G178" s="4"/>
      <c r="H178" s="5"/>
      <c r="I178" s="5"/>
      <c r="J178" s="4"/>
      <c r="K178" s="4"/>
      <c r="L178" s="6"/>
      <c r="M178" s="4"/>
      <c r="N178" s="4"/>
      <c r="O178" s="4"/>
      <c r="P178" s="4"/>
      <c r="Q178" s="4"/>
      <c r="R178" s="4"/>
      <c r="S178" s="24"/>
      <c r="T178" s="4"/>
      <c r="U178" s="4"/>
      <c r="V178" s="4"/>
      <c r="W178" s="20"/>
      <c r="X178" s="4"/>
      <c r="Y178" s="4"/>
      <c r="Z178" s="14"/>
      <c r="AA178" s="14"/>
      <c r="AB178" s="25"/>
      <c r="AC178" s="4"/>
      <c r="AD178" s="5"/>
      <c r="AE178" s="4"/>
      <c r="AF178" s="4"/>
      <c r="AG178" s="4"/>
      <c r="AH178" s="4"/>
      <c r="AI178" s="13"/>
      <c r="AJ178" s="10"/>
      <c r="AK178" s="11"/>
      <c r="AL178" s="6"/>
      <c r="AM178" s="4"/>
      <c r="AN178" s="4"/>
      <c r="AO178" s="4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</row>
    <row r="179" spans="1:53">
      <c r="A179" s="4"/>
      <c r="B179" s="4"/>
      <c r="C179" s="4"/>
      <c r="D179" s="4"/>
      <c r="E179" s="4"/>
      <c r="F179" s="4"/>
      <c r="G179" s="4"/>
      <c r="H179" s="5"/>
      <c r="I179" s="5"/>
      <c r="J179" s="4"/>
      <c r="K179" s="4"/>
      <c r="L179" s="6"/>
      <c r="M179" s="4"/>
      <c r="N179" s="4"/>
      <c r="O179" s="4"/>
      <c r="P179" s="4"/>
      <c r="Q179" s="4"/>
      <c r="R179" s="4"/>
      <c r="S179" s="24"/>
      <c r="T179" s="4"/>
      <c r="U179" s="4"/>
      <c r="V179" s="4"/>
      <c r="W179" s="20"/>
      <c r="X179" s="4"/>
      <c r="Y179" s="4"/>
      <c r="Z179" s="14"/>
      <c r="AA179" s="14"/>
      <c r="AB179" s="25"/>
      <c r="AC179" s="4"/>
      <c r="AD179" s="5"/>
      <c r="AE179" s="4"/>
      <c r="AF179" s="4"/>
      <c r="AG179" s="4"/>
      <c r="AH179" s="4"/>
      <c r="AI179" s="13"/>
      <c r="AJ179" s="10"/>
      <c r="AK179" s="11"/>
      <c r="AL179" s="6"/>
      <c r="AM179" s="4"/>
      <c r="AN179" s="4"/>
      <c r="AO179" s="4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</row>
    <row r="180" spans="1:53">
      <c r="A180" s="4"/>
      <c r="B180" s="4"/>
      <c r="C180" s="4"/>
      <c r="D180" s="4"/>
      <c r="E180" s="4"/>
      <c r="F180" s="4"/>
      <c r="G180" s="4"/>
      <c r="H180" s="5"/>
      <c r="I180" s="5"/>
      <c r="J180" s="4"/>
      <c r="K180" s="4"/>
      <c r="L180" s="6"/>
      <c r="M180" s="4"/>
      <c r="N180" s="4"/>
      <c r="O180" s="4"/>
      <c r="P180" s="4"/>
      <c r="Q180" s="4"/>
      <c r="R180" s="4"/>
      <c r="S180" s="24"/>
      <c r="T180" s="4"/>
      <c r="U180" s="4"/>
      <c r="V180" s="4"/>
      <c r="W180" s="20"/>
      <c r="X180" s="4"/>
      <c r="Y180" s="4"/>
      <c r="Z180" s="14"/>
      <c r="AA180" s="14"/>
      <c r="AB180" s="25"/>
      <c r="AC180" s="4"/>
      <c r="AD180" s="5"/>
      <c r="AE180" s="4"/>
      <c r="AF180" s="4"/>
      <c r="AG180" s="4"/>
      <c r="AH180" s="4"/>
      <c r="AI180" s="13"/>
      <c r="AJ180" s="10"/>
      <c r="AK180" s="11"/>
      <c r="AL180" s="6"/>
      <c r="AM180" s="4"/>
      <c r="AN180" s="4"/>
      <c r="AO180" s="4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</row>
    <row r="181" spans="1:53">
      <c r="A181" s="4"/>
      <c r="B181" s="4"/>
      <c r="C181" s="4"/>
      <c r="D181" s="4"/>
      <c r="E181" s="4"/>
      <c r="F181" s="4"/>
      <c r="G181" s="4"/>
      <c r="H181" s="5"/>
      <c r="I181" s="5"/>
      <c r="J181" s="4"/>
      <c r="K181" s="4"/>
      <c r="L181" s="6"/>
      <c r="M181" s="4"/>
      <c r="N181" s="4"/>
      <c r="O181" s="4"/>
      <c r="P181" s="4"/>
      <c r="Q181" s="4"/>
      <c r="R181" s="4"/>
      <c r="S181" s="24"/>
      <c r="T181" s="4"/>
      <c r="U181" s="4"/>
      <c r="V181" s="4"/>
      <c r="W181" s="20"/>
      <c r="X181" s="4"/>
      <c r="Y181" s="4"/>
      <c r="Z181" s="14"/>
      <c r="AA181" s="14"/>
      <c r="AB181" s="25"/>
      <c r="AC181" s="4"/>
      <c r="AD181" s="5"/>
      <c r="AE181" s="4"/>
      <c r="AF181" s="4"/>
      <c r="AG181" s="4"/>
      <c r="AH181" s="4"/>
      <c r="AI181" s="13"/>
      <c r="AJ181" s="10"/>
      <c r="AK181" s="11"/>
      <c r="AL181" s="6"/>
      <c r="AM181" s="4"/>
      <c r="AN181" s="4"/>
      <c r="AO181" s="4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</row>
    <row r="182" spans="1:53">
      <c r="A182" s="4"/>
      <c r="B182" s="4"/>
      <c r="C182" s="4"/>
      <c r="D182" s="4"/>
      <c r="E182" s="4"/>
      <c r="F182" s="4"/>
      <c r="G182" s="4"/>
      <c r="H182" s="5"/>
      <c r="I182" s="5"/>
      <c r="J182" s="4"/>
      <c r="K182" s="4"/>
      <c r="L182" s="6"/>
      <c r="M182" s="4"/>
      <c r="N182" s="4"/>
      <c r="O182" s="4"/>
      <c r="P182" s="4"/>
      <c r="Q182" s="4"/>
      <c r="R182" s="4"/>
      <c r="S182" s="24"/>
      <c r="T182" s="4"/>
      <c r="U182" s="4"/>
      <c r="V182" s="4"/>
      <c r="W182" s="20"/>
      <c r="X182" s="4"/>
      <c r="Y182" s="4"/>
      <c r="Z182" s="14"/>
      <c r="AA182" s="14"/>
      <c r="AB182" s="25"/>
      <c r="AC182" s="4"/>
      <c r="AD182" s="5"/>
      <c r="AE182" s="4"/>
      <c r="AF182" s="4"/>
      <c r="AG182" s="4"/>
      <c r="AH182" s="4"/>
      <c r="AI182" s="13"/>
      <c r="AJ182" s="10"/>
      <c r="AK182" s="11"/>
      <c r="AL182" s="6"/>
      <c r="AM182" s="4"/>
      <c r="AN182" s="4"/>
      <c r="AO182" s="4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</row>
    <row r="183" spans="1:53">
      <c r="A183" s="4"/>
      <c r="B183" s="4"/>
      <c r="C183" s="4"/>
      <c r="D183" s="4"/>
      <c r="E183" s="4"/>
      <c r="F183" s="4"/>
      <c r="G183" s="4"/>
      <c r="H183" s="5"/>
      <c r="I183" s="5"/>
      <c r="J183" s="4"/>
      <c r="K183" s="4"/>
      <c r="L183" s="6"/>
      <c r="M183" s="4"/>
      <c r="N183" s="4"/>
      <c r="O183" s="4"/>
      <c r="P183" s="4"/>
      <c r="Q183" s="4"/>
      <c r="R183" s="4"/>
      <c r="S183" s="24"/>
      <c r="T183" s="4"/>
      <c r="U183" s="4"/>
      <c r="V183" s="4"/>
      <c r="W183" s="20"/>
      <c r="X183" s="4"/>
      <c r="Y183" s="4"/>
      <c r="Z183" s="14"/>
      <c r="AA183" s="14"/>
      <c r="AB183" s="25"/>
      <c r="AC183" s="4"/>
      <c r="AD183" s="5"/>
      <c r="AE183" s="4"/>
      <c r="AF183" s="4"/>
      <c r="AG183" s="4"/>
      <c r="AH183" s="4"/>
      <c r="AI183" s="13"/>
      <c r="AJ183" s="10"/>
      <c r="AK183" s="11"/>
      <c r="AL183" s="6"/>
      <c r="AM183" s="4"/>
      <c r="AN183" s="4"/>
      <c r="AO183" s="4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</row>
    <row r="184" spans="1:53">
      <c r="A184" s="4"/>
      <c r="B184" s="4"/>
      <c r="C184" s="4"/>
      <c r="D184" s="4"/>
      <c r="E184" s="4"/>
      <c r="F184" s="4"/>
      <c r="G184" s="4"/>
      <c r="H184" s="5"/>
      <c r="I184" s="5"/>
      <c r="J184" s="4"/>
      <c r="K184" s="4"/>
      <c r="L184" s="6"/>
      <c r="M184" s="4"/>
      <c r="N184" s="4"/>
      <c r="O184" s="4"/>
      <c r="P184" s="4"/>
      <c r="Q184" s="4"/>
      <c r="R184" s="4"/>
      <c r="S184" s="24"/>
      <c r="T184" s="4"/>
      <c r="U184" s="4"/>
      <c r="V184" s="4"/>
      <c r="W184" s="20"/>
      <c r="X184" s="4"/>
      <c r="Y184" s="4"/>
      <c r="Z184" s="14"/>
      <c r="AA184" s="14"/>
      <c r="AB184" s="25"/>
      <c r="AC184" s="4"/>
      <c r="AD184" s="5"/>
      <c r="AE184" s="4"/>
      <c r="AF184" s="4"/>
      <c r="AG184" s="4"/>
      <c r="AH184" s="4"/>
      <c r="AI184" s="13"/>
      <c r="AJ184" s="10"/>
      <c r="AK184" s="11"/>
      <c r="AL184" s="6"/>
      <c r="AM184" s="4"/>
      <c r="AN184" s="4"/>
      <c r="AO184" s="4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</row>
    <row r="185" spans="1:53">
      <c r="A185" s="4"/>
      <c r="B185" s="4"/>
      <c r="C185" s="4"/>
      <c r="D185" s="4"/>
      <c r="E185" s="4"/>
      <c r="F185" s="4"/>
      <c r="G185" s="4"/>
      <c r="H185" s="5"/>
      <c r="I185" s="5"/>
      <c r="J185" s="4"/>
      <c r="K185" s="4"/>
      <c r="L185" s="6"/>
      <c r="M185" s="4"/>
      <c r="N185" s="4"/>
      <c r="O185" s="4"/>
      <c r="P185" s="4"/>
      <c r="Q185" s="4"/>
      <c r="R185" s="4"/>
      <c r="S185" s="24"/>
      <c r="T185" s="4"/>
      <c r="U185" s="4"/>
      <c r="V185" s="4"/>
      <c r="W185" s="20"/>
      <c r="X185" s="4"/>
      <c r="Y185" s="4"/>
      <c r="Z185" s="14"/>
      <c r="AA185" s="14"/>
      <c r="AB185" s="25"/>
      <c r="AC185" s="4"/>
      <c r="AD185" s="5"/>
      <c r="AE185" s="4"/>
      <c r="AF185" s="4"/>
      <c r="AG185" s="4"/>
      <c r="AH185" s="4"/>
      <c r="AI185" s="13"/>
      <c r="AJ185" s="10"/>
      <c r="AK185" s="11"/>
      <c r="AL185" s="6"/>
      <c r="AM185" s="4"/>
      <c r="AN185" s="4"/>
      <c r="AO185" s="4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</row>
    <row r="186" spans="1:53">
      <c r="A186" s="4"/>
      <c r="B186" s="4"/>
      <c r="C186" s="4"/>
      <c r="D186" s="4"/>
      <c r="E186" s="4"/>
      <c r="F186" s="4"/>
      <c r="G186" s="4"/>
      <c r="H186" s="5"/>
      <c r="I186" s="5"/>
      <c r="J186" s="4"/>
      <c r="K186" s="4"/>
      <c r="L186" s="6"/>
      <c r="M186" s="4"/>
      <c r="N186" s="4"/>
      <c r="O186" s="4"/>
      <c r="P186" s="4"/>
      <c r="Q186" s="4"/>
      <c r="R186" s="4"/>
      <c r="S186" s="24"/>
      <c r="T186" s="4"/>
      <c r="U186" s="4"/>
      <c r="V186" s="4"/>
      <c r="W186" s="20"/>
      <c r="X186" s="4"/>
      <c r="Y186" s="4"/>
      <c r="Z186" s="14"/>
      <c r="AA186" s="14"/>
      <c r="AB186" s="25"/>
      <c r="AC186" s="4"/>
      <c r="AD186" s="5"/>
      <c r="AE186" s="4"/>
      <c r="AF186" s="4"/>
      <c r="AG186" s="4"/>
      <c r="AH186" s="4"/>
      <c r="AI186" s="13"/>
      <c r="AJ186" s="10"/>
      <c r="AK186" s="11"/>
      <c r="AL186" s="6"/>
      <c r="AM186" s="4"/>
      <c r="AN186" s="4"/>
      <c r="AO186" s="4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</row>
    <row r="187" spans="1:53">
      <c r="AB187" s="38"/>
      <c r="AI187" s="2"/>
    </row>
    <row r="188" spans="1:53">
      <c r="A188" s="39"/>
      <c r="B188" s="7"/>
      <c r="C188" s="7"/>
      <c r="D188" s="7"/>
      <c r="E188" s="4"/>
      <c r="F188" s="4"/>
      <c r="G188" s="4"/>
      <c r="H188" s="5"/>
      <c r="I188" s="5"/>
      <c r="J188" s="4"/>
      <c r="K188" s="4"/>
      <c r="L188" s="6"/>
      <c r="M188" s="4"/>
      <c r="N188" s="4"/>
      <c r="O188" s="4"/>
      <c r="P188" s="4"/>
      <c r="Q188" s="7"/>
      <c r="R188" s="4"/>
      <c r="S188" s="8"/>
      <c r="T188" s="7"/>
      <c r="U188" s="7"/>
      <c r="V188" s="7"/>
      <c r="W188" s="7"/>
      <c r="X188" s="4"/>
      <c r="Y188" s="4"/>
      <c r="Z188" s="9"/>
      <c r="AA188" s="9"/>
      <c r="AB188" s="7"/>
      <c r="AC188" s="7"/>
      <c r="AD188" s="5"/>
      <c r="AE188" s="7"/>
      <c r="AF188" s="4"/>
      <c r="AG188" s="4"/>
      <c r="AH188" s="4"/>
      <c r="AI188" s="7"/>
      <c r="AJ188" s="10"/>
      <c r="AK188" s="11"/>
      <c r="AL188" s="5"/>
      <c r="AM188" s="5"/>
      <c r="AN188" s="4"/>
      <c r="AO188" s="5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</row>
    <row r="189" spans="1:53">
      <c r="A189" s="4"/>
      <c r="B189" s="4"/>
      <c r="C189" s="4"/>
      <c r="D189" s="23"/>
      <c r="E189" s="4"/>
      <c r="F189" s="4"/>
      <c r="G189" s="4"/>
      <c r="H189" s="5"/>
      <c r="I189" s="5"/>
      <c r="J189" s="4"/>
      <c r="K189" s="4"/>
      <c r="L189" s="12"/>
      <c r="M189" s="13"/>
      <c r="N189" s="4"/>
      <c r="O189" s="4"/>
      <c r="P189" s="4"/>
      <c r="Q189" s="4"/>
      <c r="R189" s="4"/>
      <c r="S189" s="8"/>
      <c r="T189" s="4"/>
      <c r="U189" s="4"/>
      <c r="V189" s="4"/>
      <c r="W189" s="4"/>
      <c r="X189" s="4"/>
      <c r="Y189" s="7"/>
      <c r="Z189" s="35"/>
      <c r="AA189" s="9"/>
      <c r="AB189" s="7"/>
      <c r="AC189" s="7"/>
      <c r="AD189" s="5"/>
      <c r="AE189" s="7"/>
      <c r="AF189" s="7"/>
      <c r="AG189" s="7"/>
      <c r="AH189" s="4"/>
      <c r="AI189" s="4"/>
      <c r="AJ189" s="10"/>
      <c r="AK189" s="36"/>
      <c r="AL189" s="5"/>
      <c r="AM189" s="5"/>
      <c r="AN189" s="4"/>
      <c r="AO189" s="5"/>
      <c r="AP189" s="36"/>
      <c r="AQ189" s="15"/>
      <c r="AR189" s="16"/>
      <c r="AS189" s="16"/>
      <c r="AT189" s="17"/>
      <c r="AU189" s="18"/>
      <c r="AV189" s="18"/>
      <c r="AW189" s="19"/>
      <c r="AY189" s="19"/>
      <c r="AZ189" s="19"/>
      <c r="BA189" s="19"/>
    </row>
    <row r="190" spans="1:53">
      <c r="A190" s="4"/>
      <c r="B190" s="4"/>
      <c r="C190" s="4"/>
      <c r="D190" s="23"/>
      <c r="E190" s="4"/>
      <c r="F190" s="4"/>
      <c r="G190" s="4"/>
      <c r="H190" s="5"/>
      <c r="I190" s="5"/>
      <c r="J190" s="4"/>
      <c r="K190" s="4"/>
      <c r="L190" s="5"/>
      <c r="M190" s="4"/>
      <c r="N190" s="4"/>
      <c r="O190" s="4"/>
      <c r="P190" s="4"/>
      <c r="Q190" s="4"/>
      <c r="R190" s="4"/>
      <c r="S190" s="8"/>
      <c r="T190" s="4"/>
      <c r="U190" s="4"/>
      <c r="V190" s="4"/>
      <c r="W190" s="4"/>
      <c r="X190" s="4"/>
      <c r="Y190" s="4"/>
      <c r="Z190" s="9"/>
      <c r="AA190" s="9"/>
      <c r="AB190" s="7"/>
      <c r="AC190" s="7"/>
      <c r="AD190" s="5"/>
      <c r="AE190" s="7"/>
      <c r="AF190" s="7"/>
      <c r="AG190" s="7"/>
      <c r="AH190" s="4"/>
      <c r="AI190" s="4"/>
      <c r="AJ190" s="10"/>
      <c r="AK190" s="36"/>
      <c r="AL190" s="5"/>
      <c r="AM190" s="5"/>
      <c r="AN190" s="4"/>
      <c r="AO190" s="5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</row>
    <row r="191" spans="1:53">
      <c r="A191" s="4"/>
      <c r="B191" s="4"/>
      <c r="C191" s="4"/>
      <c r="D191" s="23"/>
      <c r="E191" s="41"/>
      <c r="F191" s="7"/>
      <c r="G191" s="4"/>
      <c r="H191" s="6"/>
      <c r="I191" s="5"/>
      <c r="J191" s="4"/>
      <c r="K191" s="4"/>
      <c r="L191" s="6"/>
      <c r="M191" s="4"/>
      <c r="N191" s="4"/>
      <c r="O191" s="4"/>
      <c r="P191" s="4"/>
      <c r="Q191" s="4"/>
      <c r="R191" s="4"/>
      <c r="S191" s="27"/>
      <c r="T191" s="4"/>
      <c r="U191" s="4"/>
      <c r="V191" s="4"/>
      <c r="W191" s="20"/>
      <c r="X191" s="4"/>
      <c r="Y191" s="4"/>
      <c r="Z191" s="14"/>
      <c r="AA191" s="14"/>
      <c r="AB191" s="25"/>
      <c r="AC191" s="4"/>
      <c r="AD191" s="5"/>
      <c r="AE191" s="7"/>
      <c r="AF191" s="4"/>
      <c r="AG191" s="4"/>
      <c r="AH191" s="4"/>
      <c r="AI191" s="13"/>
      <c r="AJ191" s="10"/>
      <c r="AK191" s="11"/>
      <c r="AL191" s="6"/>
      <c r="AM191" s="6"/>
      <c r="AN191" s="4"/>
      <c r="AO191" s="6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</row>
    <row r="192" spans="1:53">
      <c r="A192" s="4"/>
      <c r="B192" s="4"/>
      <c r="C192" s="4"/>
      <c r="D192" s="4"/>
      <c r="E192" s="4"/>
      <c r="F192" s="4"/>
      <c r="G192" s="4"/>
      <c r="H192" s="6"/>
      <c r="I192" s="5"/>
      <c r="J192" s="4"/>
      <c r="K192" s="4"/>
      <c r="L192" s="6"/>
      <c r="M192" s="4"/>
      <c r="N192" s="4"/>
      <c r="O192" s="4"/>
      <c r="P192" s="4"/>
      <c r="Q192" s="4"/>
      <c r="R192" s="4"/>
      <c r="S192" s="27"/>
      <c r="T192" s="4"/>
      <c r="U192" s="4"/>
      <c r="V192" s="4"/>
      <c r="W192" s="20"/>
      <c r="X192" s="4"/>
      <c r="Y192" s="4"/>
      <c r="Z192" s="14"/>
      <c r="AA192" s="14"/>
      <c r="AB192" s="25"/>
      <c r="AC192" s="4"/>
      <c r="AD192" s="5"/>
      <c r="AE192" s="7"/>
      <c r="AF192" s="4"/>
      <c r="AG192" s="4"/>
      <c r="AH192" s="4"/>
      <c r="AI192" s="13"/>
      <c r="AJ192" s="10"/>
      <c r="AK192" s="11"/>
      <c r="AL192" s="6"/>
      <c r="AM192" s="6"/>
      <c r="AN192" s="4"/>
      <c r="AO192" s="6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</row>
    <row r="193" spans="1:53">
      <c r="A193" s="4"/>
      <c r="B193" s="4"/>
      <c r="C193" s="4"/>
      <c r="D193" s="4"/>
      <c r="E193" s="4"/>
      <c r="F193" s="4"/>
      <c r="G193" s="4"/>
      <c r="H193" s="6"/>
      <c r="I193" s="5"/>
      <c r="J193" s="4"/>
      <c r="K193" s="4"/>
      <c r="L193" s="6"/>
      <c r="M193" s="4"/>
      <c r="N193" s="4"/>
      <c r="O193" s="4"/>
      <c r="P193" s="4"/>
      <c r="Q193" s="4"/>
      <c r="R193" s="4"/>
      <c r="S193" s="27"/>
      <c r="T193" s="4"/>
      <c r="U193" s="4"/>
      <c r="V193" s="4"/>
      <c r="W193" s="20"/>
      <c r="X193" s="4"/>
      <c r="Y193" s="4"/>
      <c r="Z193" s="14"/>
      <c r="AA193" s="14"/>
      <c r="AB193" s="25"/>
      <c r="AC193" s="4"/>
      <c r="AD193" s="5"/>
      <c r="AE193" s="7"/>
      <c r="AF193" s="4"/>
      <c r="AG193" s="4"/>
      <c r="AH193" s="4"/>
      <c r="AI193" s="13"/>
      <c r="AJ193" s="10"/>
      <c r="AK193" s="11"/>
      <c r="AL193" s="6"/>
      <c r="AM193" s="6"/>
      <c r="AN193" s="4"/>
      <c r="AO193" s="6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</row>
    <row r="194" spans="1:53">
      <c r="A194" s="4"/>
      <c r="B194" s="4"/>
      <c r="C194" s="4"/>
      <c r="D194" s="4"/>
      <c r="E194" s="4"/>
      <c r="F194" s="4"/>
      <c r="G194" s="4"/>
      <c r="H194" s="6"/>
      <c r="I194" s="5"/>
      <c r="J194" s="4"/>
      <c r="K194" s="4"/>
      <c r="L194" s="6"/>
      <c r="M194" s="4"/>
      <c r="N194" s="4"/>
      <c r="O194" s="4"/>
      <c r="P194" s="4"/>
      <c r="Q194" s="4"/>
      <c r="R194" s="4"/>
      <c r="S194" s="27"/>
      <c r="T194" s="4"/>
      <c r="U194" s="4"/>
      <c r="V194" s="4"/>
      <c r="W194" s="20"/>
      <c r="X194" s="4"/>
      <c r="Y194" s="4"/>
      <c r="Z194" s="14"/>
      <c r="AA194" s="14"/>
      <c r="AB194" s="25"/>
      <c r="AC194" s="4"/>
      <c r="AD194" s="5"/>
      <c r="AE194" s="7"/>
      <c r="AF194" s="4"/>
      <c r="AG194" s="4"/>
      <c r="AH194" s="4"/>
      <c r="AI194" s="13"/>
      <c r="AJ194" s="10"/>
      <c r="AK194" s="11"/>
      <c r="AL194" s="6"/>
      <c r="AM194" s="6"/>
      <c r="AN194" s="4"/>
      <c r="AO194" s="6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</row>
    <row r="195" spans="1:53">
      <c r="A195" s="4"/>
      <c r="B195" s="4"/>
      <c r="C195" s="4"/>
      <c r="D195" s="4"/>
      <c r="E195" s="4"/>
      <c r="F195" s="4"/>
      <c r="G195" s="4"/>
      <c r="H195" s="6"/>
      <c r="I195" s="5"/>
      <c r="J195" s="4"/>
      <c r="K195" s="4"/>
      <c r="L195" s="6"/>
      <c r="M195" s="4"/>
      <c r="N195" s="4"/>
      <c r="O195" s="4"/>
      <c r="P195" s="4"/>
      <c r="Q195" s="4"/>
      <c r="R195" s="4"/>
      <c r="S195" s="27"/>
      <c r="T195" s="4"/>
      <c r="U195" s="4"/>
      <c r="V195" s="4"/>
      <c r="W195" s="20"/>
      <c r="X195" s="4"/>
      <c r="Y195" s="4"/>
      <c r="Z195" s="14"/>
      <c r="AA195" s="14"/>
      <c r="AB195" s="25"/>
      <c r="AC195" s="4"/>
      <c r="AD195" s="5"/>
      <c r="AE195" s="7"/>
      <c r="AF195" s="4"/>
      <c r="AG195" s="4"/>
      <c r="AH195" s="4"/>
      <c r="AI195" s="13"/>
      <c r="AJ195" s="10"/>
      <c r="AK195" s="11"/>
      <c r="AL195" s="6"/>
      <c r="AM195" s="6"/>
      <c r="AN195" s="4"/>
      <c r="AO195" s="6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</row>
    <row r="196" spans="1:53">
      <c r="A196" s="4"/>
      <c r="B196" s="4"/>
      <c r="C196" s="4"/>
      <c r="D196" s="4"/>
      <c r="E196" s="4"/>
      <c r="F196" s="4"/>
      <c r="G196" s="4"/>
      <c r="H196" s="6"/>
      <c r="I196" s="5"/>
      <c r="J196" s="4"/>
      <c r="K196" s="4"/>
      <c r="L196" s="6"/>
      <c r="M196" s="4"/>
      <c r="N196" s="4"/>
      <c r="O196" s="4"/>
      <c r="P196" s="4"/>
      <c r="Q196" s="4"/>
      <c r="R196" s="4"/>
      <c r="S196" s="27"/>
      <c r="T196" s="4"/>
      <c r="U196" s="4"/>
      <c r="V196" s="4"/>
      <c r="W196" s="20"/>
      <c r="X196" s="4"/>
      <c r="Y196" s="4"/>
      <c r="Z196" s="14"/>
      <c r="AA196" s="14"/>
      <c r="AB196" s="25"/>
      <c r="AC196" s="4"/>
      <c r="AD196" s="5"/>
      <c r="AE196" s="7"/>
      <c r="AF196" s="4"/>
      <c r="AG196" s="4"/>
      <c r="AH196" s="4"/>
      <c r="AI196" s="13"/>
      <c r="AJ196" s="10"/>
      <c r="AK196" s="11"/>
      <c r="AL196" s="6"/>
      <c r="AM196" s="6"/>
      <c r="AN196" s="4"/>
      <c r="AO196" s="6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</row>
    <row r="197" spans="1:53">
      <c r="A197" s="4"/>
      <c r="B197" s="4"/>
      <c r="C197" s="4"/>
      <c r="D197" s="4"/>
      <c r="E197" s="4"/>
      <c r="F197" s="4"/>
      <c r="G197" s="4"/>
      <c r="H197" s="6"/>
      <c r="I197" s="5"/>
      <c r="J197" s="4"/>
      <c r="K197" s="4"/>
      <c r="L197" s="6"/>
      <c r="M197" s="4"/>
      <c r="N197" s="4"/>
      <c r="O197" s="4"/>
      <c r="P197" s="4"/>
      <c r="Q197" s="4"/>
      <c r="R197" s="4"/>
      <c r="S197" s="27"/>
      <c r="T197" s="4"/>
      <c r="U197" s="4"/>
      <c r="V197" s="4"/>
      <c r="W197" s="20"/>
      <c r="X197" s="4"/>
      <c r="Y197" s="4"/>
      <c r="Z197" s="14"/>
      <c r="AA197" s="14"/>
      <c r="AB197" s="25"/>
      <c r="AC197" s="4"/>
      <c r="AD197" s="5"/>
      <c r="AE197" s="7"/>
      <c r="AF197" s="4"/>
      <c r="AG197" s="4"/>
      <c r="AH197" s="4"/>
      <c r="AI197" s="13"/>
      <c r="AJ197" s="10"/>
      <c r="AK197" s="11"/>
      <c r="AL197" s="6"/>
      <c r="AM197" s="6"/>
      <c r="AN197" s="4"/>
      <c r="AO197" s="6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</row>
    <row r="198" spans="1:53">
      <c r="A198" s="4"/>
      <c r="B198" s="4"/>
      <c r="C198" s="4"/>
      <c r="D198" s="4"/>
      <c r="E198" s="4"/>
      <c r="F198" s="4"/>
      <c r="G198" s="4"/>
      <c r="H198" s="6"/>
      <c r="I198" s="5"/>
      <c r="J198" s="4"/>
      <c r="K198" s="4"/>
      <c r="L198" s="6"/>
      <c r="M198" s="4"/>
      <c r="N198" s="4"/>
      <c r="O198" s="4"/>
      <c r="P198" s="4"/>
      <c r="Q198" s="4"/>
      <c r="R198" s="4"/>
      <c r="S198" s="27"/>
      <c r="T198" s="4"/>
      <c r="U198" s="4"/>
      <c r="V198" s="4"/>
      <c r="W198" s="20"/>
      <c r="X198" s="4"/>
      <c r="Y198" s="4"/>
      <c r="Z198" s="14"/>
      <c r="AA198" s="14"/>
      <c r="AB198" s="25"/>
      <c r="AC198" s="4"/>
      <c r="AD198" s="5"/>
      <c r="AE198" s="7"/>
      <c r="AF198" s="4"/>
      <c r="AG198" s="4"/>
      <c r="AH198" s="4"/>
      <c r="AI198" s="13"/>
      <c r="AJ198" s="10"/>
      <c r="AK198" s="11"/>
      <c r="AL198" s="6"/>
      <c r="AM198" s="6"/>
      <c r="AN198" s="4"/>
      <c r="AO198" s="6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</row>
    <row r="199" spans="1:53">
      <c r="A199" s="4"/>
      <c r="B199" s="4"/>
      <c r="C199" s="4"/>
      <c r="D199" s="4"/>
      <c r="E199" s="4"/>
      <c r="F199" s="4"/>
      <c r="G199" s="4"/>
      <c r="H199" s="6"/>
      <c r="I199" s="5"/>
      <c r="J199" s="4"/>
      <c r="K199" s="4"/>
      <c r="L199" s="6"/>
      <c r="M199" s="4"/>
      <c r="N199" s="4"/>
      <c r="O199" s="4"/>
      <c r="P199" s="4"/>
      <c r="Q199" s="4"/>
      <c r="R199" s="4"/>
      <c r="S199" s="27"/>
      <c r="T199" s="4"/>
      <c r="U199" s="4"/>
      <c r="V199" s="4"/>
      <c r="W199" s="20"/>
      <c r="X199" s="4"/>
      <c r="Y199" s="4"/>
      <c r="Z199" s="14"/>
      <c r="AA199" s="14"/>
      <c r="AB199" s="25"/>
      <c r="AC199" s="4"/>
      <c r="AD199" s="5"/>
      <c r="AE199" s="7"/>
      <c r="AF199" s="4"/>
      <c r="AG199" s="4"/>
      <c r="AH199" s="4"/>
      <c r="AI199" s="13"/>
      <c r="AJ199" s="10"/>
      <c r="AK199" s="11"/>
      <c r="AL199" s="6"/>
      <c r="AM199" s="6"/>
      <c r="AN199" s="4"/>
      <c r="AO199" s="6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</row>
    <row r="200" spans="1:53">
      <c r="A200" s="4"/>
      <c r="B200" s="4"/>
      <c r="C200" s="4"/>
      <c r="D200" s="4"/>
      <c r="E200" s="4"/>
      <c r="F200" s="4"/>
      <c r="G200" s="4"/>
      <c r="H200" s="6"/>
      <c r="I200" s="5"/>
      <c r="J200" s="4"/>
      <c r="K200" s="4"/>
      <c r="L200" s="6"/>
      <c r="M200" s="4"/>
      <c r="N200" s="4"/>
      <c r="O200" s="4"/>
      <c r="P200" s="4"/>
      <c r="Q200" s="4"/>
      <c r="R200" s="4"/>
      <c r="S200" s="27"/>
      <c r="T200" s="4"/>
      <c r="U200" s="4"/>
      <c r="V200" s="4"/>
      <c r="W200" s="20"/>
      <c r="X200" s="4"/>
      <c r="Y200" s="4"/>
      <c r="Z200" s="14"/>
      <c r="AA200" s="14"/>
      <c r="AB200" s="25"/>
      <c r="AC200" s="4"/>
      <c r="AD200" s="5"/>
      <c r="AE200" s="7"/>
      <c r="AF200" s="4"/>
      <c r="AG200" s="4"/>
      <c r="AH200" s="4"/>
      <c r="AI200" s="13"/>
      <c r="AJ200" s="10"/>
      <c r="AK200" s="11"/>
      <c r="AL200" s="6"/>
      <c r="AM200" s="6"/>
      <c r="AN200" s="4"/>
      <c r="AO200" s="6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</row>
    <row r="201" spans="1:53">
      <c r="A201" s="4"/>
      <c r="B201" s="4"/>
      <c r="C201" s="4"/>
      <c r="D201" s="4"/>
      <c r="E201" s="4"/>
      <c r="F201" s="4"/>
      <c r="G201" s="4"/>
      <c r="H201" s="6"/>
      <c r="I201" s="5"/>
      <c r="J201" s="4"/>
      <c r="K201" s="4"/>
      <c r="L201" s="6"/>
      <c r="M201" s="4"/>
      <c r="N201" s="4"/>
      <c r="O201" s="4"/>
      <c r="P201" s="4"/>
      <c r="Q201" s="4"/>
      <c r="R201" s="4"/>
      <c r="S201" s="27"/>
      <c r="T201" s="4"/>
      <c r="U201" s="4"/>
      <c r="V201" s="4"/>
      <c r="W201" s="20"/>
      <c r="X201" s="4"/>
      <c r="Y201" s="4"/>
      <c r="Z201" s="14"/>
      <c r="AA201" s="14"/>
      <c r="AB201" s="25"/>
      <c r="AC201" s="4"/>
      <c r="AD201" s="5"/>
      <c r="AE201" s="7"/>
      <c r="AF201" s="4"/>
      <c r="AG201" s="4"/>
      <c r="AH201" s="4"/>
      <c r="AI201" s="13"/>
      <c r="AJ201" s="10"/>
      <c r="AK201" s="11"/>
      <c r="AL201" s="6"/>
      <c r="AM201" s="6"/>
      <c r="AN201" s="4"/>
      <c r="AO201" s="6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</row>
    <row r="202" spans="1:53">
      <c r="A202" s="4"/>
      <c r="B202" s="4"/>
      <c r="C202" s="4"/>
      <c r="D202" s="4"/>
      <c r="E202" s="4"/>
      <c r="F202" s="4"/>
      <c r="G202" s="4"/>
      <c r="H202" s="6"/>
      <c r="I202" s="5"/>
      <c r="J202" s="4"/>
      <c r="K202" s="4"/>
      <c r="L202" s="6"/>
      <c r="M202" s="4"/>
      <c r="N202" s="4"/>
      <c r="O202" s="4"/>
      <c r="P202" s="4"/>
      <c r="Q202" s="4"/>
      <c r="R202" s="4"/>
      <c r="S202" s="27"/>
      <c r="T202" s="4"/>
      <c r="U202" s="4"/>
      <c r="V202" s="4"/>
      <c r="W202" s="20"/>
      <c r="X202" s="4"/>
      <c r="Y202" s="4"/>
      <c r="Z202" s="14"/>
      <c r="AA202" s="14"/>
      <c r="AB202" s="25"/>
      <c r="AC202" s="4"/>
      <c r="AD202" s="5"/>
      <c r="AE202" s="7"/>
      <c r="AF202" s="4"/>
      <c r="AG202" s="4"/>
      <c r="AH202" s="4"/>
      <c r="AI202" s="13"/>
      <c r="AJ202" s="10"/>
      <c r="AK202" s="11"/>
      <c r="AL202" s="6"/>
      <c r="AM202" s="6"/>
      <c r="AN202" s="4"/>
      <c r="AO202" s="6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</row>
    <row r="203" spans="1:53">
      <c r="A203" s="4"/>
      <c r="B203" s="4"/>
      <c r="C203" s="4"/>
      <c r="D203" s="4"/>
      <c r="E203" s="4"/>
      <c r="F203" s="4"/>
      <c r="G203" s="4"/>
      <c r="H203" s="6"/>
      <c r="I203" s="5"/>
      <c r="J203" s="4"/>
      <c r="K203" s="4"/>
      <c r="L203" s="6"/>
      <c r="M203" s="4"/>
      <c r="N203" s="4"/>
      <c r="O203" s="4"/>
      <c r="P203" s="4"/>
      <c r="Q203" s="4"/>
      <c r="R203" s="4"/>
      <c r="S203" s="27"/>
      <c r="T203" s="4"/>
      <c r="U203" s="4"/>
      <c r="V203" s="4"/>
      <c r="W203" s="20"/>
      <c r="X203" s="4"/>
      <c r="Y203" s="4"/>
      <c r="Z203" s="14"/>
      <c r="AA203" s="14"/>
      <c r="AB203" s="25"/>
      <c r="AC203" s="4"/>
      <c r="AD203" s="5"/>
      <c r="AE203" s="7"/>
      <c r="AF203" s="4"/>
      <c r="AG203" s="4"/>
      <c r="AH203" s="4"/>
      <c r="AI203" s="13"/>
      <c r="AJ203" s="10"/>
      <c r="AK203" s="11"/>
      <c r="AL203" s="6"/>
      <c r="AM203" s="6"/>
      <c r="AN203" s="4"/>
      <c r="AO203" s="6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</row>
    <row r="204" spans="1:53">
      <c r="A204" s="4"/>
      <c r="B204" s="4"/>
      <c r="C204" s="4"/>
      <c r="D204" s="4"/>
      <c r="E204" s="4"/>
      <c r="F204" s="4"/>
      <c r="G204" s="4"/>
      <c r="H204" s="6"/>
      <c r="I204" s="5"/>
      <c r="J204" s="4"/>
      <c r="K204" s="4"/>
      <c r="L204" s="6"/>
      <c r="M204" s="4"/>
      <c r="N204" s="4"/>
      <c r="O204" s="4"/>
      <c r="P204" s="4"/>
      <c r="Q204" s="4"/>
      <c r="R204" s="4"/>
      <c r="S204" s="27"/>
      <c r="T204" s="4"/>
      <c r="U204" s="4"/>
      <c r="V204" s="4"/>
      <c r="W204" s="20"/>
      <c r="X204" s="4"/>
      <c r="Y204" s="4"/>
      <c r="Z204" s="14"/>
      <c r="AA204" s="14"/>
      <c r="AB204" s="25"/>
      <c r="AC204" s="4"/>
      <c r="AD204" s="5"/>
      <c r="AE204" s="7"/>
      <c r="AF204" s="4"/>
      <c r="AG204" s="4"/>
      <c r="AH204" s="4"/>
      <c r="AI204" s="13"/>
      <c r="AJ204" s="10"/>
      <c r="AK204" s="11"/>
      <c r="AL204" s="6"/>
      <c r="AM204" s="6"/>
      <c r="AN204" s="4"/>
      <c r="AO204" s="6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</row>
    <row r="205" spans="1:53">
      <c r="A205" s="4"/>
      <c r="B205" s="4"/>
      <c r="C205" s="4"/>
      <c r="D205" s="4"/>
      <c r="E205" s="4"/>
      <c r="F205" s="4"/>
      <c r="G205" s="4"/>
      <c r="H205" s="6"/>
      <c r="I205" s="5"/>
      <c r="J205" s="4"/>
      <c r="K205" s="4"/>
      <c r="L205" s="6"/>
      <c r="M205" s="4"/>
      <c r="N205" s="4"/>
      <c r="O205" s="4"/>
      <c r="P205" s="4"/>
      <c r="Q205" s="4"/>
      <c r="R205" s="4"/>
      <c r="S205" s="27"/>
      <c r="T205" s="4"/>
      <c r="U205" s="4"/>
      <c r="V205" s="4"/>
      <c r="W205" s="20"/>
      <c r="X205" s="4"/>
      <c r="Y205" s="4"/>
      <c r="Z205" s="14"/>
      <c r="AA205" s="14"/>
      <c r="AB205" s="25"/>
      <c r="AC205" s="4"/>
      <c r="AD205" s="5"/>
      <c r="AE205" s="7"/>
      <c r="AF205" s="4"/>
      <c r="AG205" s="4"/>
      <c r="AH205" s="4"/>
      <c r="AI205" s="13"/>
      <c r="AJ205" s="10"/>
      <c r="AK205" s="11"/>
      <c r="AL205" s="6"/>
      <c r="AM205" s="6"/>
      <c r="AN205" s="4"/>
      <c r="AO205" s="6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</row>
    <row r="206" spans="1:53">
      <c r="A206" s="4"/>
      <c r="B206" s="4"/>
      <c r="C206" s="4"/>
      <c r="D206" s="4"/>
      <c r="E206" s="4"/>
      <c r="F206" s="4"/>
      <c r="G206" s="4"/>
      <c r="H206" s="6"/>
      <c r="I206" s="5"/>
      <c r="J206" s="4"/>
      <c r="K206" s="4"/>
      <c r="L206" s="6"/>
      <c r="M206" s="4"/>
      <c r="N206" s="4"/>
      <c r="O206" s="4"/>
      <c r="P206" s="4"/>
      <c r="Q206" s="4"/>
      <c r="R206" s="4"/>
      <c r="S206" s="27"/>
      <c r="T206" s="4"/>
      <c r="U206" s="4"/>
      <c r="V206" s="4"/>
      <c r="W206" s="20"/>
      <c r="X206" s="4"/>
      <c r="Y206" s="4"/>
      <c r="Z206" s="14"/>
      <c r="AA206" s="14"/>
      <c r="AB206" s="25"/>
      <c r="AC206" s="4"/>
      <c r="AD206" s="5"/>
      <c r="AE206" s="7"/>
      <c r="AF206" s="4"/>
      <c r="AG206" s="4"/>
      <c r="AH206" s="4"/>
      <c r="AI206" s="13"/>
      <c r="AJ206" s="10"/>
      <c r="AK206" s="11"/>
      <c r="AL206" s="6"/>
      <c r="AM206" s="6"/>
      <c r="AN206" s="4"/>
      <c r="AO206" s="6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</row>
    <row r="207" spans="1:53">
      <c r="A207" s="4"/>
      <c r="B207" s="4"/>
      <c r="C207" s="4"/>
      <c r="D207" s="4"/>
      <c r="E207" s="4"/>
      <c r="F207" s="4"/>
      <c r="G207" s="4"/>
      <c r="H207" s="6"/>
      <c r="I207" s="5"/>
      <c r="J207" s="4"/>
      <c r="K207" s="4"/>
      <c r="L207" s="6"/>
      <c r="M207" s="4"/>
      <c r="N207" s="4"/>
      <c r="O207" s="4"/>
      <c r="P207" s="4"/>
      <c r="Q207" s="4"/>
      <c r="R207" s="4"/>
      <c r="S207" s="27"/>
      <c r="T207" s="4"/>
      <c r="U207" s="4"/>
      <c r="V207" s="4"/>
      <c r="W207" s="20"/>
      <c r="X207" s="4"/>
      <c r="Y207" s="4"/>
      <c r="Z207" s="14"/>
      <c r="AA207" s="14"/>
      <c r="AB207" s="25"/>
      <c r="AC207" s="4"/>
      <c r="AD207" s="5"/>
      <c r="AE207" s="7"/>
      <c r="AF207" s="4"/>
      <c r="AG207" s="4"/>
      <c r="AH207" s="4"/>
      <c r="AI207" s="13"/>
      <c r="AJ207" s="10"/>
      <c r="AK207" s="11"/>
      <c r="AL207" s="6"/>
      <c r="AM207" s="6"/>
      <c r="AN207" s="4"/>
      <c r="AO207" s="6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</row>
    <row r="208" spans="1:53">
      <c r="A208" s="4"/>
      <c r="B208" s="4"/>
      <c r="C208" s="4"/>
      <c r="D208" s="4"/>
      <c r="E208" s="4"/>
      <c r="F208" s="4"/>
      <c r="G208" s="4"/>
      <c r="H208" s="6"/>
      <c r="I208" s="5"/>
      <c r="J208" s="4"/>
      <c r="K208" s="4"/>
      <c r="L208" s="6"/>
      <c r="M208" s="4"/>
      <c r="N208" s="4"/>
      <c r="O208" s="4"/>
      <c r="P208" s="4"/>
      <c r="Q208" s="4"/>
      <c r="R208" s="4"/>
      <c r="S208" s="27"/>
      <c r="T208" s="4"/>
      <c r="U208" s="4"/>
      <c r="V208" s="4"/>
      <c r="W208" s="20"/>
      <c r="X208" s="4"/>
      <c r="Y208" s="4"/>
      <c r="Z208" s="14"/>
      <c r="AA208" s="14"/>
      <c r="AB208" s="25"/>
      <c r="AC208" s="4"/>
      <c r="AD208" s="5"/>
      <c r="AE208" s="7"/>
      <c r="AF208" s="4"/>
      <c r="AG208" s="4"/>
      <c r="AH208" s="4"/>
      <c r="AI208" s="13"/>
      <c r="AJ208" s="10"/>
      <c r="AK208" s="11"/>
      <c r="AL208" s="6"/>
      <c r="AM208" s="6"/>
      <c r="AN208" s="4"/>
      <c r="AO208" s="6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</row>
    <row r="209" spans="1:53">
      <c r="A209" s="4"/>
      <c r="B209" s="4"/>
      <c r="C209" s="4"/>
      <c r="D209" s="4"/>
      <c r="E209" s="4"/>
      <c r="F209" s="4"/>
      <c r="G209" s="4"/>
      <c r="H209" s="6"/>
      <c r="I209" s="5"/>
      <c r="J209" s="4"/>
      <c r="K209" s="4"/>
      <c r="L209" s="6"/>
      <c r="M209" s="4"/>
      <c r="N209" s="4"/>
      <c r="O209" s="4"/>
      <c r="P209" s="4"/>
      <c r="Q209" s="4"/>
      <c r="R209" s="4"/>
      <c r="S209" s="27"/>
      <c r="T209" s="4"/>
      <c r="U209" s="4"/>
      <c r="V209" s="4"/>
      <c r="W209" s="20"/>
      <c r="X209" s="4"/>
      <c r="Y209" s="4"/>
      <c r="Z209" s="14"/>
      <c r="AA209" s="14"/>
      <c r="AB209" s="25"/>
      <c r="AC209" s="4"/>
      <c r="AD209" s="5"/>
      <c r="AE209" s="7"/>
      <c r="AF209" s="4"/>
      <c r="AG209" s="4"/>
      <c r="AH209" s="4"/>
      <c r="AI209" s="13"/>
      <c r="AJ209" s="10"/>
      <c r="AK209" s="11"/>
      <c r="AL209" s="6"/>
      <c r="AM209" s="6"/>
      <c r="AN209" s="4"/>
      <c r="AO209" s="6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</row>
    <row r="210" spans="1:53">
      <c r="A210" s="4"/>
      <c r="B210" s="4"/>
      <c r="C210" s="4"/>
      <c r="D210" s="4"/>
      <c r="E210" s="4"/>
      <c r="F210" s="4"/>
      <c r="G210" s="4"/>
      <c r="H210" s="6"/>
      <c r="I210" s="5"/>
      <c r="J210" s="4"/>
      <c r="K210" s="4"/>
      <c r="L210" s="6"/>
      <c r="M210" s="4"/>
      <c r="N210" s="4"/>
      <c r="O210" s="4"/>
      <c r="P210" s="4"/>
      <c r="Q210" s="4"/>
      <c r="R210" s="4"/>
      <c r="S210" s="27"/>
      <c r="T210" s="4"/>
      <c r="U210" s="4"/>
      <c r="V210" s="4"/>
      <c r="W210" s="20"/>
      <c r="X210" s="4"/>
      <c r="Y210" s="4"/>
      <c r="Z210" s="14"/>
      <c r="AA210" s="14"/>
      <c r="AB210" s="25"/>
      <c r="AC210" s="4"/>
      <c r="AD210" s="5"/>
      <c r="AE210" s="7"/>
      <c r="AF210" s="4"/>
      <c r="AG210" s="4"/>
      <c r="AH210" s="4"/>
      <c r="AI210" s="13"/>
      <c r="AJ210" s="10"/>
      <c r="AK210" s="11"/>
      <c r="AL210" s="6"/>
      <c r="AM210" s="6"/>
      <c r="AN210" s="4"/>
      <c r="AO210" s="6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</row>
    <row r="211" spans="1:53">
      <c r="A211" s="4"/>
      <c r="B211" s="4"/>
      <c r="C211" s="4"/>
      <c r="D211" s="4"/>
      <c r="E211" s="4"/>
      <c r="F211" s="4"/>
      <c r="G211" s="4"/>
      <c r="H211" s="6"/>
      <c r="I211" s="5"/>
      <c r="J211" s="4"/>
      <c r="K211" s="4"/>
      <c r="L211" s="6"/>
      <c r="M211" s="4"/>
      <c r="N211" s="4"/>
      <c r="O211" s="4"/>
      <c r="P211" s="4"/>
      <c r="Q211" s="4"/>
      <c r="R211" s="4"/>
      <c r="S211" s="27"/>
      <c r="T211" s="4"/>
      <c r="U211" s="4"/>
      <c r="V211" s="4"/>
      <c r="W211" s="20"/>
      <c r="X211" s="4"/>
      <c r="Y211" s="4"/>
      <c r="Z211" s="14"/>
      <c r="AA211" s="14"/>
      <c r="AB211" s="25"/>
      <c r="AC211" s="4"/>
      <c r="AD211" s="5"/>
      <c r="AE211" s="7"/>
      <c r="AF211" s="4"/>
      <c r="AG211" s="4"/>
      <c r="AH211" s="4"/>
      <c r="AI211" s="13"/>
      <c r="AJ211" s="10"/>
      <c r="AK211" s="11"/>
      <c r="AL211" s="6"/>
      <c r="AM211" s="6"/>
      <c r="AN211" s="4"/>
      <c r="AO211" s="6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</row>
    <row r="212" spans="1:53">
      <c r="A212" s="4"/>
      <c r="B212" s="4"/>
      <c r="C212" s="4"/>
      <c r="D212" s="4"/>
      <c r="E212" s="4"/>
      <c r="F212" s="4"/>
      <c r="G212" s="4"/>
      <c r="H212" s="6"/>
      <c r="I212" s="5"/>
      <c r="J212" s="4"/>
      <c r="K212" s="4"/>
      <c r="L212" s="6"/>
      <c r="M212" s="4"/>
      <c r="N212" s="4"/>
      <c r="O212" s="4"/>
      <c r="P212" s="4"/>
      <c r="Q212" s="4"/>
      <c r="R212" s="4"/>
      <c r="S212" s="27"/>
      <c r="T212" s="4"/>
      <c r="U212" s="4"/>
      <c r="V212" s="4"/>
      <c r="W212" s="20"/>
      <c r="X212" s="4"/>
      <c r="Y212" s="4"/>
      <c r="Z212" s="14"/>
      <c r="AA212" s="14"/>
      <c r="AB212" s="25"/>
      <c r="AC212" s="4"/>
      <c r="AD212" s="5"/>
      <c r="AE212" s="7"/>
      <c r="AF212" s="4"/>
      <c r="AG212" s="4"/>
      <c r="AH212" s="4"/>
      <c r="AI212" s="13"/>
      <c r="AJ212" s="10"/>
      <c r="AK212" s="11"/>
      <c r="AL212" s="6"/>
      <c r="AM212" s="6"/>
      <c r="AN212" s="4"/>
      <c r="AO212" s="6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</row>
    <row r="213" spans="1:53">
      <c r="A213" s="4"/>
      <c r="B213" s="4"/>
      <c r="C213" s="4"/>
      <c r="D213" s="4"/>
      <c r="E213" s="4"/>
      <c r="F213" s="4"/>
      <c r="G213" s="4"/>
      <c r="H213" s="6"/>
      <c r="I213" s="5"/>
      <c r="J213" s="4"/>
      <c r="K213" s="4"/>
      <c r="L213" s="6"/>
      <c r="M213" s="4"/>
      <c r="N213" s="4"/>
      <c r="O213" s="4"/>
      <c r="P213" s="4"/>
      <c r="Q213" s="4"/>
      <c r="R213" s="4"/>
      <c r="S213" s="27"/>
      <c r="T213" s="4"/>
      <c r="U213" s="4"/>
      <c r="V213" s="4"/>
      <c r="W213" s="20"/>
      <c r="X213" s="4"/>
      <c r="Y213" s="4"/>
      <c r="Z213" s="14"/>
      <c r="AA213" s="14"/>
      <c r="AB213" s="25"/>
      <c r="AC213" s="4"/>
      <c r="AD213" s="5"/>
      <c r="AE213" s="7"/>
      <c r="AF213" s="4"/>
      <c r="AG213" s="4"/>
      <c r="AH213" s="4"/>
      <c r="AI213" s="13"/>
      <c r="AJ213" s="10"/>
      <c r="AK213" s="11"/>
      <c r="AL213" s="6"/>
      <c r="AM213" s="6"/>
      <c r="AN213" s="4"/>
      <c r="AO213" s="6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</row>
    <row r="214" spans="1:53">
      <c r="A214" s="4"/>
      <c r="B214" s="4"/>
      <c r="C214" s="4"/>
      <c r="D214" s="4"/>
      <c r="E214" s="4"/>
      <c r="F214" s="4"/>
      <c r="G214" s="4"/>
      <c r="H214" s="6"/>
      <c r="I214" s="5"/>
      <c r="J214" s="4"/>
      <c r="K214" s="4"/>
      <c r="L214" s="6"/>
      <c r="M214" s="4"/>
      <c r="N214" s="4"/>
      <c r="O214" s="4"/>
      <c r="P214" s="4"/>
      <c r="Q214" s="4"/>
      <c r="R214" s="4"/>
      <c r="S214" s="27"/>
      <c r="T214" s="4"/>
      <c r="U214" s="4"/>
      <c r="V214" s="4"/>
      <c r="W214" s="20"/>
      <c r="X214" s="4"/>
      <c r="Y214" s="4"/>
      <c r="Z214" s="14"/>
      <c r="AA214" s="14"/>
      <c r="AB214" s="25"/>
      <c r="AC214" s="4"/>
      <c r="AD214" s="5"/>
      <c r="AE214" s="7"/>
      <c r="AF214" s="4"/>
      <c r="AG214" s="4"/>
      <c r="AH214" s="4"/>
      <c r="AI214" s="13"/>
      <c r="AJ214" s="10"/>
      <c r="AK214" s="11"/>
      <c r="AL214" s="6"/>
      <c r="AM214" s="6"/>
      <c r="AN214" s="4"/>
      <c r="AO214" s="6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</row>
    <row r="215" spans="1:53">
      <c r="A215" s="4"/>
      <c r="B215" s="4"/>
      <c r="C215" s="4"/>
      <c r="D215" s="4"/>
      <c r="E215" s="4"/>
      <c r="F215" s="4"/>
      <c r="G215" s="4"/>
      <c r="H215" s="6"/>
      <c r="I215" s="5"/>
      <c r="J215" s="4"/>
      <c r="K215" s="4"/>
      <c r="L215" s="6"/>
      <c r="M215" s="4"/>
      <c r="N215" s="4"/>
      <c r="O215" s="4"/>
      <c r="P215" s="4"/>
      <c r="Q215" s="4"/>
      <c r="R215" s="4"/>
      <c r="S215" s="27"/>
      <c r="T215" s="4"/>
      <c r="U215" s="4"/>
      <c r="V215" s="4"/>
      <c r="W215" s="20"/>
      <c r="X215" s="4"/>
      <c r="Y215" s="4"/>
      <c r="Z215" s="14"/>
      <c r="AA215" s="14"/>
      <c r="AB215" s="25"/>
      <c r="AC215" s="4"/>
      <c r="AD215" s="5"/>
      <c r="AE215" s="7"/>
      <c r="AF215" s="4"/>
      <c r="AG215" s="4"/>
      <c r="AH215" s="4"/>
      <c r="AI215" s="13"/>
      <c r="AJ215" s="10"/>
      <c r="AK215" s="11"/>
      <c r="AL215" s="6"/>
      <c r="AM215" s="6"/>
      <c r="AN215" s="4"/>
      <c r="AO215" s="6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</row>
    <row r="216" spans="1:53">
      <c r="A216" s="4"/>
      <c r="B216" s="4"/>
      <c r="C216" s="4"/>
      <c r="D216" s="4"/>
      <c r="E216" s="4"/>
      <c r="F216" s="4"/>
      <c r="G216" s="4"/>
      <c r="H216" s="6"/>
      <c r="I216" s="5"/>
      <c r="J216" s="4"/>
      <c r="K216" s="4"/>
      <c r="L216" s="6"/>
      <c r="M216" s="4"/>
      <c r="N216" s="4"/>
      <c r="O216" s="4"/>
      <c r="P216" s="4"/>
      <c r="Q216" s="4"/>
      <c r="R216" s="4"/>
      <c r="S216" s="27"/>
      <c r="T216" s="4"/>
      <c r="U216" s="4"/>
      <c r="V216" s="4"/>
      <c r="W216" s="20"/>
      <c r="X216" s="4"/>
      <c r="Y216" s="4"/>
      <c r="Z216" s="14"/>
      <c r="AA216" s="14"/>
      <c r="AB216" s="25"/>
      <c r="AC216" s="4"/>
      <c r="AD216" s="5"/>
      <c r="AE216" s="7"/>
      <c r="AF216" s="4"/>
      <c r="AG216" s="4"/>
      <c r="AH216" s="4"/>
      <c r="AI216" s="13"/>
      <c r="AJ216" s="10"/>
      <c r="AK216" s="11"/>
      <c r="AL216" s="6"/>
      <c r="AM216" s="6"/>
      <c r="AN216" s="4"/>
      <c r="AO216" s="6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</row>
    <row r="217" spans="1:53">
      <c r="A217" s="4"/>
      <c r="B217" s="4"/>
      <c r="C217" s="4"/>
      <c r="D217" s="4"/>
      <c r="E217" s="4"/>
      <c r="F217" s="4"/>
      <c r="G217" s="4"/>
      <c r="H217" s="6"/>
      <c r="I217" s="5"/>
      <c r="J217" s="4"/>
      <c r="K217" s="4"/>
      <c r="L217" s="6"/>
      <c r="M217" s="4"/>
      <c r="N217" s="4"/>
      <c r="O217" s="4"/>
      <c r="P217" s="4"/>
      <c r="Q217" s="4"/>
      <c r="R217" s="4"/>
      <c r="S217" s="27"/>
      <c r="T217" s="4"/>
      <c r="U217" s="4"/>
      <c r="V217" s="4"/>
      <c r="W217" s="20"/>
      <c r="X217" s="4"/>
      <c r="Y217" s="4"/>
      <c r="Z217" s="14"/>
      <c r="AA217" s="14"/>
      <c r="AB217" s="25"/>
      <c r="AC217" s="4"/>
      <c r="AD217" s="5"/>
      <c r="AE217" s="7"/>
      <c r="AF217" s="4"/>
      <c r="AG217" s="4"/>
      <c r="AH217" s="4"/>
      <c r="AI217" s="13"/>
      <c r="AJ217" s="10"/>
      <c r="AK217" s="11"/>
      <c r="AL217" s="6"/>
      <c r="AM217" s="6"/>
      <c r="AN217" s="4"/>
      <c r="AO217" s="6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</row>
    <row r="218" spans="1:53">
      <c r="A218" s="4"/>
      <c r="B218" s="4"/>
      <c r="C218" s="4"/>
      <c r="D218" s="4"/>
      <c r="E218" s="4"/>
      <c r="F218" s="4"/>
      <c r="G218" s="4"/>
      <c r="H218" s="6"/>
      <c r="I218" s="5"/>
      <c r="J218" s="4"/>
      <c r="K218" s="4"/>
      <c r="L218" s="6"/>
      <c r="M218" s="4"/>
      <c r="N218" s="4"/>
      <c r="O218" s="4"/>
      <c r="P218" s="4"/>
      <c r="Q218" s="4"/>
      <c r="R218" s="4"/>
      <c r="S218" s="27"/>
      <c r="T218" s="4"/>
      <c r="U218" s="4"/>
      <c r="V218" s="4"/>
      <c r="W218" s="20"/>
      <c r="X218" s="4"/>
      <c r="Y218" s="4"/>
      <c r="Z218" s="14"/>
      <c r="AA218" s="14"/>
      <c r="AB218" s="25"/>
      <c r="AC218" s="4"/>
      <c r="AD218" s="5"/>
      <c r="AE218" s="7"/>
      <c r="AF218" s="4"/>
      <c r="AG218" s="4"/>
      <c r="AH218" s="4"/>
      <c r="AI218" s="13"/>
      <c r="AJ218" s="10"/>
      <c r="AK218" s="11"/>
      <c r="AL218" s="6"/>
      <c r="AM218" s="6"/>
      <c r="AN218" s="4"/>
      <c r="AO218" s="6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</row>
    <row r="219" spans="1:53">
      <c r="A219" s="4"/>
      <c r="B219" s="4"/>
      <c r="C219" s="4"/>
      <c r="D219" s="4"/>
      <c r="E219" s="4"/>
      <c r="F219" s="4"/>
      <c r="G219" s="4"/>
      <c r="H219" s="6"/>
      <c r="I219" s="5"/>
      <c r="J219" s="4"/>
      <c r="K219" s="4"/>
      <c r="L219" s="6"/>
      <c r="M219" s="4"/>
      <c r="N219" s="4"/>
      <c r="O219" s="4"/>
      <c r="P219" s="4"/>
      <c r="Q219" s="4"/>
      <c r="R219" s="4"/>
      <c r="S219" s="27"/>
      <c r="T219" s="4"/>
      <c r="U219" s="4"/>
      <c r="V219" s="4"/>
      <c r="W219" s="20"/>
      <c r="X219" s="4"/>
      <c r="Y219" s="4"/>
      <c r="Z219" s="14"/>
      <c r="AA219" s="14"/>
      <c r="AB219" s="25"/>
      <c r="AC219" s="4"/>
      <c r="AD219" s="5"/>
      <c r="AE219" s="7"/>
      <c r="AF219" s="4"/>
      <c r="AG219" s="4"/>
      <c r="AH219" s="4"/>
      <c r="AI219" s="13"/>
      <c r="AJ219" s="10"/>
      <c r="AK219" s="11"/>
      <c r="AL219" s="6"/>
      <c r="AM219" s="6"/>
      <c r="AN219" s="4"/>
      <c r="AO219" s="6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</row>
    <row r="220" spans="1:53">
      <c r="A220" s="4"/>
      <c r="B220" s="4"/>
      <c r="C220" s="4"/>
      <c r="D220" s="4"/>
      <c r="E220" s="4"/>
      <c r="F220" s="4"/>
      <c r="G220" s="4"/>
      <c r="H220" s="6"/>
      <c r="I220" s="5"/>
      <c r="J220" s="4"/>
      <c r="K220" s="4"/>
      <c r="L220" s="6"/>
      <c r="M220" s="4"/>
      <c r="N220" s="4"/>
      <c r="O220" s="4"/>
      <c r="P220" s="4"/>
      <c r="Q220" s="4"/>
      <c r="R220" s="4"/>
      <c r="S220" s="27"/>
      <c r="T220" s="4"/>
      <c r="U220" s="4"/>
      <c r="V220" s="4"/>
      <c r="W220" s="20"/>
      <c r="X220" s="4"/>
      <c r="Y220" s="4"/>
      <c r="Z220" s="14"/>
      <c r="AA220" s="14"/>
      <c r="AB220" s="25"/>
      <c r="AC220" s="4"/>
      <c r="AD220" s="5"/>
      <c r="AE220" s="7"/>
      <c r="AF220" s="4"/>
      <c r="AG220" s="4"/>
      <c r="AH220" s="4"/>
      <c r="AI220" s="13"/>
      <c r="AJ220" s="10"/>
      <c r="AK220" s="11"/>
      <c r="AL220" s="6"/>
      <c r="AM220" s="6"/>
      <c r="AN220" s="4"/>
      <c r="AO220" s="6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</row>
    <row r="221" spans="1:53">
      <c r="A221" s="4"/>
      <c r="B221" s="4"/>
      <c r="C221" s="4"/>
      <c r="D221" s="4"/>
      <c r="E221" s="4"/>
      <c r="F221" s="4"/>
      <c r="G221" s="4"/>
      <c r="H221" s="6"/>
      <c r="I221" s="5"/>
      <c r="J221" s="4"/>
      <c r="K221" s="4"/>
      <c r="L221" s="6"/>
      <c r="M221" s="4"/>
      <c r="N221" s="4"/>
      <c r="O221" s="4"/>
      <c r="P221" s="4"/>
      <c r="Q221" s="4"/>
      <c r="R221" s="4"/>
      <c r="S221" s="27"/>
      <c r="T221" s="4"/>
      <c r="U221" s="4"/>
      <c r="V221" s="4"/>
      <c r="W221" s="20"/>
      <c r="X221" s="4"/>
      <c r="Y221" s="4"/>
      <c r="Z221" s="14"/>
      <c r="AA221" s="14"/>
      <c r="AB221" s="25"/>
      <c r="AC221" s="4"/>
      <c r="AD221" s="5"/>
      <c r="AE221" s="7"/>
      <c r="AF221" s="4"/>
      <c r="AG221" s="4"/>
      <c r="AH221" s="4"/>
      <c r="AI221" s="13"/>
      <c r="AJ221" s="10"/>
      <c r="AK221" s="11"/>
      <c r="AL221" s="6"/>
      <c r="AM221" s="6"/>
      <c r="AN221" s="4"/>
      <c r="AO221" s="6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</row>
    <row r="222" spans="1:53">
      <c r="A222" s="4"/>
      <c r="B222" s="4"/>
      <c r="C222" s="4"/>
      <c r="D222" s="4"/>
      <c r="E222" s="4"/>
      <c r="F222" s="4"/>
      <c r="G222" s="4"/>
      <c r="H222" s="6"/>
      <c r="I222" s="5"/>
      <c r="J222" s="4"/>
      <c r="K222" s="4"/>
      <c r="L222" s="6"/>
      <c r="M222" s="4"/>
      <c r="N222" s="4"/>
      <c r="O222" s="4"/>
      <c r="P222" s="4"/>
      <c r="Q222" s="4"/>
      <c r="R222" s="4"/>
      <c r="S222" s="27"/>
      <c r="T222" s="4"/>
      <c r="U222" s="4"/>
      <c r="V222" s="4"/>
      <c r="W222" s="20"/>
      <c r="X222" s="4"/>
      <c r="Y222" s="4"/>
      <c r="Z222" s="14"/>
      <c r="AA222" s="14"/>
      <c r="AB222" s="25"/>
      <c r="AC222" s="4"/>
      <c r="AD222" s="5"/>
      <c r="AE222" s="7"/>
      <c r="AF222" s="4"/>
      <c r="AG222" s="4"/>
      <c r="AH222" s="4"/>
      <c r="AI222" s="13"/>
      <c r="AJ222" s="10"/>
      <c r="AK222" s="11"/>
      <c r="AL222" s="6"/>
      <c r="AM222" s="6"/>
      <c r="AN222" s="4"/>
      <c r="AO222" s="6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</row>
    <row r="223" spans="1:53">
      <c r="A223" s="4"/>
      <c r="B223" s="4"/>
      <c r="C223" s="4"/>
      <c r="D223" s="4"/>
      <c r="E223" s="4"/>
      <c r="F223" s="4"/>
      <c r="G223" s="4"/>
      <c r="H223" s="6"/>
      <c r="I223" s="5"/>
      <c r="J223" s="4"/>
      <c r="K223" s="4"/>
      <c r="L223" s="6"/>
      <c r="M223" s="4"/>
      <c r="N223" s="4"/>
      <c r="O223" s="4"/>
      <c r="P223" s="4"/>
      <c r="Q223" s="4"/>
      <c r="R223" s="4"/>
      <c r="S223" s="27"/>
      <c r="T223" s="4"/>
      <c r="U223" s="4"/>
      <c r="V223" s="4"/>
      <c r="W223" s="20"/>
      <c r="X223" s="4"/>
      <c r="Y223" s="4"/>
      <c r="Z223" s="14"/>
      <c r="AA223" s="14"/>
      <c r="AB223" s="25"/>
      <c r="AC223" s="4"/>
      <c r="AD223" s="5"/>
      <c r="AE223" s="7"/>
      <c r="AF223" s="4"/>
      <c r="AG223" s="4"/>
      <c r="AH223" s="4"/>
      <c r="AI223" s="13"/>
      <c r="AJ223" s="10"/>
      <c r="AK223" s="11"/>
      <c r="AL223" s="6"/>
      <c r="AM223" s="6"/>
      <c r="AN223" s="4"/>
      <c r="AO223" s="6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</row>
    <row r="224" spans="1:53">
      <c r="A224" s="4"/>
      <c r="B224" s="4"/>
      <c r="C224" s="4"/>
      <c r="D224" s="4"/>
      <c r="E224" s="4"/>
      <c r="F224" s="4"/>
      <c r="G224" s="4"/>
      <c r="H224" s="6"/>
      <c r="I224" s="5"/>
      <c r="J224" s="4"/>
      <c r="K224" s="4"/>
      <c r="L224" s="6"/>
      <c r="M224" s="4"/>
      <c r="N224" s="4"/>
      <c r="O224" s="4"/>
      <c r="P224" s="4"/>
      <c r="Q224" s="4"/>
      <c r="R224" s="4"/>
      <c r="S224" s="27"/>
      <c r="T224" s="4"/>
      <c r="U224" s="4"/>
      <c r="V224" s="4"/>
      <c r="W224" s="20"/>
      <c r="X224" s="4"/>
      <c r="Y224" s="4"/>
      <c r="Z224" s="14"/>
      <c r="AA224" s="14"/>
      <c r="AB224" s="25"/>
      <c r="AC224" s="4"/>
      <c r="AD224" s="5"/>
      <c r="AE224" s="7"/>
      <c r="AF224" s="4"/>
      <c r="AG224" s="4"/>
      <c r="AH224" s="4"/>
      <c r="AI224" s="13"/>
      <c r="AJ224" s="10"/>
      <c r="AK224" s="11"/>
      <c r="AL224" s="6"/>
      <c r="AM224" s="6"/>
      <c r="AN224" s="4"/>
      <c r="AO224" s="6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</row>
    <row r="225" spans="1:53">
      <c r="A225" s="4"/>
      <c r="B225" s="4"/>
      <c r="C225" s="4"/>
      <c r="D225" s="4"/>
      <c r="E225" s="4"/>
      <c r="F225" s="4"/>
      <c r="G225" s="4"/>
      <c r="H225" s="6"/>
      <c r="I225" s="5"/>
      <c r="J225" s="4"/>
      <c r="K225" s="4"/>
      <c r="L225" s="6"/>
      <c r="M225" s="4"/>
      <c r="N225" s="4"/>
      <c r="O225" s="4"/>
      <c r="P225" s="4"/>
      <c r="Q225" s="4"/>
      <c r="R225" s="4"/>
      <c r="S225" s="27"/>
      <c r="T225" s="4"/>
      <c r="U225" s="4"/>
      <c r="V225" s="4"/>
      <c r="W225" s="20"/>
      <c r="X225" s="4"/>
      <c r="Y225" s="4"/>
      <c r="Z225" s="14"/>
      <c r="AA225" s="14"/>
      <c r="AB225" s="25"/>
      <c r="AC225" s="4"/>
      <c r="AD225" s="5"/>
      <c r="AE225" s="7"/>
      <c r="AF225" s="4"/>
      <c r="AG225" s="4"/>
      <c r="AH225" s="4"/>
      <c r="AI225" s="13"/>
      <c r="AJ225" s="10"/>
      <c r="AK225" s="11"/>
      <c r="AL225" s="6"/>
      <c r="AM225" s="6"/>
      <c r="AN225" s="4"/>
      <c r="AO225" s="6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</row>
    <row r="226" spans="1:53">
      <c r="A226" s="4"/>
      <c r="B226" s="4"/>
      <c r="C226" s="4"/>
      <c r="D226" s="4"/>
      <c r="E226" s="4"/>
      <c r="F226" s="4"/>
      <c r="G226" s="4"/>
      <c r="H226" s="6"/>
      <c r="I226" s="5"/>
      <c r="J226" s="4"/>
      <c r="K226" s="4"/>
      <c r="L226" s="6"/>
      <c r="M226" s="4"/>
      <c r="N226" s="4"/>
      <c r="O226" s="4"/>
      <c r="P226" s="4"/>
      <c r="Q226" s="4"/>
      <c r="R226" s="4"/>
      <c r="S226" s="27"/>
      <c r="T226" s="4"/>
      <c r="U226" s="4"/>
      <c r="V226" s="4"/>
      <c r="W226" s="20"/>
      <c r="X226" s="4"/>
      <c r="Y226" s="4"/>
      <c r="Z226" s="14"/>
      <c r="AA226" s="14"/>
      <c r="AB226" s="25"/>
      <c r="AC226" s="4"/>
      <c r="AD226" s="5"/>
      <c r="AE226" s="7"/>
      <c r="AF226" s="4"/>
      <c r="AG226" s="4"/>
      <c r="AH226" s="4"/>
      <c r="AI226" s="13"/>
      <c r="AJ226" s="10"/>
      <c r="AK226" s="11"/>
      <c r="AL226" s="6"/>
      <c r="AM226" s="6"/>
      <c r="AN226" s="4"/>
      <c r="AO226" s="6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</row>
    <row r="227" spans="1:53">
      <c r="A227" s="4"/>
      <c r="B227" s="4"/>
      <c r="C227" s="4"/>
      <c r="D227" s="4"/>
      <c r="E227" s="4"/>
      <c r="F227" s="4"/>
      <c r="G227" s="4"/>
      <c r="H227" s="6"/>
      <c r="I227" s="5"/>
      <c r="J227" s="4"/>
      <c r="K227" s="4"/>
      <c r="L227" s="6"/>
      <c r="M227" s="4"/>
      <c r="N227" s="4"/>
      <c r="O227" s="4"/>
      <c r="P227" s="4"/>
      <c r="Q227" s="4"/>
      <c r="R227" s="4"/>
      <c r="S227" s="27"/>
      <c r="T227" s="4"/>
      <c r="U227" s="4"/>
      <c r="V227" s="4"/>
      <c r="W227" s="20"/>
      <c r="X227" s="4"/>
      <c r="Y227" s="4"/>
      <c r="Z227" s="14"/>
      <c r="AA227" s="14"/>
      <c r="AB227" s="25"/>
      <c r="AC227" s="4"/>
      <c r="AD227" s="5"/>
      <c r="AE227" s="7"/>
      <c r="AF227" s="4"/>
      <c r="AG227" s="4"/>
      <c r="AH227" s="4"/>
      <c r="AI227" s="13"/>
      <c r="AJ227" s="10"/>
      <c r="AK227" s="11"/>
      <c r="AL227" s="6"/>
      <c r="AM227" s="6"/>
      <c r="AN227" s="4"/>
      <c r="AO227" s="6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</row>
    <row r="228" spans="1:53">
      <c r="A228" s="4"/>
      <c r="B228" s="4"/>
      <c r="C228" s="4"/>
      <c r="D228" s="4"/>
      <c r="E228" s="4"/>
      <c r="F228" s="4"/>
      <c r="G228" s="4"/>
      <c r="H228" s="6"/>
      <c r="I228" s="5"/>
      <c r="J228" s="4"/>
      <c r="K228" s="4"/>
      <c r="L228" s="6"/>
      <c r="M228" s="4"/>
      <c r="N228" s="4"/>
      <c r="O228" s="4"/>
      <c r="P228" s="4"/>
      <c r="Q228" s="4"/>
      <c r="R228" s="4"/>
      <c r="S228" s="27"/>
      <c r="T228" s="4"/>
      <c r="U228" s="4"/>
      <c r="V228" s="4"/>
      <c r="W228" s="20"/>
      <c r="X228" s="4"/>
      <c r="Y228" s="4"/>
      <c r="Z228" s="14"/>
      <c r="AA228" s="14"/>
      <c r="AB228" s="25"/>
      <c r="AC228" s="4"/>
      <c r="AD228" s="5"/>
      <c r="AE228" s="7"/>
      <c r="AF228" s="4"/>
      <c r="AG228" s="4"/>
      <c r="AH228" s="4"/>
      <c r="AI228" s="13"/>
      <c r="AJ228" s="10"/>
      <c r="AK228" s="11"/>
      <c r="AL228" s="6"/>
      <c r="AM228" s="6"/>
      <c r="AN228" s="4"/>
      <c r="AO228" s="6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</row>
    <row r="229" spans="1:53">
      <c r="A229" s="4"/>
      <c r="B229" s="4"/>
      <c r="C229" s="4"/>
      <c r="D229" s="4"/>
      <c r="E229" s="4"/>
      <c r="F229" s="4"/>
      <c r="G229" s="4"/>
      <c r="H229" s="6"/>
      <c r="I229" s="5"/>
      <c r="J229" s="4"/>
      <c r="K229" s="4"/>
      <c r="L229" s="6"/>
      <c r="M229" s="4"/>
      <c r="N229" s="4"/>
      <c r="O229" s="4"/>
      <c r="P229" s="4"/>
      <c r="Q229" s="4"/>
      <c r="R229" s="4"/>
      <c r="S229" s="27"/>
      <c r="T229" s="4"/>
      <c r="U229" s="4"/>
      <c r="V229" s="4"/>
      <c r="W229" s="20"/>
      <c r="X229" s="4"/>
      <c r="Y229" s="4"/>
      <c r="Z229" s="14"/>
      <c r="AA229" s="14"/>
      <c r="AB229" s="25"/>
      <c r="AC229" s="4"/>
      <c r="AD229" s="5"/>
      <c r="AE229" s="7"/>
      <c r="AF229" s="4"/>
      <c r="AG229" s="4"/>
      <c r="AH229" s="4"/>
      <c r="AI229" s="13"/>
      <c r="AJ229" s="10"/>
      <c r="AK229" s="11"/>
      <c r="AL229" s="6"/>
      <c r="AM229" s="6"/>
      <c r="AN229" s="4"/>
      <c r="AO229" s="6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</row>
    <row r="230" spans="1:53">
      <c r="A230" s="4"/>
      <c r="B230" s="4"/>
      <c r="C230" s="4"/>
      <c r="D230" s="4"/>
      <c r="E230" s="4"/>
      <c r="F230" s="4"/>
      <c r="G230" s="4"/>
      <c r="H230" s="6"/>
      <c r="I230" s="5"/>
      <c r="J230" s="4"/>
      <c r="K230" s="4"/>
      <c r="L230" s="6"/>
      <c r="M230" s="4"/>
      <c r="N230" s="4"/>
      <c r="O230" s="4"/>
      <c r="P230" s="4"/>
      <c r="Q230" s="4"/>
      <c r="R230" s="4"/>
      <c r="S230" s="27"/>
      <c r="T230" s="4"/>
      <c r="U230" s="4"/>
      <c r="V230" s="4"/>
      <c r="W230" s="20"/>
      <c r="X230" s="4"/>
      <c r="Y230" s="4"/>
      <c r="Z230" s="14"/>
      <c r="AA230" s="14"/>
      <c r="AB230" s="25"/>
      <c r="AC230" s="4"/>
      <c r="AD230" s="5"/>
      <c r="AE230" s="7"/>
      <c r="AF230" s="4"/>
      <c r="AG230" s="4"/>
      <c r="AH230" s="4"/>
      <c r="AI230" s="13"/>
      <c r="AJ230" s="10"/>
      <c r="AK230" s="11"/>
      <c r="AL230" s="6"/>
      <c r="AM230" s="6"/>
      <c r="AN230" s="4"/>
      <c r="AO230" s="6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</row>
    <row r="231" spans="1:53">
      <c r="A231" s="4"/>
      <c r="B231" s="4"/>
      <c r="C231" s="4"/>
      <c r="D231" s="4"/>
      <c r="E231" s="4"/>
      <c r="F231" s="4"/>
      <c r="G231" s="4"/>
      <c r="H231" s="6"/>
      <c r="I231" s="5"/>
      <c r="J231" s="4"/>
      <c r="K231" s="4"/>
      <c r="L231" s="6"/>
      <c r="M231" s="4"/>
      <c r="N231" s="4"/>
      <c r="O231" s="4"/>
      <c r="P231" s="4"/>
      <c r="Q231" s="4"/>
      <c r="R231" s="4"/>
      <c r="S231" s="27"/>
      <c r="T231" s="4"/>
      <c r="U231" s="4"/>
      <c r="V231" s="4"/>
      <c r="W231" s="20"/>
      <c r="X231" s="4"/>
      <c r="Y231" s="4"/>
      <c r="Z231" s="14"/>
      <c r="AA231" s="14"/>
      <c r="AB231" s="25"/>
      <c r="AC231" s="4"/>
      <c r="AD231" s="5"/>
      <c r="AE231" s="7"/>
      <c r="AF231" s="4"/>
      <c r="AG231" s="4"/>
      <c r="AH231" s="4"/>
      <c r="AI231" s="13"/>
      <c r="AJ231" s="10"/>
      <c r="AK231" s="11"/>
      <c r="AL231" s="6"/>
      <c r="AM231" s="6"/>
      <c r="AN231" s="4"/>
      <c r="AO231" s="6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</row>
    <row r="232" spans="1:53">
      <c r="A232" s="4"/>
      <c r="B232" s="4"/>
      <c r="C232" s="4"/>
      <c r="D232" s="4"/>
      <c r="E232" s="4"/>
      <c r="F232" s="4"/>
      <c r="G232" s="4"/>
      <c r="H232" s="6"/>
      <c r="I232" s="5"/>
      <c r="J232" s="4"/>
      <c r="K232" s="4"/>
      <c r="L232" s="6"/>
      <c r="M232" s="4"/>
      <c r="N232" s="4"/>
      <c r="O232" s="4"/>
      <c r="P232" s="4"/>
      <c r="Q232" s="4"/>
      <c r="R232" s="4"/>
      <c r="S232" s="27"/>
      <c r="T232" s="4"/>
      <c r="U232" s="4"/>
      <c r="V232" s="4"/>
      <c r="W232" s="20"/>
      <c r="X232" s="4"/>
      <c r="Y232" s="4"/>
      <c r="Z232" s="14"/>
      <c r="AA232" s="14"/>
      <c r="AB232" s="25"/>
      <c r="AC232" s="4"/>
      <c r="AD232" s="5"/>
      <c r="AE232" s="7"/>
      <c r="AF232" s="4"/>
      <c r="AG232" s="4"/>
      <c r="AH232" s="4"/>
      <c r="AI232" s="13"/>
      <c r="AJ232" s="10"/>
      <c r="AK232" s="11"/>
      <c r="AL232" s="6"/>
      <c r="AM232" s="6"/>
      <c r="AN232" s="4"/>
      <c r="AO232" s="6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</row>
    <row r="233" spans="1:53">
      <c r="A233" s="4"/>
      <c r="B233" s="4"/>
      <c r="C233" s="4"/>
      <c r="D233" s="4"/>
      <c r="E233" s="4"/>
      <c r="F233" s="4"/>
      <c r="G233" s="4"/>
      <c r="H233" s="6"/>
      <c r="I233" s="5"/>
      <c r="J233" s="4"/>
      <c r="K233" s="4"/>
      <c r="L233" s="6"/>
      <c r="M233" s="4"/>
      <c r="N233" s="4"/>
      <c r="O233" s="4"/>
      <c r="P233" s="4"/>
      <c r="Q233" s="4"/>
      <c r="R233" s="4"/>
      <c r="S233" s="27"/>
      <c r="T233" s="4"/>
      <c r="U233" s="4"/>
      <c r="V233" s="4"/>
      <c r="W233" s="20"/>
      <c r="X233" s="4"/>
      <c r="Y233" s="4"/>
      <c r="Z233" s="14"/>
      <c r="AA233" s="14"/>
      <c r="AB233" s="25"/>
      <c r="AC233" s="4"/>
      <c r="AD233" s="5"/>
      <c r="AE233" s="7"/>
      <c r="AF233" s="4"/>
      <c r="AG233" s="4"/>
      <c r="AH233" s="4"/>
      <c r="AI233" s="13"/>
      <c r="AJ233" s="10"/>
      <c r="AK233" s="11"/>
      <c r="AL233" s="6"/>
      <c r="AM233" s="6"/>
      <c r="AN233" s="4"/>
      <c r="AO233" s="6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</row>
    <row r="234" spans="1:53">
      <c r="A234" s="4"/>
      <c r="B234" s="4"/>
      <c r="C234" s="4"/>
      <c r="D234" s="4"/>
      <c r="E234" s="4"/>
      <c r="F234" s="4"/>
      <c r="G234" s="4"/>
      <c r="H234" s="6"/>
      <c r="I234" s="5"/>
      <c r="J234" s="4"/>
      <c r="K234" s="4"/>
      <c r="L234" s="6"/>
      <c r="M234" s="4"/>
      <c r="N234" s="4"/>
      <c r="O234" s="4"/>
      <c r="P234" s="4"/>
      <c r="Q234" s="4"/>
      <c r="R234" s="4"/>
      <c r="S234" s="27"/>
      <c r="T234" s="4"/>
      <c r="U234" s="4"/>
      <c r="V234" s="4"/>
      <c r="W234" s="20"/>
      <c r="X234" s="4"/>
      <c r="Y234" s="4"/>
      <c r="Z234" s="14"/>
      <c r="AA234" s="14"/>
      <c r="AB234" s="25"/>
      <c r="AC234" s="4"/>
      <c r="AD234" s="5"/>
      <c r="AE234" s="7"/>
      <c r="AF234" s="4"/>
      <c r="AG234" s="4"/>
      <c r="AH234" s="4"/>
      <c r="AI234" s="13"/>
      <c r="AJ234" s="10"/>
      <c r="AK234" s="11"/>
      <c r="AL234" s="6"/>
      <c r="AM234" s="6"/>
      <c r="AN234" s="4"/>
      <c r="AO234" s="6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</row>
    <row r="235" spans="1:53">
      <c r="A235" s="4"/>
      <c r="B235" s="4"/>
      <c r="C235" s="4"/>
      <c r="D235" s="4"/>
      <c r="E235" s="4"/>
      <c r="F235" s="4"/>
      <c r="G235" s="4"/>
      <c r="H235" s="6"/>
      <c r="I235" s="5"/>
      <c r="J235" s="4"/>
      <c r="K235" s="4"/>
      <c r="L235" s="6"/>
      <c r="M235" s="4"/>
      <c r="N235" s="4"/>
      <c r="O235" s="4"/>
      <c r="P235" s="4"/>
      <c r="Q235" s="4"/>
      <c r="R235" s="4"/>
      <c r="S235" s="27"/>
      <c r="T235" s="4"/>
      <c r="U235" s="4"/>
      <c r="V235" s="4"/>
      <c r="W235" s="20"/>
      <c r="X235" s="4"/>
      <c r="Y235" s="4"/>
      <c r="Z235" s="14"/>
      <c r="AA235" s="14"/>
      <c r="AB235" s="25"/>
      <c r="AC235" s="4"/>
      <c r="AD235" s="5"/>
      <c r="AE235" s="7"/>
      <c r="AF235" s="4"/>
      <c r="AG235" s="4"/>
      <c r="AH235" s="4"/>
      <c r="AI235" s="13"/>
      <c r="AJ235" s="10"/>
      <c r="AK235" s="11"/>
      <c r="AL235" s="6"/>
      <c r="AM235" s="6"/>
      <c r="AN235" s="4"/>
      <c r="AO235" s="6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</row>
    <row r="236" spans="1:53">
      <c r="A236" s="4"/>
      <c r="B236" s="4"/>
      <c r="C236" s="4"/>
      <c r="D236" s="4"/>
      <c r="E236" s="4"/>
      <c r="F236" s="4"/>
      <c r="G236" s="4"/>
      <c r="H236" s="6"/>
      <c r="I236" s="5"/>
      <c r="J236" s="4"/>
      <c r="K236" s="4"/>
      <c r="L236" s="6"/>
      <c r="M236" s="4"/>
      <c r="N236" s="4"/>
      <c r="O236" s="4"/>
      <c r="P236" s="4"/>
      <c r="Q236" s="4"/>
      <c r="R236" s="4"/>
      <c r="S236" s="27"/>
      <c r="T236" s="4"/>
      <c r="U236" s="4"/>
      <c r="V236" s="4"/>
      <c r="W236" s="20"/>
      <c r="X236" s="4"/>
      <c r="Y236" s="4"/>
      <c r="Z236" s="14"/>
      <c r="AA236" s="14"/>
      <c r="AB236" s="25"/>
      <c r="AC236" s="4"/>
      <c r="AD236" s="5"/>
      <c r="AE236" s="7"/>
      <c r="AF236" s="4"/>
      <c r="AG236" s="4"/>
      <c r="AH236" s="4"/>
      <c r="AI236" s="13"/>
      <c r="AJ236" s="10"/>
      <c r="AK236" s="11"/>
      <c r="AL236" s="6"/>
      <c r="AM236" s="6"/>
      <c r="AN236" s="4"/>
      <c r="AO236" s="6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</row>
    <row r="237" spans="1:53">
      <c r="A237" s="4"/>
      <c r="B237" s="4"/>
      <c r="C237" s="4"/>
      <c r="D237" s="4"/>
      <c r="E237" s="4"/>
      <c r="F237" s="4"/>
      <c r="G237" s="4"/>
      <c r="H237" s="6"/>
      <c r="I237" s="5"/>
      <c r="J237" s="4"/>
      <c r="K237" s="4"/>
      <c r="L237" s="6"/>
      <c r="M237" s="4"/>
      <c r="N237" s="4"/>
      <c r="O237" s="4"/>
      <c r="P237" s="4"/>
      <c r="Q237" s="4"/>
      <c r="R237" s="4"/>
      <c r="S237" s="27"/>
      <c r="T237" s="4"/>
      <c r="U237" s="4"/>
      <c r="V237" s="4"/>
      <c r="W237" s="20"/>
      <c r="X237" s="4"/>
      <c r="Y237" s="4"/>
      <c r="Z237" s="14"/>
      <c r="AA237" s="14"/>
      <c r="AB237" s="25"/>
      <c r="AC237" s="4"/>
      <c r="AD237" s="5"/>
      <c r="AE237" s="7"/>
      <c r="AF237" s="4"/>
      <c r="AG237" s="4"/>
      <c r="AH237" s="4"/>
      <c r="AI237" s="13"/>
      <c r="AJ237" s="10"/>
      <c r="AK237" s="11"/>
      <c r="AL237" s="6"/>
      <c r="AM237" s="6"/>
      <c r="AN237" s="4"/>
      <c r="AO237" s="6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</row>
    <row r="238" spans="1:53">
      <c r="A238" s="4"/>
      <c r="B238" s="4"/>
      <c r="C238" s="4"/>
      <c r="D238" s="4"/>
      <c r="E238" s="4"/>
      <c r="F238" s="4"/>
      <c r="G238" s="4"/>
      <c r="H238" s="6"/>
      <c r="I238" s="5"/>
      <c r="J238" s="4"/>
      <c r="K238" s="4"/>
      <c r="L238" s="6"/>
      <c r="M238" s="4"/>
      <c r="N238" s="4"/>
      <c r="O238" s="4"/>
      <c r="P238" s="4"/>
      <c r="Q238" s="4"/>
      <c r="R238" s="4"/>
      <c r="S238" s="27"/>
      <c r="T238" s="4"/>
      <c r="U238" s="4"/>
      <c r="V238" s="4"/>
      <c r="W238" s="20"/>
      <c r="X238" s="4"/>
      <c r="Y238" s="4"/>
      <c r="Z238" s="14"/>
      <c r="AA238" s="14"/>
      <c r="AB238" s="25"/>
      <c r="AC238" s="4"/>
      <c r="AD238" s="5"/>
      <c r="AE238" s="7"/>
      <c r="AF238" s="4"/>
      <c r="AG238" s="4"/>
      <c r="AH238" s="4"/>
      <c r="AI238" s="13"/>
      <c r="AJ238" s="10"/>
      <c r="AK238" s="11"/>
      <c r="AL238" s="6"/>
      <c r="AM238" s="6"/>
      <c r="AN238" s="4"/>
      <c r="AO238" s="6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</row>
    <row r="239" spans="1:53">
      <c r="A239" s="4"/>
      <c r="B239" s="4"/>
      <c r="C239" s="4"/>
      <c r="D239" s="4"/>
      <c r="E239" s="4"/>
      <c r="F239" s="4"/>
      <c r="G239" s="4"/>
      <c r="H239" s="6"/>
      <c r="I239" s="5"/>
      <c r="J239" s="4"/>
      <c r="K239" s="4"/>
      <c r="L239" s="6"/>
      <c r="M239" s="4"/>
      <c r="N239" s="4"/>
      <c r="O239" s="4"/>
      <c r="P239" s="4"/>
      <c r="Q239" s="4"/>
      <c r="R239" s="4"/>
      <c r="S239" s="27"/>
      <c r="T239" s="4"/>
      <c r="U239" s="4"/>
      <c r="V239" s="4"/>
      <c r="W239" s="20"/>
      <c r="X239" s="4"/>
      <c r="Y239" s="4"/>
      <c r="Z239" s="14"/>
      <c r="AA239" s="14"/>
      <c r="AB239" s="25"/>
      <c r="AC239" s="4"/>
      <c r="AD239" s="5"/>
      <c r="AE239" s="7"/>
      <c r="AF239" s="4"/>
      <c r="AG239" s="4"/>
      <c r="AH239" s="4"/>
      <c r="AI239" s="13"/>
      <c r="AJ239" s="10"/>
      <c r="AK239" s="11"/>
      <c r="AL239" s="6"/>
      <c r="AM239" s="6"/>
      <c r="AN239" s="4"/>
      <c r="AO239" s="6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</row>
    <row r="240" spans="1:53">
      <c r="AB240" s="38"/>
      <c r="AI240" s="2"/>
    </row>
    <row r="241" spans="1:49">
      <c r="AB241" s="38"/>
      <c r="AI241" s="2"/>
    </row>
    <row r="242" spans="1:49">
      <c r="AB242" s="38"/>
      <c r="AI242" s="2"/>
    </row>
    <row r="243" spans="1:49">
      <c r="AB243" s="38"/>
      <c r="AI243" s="2"/>
    </row>
    <row r="244" spans="1:49">
      <c r="AB244" s="38"/>
      <c r="AI244" s="2"/>
    </row>
    <row r="245" spans="1:49">
      <c r="AB245" s="38"/>
      <c r="AI245" s="2"/>
    </row>
    <row r="246" spans="1:49">
      <c r="AB246" s="38"/>
      <c r="AI246" s="2"/>
    </row>
    <row r="247" spans="1:49">
      <c r="AB247" s="38"/>
      <c r="AI247" s="2"/>
    </row>
    <row r="248" spans="1:49">
      <c r="AB248" s="38"/>
      <c r="AI248" s="2"/>
    </row>
    <row r="249" spans="1:49">
      <c r="AB249" s="38"/>
      <c r="AI249" s="2"/>
    </row>
    <row r="250" spans="1:49">
      <c r="AB250" s="38"/>
      <c r="AI250" s="2"/>
    </row>
    <row r="251" spans="1:49">
      <c r="AB251" s="38"/>
      <c r="AI251" s="2"/>
    </row>
    <row r="252" spans="1:49">
      <c r="AB252" s="38"/>
      <c r="AI252" s="2"/>
    </row>
    <row r="253" spans="1:49">
      <c r="AB253" s="38"/>
      <c r="AI253" s="2"/>
    </row>
    <row r="254" spans="1:49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42"/>
      <c r="M254" s="28"/>
      <c r="N254" s="28"/>
      <c r="O254" s="28"/>
      <c r="P254" s="28"/>
      <c r="Q254" s="28"/>
      <c r="R254" s="28"/>
      <c r="S254" s="43"/>
      <c r="T254" s="28"/>
      <c r="U254" s="28"/>
      <c r="V254" s="28"/>
      <c r="W254" s="28"/>
      <c r="X254" s="28"/>
      <c r="Y254" s="28"/>
      <c r="Z254" s="28"/>
      <c r="AA254" s="28"/>
      <c r="AB254" s="44"/>
      <c r="AC254" s="28"/>
      <c r="AD254" s="42"/>
      <c r="AE254" s="28"/>
      <c r="AF254" s="28"/>
      <c r="AG254" s="28"/>
      <c r="AH254" s="28"/>
      <c r="AI254" s="45"/>
      <c r="AJ254" s="28"/>
      <c r="AK254" s="28"/>
      <c r="AL254" s="42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>
      <c r="A255" s="26"/>
      <c r="B255" s="29"/>
      <c r="K255" s="26"/>
      <c r="L255" s="26"/>
      <c r="AB255" s="38"/>
      <c r="AI255" s="2"/>
      <c r="AN255" s="48"/>
    </row>
    <row r="256" spans="1:49">
      <c r="D256" s="39"/>
      <c r="E256" s="39"/>
      <c r="F256" s="39"/>
      <c r="G256" s="39"/>
      <c r="H256" s="39"/>
      <c r="I256" s="7"/>
      <c r="K256" s="7"/>
    </row>
    <row r="257" spans="1:11">
      <c r="A257" s="46"/>
      <c r="B257" s="46"/>
      <c r="C257" s="46"/>
    </row>
    <row r="258" spans="1:11">
      <c r="A258" s="46"/>
      <c r="B258" s="46"/>
      <c r="C258" s="46"/>
    </row>
    <row r="259" spans="1:11">
      <c r="A259" s="46"/>
      <c r="B259" s="46"/>
      <c r="C259" s="46"/>
      <c r="K259" s="7"/>
    </row>
    <row r="260" spans="1:11">
      <c r="A260" s="47"/>
      <c r="B260" s="46"/>
    </row>
    <row r="261" spans="1:11">
      <c r="A261" s="47"/>
      <c r="B261" s="46"/>
    </row>
    <row r="262" spans="1:11">
      <c r="A262" s="47"/>
      <c r="B262" s="47"/>
    </row>
    <row r="263" spans="1:11">
      <c r="A263" s="7"/>
    </row>
    <row r="279" spans="4:35">
      <c r="D279" s="50"/>
      <c r="E279" s="50"/>
      <c r="F279" s="49"/>
      <c r="G279" s="50"/>
      <c r="H279" s="50"/>
      <c r="I279" s="50"/>
      <c r="J279" s="50"/>
    </row>
    <row r="280" spans="4:35">
      <c r="D280" s="50"/>
      <c r="E280" s="50"/>
      <c r="F280" s="49"/>
      <c r="G280" s="50"/>
      <c r="H280" s="50"/>
      <c r="I280" s="50"/>
      <c r="J280" s="50"/>
    </row>
    <row r="281" spans="4:35">
      <c r="D281" s="50"/>
      <c r="E281" s="50"/>
      <c r="F281" s="49"/>
      <c r="G281" s="50"/>
      <c r="H281" s="50"/>
      <c r="I281" s="50"/>
      <c r="J281" s="50"/>
      <c r="AB281" s="38"/>
      <c r="AI281" s="2"/>
    </row>
    <row r="282" spans="4:35">
      <c r="D282" s="50"/>
      <c r="E282" s="50"/>
      <c r="F282" s="49"/>
      <c r="G282" s="50"/>
      <c r="H282" s="50"/>
      <c r="I282" s="50"/>
      <c r="J282" s="50"/>
      <c r="AB282" s="38"/>
      <c r="AI282" s="2"/>
    </row>
    <row r="283" spans="4:35">
      <c r="D283" s="50"/>
      <c r="E283" s="50"/>
      <c r="F283" s="49"/>
      <c r="G283" s="50"/>
      <c r="H283" s="50"/>
      <c r="I283" s="50"/>
      <c r="J283" s="50"/>
      <c r="AB283" s="38"/>
      <c r="AI283" s="2"/>
    </row>
    <row r="284" spans="4:35">
      <c r="AB284" s="38"/>
      <c r="AI284" s="2"/>
    </row>
    <row r="285" spans="4:35">
      <c r="H285" s="34"/>
      <c r="AB285" s="38"/>
      <c r="AI285" s="2"/>
    </row>
    <row r="286" spans="4:35">
      <c r="H286" s="7"/>
      <c r="AB286" s="38"/>
      <c r="AI286" s="2"/>
    </row>
    <row r="287" spans="4:35">
      <c r="H287" s="7"/>
      <c r="AB287" s="38"/>
      <c r="AI287" s="2"/>
    </row>
    <row r="288" spans="4:35">
      <c r="H288" s="7"/>
      <c r="I288" s="50"/>
      <c r="L288" s="49"/>
      <c r="AB288" s="38"/>
      <c r="AI288" s="2"/>
    </row>
    <row r="289" spans="1:49">
      <c r="H289" s="6"/>
      <c r="I289" s="5"/>
      <c r="J289" s="6"/>
      <c r="K289" s="51"/>
      <c r="L289" s="51"/>
      <c r="M289" s="51"/>
      <c r="AB289" s="38"/>
      <c r="AI289" s="2"/>
    </row>
    <row r="290" spans="1:49">
      <c r="AB290" s="38"/>
      <c r="AI290" s="2"/>
    </row>
    <row r="291" spans="1:49">
      <c r="AB291" s="38"/>
      <c r="AI291" s="2"/>
    </row>
    <row r="292" spans="1:49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42"/>
      <c r="M292" s="28"/>
      <c r="N292" s="28"/>
      <c r="O292" s="28"/>
      <c r="P292" s="28"/>
      <c r="Q292" s="28"/>
      <c r="R292" s="28"/>
      <c r="S292" s="43"/>
      <c r="T292" s="28"/>
      <c r="U292" s="28"/>
      <c r="V292" s="28"/>
      <c r="W292" s="28"/>
      <c r="X292" s="28"/>
      <c r="Y292" s="28"/>
      <c r="Z292" s="28"/>
      <c r="AA292" s="28"/>
      <c r="AB292" s="44"/>
      <c r="AC292" s="28"/>
      <c r="AD292" s="42"/>
      <c r="AE292" s="28"/>
      <c r="AF292" s="28"/>
      <c r="AG292" s="28"/>
      <c r="AH292" s="28"/>
      <c r="AI292" s="45"/>
      <c r="AJ292" s="28"/>
      <c r="AK292" s="28"/>
      <c r="AL292" s="42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>
      <c r="A293" s="26"/>
      <c r="AB293" s="38"/>
      <c r="AI293" s="2"/>
    </row>
    <row r="294" spans="1:49">
      <c r="D294" s="39"/>
      <c r="E294" s="39"/>
      <c r="F294" s="39"/>
      <c r="G294" s="39"/>
      <c r="H294" s="39"/>
      <c r="I294" s="6"/>
      <c r="AB294" s="38"/>
      <c r="AI294" s="2"/>
    </row>
    <row r="295" spans="1:49">
      <c r="AB295" s="38"/>
      <c r="AI295" s="2"/>
    </row>
    <row r="296" spans="1:49">
      <c r="AB296" s="38"/>
      <c r="AI296" s="2"/>
    </row>
    <row r="297" spans="1:49">
      <c r="AB297" s="38"/>
      <c r="AI297" s="2"/>
    </row>
    <row r="298" spans="1:49">
      <c r="AB298" s="38"/>
      <c r="AI298" s="2"/>
    </row>
    <row r="299" spans="1:49">
      <c r="AB299" s="38"/>
      <c r="AI299" s="2"/>
    </row>
    <row r="300" spans="1:49">
      <c r="AB300" s="38"/>
      <c r="AI300" s="2"/>
    </row>
    <row r="301" spans="1:49">
      <c r="A301" s="6"/>
      <c r="AB301" s="38"/>
      <c r="AI301" s="2"/>
    </row>
    <row r="302" spans="1:49">
      <c r="AB302" s="38"/>
      <c r="AI302" s="2"/>
    </row>
    <row r="303" spans="1:49">
      <c r="AB303" s="38"/>
      <c r="AI303" s="2"/>
    </row>
    <row r="304" spans="1:49">
      <c r="A304" s="46"/>
      <c r="B304" s="46"/>
      <c r="C304" s="46"/>
      <c r="AB304" s="38"/>
      <c r="AI304" s="2"/>
    </row>
    <row r="305" spans="1:53">
      <c r="A305" s="46"/>
      <c r="B305" s="46"/>
      <c r="C305" s="46"/>
      <c r="AB305" s="38"/>
      <c r="AI305" s="2"/>
    </row>
    <row r="306" spans="1:53">
      <c r="A306" s="46"/>
      <c r="B306" s="46"/>
      <c r="C306" s="46"/>
      <c r="AB306" s="38"/>
      <c r="AI306" s="2"/>
    </row>
    <row r="307" spans="1:53">
      <c r="A307" s="47"/>
      <c r="B307" s="46"/>
      <c r="AB307" s="38"/>
      <c r="AI307" s="2"/>
    </row>
    <row r="308" spans="1:53">
      <c r="A308" s="47"/>
      <c r="B308" s="46"/>
      <c r="AB308" s="38"/>
      <c r="AI308" s="2"/>
    </row>
    <row r="309" spans="1:53">
      <c r="A309" s="47"/>
      <c r="B309" s="46"/>
      <c r="AB309" s="38"/>
      <c r="AI309" s="2"/>
    </row>
    <row r="310" spans="1:53">
      <c r="A310" s="47"/>
      <c r="B310" s="47"/>
    </row>
    <row r="311" spans="1:53">
      <c r="L311" s="2"/>
      <c r="M311" s="2"/>
      <c r="AQ311" s="15"/>
      <c r="AR311" s="16"/>
      <c r="AS311" s="16"/>
      <c r="AT311" s="17"/>
      <c r="AU311" s="18"/>
      <c r="AV311" s="18"/>
      <c r="AW311" s="19"/>
      <c r="AX311" s="19"/>
      <c r="AY311" s="19"/>
      <c r="AZ311" s="19"/>
      <c r="BA311" s="19"/>
    </row>
    <row r="313" spans="1:53">
      <c r="AB313" s="38"/>
      <c r="AI313" s="2"/>
    </row>
    <row r="314" spans="1:53">
      <c r="AB314" s="38"/>
      <c r="AI314" s="2"/>
    </row>
    <row r="315" spans="1:53">
      <c r="AB315" s="38"/>
      <c r="AI315" s="2"/>
    </row>
    <row r="316" spans="1:53">
      <c r="AB316" s="38"/>
      <c r="AI316" s="2"/>
    </row>
    <row r="317" spans="1:5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21"/>
      <c r="M317" s="1"/>
      <c r="N317" s="1"/>
      <c r="O317" s="1"/>
      <c r="P317" s="1"/>
      <c r="Q317" s="1"/>
      <c r="R317" s="1"/>
      <c r="S317" s="32"/>
      <c r="T317" s="1"/>
      <c r="U317" s="1"/>
      <c r="V317" s="1"/>
      <c r="W317" s="1"/>
      <c r="X317" s="1"/>
      <c r="Y317" s="1"/>
      <c r="Z317" s="1"/>
      <c r="AA317" s="1"/>
      <c r="AB317" s="52"/>
      <c r="AC317" s="1"/>
      <c r="AD317" s="21"/>
      <c r="AE317" s="1"/>
      <c r="AF317" s="1"/>
      <c r="AG317" s="1"/>
      <c r="AH317" s="1"/>
      <c r="AI317" s="59"/>
      <c r="AJ317" s="1"/>
      <c r="AK317" s="1"/>
      <c r="AL317" s="2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</row>
  </sheetData>
  <mergeCells count="1">
    <mergeCell ref="A1:B1"/>
  </mergeCells>
  <conditionalFormatting sqref="AD146:AG152 AD253:AG253 AD255:AG291 AD293:AG316 AD342:AG1189 AD19:AG19 V1:Y18">
    <cfRule type="notContainsBlanks" dxfId="3" priority="1">
      <formula>LEN(TRIM(V1))&gt;0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332C-71F7-49B3-AC33-2D4DDD3C96EC}">
  <dimension ref="A1:K86"/>
  <sheetViews>
    <sheetView topLeftCell="A55" workbookViewId="0">
      <selection activeCell="P62" sqref="P62"/>
    </sheetView>
  </sheetViews>
  <sheetFormatPr defaultRowHeight="14"/>
  <cols>
    <col min="3" max="3" width="8.6640625" style="176"/>
    <col min="5" max="5" width="8.6640625" style="176"/>
  </cols>
  <sheetData>
    <row r="1" spans="1:7">
      <c r="A1" s="144" t="s">
        <v>0</v>
      </c>
      <c r="B1" s="144" t="s">
        <v>279</v>
      </c>
      <c r="C1" s="144" t="s">
        <v>320</v>
      </c>
      <c r="D1" s="144" t="s">
        <v>281</v>
      </c>
      <c r="E1" s="144"/>
      <c r="F1" s="131" t="s">
        <v>280</v>
      </c>
    </row>
    <row r="2" spans="1:7">
      <c r="A2" s="141">
        <v>-2000</v>
      </c>
      <c r="B2" s="141">
        <v>107.97937287648755</v>
      </c>
      <c r="C2" s="141"/>
      <c r="D2" s="141">
        <v>922.81144328638459</v>
      </c>
      <c r="E2" s="141"/>
      <c r="F2" s="141">
        <v>177.75076818294519</v>
      </c>
    </row>
    <row r="3" spans="1:7">
      <c r="A3" s="141">
        <f>A2+500</f>
        <v>-1500</v>
      </c>
      <c r="B3" s="141">
        <v>109.61521850731638</v>
      </c>
      <c r="C3" s="141"/>
      <c r="D3" s="141">
        <v>922.61856078158939</v>
      </c>
      <c r="E3" s="141"/>
      <c r="F3" s="141">
        <v>179.07341703931476</v>
      </c>
    </row>
    <row r="4" spans="1:7">
      <c r="A4" s="141">
        <f t="shared" ref="A4:A67" si="0">A3+500</f>
        <v>-1000</v>
      </c>
      <c r="B4" s="141">
        <v>111.28242655881948</v>
      </c>
      <c r="C4" s="141"/>
      <c r="D4" s="141">
        <v>922.41895381994334</v>
      </c>
      <c r="E4" s="141"/>
      <c r="F4" s="141">
        <v>180.41058005259993</v>
      </c>
    </row>
    <row r="5" spans="1:7">
      <c r="A5" s="141">
        <f t="shared" si="0"/>
        <v>-500</v>
      </c>
      <c r="B5" s="141">
        <v>112.98174686033011</v>
      </c>
      <c r="C5" s="141"/>
      <c r="D5" s="141">
        <v>922.2123560782984</v>
      </c>
      <c r="E5" s="141"/>
      <c r="F5" s="141">
        <v>181.76246808800275</v>
      </c>
    </row>
    <row r="6" spans="1:7">
      <c r="A6" s="141">
        <f t="shared" si="0"/>
        <v>0</v>
      </c>
      <c r="B6" s="141">
        <v>114.71395190398718</v>
      </c>
      <c r="C6" s="141">
        <f>B6-7</f>
        <v>107.71395190398718</v>
      </c>
      <c r="D6" s="141">
        <v>921.99848918838836</v>
      </c>
      <c r="E6" s="141">
        <f>D6-7</f>
        <v>914.99848918838836</v>
      </c>
      <c r="F6" s="141">
        <v>183.12929591285354</v>
      </c>
      <c r="G6">
        <f>F6-7</f>
        <v>176.12929591285354</v>
      </c>
    </row>
    <row r="7" spans="1:7">
      <c r="A7" s="141">
        <f t="shared" si="0"/>
        <v>500</v>
      </c>
      <c r="B7" s="141">
        <v>116.47983745093399</v>
      </c>
      <c r="C7" s="141">
        <f t="shared" ref="C7:C70" si="1">B7-7</f>
        <v>109.47983745093399</v>
      </c>
      <c r="D7" s="141">
        <v>921.77706214382806</v>
      </c>
      <c r="E7" s="141">
        <f t="shared" ref="E7:E70" si="2">D7-7</f>
        <v>914.77706214382806</v>
      </c>
      <c r="F7" s="141">
        <v>184.51128206859147</v>
      </c>
      <c r="G7" s="176">
        <f t="shared" ref="G7:G70" si="3">F7-7</f>
        <v>177.51128206859147</v>
      </c>
    </row>
    <row r="8" spans="1:7">
      <c r="A8" s="141">
        <f t="shared" si="0"/>
        <v>1000</v>
      </c>
      <c r="B8" s="141">
        <v>118.28022377041414</v>
      </c>
      <c r="C8" s="141">
        <f t="shared" si="1"/>
        <v>111.28022377041414</v>
      </c>
      <c r="D8" s="141">
        <v>921.5477705967935</v>
      </c>
      <c r="E8" s="141">
        <f t="shared" si="2"/>
        <v>914.5477705967935</v>
      </c>
      <c r="F8" s="141">
        <v>185.90864921038886</v>
      </c>
      <c r="G8" s="176">
        <f t="shared" si="3"/>
        <v>178.90864921038886</v>
      </c>
    </row>
    <row r="9" spans="1:7">
      <c r="A9" s="141">
        <f t="shared" si="0"/>
        <v>1500</v>
      </c>
      <c r="B9" s="141">
        <v>120.11595626806886</v>
      </c>
      <c r="C9" s="141">
        <f t="shared" si="1"/>
        <v>113.11595626806886</v>
      </c>
      <c r="D9" s="141">
        <v>921.31029619607841</v>
      </c>
      <c r="E9" s="141">
        <f t="shared" si="2"/>
        <v>914.31029619607841</v>
      </c>
      <c r="F9" s="141">
        <v>187.3216239324079</v>
      </c>
      <c r="G9" s="176">
        <f t="shared" si="3"/>
        <v>180.3216239324079</v>
      </c>
    </row>
    <row r="10" spans="1:7">
      <c r="A10" s="141">
        <f t="shared" si="0"/>
        <v>2000</v>
      </c>
      <c r="B10" s="141">
        <v>121.98790684190443</v>
      </c>
      <c r="C10" s="141">
        <f t="shared" si="1"/>
        <v>114.98790684190443</v>
      </c>
      <c r="D10" s="141">
        <v>921.06430579598066</v>
      </c>
      <c r="E10" s="141">
        <f t="shared" si="2"/>
        <v>914.06430579598066</v>
      </c>
      <c r="F10" s="141">
        <v>188.75043712340874</v>
      </c>
      <c r="G10" s="176">
        <f t="shared" si="3"/>
        <v>181.75043712340874</v>
      </c>
    </row>
    <row r="11" spans="1:7">
      <c r="A11" s="141">
        <f t="shared" si="0"/>
        <v>2500</v>
      </c>
      <c r="B11" s="141">
        <v>123.89697459192303</v>
      </c>
      <c r="C11" s="141">
        <f t="shared" si="1"/>
        <v>116.89697459192303</v>
      </c>
      <c r="D11" s="141">
        <v>920.80945070848838</v>
      </c>
      <c r="E11" s="141">
        <f t="shared" si="2"/>
        <v>913.80945070848838</v>
      </c>
      <c r="F11" s="141">
        <v>190.19532378422417</v>
      </c>
      <c r="G11" s="176">
        <f t="shared" si="3"/>
        <v>183.19532378422417</v>
      </c>
    </row>
    <row r="12" spans="1:7">
      <c r="A12" s="141">
        <f t="shared" si="0"/>
        <v>3000</v>
      </c>
      <c r="B12" s="141">
        <v>125.84408737367345</v>
      </c>
      <c r="C12" s="141">
        <f t="shared" si="1"/>
        <v>118.84408737367345</v>
      </c>
      <c r="D12" s="141">
        <v>920.54536580235265</v>
      </c>
      <c r="E12" s="141">
        <f t="shared" si="2"/>
        <v>913.54536580235265</v>
      </c>
      <c r="F12" s="141">
        <v>191.65652344952122</v>
      </c>
      <c r="G12" s="176">
        <f t="shared" si="3"/>
        <v>184.65652344952122</v>
      </c>
    </row>
    <row r="13" spans="1:7">
      <c r="A13" s="141">
        <f t="shared" si="0"/>
        <v>3500</v>
      </c>
      <c r="B13" s="141">
        <v>127.83020247633901</v>
      </c>
      <c r="C13" s="141">
        <f t="shared" si="1"/>
        <v>120.83020247633901</v>
      </c>
      <c r="D13" s="141">
        <v>920.27166867287599</v>
      </c>
      <c r="E13" s="141">
        <f t="shared" si="2"/>
        <v>913.27166867287599</v>
      </c>
      <c r="F13" s="141">
        <v>193.13427990189865</v>
      </c>
      <c r="G13" s="176">
        <f t="shared" si="3"/>
        <v>186.13427990189865</v>
      </c>
    </row>
    <row r="14" spans="1:7">
      <c r="A14" s="141">
        <f t="shared" si="0"/>
        <v>4000</v>
      </c>
      <c r="B14" s="141">
        <v>129.85630831912445</v>
      </c>
      <c r="C14" s="141">
        <f t="shared" si="1"/>
        <v>122.85630831912445</v>
      </c>
      <c r="D14" s="141">
        <v>919.98795862599752</v>
      </c>
      <c r="E14" s="141">
        <f t="shared" si="2"/>
        <v>912.98795862599752</v>
      </c>
      <c r="F14" s="141">
        <v>194.62884160813729</v>
      </c>
      <c r="G14" s="176">
        <f t="shared" si="3"/>
        <v>187.62884160813729</v>
      </c>
    </row>
    <row r="15" spans="1:7">
      <c r="A15" s="141">
        <f t="shared" si="0"/>
        <v>4500</v>
      </c>
      <c r="B15" s="141">
        <v>131.92342558196543</v>
      </c>
      <c r="C15" s="141">
        <f t="shared" si="1"/>
        <v>124.92342558196543</v>
      </c>
      <c r="D15" s="141">
        <v>919.69381568531787</v>
      </c>
      <c r="E15" s="141">
        <f t="shared" si="2"/>
        <v>912.69381568531787</v>
      </c>
      <c r="F15" s="141">
        <v>196.14046167838967</v>
      </c>
      <c r="G15" s="176">
        <f t="shared" si="3"/>
        <v>189.14046167838967</v>
      </c>
    </row>
    <row r="16" spans="1:7">
      <c r="A16" s="141">
        <f t="shared" si="0"/>
        <v>5000</v>
      </c>
      <c r="B16" s="141">
        <v>134.03260844645712</v>
      </c>
      <c r="C16" s="141">
        <f t="shared" si="1"/>
        <v>127.03260844645712</v>
      </c>
      <c r="D16" s="141">
        <v>919.38879952941568</v>
      </c>
      <c r="E16" s="141">
        <f t="shared" si="2"/>
        <v>912.38879952941568</v>
      </c>
      <c r="F16" s="141">
        <v>197.66939786099334</v>
      </c>
      <c r="G16" s="176">
        <f t="shared" si="3"/>
        <v>190.66939786099334</v>
      </c>
    </row>
    <row r="17" spans="1:7">
      <c r="A17" s="141">
        <f t="shared" si="0"/>
        <v>5500</v>
      </c>
      <c r="B17" s="141">
        <v>136.18494635143762</v>
      </c>
      <c r="C17" s="141">
        <f t="shared" si="1"/>
        <v>129.18494635143762</v>
      </c>
      <c r="D17" s="141">
        <v>919.07244829466788</v>
      </c>
      <c r="E17" s="141">
        <f t="shared" si="2"/>
        <v>912.07244829466788</v>
      </c>
      <c r="F17" s="141">
        <v>199.21591285678687</v>
      </c>
      <c r="G17" s="176">
        <f t="shared" si="3"/>
        <v>192.21591285678687</v>
      </c>
    </row>
    <row r="18" spans="1:7">
      <c r="A18" s="141">
        <f t="shared" si="0"/>
        <v>6000</v>
      </c>
      <c r="B18" s="141">
        <v>138.3815654127022</v>
      </c>
      <c r="C18" s="141">
        <f t="shared" si="1"/>
        <v>131.3815654127022</v>
      </c>
      <c r="D18" s="141">
        <v>918.74427735960785</v>
      </c>
      <c r="E18" s="141">
        <f t="shared" si="2"/>
        <v>911.74427735960785</v>
      </c>
      <c r="F18" s="141">
        <v>200.78027432641665</v>
      </c>
      <c r="G18" s="176">
        <f t="shared" si="3"/>
        <v>193.78027432641665</v>
      </c>
    </row>
    <row r="19" spans="1:7">
      <c r="A19" s="141">
        <f t="shared" si="0"/>
        <v>6500</v>
      </c>
      <c r="B19" s="141">
        <v>140.62363007090315</v>
      </c>
      <c r="C19" s="141">
        <f t="shared" si="1"/>
        <v>133.62363007090315</v>
      </c>
      <c r="D19" s="141">
        <v>918.40377802619162</v>
      </c>
      <c r="E19" s="141">
        <f t="shared" si="2"/>
        <v>911.40377802619162</v>
      </c>
      <c r="F19" s="141">
        <v>202.3627550012871</v>
      </c>
      <c r="G19" s="176">
        <f t="shared" si="3"/>
        <v>195.3627550012871</v>
      </c>
    </row>
    <row r="20" spans="1:7">
      <c r="A20" s="141">
        <f t="shared" si="0"/>
        <v>7000</v>
      </c>
      <c r="B20" s="141">
        <v>142.91234475309437</v>
      </c>
      <c r="C20" s="141">
        <f t="shared" si="1"/>
        <v>135.91234475309437</v>
      </c>
      <c r="D20" s="141">
        <v>918.05041612335958</v>
      </c>
      <c r="E20" s="141">
        <f t="shared" si="2"/>
        <v>911.05041612335958</v>
      </c>
      <c r="F20" s="141">
        <v>203.96363273787097</v>
      </c>
      <c r="G20" s="176">
        <f t="shared" si="3"/>
        <v>196.96363273787097</v>
      </c>
    </row>
    <row r="21" spans="1:7">
      <c r="A21" s="141">
        <f t="shared" si="0"/>
        <v>7500</v>
      </c>
      <c r="B21" s="141">
        <v>145.24895597670002</v>
      </c>
      <c r="C21" s="141">
        <f t="shared" si="1"/>
        <v>138.24895597670002</v>
      </c>
      <c r="D21" s="141">
        <v>917.68363046029026</v>
      </c>
      <c r="E21" s="141">
        <f t="shared" si="2"/>
        <v>910.68363046029026</v>
      </c>
      <c r="F21" s="141">
        <v>205.58319080976915</v>
      </c>
      <c r="G21" s="176">
        <f t="shared" si="3"/>
        <v>198.58319080976915</v>
      </c>
    </row>
    <row r="22" spans="1:7">
      <c r="A22" s="141">
        <f t="shared" si="0"/>
        <v>8000</v>
      </c>
      <c r="B22" s="141">
        <v>147.63475416445837</v>
      </c>
      <c r="C22" s="141">
        <f t="shared" si="1"/>
        <v>140.63475416445837</v>
      </c>
      <c r="D22" s="141">
        <v>917.30283123399374</v>
      </c>
      <c r="E22" s="141">
        <f t="shared" si="2"/>
        <v>910.30283123399374</v>
      </c>
      <c r="F22" s="141">
        <v>207.22171791688132</v>
      </c>
      <c r="G22" s="176">
        <f t="shared" si="3"/>
        <v>200.22171791688132</v>
      </c>
    </row>
    <row r="23" spans="1:7">
      <c r="A23" s="141">
        <f t="shared" si="0"/>
        <v>8500</v>
      </c>
      <c r="B23" s="141">
        <v>150.07107555021628</v>
      </c>
      <c r="C23" s="141">
        <f t="shared" si="1"/>
        <v>143.07107555021628</v>
      </c>
      <c r="D23" s="141">
        <v>916.90739832891552</v>
      </c>
      <c r="E23" s="141">
        <f t="shared" si="2"/>
        <v>909.90739832891552</v>
      </c>
      <c r="F23" s="141">
        <v>208.87950818070982</v>
      </c>
      <c r="G23" s="176">
        <f t="shared" si="3"/>
        <v>201.87950818070982</v>
      </c>
    </row>
    <row r="24" spans="1:7">
      <c r="A24" s="141">
        <f t="shared" si="0"/>
        <v>9000</v>
      </c>
      <c r="B24" s="141">
        <v>152.55930496066702</v>
      </c>
      <c r="C24" s="141">
        <f t="shared" si="1"/>
        <v>145.55930496066702</v>
      </c>
      <c r="D24" s="141">
        <v>916.49667937042625</v>
      </c>
      <c r="E24" s="141">
        <f t="shared" si="2"/>
        <v>909.49667937042625</v>
      </c>
      <c r="F24" s="141">
        <v>210.55686164727186</v>
      </c>
      <c r="G24" s="176">
        <f t="shared" si="3"/>
        <v>203.55686164727186</v>
      </c>
    </row>
    <row r="25" spans="1:7">
      <c r="A25" s="141">
        <f t="shared" si="0"/>
        <v>9500</v>
      </c>
      <c r="B25" s="141">
        <v>155.10087754891836</v>
      </c>
      <c r="C25" s="141">
        <f t="shared" si="1"/>
        <v>148.10087754891836</v>
      </c>
      <c r="D25" s="141">
        <v>916.06998783425706</v>
      </c>
      <c r="E25" s="141">
        <f t="shared" si="2"/>
        <v>909.06998783425706</v>
      </c>
      <c r="F25" s="141">
        <v>212.25408397855472</v>
      </c>
      <c r="G25" s="176">
        <f t="shared" si="3"/>
        <v>205.25408397855472</v>
      </c>
    </row>
    <row r="26" spans="1:7">
      <c r="A26" s="141">
        <f t="shared" si="0"/>
        <v>10000</v>
      </c>
      <c r="B26" s="141">
        <v>157.6972817997229</v>
      </c>
      <c r="C26" s="141">
        <f t="shared" si="1"/>
        <v>150.6972817997229</v>
      </c>
      <c r="D26" s="141">
        <v>915.62660082594766</v>
      </c>
      <c r="E26" s="141">
        <f t="shared" si="2"/>
        <v>908.62660082594766</v>
      </c>
      <c r="F26" s="141">
        <v>213.97148690449896</v>
      </c>
      <c r="G26" s="176">
        <f t="shared" si="3"/>
        <v>206.97148690449896</v>
      </c>
    </row>
    <row r="27" spans="1:7">
      <c r="A27" s="141">
        <f t="shared" si="0"/>
        <v>10500</v>
      </c>
      <c r="B27" s="141">
        <v>160.35006205390002</v>
      </c>
      <c r="C27" s="141">
        <f t="shared" si="1"/>
        <v>153.35006205390002</v>
      </c>
      <c r="D27" s="141">
        <v>915.16575680387587</v>
      </c>
      <c r="E27" s="141">
        <f t="shared" si="2"/>
        <v>908.16575680387587</v>
      </c>
      <c r="F27" s="141">
        <v>215.70938823475993</v>
      </c>
      <c r="G27" s="176">
        <f t="shared" si="3"/>
        <v>208.70938823475993</v>
      </c>
    </row>
    <row r="28" spans="1:7">
      <c r="A28" s="141">
        <f t="shared" si="0"/>
        <v>11000</v>
      </c>
      <c r="B28" s="141">
        <v>163.06082129093051</v>
      </c>
      <c r="C28" s="141">
        <f t="shared" si="1"/>
        <v>156.06082129093051</v>
      </c>
      <c r="D28" s="141">
        <v>914.68665311516759</v>
      </c>
      <c r="E28" s="141">
        <f t="shared" si="2"/>
        <v>907.68665311516759</v>
      </c>
      <c r="F28" s="141">
        <v>217.46811192658248</v>
      </c>
      <c r="G28" s="176">
        <f t="shared" si="3"/>
        <v>210.46811192658248</v>
      </c>
    </row>
    <row r="29" spans="1:7">
      <c r="A29" s="141">
        <f t="shared" si="0"/>
        <v>11500</v>
      </c>
      <c r="B29" s="141">
        <v>165.83122455432095</v>
      </c>
      <c r="C29" s="141">
        <f t="shared" si="1"/>
        <v>158.83122455432095</v>
      </c>
      <c r="D29" s="141">
        <v>914.18844325987584</v>
      </c>
      <c r="E29" s="141">
        <f t="shared" si="2"/>
        <v>907.18844325987584</v>
      </c>
      <c r="F29" s="141">
        <v>219.24798844084927</v>
      </c>
      <c r="G29" s="176">
        <f t="shared" si="3"/>
        <v>212.24798844084927</v>
      </c>
    </row>
    <row r="30" spans="1:7">
      <c r="A30" s="141">
        <f t="shared" si="0"/>
        <v>12000</v>
      </c>
      <c r="B30" s="141">
        <v>168.66300195337516</v>
      </c>
      <c r="C30" s="141">
        <f t="shared" si="1"/>
        <v>161.66300195337516</v>
      </c>
      <c r="D30" s="141">
        <v>913.67023405557893</v>
      </c>
      <c r="E30" s="141">
        <f t="shared" si="2"/>
        <v>906.67023405557893</v>
      </c>
      <c r="F30" s="141">
        <v>221.04935468012923</v>
      </c>
      <c r="G30" s="176">
        <f t="shared" si="3"/>
        <v>214.04935468012923</v>
      </c>
    </row>
    <row r="31" spans="1:7">
      <c r="A31" s="141">
        <f t="shared" si="0"/>
        <v>12500</v>
      </c>
      <c r="B31" s="141">
        <v>171.55795270388433</v>
      </c>
      <c r="C31" s="141">
        <f t="shared" si="1"/>
        <v>164.55795270388433</v>
      </c>
      <c r="D31" s="141">
        <v>913.13108242527358</v>
      </c>
      <c r="E31" s="141">
        <f t="shared" si="2"/>
        <v>906.13108242527358</v>
      </c>
      <c r="F31" s="141">
        <v>222.87255444088743</v>
      </c>
      <c r="G31" s="176">
        <f t="shared" si="3"/>
        <v>215.87255444088743</v>
      </c>
    </row>
    <row r="32" spans="1:7">
      <c r="A32" s="141">
        <f t="shared" si="0"/>
        <v>13000</v>
      </c>
      <c r="B32" s="141">
        <v>174.51794812934597</v>
      </c>
      <c r="C32" s="141">
        <f t="shared" si="1"/>
        <v>167.51794812934597</v>
      </c>
      <c r="D32" s="141">
        <v>912.56999216927068</v>
      </c>
      <c r="E32" s="141">
        <f t="shared" si="2"/>
        <v>905.56999216927068</v>
      </c>
      <c r="F32" s="141">
        <v>224.71793804105639</v>
      </c>
      <c r="G32" s="176">
        <f t="shared" si="3"/>
        <v>217.71793804105639</v>
      </c>
    </row>
    <row r="33" spans="1:7">
      <c r="A33" s="141">
        <f t="shared" si="0"/>
        <v>13500</v>
      </c>
      <c r="B33" s="141">
        <v>177.54493676198373</v>
      </c>
      <c r="C33" s="141">
        <f t="shared" si="1"/>
        <v>170.54493676198373</v>
      </c>
      <c r="D33" s="141">
        <v>911.98591011993346</v>
      </c>
      <c r="E33" s="141">
        <f t="shared" si="2"/>
        <v>904.98591011993346</v>
      </c>
      <c r="F33" s="141">
        <v>226.58586309244478</v>
      </c>
      <c r="G33" s="176">
        <f t="shared" si="3"/>
        <v>219.58586309244478</v>
      </c>
    </row>
    <row r="34" spans="1:7">
      <c r="A34" s="141">
        <f t="shared" si="0"/>
        <v>14000</v>
      </c>
      <c r="B34" s="141">
        <v>180.64094819653965</v>
      </c>
      <c r="C34" s="141">
        <f t="shared" si="1"/>
        <v>173.64094819653965</v>
      </c>
      <c r="D34" s="141">
        <v>911.3777222764204</v>
      </c>
      <c r="E34" s="141">
        <f t="shared" si="2"/>
        <v>904.3777222764204</v>
      </c>
      <c r="F34" s="141">
        <v>228.47669428653694</v>
      </c>
      <c r="G34" s="176">
        <f t="shared" si="3"/>
        <v>221.47669428653694</v>
      </c>
    </row>
    <row r="35" spans="1:7">
      <c r="A35" s="141">
        <f t="shared" si="0"/>
        <v>14500</v>
      </c>
      <c r="B35" s="141">
        <v>183.80809801642746</v>
      </c>
      <c r="C35" s="141">
        <f t="shared" si="1"/>
        <v>176.80809801642746</v>
      </c>
      <c r="D35" s="141">
        <v>910.74424946341765</v>
      </c>
      <c r="E35" s="141">
        <f t="shared" si="2"/>
        <v>903.74424946341765</v>
      </c>
      <c r="F35" s="141">
        <v>230.39080363848834</v>
      </c>
      <c r="G35" s="176">
        <f t="shared" si="3"/>
        <v>223.39080363848834</v>
      </c>
    </row>
    <row r="36" spans="1:7">
      <c r="A36" s="141">
        <f t="shared" si="0"/>
        <v>15000</v>
      </c>
      <c r="B36" s="141">
        <v>187.04859314003667</v>
      </c>
      <c r="C36" s="141">
        <f t="shared" si="1"/>
        <v>180.04859314003667</v>
      </c>
      <c r="D36" s="141">
        <v>910.08424260143784</v>
      </c>
      <c r="E36" s="141">
        <f t="shared" si="2"/>
        <v>903.08424260143784</v>
      </c>
      <c r="F36" s="141">
        <v>232.32857074767645</v>
      </c>
      <c r="G36" s="176">
        <f t="shared" si="3"/>
        <v>225.32857074767645</v>
      </c>
    </row>
    <row r="37" spans="1:7">
      <c r="A37" s="141">
        <f t="shared" si="0"/>
        <v>15500</v>
      </c>
      <c r="B37" s="141">
        <v>190.36473747994685</v>
      </c>
      <c r="C37" s="141">
        <f t="shared" si="1"/>
        <v>183.36473747994685</v>
      </c>
      <c r="D37" s="141">
        <v>909.39637757761693</v>
      </c>
      <c r="E37" s="141">
        <f t="shared" si="2"/>
        <v>902.39637757761693</v>
      </c>
      <c r="F37" s="141">
        <v>234.29038298611843</v>
      </c>
      <c r="G37" s="176">
        <f t="shared" si="3"/>
        <v>227.29038298611843</v>
      </c>
    </row>
    <row r="38" spans="1:7">
      <c r="A38" s="141">
        <f t="shared" si="0"/>
        <v>16000</v>
      </c>
      <c r="B38" s="141">
        <v>193.75893760984269</v>
      </c>
      <c r="C38" s="141">
        <f t="shared" si="1"/>
        <v>186.75893760984269</v>
      </c>
      <c r="D38" s="141">
        <v>908.67924974844937</v>
      </c>
      <c r="E38" s="141">
        <f t="shared" si="2"/>
        <v>901.67924974844937</v>
      </c>
      <c r="F38" s="141">
        <v>236.2766354153103</v>
      </c>
      <c r="G38" s="176">
        <f t="shared" si="3"/>
        <v>229.2766354153103</v>
      </c>
    </row>
    <row r="39" spans="1:7">
      <c r="A39" s="141">
        <f t="shared" si="0"/>
        <v>16500</v>
      </c>
      <c r="B39" s="141">
        <v>197.23371017992753</v>
      </c>
      <c r="C39" s="141">
        <f t="shared" si="1"/>
        <v>190.23371017992753</v>
      </c>
      <c r="D39" s="141">
        <v>907.93136766815212</v>
      </c>
      <c r="E39" s="141">
        <f t="shared" si="2"/>
        <v>900.93136766815212</v>
      </c>
      <c r="F39" s="141">
        <v>238.2877314242096</v>
      </c>
      <c r="G39" s="176">
        <f t="shared" si="3"/>
        <v>231.2877314242096</v>
      </c>
    </row>
    <row r="40" spans="1:7">
      <c r="A40" s="141">
        <f t="shared" si="0"/>
        <v>17000</v>
      </c>
      <c r="B40" s="141">
        <v>200.79168873741432</v>
      </c>
      <c r="C40" s="141">
        <f t="shared" si="1"/>
        <v>193.79168873741432</v>
      </c>
      <c r="D40" s="141">
        <v>907.1511464806058</v>
      </c>
      <c r="E40" s="141">
        <f t="shared" si="2"/>
        <v>900.1511464806058</v>
      </c>
      <c r="F40" s="141">
        <v>240.32408266575038</v>
      </c>
      <c r="G40" s="176">
        <f t="shared" si="3"/>
        <v>233.32408266575038</v>
      </c>
    </row>
    <row r="41" spans="1:7">
      <c r="A41" s="141">
        <f t="shared" si="0"/>
        <v>17500</v>
      </c>
      <c r="B41" s="141">
        <v>204.43563163810094</v>
      </c>
      <c r="C41" s="141">
        <f t="shared" si="1"/>
        <v>197.43563163810094</v>
      </c>
      <c r="D41" s="141">
        <v>906.33690057496347</v>
      </c>
      <c r="E41" s="141">
        <f t="shared" si="2"/>
        <v>899.33690057496347</v>
      </c>
      <c r="F41" s="141">
        <v>242.38610925543938</v>
      </c>
      <c r="G41" s="176">
        <f t="shared" si="3"/>
        <v>235.38610925543938</v>
      </c>
    </row>
    <row r="42" spans="1:7">
      <c r="A42" s="141">
        <f t="shared" si="0"/>
        <v>18000</v>
      </c>
      <c r="B42" s="141">
        <v>208.1684305163046</v>
      </c>
      <c r="C42" s="141">
        <f t="shared" si="1"/>
        <v>201.1684305163046</v>
      </c>
      <c r="D42" s="141">
        <v>905.48683555503908</v>
      </c>
      <c r="E42" s="141">
        <f t="shared" si="2"/>
        <v>898.48683555503908</v>
      </c>
      <c r="F42" s="141">
        <v>244.47423987284168</v>
      </c>
      <c r="G42" s="176">
        <f t="shared" si="3"/>
        <v>237.47423987284168</v>
      </c>
    </row>
    <row r="43" spans="1:7">
      <c r="A43" s="141">
        <f t="shared" si="0"/>
        <v>18500</v>
      </c>
      <c r="B43" s="141">
        <v>211.99312069154638</v>
      </c>
      <c r="C43" s="141">
        <f t="shared" si="1"/>
        <v>204.99312069154638</v>
      </c>
      <c r="D43" s="141">
        <v>904.59903913643427</v>
      </c>
      <c r="E43" s="141">
        <f t="shared" si="2"/>
        <v>897.59903913643427</v>
      </c>
      <c r="F43" s="141">
        <v>246.58891248252084</v>
      </c>
      <c r="G43" s="176">
        <f t="shared" si="3"/>
        <v>239.58891248252084</v>
      </c>
    </row>
    <row r="44" spans="1:7">
      <c r="A44" s="141">
        <f t="shared" si="0"/>
        <v>19000</v>
      </c>
      <c r="B44" s="141">
        <v>215.91289034665098</v>
      </c>
      <c r="C44" s="141">
        <f t="shared" si="1"/>
        <v>208.91289034665098</v>
      </c>
      <c r="D44" s="141">
        <v>903.67147161413436</v>
      </c>
      <c r="E44" s="141">
        <f t="shared" si="2"/>
        <v>896.67147161413436</v>
      </c>
      <c r="F44" s="141">
        <v>248.7305738486447</v>
      </c>
      <c r="G44" s="176">
        <f t="shared" si="3"/>
        <v>241.7305738486447</v>
      </c>
    </row>
    <row r="45" spans="1:7">
      <c r="A45" s="141">
        <f t="shared" si="0"/>
        <v>19500</v>
      </c>
      <c r="B45" s="141">
        <v>219.9310929319235</v>
      </c>
      <c r="C45" s="141">
        <f t="shared" si="1"/>
        <v>212.9310929319235</v>
      </c>
      <c r="D45" s="141">
        <v>902.70195479397796</v>
      </c>
      <c r="E45" s="141">
        <f t="shared" si="2"/>
        <v>895.70195479397796</v>
      </c>
      <c r="F45" s="141">
        <v>250.89968026833463</v>
      </c>
      <c r="G45" s="176">
        <f t="shared" si="3"/>
        <v>243.89968026833463</v>
      </c>
    </row>
    <row r="46" spans="1:7">
      <c r="A46" s="141">
        <f t="shared" si="0"/>
        <v>20000</v>
      </c>
      <c r="B46" s="141">
        <v>224.05125970567548</v>
      </c>
      <c r="C46" s="141">
        <f t="shared" si="1"/>
        <v>217.05125970567548</v>
      </c>
      <c r="D46" s="141">
        <v>901.68815998181958</v>
      </c>
      <c r="E46" s="141">
        <f t="shared" si="2"/>
        <v>894.68815998181958</v>
      </c>
      <c r="F46" s="141">
        <v>253.09669771363627</v>
      </c>
      <c r="G46" s="176">
        <f t="shared" si="3"/>
        <v>246.09669771363627</v>
      </c>
    </row>
    <row r="47" spans="1:7">
      <c r="A47" s="141">
        <f t="shared" si="0"/>
        <v>20500</v>
      </c>
      <c r="B47" s="141">
        <v>228.27711359083997</v>
      </c>
      <c r="C47" s="141">
        <f t="shared" si="1"/>
        <v>221.27711359083997</v>
      </c>
      <c r="D47" s="141">
        <v>900.62759464594171</v>
      </c>
      <c r="E47" s="141">
        <f t="shared" si="2"/>
        <v>893.62759464594171</v>
      </c>
      <c r="F47" s="141">
        <v>255.32210196400342</v>
      </c>
      <c r="G47" s="176">
        <f t="shared" si="3"/>
        <v>248.32210196400342</v>
      </c>
    </row>
    <row r="48" spans="1:7">
      <c r="A48" s="141">
        <f t="shared" si="0"/>
        <v>21000</v>
      </c>
      <c r="B48" s="141">
        <v>232.61258475975742</v>
      </c>
      <c r="C48" s="141">
        <f t="shared" si="1"/>
        <v>225.61258475975742</v>
      </c>
      <c r="D48" s="141">
        <v>899.51758750926263</v>
      </c>
      <c r="E48" s="141">
        <f t="shared" si="2"/>
        <v>892.51758750926263</v>
      </c>
      <c r="F48" s="141">
        <v>257.57637884740075</v>
      </c>
      <c r="G48" s="176">
        <f t="shared" si="3"/>
        <v>250.57637884740075</v>
      </c>
    </row>
    <row r="49" spans="1:11">
      <c r="A49" s="141">
        <f t="shared" si="0"/>
        <v>21500</v>
      </c>
      <c r="B49" s="141">
        <v>237.06182822367086</v>
      </c>
      <c r="C49" s="141">
        <f t="shared" si="1"/>
        <v>230.06182822367086</v>
      </c>
      <c r="D49" s="141">
        <v>898.35527183088914</v>
      </c>
      <c r="E49" s="141">
        <f t="shared" si="2"/>
        <v>891.35527183088914</v>
      </c>
      <c r="F49" s="141">
        <v>259.8600246107514</v>
      </c>
      <c r="G49" s="176">
        <f t="shared" si="3"/>
        <v>252.8600246107514</v>
      </c>
    </row>
    <row r="50" spans="1:11">
      <c r="A50" s="141">
        <f t="shared" si="0"/>
        <v>22000</v>
      </c>
      <c r="B50" s="141">
        <v>241.62924350273363</v>
      </c>
      <c r="C50" s="141">
        <f t="shared" si="1"/>
        <v>234.62924350273363</v>
      </c>
      <c r="D50" s="141">
        <v>897.13756665931453</v>
      </c>
      <c r="E50" s="141">
        <f t="shared" si="2"/>
        <v>890.13756665931453</v>
      </c>
      <c r="F50" s="141">
        <v>262.17354631685106</v>
      </c>
      <c r="G50" s="176">
        <f t="shared" si="3"/>
        <v>255.17354631685106</v>
      </c>
      <c r="I50">
        <v>0</v>
      </c>
      <c r="J50">
        <v>39000</v>
      </c>
      <c r="K50">
        <v>38250</v>
      </c>
    </row>
    <row r="51" spans="1:11">
      <c r="A51" s="141">
        <f t="shared" si="0"/>
        <v>22500</v>
      </c>
      <c r="B51" s="141">
        <v>246.31949538547141</v>
      </c>
      <c r="C51" s="141">
        <f t="shared" si="1"/>
        <v>239.31949538547141</v>
      </c>
      <c r="D51" s="141">
        <v>895.8611561063168</v>
      </c>
      <c r="E51" s="141">
        <f t="shared" si="2"/>
        <v>888.8611561063168</v>
      </c>
      <c r="F51" s="141">
        <v>264.51746162189244</v>
      </c>
      <c r="G51" s="176">
        <f t="shared" si="3"/>
        <v>257.51746162189244</v>
      </c>
      <c r="I51">
        <v>200</v>
      </c>
      <c r="J51" s="176">
        <v>39000</v>
      </c>
      <c r="K51" s="176">
        <v>38250</v>
      </c>
    </row>
    <row r="52" spans="1:11">
      <c r="A52" s="141">
        <f t="shared" si="0"/>
        <v>23000</v>
      </c>
      <c r="B52" s="141">
        <v>251.13753930738139</v>
      </c>
      <c r="C52" s="141">
        <f t="shared" si="1"/>
        <v>244.13753930738139</v>
      </c>
      <c r="D52" s="141">
        <v>894.52246544049046</v>
      </c>
      <c r="E52" s="141">
        <f t="shared" si="2"/>
        <v>887.52246544049046</v>
      </c>
      <c r="F52" s="141">
        <v>266.89229954395626</v>
      </c>
      <c r="G52" s="176">
        <f t="shared" si="3"/>
        <v>259.89229954395626</v>
      </c>
      <c r="I52">
        <v>500</v>
      </c>
      <c r="J52" s="176">
        <v>39000</v>
      </c>
      <c r="K52" s="176">
        <v>38250</v>
      </c>
    </row>
    <row r="53" spans="1:11">
      <c r="A53" s="141">
        <f t="shared" si="0"/>
        <v>23500</v>
      </c>
      <c r="B53" s="141">
        <v>256.08864860279459</v>
      </c>
      <c r="C53" s="141">
        <f t="shared" si="1"/>
        <v>249.08864860279459</v>
      </c>
      <c r="D53" s="141">
        <v>893.11763440427831</v>
      </c>
      <c r="E53" s="141">
        <f t="shared" si="2"/>
        <v>886.11763440427831</v>
      </c>
      <c r="F53" s="141">
        <v>269.29860059769118</v>
      </c>
      <c r="G53" s="176">
        <f t="shared" si="3"/>
        <v>262.29860059769118</v>
      </c>
      <c r="I53">
        <v>700</v>
      </c>
      <c r="J53" s="176">
        <v>39000</v>
      </c>
      <c r="K53" s="176">
        <v>38250</v>
      </c>
    </row>
    <row r="54" spans="1:11">
      <c r="A54" s="141">
        <f t="shared" si="0"/>
        <v>24000</v>
      </c>
      <c r="B54" s="141">
        <v>261.17844566728326</v>
      </c>
      <c r="C54" s="141">
        <f t="shared" si="1"/>
        <v>254.17844566728326</v>
      </c>
      <c r="D54" s="141">
        <v>891.64248684431891</v>
      </c>
      <c r="E54" s="141">
        <f t="shared" si="2"/>
        <v>884.64248684431891</v>
      </c>
      <c r="F54" s="141">
        <v>271.73691707920955</v>
      </c>
      <c r="G54" s="176">
        <f t="shared" si="3"/>
        <v>264.73691707920955</v>
      </c>
      <c r="I54">
        <v>1000</v>
      </c>
      <c r="J54" s="176">
        <v>39000</v>
      </c>
      <c r="K54" s="176">
        <v>38250</v>
      </c>
    </row>
    <row r="55" spans="1:11">
      <c r="A55" s="141">
        <f t="shared" si="0"/>
        <v>24500</v>
      </c>
      <c r="B55" s="141">
        <v>266.41293724823311</v>
      </c>
      <c r="C55" s="141">
        <f t="shared" si="1"/>
        <v>259.41293724823311</v>
      </c>
      <c r="D55" s="141">
        <v>890.09249614513021</v>
      </c>
      <c r="E55" s="141">
        <f t="shared" si="2"/>
        <v>883.09249614513021</v>
      </c>
      <c r="F55" s="141">
        <v>274.20781329984209</v>
      </c>
      <c r="G55" s="176">
        <f t="shared" si="3"/>
        <v>267.20781329984209</v>
      </c>
    </row>
    <row r="56" spans="1:11">
      <c r="A56" s="141">
        <f t="shared" si="0"/>
        <v>25000</v>
      </c>
      <c r="B56" s="141">
        <v>271.7985552182983</v>
      </c>
      <c r="C56" s="141">
        <f t="shared" si="1"/>
        <v>264.7985552182983</v>
      </c>
      <c r="D56" s="141">
        <v>888.46274553767626</v>
      </c>
      <c r="E56" s="141">
        <f t="shared" si="2"/>
        <v>881.46274553767626</v>
      </c>
      <c r="F56" s="141">
        <v>276.71186605442415</v>
      </c>
      <c r="G56" s="176">
        <f t="shared" si="3"/>
        <v>269.71186605442415</v>
      </c>
    </row>
    <row r="57" spans="1:11">
      <c r="A57" s="141">
        <f t="shared" si="0"/>
        <v>25500</v>
      </c>
      <c r="B57" s="141">
        <v>277.34220268690439</v>
      </c>
      <c r="C57" s="141">
        <f t="shared" si="1"/>
        <v>270.34220268690439</v>
      </c>
      <c r="D57" s="141">
        <v>886.74788267910503</v>
      </c>
      <c r="E57" s="141">
        <f t="shared" si="2"/>
        <v>879.74788267910503</v>
      </c>
      <c r="F57" s="141">
        <v>279.24966482010365</v>
      </c>
      <c r="G57" s="176">
        <f t="shared" si="3"/>
        <v>272.24966482010365</v>
      </c>
    </row>
    <row r="58" spans="1:11">
      <c r="A58" s="141">
        <f t="shared" si="0"/>
        <v>26000</v>
      </c>
      <c r="B58" s="141">
        <v>283.0513076045782</v>
      </c>
      <c r="C58" s="141">
        <f t="shared" si="1"/>
        <v>276.0513076045782</v>
      </c>
      <c r="D58" s="141">
        <v>884.94206708147738</v>
      </c>
      <c r="E58" s="141">
        <f t="shared" si="2"/>
        <v>877.94206708147738</v>
      </c>
      <c r="F58" s="141">
        <v>281.82181217814588</v>
      </c>
      <c r="G58" s="176">
        <f t="shared" si="3"/>
        <v>274.82181217814588</v>
      </c>
    </row>
    <row r="59" spans="1:11">
      <c r="A59" s="141">
        <f t="shared" si="0"/>
        <v>26500</v>
      </c>
      <c r="B59" s="141">
        <v>288.93388451136008</v>
      </c>
      <c r="C59" s="141">
        <f t="shared" si="1"/>
        <v>281.93388451136008</v>
      </c>
      <c r="D59" s="141">
        <v>883.03890922669768</v>
      </c>
      <c r="E59" s="141">
        <f t="shared" si="2"/>
        <v>876.03890922669768</v>
      </c>
      <c r="F59" s="141">
        <v>284.42892411582932</v>
      </c>
      <c r="G59" s="176">
        <f t="shared" si="3"/>
        <v>277.42892411582932</v>
      </c>
    </row>
    <row r="60" spans="1:11">
      <c r="A60" s="141">
        <f t="shared" si="0"/>
        <v>27000</v>
      </c>
      <c r="B60" s="141">
        <v>294.99860658595657</v>
      </c>
      <c r="C60" s="141">
        <f t="shared" si="1"/>
        <v>287.99860658595657</v>
      </c>
      <c r="D60" s="141">
        <v>881.03139951958792</v>
      </c>
      <c r="E60" s="141">
        <f t="shared" si="2"/>
        <v>874.03139951958792</v>
      </c>
      <c r="F60" s="141">
        <v>287.07163041392232</v>
      </c>
      <c r="G60" s="176">
        <f t="shared" si="3"/>
        <v>280.07163041392232</v>
      </c>
    </row>
    <row r="61" spans="1:11">
      <c r="A61" s="141">
        <f t="shared" si="0"/>
        <v>27500</v>
      </c>
      <c r="B61" s="141">
        <v>301.25488983755787</v>
      </c>
      <c r="C61" s="141">
        <f t="shared" si="1"/>
        <v>294.25488983755787</v>
      </c>
      <c r="D61" s="141">
        <v>878.91182502914398</v>
      </c>
      <c r="E61" s="141">
        <f t="shared" si="2"/>
        <v>871.91182502914398</v>
      </c>
      <c r="F61" s="141">
        <v>289.75057498222515</v>
      </c>
      <c r="G61" s="176">
        <f t="shared" si="3"/>
        <v>282.75057498222515</v>
      </c>
    </row>
    <row r="62" spans="1:11">
      <c r="A62" s="141">
        <f t="shared" si="0"/>
        <v>28000</v>
      </c>
      <c r="B62" s="141">
        <v>307.71299243771745</v>
      </c>
      <c r="C62" s="141">
        <f t="shared" si="1"/>
        <v>300.71299243771745</v>
      </c>
      <c r="D62" s="141">
        <v>876.67167121569821</v>
      </c>
      <c r="E62" s="141">
        <f t="shared" si="2"/>
        <v>869.67167121569821</v>
      </c>
      <c r="F62" s="141">
        <v>292.46641627080021</v>
      </c>
      <c r="G62" s="176">
        <f t="shared" si="3"/>
        <v>285.46641627080021</v>
      </c>
    </row>
    <row r="63" spans="1:11">
      <c r="A63" s="141">
        <f t="shared" si="0"/>
        <v>28500</v>
      </c>
      <c r="B63" s="141">
        <v>314.38413238700946</v>
      </c>
      <c r="C63" s="141">
        <f t="shared" si="1"/>
        <v>307.38413238700946</v>
      </c>
      <c r="D63" s="141">
        <v>874.30150527742273</v>
      </c>
      <c r="E63" s="141">
        <f t="shared" si="2"/>
        <v>867.30150527742273</v>
      </c>
      <c r="F63" s="141">
        <v>295.21982764443908</v>
      </c>
      <c r="G63" s="176">
        <f t="shared" si="3"/>
        <v>288.21982764443908</v>
      </c>
    </row>
    <row r="64" spans="1:11">
      <c r="A64" s="141">
        <f t="shared" si="0"/>
        <v>29000</v>
      </c>
      <c r="B64" s="141">
        <v>321.28062819208697</v>
      </c>
      <c r="C64" s="141">
        <f t="shared" si="1"/>
        <v>314.28062819208697</v>
      </c>
      <c r="D64" s="141">
        <v>871.79083659763126</v>
      </c>
      <c r="E64" s="141">
        <f t="shared" si="2"/>
        <v>864.79083659763126</v>
      </c>
      <c r="F64" s="141">
        <v>298.01149782181386</v>
      </c>
      <c r="G64" s="176">
        <f t="shared" si="3"/>
        <v>291.01149782181386</v>
      </c>
    </row>
    <row r="65" spans="1:7">
      <c r="A65" s="141">
        <f t="shared" si="0"/>
        <v>29500</v>
      </c>
      <c r="B65" s="141">
        <v>328.41606792902815</v>
      </c>
      <c r="C65" s="141">
        <f t="shared" si="1"/>
        <v>321.41606792902815</v>
      </c>
      <c r="D65" s="141">
        <v>869.12794866644094</v>
      </c>
      <c r="E65" s="141">
        <f t="shared" si="2"/>
        <v>862.12794866644094</v>
      </c>
      <c r="F65" s="141">
        <v>300.84213121891776</v>
      </c>
      <c r="G65" s="176">
        <f t="shared" si="3"/>
        <v>293.84213121891776</v>
      </c>
    </row>
    <row r="66" spans="1:7">
      <c r="A66" s="141">
        <f t="shared" si="0"/>
        <v>30000</v>
      </c>
      <c r="B66" s="141">
        <v>335.80551499131553</v>
      </c>
      <c r="C66" s="141">
        <f t="shared" si="1"/>
        <v>328.80551499131553</v>
      </c>
      <c r="D66" s="141">
        <v>866.29969463720658</v>
      </c>
      <c r="E66" s="141">
        <f t="shared" si="2"/>
        <v>859.29969463720658</v>
      </c>
      <c r="F66" s="141">
        <v>303.71244848876728</v>
      </c>
      <c r="G66" s="176">
        <f t="shared" si="3"/>
        <v>296.71244848876728</v>
      </c>
    </row>
    <row r="67" spans="1:7">
      <c r="A67" s="141">
        <f t="shared" si="0"/>
        <v>30500</v>
      </c>
      <c r="B67" s="141">
        <v>343.46575970358469</v>
      </c>
      <c r="C67" s="141">
        <f t="shared" si="1"/>
        <v>336.46575970358469</v>
      </c>
      <c r="D67" s="141">
        <v>863.29124676341974</v>
      </c>
      <c r="E67" s="141">
        <f t="shared" si="2"/>
        <v>856.29124676341974</v>
      </c>
      <c r="F67" s="141">
        <v>306.62318689230165</v>
      </c>
      <c r="G67" s="176">
        <f t="shared" si="3"/>
        <v>299.62318689230165</v>
      </c>
    </row>
    <row r="68" spans="1:7">
      <c r="A68" s="141">
        <f t="shared" ref="A68:A84" si="4">A67+500</f>
        <v>31000</v>
      </c>
      <c r="B68" s="141">
        <v>351.41563095675411</v>
      </c>
      <c r="C68" s="141">
        <f t="shared" si="1"/>
        <v>344.41563095675411</v>
      </c>
      <c r="D68" s="141">
        <v>860.0857859227566</v>
      </c>
      <c r="E68" s="141">
        <f t="shared" si="2"/>
        <v>853.0857859227566</v>
      </c>
      <c r="F68" s="141">
        <v>309.57510073222039</v>
      </c>
      <c r="G68" s="176">
        <f t="shared" si="3"/>
        <v>302.57510073222039</v>
      </c>
    </row>
    <row r="69" spans="1:7">
      <c r="A69" s="141">
        <f t="shared" si="4"/>
        <v>31500</v>
      </c>
      <c r="B69" s="141">
        <v>359.67638676044385</v>
      </c>
      <c r="C69" s="141">
        <f t="shared" si="1"/>
        <v>352.67638676044385</v>
      </c>
      <c r="D69" s="141">
        <v>856.66411249336909</v>
      </c>
      <c r="E69" s="141">
        <f t="shared" si="2"/>
        <v>849.66411249336909</v>
      </c>
      <c r="F69" s="141">
        <v>312.56896194697748</v>
      </c>
      <c r="G69" s="176">
        <f t="shared" si="3"/>
        <v>305.56896194697748</v>
      </c>
    </row>
    <row r="70" spans="1:7">
      <c r="A70" s="141">
        <f t="shared" si="4"/>
        <v>32000</v>
      </c>
      <c r="B70" s="141">
        <v>368.27220855874941</v>
      </c>
      <c r="C70" s="141">
        <f t="shared" si="1"/>
        <v>361.27220855874941</v>
      </c>
      <c r="D70" s="141">
        <v>853.00415311436836</v>
      </c>
      <c r="E70" s="141">
        <f t="shared" si="2"/>
        <v>846.00415311436836</v>
      </c>
      <c r="F70" s="141">
        <v>315.60556047743034</v>
      </c>
      <c r="G70" s="176">
        <f t="shared" si="3"/>
        <v>308.60556047743034</v>
      </c>
    </row>
    <row r="71" spans="1:7">
      <c r="A71" s="141">
        <f t="shared" si="4"/>
        <v>32500</v>
      </c>
      <c r="B71" s="141">
        <v>377.23083710752621</v>
      </c>
      <c r="C71" s="141">
        <f t="shared" ref="C71:C84" si="5">B71-7</f>
        <v>370.23083710752621</v>
      </c>
      <c r="D71" s="141">
        <v>849.08032621316522</v>
      </c>
      <c r="E71" s="141">
        <f t="shared" ref="E71:E84" si="6">D71-7</f>
        <v>842.08032621316522</v>
      </c>
      <c r="F71" s="141">
        <v>318.68570483070249</v>
      </c>
      <c r="G71" s="176">
        <f t="shared" ref="G71:G84" si="7">F71-7</f>
        <v>311.68570483070249</v>
      </c>
    </row>
    <row r="72" spans="1:7">
      <c r="A72" s="141">
        <f t="shared" si="4"/>
        <v>33000</v>
      </c>
      <c r="B72" s="141">
        <v>386.58440228562375</v>
      </c>
      <c r="C72" s="141">
        <f t="shared" si="5"/>
        <v>379.58440228562375</v>
      </c>
      <c r="D72" s="141">
        <v>844.86271354378437</v>
      </c>
      <c r="E72" s="141">
        <f t="shared" si="6"/>
        <v>837.86271354378437</v>
      </c>
      <c r="F72" s="141">
        <v>321.81022260137274</v>
      </c>
      <c r="G72" s="176">
        <f t="shared" si="7"/>
        <v>314.81022260137274</v>
      </c>
    </row>
    <row r="73" spans="1:7">
      <c r="A73" s="141">
        <f t="shared" si="4"/>
        <v>33500</v>
      </c>
      <c r="B73" s="141">
        <v>396.37052538305954</v>
      </c>
      <c r="C73" s="141">
        <f t="shared" si="5"/>
        <v>389.37052538305954</v>
      </c>
      <c r="D73" s="141">
        <v>840.31595928832462</v>
      </c>
      <c r="E73" s="141">
        <f t="shared" si="6"/>
        <v>833.31595928832462</v>
      </c>
      <c r="F73" s="141">
        <v>324.97996100942765</v>
      </c>
      <c r="G73" s="176">
        <f t="shared" si="7"/>
        <v>317.97996100942765</v>
      </c>
    </row>
    <row r="74" spans="1:7">
      <c r="A74" s="141">
        <f t="shared" si="4"/>
        <v>34000</v>
      </c>
      <c r="B74" s="141">
        <v>406.63381274300559</v>
      </c>
      <c r="C74" s="141">
        <f t="shared" si="5"/>
        <v>399.63381274300559</v>
      </c>
      <c r="D74" s="141">
        <v>835.39777780479301</v>
      </c>
      <c r="E74" s="141">
        <f t="shared" si="6"/>
        <v>828.39777780479301</v>
      </c>
      <c r="F74" s="141">
        <v>328.19578743080353</v>
      </c>
      <c r="G74" s="176">
        <f t="shared" si="7"/>
        <v>321.19578743080353</v>
      </c>
    </row>
    <row r="75" spans="1:7">
      <c r="A75" s="141">
        <f t="shared" si="4"/>
        <v>34500</v>
      </c>
      <c r="B75" s="141">
        <v>419.38546485873866</v>
      </c>
      <c r="C75" s="141">
        <f t="shared" si="5"/>
        <v>412.38546485873866</v>
      </c>
      <c r="D75" s="141">
        <v>829.06956082847455</v>
      </c>
      <c r="E75" s="141">
        <f t="shared" si="6"/>
        <v>822.06956082847455</v>
      </c>
      <c r="F75" s="141">
        <v>332.0372227566358</v>
      </c>
      <c r="G75" s="176">
        <f t="shared" si="7"/>
        <v>325.0372227566358</v>
      </c>
    </row>
    <row r="76" spans="1:7">
      <c r="A76" s="141">
        <f t="shared" si="4"/>
        <v>35000</v>
      </c>
      <c r="B76" s="141">
        <v>433.35815811774035</v>
      </c>
      <c r="C76" s="141">
        <f t="shared" si="5"/>
        <v>426.35815811774035</v>
      </c>
      <c r="D76" s="141">
        <v>821.85230523488792</v>
      </c>
      <c r="E76" s="141">
        <f t="shared" si="6"/>
        <v>814.85230523488792</v>
      </c>
      <c r="F76" s="141">
        <v>336.0508338716038</v>
      </c>
      <c r="G76" s="176">
        <f t="shared" si="7"/>
        <v>329.0508338716038</v>
      </c>
    </row>
    <row r="77" spans="1:7">
      <c r="A77" s="141">
        <f t="shared" si="4"/>
        <v>35500</v>
      </c>
      <c r="B77" s="141">
        <v>448.28764939787442</v>
      </c>
      <c r="C77" s="141">
        <f t="shared" si="5"/>
        <v>441.28764939787442</v>
      </c>
      <c r="D77" s="141">
        <v>813.80506770628335</v>
      </c>
      <c r="E77" s="141">
        <f t="shared" si="6"/>
        <v>806.80506770628335</v>
      </c>
      <c r="F77" s="141">
        <v>340.11296087623305</v>
      </c>
      <c r="G77" s="176">
        <f t="shared" si="7"/>
        <v>333.11296087623305</v>
      </c>
    </row>
    <row r="78" spans="1:7">
      <c r="A78" s="141">
        <f t="shared" si="4"/>
        <v>36000</v>
      </c>
      <c r="B78" s="141">
        <v>464.3630435633022</v>
      </c>
      <c r="C78" s="141">
        <f t="shared" si="5"/>
        <v>457.3630435633022</v>
      </c>
      <c r="D78" s="141">
        <v>804.74062193959537</v>
      </c>
      <c r="E78" s="141">
        <f t="shared" si="6"/>
        <v>797.74062193959537</v>
      </c>
      <c r="F78" s="141">
        <v>344.22419016947566</v>
      </c>
      <c r="G78" s="176">
        <f t="shared" si="7"/>
        <v>337.22419016947566</v>
      </c>
    </row>
    <row r="79" spans="1:7">
      <c r="A79" s="141">
        <f t="shared" si="4"/>
        <v>36500</v>
      </c>
      <c r="B79" s="141">
        <v>481.8542487580861</v>
      </c>
      <c r="C79" s="141">
        <f t="shared" si="5"/>
        <v>474.8542487580861</v>
      </c>
      <c r="D79" s="141">
        <v>794.39095398983523</v>
      </c>
      <c r="E79" s="141">
        <f t="shared" si="6"/>
        <v>787.39095398983523</v>
      </c>
      <c r="F79" s="141">
        <v>348.38511532184947</v>
      </c>
      <c r="G79" s="176">
        <f t="shared" si="7"/>
        <v>341.38511532184947</v>
      </c>
    </row>
    <row r="80" spans="1:7">
      <c r="A80" s="141">
        <f t="shared" si="4"/>
        <v>37000</v>
      </c>
      <c r="B80" s="141">
        <v>501.17212516098391</v>
      </c>
      <c r="C80" s="141">
        <f t="shared" si="5"/>
        <v>494.17212516098391</v>
      </c>
      <c r="D80" s="141">
        <v>782.34711336383373</v>
      </c>
      <c r="E80" s="141">
        <f t="shared" si="6"/>
        <v>775.34711336383373</v>
      </c>
      <c r="F80" s="141">
        <v>352.59633708898104</v>
      </c>
      <c r="G80" s="176">
        <f t="shared" si="7"/>
        <v>345.59633708898104</v>
      </c>
    </row>
    <row r="81" spans="1:7">
      <c r="A81" s="141">
        <f t="shared" si="4"/>
        <v>37500</v>
      </c>
      <c r="B81" s="141">
        <v>523.00294822518185</v>
      </c>
      <c r="C81" s="141">
        <f t="shared" si="5"/>
        <v>516.00294822518185</v>
      </c>
      <c r="D81" s="141">
        <v>767.92474955223815</v>
      </c>
      <c r="E81" s="141">
        <f t="shared" si="6"/>
        <v>760.92474955223815</v>
      </c>
      <c r="F81" s="141">
        <v>356.85846338184444</v>
      </c>
      <c r="G81" s="176">
        <f t="shared" si="7"/>
        <v>349.85846338184444</v>
      </c>
    </row>
    <row r="82" spans="1:7">
      <c r="A82" s="141">
        <f t="shared" si="4"/>
        <v>38000</v>
      </c>
      <c r="B82" s="141">
        <v>548.6751822873573</v>
      </c>
      <c r="C82" s="141">
        <f t="shared" si="5"/>
        <v>541.6751822873573</v>
      </c>
      <c r="D82" s="141">
        <v>749.79733873163036</v>
      </c>
      <c r="E82" s="141">
        <f t="shared" si="6"/>
        <v>742.79733873163036</v>
      </c>
      <c r="F82" s="141">
        <v>361.17210954659754</v>
      </c>
      <c r="G82" s="176">
        <f t="shared" si="7"/>
        <v>354.17210954659754</v>
      </c>
    </row>
    <row r="83" spans="1:7" s="176" customFormat="1">
      <c r="A83" s="141">
        <f>A82+500</f>
        <v>38500</v>
      </c>
      <c r="B83" s="141">
        <v>581.59638223753598</v>
      </c>
      <c r="C83" s="141">
        <f t="shared" si="5"/>
        <v>574.59638223753598</v>
      </c>
      <c r="D83" s="141">
        <v>724.55928190542829</v>
      </c>
      <c r="E83" s="141">
        <f t="shared" si="6"/>
        <v>717.55928190542829</v>
      </c>
      <c r="F83" s="141">
        <v>365.53789835146495</v>
      </c>
      <c r="G83" s="176">
        <f t="shared" si="7"/>
        <v>358.53789835146495</v>
      </c>
    </row>
    <row r="84" spans="1:7">
      <c r="A84" s="141">
        <f t="shared" si="4"/>
        <v>39000</v>
      </c>
      <c r="B84" s="141">
        <v>656.98954922373719</v>
      </c>
      <c r="C84" s="141">
        <f t="shared" si="5"/>
        <v>649.98954922373719</v>
      </c>
      <c r="D84" s="141">
        <v>656.98954922373719</v>
      </c>
      <c r="E84" s="141">
        <f t="shared" si="6"/>
        <v>649.98954922373719</v>
      </c>
      <c r="F84" s="141">
        <v>369.95646009512939</v>
      </c>
      <c r="G84" s="176">
        <f t="shared" si="7"/>
        <v>362.95646009512939</v>
      </c>
    </row>
    <row r="85" spans="1:7">
      <c r="A85" s="141"/>
    </row>
    <row r="86" spans="1:7">
      <c r="A86" s="14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1794-D457-4288-AA2A-22FE133B288A}">
  <sheetPr>
    <outlinePr summaryBelow="0" summaryRight="0"/>
  </sheetPr>
  <dimension ref="A1:BA784"/>
  <sheetViews>
    <sheetView topLeftCell="A13" zoomScale="60" zoomScaleNormal="60" workbookViewId="0">
      <selection activeCell="K16" sqref="K16"/>
    </sheetView>
  </sheetViews>
  <sheetFormatPr defaultColWidth="12.6640625" defaultRowHeight="15" customHeight="1"/>
  <cols>
    <col min="1" max="1" width="14" style="149" customWidth="1"/>
    <col min="2" max="16384" width="12.6640625" style="149"/>
  </cols>
  <sheetData>
    <row r="1" spans="1:42" ht="14.5">
      <c r="A1" s="181" t="s">
        <v>70</v>
      </c>
      <c r="B1" s="182"/>
      <c r="C1" s="26"/>
      <c r="D1" s="70" t="s">
        <v>71</v>
      </c>
      <c r="E1" s="32" t="e">
        <f>1.1*#REF!</f>
        <v>#REF!</v>
      </c>
      <c r="G1" s="70" t="s">
        <v>72</v>
      </c>
      <c r="H1" s="32" t="e">
        <f>1.15*#REF!</f>
        <v>#REF!</v>
      </c>
      <c r="J1" s="70" t="s">
        <v>249</v>
      </c>
      <c r="K1" s="32" t="e">
        <f>1.2*#REF!</f>
        <v>#REF!</v>
      </c>
      <c r="AC1" s="3"/>
      <c r="AD1" s="3"/>
      <c r="AP1" s="53"/>
    </row>
    <row r="2" spans="1:42" ht="14.5">
      <c r="A2" s="26" t="s">
        <v>74</v>
      </c>
      <c r="M2" s="21"/>
      <c r="N2" s="61"/>
      <c r="AC2" s="3"/>
      <c r="AD2" s="3"/>
      <c r="AP2" s="53"/>
    </row>
    <row r="3" spans="1:42" ht="14.5">
      <c r="A3" s="21" t="s">
        <v>76</v>
      </c>
      <c r="B3" s="21">
        <v>230</v>
      </c>
      <c r="D3" s="26" t="s">
        <v>1</v>
      </c>
      <c r="E3" s="32" t="e">
        <f>#REF!</f>
        <v>#REF!</v>
      </c>
      <c r="F3" s="21" t="s">
        <v>49</v>
      </c>
      <c r="G3" s="26" t="s">
        <v>199</v>
      </c>
      <c r="H3" s="21">
        <v>755</v>
      </c>
      <c r="M3" s="21"/>
      <c r="N3" s="61"/>
      <c r="S3" s="75" t="s">
        <v>284</v>
      </c>
      <c r="T3" s="131" t="s">
        <v>286</v>
      </c>
      <c r="U3" s="131" t="s">
        <v>83</v>
      </c>
      <c r="AC3" s="3"/>
      <c r="AD3" s="3"/>
      <c r="AP3" s="53"/>
    </row>
    <row r="4" spans="1:42" ht="19">
      <c r="A4" s="21" t="s">
        <v>12</v>
      </c>
      <c r="B4" s="21">
        <f>U9/B3</f>
        <v>5.5269412880887687</v>
      </c>
      <c r="C4" s="149">
        <v>5.55</v>
      </c>
      <c r="D4" s="26" t="s">
        <v>200</v>
      </c>
      <c r="E4" s="21" t="e">
        <f>#REF!-#REF!</f>
        <v>#REF!</v>
      </c>
      <c r="G4" s="26" t="s">
        <v>201</v>
      </c>
      <c r="H4" s="21">
        <v>1017</v>
      </c>
      <c r="M4" s="21"/>
      <c r="N4" s="21"/>
      <c r="S4" s="131" t="s">
        <v>285</v>
      </c>
      <c r="T4" s="150">
        <v>79254.356807799995</v>
      </c>
      <c r="U4" s="149">
        <f>T4/144</f>
        <v>550.37747783194436</v>
      </c>
      <c r="AC4" s="3"/>
      <c r="AD4" s="3"/>
      <c r="AP4" s="53"/>
    </row>
    <row r="5" spans="1:42" ht="19">
      <c r="A5" s="21" t="s">
        <v>11</v>
      </c>
      <c r="B5" s="21">
        <v>0.84</v>
      </c>
      <c r="M5" s="21"/>
      <c r="S5" s="131" t="s">
        <v>287</v>
      </c>
      <c r="T5" s="150">
        <v>14021.6390302</v>
      </c>
      <c r="U5" s="149">
        <f t="shared" ref="U5:U9" si="0">T5/144</f>
        <v>97.372493265277782</v>
      </c>
      <c r="AC5" s="3"/>
      <c r="AD5" s="3"/>
      <c r="AP5" s="53"/>
    </row>
    <row r="6" spans="1:42" ht="19">
      <c r="A6" s="21" t="s">
        <v>10</v>
      </c>
      <c r="B6" s="30">
        <v>6</v>
      </c>
      <c r="D6" s="26" t="s">
        <v>86</v>
      </c>
      <c r="G6" s="26" t="s">
        <v>87</v>
      </c>
      <c r="J6" s="70" t="s">
        <v>90</v>
      </c>
      <c r="K6" s="78">
        <v>7650</v>
      </c>
      <c r="M6" s="75" t="s">
        <v>219</v>
      </c>
      <c r="N6" s="149">
        <v>50.8</v>
      </c>
      <c r="O6" s="149" t="s">
        <v>220</v>
      </c>
      <c r="P6" s="75" t="s">
        <v>266</v>
      </c>
      <c r="Q6" s="149" t="e">
        <f>H18/N6</f>
        <v>#REF!</v>
      </c>
      <c r="S6" s="131" t="s">
        <v>288</v>
      </c>
      <c r="T6" s="150">
        <v>10100.623521699999</v>
      </c>
      <c r="U6" s="149">
        <f t="shared" si="0"/>
        <v>70.143218900694436</v>
      </c>
      <c r="AC6" s="3"/>
      <c r="AD6" s="3"/>
      <c r="AP6" s="53"/>
    </row>
    <row r="7" spans="1:42" ht="16" customHeight="1">
      <c r="A7" s="76" t="s">
        <v>84</v>
      </c>
      <c r="B7" s="76">
        <f>77.04843221/12</f>
        <v>6.4207026841666668</v>
      </c>
      <c r="D7" s="21" t="s">
        <v>19</v>
      </c>
      <c r="E7" s="31">
        <v>0.2</v>
      </c>
      <c r="G7" s="62" t="s">
        <v>19</v>
      </c>
      <c r="H7" s="31">
        <v>0.2</v>
      </c>
      <c r="J7" s="70" t="s">
        <v>93</v>
      </c>
      <c r="K7" s="21">
        <v>3000</v>
      </c>
      <c r="M7" s="75" t="s">
        <v>221</v>
      </c>
      <c r="N7" s="149" t="e">
        <f>(H18/N6)*1.08</f>
        <v>#REF!</v>
      </c>
      <c r="O7" s="131" t="s">
        <v>247</v>
      </c>
      <c r="P7" s="75" t="s">
        <v>267</v>
      </c>
      <c r="Q7" s="149">
        <f>N9*N6</f>
        <v>6309.36</v>
      </c>
      <c r="R7" s="131" t="s">
        <v>78</v>
      </c>
      <c r="S7" s="131" t="s">
        <v>289</v>
      </c>
      <c r="T7" s="150">
        <v>68456.873772699997</v>
      </c>
      <c r="U7" s="149">
        <f t="shared" si="0"/>
        <v>475.39495675486108</v>
      </c>
      <c r="AC7" s="3"/>
      <c r="AD7" s="3"/>
      <c r="AP7" s="53"/>
    </row>
    <row r="8" spans="1:42" ht="15" customHeight="1">
      <c r="A8" s="76" t="s">
        <v>15</v>
      </c>
      <c r="B8" s="21">
        <f>1/(PI()*B6*B5)</f>
        <v>6.3156723449164814E-2</v>
      </c>
      <c r="D8" s="21" t="s">
        <v>92</v>
      </c>
      <c r="E8" s="21">
        <v>5</v>
      </c>
      <c r="F8" s="21" t="s">
        <v>21</v>
      </c>
      <c r="G8" s="62" t="s">
        <v>92</v>
      </c>
      <c r="H8" s="62">
        <v>5</v>
      </c>
      <c r="I8" s="21" t="s">
        <v>21</v>
      </c>
      <c r="J8" s="70" t="s">
        <v>95</v>
      </c>
      <c r="K8" s="151">
        <v>6309</v>
      </c>
      <c r="M8" s="75" t="s">
        <v>248</v>
      </c>
      <c r="N8" s="149">
        <f>K6-730</f>
        <v>6920</v>
      </c>
      <c r="O8" s="131" t="s">
        <v>78</v>
      </c>
      <c r="S8" s="131" t="s">
        <v>290</v>
      </c>
      <c r="T8" s="150">
        <v>11218.802329100001</v>
      </c>
      <c r="U8" s="149">
        <f t="shared" si="0"/>
        <v>77.908349507638889</v>
      </c>
      <c r="AC8" s="3"/>
      <c r="AD8" s="3"/>
      <c r="AP8" s="53"/>
    </row>
    <row r="9" spans="1:42" ht="14.5">
      <c r="A9" s="26" t="s">
        <v>89</v>
      </c>
      <c r="D9" s="21" t="s">
        <v>14</v>
      </c>
      <c r="E9" s="32">
        <f>($B$15*$E$7*$B$14*(5/60))</f>
        <v>81.64</v>
      </c>
      <c r="F9" s="21" t="s">
        <v>78</v>
      </c>
      <c r="G9" s="62" t="s">
        <v>14</v>
      </c>
      <c r="H9" s="32">
        <f>($B$15*$E$7*$B$14*(5/60))</f>
        <v>81.64</v>
      </c>
      <c r="I9" s="62" t="s">
        <v>78</v>
      </c>
      <c r="J9" s="70" t="s">
        <v>195</v>
      </c>
      <c r="K9" s="32">
        <f>SUM(K6:K8)</f>
        <v>16959</v>
      </c>
      <c r="M9" s="75" t="s">
        <v>250</v>
      </c>
      <c r="N9" s="149">
        <f>135*0.92</f>
        <v>124.2</v>
      </c>
      <c r="O9" s="131" t="s">
        <v>247</v>
      </c>
      <c r="S9" s="131" t="s">
        <v>291</v>
      </c>
      <c r="T9" s="149">
        <f>SUM(T4:T8)</f>
        <v>183052.29546150001</v>
      </c>
      <c r="U9" s="149">
        <f t="shared" si="0"/>
        <v>1271.1964962604168</v>
      </c>
      <c r="AC9" s="3"/>
      <c r="AD9" s="3"/>
      <c r="AP9" s="53"/>
    </row>
    <row r="10" spans="1:42" ht="14.5">
      <c r="A10" s="21" t="s">
        <v>91</v>
      </c>
      <c r="B10" s="63">
        <f>K9</f>
        <v>16959</v>
      </c>
      <c r="AC10" s="3"/>
      <c r="AD10" s="3"/>
      <c r="AP10" s="53"/>
    </row>
    <row r="11" spans="1:42" ht="14.5">
      <c r="A11" s="21" t="s">
        <v>94</v>
      </c>
      <c r="B11" s="21">
        <v>0.99</v>
      </c>
      <c r="D11" s="26" t="s">
        <v>99</v>
      </c>
      <c r="G11" s="69" t="s">
        <v>86</v>
      </c>
      <c r="H11" s="32">
        <f>E9</f>
        <v>81.64</v>
      </c>
      <c r="J11" s="69" t="s">
        <v>202</v>
      </c>
      <c r="S11" s="131" t="s">
        <v>12</v>
      </c>
      <c r="T11" s="149">
        <f>U9/230</f>
        <v>5.5269412880887687</v>
      </c>
      <c r="AC11" s="3"/>
      <c r="AD11" s="3"/>
      <c r="AP11" s="53"/>
    </row>
    <row r="12" spans="1:42" ht="14.5">
      <c r="A12" s="21" t="s">
        <v>96</v>
      </c>
      <c r="B12" s="32">
        <f>B10*B11</f>
        <v>16789.41</v>
      </c>
      <c r="D12" s="21" t="s">
        <v>101</v>
      </c>
      <c r="E12" s="31">
        <v>1</v>
      </c>
      <c r="G12" s="69" t="s">
        <v>99</v>
      </c>
      <c r="H12" s="32" t="e">
        <f>E14</f>
        <v>#REF!</v>
      </c>
      <c r="J12" s="62" t="s">
        <v>203</v>
      </c>
      <c r="K12" s="64">
        <v>0.05</v>
      </c>
      <c r="AC12" s="3"/>
      <c r="AD12" s="3"/>
      <c r="AP12" s="53"/>
    </row>
    <row r="13" spans="1:42" ht="14.5">
      <c r="A13" s="26" t="s">
        <v>98</v>
      </c>
      <c r="D13" s="21" t="s">
        <v>17</v>
      </c>
      <c r="E13" s="32" t="e">
        <f>#REF!</f>
        <v>#REF!</v>
      </c>
      <c r="F13" s="21" t="s">
        <v>18</v>
      </c>
      <c r="G13" s="69" t="s">
        <v>103</v>
      </c>
      <c r="H13" s="32" t="e">
        <f ca="1">SUM(#REF!)+SUM(#REF!)+SUM(#REF!)+SUM(AO23:AO43)+SUM(#REF!)+SUM(#REF!)+SUM(#REF!)</f>
        <v>#REF!</v>
      </c>
      <c r="J13" s="62" t="s">
        <v>204</v>
      </c>
      <c r="K13" s="32" t="e">
        <f>#REF!</f>
        <v>#REF!</v>
      </c>
      <c r="L13" s="21" t="s">
        <v>18</v>
      </c>
      <c r="M13" s="149" t="s">
        <v>283</v>
      </c>
      <c r="N13" s="149">
        <f>SQRT(B6*B3)</f>
        <v>37.148351242013419</v>
      </c>
      <c r="O13" s="149">
        <v>37.148351242013419</v>
      </c>
      <c r="AC13" s="3"/>
      <c r="AD13" s="3"/>
      <c r="AP13" s="53"/>
    </row>
    <row r="14" spans="1:42" ht="14.5">
      <c r="A14" s="21" t="s">
        <v>100</v>
      </c>
      <c r="B14" s="21">
        <v>0.78</v>
      </c>
      <c r="C14" s="131" t="s">
        <v>56</v>
      </c>
      <c r="D14" s="21" t="s">
        <v>16</v>
      </c>
      <c r="E14" s="32" t="e">
        <f>B15*E12*B14*(E13/3600)</f>
        <v>#REF!</v>
      </c>
      <c r="F14" s="21" t="s">
        <v>78</v>
      </c>
      <c r="G14" s="69" t="s">
        <v>87</v>
      </c>
      <c r="H14" s="32">
        <f>H9</f>
        <v>81.64</v>
      </c>
      <c r="J14" s="62" t="s">
        <v>206</v>
      </c>
      <c r="K14" s="32" t="e">
        <f>B15*B14*K12*(K13/3600)</f>
        <v>#REF!</v>
      </c>
      <c r="L14" s="21" t="s">
        <v>78</v>
      </c>
      <c r="AC14" s="3"/>
      <c r="AD14" s="3"/>
      <c r="AP14" s="53"/>
    </row>
    <row r="15" spans="1:42" ht="14.5">
      <c r="A15" s="21" t="s">
        <v>102</v>
      </c>
      <c r="B15" s="21">
        <v>6280</v>
      </c>
      <c r="G15" s="69" t="s">
        <v>202</v>
      </c>
      <c r="H15" s="32" t="e">
        <f>K14</f>
        <v>#REF!</v>
      </c>
      <c r="AC15" s="3"/>
      <c r="AD15" s="3"/>
      <c r="AP15" s="53"/>
    </row>
    <row r="16" spans="1:42" ht="14.5">
      <c r="A16" s="26" t="s">
        <v>104</v>
      </c>
      <c r="G16" s="26" t="s">
        <v>7</v>
      </c>
      <c r="H16" s="32" t="e">
        <f>#REF!</f>
        <v>#REF!</v>
      </c>
      <c r="AC16" s="3"/>
      <c r="AD16" s="3"/>
      <c r="AP16" s="53"/>
    </row>
    <row r="17" spans="1:53" ht="14.5">
      <c r="A17" s="6" t="s">
        <v>105</v>
      </c>
      <c r="B17" s="6">
        <v>5.0000000000000001E-3</v>
      </c>
      <c r="G17" s="34" t="s">
        <v>107</v>
      </c>
      <c r="H17" s="41">
        <v>6309</v>
      </c>
      <c r="I17" s="149">
        <v>5159.2273334446709</v>
      </c>
      <c r="AC17" s="3"/>
      <c r="AD17" s="3"/>
      <c r="AP17" s="53"/>
    </row>
    <row r="18" spans="1:53" ht="14.5">
      <c r="A18" s="21" t="s">
        <v>205</v>
      </c>
      <c r="B18" s="21">
        <v>2.1</v>
      </c>
      <c r="G18" s="130" t="s">
        <v>223</v>
      </c>
      <c r="H18" s="129" t="e">
        <f>($H$17-$H$16)*1.02 +$H$16</f>
        <v>#REF!</v>
      </c>
      <c r="AC18" s="3"/>
      <c r="AD18" s="3"/>
      <c r="AP18" s="53"/>
    </row>
    <row r="19" spans="1:53" ht="14.5">
      <c r="AC19" s="3"/>
      <c r="AD19" s="3"/>
      <c r="AP19" s="53"/>
    </row>
    <row r="20" spans="1:53" ht="14.5">
      <c r="A20" s="67" t="s">
        <v>5</v>
      </c>
      <c r="B20" s="67" t="s">
        <v>122</v>
      </c>
      <c r="C20" s="67">
        <v>240</v>
      </c>
      <c r="D20" s="67" t="s">
        <v>21</v>
      </c>
      <c r="E20" s="53"/>
      <c r="F20" s="53"/>
      <c r="G20" s="53"/>
      <c r="H20" s="53"/>
      <c r="I20" s="53"/>
      <c r="J20" s="53"/>
      <c r="K20" s="53"/>
      <c r="L20" s="53"/>
      <c r="M20" s="67" t="s">
        <v>60</v>
      </c>
      <c r="N20" s="53"/>
      <c r="O20" s="53"/>
      <c r="P20" s="53"/>
      <c r="Q20" s="53"/>
      <c r="R20" s="67"/>
      <c r="S20" s="53"/>
      <c r="T20" s="53"/>
      <c r="U20" s="53"/>
      <c r="V20" s="67"/>
      <c r="W20" s="67"/>
      <c r="X20" s="67"/>
      <c r="Y20" s="67"/>
      <c r="Z20" s="53"/>
      <c r="AA20" s="53"/>
      <c r="AB20" s="67"/>
      <c r="AC20" s="67"/>
      <c r="AD20" s="53"/>
      <c r="AE20" s="53"/>
      <c r="AF20" s="53"/>
      <c r="AG20" s="67"/>
      <c r="AH20" s="53"/>
      <c r="AI20" s="53"/>
      <c r="AJ20" s="53"/>
      <c r="AK20" s="67" t="s">
        <v>61</v>
      </c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</row>
    <row r="21" spans="1:53" ht="14.5">
      <c r="A21" s="41" t="s">
        <v>2</v>
      </c>
      <c r="B21" s="41" t="s">
        <v>2</v>
      </c>
      <c r="C21" s="41" t="s">
        <v>2</v>
      </c>
      <c r="D21" s="41" t="s">
        <v>23</v>
      </c>
      <c r="E21" s="41" t="s">
        <v>24</v>
      </c>
      <c r="F21" s="41" t="s">
        <v>93</v>
      </c>
      <c r="G21" s="41" t="s">
        <v>25</v>
      </c>
      <c r="H21" s="90" t="s">
        <v>292</v>
      </c>
      <c r="I21" s="41" t="s">
        <v>0</v>
      </c>
      <c r="J21" s="5" t="s">
        <v>26</v>
      </c>
      <c r="K21" s="41" t="s">
        <v>27</v>
      </c>
      <c r="L21" s="41" t="s">
        <v>28</v>
      </c>
      <c r="M21" s="12" t="s">
        <v>29</v>
      </c>
      <c r="N21" s="13" t="s">
        <v>30</v>
      </c>
      <c r="O21" s="41" t="s">
        <v>31</v>
      </c>
      <c r="P21" s="41" t="s">
        <v>32</v>
      </c>
      <c r="Q21" s="41" t="s">
        <v>33</v>
      </c>
      <c r="R21" s="41" t="s">
        <v>34</v>
      </c>
      <c r="S21" s="41" t="s">
        <v>13</v>
      </c>
      <c r="T21" s="24" t="s">
        <v>35</v>
      </c>
      <c r="U21" s="10" t="s">
        <v>35</v>
      </c>
      <c r="V21" s="41" t="s">
        <v>36</v>
      </c>
      <c r="W21" s="41" t="s">
        <v>37</v>
      </c>
      <c r="X21" s="41" t="s">
        <v>38</v>
      </c>
      <c r="Y21" s="41" t="s">
        <v>39</v>
      </c>
      <c r="Z21" s="41" t="s">
        <v>40</v>
      </c>
      <c r="AA21" s="35" t="s">
        <v>108</v>
      </c>
      <c r="AB21" s="35" t="s">
        <v>109</v>
      </c>
      <c r="AC21" s="9" t="s">
        <v>110</v>
      </c>
      <c r="AD21" s="7" t="s">
        <v>111</v>
      </c>
      <c r="AE21" s="7" t="s">
        <v>112</v>
      </c>
      <c r="AF21" s="5" t="s">
        <v>41</v>
      </c>
      <c r="AG21" s="7" t="s">
        <v>113</v>
      </c>
      <c r="AH21" s="7" t="s">
        <v>114</v>
      </c>
      <c r="AI21" s="7" t="s">
        <v>115</v>
      </c>
      <c r="AJ21" s="41" t="s">
        <v>42</v>
      </c>
      <c r="AK21" s="41" t="s">
        <v>43</v>
      </c>
      <c r="AL21" s="36"/>
      <c r="AM21" s="5" t="s">
        <v>44</v>
      </c>
      <c r="AN21" s="5" t="s">
        <v>45</v>
      </c>
      <c r="AO21" s="41" t="s">
        <v>46</v>
      </c>
      <c r="AP21" s="41" t="s">
        <v>47</v>
      </c>
      <c r="AQ21" s="53"/>
      <c r="AR21" s="15" t="s">
        <v>62</v>
      </c>
      <c r="AS21" s="16" t="s">
        <v>63</v>
      </c>
      <c r="AT21" s="16" t="s">
        <v>64</v>
      </c>
      <c r="AU21" s="17" t="s">
        <v>65</v>
      </c>
      <c r="AV21" s="18" t="s">
        <v>66</v>
      </c>
      <c r="AW21" s="18" t="s">
        <v>67</v>
      </c>
      <c r="AX21" s="19" t="s">
        <v>68</v>
      </c>
      <c r="AY21" s="7" t="s">
        <v>207</v>
      </c>
      <c r="AZ21" s="7" t="s">
        <v>208</v>
      </c>
      <c r="BA21" s="7" t="s">
        <v>209</v>
      </c>
    </row>
    <row r="22" spans="1:53" ht="14.5">
      <c r="A22" s="41" t="s">
        <v>18</v>
      </c>
      <c r="B22" s="41" t="s">
        <v>21</v>
      </c>
      <c r="C22" s="41" t="s">
        <v>48</v>
      </c>
      <c r="D22" s="41" t="s">
        <v>8</v>
      </c>
      <c r="E22" s="41" t="s">
        <v>49</v>
      </c>
      <c r="F22" s="41" t="s">
        <v>8</v>
      </c>
      <c r="G22" s="41" t="s">
        <v>49</v>
      </c>
      <c r="H22" s="90"/>
      <c r="I22" s="41" t="s">
        <v>9</v>
      </c>
      <c r="J22" s="5" t="s">
        <v>50</v>
      </c>
      <c r="K22" s="41"/>
      <c r="L22" s="41" t="s">
        <v>51</v>
      </c>
      <c r="M22" s="5" t="s">
        <v>52</v>
      </c>
      <c r="N22" s="41" t="s">
        <v>52</v>
      </c>
      <c r="O22" s="41" t="s">
        <v>53</v>
      </c>
      <c r="P22" s="41" t="s">
        <v>54</v>
      </c>
      <c r="Q22" s="41"/>
      <c r="R22" s="41"/>
      <c r="S22" s="41"/>
      <c r="T22" s="24" t="s">
        <v>55</v>
      </c>
      <c r="U22" s="10" t="s">
        <v>55</v>
      </c>
      <c r="V22" s="41"/>
      <c r="W22" s="41"/>
      <c r="X22" s="41"/>
      <c r="Y22" s="41"/>
      <c r="Z22" s="41"/>
      <c r="AA22" s="41"/>
      <c r="AB22" s="9" t="s">
        <v>118</v>
      </c>
      <c r="AC22" s="9" t="s">
        <v>118</v>
      </c>
      <c r="AD22" s="7" t="s">
        <v>119</v>
      </c>
      <c r="AE22" s="7" t="s">
        <v>119</v>
      </c>
      <c r="AF22" s="5" t="s">
        <v>20</v>
      </c>
      <c r="AG22" s="7" t="s">
        <v>118</v>
      </c>
      <c r="AH22" s="7" t="s">
        <v>118</v>
      </c>
      <c r="AI22" s="7" t="s">
        <v>119</v>
      </c>
      <c r="AJ22" s="41" t="s">
        <v>56</v>
      </c>
      <c r="AK22" s="41" t="s">
        <v>57</v>
      </c>
      <c r="AL22" s="11"/>
      <c r="AM22" s="5" t="s">
        <v>9</v>
      </c>
      <c r="AN22" s="5" t="s">
        <v>18</v>
      </c>
      <c r="AO22" s="41" t="s">
        <v>8</v>
      </c>
      <c r="AP22" s="41" t="s">
        <v>49</v>
      </c>
      <c r="AQ22" s="53"/>
      <c r="AR22" s="11"/>
      <c r="AS22" s="11"/>
      <c r="AT22" s="11"/>
      <c r="AU22" s="11"/>
      <c r="AV22" s="11"/>
      <c r="AW22" s="11"/>
      <c r="AX22" s="11"/>
      <c r="AY22" s="41"/>
      <c r="AZ22" s="41"/>
      <c r="BA22" s="41"/>
    </row>
    <row r="23" spans="1:53" ht="14.5">
      <c r="A23" s="41">
        <v>0</v>
      </c>
      <c r="B23" s="41">
        <f t="shared" ref="B23:C23" si="1">(A23/60)</f>
        <v>0</v>
      </c>
      <c r="C23" s="41">
        <f t="shared" si="1"/>
        <v>0</v>
      </c>
      <c r="D23" s="41">
        <f>B12</f>
        <v>16789.41</v>
      </c>
      <c r="E23" s="41">
        <v>0</v>
      </c>
      <c r="F23" s="41">
        <v>3000</v>
      </c>
      <c r="G23" s="7">
        <v>0</v>
      </c>
      <c r="H23" s="90">
        <f t="shared" ref="H23:H43" ca="1" si="2">(X23)*(1/AQ23)*LN(D23/($K$6+(D23-$D$43)+558))</f>
        <v>6.4348074447548802</v>
      </c>
      <c r="I23" s="7">
        <v>3000</v>
      </c>
      <c r="J23" s="6">
        <v>15</v>
      </c>
      <c r="K23" s="41">
        <f t="shared" ref="K23:K43" si="3">SQRT((((((((M23^2)*(0.2))/(661.477)^2) + 1)^(3.5) - 1)*(1/AS23) + 1)^(1/3.5) - 1)*(5))</f>
        <v>0.30305525574021658</v>
      </c>
      <c r="L23" s="41">
        <f t="shared" ref="L23:L43" si="4">SQRT((1.4*2116.22*AS23*(K23)^2)/AW23)</f>
        <v>343.6217975793881</v>
      </c>
      <c r="M23" s="120">
        <v>190</v>
      </c>
      <c r="N23" s="41">
        <f t="shared" ref="N23:N43" si="5">L23*0.592484</f>
        <v>203.59041711702619</v>
      </c>
      <c r="O23" s="41">
        <f t="shared" ref="O23:O43" si="6">0.5*AW23*L23^2</f>
        <v>121.93465646829993</v>
      </c>
      <c r="P23" s="41">
        <f t="shared" ref="P23:P43" si="7">Q23/$B$7</f>
        <v>1854066.3346744708</v>
      </c>
      <c r="Q23" s="41">
        <f t="shared" ref="Q23:Q43" si="8">(AW23*L23*$B$7)/(AX23)</f>
        <v>11904408.691667428</v>
      </c>
      <c r="R23" s="41">
        <f t="shared" ref="R23:R43" si="9">0.455/(LOG10(Q23)^2.58 * (1+0.144*K23*K23)^0.65)</f>
        <v>2.8966508784777373E-3</v>
      </c>
      <c r="S23" s="41">
        <f t="shared" ref="S23:S43" si="10">(((R23*$B$4)+$B$17)+(0.1*(R23*$B$4)))</f>
        <v>2.261058127118093E-2</v>
      </c>
      <c r="T23" s="24">
        <f ca="1">U23</f>
        <v>0</v>
      </c>
      <c r="U23" s="10">
        <f t="shared" ref="U23:U43" ca="1" si="11">DEGREES(ASIN(((AG23-Y23)/(D23))))</f>
        <v>0</v>
      </c>
      <c r="V23" s="41">
        <f t="shared" ref="V23:V43" ca="1" si="12">(D23*COS(RADIANS(T23)))/(O23*$B$3)</f>
        <v>0.59866027343576655</v>
      </c>
      <c r="W23" s="41">
        <f t="shared" ref="W23:W43" ca="1" si="13">(Y23)/(O23*$B$3)</f>
        <v>4.5245579782678118E-2</v>
      </c>
      <c r="X23" s="41">
        <f t="shared" ref="X23:X43" ca="1" si="14">V23/W23</f>
        <v>13.231353787734166</v>
      </c>
      <c r="Y23" s="20">
        <f t="shared" ref="Y23:Y43" ca="1" si="15">(O23*$B$3*S23)+((O23*$B$3)*((V23^2)/(PI()*$B$6*$B$5)))</f>
        <v>1268.91097232728</v>
      </c>
      <c r="Z23" s="41">
        <f t="shared" ref="Z23:Z43" si="16">SQRT(PI()*$B$6*$B$5*S23)</f>
        <v>0.59833728741846126</v>
      </c>
      <c r="AA23" s="41">
        <f t="shared" ref="AA23:AA43" ca="1" si="17">SQRT((2*((V23*O23*$B$3)/(D23))*D23)/(AW23*$B$3*$B$18))</f>
        <v>183.46840183362187</v>
      </c>
      <c r="AB23" s="14">
        <f t="shared" ref="AB23:AB43" ca="1" si="18">D23/X23</f>
        <v>1268.91097232728</v>
      </c>
      <c r="AC23" s="14">
        <f t="shared" ref="AC23:AC43" si="19">$B$15*AS23</f>
        <v>5628.3916222821908</v>
      </c>
      <c r="AD23" s="25">
        <f t="shared" ref="AD23:AD43" ca="1" si="20">AB23*L23</f>
        <v>436025.46927930915</v>
      </c>
      <c r="AE23" s="41">
        <f t="shared" ref="AE23:AE43" si="21">AC23*L23</f>
        <v>1934038.0467293747</v>
      </c>
      <c r="AF23" s="5">
        <f t="shared" ref="AF23:AF43" ca="1" si="22">(AB23/AC23)*100</f>
        <v>22.54482376997008</v>
      </c>
      <c r="AG23" s="7">
        <f t="shared" ref="AG23:AG43" ca="1" si="23">(AC23)*(AF23/100)</f>
        <v>1268.91097232728</v>
      </c>
      <c r="AH23" s="41">
        <f t="shared" ref="AH23:AH43" ca="1" si="24">AC23-AB23</f>
        <v>4359.4806499549104</v>
      </c>
      <c r="AI23" s="41">
        <f t="shared" ref="AI23:AI43" ca="1" si="25">AE23-AD23</f>
        <v>1498012.5774500654</v>
      </c>
      <c r="AJ23" s="41">
        <f t="shared" ref="AJ23:AJ43" ca="1" si="26">(AQ23*AG23)</f>
        <v>1054.41307804097</v>
      </c>
      <c r="AK23" s="13">
        <f t="shared" ref="AK23:AK43" ca="1" si="27">L23*SIN(RADIANS(U23))</f>
        <v>0</v>
      </c>
      <c r="AL23" s="11"/>
      <c r="AM23" s="6">
        <v>0</v>
      </c>
      <c r="AN23" s="6">
        <v>720</v>
      </c>
      <c r="AO23" s="41">
        <f t="shared" ref="AO23:AO43" ca="1" si="28">AJ23*(AN23/3600)</f>
        <v>210.88261560819402</v>
      </c>
      <c r="AP23" s="41">
        <f t="shared" ref="AP23:AP43" ca="1" si="29">N23*COS(RADIANS(U23))*(AN23/3600)</f>
        <v>40.71808342340524</v>
      </c>
      <c r="AQ23" s="67">
        <f t="shared" ref="AQ23:AQ43" si="30">-18.066*(BA23^6) + 34.325*(BA23^5) - 25.292*(BA23^4) + 8.7618*(BA23^3) - 1.317*(BA23^2) + 0.358*(BA23^1) + 0.7659</f>
        <v>0.83095906729145508</v>
      </c>
      <c r="AR23" s="11">
        <f t="shared" ref="AR23:AR43" si="31">IF(I23 &lt;= 36089, ((1 - 6.87535*10^(-6)*I23) + ((J23*1.8)/518.67)), 0.75187 + ((J23*1.8)/518.67))</f>
        <v>1.0314301707183759</v>
      </c>
      <c r="AS23" s="11">
        <f t="shared" ref="AS23:AS43" si="32">IF(I23 &lt;= 36089, (1 - 6.87535*10^(-6)*I23)^5.2561, 0.22336*EXP((36089 - I23)/(20806.7)))</f>
        <v>0.8962407041850623</v>
      </c>
      <c r="AT23" s="11">
        <f t="shared" ref="AT23:AT43" si="33">(AS23/AR23)</f>
        <v>0.86893008332386068</v>
      </c>
      <c r="AU23" s="11">
        <f t="shared" ref="AU23:AU43" si="34">(518.67*AR23)</f>
        <v>534.97188664650002</v>
      </c>
      <c r="AV23" s="11">
        <f t="shared" ref="AV23:AV43" si="35">2116.22*AS23</f>
        <v>1896.6425030105124</v>
      </c>
      <c r="AW23" s="11">
        <f t="shared" ref="AW23:AW43" si="36">(0.0023769*AT23)</f>
        <v>2.0653599150524844E-3</v>
      </c>
      <c r="AX23" s="11">
        <f t="shared" ref="AX23:AX43" si="37">((2.2697*10^-8)*(AU23^1.5))/(AU23+198.72)</f>
        <v>3.8278171249107636E-7</v>
      </c>
      <c r="AY23" s="41">
        <f t="shared" ref="AY23:AY43" ca="1" si="38">(1/V23)*(((1 + 0.2*(V23)^2)/1.2)^3)</f>
        <v>1.18978851054206</v>
      </c>
      <c r="AZ23" s="41">
        <f t="shared" ref="AZ23:AZ43" ca="1" si="39">($H$4/$H$3)*AY23</f>
        <v>1.6026687618824835</v>
      </c>
      <c r="BA23" s="41">
        <f t="shared" ref="BA23:BA43" si="40">-6.6*10^(-3) + 0.825*K23 - 0.243*(K23^2)</f>
        <v>0.22110286139395902</v>
      </c>
    </row>
    <row r="24" spans="1:53" ht="14.5">
      <c r="A24" s="41">
        <f t="shared" ref="A24:A43" si="41">A23+AN23</f>
        <v>720</v>
      </c>
      <c r="B24" s="41">
        <f t="shared" ref="B24:C39" si="42">A24/60</f>
        <v>12</v>
      </c>
      <c r="C24" s="41">
        <f t="shared" si="42"/>
        <v>0.2</v>
      </c>
      <c r="D24" s="41">
        <f>D23-150</f>
        <v>16639.41</v>
      </c>
      <c r="E24" s="41">
        <f t="shared" ref="E24:E43" ca="1" si="43">E23+AP23</f>
        <v>40.71808342340524</v>
      </c>
      <c r="F24" s="41">
        <f>F23-150</f>
        <v>2850</v>
      </c>
      <c r="G24" s="41">
        <f t="shared" ref="G24:G43" ca="1" si="44">G23+AP23</f>
        <v>40.71808342340524</v>
      </c>
      <c r="H24" s="90">
        <f t="shared" ca="1" si="2"/>
        <v>6.5062194027524276</v>
      </c>
      <c r="I24" s="7">
        <f t="shared" ref="I24:I43" si="45">I23+AM23</f>
        <v>3000</v>
      </c>
      <c r="J24" s="6">
        <v>15</v>
      </c>
      <c r="K24" s="41">
        <f t="shared" si="3"/>
        <v>0.30305525574021658</v>
      </c>
      <c r="L24" s="41">
        <f t="shared" si="4"/>
        <v>343.6217975793881</v>
      </c>
      <c r="M24" s="6">
        <v>190</v>
      </c>
      <c r="N24" s="41">
        <f t="shared" si="5"/>
        <v>203.59041711702619</v>
      </c>
      <c r="O24" s="41">
        <f t="shared" si="6"/>
        <v>121.93465646829993</v>
      </c>
      <c r="P24" s="41">
        <f t="shared" si="7"/>
        <v>1854066.3346744708</v>
      </c>
      <c r="Q24" s="41">
        <f t="shared" si="8"/>
        <v>11904408.691667428</v>
      </c>
      <c r="R24" s="41">
        <f t="shared" si="9"/>
        <v>2.8966508784777373E-3</v>
      </c>
      <c r="S24" s="41">
        <f t="shared" si="10"/>
        <v>2.261058127118093E-2</v>
      </c>
      <c r="T24" s="24">
        <f t="shared" ref="T24:T31" ca="1" si="46">U24</f>
        <v>7.8293352800817842E-16</v>
      </c>
      <c r="U24" s="10">
        <f t="shared" ca="1" si="11"/>
        <v>7.8293352800817842E-16</v>
      </c>
      <c r="V24" s="41">
        <f t="shared" ca="1" si="12"/>
        <v>0.59331172092466788</v>
      </c>
      <c r="W24" s="41">
        <f t="shared" ca="1" si="13"/>
        <v>4.4842935157158821E-2</v>
      </c>
      <c r="X24" s="41">
        <f t="shared" ca="1" si="14"/>
        <v>13.23088506239205</v>
      </c>
      <c r="Y24" s="20">
        <f t="shared" ca="1" si="15"/>
        <v>1257.6188154862343</v>
      </c>
      <c r="Z24" s="41">
        <f t="shared" si="16"/>
        <v>0.59833728741846126</v>
      </c>
      <c r="AA24" s="41">
        <f t="shared" ca="1" si="17"/>
        <v>182.64699106634609</v>
      </c>
      <c r="AB24" s="14">
        <f t="shared" ca="1" si="18"/>
        <v>1257.6188154862343</v>
      </c>
      <c r="AC24" s="14">
        <f t="shared" si="19"/>
        <v>5628.3916222821908</v>
      </c>
      <c r="AD24" s="25">
        <f t="shared" ca="1" si="20"/>
        <v>432145.23804704065</v>
      </c>
      <c r="AE24" s="41">
        <f t="shared" si="21"/>
        <v>1934038.0467293747</v>
      </c>
      <c r="AF24" s="5">
        <f t="shared" ca="1" si="22"/>
        <v>22.344195284980849</v>
      </c>
      <c r="AG24" s="7">
        <f t="shared" ca="1" si="23"/>
        <v>1257.6188154862346</v>
      </c>
      <c r="AH24" s="41">
        <f t="shared" ca="1" si="24"/>
        <v>4370.7728067959561</v>
      </c>
      <c r="AI24" s="41">
        <f t="shared" ca="1" si="25"/>
        <v>1501892.8086823341</v>
      </c>
      <c r="AJ24" s="41">
        <f t="shared" ca="1" si="26"/>
        <v>1045.029757924626</v>
      </c>
      <c r="AK24" s="13">
        <f t="shared" ca="1" si="27"/>
        <v>4.6955121051789563E-15</v>
      </c>
      <c r="AL24" s="11"/>
      <c r="AM24" s="6">
        <v>0</v>
      </c>
      <c r="AN24" s="6">
        <v>720</v>
      </c>
      <c r="AO24" s="41">
        <f t="shared" ca="1" si="28"/>
        <v>209.00595158492521</v>
      </c>
      <c r="AP24" s="41">
        <f t="shared" ca="1" si="29"/>
        <v>40.71808342340524</v>
      </c>
      <c r="AQ24" s="67">
        <f t="shared" si="30"/>
        <v>0.83095906729145508</v>
      </c>
      <c r="AR24" s="11">
        <f t="shared" si="31"/>
        <v>1.0314301707183759</v>
      </c>
      <c r="AS24" s="11">
        <f t="shared" si="32"/>
        <v>0.8962407041850623</v>
      </c>
      <c r="AT24" s="11">
        <f t="shared" si="33"/>
        <v>0.86893008332386068</v>
      </c>
      <c r="AU24" s="11">
        <f t="shared" si="34"/>
        <v>534.97188664650002</v>
      </c>
      <c r="AV24" s="11">
        <f t="shared" si="35"/>
        <v>1896.6425030105124</v>
      </c>
      <c r="AW24" s="11">
        <f t="shared" si="36"/>
        <v>2.0653599150524844E-3</v>
      </c>
      <c r="AX24" s="11">
        <f t="shared" si="37"/>
        <v>3.8278171249107636E-7</v>
      </c>
      <c r="AY24" s="41">
        <f t="shared" ca="1" si="38"/>
        <v>1.1962341910932008</v>
      </c>
      <c r="AZ24" s="41">
        <f t="shared" ca="1" si="39"/>
        <v>1.6113512216447488</v>
      </c>
      <c r="BA24" s="41">
        <f t="shared" si="40"/>
        <v>0.22110286139395902</v>
      </c>
    </row>
    <row r="25" spans="1:53" ht="14.5">
      <c r="A25" s="41">
        <f t="shared" si="41"/>
        <v>1440</v>
      </c>
      <c r="B25" s="41">
        <f t="shared" si="42"/>
        <v>24</v>
      </c>
      <c r="C25" s="41">
        <f t="shared" si="42"/>
        <v>0.4</v>
      </c>
      <c r="D25" s="41">
        <f t="shared" ref="D25:D43" si="47">D24-150</f>
        <v>16489.41</v>
      </c>
      <c r="E25" s="41">
        <f t="shared" ca="1" si="43"/>
        <v>81.43616684681048</v>
      </c>
      <c r="F25" s="41">
        <f t="shared" ref="F25:F43" si="48">F24-150</f>
        <v>2700</v>
      </c>
      <c r="G25" s="41">
        <f t="shared" ca="1" si="44"/>
        <v>81.43616684681048</v>
      </c>
      <c r="H25" s="90">
        <f t="shared" ca="1" si="2"/>
        <v>6.5787231615401396</v>
      </c>
      <c r="I25" s="7">
        <f t="shared" si="45"/>
        <v>3000</v>
      </c>
      <c r="J25" s="6">
        <v>15</v>
      </c>
      <c r="K25" s="41">
        <f t="shared" si="3"/>
        <v>0.30305525574021658</v>
      </c>
      <c r="L25" s="41">
        <f t="shared" si="4"/>
        <v>343.6217975793881</v>
      </c>
      <c r="M25" s="6">
        <v>190</v>
      </c>
      <c r="N25" s="41">
        <f t="shared" si="5"/>
        <v>203.59041711702619</v>
      </c>
      <c r="O25" s="41">
        <f t="shared" si="6"/>
        <v>121.93465646829993</v>
      </c>
      <c r="P25" s="41">
        <f t="shared" si="7"/>
        <v>1854066.3346744708</v>
      </c>
      <c r="Q25" s="41">
        <f t="shared" si="8"/>
        <v>11904408.691667428</v>
      </c>
      <c r="R25" s="41">
        <f t="shared" si="9"/>
        <v>2.8966508784777373E-3</v>
      </c>
      <c r="S25" s="41">
        <f t="shared" si="10"/>
        <v>2.261058127118093E-2</v>
      </c>
      <c r="T25" s="24">
        <f t="shared" ca="1" si="46"/>
        <v>0</v>
      </c>
      <c r="U25" s="10">
        <f t="shared" ca="1" si="11"/>
        <v>0</v>
      </c>
      <c r="V25" s="41">
        <f t="shared" ca="1" si="12"/>
        <v>0.58796316841356921</v>
      </c>
      <c r="W25" s="41">
        <f t="shared" ca="1" si="13"/>
        <v>4.4443903982178776E-2</v>
      </c>
      <c r="X25" s="41">
        <f t="shared" ca="1" si="14"/>
        <v>13.229332163289078</v>
      </c>
      <c r="Y25" s="20">
        <f t="shared" ca="1" si="15"/>
        <v>1246.4279977607275</v>
      </c>
      <c r="Z25" s="41">
        <f t="shared" si="16"/>
        <v>0.59833728741846126</v>
      </c>
      <c r="AA25" s="41">
        <f t="shared" ca="1" si="17"/>
        <v>181.82186947613448</v>
      </c>
      <c r="AB25" s="14">
        <f t="shared" ca="1" si="18"/>
        <v>1246.4279977607275</v>
      </c>
      <c r="AC25" s="14">
        <f t="shared" si="19"/>
        <v>5628.3916222821908</v>
      </c>
      <c r="AD25" s="25">
        <f t="shared" ca="1" si="20"/>
        <v>428299.8291438187</v>
      </c>
      <c r="AE25" s="41">
        <f t="shared" si="21"/>
        <v>1934038.0467293747</v>
      </c>
      <c r="AF25" s="5">
        <f t="shared" ca="1" si="22"/>
        <v>22.145367298648065</v>
      </c>
      <c r="AG25" s="7">
        <f t="shared" ca="1" si="23"/>
        <v>1246.4279977607275</v>
      </c>
      <c r="AH25" s="41">
        <f t="shared" ca="1" si="24"/>
        <v>4381.9636245214633</v>
      </c>
      <c r="AI25" s="41">
        <f t="shared" ca="1" si="25"/>
        <v>1505738.217585556</v>
      </c>
      <c r="AJ25" s="41">
        <f t="shared" ca="1" si="26"/>
        <v>1035.7306464652099</v>
      </c>
      <c r="AK25" s="13">
        <f t="shared" ca="1" si="27"/>
        <v>0</v>
      </c>
      <c r="AL25" s="11"/>
      <c r="AM25" s="6">
        <v>0</v>
      </c>
      <c r="AN25" s="6">
        <v>720</v>
      </c>
      <c r="AO25" s="41">
        <f t="shared" ca="1" si="28"/>
        <v>207.14612929304201</v>
      </c>
      <c r="AP25" s="41">
        <f t="shared" ca="1" si="29"/>
        <v>40.71808342340524</v>
      </c>
      <c r="AQ25" s="67">
        <f t="shared" si="30"/>
        <v>0.83095906729145508</v>
      </c>
      <c r="AR25" s="11">
        <f t="shared" si="31"/>
        <v>1.0314301707183759</v>
      </c>
      <c r="AS25" s="11">
        <f t="shared" si="32"/>
        <v>0.8962407041850623</v>
      </c>
      <c r="AT25" s="11">
        <f t="shared" si="33"/>
        <v>0.86893008332386068</v>
      </c>
      <c r="AU25" s="11">
        <f t="shared" si="34"/>
        <v>534.97188664650002</v>
      </c>
      <c r="AV25" s="11">
        <f t="shared" si="35"/>
        <v>1896.6425030105124</v>
      </c>
      <c r="AW25" s="11">
        <f t="shared" si="36"/>
        <v>2.0653599150524844E-3</v>
      </c>
      <c r="AX25" s="11">
        <f t="shared" si="37"/>
        <v>3.8278171249107636E-7</v>
      </c>
      <c r="AY25" s="41">
        <f t="shared" ca="1" si="38"/>
        <v>1.2028460392702056</v>
      </c>
      <c r="AZ25" s="41">
        <f t="shared" ca="1" si="39"/>
        <v>1.6202575125003962</v>
      </c>
      <c r="BA25" s="41">
        <f t="shared" si="40"/>
        <v>0.22110286139395902</v>
      </c>
    </row>
    <row r="26" spans="1:53" ht="14.5">
      <c r="A26" s="41">
        <f t="shared" si="41"/>
        <v>2160</v>
      </c>
      <c r="B26" s="41">
        <f t="shared" si="42"/>
        <v>36</v>
      </c>
      <c r="C26" s="41">
        <f t="shared" si="42"/>
        <v>0.6</v>
      </c>
      <c r="D26" s="41">
        <f t="shared" si="47"/>
        <v>16339.41</v>
      </c>
      <c r="E26" s="41">
        <f t="shared" ca="1" si="43"/>
        <v>122.15425027021573</v>
      </c>
      <c r="F26" s="41">
        <f t="shared" si="48"/>
        <v>2550</v>
      </c>
      <c r="G26" s="41">
        <f t="shared" ca="1" si="44"/>
        <v>122.15425027021573</v>
      </c>
      <c r="H26" s="90">
        <f t="shared" ca="1" si="2"/>
        <v>6.652342983153372</v>
      </c>
      <c r="I26" s="7">
        <f t="shared" si="45"/>
        <v>3000</v>
      </c>
      <c r="J26" s="6">
        <v>15</v>
      </c>
      <c r="K26" s="41">
        <f t="shared" si="3"/>
        <v>0.30305525574021658</v>
      </c>
      <c r="L26" s="41">
        <f t="shared" si="4"/>
        <v>343.6217975793881</v>
      </c>
      <c r="M26" s="6">
        <f t="shared" ref="M26:M43" si="49">M25</f>
        <v>190</v>
      </c>
      <c r="N26" s="41">
        <f t="shared" si="5"/>
        <v>203.59041711702619</v>
      </c>
      <c r="O26" s="41">
        <f t="shared" si="6"/>
        <v>121.93465646829993</v>
      </c>
      <c r="P26" s="41">
        <f t="shared" si="7"/>
        <v>1854066.3346744708</v>
      </c>
      <c r="Q26" s="41">
        <f t="shared" si="8"/>
        <v>11904408.691667428</v>
      </c>
      <c r="R26" s="41">
        <f t="shared" si="9"/>
        <v>2.8966508784777373E-3</v>
      </c>
      <c r="S26" s="41">
        <f t="shared" si="10"/>
        <v>2.261058127118093E-2</v>
      </c>
      <c r="T26" s="24">
        <f t="shared" ca="1" si="46"/>
        <v>7.9730859163669704E-16</v>
      </c>
      <c r="U26" s="10">
        <f t="shared" ca="1" si="11"/>
        <v>7.9730859163669704E-16</v>
      </c>
      <c r="V26" s="41">
        <f t="shared" ca="1" si="12"/>
        <v>0.58261461590247055</v>
      </c>
      <c r="W26" s="41">
        <f t="shared" ca="1" si="13"/>
        <v>4.4048486257737995E-2</v>
      </c>
      <c r="X26" s="41">
        <f t="shared" ca="1" si="14"/>
        <v>13.226666008304035</v>
      </c>
      <c r="Y26" s="20">
        <f t="shared" ca="1" si="15"/>
        <v>1235.33851915076</v>
      </c>
      <c r="Z26" s="41">
        <f t="shared" si="16"/>
        <v>0.59833728741846126</v>
      </c>
      <c r="AA26" s="41">
        <f t="shared" ca="1" si="17"/>
        <v>180.99298631163319</v>
      </c>
      <c r="AB26" s="14">
        <f t="shared" ca="1" si="18"/>
        <v>1235.33851915076</v>
      </c>
      <c r="AC26" s="14">
        <f t="shared" si="19"/>
        <v>5628.3916222821908</v>
      </c>
      <c r="AD26" s="25">
        <f t="shared" ca="1" si="20"/>
        <v>424489.24256964354</v>
      </c>
      <c r="AE26" s="41">
        <f t="shared" si="21"/>
        <v>1934038.0467293747</v>
      </c>
      <c r="AF26" s="5">
        <f t="shared" ca="1" si="22"/>
        <v>21.948339810971738</v>
      </c>
      <c r="AG26" s="7">
        <f t="shared" ca="1" si="23"/>
        <v>1235.3385191507602</v>
      </c>
      <c r="AH26" s="41">
        <f t="shared" ca="1" si="24"/>
        <v>4393.0531031314313</v>
      </c>
      <c r="AI26" s="41">
        <f t="shared" ca="1" si="25"/>
        <v>1509548.8041597311</v>
      </c>
      <c r="AJ26" s="41">
        <f t="shared" ca="1" si="26"/>
        <v>1026.515743662723</v>
      </c>
      <c r="AK26" s="13">
        <f t="shared" ca="1" si="27"/>
        <v>4.7817241306776544E-15</v>
      </c>
      <c r="AL26" s="11"/>
      <c r="AM26" s="6">
        <v>0</v>
      </c>
      <c r="AN26" s="6">
        <v>720</v>
      </c>
      <c r="AO26" s="41">
        <f t="shared" ca="1" si="28"/>
        <v>205.30314873254463</v>
      </c>
      <c r="AP26" s="41">
        <f t="shared" ca="1" si="29"/>
        <v>40.71808342340524</v>
      </c>
      <c r="AQ26" s="67">
        <f t="shared" si="30"/>
        <v>0.83095906729145508</v>
      </c>
      <c r="AR26" s="11">
        <f t="shared" si="31"/>
        <v>1.0314301707183759</v>
      </c>
      <c r="AS26" s="11">
        <f t="shared" si="32"/>
        <v>0.8962407041850623</v>
      </c>
      <c r="AT26" s="11">
        <f t="shared" si="33"/>
        <v>0.86893008332386068</v>
      </c>
      <c r="AU26" s="11">
        <f t="shared" si="34"/>
        <v>534.97188664650002</v>
      </c>
      <c r="AV26" s="11">
        <f t="shared" si="35"/>
        <v>1896.6425030105124</v>
      </c>
      <c r="AW26" s="11">
        <f t="shared" si="36"/>
        <v>2.0653599150524844E-3</v>
      </c>
      <c r="AX26" s="11">
        <f t="shared" si="37"/>
        <v>3.8278171249107636E-7</v>
      </c>
      <c r="AY26" s="41">
        <f t="shared" ca="1" si="38"/>
        <v>1.2096283428724917</v>
      </c>
      <c r="AZ26" s="41">
        <f t="shared" ca="1" si="39"/>
        <v>1.6293934102004293</v>
      </c>
      <c r="BA26" s="41">
        <f t="shared" si="40"/>
        <v>0.22110286139395902</v>
      </c>
    </row>
    <row r="27" spans="1:53" ht="14.5">
      <c r="A27" s="41">
        <f t="shared" si="41"/>
        <v>2880</v>
      </c>
      <c r="B27" s="41">
        <f t="shared" si="42"/>
        <v>48</v>
      </c>
      <c r="C27" s="41">
        <f t="shared" si="42"/>
        <v>0.8</v>
      </c>
      <c r="D27" s="41">
        <f t="shared" si="47"/>
        <v>16189.41</v>
      </c>
      <c r="E27" s="41">
        <f t="shared" ca="1" si="43"/>
        <v>162.87233369362096</v>
      </c>
      <c r="F27" s="41">
        <f t="shared" si="48"/>
        <v>2400</v>
      </c>
      <c r="G27" s="41">
        <f t="shared" ca="1" si="44"/>
        <v>162.87233369362096</v>
      </c>
      <c r="H27" s="90">
        <f t="shared" ca="1" si="2"/>
        <v>6.7323994905759266</v>
      </c>
      <c r="I27" s="7">
        <f t="shared" si="45"/>
        <v>3000</v>
      </c>
      <c r="J27" s="6">
        <v>15</v>
      </c>
      <c r="K27" s="41">
        <f t="shared" si="3"/>
        <v>0.29509747737407888</v>
      </c>
      <c r="L27" s="41">
        <f t="shared" si="4"/>
        <v>334.59880241558</v>
      </c>
      <c r="M27" s="6">
        <v>185</v>
      </c>
      <c r="N27" s="41">
        <f t="shared" si="5"/>
        <v>198.2444368503925</v>
      </c>
      <c r="O27" s="41">
        <f t="shared" si="6"/>
        <v>115.61508762106017</v>
      </c>
      <c r="P27" s="41">
        <f t="shared" si="7"/>
        <v>1805381.3219977587</v>
      </c>
      <c r="Q27" s="41">
        <f t="shared" si="8"/>
        <v>11591816.700095374</v>
      </c>
      <c r="R27" s="41">
        <f t="shared" si="9"/>
        <v>2.9101722395318249E-3</v>
      </c>
      <c r="S27" s="41">
        <f t="shared" si="10"/>
        <v>2.2692786216730022E-2</v>
      </c>
      <c r="T27" s="24">
        <f t="shared" ca="1" si="46"/>
        <v>0</v>
      </c>
      <c r="U27" s="10">
        <f t="shared" ca="1" si="11"/>
        <v>0</v>
      </c>
      <c r="V27" s="41">
        <f t="shared" ca="1" si="12"/>
        <v>0.60881966686857347</v>
      </c>
      <c r="W27" s="41">
        <f t="shared" ca="1" si="13"/>
        <v>4.6102544913991725E-2</v>
      </c>
      <c r="X27" s="41">
        <f t="shared" ca="1" si="14"/>
        <v>13.205771351763316</v>
      </c>
      <c r="Y27" s="20">
        <f t="shared" ca="1" si="15"/>
        <v>1225.9344470505534</v>
      </c>
      <c r="Z27" s="41">
        <f t="shared" si="16"/>
        <v>0.59942398346957415</v>
      </c>
      <c r="AA27" s="41">
        <f t="shared" ca="1" si="17"/>
        <v>180.16028965399011</v>
      </c>
      <c r="AB27" s="14">
        <f t="shared" ca="1" si="18"/>
        <v>1225.9344470505534</v>
      </c>
      <c r="AC27" s="14">
        <f t="shared" si="19"/>
        <v>5628.3916222821908</v>
      </c>
      <c r="AD27" s="25">
        <f t="shared" ca="1" si="20"/>
        <v>410196.19782312145</v>
      </c>
      <c r="AE27" s="41">
        <f t="shared" si="21"/>
        <v>1883253.0963415045</v>
      </c>
      <c r="AF27" s="5">
        <f t="shared" ca="1" si="22"/>
        <v>21.781257050366079</v>
      </c>
      <c r="AG27" s="7">
        <f t="shared" ca="1" si="23"/>
        <v>1225.9344470505534</v>
      </c>
      <c r="AH27" s="41">
        <f t="shared" ca="1" si="24"/>
        <v>4402.4571752316369</v>
      </c>
      <c r="AI27" s="41">
        <f t="shared" ca="1" si="25"/>
        <v>1473056.898518383</v>
      </c>
      <c r="AJ27" s="41">
        <f t="shared" ca="1" si="26"/>
        <v>1016.5848206760603</v>
      </c>
      <c r="AK27" s="13">
        <f t="shared" ca="1" si="27"/>
        <v>0</v>
      </c>
      <c r="AL27" s="11"/>
      <c r="AM27" s="6">
        <v>0</v>
      </c>
      <c r="AN27" s="6">
        <v>720</v>
      </c>
      <c r="AO27" s="41">
        <f t="shared" ca="1" si="28"/>
        <v>203.31696413521206</v>
      </c>
      <c r="AP27" s="41">
        <f t="shared" ca="1" si="29"/>
        <v>39.648887370078505</v>
      </c>
      <c r="AQ27" s="67">
        <f t="shared" si="30"/>
        <v>0.82923260955904909</v>
      </c>
      <c r="AR27" s="11">
        <f t="shared" si="31"/>
        <v>1.0314301707183759</v>
      </c>
      <c r="AS27" s="11">
        <f t="shared" si="32"/>
        <v>0.8962407041850623</v>
      </c>
      <c r="AT27" s="11">
        <f t="shared" si="33"/>
        <v>0.86893008332386068</v>
      </c>
      <c r="AU27" s="11">
        <f t="shared" si="34"/>
        <v>534.97188664650002</v>
      </c>
      <c r="AV27" s="11">
        <f t="shared" si="35"/>
        <v>1896.6425030105124</v>
      </c>
      <c r="AW27" s="11">
        <f t="shared" si="36"/>
        <v>2.0653599150524844E-3</v>
      </c>
      <c r="AX27" s="11">
        <f t="shared" si="37"/>
        <v>3.8278171249107636E-7</v>
      </c>
      <c r="AY27" s="41">
        <f t="shared" ca="1" si="38"/>
        <v>1.1779880649756187</v>
      </c>
      <c r="AZ27" s="41">
        <f t="shared" ca="1" si="39"/>
        <v>1.5867733272585487</v>
      </c>
      <c r="BA27" s="41">
        <f t="shared" si="40"/>
        <v>0.21569436619354665</v>
      </c>
    </row>
    <row r="28" spans="1:53" ht="14.5">
      <c r="A28" s="41">
        <f t="shared" si="41"/>
        <v>3600</v>
      </c>
      <c r="B28" s="41">
        <f t="shared" si="42"/>
        <v>60</v>
      </c>
      <c r="C28" s="41">
        <f t="shared" si="42"/>
        <v>1</v>
      </c>
      <c r="D28" s="41">
        <f t="shared" si="47"/>
        <v>16039.41</v>
      </c>
      <c r="E28" s="41">
        <f t="shared" ca="1" si="43"/>
        <v>202.52122106369947</v>
      </c>
      <c r="F28" s="41">
        <f t="shared" si="48"/>
        <v>2250</v>
      </c>
      <c r="G28" s="41">
        <f t="shared" ca="1" si="44"/>
        <v>202.52122106369947</v>
      </c>
      <c r="H28" s="90">
        <f t="shared" ca="1" si="2"/>
        <v>6.8116450220174105</v>
      </c>
      <c r="I28" s="7">
        <f t="shared" si="45"/>
        <v>3000</v>
      </c>
      <c r="J28" s="6">
        <v>15</v>
      </c>
      <c r="K28" s="41">
        <f t="shared" si="3"/>
        <v>0.29509747737407888</v>
      </c>
      <c r="L28" s="41">
        <f t="shared" si="4"/>
        <v>334.59880241558</v>
      </c>
      <c r="M28" s="6">
        <v>185</v>
      </c>
      <c r="N28" s="41">
        <f t="shared" si="5"/>
        <v>198.2444368503925</v>
      </c>
      <c r="O28" s="41">
        <f t="shared" si="6"/>
        <v>115.61508762106017</v>
      </c>
      <c r="P28" s="41">
        <f t="shared" si="7"/>
        <v>1805381.3219977587</v>
      </c>
      <c r="Q28" s="41">
        <f t="shared" si="8"/>
        <v>11591816.700095374</v>
      </c>
      <c r="R28" s="41">
        <f t="shared" si="9"/>
        <v>2.9101722395318249E-3</v>
      </c>
      <c r="S28" s="41">
        <f t="shared" si="10"/>
        <v>2.2692786216730022E-2</v>
      </c>
      <c r="T28" s="24">
        <f t="shared" ca="1" si="46"/>
        <v>0</v>
      </c>
      <c r="U28" s="10">
        <f t="shared" ca="1" si="11"/>
        <v>0</v>
      </c>
      <c r="V28" s="41">
        <f t="shared" ca="1" si="12"/>
        <v>0.60317876024935224</v>
      </c>
      <c r="W28" s="41">
        <f t="shared" ca="1" si="13"/>
        <v>4.5670756924973056E-2</v>
      </c>
      <c r="X28" s="41">
        <f t="shared" ca="1" si="14"/>
        <v>13.207111089493029</v>
      </c>
      <c r="Y28" s="20">
        <f t="shared" ca="1" si="15"/>
        <v>1214.4525696282071</v>
      </c>
      <c r="Z28" s="41">
        <f t="shared" si="16"/>
        <v>0.59942398346957415</v>
      </c>
      <c r="AA28" s="41">
        <f t="shared" ca="1" si="17"/>
        <v>179.32372637890441</v>
      </c>
      <c r="AB28" s="14">
        <f t="shared" ca="1" si="18"/>
        <v>1214.4525696282071</v>
      </c>
      <c r="AC28" s="14">
        <f t="shared" si="19"/>
        <v>5628.3916222821908</v>
      </c>
      <c r="AD28" s="25">
        <f t="shared" ca="1" si="20"/>
        <v>406354.37538812187</v>
      </c>
      <c r="AE28" s="41">
        <f t="shared" si="21"/>
        <v>1883253.0963415045</v>
      </c>
      <c r="AF28" s="5">
        <f t="shared" ca="1" si="22"/>
        <v>21.577257787470248</v>
      </c>
      <c r="AG28" s="7">
        <f t="shared" ca="1" si="23"/>
        <v>1214.4525696282071</v>
      </c>
      <c r="AH28" s="41">
        <f t="shared" ca="1" si="24"/>
        <v>4413.9390526539837</v>
      </c>
      <c r="AI28" s="41">
        <f t="shared" ca="1" si="25"/>
        <v>1476898.7209533826</v>
      </c>
      <c r="AJ28" s="41">
        <f t="shared" ca="1" si="26"/>
        <v>1007.063673498491</v>
      </c>
      <c r="AK28" s="13">
        <f t="shared" ca="1" si="27"/>
        <v>0</v>
      </c>
      <c r="AL28" s="11"/>
      <c r="AM28" s="6">
        <v>0</v>
      </c>
      <c r="AN28" s="6">
        <v>720</v>
      </c>
      <c r="AO28" s="41">
        <f t="shared" ca="1" si="28"/>
        <v>201.41273469969821</v>
      </c>
      <c r="AP28" s="41">
        <f t="shared" ca="1" si="29"/>
        <v>39.648887370078505</v>
      </c>
      <c r="AQ28" s="67">
        <f t="shared" si="30"/>
        <v>0.82923260955904909</v>
      </c>
      <c r="AR28" s="11">
        <f t="shared" si="31"/>
        <v>1.0314301707183759</v>
      </c>
      <c r="AS28" s="11">
        <f t="shared" si="32"/>
        <v>0.8962407041850623</v>
      </c>
      <c r="AT28" s="11">
        <f t="shared" si="33"/>
        <v>0.86893008332386068</v>
      </c>
      <c r="AU28" s="11">
        <f t="shared" si="34"/>
        <v>534.97188664650002</v>
      </c>
      <c r="AV28" s="11">
        <f t="shared" si="35"/>
        <v>1896.6425030105124</v>
      </c>
      <c r="AW28" s="11">
        <f t="shared" si="36"/>
        <v>2.0653599150524844E-3</v>
      </c>
      <c r="AX28" s="11">
        <f t="shared" si="37"/>
        <v>3.8278171249107636E-7</v>
      </c>
      <c r="AY28" s="41">
        <f t="shared" ca="1" si="38"/>
        <v>1.1844695919314938</v>
      </c>
      <c r="AZ28" s="41">
        <f t="shared" ca="1" si="39"/>
        <v>1.5955040728401713</v>
      </c>
      <c r="BA28" s="41">
        <f t="shared" si="40"/>
        <v>0.21569436619354665</v>
      </c>
    </row>
    <row r="29" spans="1:53" ht="14.5">
      <c r="A29" s="41">
        <f t="shared" si="41"/>
        <v>4320</v>
      </c>
      <c r="B29" s="41">
        <f t="shared" si="42"/>
        <v>72</v>
      </c>
      <c r="C29" s="41">
        <f t="shared" si="42"/>
        <v>1.2</v>
      </c>
      <c r="D29" s="41">
        <f t="shared" si="47"/>
        <v>15889.41</v>
      </c>
      <c r="E29" s="41">
        <f t="shared" ca="1" si="43"/>
        <v>242.17010843377798</v>
      </c>
      <c r="F29" s="41">
        <f t="shared" si="48"/>
        <v>2100</v>
      </c>
      <c r="G29" s="41">
        <f t="shared" ca="1" si="44"/>
        <v>242.17010843377798</v>
      </c>
      <c r="H29" s="90">
        <f t="shared" ca="1" si="2"/>
        <v>6.8921915602977597</v>
      </c>
      <c r="I29" s="7">
        <f t="shared" si="45"/>
        <v>3000</v>
      </c>
      <c r="J29" s="6">
        <v>15</v>
      </c>
      <c r="K29" s="41">
        <f t="shared" si="3"/>
        <v>0.29509747737407888</v>
      </c>
      <c r="L29" s="41">
        <f t="shared" si="4"/>
        <v>334.59880241558</v>
      </c>
      <c r="M29" s="6">
        <v>185</v>
      </c>
      <c r="N29" s="41">
        <f t="shared" si="5"/>
        <v>198.2444368503925</v>
      </c>
      <c r="O29" s="41">
        <f t="shared" si="6"/>
        <v>115.61508762106017</v>
      </c>
      <c r="P29" s="41">
        <f t="shared" si="7"/>
        <v>1805381.3219977587</v>
      </c>
      <c r="Q29" s="41">
        <f t="shared" si="8"/>
        <v>11591816.700095374</v>
      </c>
      <c r="R29" s="41">
        <f t="shared" si="9"/>
        <v>2.9101722395318249E-3</v>
      </c>
      <c r="S29" s="41">
        <f t="shared" si="10"/>
        <v>2.2692786216730022E-2</v>
      </c>
      <c r="T29" s="24">
        <f t="shared" ca="1" si="46"/>
        <v>0</v>
      </c>
      <c r="U29" s="10">
        <f t="shared" ca="1" si="11"/>
        <v>0</v>
      </c>
      <c r="V29" s="41">
        <f t="shared" ca="1" si="12"/>
        <v>0.59753785363013101</v>
      </c>
      <c r="W29" s="41">
        <f t="shared" ca="1" si="13"/>
        <v>4.5242988208043948E-2</v>
      </c>
      <c r="X29" s="41">
        <f t="shared" ca="1" si="14"/>
        <v>13.20730299427685</v>
      </c>
      <c r="Y29" s="20">
        <f t="shared" ca="1" si="15"/>
        <v>1203.0775705596664</v>
      </c>
      <c r="Z29" s="41">
        <f t="shared" si="16"/>
        <v>0.59942398346957415</v>
      </c>
      <c r="AA29" s="41">
        <f t="shared" ca="1" si="17"/>
        <v>178.48324211707592</v>
      </c>
      <c r="AB29" s="14">
        <f t="shared" ca="1" si="18"/>
        <v>1203.0775705596664</v>
      </c>
      <c r="AC29" s="14">
        <f t="shared" si="19"/>
        <v>5628.3916222821908</v>
      </c>
      <c r="AD29" s="25">
        <f t="shared" ca="1" si="20"/>
        <v>402548.3143223098</v>
      </c>
      <c r="AE29" s="41">
        <f t="shared" si="21"/>
        <v>1883253.0963415045</v>
      </c>
      <c r="AF29" s="5">
        <f t="shared" ca="1" si="22"/>
        <v>21.375157439237402</v>
      </c>
      <c r="AG29" s="7">
        <f t="shared" ca="1" si="23"/>
        <v>1203.0775705596664</v>
      </c>
      <c r="AH29" s="41">
        <f t="shared" ca="1" si="24"/>
        <v>4425.3140517225247</v>
      </c>
      <c r="AI29" s="41">
        <f t="shared" ca="1" si="25"/>
        <v>1480704.7820191947</v>
      </c>
      <c r="AJ29" s="41">
        <f t="shared" ca="1" si="26"/>
        <v>997.63115333715314</v>
      </c>
      <c r="AK29" s="13">
        <f t="shared" ca="1" si="27"/>
        <v>0</v>
      </c>
      <c r="AL29" s="11"/>
      <c r="AM29" s="6">
        <v>0</v>
      </c>
      <c r="AN29" s="6">
        <v>720</v>
      </c>
      <c r="AO29" s="41">
        <f t="shared" ca="1" si="28"/>
        <v>199.52623066743064</v>
      </c>
      <c r="AP29" s="41">
        <f t="shared" ca="1" si="29"/>
        <v>39.648887370078505</v>
      </c>
      <c r="AQ29" s="67">
        <f t="shared" si="30"/>
        <v>0.82923260955904909</v>
      </c>
      <c r="AR29" s="11">
        <f t="shared" si="31"/>
        <v>1.0314301707183759</v>
      </c>
      <c r="AS29" s="11">
        <f t="shared" si="32"/>
        <v>0.8962407041850623</v>
      </c>
      <c r="AT29" s="11">
        <f t="shared" si="33"/>
        <v>0.86893008332386068</v>
      </c>
      <c r="AU29" s="11">
        <f t="shared" si="34"/>
        <v>534.97188664650002</v>
      </c>
      <c r="AV29" s="11">
        <f t="shared" si="35"/>
        <v>1896.6425030105124</v>
      </c>
      <c r="AW29" s="11">
        <f t="shared" si="36"/>
        <v>2.0653599150524844E-3</v>
      </c>
      <c r="AX29" s="11">
        <f t="shared" si="37"/>
        <v>3.8278171249107636E-7</v>
      </c>
      <c r="AY29" s="41">
        <f t="shared" ca="1" si="38"/>
        <v>1.1911275981269283</v>
      </c>
      <c r="AZ29" s="41">
        <f t="shared" ca="1" si="39"/>
        <v>1.6044725394636903</v>
      </c>
      <c r="BA29" s="41">
        <f t="shared" si="40"/>
        <v>0.21569436619354665</v>
      </c>
    </row>
    <row r="30" spans="1:53" ht="14.5">
      <c r="A30" s="41">
        <f t="shared" si="41"/>
        <v>5040</v>
      </c>
      <c r="B30" s="41">
        <f t="shared" si="42"/>
        <v>84</v>
      </c>
      <c r="C30" s="41">
        <f t="shared" si="42"/>
        <v>1.4</v>
      </c>
      <c r="D30" s="41">
        <f t="shared" si="47"/>
        <v>15739.41</v>
      </c>
      <c r="E30" s="41">
        <f t="shared" ca="1" si="43"/>
        <v>281.81899580385647</v>
      </c>
      <c r="F30" s="41">
        <f t="shared" si="48"/>
        <v>1950</v>
      </c>
      <c r="G30" s="41">
        <f t="shared" ca="1" si="44"/>
        <v>281.81899580385647</v>
      </c>
      <c r="H30" s="90">
        <f t="shared" ca="1" si="2"/>
        <v>6.9740704725441383</v>
      </c>
      <c r="I30" s="7">
        <f t="shared" si="45"/>
        <v>3000</v>
      </c>
      <c r="J30" s="6">
        <v>15</v>
      </c>
      <c r="K30" s="41">
        <f t="shared" si="3"/>
        <v>0.29509747737407888</v>
      </c>
      <c r="L30" s="41">
        <f t="shared" si="4"/>
        <v>334.59880241558</v>
      </c>
      <c r="M30" s="6">
        <v>185</v>
      </c>
      <c r="N30" s="41">
        <f t="shared" si="5"/>
        <v>198.2444368503925</v>
      </c>
      <c r="O30" s="41">
        <f t="shared" si="6"/>
        <v>115.61508762106017</v>
      </c>
      <c r="P30" s="41">
        <f t="shared" si="7"/>
        <v>1805381.3219977587</v>
      </c>
      <c r="Q30" s="41">
        <f t="shared" si="8"/>
        <v>11591816.700095374</v>
      </c>
      <c r="R30" s="41">
        <f t="shared" si="9"/>
        <v>2.9101722395318249E-3</v>
      </c>
      <c r="S30" s="41">
        <f t="shared" si="10"/>
        <v>2.2692786216730022E-2</v>
      </c>
      <c r="T30" s="24">
        <f t="shared" ca="1" si="46"/>
        <v>-8.2770268868239425E-16</v>
      </c>
      <c r="U30" s="10">
        <f t="shared" ca="1" si="11"/>
        <v>-8.2770268868239425E-16</v>
      </c>
      <c r="V30" s="41">
        <f t="shared" ca="1" si="12"/>
        <v>0.59189694701090989</v>
      </c>
      <c r="W30" s="41">
        <f t="shared" ca="1" si="13"/>
        <v>4.4819238763204414E-2</v>
      </c>
      <c r="X30" s="41">
        <f t="shared" ca="1" si="14"/>
        <v>13.206314148665193</v>
      </c>
      <c r="Y30" s="20">
        <f t="shared" ca="1" si="15"/>
        <v>1191.8094498449318</v>
      </c>
      <c r="Z30" s="41">
        <f t="shared" si="16"/>
        <v>0.59942398346957415</v>
      </c>
      <c r="AA30" s="41">
        <f t="shared" ca="1" si="17"/>
        <v>177.63878121296972</v>
      </c>
      <c r="AB30" s="14">
        <f t="shared" ca="1" si="18"/>
        <v>1191.8094498449316</v>
      </c>
      <c r="AC30" s="14">
        <f t="shared" si="19"/>
        <v>5628.3916222821908</v>
      </c>
      <c r="AD30" s="25">
        <f t="shared" ca="1" si="20"/>
        <v>398778.01462568535</v>
      </c>
      <c r="AE30" s="41">
        <f t="shared" si="21"/>
        <v>1883253.0963415045</v>
      </c>
      <c r="AF30" s="5">
        <f t="shared" ca="1" si="22"/>
        <v>21.174956005667543</v>
      </c>
      <c r="AG30" s="7">
        <f t="shared" ca="1" si="23"/>
        <v>1191.8094498449316</v>
      </c>
      <c r="AH30" s="41">
        <f t="shared" ca="1" si="24"/>
        <v>4436.582172437259</v>
      </c>
      <c r="AI30" s="41">
        <f t="shared" ca="1" si="25"/>
        <v>1484475.0817158192</v>
      </c>
      <c r="AJ30" s="41">
        <f t="shared" ca="1" si="26"/>
        <v>988.28726019204726</v>
      </c>
      <c r="AK30" s="13">
        <f t="shared" ca="1" si="27"/>
        <v>-4.8336601882875034E-15</v>
      </c>
      <c r="AL30" s="11"/>
      <c r="AM30" s="6">
        <v>0</v>
      </c>
      <c r="AN30" s="6">
        <v>720</v>
      </c>
      <c r="AO30" s="41">
        <f t="shared" ca="1" si="28"/>
        <v>197.65745203840947</v>
      </c>
      <c r="AP30" s="41">
        <f t="shared" ca="1" si="29"/>
        <v>39.648887370078505</v>
      </c>
      <c r="AQ30" s="67">
        <f t="shared" si="30"/>
        <v>0.82923260955904909</v>
      </c>
      <c r="AR30" s="11">
        <f t="shared" si="31"/>
        <v>1.0314301707183759</v>
      </c>
      <c r="AS30" s="11">
        <f t="shared" si="32"/>
        <v>0.8962407041850623</v>
      </c>
      <c r="AT30" s="11">
        <f t="shared" si="33"/>
        <v>0.86893008332386068</v>
      </c>
      <c r="AU30" s="11">
        <f t="shared" si="34"/>
        <v>534.97188664650002</v>
      </c>
      <c r="AV30" s="11">
        <f t="shared" si="35"/>
        <v>1896.6425030105124</v>
      </c>
      <c r="AW30" s="11">
        <f t="shared" si="36"/>
        <v>2.0653599150524844E-3</v>
      </c>
      <c r="AX30" s="11">
        <f t="shared" si="37"/>
        <v>3.8278171249107636E-7</v>
      </c>
      <c r="AY30" s="41">
        <f t="shared" ca="1" si="38"/>
        <v>1.1979667893299117</v>
      </c>
      <c r="AZ30" s="41">
        <f t="shared" ca="1" si="39"/>
        <v>1.6136850658920798</v>
      </c>
      <c r="BA30" s="41">
        <f t="shared" si="40"/>
        <v>0.21569436619354665</v>
      </c>
    </row>
    <row r="31" spans="1:53" ht="14.5">
      <c r="A31" s="41">
        <f t="shared" si="41"/>
        <v>5760</v>
      </c>
      <c r="B31" s="41">
        <f t="shared" si="42"/>
        <v>96</v>
      </c>
      <c r="C31" s="41">
        <f t="shared" si="42"/>
        <v>1.6</v>
      </c>
      <c r="D31" s="41">
        <f t="shared" si="47"/>
        <v>15589.41</v>
      </c>
      <c r="E31" s="41">
        <f t="shared" ca="1" si="43"/>
        <v>321.46788317393498</v>
      </c>
      <c r="F31" s="41">
        <f t="shared" si="48"/>
        <v>1800</v>
      </c>
      <c r="G31" s="41">
        <f t="shared" ca="1" si="44"/>
        <v>321.46788317393498</v>
      </c>
      <c r="H31" s="90">
        <f t="shared" ca="1" si="2"/>
        <v>7.0573415833360889</v>
      </c>
      <c r="I31" s="7">
        <f t="shared" si="45"/>
        <v>3000</v>
      </c>
      <c r="J31" s="6">
        <v>15</v>
      </c>
      <c r="K31" s="41">
        <f t="shared" si="3"/>
        <v>0.28713835631100121</v>
      </c>
      <c r="L31" s="41">
        <f t="shared" si="4"/>
        <v>325.57428482334547</v>
      </c>
      <c r="M31" s="6">
        <v>180</v>
      </c>
      <c r="N31" s="41">
        <f t="shared" si="5"/>
        <v>192.89755456927503</v>
      </c>
      <c r="O31" s="41">
        <f t="shared" si="6"/>
        <v>109.46264517225482</v>
      </c>
      <c r="P31" s="41">
        <f t="shared" si="7"/>
        <v>1756688.0948151206</v>
      </c>
      <c r="Q31" s="41">
        <f t="shared" si="8"/>
        <v>11279171.965623073</v>
      </c>
      <c r="R31" s="41">
        <f t="shared" si="9"/>
        <v>2.9240838430518376E-3</v>
      </c>
      <c r="S31" s="41">
        <f t="shared" si="10"/>
        <v>2.277736369419613E-2</v>
      </c>
      <c r="T31" s="24">
        <f t="shared" ca="1" si="46"/>
        <v>-8.3566677477047344E-16</v>
      </c>
      <c r="U31" s="10">
        <f t="shared" ca="1" si="11"/>
        <v>-8.3566677477047344E-16</v>
      </c>
      <c r="V31" s="41">
        <f t="shared" ca="1" si="12"/>
        <v>0.61920706713783014</v>
      </c>
      <c r="W31" s="41">
        <f t="shared" ca="1" si="13"/>
        <v>4.699274988592541E-2</v>
      </c>
      <c r="X31" s="41">
        <f t="shared" ca="1" si="14"/>
        <v>13.176651050235435</v>
      </c>
      <c r="Y31" s="20">
        <f t="shared" ca="1" si="15"/>
        <v>1183.1086624792615</v>
      </c>
      <c r="Z31" s="41">
        <f t="shared" si="16"/>
        <v>0.60053999049783546</v>
      </c>
      <c r="AA31" s="41">
        <f t="shared" ca="1" si="17"/>
        <v>176.79028668180806</v>
      </c>
      <c r="AB31" s="14">
        <f t="shared" ca="1" si="18"/>
        <v>1183.1086624792613</v>
      </c>
      <c r="AC31" s="14">
        <f t="shared" si="19"/>
        <v>5628.3916222821908</v>
      </c>
      <c r="AD31" s="25">
        <f t="shared" ca="1" si="20"/>
        <v>385189.75665499031</v>
      </c>
      <c r="AE31" s="41">
        <f t="shared" si="21"/>
        <v>1832459.5771302334</v>
      </c>
      <c r="AF31" s="5">
        <f t="shared" ca="1" si="22"/>
        <v>21.020368550679073</v>
      </c>
      <c r="AG31" s="7">
        <f t="shared" ca="1" si="23"/>
        <v>1183.1086624792613</v>
      </c>
      <c r="AH31" s="41">
        <f t="shared" ca="1" si="24"/>
        <v>4445.2829598029293</v>
      </c>
      <c r="AI31" s="41">
        <f t="shared" ca="1" si="25"/>
        <v>1447269.820475243</v>
      </c>
      <c r="AJ31" s="41">
        <f t="shared" ca="1" si="26"/>
        <v>979.02823046032859</v>
      </c>
      <c r="AK31" s="13">
        <f t="shared" ca="1" si="27"/>
        <v>-4.748545440147238E-15</v>
      </c>
      <c r="AL31" s="11"/>
      <c r="AM31" s="6">
        <v>0</v>
      </c>
      <c r="AN31" s="6">
        <v>720</v>
      </c>
      <c r="AO31" s="41">
        <f t="shared" ca="1" si="28"/>
        <v>195.80564609206573</v>
      </c>
      <c r="AP31" s="41">
        <f t="shared" ca="1" si="29"/>
        <v>38.57951091385501</v>
      </c>
      <c r="AQ31" s="67">
        <f t="shared" si="30"/>
        <v>0.82750491270068782</v>
      </c>
      <c r="AR31" s="11">
        <f t="shared" si="31"/>
        <v>1.0314301707183759</v>
      </c>
      <c r="AS31" s="11">
        <f t="shared" si="32"/>
        <v>0.8962407041850623</v>
      </c>
      <c r="AT31" s="11">
        <f t="shared" si="33"/>
        <v>0.86893008332386068</v>
      </c>
      <c r="AU31" s="11">
        <f t="shared" si="34"/>
        <v>534.97188664650002</v>
      </c>
      <c r="AV31" s="11">
        <f t="shared" si="35"/>
        <v>1896.6425030105124</v>
      </c>
      <c r="AW31" s="11">
        <f t="shared" si="36"/>
        <v>2.0653599150524844E-3</v>
      </c>
      <c r="AX31" s="11">
        <f t="shared" si="37"/>
        <v>3.8278171249107636E-7</v>
      </c>
      <c r="AY31" s="41">
        <f t="shared" ca="1" si="38"/>
        <v>1.1664993581256744</v>
      </c>
      <c r="AZ31" s="41">
        <f t="shared" ca="1" si="39"/>
        <v>1.5712978108792197</v>
      </c>
      <c r="BA31" s="41">
        <f t="shared" si="40"/>
        <v>0.21025417408998501</v>
      </c>
    </row>
    <row r="32" spans="1:53" ht="14.5">
      <c r="A32" s="41">
        <f t="shared" si="41"/>
        <v>6480</v>
      </c>
      <c r="B32" s="41">
        <f t="shared" si="42"/>
        <v>108</v>
      </c>
      <c r="C32" s="41">
        <f t="shared" si="42"/>
        <v>1.8</v>
      </c>
      <c r="D32" s="41">
        <f t="shared" si="47"/>
        <v>15439.41</v>
      </c>
      <c r="E32" s="41">
        <f t="shared" ca="1" si="43"/>
        <v>360.04739408779</v>
      </c>
      <c r="F32" s="41">
        <f t="shared" si="48"/>
        <v>1650</v>
      </c>
      <c r="G32" s="41">
        <f t="shared" ca="1" si="44"/>
        <v>360.04739408779</v>
      </c>
      <c r="H32" s="90">
        <f t="shared" si="2"/>
        <v>7.1456326803296886</v>
      </c>
      <c r="I32" s="7">
        <f t="shared" si="45"/>
        <v>3000</v>
      </c>
      <c r="J32" s="6">
        <v>15</v>
      </c>
      <c r="K32" s="41">
        <f t="shared" si="3"/>
        <v>0.28713835631100121</v>
      </c>
      <c r="L32" s="41">
        <f t="shared" si="4"/>
        <v>325.57428482334547</v>
      </c>
      <c r="M32" s="6">
        <v>180</v>
      </c>
      <c r="N32" s="41">
        <f t="shared" si="5"/>
        <v>192.89755456927503</v>
      </c>
      <c r="O32" s="41">
        <f t="shared" si="6"/>
        <v>109.46264517225482</v>
      </c>
      <c r="P32" s="41">
        <f t="shared" si="7"/>
        <v>1756688.0948151206</v>
      </c>
      <c r="Q32" s="41">
        <f t="shared" si="8"/>
        <v>11279171.965623073</v>
      </c>
      <c r="R32" s="41">
        <f t="shared" si="9"/>
        <v>2.9240838430518376E-3</v>
      </c>
      <c r="S32" s="41">
        <f t="shared" si="10"/>
        <v>2.277736369419613E-2</v>
      </c>
      <c r="T32" s="24">
        <v>0</v>
      </c>
      <c r="U32" s="10">
        <f t="shared" si="11"/>
        <v>0</v>
      </c>
      <c r="V32" s="41">
        <f t="shared" si="12"/>
        <v>0.61324910849342507</v>
      </c>
      <c r="W32" s="41">
        <f t="shared" si="13"/>
        <v>4.6528994933414072E-2</v>
      </c>
      <c r="X32" s="41">
        <f t="shared" si="14"/>
        <v>13.179934562760774</v>
      </c>
      <c r="Y32" s="20">
        <f t="shared" si="15"/>
        <v>1171.4329784021279</v>
      </c>
      <c r="Z32" s="41">
        <f t="shared" si="16"/>
        <v>0.60053999049783546</v>
      </c>
      <c r="AA32" s="41">
        <f t="shared" si="17"/>
        <v>175.93770016469597</v>
      </c>
      <c r="AB32" s="14">
        <f t="shared" si="18"/>
        <v>1171.4329784021279</v>
      </c>
      <c r="AC32" s="14">
        <f t="shared" si="19"/>
        <v>5628.3916222821908</v>
      </c>
      <c r="AD32" s="25">
        <f t="shared" si="20"/>
        <v>381388.45416175429</v>
      </c>
      <c r="AE32" s="41">
        <f t="shared" si="21"/>
        <v>1832459.5771302334</v>
      </c>
      <c r="AF32" s="5">
        <f t="shared" si="22"/>
        <v>20.812925912343271</v>
      </c>
      <c r="AG32" s="7">
        <f t="shared" si="23"/>
        <v>1171.4329784021279</v>
      </c>
      <c r="AH32" s="41">
        <f t="shared" si="24"/>
        <v>4456.9586438800634</v>
      </c>
      <c r="AI32" s="41">
        <f t="shared" si="25"/>
        <v>1451071.1229684791</v>
      </c>
      <c r="AJ32" s="41">
        <f t="shared" si="26"/>
        <v>969.36654452735957</v>
      </c>
      <c r="AK32" s="13">
        <f t="shared" si="27"/>
        <v>0</v>
      </c>
      <c r="AL32" s="11"/>
      <c r="AM32" s="6">
        <v>0</v>
      </c>
      <c r="AN32" s="6">
        <v>720</v>
      </c>
      <c r="AO32" s="41">
        <f t="shared" si="28"/>
        <v>193.87330890547193</v>
      </c>
      <c r="AP32" s="41">
        <f t="shared" si="29"/>
        <v>38.57951091385501</v>
      </c>
      <c r="AQ32" s="67">
        <f t="shared" si="30"/>
        <v>0.82750491270068782</v>
      </c>
      <c r="AR32" s="11">
        <f t="shared" si="31"/>
        <v>1.0314301707183759</v>
      </c>
      <c r="AS32" s="11">
        <f t="shared" si="32"/>
        <v>0.8962407041850623</v>
      </c>
      <c r="AT32" s="11">
        <f t="shared" si="33"/>
        <v>0.86893008332386068</v>
      </c>
      <c r="AU32" s="11">
        <f t="shared" si="34"/>
        <v>534.97188664650002</v>
      </c>
      <c r="AV32" s="11">
        <f t="shared" si="35"/>
        <v>1896.6425030105124</v>
      </c>
      <c r="AW32" s="11">
        <f t="shared" si="36"/>
        <v>2.0653599150524844E-3</v>
      </c>
      <c r="AX32" s="11">
        <f t="shared" si="37"/>
        <v>3.8278171249107636E-7</v>
      </c>
      <c r="AY32" s="41">
        <f t="shared" si="38"/>
        <v>1.1730192819374139</v>
      </c>
      <c r="AZ32" s="41">
        <f t="shared" si="39"/>
        <v>1.580080277788543</v>
      </c>
      <c r="BA32" s="41">
        <f t="shared" si="40"/>
        <v>0.21025417408998501</v>
      </c>
    </row>
    <row r="33" spans="1:53" ht="14.5">
      <c r="A33" s="41">
        <f t="shared" si="41"/>
        <v>7200</v>
      </c>
      <c r="B33" s="41">
        <f t="shared" si="42"/>
        <v>120</v>
      </c>
      <c r="C33" s="41">
        <f t="shared" si="42"/>
        <v>2</v>
      </c>
      <c r="D33" s="41">
        <f t="shared" si="47"/>
        <v>15289.41</v>
      </c>
      <c r="E33" s="41">
        <f t="shared" ca="1" si="43"/>
        <v>398.62690500164501</v>
      </c>
      <c r="F33" s="41">
        <f t="shared" si="48"/>
        <v>1500</v>
      </c>
      <c r="G33" s="41">
        <f t="shared" ca="1" si="44"/>
        <v>398.62690500164501</v>
      </c>
      <c r="H33" s="90">
        <f t="shared" si="2"/>
        <v>7.2354840815361792</v>
      </c>
      <c r="I33" s="7">
        <f t="shared" si="45"/>
        <v>3000</v>
      </c>
      <c r="J33" s="6">
        <v>15</v>
      </c>
      <c r="K33" s="41">
        <f t="shared" si="3"/>
        <v>0.28713835631100121</v>
      </c>
      <c r="L33" s="41">
        <f t="shared" si="4"/>
        <v>325.57428482334547</v>
      </c>
      <c r="M33" s="6">
        <f t="shared" si="49"/>
        <v>180</v>
      </c>
      <c r="N33" s="41">
        <f t="shared" si="5"/>
        <v>192.89755456927503</v>
      </c>
      <c r="O33" s="41">
        <f t="shared" si="6"/>
        <v>109.46264517225482</v>
      </c>
      <c r="P33" s="41">
        <f t="shared" si="7"/>
        <v>1756688.0948151206</v>
      </c>
      <c r="Q33" s="41">
        <f t="shared" si="8"/>
        <v>11279171.965623073</v>
      </c>
      <c r="R33" s="41">
        <f t="shared" si="9"/>
        <v>2.9240838430518376E-3</v>
      </c>
      <c r="S33" s="41">
        <f t="shared" si="10"/>
        <v>2.277736369419613E-2</v>
      </c>
      <c r="T33" s="24">
        <v>0</v>
      </c>
      <c r="U33" s="10">
        <f t="shared" si="11"/>
        <v>0</v>
      </c>
      <c r="V33" s="41">
        <f t="shared" si="12"/>
        <v>0.60729114984902</v>
      </c>
      <c r="W33" s="41">
        <f t="shared" si="13"/>
        <v>4.6069723763584543E-2</v>
      </c>
      <c r="X33" s="41">
        <f t="shared" si="14"/>
        <v>13.182001111303572</v>
      </c>
      <c r="Y33" s="20">
        <f t="shared" si="15"/>
        <v>1159.8701798689217</v>
      </c>
      <c r="Z33" s="41">
        <f t="shared" si="16"/>
        <v>0.60053999049783546</v>
      </c>
      <c r="AA33" s="41">
        <f t="shared" si="17"/>
        <v>175.08096188177922</v>
      </c>
      <c r="AB33" s="14">
        <f t="shared" si="18"/>
        <v>1159.8701798689217</v>
      </c>
      <c r="AC33" s="14">
        <f t="shared" si="19"/>
        <v>5628.3916222821908</v>
      </c>
      <c r="AD33" s="25">
        <f t="shared" si="20"/>
        <v>377623.90429874923</v>
      </c>
      <c r="AE33" s="41">
        <f t="shared" si="21"/>
        <v>1832459.5771302334</v>
      </c>
      <c r="AF33" s="5">
        <f t="shared" si="22"/>
        <v>20.607488918808027</v>
      </c>
      <c r="AG33" s="7">
        <f t="shared" si="23"/>
        <v>1159.8701798689217</v>
      </c>
      <c r="AH33" s="41">
        <f t="shared" si="24"/>
        <v>4468.5214424132691</v>
      </c>
      <c r="AI33" s="41">
        <f t="shared" si="25"/>
        <v>1454835.6728314841</v>
      </c>
      <c r="AJ33" s="41">
        <f t="shared" si="26"/>
        <v>959.79827193656308</v>
      </c>
      <c r="AK33" s="13">
        <f t="shared" si="27"/>
        <v>0</v>
      </c>
      <c r="AL33" s="11"/>
      <c r="AM33" s="6">
        <v>0</v>
      </c>
      <c r="AN33" s="6">
        <v>720</v>
      </c>
      <c r="AO33" s="41">
        <f t="shared" si="28"/>
        <v>191.95965438731264</v>
      </c>
      <c r="AP33" s="41">
        <f t="shared" si="29"/>
        <v>38.57951091385501</v>
      </c>
      <c r="AQ33" s="67">
        <f t="shared" si="30"/>
        <v>0.82750491270068782</v>
      </c>
      <c r="AR33" s="11">
        <f t="shared" si="31"/>
        <v>1.0314301707183759</v>
      </c>
      <c r="AS33" s="11">
        <f t="shared" si="32"/>
        <v>0.8962407041850623</v>
      </c>
      <c r="AT33" s="11">
        <f t="shared" si="33"/>
        <v>0.86893008332386068</v>
      </c>
      <c r="AU33" s="11">
        <f t="shared" si="34"/>
        <v>534.97188664650002</v>
      </c>
      <c r="AV33" s="11">
        <f t="shared" si="35"/>
        <v>1896.6425030105124</v>
      </c>
      <c r="AW33" s="11">
        <f t="shared" si="36"/>
        <v>2.0653599150524844E-3</v>
      </c>
      <c r="AX33" s="11">
        <f t="shared" si="37"/>
        <v>3.8278171249107636E-7</v>
      </c>
      <c r="AY33" s="41">
        <f t="shared" si="38"/>
        <v>1.1797271945951195</v>
      </c>
      <c r="AZ33" s="41">
        <f t="shared" si="39"/>
        <v>1.5891159694082604</v>
      </c>
      <c r="BA33" s="41">
        <f t="shared" si="40"/>
        <v>0.21025417408998501</v>
      </c>
    </row>
    <row r="34" spans="1:53" ht="14.5">
      <c r="A34" s="41">
        <f t="shared" si="41"/>
        <v>7920</v>
      </c>
      <c r="B34" s="41">
        <f t="shared" si="42"/>
        <v>132</v>
      </c>
      <c r="C34" s="41">
        <f t="shared" si="42"/>
        <v>2.2000000000000002</v>
      </c>
      <c r="D34" s="41">
        <f t="shared" si="47"/>
        <v>15139.41</v>
      </c>
      <c r="E34" s="41">
        <f t="shared" ca="1" si="43"/>
        <v>437.20641591550003</v>
      </c>
      <c r="F34" s="41">
        <f t="shared" si="48"/>
        <v>1350</v>
      </c>
      <c r="G34" s="41">
        <f t="shared" ca="1" si="44"/>
        <v>437.20641591550003</v>
      </c>
      <c r="H34" s="90">
        <f t="shared" si="2"/>
        <v>7.3269367076520764</v>
      </c>
      <c r="I34" s="7">
        <f t="shared" si="45"/>
        <v>3000</v>
      </c>
      <c r="J34" s="6">
        <v>15</v>
      </c>
      <c r="K34" s="41">
        <f t="shared" si="3"/>
        <v>0.28713835631100121</v>
      </c>
      <c r="L34" s="41">
        <f t="shared" si="4"/>
        <v>325.57428482334547</v>
      </c>
      <c r="M34" s="6">
        <f t="shared" si="49"/>
        <v>180</v>
      </c>
      <c r="N34" s="41">
        <f t="shared" si="5"/>
        <v>192.89755456927503</v>
      </c>
      <c r="O34" s="41">
        <f t="shared" si="6"/>
        <v>109.46264517225482</v>
      </c>
      <c r="P34" s="41">
        <f t="shared" si="7"/>
        <v>1756688.0948151206</v>
      </c>
      <c r="Q34" s="41">
        <f t="shared" si="8"/>
        <v>11279171.965623073</v>
      </c>
      <c r="R34" s="41">
        <f t="shared" si="9"/>
        <v>2.9240838430518376E-3</v>
      </c>
      <c r="S34" s="41">
        <f t="shared" si="10"/>
        <v>2.277736369419613E-2</v>
      </c>
      <c r="T34" s="24">
        <v>0</v>
      </c>
      <c r="U34" s="10">
        <f t="shared" si="11"/>
        <v>0</v>
      </c>
      <c r="V34" s="41">
        <f t="shared" si="12"/>
        <v>0.60133319120461493</v>
      </c>
      <c r="W34" s="41">
        <f t="shared" si="13"/>
        <v>4.5614936376436849E-2</v>
      </c>
      <c r="X34" s="41">
        <f t="shared" si="14"/>
        <v>13.182813327681052</v>
      </c>
      <c r="Y34" s="20">
        <f t="shared" si="15"/>
        <v>1148.4202668796438</v>
      </c>
      <c r="Z34" s="41">
        <f t="shared" si="16"/>
        <v>0.60053999049783546</v>
      </c>
      <c r="AA34" s="41">
        <f t="shared" si="17"/>
        <v>174.22001058332992</v>
      </c>
      <c r="AB34" s="14">
        <f t="shared" si="18"/>
        <v>1148.4202668796438</v>
      </c>
      <c r="AC34" s="14">
        <f t="shared" si="19"/>
        <v>5628.3916222821908</v>
      </c>
      <c r="AD34" s="25">
        <f t="shared" si="20"/>
        <v>373896.10706597555</v>
      </c>
      <c r="AE34" s="41">
        <f t="shared" si="21"/>
        <v>1832459.5771302334</v>
      </c>
      <c r="AF34" s="5">
        <f t="shared" si="22"/>
        <v>20.404057570073352</v>
      </c>
      <c r="AG34" s="7">
        <f t="shared" si="23"/>
        <v>1148.4202668796438</v>
      </c>
      <c r="AH34" s="41">
        <f t="shared" si="24"/>
        <v>4479.9713554025475</v>
      </c>
      <c r="AI34" s="41">
        <f t="shared" si="25"/>
        <v>1458563.4700642577</v>
      </c>
      <c r="AJ34" s="41">
        <f t="shared" si="26"/>
        <v>950.32341268794028</v>
      </c>
      <c r="AK34" s="13">
        <f t="shared" si="27"/>
        <v>0</v>
      </c>
      <c r="AL34" s="11"/>
      <c r="AM34" s="6">
        <v>0</v>
      </c>
      <c r="AN34" s="6">
        <v>720</v>
      </c>
      <c r="AO34" s="41">
        <f t="shared" si="28"/>
        <v>190.06468253758806</v>
      </c>
      <c r="AP34" s="41">
        <f t="shared" si="29"/>
        <v>38.57951091385501</v>
      </c>
      <c r="AQ34" s="67">
        <f t="shared" si="30"/>
        <v>0.82750491270068782</v>
      </c>
      <c r="AR34" s="11">
        <f t="shared" si="31"/>
        <v>1.0314301707183759</v>
      </c>
      <c r="AS34" s="11">
        <f t="shared" si="32"/>
        <v>0.8962407041850623</v>
      </c>
      <c r="AT34" s="11">
        <f t="shared" si="33"/>
        <v>0.86893008332386068</v>
      </c>
      <c r="AU34" s="11">
        <f t="shared" si="34"/>
        <v>534.97188664650002</v>
      </c>
      <c r="AV34" s="11">
        <f t="shared" si="35"/>
        <v>1896.6425030105124</v>
      </c>
      <c r="AW34" s="11">
        <f t="shared" si="36"/>
        <v>2.0653599150524844E-3</v>
      </c>
      <c r="AX34" s="11">
        <f t="shared" si="37"/>
        <v>3.8278171249107636E-7</v>
      </c>
      <c r="AY34" s="41">
        <f t="shared" si="38"/>
        <v>1.1866282816955427</v>
      </c>
      <c r="AZ34" s="41">
        <f t="shared" si="39"/>
        <v>1.5984118708402211</v>
      </c>
      <c r="BA34" s="41">
        <f t="shared" si="40"/>
        <v>0.21025417408998501</v>
      </c>
    </row>
    <row r="35" spans="1:53" ht="14.5">
      <c r="A35" s="41">
        <f t="shared" si="41"/>
        <v>8640</v>
      </c>
      <c r="B35" s="41">
        <f t="shared" si="42"/>
        <v>144</v>
      </c>
      <c r="C35" s="41">
        <f t="shared" si="42"/>
        <v>2.4</v>
      </c>
      <c r="D35" s="41">
        <f t="shared" si="47"/>
        <v>14989.41</v>
      </c>
      <c r="E35" s="41">
        <f t="shared" ca="1" si="43"/>
        <v>475.78592682935505</v>
      </c>
      <c r="F35" s="41">
        <f t="shared" si="48"/>
        <v>1200</v>
      </c>
      <c r="G35" s="41">
        <f t="shared" ca="1" si="44"/>
        <v>475.78592682935505</v>
      </c>
      <c r="H35" s="90">
        <f t="shared" si="2"/>
        <v>7.4200333365226072</v>
      </c>
      <c r="I35" s="7">
        <f t="shared" si="45"/>
        <v>3000</v>
      </c>
      <c r="J35" s="6">
        <v>15</v>
      </c>
      <c r="K35" s="41">
        <f t="shared" si="3"/>
        <v>0.28713835631100121</v>
      </c>
      <c r="L35" s="41">
        <f t="shared" si="4"/>
        <v>325.57428482334547</v>
      </c>
      <c r="M35" s="6">
        <v>180</v>
      </c>
      <c r="N35" s="41">
        <f t="shared" si="5"/>
        <v>192.89755456927503</v>
      </c>
      <c r="O35" s="41">
        <f t="shared" si="6"/>
        <v>109.46264517225482</v>
      </c>
      <c r="P35" s="41">
        <f t="shared" si="7"/>
        <v>1756688.0948151206</v>
      </c>
      <c r="Q35" s="41">
        <f t="shared" si="8"/>
        <v>11279171.965623073</v>
      </c>
      <c r="R35" s="41">
        <f t="shared" si="9"/>
        <v>2.9240838430518376E-3</v>
      </c>
      <c r="S35" s="41">
        <f t="shared" si="10"/>
        <v>2.277736369419613E-2</v>
      </c>
      <c r="T35" s="24">
        <v>0</v>
      </c>
      <c r="U35" s="10">
        <f t="shared" si="11"/>
        <v>0</v>
      </c>
      <c r="V35" s="41">
        <f t="shared" si="12"/>
        <v>0.59537523256020997</v>
      </c>
      <c r="W35" s="41">
        <f t="shared" si="13"/>
        <v>4.5164632771970983E-2</v>
      </c>
      <c r="X35" s="41">
        <f t="shared" si="14"/>
        <v>13.182333078321802</v>
      </c>
      <c r="Y35" s="20">
        <f t="shared" si="15"/>
        <v>1137.0832394342938</v>
      </c>
      <c r="Z35" s="41">
        <f t="shared" si="16"/>
        <v>0.60053999049783546</v>
      </c>
      <c r="AA35" s="41">
        <f t="shared" si="17"/>
        <v>173.35478349864522</v>
      </c>
      <c r="AB35" s="14">
        <f t="shared" si="18"/>
        <v>1137.0832394342938</v>
      </c>
      <c r="AC35" s="14">
        <f t="shared" si="19"/>
        <v>5628.3916222821908</v>
      </c>
      <c r="AD35" s="25">
        <f t="shared" si="20"/>
        <v>370205.06246343307</v>
      </c>
      <c r="AE35" s="41">
        <f t="shared" si="21"/>
        <v>1832459.5771302334</v>
      </c>
      <c r="AF35" s="5">
        <f t="shared" si="22"/>
        <v>20.202631866139249</v>
      </c>
      <c r="AG35" s="7">
        <f t="shared" si="23"/>
        <v>1137.0832394342938</v>
      </c>
      <c r="AH35" s="41">
        <f t="shared" si="24"/>
        <v>4491.3083828478975</v>
      </c>
      <c r="AI35" s="41">
        <f t="shared" si="25"/>
        <v>1462254.5146668004</v>
      </c>
      <c r="AJ35" s="41">
        <f t="shared" si="26"/>
        <v>940.94196678149058</v>
      </c>
      <c r="AK35" s="13">
        <f t="shared" si="27"/>
        <v>0</v>
      </c>
      <c r="AL35" s="11"/>
      <c r="AM35" s="6">
        <v>0</v>
      </c>
      <c r="AN35" s="6">
        <v>720</v>
      </c>
      <c r="AO35" s="41">
        <f t="shared" si="28"/>
        <v>188.18839335629812</v>
      </c>
      <c r="AP35" s="41">
        <f t="shared" si="29"/>
        <v>38.57951091385501</v>
      </c>
      <c r="AQ35" s="67">
        <f t="shared" si="30"/>
        <v>0.82750491270068782</v>
      </c>
      <c r="AR35" s="11">
        <f t="shared" si="31"/>
        <v>1.0314301707183759</v>
      </c>
      <c r="AS35" s="11">
        <f t="shared" si="32"/>
        <v>0.8962407041850623</v>
      </c>
      <c r="AT35" s="11">
        <f t="shared" si="33"/>
        <v>0.86893008332386068</v>
      </c>
      <c r="AU35" s="11">
        <f t="shared" si="34"/>
        <v>534.97188664650002</v>
      </c>
      <c r="AV35" s="11">
        <f t="shared" si="35"/>
        <v>1896.6425030105124</v>
      </c>
      <c r="AW35" s="11">
        <f t="shared" si="36"/>
        <v>2.0653599150524844E-3</v>
      </c>
      <c r="AX35" s="11">
        <f t="shared" si="37"/>
        <v>3.8278171249107636E-7</v>
      </c>
      <c r="AY35" s="41">
        <f t="shared" si="38"/>
        <v>1.1937279412341291</v>
      </c>
      <c r="AZ35" s="41">
        <f t="shared" si="39"/>
        <v>1.6079752532915355</v>
      </c>
      <c r="BA35" s="41">
        <f t="shared" si="40"/>
        <v>0.21025417408998501</v>
      </c>
    </row>
    <row r="36" spans="1:53" ht="14.5">
      <c r="A36" s="41">
        <f t="shared" si="41"/>
        <v>9360</v>
      </c>
      <c r="B36" s="41">
        <f t="shared" si="42"/>
        <v>156</v>
      </c>
      <c r="C36" s="41">
        <f t="shared" si="42"/>
        <v>2.6</v>
      </c>
      <c r="D36" s="41">
        <f t="shared" si="47"/>
        <v>14839.41</v>
      </c>
      <c r="E36" s="41">
        <f t="shared" ca="1" si="43"/>
        <v>514.36543774321001</v>
      </c>
      <c r="F36" s="41">
        <f t="shared" si="48"/>
        <v>1050</v>
      </c>
      <c r="G36" s="41">
        <f t="shared" ca="1" si="44"/>
        <v>514.36543774321001</v>
      </c>
      <c r="H36" s="90">
        <f t="shared" si="2"/>
        <v>7.5148187387921768</v>
      </c>
      <c r="I36" s="7">
        <f t="shared" si="45"/>
        <v>3000</v>
      </c>
      <c r="J36" s="6">
        <v>15</v>
      </c>
      <c r="K36" s="41">
        <f t="shared" si="3"/>
        <v>0.28713835631100121</v>
      </c>
      <c r="L36" s="41">
        <f t="shared" si="4"/>
        <v>325.57428482334547</v>
      </c>
      <c r="M36" s="6">
        <f t="shared" si="49"/>
        <v>180</v>
      </c>
      <c r="N36" s="41">
        <f t="shared" si="5"/>
        <v>192.89755456927503</v>
      </c>
      <c r="O36" s="41">
        <f t="shared" si="6"/>
        <v>109.46264517225482</v>
      </c>
      <c r="P36" s="41">
        <f t="shared" si="7"/>
        <v>1756688.0948151206</v>
      </c>
      <c r="Q36" s="41">
        <f t="shared" si="8"/>
        <v>11279171.965623073</v>
      </c>
      <c r="R36" s="41">
        <f t="shared" si="9"/>
        <v>2.9240838430518376E-3</v>
      </c>
      <c r="S36" s="41">
        <f t="shared" si="10"/>
        <v>2.277736369419613E-2</v>
      </c>
      <c r="T36" s="24">
        <v>0</v>
      </c>
      <c r="U36" s="10">
        <f t="shared" si="11"/>
        <v>0</v>
      </c>
      <c r="V36" s="41">
        <f t="shared" si="12"/>
        <v>0.5894172739158049</v>
      </c>
      <c r="W36" s="41">
        <f t="shared" si="13"/>
        <v>4.4718812950186933E-2</v>
      </c>
      <c r="X36" s="41">
        <f t="shared" si="14"/>
        <v>13.180521463581046</v>
      </c>
      <c r="Y36" s="20">
        <f t="shared" si="15"/>
        <v>1125.8590975328716</v>
      </c>
      <c r="Z36" s="41">
        <f t="shared" si="16"/>
        <v>0.60053999049783546</v>
      </c>
      <c r="AA36" s="41">
        <f t="shared" si="17"/>
        <v>172.48521628263893</v>
      </c>
      <c r="AB36" s="14">
        <f t="shared" si="18"/>
        <v>1125.8590975328716</v>
      </c>
      <c r="AC36" s="14">
        <f t="shared" si="19"/>
        <v>5628.3916222821908</v>
      </c>
      <c r="AD36" s="25">
        <f t="shared" si="20"/>
        <v>366550.7704911218</v>
      </c>
      <c r="AE36" s="41">
        <f t="shared" si="21"/>
        <v>1832459.5771302334</v>
      </c>
      <c r="AF36" s="5">
        <f t="shared" si="22"/>
        <v>20.003211807005712</v>
      </c>
      <c r="AG36" s="7">
        <f t="shared" si="23"/>
        <v>1125.8590975328716</v>
      </c>
      <c r="AH36" s="41">
        <f t="shared" si="24"/>
        <v>4502.5325247493192</v>
      </c>
      <c r="AI36" s="41">
        <f t="shared" si="25"/>
        <v>1465908.8066391116</v>
      </c>
      <c r="AJ36" s="41">
        <f t="shared" si="26"/>
        <v>931.6539342172141</v>
      </c>
      <c r="AK36" s="13">
        <f t="shared" si="27"/>
        <v>0</v>
      </c>
      <c r="AL36" s="11"/>
      <c r="AM36" s="6">
        <v>0</v>
      </c>
      <c r="AN36" s="6">
        <v>720</v>
      </c>
      <c r="AO36" s="41">
        <f t="shared" si="28"/>
        <v>186.33078684344284</v>
      </c>
      <c r="AP36" s="41">
        <f t="shared" si="29"/>
        <v>38.57951091385501</v>
      </c>
      <c r="AQ36" s="67">
        <f t="shared" si="30"/>
        <v>0.82750491270068782</v>
      </c>
      <c r="AR36" s="11">
        <f t="shared" si="31"/>
        <v>1.0314301707183759</v>
      </c>
      <c r="AS36" s="11">
        <f t="shared" si="32"/>
        <v>0.8962407041850623</v>
      </c>
      <c r="AT36" s="11">
        <f t="shared" si="33"/>
        <v>0.86893008332386068</v>
      </c>
      <c r="AU36" s="11">
        <f t="shared" si="34"/>
        <v>534.97188664650002</v>
      </c>
      <c r="AV36" s="11">
        <f t="shared" si="35"/>
        <v>1896.6425030105124</v>
      </c>
      <c r="AW36" s="11">
        <f t="shared" si="36"/>
        <v>2.0653599150524844E-3</v>
      </c>
      <c r="AX36" s="11">
        <f t="shared" si="37"/>
        <v>3.8278171249107636E-7</v>
      </c>
      <c r="AY36" s="41">
        <f t="shared" si="38"/>
        <v>1.2010317943142259</v>
      </c>
      <c r="AZ36" s="41">
        <f t="shared" si="39"/>
        <v>1.6178136885000898</v>
      </c>
      <c r="BA36" s="41">
        <f t="shared" si="40"/>
        <v>0.21025417408998501</v>
      </c>
    </row>
    <row r="37" spans="1:53" ht="14.5">
      <c r="A37" s="41">
        <f t="shared" si="41"/>
        <v>10080</v>
      </c>
      <c r="B37" s="41">
        <f t="shared" si="42"/>
        <v>168</v>
      </c>
      <c r="C37" s="41">
        <f t="shared" si="42"/>
        <v>2.8</v>
      </c>
      <c r="D37" s="41">
        <f t="shared" si="47"/>
        <v>14689.41</v>
      </c>
      <c r="E37" s="41">
        <f t="shared" ca="1" si="43"/>
        <v>552.94494865706497</v>
      </c>
      <c r="F37" s="41">
        <f t="shared" si="48"/>
        <v>900</v>
      </c>
      <c r="G37" s="41">
        <f t="shared" ca="1" si="44"/>
        <v>552.94494865706497</v>
      </c>
      <c r="H37" s="90">
        <f t="shared" si="2"/>
        <v>7.6134254713881058</v>
      </c>
      <c r="I37" s="7">
        <f t="shared" si="45"/>
        <v>3000</v>
      </c>
      <c r="J37" s="6">
        <v>15</v>
      </c>
      <c r="K37" s="41">
        <f t="shared" si="3"/>
        <v>0.27917792278096465</v>
      </c>
      <c r="L37" s="41">
        <f t="shared" si="4"/>
        <v>316.54827907920748</v>
      </c>
      <c r="M37" s="6">
        <v>175</v>
      </c>
      <c r="N37" s="41">
        <f t="shared" si="5"/>
        <v>187.54979058196517</v>
      </c>
      <c r="O37" s="41">
        <f t="shared" si="6"/>
        <v>103.47743666046591</v>
      </c>
      <c r="P37" s="41">
        <f t="shared" si="7"/>
        <v>1707986.8380710159</v>
      </c>
      <c r="Q37" s="41">
        <f t="shared" si="8"/>
        <v>10966475.67572391</v>
      </c>
      <c r="R37" s="41">
        <f t="shared" si="9"/>
        <v>2.9384116445602508E-3</v>
      </c>
      <c r="S37" s="41">
        <f t="shared" si="10"/>
        <v>2.286447150369296E-2</v>
      </c>
      <c r="T37" s="24">
        <v>0</v>
      </c>
      <c r="U37" s="10">
        <f t="shared" si="11"/>
        <v>-1.7737338634124263E-15</v>
      </c>
      <c r="V37" s="41">
        <f t="shared" si="12"/>
        <v>0.61720701692256663</v>
      </c>
      <c r="W37" s="41">
        <f t="shared" si="13"/>
        <v>4.6923678049468349E-2</v>
      </c>
      <c r="X37" s="41">
        <f t="shared" si="14"/>
        <v>13.153423656855894</v>
      </c>
      <c r="Y37" s="20">
        <f t="shared" si="15"/>
        <v>1116.7746423451899</v>
      </c>
      <c r="Z37" s="41">
        <f t="shared" si="16"/>
        <v>0.60168722169350031</v>
      </c>
      <c r="AA37" s="41">
        <f t="shared" si="17"/>
        <v>171.61124295999755</v>
      </c>
      <c r="AB37" s="14">
        <f t="shared" si="18"/>
        <v>1116.7746423451897</v>
      </c>
      <c r="AC37" s="14">
        <f t="shared" si="19"/>
        <v>5628.3916222821908</v>
      </c>
      <c r="AD37" s="25">
        <f t="shared" si="20"/>
        <v>353513.09115366725</v>
      </c>
      <c r="AE37" s="41">
        <f t="shared" si="21"/>
        <v>1781657.6820172563</v>
      </c>
      <c r="AF37" s="5">
        <f t="shared" si="22"/>
        <v>19.841807700871421</v>
      </c>
      <c r="AG37" s="7">
        <f t="shared" si="23"/>
        <v>1116.7746423451895</v>
      </c>
      <c r="AH37" s="41">
        <f t="shared" si="24"/>
        <v>4511.6169799370009</v>
      </c>
      <c r="AI37" s="41">
        <f t="shared" si="25"/>
        <v>1428144.590863589</v>
      </c>
      <c r="AJ37" s="41">
        <f t="shared" si="26"/>
        <v>922.20661367434684</v>
      </c>
      <c r="AK37" s="13">
        <f t="shared" si="27"/>
        <v>-9.7995420741158931E-15</v>
      </c>
      <c r="AL37" s="11"/>
      <c r="AM37" s="6">
        <v>0</v>
      </c>
      <c r="AN37" s="6">
        <v>720</v>
      </c>
      <c r="AO37" s="41">
        <f t="shared" si="28"/>
        <v>184.44132273486937</v>
      </c>
      <c r="AP37" s="41">
        <f t="shared" si="29"/>
        <v>37.509958116393037</v>
      </c>
      <c r="AQ37" s="67">
        <f t="shared" si="30"/>
        <v>0.82577682077177517</v>
      </c>
      <c r="AR37" s="11">
        <f t="shared" si="31"/>
        <v>1.0314301707183759</v>
      </c>
      <c r="AS37" s="11">
        <f t="shared" si="32"/>
        <v>0.8962407041850623</v>
      </c>
      <c r="AT37" s="11">
        <f t="shared" si="33"/>
        <v>0.86893008332386068</v>
      </c>
      <c r="AU37" s="11">
        <f t="shared" si="34"/>
        <v>534.97188664650002</v>
      </c>
      <c r="AV37" s="11">
        <f t="shared" si="35"/>
        <v>1896.6425030105124</v>
      </c>
      <c r="AW37" s="11">
        <f t="shared" si="36"/>
        <v>2.0653599150524844E-3</v>
      </c>
      <c r="AX37" s="11">
        <f t="shared" si="37"/>
        <v>3.8278171249107636E-7</v>
      </c>
      <c r="AY37" s="41">
        <f t="shared" si="38"/>
        <v>1.1686674078462593</v>
      </c>
      <c r="AZ37" s="41">
        <f t="shared" si="39"/>
        <v>1.5742182169266832</v>
      </c>
      <c r="BA37" s="41">
        <f t="shared" si="40"/>
        <v>0.20478229034020032</v>
      </c>
    </row>
    <row r="38" spans="1:53" ht="14.5">
      <c r="A38" s="41">
        <f t="shared" si="41"/>
        <v>10800</v>
      </c>
      <c r="B38" s="41">
        <f t="shared" si="42"/>
        <v>180</v>
      </c>
      <c r="C38" s="41">
        <f t="shared" si="42"/>
        <v>3</v>
      </c>
      <c r="D38" s="41">
        <f t="shared" si="47"/>
        <v>14539.41</v>
      </c>
      <c r="E38" s="41">
        <f t="shared" ca="1" si="43"/>
        <v>590.45490677345799</v>
      </c>
      <c r="F38" s="41">
        <f t="shared" si="48"/>
        <v>750</v>
      </c>
      <c r="G38" s="41">
        <f t="shared" ca="1" si="44"/>
        <v>590.45490677345799</v>
      </c>
      <c r="H38" s="90">
        <f t="shared" si="2"/>
        <v>7.7160579896259955</v>
      </c>
      <c r="I38" s="7">
        <f t="shared" si="45"/>
        <v>3000</v>
      </c>
      <c r="J38" s="6">
        <v>15</v>
      </c>
      <c r="K38" s="41">
        <f t="shared" si="3"/>
        <v>0.27917792278096465</v>
      </c>
      <c r="L38" s="41">
        <f t="shared" si="4"/>
        <v>316.54827907920748</v>
      </c>
      <c r="M38" s="6">
        <f t="shared" si="49"/>
        <v>175</v>
      </c>
      <c r="N38" s="41">
        <f t="shared" si="5"/>
        <v>187.54979058196517</v>
      </c>
      <c r="O38" s="41">
        <f t="shared" si="6"/>
        <v>103.47743666046591</v>
      </c>
      <c r="P38" s="41">
        <f t="shared" si="7"/>
        <v>1707986.8380710159</v>
      </c>
      <c r="Q38" s="41">
        <f t="shared" si="8"/>
        <v>10966475.67572391</v>
      </c>
      <c r="R38" s="41">
        <f t="shared" si="9"/>
        <v>2.9384116445602508E-3</v>
      </c>
      <c r="S38" s="41">
        <f t="shared" si="10"/>
        <v>2.286447150369296E-2</v>
      </c>
      <c r="T38" s="24">
        <v>0</v>
      </c>
      <c r="U38" s="10">
        <f t="shared" si="11"/>
        <v>0</v>
      </c>
      <c r="V38" s="41">
        <f t="shared" si="12"/>
        <v>0.61090444571389413</v>
      </c>
      <c r="W38" s="41">
        <f t="shared" si="13"/>
        <v>4.643482859266871E-2</v>
      </c>
      <c r="X38" s="41">
        <f t="shared" si="14"/>
        <v>13.156168854908744</v>
      </c>
      <c r="Y38" s="20">
        <f t="shared" si="15"/>
        <v>1105.1401179436177</v>
      </c>
      <c r="Z38" s="41">
        <f t="shared" si="16"/>
        <v>0.60168722169350031</v>
      </c>
      <c r="AA38" s="41">
        <f t="shared" si="17"/>
        <v>170.73279586676327</v>
      </c>
      <c r="AB38" s="14">
        <f t="shared" si="18"/>
        <v>1105.1401179436177</v>
      </c>
      <c r="AC38" s="14">
        <f t="shared" si="19"/>
        <v>5628.3916222821908</v>
      </c>
      <c r="AD38" s="25">
        <f t="shared" si="20"/>
        <v>349830.2024764446</v>
      </c>
      <c r="AE38" s="41">
        <f t="shared" si="21"/>
        <v>1781657.6820172563</v>
      </c>
      <c r="AF38" s="5">
        <f t="shared" si="22"/>
        <v>19.635096349168172</v>
      </c>
      <c r="AG38" s="7">
        <f t="shared" si="23"/>
        <v>1105.1401179436177</v>
      </c>
      <c r="AH38" s="41">
        <f t="shared" si="24"/>
        <v>4523.2515043385729</v>
      </c>
      <c r="AI38" s="41">
        <f t="shared" si="25"/>
        <v>1431827.4795408116</v>
      </c>
      <c r="AJ38" s="41">
        <f t="shared" si="26"/>
        <v>912.59909310282524</v>
      </c>
      <c r="AK38" s="13">
        <f t="shared" si="27"/>
        <v>0</v>
      </c>
      <c r="AL38" s="11"/>
      <c r="AM38" s="6">
        <v>0</v>
      </c>
      <c r="AN38" s="6">
        <v>720</v>
      </c>
      <c r="AO38" s="41">
        <f t="shared" si="28"/>
        <v>182.51981862056505</v>
      </c>
      <c r="AP38" s="41">
        <f t="shared" si="29"/>
        <v>37.509958116393037</v>
      </c>
      <c r="AQ38" s="67">
        <f t="shared" si="30"/>
        <v>0.82577682077177517</v>
      </c>
      <c r="AR38" s="11">
        <f t="shared" si="31"/>
        <v>1.0314301707183759</v>
      </c>
      <c r="AS38" s="11">
        <f t="shared" si="32"/>
        <v>0.8962407041850623</v>
      </c>
      <c r="AT38" s="11">
        <f t="shared" si="33"/>
        <v>0.86893008332386068</v>
      </c>
      <c r="AU38" s="11">
        <f t="shared" si="34"/>
        <v>534.97188664650002</v>
      </c>
      <c r="AV38" s="11">
        <f t="shared" si="35"/>
        <v>1896.6425030105124</v>
      </c>
      <c r="AW38" s="11">
        <f t="shared" si="36"/>
        <v>2.0653599150524844E-3</v>
      </c>
      <c r="AX38" s="11">
        <f t="shared" si="37"/>
        <v>3.8278171249107636E-7</v>
      </c>
      <c r="AY38" s="41">
        <f t="shared" si="38"/>
        <v>1.1756363615320748</v>
      </c>
      <c r="AZ38" s="41">
        <f t="shared" si="39"/>
        <v>1.5836055359975101</v>
      </c>
      <c r="BA38" s="41">
        <f t="shared" si="40"/>
        <v>0.20478229034020032</v>
      </c>
    </row>
    <row r="39" spans="1:53" ht="14.5">
      <c r="A39" s="41">
        <f t="shared" si="41"/>
        <v>11520</v>
      </c>
      <c r="B39" s="41">
        <f t="shared" si="42"/>
        <v>192</v>
      </c>
      <c r="C39" s="41">
        <f t="shared" si="42"/>
        <v>3.2</v>
      </c>
      <c r="D39" s="41">
        <f t="shared" si="47"/>
        <v>14389.41</v>
      </c>
      <c r="E39" s="41">
        <f t="shared" ca="1" si="43"/>
        <v>627.96486488985101</v>
      </c>
      <c r="F39" s="41">
        <f t="shared" si="48"/>
        <v>600</v>
      </c>
      <c r="G39" s="41">
        <f t="shared" ca="1" si="44"/>
        <v>627.96486488985101</v>
      </c>
      <c r="H39" s="90">
        <f t="shared" si="2"/>
        <v>7.8206858529250027</v>
      </c>
      <c r="I39" s="7">
        <f t="shared" si="45"/>
        <v>3000</v>
      </c>
      <c r="J39" s="6">
        <v>15</v>
      </c>
      <c r="K39" s="41">
        <f t="shared" si="3"/>
        <v>0.27917792278096465</v>
      </c>
      <c r="L39" s="41">
        <f t="shared" si="4"/>
        <v>316.54827907920748</v>
      </c>
      <c r="M39" s="6">
        <f t="shared" si="49"/>
        <v>175</v>
      </c>
      <c r="N39" s="41">
        <f t="shared" si="5"/>
        <v>187.54979058196517</v>
      </c>
      <c r="O39" s="41">
        <f t="shared" si="6"/>
        <v>103.47743666046591</v>
      </c>
      <c r="P39" s="41">
        <f t="shared" si="7"/>
        <v>1707986.8380710159</v>
      </c>
      <c r="Q39" s="41">
        <f t="shared" si="8"/>
        <v>10966475.67572391</v>
      </c>
      <c r="R39" s="41">
        <f t="shared" si="9"/>
        <v>2.9384116445602508E-3</v>
      </c>
      <c r="S39" s="41">
        <f t="shared" si="10"/>
        <v>2.286447150369296E-2</v>
      </c>
      <c r="T39" s="24">
        <v>0</v>
      </c>
      <c r="U39" s="10">
        <f t="shared" si="11"/>
        <v>0</v>
      </c>
      <c r="V39" s="41">
        <f t="shared" si="12"/>
        <v>0.60460187450522174</v>
      </c>
      <c r="W39" s="41">
        <f t="shared" si="13"/>
        <v>4.5950996609617246E-2</v>
      </c>
      <c r="X39" s="41">
        <f t="shared" si="14"/>
        <v>13.157535616511144</v>
      </c>
      <c r="Y39" s="20">
        <f t="shared" si="15"/>
        <v>1093.6250084660992</v>
      </c>
      <c r="Z39" s="41">
        <f t="shared" si="16"/>
        <v>0.60168722169350031</v>
      </c>
      <c r="AA39" s="41">
        <f t="shared" si="17"/>
        <v>169.84980558919824</v>
      </c>
      <c r="AB39" s="14">
        <f t="shared" si="18"/>
        <v>1093.6250084660992</v>
      </c>
      <c r="AC39" s="14">
        <f t="shared" si="19"/>
        <v>5628.3916222821908</v>
      </c>
      <c r="AD39" s="25">
        <f t="shared" si="20"/>
        <v>346185.1143879274</v>
      </c>
      <c r="AE39" s="41">
        <f t="shared" si="21"/>
        <v>1781657.6820172563</v>
      </c>
      <c r="AF39" s="5">
        <f t="shared" si="22"/>
        <v>19.430506650186825</v>
      </c>
      <c r="AG39" s="7">
        <f t="shared" si="23"/>
        <v>1093.6250084660992</v>
      </c>
      <c r="AH39" s="41">
        <f t="shared" si="24"/>
        <v>4534.7666138160912</v>
      </c>
      <c r="AI39" s="41">
        <f t="shared" si="25"/>
        <v>1435472.5676293289</v>
      </c>
      <c r="AJ39" s="41">
        <f t="shared" si="26"/>
        <v>903.09018260764105</v>
      </c>
      <c r="AK39" s="13">
        <f t="shared" si="27"/>
        <v>0</v>
      </c>
      <c r="AL39" s="11"/>
      <c r="AM39" s="6">
        <v>0</v>
      </c>
      <c r="AN39" s="6">
        <v>720</v>
      </c>
      <c r="AO39" s="41">
        <f t="shared" si="28"/>
        <v>180.61803652152821</v>
      </c>
      <c r="AP39" s="41">
        <f t="shared" si="29"/>
        <v>37.509958116393037</v>
      </c>
      <c r="AQ39" s="67">
        <f t="shared" si="30"/>
        <v>0.82577682077177517</v>
      </c>
      <c r="AR39" s="11">
        <f t="shared" si="31"/>
        <v>1.0314301707183759</v>
      </c>
      <c r="AS39" s="11">
        <f t="shared" si="32"/>
        <v>0.8962407041850623</v>
      </c>
      <c r="AT39" s="11">
        <f t="shared" si="33"/>
        <v>0.86893008332386068</v>
      </c>
      <c r="AU39" s="11">
        <f t="shared" si="34"/>
        <v>534.97188664650002</v>
      </c>
      <c r="AV39" s="11">
        <f t="shared" si="35"/>
        <v>1896.6425030105124</v>
      </c>
      <c r="AW39" s="11">
        <f t="shared" si="36"/>
        <v>2.0653599150524844E-3</v>
      </c>
      <c r="AX39" s="11">
        <f t="shared" si="37"/>
        <v>3.8278171249107636E-7</v>
      </c>
      <c r="AY39" s="41">
        <f t="shared" si="38"/>
        <v>1.182817938079862</v>
      </c>
      <c r="AZ39" s="41">
        <f t="shared" si="39"/>
        <v>1.5932792622877083</v>
      </c>
      <c r="BA39" s="41">
        <f t="shared" si="40"/>
        <v>0.20478229034020032</v>
      </c>
    </row>
    <row r="40" spans="1:53" ht="14.5">
      <c r="A40" s="41">
        <f t="shared" si="41"/>
        <v>12240</v>
      </c>
      <c r="B40" s="41">
        <f t="shared" ref="B40:C43" si="50">A40/60</f>
        <v>204</v>
      </c>
      <c r="C40" s="41">
        <f t="shared" si="50"/>
        <v>3.4</v>
      </c>
      <c r="D40" s="41">
        <f t="shared" si="47"/>
        <v>14239.41</v>
      </c>
      <c r="E40" s="41">
        <f t="shared" ca="1" si="43"/>
        <v>665.47482300624404</v>
      </c>
      <c r="F40" s="41">
        <f t="shared" si="48"/>
        <v>450</v>
      </c>
      <c r="G40" s="41">
        <f t="shared" ca="1" si="44"/>
        <v>665.47482300624404</v>
      </c>
      <c r="H40" s="90">
        <f t="shared" si="2"/>
        <v>7.9273684700798395</v>
      </c>
      <c r="I40" s="7">
        <f t="shared" si="45"/>
        <v>3000</v>
      </c>
      <c r="J40" s="6">
        <v>15</v>
      </c>
      <c r="K40" s="41">
        <f t="shared" si="3"/>
        <v>0.27917792278096465</v>
      </c>
      <c r="L40" s="41">
        <f t="shared" si="4"/>
        <v>316.54827907920748</v>
      </c>
      <c r="M40" s="6">
        <v>175</v>
      </c>
      <c r="N40" s="41">
        <f t="shared" si="5"/>
        <v>187.54979058196517</v>
      </c>
      <c r="O40" s="41">
        <f t="shared" si="6"/>
        <v>103.47743666046591</v>
      </c>
      <c r="P40" s="41">
        <f t="shared" si="7"/>
        <v>1707986.8380710159</v>
      </c>
      <c r="Q40" s="41">
        <f t="shared" si="8"/>
        <v>10966475.67572391</v>
      </c>
      <c r="R40" s="41">
        <f t="shared" si="9"/>
        <v>2.9384116445602508E-3</v>
      </c>
      <c r="S40" s="41">
        <f t="shared" si="10"/>
        <v>2.286447150369296E-2</v>
      </c>
      <c r="T40" s="24">
        <v>0</v>
      </c>
      <c r="U40" s="10">
        <f t="shared" si="11"/>
        <v>9.148940844651967E-16</v>
      </c>
      <c r="V40" s="41">
        <f t="shared" si="12"/>
        <v>0.59829930329654923</v>
      </c>
      <c r="W40" s="41">
        <f t="shared" si="13"/>
        <v>4.5472182100313945E-2</v>
      </c>
      <c r="X40" s="41">
        <f t="shared" si="14"/>
        <v>13.157479488815174</v>
      </c>
      <c r="Y40" s="20">
        <f t="shared" si="15"/>
        <v>1082.2293139126339</v>
      </c>
      <c r="Z40" s="41">
        <f t="shared" si="16"/>
        <v>0.60168722169350031</v>
      </c>
      <c r="AA40" s="41">
        <f t="shared" si="17"/>
        <v>168.96220089977226</v>
      </c>
      <c r="AB40" s="14">
        <f t="shared" si="18"/>
        <v>1082.2293139126341</v>
      </c>
      <c r="AC40" s="14">
        <f t="shared" si="19"/>
        <v>5628.3916222821908</v>
      </c>
      <c r="AD40" s="25">
        <f t="shared" si="20"/>
        <v>342577.82688811573</v>
      </c>
      <c r="AE40" s="41">
        <f t="shared" si="21"/>
        <v>1781657.6820172563</v>
      </c>
      <c r="AF40" s="5">
        <f t="shared" si="22"/>
        <v>19.228038603927377</v>
      </c>
      <c r="AG40" s="7">
        <f t="shared" si="23"/>
        <v>1082.2293139126341</v>
      </c>
      <c r="AH40" s="41">
        <f t="shared" si="24"/>
        <v>4546.1623083695567</v>
      </c>
      <c r="AI40" s="41">
        <f t="shared" si="25"/>
        <v>1439079.8551291404</v>
      </c>
      <c r="AJ40" s="41">
        <f t="shared" si="26"/>
        <v>893.67988218879441</v>
      </c>
      <c r="AK40" s="13">
        <f t="shared" si="27"/>
        <v>5.0546157228051847E-15</v>
      </c>
      <c r="AL40" s="11"/>
      <c r="AM40" s="6">
        <v>0</v>
      </c>
      <c r="AN40" s="6">
        <v>720</v>
      </c>
      <c r="AO40" s="41">
        <f t="shared" si="28"/>
        <v>178.73597643775889</v>
      </c>
      <c r="AP40" s="41">
        <f t="shared" si="29"/>
        <v>37.509958116393037</v>
      </c>
      <c r="AQ40" s="67">
        <f t="shared" si="30"/>
        <v>0.82577682077177517</v>
      </c>
      <c r="AR40" s="11">
        <f t="shared" si="31"/>
        <v>1.0314301707183759</v>
      </c>
      <c r="AS40" s="11">
        <f t="shared" si="32"/>
        <v>0.8962407041850623</v>
      </c>
      <c r="AT40" s="11">
        <f t="shared" si="33"/>
        <v>0.86893008332386068</v>
      </c>
      <c r="AU40" s="11">
        <f t="shared" si="34"/>
        <v>534.97188664650002</v>
      </c>
      <c r="AV40" s="11">
        <f t="shared" si="35"/>
        <v>1896.6425030105124</v>
      </c>
      <c r="AW40" s="11">
        <f t="shared" si="36"/>
        <v>2.0653599150524844E-3</v>
      </c>
      <c r="AX40" s="11">
        <f t="shared" si="37"/>
        <v>3.8278171249107636E-7</v>
      </c>
      <c r="AY40" s="41">
        <f t="shared" si="38"/>
        <v>1.1902183808517535</v>
      </c>
      <c r="AZ40" s="41">
        <f t="shared" si="39"/>
        <v>1.6032478057301105</v>
      </c>
      <c r="BA40" s="41">
        <f t="shared" si="40"/>
        <v>0.20478229034020032</v>
      </c>
    </row>
    <row r="41" spans="1:53" ht="14.5">
      <c r="A41" s="41">
        <f t="shared" si="41"/>
        <v>12960</v>
      </c>
      <c r="B41" s="41">
        <f t="shared" si="50"/>
        <v>216</v>
      </c>
      <c r="C41" s="41">
        <f t="shared" si="50"/>
        <v>3.6</v>
      </c>
      <c r="D41" s="41">
        <f t="shared" si="47"/>
        <v>14089.41</v>
      </c>
      <c r="E41" s="41">
        <f t="shared" ca="1" si="43"/>
        <v>702.98478112263706</v>
      </c>
      <c r="F41" s="41">
        <f t="shared" si="48"/>
        <v>300</v>
      </c>
      <c r="G41" s="41">
        <f t="shared" ca="1" si="44"/>
        <v>702.98478112263706</v>
      </c>
      <c r="H41" s="90">
        <f t="shared" si="2"/>
        <v>8.036168313144433</v>
      </c>
      <c r="I41" s="7">
        <f t="shared" si="45"/>
        <v>3000</v>
      </c>
      <c r="J41" s="6">
        <v>15</v>
      </c>
      <c r="K41" s="41">
        <f t="shared" si="3"/>
        <v>0.27917792278096465</v>
      </c>
      <c r="L41" s="41">
        <f t="shared" si="4"/>
        <v>316.54827907920748</v>
      </c>
      <c r="M41" s="6">
        <f t="shared" si="49"/>
        <v>175</v>
      </c>
      <c r="N41" s="41">
        <f t="shared" si="5"/>
        <v>187.54979058196517</v>
      </c>
      <c r="O41" s="41">
        <f t="shared" si="6"/>
        <v>103.47743666046591</v>
      </c>
      <c r="P41" s="41">
        <f t="shared" si="7"/>
        <v>1707986.8380710159</v>
      </c>
      <c r="Q41" s="41">
        <f t="shared" si="8"/>
        <v>10966475.67572391</v>
      </c>
      <c r="R41" s="41">
        <f t="shared" si="9"/>
        <v>2.9384116445602508E-3</v>
      </c>
      <c r="S41" s="41">
        <f t="shared" si="10"/>
        <v>2.286447150369296E-2</v>
      </c>
      <c r="T41" s="24">
        <v>0</v>
      </c>
      <c r="U41" s="10">
        <f t="shared" si="11"/>
        <v>0</v>
      </c>
      <c r="V41" s="41">
        <f t="shared" si="12"/>
        <v>0.59199673208787684</v>
      </c>
      <c r="W41" s="41">
        <f t="shared" si="13"/>
        <v>4.4998385064758818E-2</v>
      </c>
      <c r="X41" s="41">
        <f t="shared" si="14"/>
        <v>13.155955068963314</v>
      </c>
      <c r="Y41" s="20">
        <f t="shared" si="15"/>
        <v>1070.9530342832222</v>
      </c>
      <c r="Z41" s="41">
        <f t="shared" si="16"/>
        <v>0.60168722169350031</v>
      </c>
      <c r="AA41" s="41">
        <f t="shared" si="17"/>
        <v>168.06990869010897</v>
      </c>
      <c r="AB41" s="14">
        <f t="shared" si="18"/>
        <v>1070.9530342832222</v>
      </c>
      <c r="AC41" s="14">
        <f t="shared" si="19"/>
        <v>5628.3916222821908</v>
      </c>
      <c r="AD41" s="25">
        <f t="shared" si="20"/>
        <v>339008.33997700945</v>
      </c>
      <c r="AE41" s="41">
        <f t="shared" si="21"/>
        <v>1781657.6820172563</v>
      </c>
      <c r="AF41" s="5">
        <f t="shared" si="22"/>
        <v>19.02769221038983</v>
      </c>
      <c r="AG41" s="7">
        <f t="shared" si="23"/>
        <v>1070.9530342832222</v>
      </c>
      <c r="AH41" s="41">
        <f t="shared" si="24"/>
        <v>4557.4385879989686</v>
      </c>
      <c r="AI41" s="41">
        <f t="shared" si="25"/>
        <v>1442649.3420402468</v>
      </c>
      <c r="AJ41" s="41">
        <f t="shared" si="26"/>
        <v>884.36819184628519</v>
      </c>
      <c r="AK41" s="13">
        <f t="shared" si="27"/>
        <v>0</v>
      </c>
      <c r="AL41" s="11"/>
      <c r="AM41" s="6">
        <v>0</v>
      </c>
      <c r="AN41" s="6">
        <v>720</v>
      </c>
      <c r="AO41" s="41">
        <f t="shared" si="28"/>
        <v>176.87363836925704</v>
      </c>
      <c r="AP41" s="41">
        <f t="shared" si="29"/>
        <v>37.509958116393037</v>
      </c>
      <c r="AQ41" s="67">
        <f t="shared" si="30"/>
        <v>0.82577682077177517</v>
      </c>
      <c r="AR41" s="11">
        <f t="shared" si="31"/>
        <v>1.0314301707183759</v>
      </c>
      <c r="AS41" s="11">
        <f t="shared" si="32"/>
        <v>0.8962407041850623</v>
      </c>
      <c r="AT41" s="11">
        <f t="shared" si="33"/>
        <v>0.86893008332386068</v>
      </c>
      <c r="AU41" s="11">
        <f t="shared" si="34"/>
        <v>534.97188664650002</v>
      </c>
      <c r="AV41" s="11">
        <f t="shared" si="35"/>
        <v>1896.6425030105124</v>
      </c>
      <c r="AW41" s="11">
        <f t="shared" si="36"/>
        <v>2.0653599150524844E-3</v>
      </c>
      <c r="AX41" s="11">
        <f t="shared" si="37"/>
        <v>3.8278171249107636E-7</v>
      </c>
      <c r="AY41" s="41">
        <f t="shared" si="38"/>
        <v>1.1978442051506641</v>
      </c>
      <c r="AZ41" s="41">
        <f t="shared" si="39"/>
        <v>1.613519942567186</v>
      </c>
      <c r="BA41" s="41">
        <f t="shared" si="40"/>
        <v>0.20478229034020032</v>
      </c>
    </row>
    <row r="42" spans="1:53" ht="14.5">
      <c r="A42" s="41">
        <f t="shared" si="41"/>
        <v>13680</v>
      </c>
      <c r="B42" s="41">
        <f t="shared" si="50"/>
        <v>228</v>
      </c>
      <c r="C42" s="41">
        <f t="shared" si="50"/>
        <v>3.8</v>
      </c>
      <c r="D42" s="41">
        <f t="shared" si="47"/>
        <v>13939.41</v>
      </c>
      <c r="E42" s="41">
        <f t="shared" ca="1" si="43"/>
        <v>740.49473923903008</v>
      </c>
      <c r="F42" s="41">
        <f t="shared" si="48"/>
        <v>150</v>
      </c>
      <c r="G42" s="41">
        <f t="shared" ca="1" si="44"/>
        <v>740.49473923903008</v>
      </c>
      <c r="H42" s="90">
        <f t="shared" si="2"/>
        <v>8.1477832886186263</v>
      </c>
      <c r="I42" s="7">
        <f t="shared" si="45"/>
        <v>3000</v>
      </c>
      <c r="J42" s="6">
        <v>15</v>
      </c>
      <c r="K42" s="41">
        <f t="shared" si="3"/>
        <v>0.27121620748008923</v>
      </c>
      <c r="L42" s="41">
        <f t="shared" si="4"/>
        <v>307.52081998822473</v>
      </c>
      <c r="M42" s="6">
        <v>170</v>
      </c>
      <c r="N42" s="41">
        <f t="shared" si="5"/>
        <v>182.20116550990335</v>
      </c>
      <c r="O42" s="41">
        <f t="shared" si="6"/>
        <v>97.659567417980185</v>
      </c>
      <c r="P42" s="41">
        <f t="shared" si="7"/>
        <v>1659277.739561701</v>
      </c>
      <c r="Q42" s="41">
        <f t="shared" si="8"/>
        <v>10653729.036181813</v>
      </c>
      <c r="R42" s="41">
        <f t="shared" si="9"/>
        <v>2.9531840627375476E-3</v>
      </c>
      <c r="S42" s="41">
        <f t="shared" si="10"/>
        <v>2.2954282420436872E-2</v>
      </c>
      <c r="T42" s="24">
        <v>0</v>
      </c>
      <c r="U42" s="10">
        <f t="shared" si="11"/>
        <v>0</v>
      </c>
      <c r="V42" s="41">
        <f t="shared" si="12"/>
        <v>0.62058569413266074</v>
      </c>
      <c r="W42" s="41">
        <f t="shared" si="13"/>
        <v>4.7277616827156928E-2</v>
      </c>
      <c r="X42" s="41">
        <f t="shared" si="14"/>
        <v>13.126416595859112</v>
      </c>
      <c r="Y42" s="20">
        <f t="shared" si="15"/>
        <v>1061.9356698154284</v>
      </c>
      <c r="Z42" s="41">
        <f t="shared" si="16"/>
        <v>0.60286776767643491</v>
      </c>
      <c r="AA42" s="41">
        <f t="shared" si="17"/>
        <v>167.17285390071004</v>
      </c>
      <c r="AB42" s="14">
        <f t="shared" si="18"/>
        <v>1061.9356698154284</v>
      </c>
      <c r="AC42" s="14">
        <f t="shared" si="19"/>
        <v>5628.3916222821908</v>
      </c>
      <c r="AD42" s="25">
        <f t="shared" si="20"/>
        <v>326567.32795638521</v>
      </c>
      <c r="AE42" s="41">
        <f t="shared" si="21"/>
        <v>1730847.6068990738</v>
      </c>
      <c r="AF42" s="5">
        <f t="shared" si="22"/>
        <v>18.867480109439089</v>
      </c>
      <c r="AG42" s="7">
        <f t="shared" si="23"/>
        <v>1061.9356698154284</v>
      </c>
      <c r="AH42" s="41">
        <f t="shared" si="24"/>
        <v>4566.455952466762</v>
      </c>
      <c r="AI42" s="41">
        <f t="shared" si="25"/>
        <v>1404280.2789426886</v>
      </c>
      <c r="AJ42" s="41">
        <f t="shared" si="26"/>
        <v>875.0872149174503</v>
      </c>
      <c r="AK42" s="13">
        <f t="shared" si="27"/>
        <v>0</v>
      </c>
      <c r="AL42" s="11"/>
      <c r="AM42" s="6">
        <v>0</v>
      </c>
      <c r="AN42" s="6">
        <v>720</v>
      </c>
      <c r="AO42" s="41">
        <f t="shared" si="28"/>
        <v>175.01744298349007</v>
      </c>
      <c r="AP42" s="41">
        <f t="shared" si="29"/>
        <v>36.440233101980674</v>
      </c>
      <c r="AQ42" s="67">
        <f t="shared" si="30"/>
        <v>0.82404917716865689</v>
      </c>
      <c r="AR42" s="11">
        <f t="shared" si="31"/>
        <v>1.0314301707183759</v>
      </c>
      <c r="AS42" s="11">
        <f t="shared" si="32"/>
        <v>0.8962407041850623</v>
      </c>
      <c r="AT42" s="11">
        <f t="shared" si="33"/>
        <v>0.86893008332386068</v>
      </c>
      <c r="AU42" s="11">
        <f t="shared" si="34"/>
        <v>534.97188664650002</v>
      </c>
      <c r="AV42" s="11">
        <f t="shared" si="35"/>
        <v>1896.6425030105124</v>
      </c>
      <c r="AW42" s="11">
        <f t="shared" si="36"/>
        <v>2.0653599150524844E-3</v>
      </c>
      <c r="AX42" s="11">
        <f t="shared" si="37"/>
        <v>3.8278171249107636E-7</v>
      </c>
      <c r="AY42" s="41">
        <f t="shared" si="38"/>
        <v>1.1650169468458382</v>
      </c>
      <c r="AZ42" s="41">
        <f t="shared" si="39"/>
        <v>1.5693009734334007</v>
      </c>
      <c r="BA42" s="41">
        <f t="shared" si="40"/>
        <v>0.19927872098950208</v>
      </c>
    </row>
    <row r="43" spans="1:53" ht="14.5">
      <c r="A43" s="41">
        <f t="shared" si="41"/>
        <v>14400</v>
      </c>
      <c r="B43" s="41">
        <f t="shared" si="50"/>
        <v>240</v>
      </c>
      <c r="C43" s="41">
        <f t="shared" si="50"/>
        <v>4</v>
      </c>
      <c r="D43" s="41">
        <f t="shared" si="47"/>
        <v>13789.41</v>
      </c>
      <c r="E43" s="41">
        <f t="shared" ca="1" si="43"/>
        <v>776.93497234101073</v>
      </c>
      <c r="F43" s="41">
        <f t="shared" si="48"/>
        <v>0</v>
      </c>
      <c r="G43" s="41">
        <f t="shared" ca="1" si="44"/>
        <v>776.93497234101073</v>
      </c>
      <c r="H43" s="90">
        <f t="shared" si="2"/>
        <v>8.2660240817500785</v>
      </c>
      <c r="I43" s="7">
        <f t="shared" si="45"/>
        <v>3000</v>
      </c>
      <c r="J43" s="6">
        <v>15</v>
      </c>
      <c r="K43" s="41">
        <f t="shared" si="3"/>
        <v>0.27121620748008923</v>
      </c>
      <c r="L43" s="41">
        <f t="shared" si="4"/>
        <v>307.52081998822473</v>
      </c>
      <c r="M43" s="6">
        <f t="shared" si="49"/>
        <v>170</v>
      </c>
      <c r="N43" s="41">
        <f t="shared" si="5"/>
        <v>182.20116550990335</v>
      </c>
      <c r="O43" s="41">
        <f t="shared" si="6"/>
        <v>97.659567417980185</v>
      </c>
      <c r="P43" s="41">
        <f t="shared" si="7"/>
        <v>1659277.739561701</v>
      </c>
      <c r="Q43" s="41">
        <f t="shared" si="8"/>
        <v>10653729.036181813</v>
      </c>
      <c r="R43" s="41">
        <f t="shared" si="9"/>
        <v>2.9531840627375476E-3</v>
      </c>
      <c r="S43" s="41">
        <f t="shared" si="10"/>
        <v>2.2954282420436872E-2</v>
      </c>
      <c r="T43" s="24">
        <v>0</v>
      </c>
      <c r="U43" s="10">
        <f t="shared" si="11"/>
        <v>0</v>
      </c>
      <c r="V43" s="41">
        <f t="shared" si="12"/>
        <v>0.61390766011831577</v>
      </c>
      <c r="W43" s="41">
        <f t="shared" si="13"/>
        <v>4.675695351838631E-2</v>
      </c>
      <c r="X43" s="41">
        <f t="shared" si="14"/>
        <v>13.129761755690689</v>
      </c>
      <c r="Y43" s="20">
        <f t="shared" si="15"/>
        <v>1050.2406865092892</v>
      </c>
      <c r="Z43" s="41">
        <f t="shared" si="16"/>
        <v>0.60286776767643491</v>
      </c>
      <c r="AA43" s="41">
        <f t="shared" si="17"/>
        <v>166.27095944726699</v>
      </c>
      <c r="AB43" s="14">
        <f t="shared" si="18"/>
        <v>1050.2406865092892</v>
      </c>
      <c r="AC43" s="14">
        <f t="shared" si="19"/>
        <v>5628.3916222821908</v>
      </c>
      <c r="AD43" s="25">
        <f t="shared" si="20"/>
        <v>322970.8771003327</v>
      </c>
      <c r="AE43" s="41">
        <f t="shared" si="21"/>
        <v>1730847.6068990738</v>
      </c>
      <c r="AF43" s="5">
        <f t="shared" si="22"/>
        <v>18.659694580446402</v>
      </c>
      <c r="AG43" s="7">
        <f t="shared" si="23"/>
        <v>1050.2406865092892</v>
      </c>
      <c r="AH43" s="41">
        <f t="shared" si="24"/>
        <v>4578.1509357729019</v>
      </c>
      <c r="AI43" s="41">
        <f t="shared" si="25"/>
        <v>1407876.7297987412</v>
      </c>
      <c r="AJ43" s="41">
        <f t="shared" si="26"/>
        <v>865.44997354702502</v>
      </c>
      <c r="AK43" s="13">
        <f t="shared" si="27"/>
        <v>0</v>
      </c>
      <c r="AL43" s="11"/>
      <c r="AM43" s="6">
        <v>0</v>
      </c>
      <c r="AN43" s="6">
        <v>0</v>
      </c>
      <c r="AO43" s="41">
        <f t="shared" si="28"/>
        <v>0</v>
      </c>
      <c r="AP43" s="41">
        <f t="shared" si="29"/>
        <v>0</v>
      </c>
      <c r="AQ43" s="67">
        <f t="shared" si="30"/>
        <v>0.82404917716865689</v>
      </c>
      <c r="AR43" s="11">
        <f t="shared" si="31"/>
        <v>1.0314301707183759</v>
      </c>
      <c r="AS43" s="11">
        <f t="shared" si="32"/>
        <v>0.8962407041850623</v>
      </c>
      <c r="AT43" s="11">
        <f t="shared" si="33"/>
        <v>0.86893008332386068</v>
      </c>
      <c r="AU43" s="11">
        <f t="shared" si="34"/>
        <v>534.97188664650002</v>
      </c>
      <c r="AV43" s="11">
        <f t="shared" si="35"/>
        <v>1896.6425030105124</v>
      </c>
      <c r="AW43" s="11">
        <f t="shared" si="36"/>
        <v>2.0653599150524844E-3</v>
      </c>
      <c r="AX43" s="11">
        <f t="shared" si="37"/>
        <v>3.8278171249107636E-7</v>
      </c>
      <c r="AY43" s="41">
        <f t="shared" si="38"/>
        <v>1.1722894658350382</v>
      </c>
      <c r="AZ43" s="41">
        <f t="shared" si="39"/>
        <v>1.5790972009989854</v>
      </c>
      <c r="BA43" s="41">
        <f t="shared" si="40"/>
        <v>0.19927872098950208</v>
      </c>
    </row>
    <row r="44" spans="1:53" ht="14.5">
      <c r="B44" s="135">
        <f>B43-B23</f>
        <v>240</v>
      </c>
      <c r="D44" s="135">
        <f>D23-D43</f>
        <v>3000</v>
      </c>
      <c r="X44" s="32">
        <f ca="1">AVERAGE(Y23:Y43)</f>
        <v>1159.5353923657601</v>
      </c>
      <c r="AC44" s="3"/>
      <c r="AD44" s="3"/>
      <c r="AN44" s="32">
        <f ca="1">SUM(AO23:AO43)</f>
        <v>3858.679934549104</v>
      </c>
      <c r="AP44" s="67"/>
    </row>
    <row r="45" spans="1:53" ht="14.5">
      <c r="G45" s="149">
        <v>0</v>
      </c>
      <c r="H45" s="149">
        <f>H43</f>
        <v>8.2660240817500785</v>
      </c>
      <c r="AC45" s="3"/>
      <c r="AD45" s="3"/>
      <c r="AP45" s="53"/>
    </row>
    <row r="46" spans="1:53" ht="14.5">
      <c r="G46" s="149">
        <f>G45+150</f>
        <v>150</v>
      </c>
      <c r="H46" s="164">
        <f>H42</f>
        <v>8.1477832886186263</v>
      </c>
      <c r="AC46" s="3"/>
      <c r="AD46" s="3"/>
      <c r="AP46" s="53"/>
    </row>
    <row r="47" spans="1:53" ht="14.5">
      <c r="G47" s="164">
        <f t="shared" ref="G47:G65" si="51">G46+150</f>
        <v>300</v>
      </c>
      <c r="H47" s="164">
        <f>H41</f>
        <v>8.036168313144433</v>
      </c>
      <c r="AC47" s="3"/>
      <c r="AD47" s="3"/>
      <c r="AP47" s="53"/>
    </row>
    <row r="48" spans="1:53" ht="14.5">
      <c r="G48" s="164">
        <f t="shared" si="51"/>
        <v>450</v>
      </c>
      <c r="H48" s="164">
        <f>H40</f>
        <v>7.9273684700798395</v>
      </c>
      <c r="AC48" s="3"/>
      <c r="AD48" s="3"/>
      <c r="AP48" s="53"/>
    </row>
    <row r="49" spans="7:42" ht="14.5">
      <c r="G49" s="164">
        <f t="shared" si="51"/>
        <v>600</v>
      </c>
      <c r="H49" s="164">
        <f>H39</f>
        <v>7.8206858529250027</v>
      </c>
      <c r="AC49" s="3"/>
      <c r="AD49" s="3"/>
      <c r="AP49" s="53"/>
    </row>
    <row r="50" spans="7:42" ht="14.5">
      <c r="G50" s="164">
        <f t="shared" si="51"/>
        <v>750</v>
      </c>
      <c r="H50" s="164">
        <f>H38</f>
        <v>7.7160579896259955</v>
      </c>
      <c r="AC50" s="3"/>
      <c r="AD50" s="3"/>
      <c r="AP50" s="53"/>
    </row>
    <row r="51" spans="7:42" ht="14.5">
      <c r="G51" s="164">
        <f t="shared" si="51"/>
        <v>900</v>
      </c>
      <c r="H51" s="164">
        <f>H37</f>
        <v>7.6134254713881058</v>
      </c>
      <c r="AC51" s="3"/>
      <c r="AD51" s="3"/>
      <c r="AP51" s="53"/>
    </row>
    <row r="52" spans="7:42" ht="14.5">
      <c r="G52" s="164">
        <f t="shared" si="51"/>
        <v>1050</v>
      </c>
      <c r="H52" s="164">
        <f>H36</f>
        <v>7.5148187387921768</v>
      </c>
      <c r="AC52" s="3"/>
      <c r="AD52" s="3"/>
      <c r="AP52" s="53"/>
    </row>
    <row r="53" spans="7:42" ht="14.5">
      <c r="G53" s="164">
        <f t="shared" si="51"/>
        <v>1200</v>
      </c>
      <c r="H53" s="164">
        <f>H35</f>
        <v>7.4200333365226072</v>
      </c>
      <c r="AC53" s="3"/>
      <c r="AD53" s="3"/>
      <c r="AP53" s="53"/>
    </row>
    <row r="54" spans="7:42" ht="14.5">
      <c r="G54" s="164">
        <f t="shared" si="51"/>
        <v>1350</v>
      </c>
      <c r="H54" s="164">
        <f>H34</f>
        <v>7.3269367076520764</v>
      </c>
      <c r="AC54" s="3"/>
      <c r="AD54" s="3"/>
      <c r="AP54" s="53"/>
    </row>
    <row r="55" spans="7:42" ht="14.5">
      <c r="G55" s="164">
        <f t="shared" si="51"/>
        <v>1500</v>
      </c>
      <c r="H55" s="164">
        <f>H33</f>
        <v>7.2354840815361792</v>
      </c>
      <c r="AC55" s="3"/>
      <c r="AD55" s="3"/>
      <c r="AP55" s="53"/>
    </row>
    <row r="56" spans="7:42" ht="14.5">
      <c r="G56" s="164">
        <f t="shared" si="51"/>
        <v>1650</v>
      </c>
      <c r="H56" s="164">
        <f>H32</f>
        <v>7.1456326803296886</v>
      </c>
      <c r="AC56" s="3"/>
      <c r="AD56" s="3"/>
      <c r="AP56" s="53"/>
    </row>
    <row r="57" spans="7:42" ht="14.5">
      <c r="G57" s="164">
        <f t="shared" si="51"/>
        <v>1800</v>
      </c>
      <c r="H57" s="164">
        <f ca="1">H31</f>
        <v>7.0573415833360889</v>
      </c>
      <c r="AC57" s="3"/>
      <c r="AD57" s="3"/>
      <c r="AP57" s="53"/>
    </row>
    <row r="58" spans="7:42" ht="14.5">
      <c r="G58" s="164">
        <f t="shared" si="51"/>
        <v>1950</v>
      </c>
      <c r="H58" s="164">
        <f ca="1">H30</f>
        <v>6.9740704725441383</v>
      </c>
      <c r="AC58" s="3"/>
      <c r="AD58" s="3"/>
      <c r="AP58" s="53"/>
    </row>
    <row r="59" spans="7:42" ht="14.5">
      <c r="G59" s="164">
        <f t="shared" si="51"/>
        <v>2100</v>
      </c>
      <c r="H59" s="164">
        <f ca="1">H29</f>
        <v>6.8921915602977597</v>
      </c>
      <c r="AC59" s="3"/>
      <c r="AD59" s="3"/>
      <c r="AP59" s="53"/>
    </row>
    <row r="60" spans="7:42" ht="14.5">
      <c r="G60" s="164">
        <f t="shared" si="51"/>
        <v>2250</v>
      </c>
      <c r="H60" s="164">
        <f ca="1">H28</f>
        <v>6.8116450220174105</v>
      </c>
      <c r="AC60" s="3"/>
      <c r="AD60" s="3"/>
      <c r="AP60" s="53"/>
    </row>
    <row r="61" spans="7:42" ht="14.5">
      <c r="G61" s="164">
        <f t="shared" si="51"/>
        <v>2400</v>
      </c>
      <c r="H61" s="164">
        <f ca="1">H27</f>
        <v>6.7323994905759266</v>
      </c>
      <c r="AC61" s="3"/>
      <c r="AD61" s="3"/>
      <c r="AP61" s="53"/>
    </row>
    <row r="62" spans="7:42" ht="14.5">
      <c r="G62" s="164">
        <f t="shared" si="51"/>
        <v>2550</v>
      </c>
      <c r="H62" s="164">
        <f ca="1">H26</f>
        <v>6.652342983153372</v>
      </c>
      <c r="AC62" s="3"/>
      <c r="AD62" s="3"/>
      <c r="AP62" s="53"/>
    </row>
    <row r="63" spans="7:42" ht="14.5">
      <c r="G63" s="164">
        <f t="shared" si="51"/>
        <v>2700</v>
      </c>
      <c r="H63" s="164">
        <f ca="1">H25</f>
        <v>6.5787231615401396</v>
      </c>
      <c r="AC63" s="3"/>
      <c r="AD63" s="3"/>
      <c r="AP63" s="53"/>
    </row>
    <row r="64" spans="7:42" ht="14.5">
      <c r="G64" s="164">
        <f t="shared" si="51"/>
        <v>2850</v>
      </c>
      <c r="H64" s="164">
        <f ca="1">H24</f>
        <v>6.5062194027524276</v>
      </c>
      <c r="AC64" s="3"/>
      <c r="AD64" s="3"/>
      <c r="AP64" s="53"/>
    </row>
    <row r="65" spans="7:42" ht="14.5">
      <c r="G65" s="164">
        <f t="shared" si="51"/>
        <v>3000</v>
      </c>
      <c r="H65" s="164">
        <f ca="1">H23</f>
        <v>6.4348074447548802</v>
      </c>
      <c r="AC65" s="3"/>
      <c r="AD65" s="3"/>
      <c r="AP65" s="53"/>
    </row>
    <row r="66" spans="7:42" ht="14.5">
      <c r="H66" s="164"/>
      <c r="AC66" s="3"/>
      <c r="AD66" s="3"/>
      <c r="AP66" s="53"/>
    </row>
    <row r="67" spans="7:42" ht="14.5">
      <c r="AC67" s="3"/>
      <c r="AD67" s="3"/>
      <c r="AP67" s="53"/>
    </row>
    <row r="68" spans="7:42" ht="14.5">
      <c r="AC68" s="3"/>
      <c r="AD68" s="3"/>
      <c r="AP68" s="53"/>
    </row>
    <row r="69" spans="7:42" ht="14.5">
      <c r="AC69" s="3"/>
      <c r="AD69" s="3"/>
      <c r="AP69" s="53"/>
    </row>
    <row r="70" spans="7:42" ht="14.5">
      <c r="AC70" s="3"/>
      <c r="AD70" s="3"/>
      <c r="AP70" s="53"/>
    </row>
    <row r="71" spans="7:42" ht="14.5">
      <c r="AC71" s="3"/>
      <c r="AD71" s="3"/>
      <c r="AP71" s="53"/>
    </row>
    <row r="72" spans="7:42" ht="14.5">
      <c r="AC72" s="3"/>
      <c r="AD72" s="3"/>
      <c r="AP72" s="53"/>
    </row>
    <row r="73" spans="7:42" ht="14.5">
      <c r="AC73" s="3"/>
      <c r="AD73" s="3"/>
      <c r="AP73" s="53"/>
    </row>
    <row r="74" spans="7:42" ht="14.5">
      <c r="AC74" s="3"/>
      <c r="AD74" s="3"/>
      <c r="AP74" s="53"/>
    </row>
    <row r="75" spans="7:42" ht="14.5">
      <c r="AC75" s="3"/>
      <c r="AD75" s="3"/>
      <c r="AP75" s="53"/>
    </row>
    <row r="76" spans="7:42" ht="14.5">
      <c r="AC76" s="3"/>
      <c r="AD76" s="3"/>
      <c r="AP76" s="53"/>
    </row>
    <row r="77" spans="7:42" ht="14.5">
      <c r="AC77" s="3"/>
      <c r="AD77" s="3"/>
      <c r="AP77" s="53"/>
    </row>
    <row r="78" spans="7:42" ht="14.5">
      <c r="AC78" s="3"/>
      <c r="AD78" s="3"/>
      <c r="AP78" s="53"/>
    </row>
    <row r="79" spans="7:42" ht="14.5">
      <c r="AC79" s="3"/>
      <c r="AD79" s="3"/>
      <c r="AP79" s="53"/>
    </row>
    <row r="80" spans="7:42" ht="14.5">
      <c r="AC80" s="3"/>
      <c r="AD80" s="3"/>
      <c r="AP80" s="53"/>
    </row>
    <row r="81" spans="29:42" ht="14.5">
      <c r="AC81" s="3"/>
      <c r="AD81" s="3"/>
      <c r="AP81" s="53"/>
    </row>
    <row r="82" spans="29:42" ht="14.5">
      <c r="AC82" s="3"/>
      <c r="AD82" s="3"/>
      <c r="AP82" s="53"/>
    </row>
    <row r="83" spans="29:42" ht="14.5">
      <c r="AC83" s="3"/>
      <c r="AD83" s="3"/>
      <c r="AP83" s="53"/>
    </row>
    <row r="84" spans="29:42" ht="14.5">
      <c r="AC84" s="3"/>
      <c r="AD84" s="3"/>
      <c r="AP84" s="53"/>
    </row>
    <row r="85" spans="29:42" ht="14.5">
      <c r="AC85" s="3"/>
      <c r="AD85" s="3"/>
      <c r="AP85" s="53"/>
    </row>
    <row r="86" spans="29:42" ht="14.5">
      <c r="AC86" s="3"/>
      <c r="AD86" s="3"/>
      <c r="AP86" s="53"/>
    </row>
    <row r="87" spans="29:42" ht="14.5">
      <c r="AC87" s="3"/>
      <c r="AD87" s="3"/>
      <c r="AP87" s="53"/>
    </row>
    <row r="88" spans="29:42" ht="14.5">
      <c r="AC88" s="3"/>
      <c r="AD88" s="3"/>
      <c r="AP88" s="53"/>
    </row>
    <row r="89" spans="29:42" ht="14.5">
      <c r="AC89" s="3"/>
      <c r="AD89" s="3"/>
      <c r="AP89" s="53"/>
    </row>
    <row r="90" spans="29:42" ht="14.5">
      <c r="AC90" s="3"/>
      <c r="AD90" s="3"/>
      <c r="AP90" s="53"/>
    </row>
    <row r="91" spans="29:42" ht="14.5">
      <c r="AC91" s="3"/>
      <c r="AD91" s="3"/>
      <c r="AP91" s="53"/>
    </row>
    <row r="92" spans="29:42" ht="14.5">
      <c r="AC92" s="3"/>
      <c r="AD92" s="3"/>
      <c r="AP92" s="53"/>
    </row>
    <row r="93" spans="29:42" ht="14.5">
      <c r="AC93" s="3"/>
      <c r="AD93" s="3"/>
      <c r="AP93" s="53"/>
    </row>
    <row r="94" spans="29:42" ht="14.5">
      <c r="AC94" s="3"/>
      <c r="AD94" s="3"/>
      <c r="AP94" s="53"/>
    </row>
    <row r="95" spans="29:42" ht="14.5">
      <c r="AC95" s="3"/>
      <c r="AD95" s="3"/>
      <c r="AP95" s="53"/>
    </row>
    <row r="96" spans="29:42" ht="14.5">
      <c r="AC96" s="3"/>
      <c r="AD96" s="3"/>
      <c r="AP96" s="53"/>
    </row>
    <row r="97" spans="29:42" ht="14.5">
      <c r="AC97" s="3"/>
      <c r="AD97" s="3"/>
      <c r="AP97" s="53"/>
    </row>
    <row r="98" spans="29:42" ht="14.5">
      <c r="AC98" s="3"/>
      <c r="AD98" s="3"/>
      <c r="AP98" s="53"/>
    </row>
    <row r="99" spans="29:42" ht="14.5">
      <c r="AC99" s="3"/>
      <c r="AD99" s="3"/>
      <c r="AP99" s="53"/>
    </row>
    <row r="100" spans="29:42" ht="14.5">
      <c r="AC100" s="3"/>
      <c r="AD100" s="3"/>
      <c r="AP100" s="53"/>
    </row>
    <row r="101" spans="29:42" ht="14.5">
      <c r="AC101" s="3"/>
      <c r="AD101" s="3"/>
      <c r="AP101" s="53"/>
    </row>
    <row r="102" spans="29:42" ht="14.5">
      <c r="AC102" s="3"/>
      <c r="AD102" s="3"/>
      <c r="AP102" s="53"/>
    </row>
    <row r="103" spans="29:42" ht="14.5">
      <c r="AC103" s="3"/>
      <c r="AD103" s="3"/>
      <c r="AP103" s="53"/>
    </row>
    <row r="104" spans="29:42" ht="14.5">
      <c r="AC104" s="3"/>
      <c r="AD104" s="3"/>
      <c r="AP104" s="53"/>
    </row>
    <row r="105" spans="29:42" ht="14.5">
      <c r="AC105" s="3"/>
      <c r="AD105" s="3"/>
      <c r="AP105" s="53"/>
    </row>
    <row r="106" spans="29:42" ht="14.5">
      <c r="AC106" s="3"/>
      <c r="AD106" s="3"/>
      <c r="AP106" s="53"/>
    </row>
    <row r="107" spans="29:42" ht="14.5">
      <c r="AC107" s="3"/>
      <c r="AD107" s="3"/>
      <c r="AP107" s="53"/>
    </row>
    <row r="108" spans="29:42" ht="14.5">
      <c r="AC108" s="3"/>
      <c r="AD108" s="3"/>
      <c r="AP108" s="53"/>
    </row>
    <row r="109" spans="29:42" ht="14.5">
      <c r="AC109" s="3"/>
      <c r="AD109" s="3"/>
      <c r="AP109" s="53"/>
    </row>
    <row r="110" spans="29:42" ht="14.5">
      <c r="AC110" s="3"/>
      <c r="AD110" s="3"/>
      <c r="AP110" s="53"/>
    </row>
    <row r="111" spans="29:42" ht="14.5">
      <c r="AC111" s="3"/>
      <c r="AD111" s="3"/>
      <c r="AP111" s="53"/>
    </row>
    <row r="112" spans="29:42" ht="14.5">
      <c r="AC112" s="3"/>
      <c r="AD112" s="3"/>
      <c r="AP112" s="53"/>
    </row>
    <row r="113" spans="29:42" ht="14.5">
      <c r="AC113" s="3"/>
      <c r="AD113" s="3"/>
      <c r="AP113" s="53"/>
    </row>
    <row r="114" spans="29:42" ht="14.5">
      <c r="AC114" s="3"/>
      <c r="AD114" s="3"/>
      <c r="AP114" s="53"/>
    </row>
    <row r="115" spans="29:42" ht="14.5">
      <c r="AC115" s="3"/>
      <c r="AD115" s="3"/>
      <c r="AP115" s="53"/>
    </row>
    <row r="116" spans="29:42" ht="14.5">
      <c r="AC116" s="3"/>
      <c r="AD116" s="3"/>
      <c r="AP116" s="53"/>
    </row>
    <row r="117" spans="29:42" ht="14.5">
      <c r="AC117" s="3"/>
      <c r="AD117" s="3"/>
      <c r="AP117" s="53"/>
    </row>
    <row r="118" spans="29:42" ht="14.5">
      <c r="AC118" s="3"/>
      <c r="AD118" s="3"/>
      <c r="AP118" s="53"/>
    </row>
    <row r="119" spans="29:42" ht="14.5">
      <c r="AC119" s="3"/>
      <c r="AD119" s="3"/>
      <c r="AP119" s="53"/>
    </row>
    <row r="120" spans="29:42" ht="14.5">
      <c r="AC120" s="3"/>
      <c r="AD120" s="3"/>
      <c r="AP120" s="53"/>
    </row>
    <row r="121" spans="29:42" ht="14.5">
      <c r="AC121" s="3"/>
      <c r="AD121" s="3"/>
      <c r="AP121" s="53"/>
    </row>
    <row r="122" spans="29:42" ht="14.5">
      <c r="AC122" s="3"/>
      <c r="AD122" s="3"/>
      <c r="AP122" s="53"/>
    </row>
    <row r="123" spans="29:42" ht="14.5">
      <c r="AC123" s="3"/>
      <c r="AD123" s="3"/>
      <c r="AP123" s="53"/>
    </row>
    <row r="124" spans="29:42" ht="14.5">
      <c r="AC124" s="3"/>
      <c r="AD124" s="3"/>
      <c r="AP124" s="53"/>
    </row>
    <row r="125" spans="29:42" ht="14.5">
      <c r="AC125" s="3"/>
      <c r="AD125" s="3"/>
      <c r="AP125" s="53"/>
    </row>
    <row r="126" spans="29:42" ht="14.5">
      <c r="AC126" s="3"/>
      <c r="AD126" s="3"/>
      <c r="AP126" s="53"/>
    </row>
    <row r="127" spans="29:42" ht="14.5">
      <c r="AC127" s="3"/>
      <c r="AD127" s="3"/>
      <c r="AP127" s="53"/>
    </row>
    <row r="128" spans="29:42" ht="14.5">
      <c r="AC128" s="3"/>
      <c r="AD128" s="3"/>
      <c r="AP128" s="53"/>
    </row>
    <row r="129" spans="29:42" ht="14.5">
      <c r="AC129" s="3"/>
      <c r="AD129" s="3"/>
      <c r="AP129" s="53"/>
    </row>
    <row r="130" spans="29:42" ht="14.5">
      <c r="AC130" s="3"/>
      <c r="AD130" s="3"/>
      <c r="AP130" s="53"/>
    </row>
    <row r="131" spans="29:42" ht="14.5">
      <c r="AC131" s="3"/>
      <c r="AD131" s="3"/>
      <c r="AP131" s="53"/>
    </row>
    <row r="132" spans="29:42" ht="14.5">
      <c r="AC132" s="3"/>
      <c r="AD132" s="3"/>
      <c r="AP132" s="53"/>
    </row>
    <row r="133" spans="29:42" ht="14.5">
      <c r="AC133" s="3"/>
      <c r="AD133" s="3"/>
      <c r="AP133" s="53"/>
    </row>
    <row r="134" spans="29:42" ht="14.5">
      <c r="AC134" s="3"/>
      <c r="AD134" s="3"/>
      <c r="AP134" s="53"/>
    </row>
    <row r="135" spans="29:42" ht="14.5">
      <c r="AC135" s="3"/>
      <c r="AD135" s="3"/>
      <c r="AP135" s="53"/>
    </row>
    <row r="136" spans="29:42" ht="14.5">
      <c r="AC136" s="3"/>
      <c r="AD136" s="3"/>
      <c r="AP136" s="53"/>
    </row>
    <row r="137" spans="29:42" ht="14.5">
      <c r="AC137" s="3"/>
      <c r="AD137" s="3"/>
      <c r="AP137" s="53"/>
    </row>
    <row r="138" spans="29:42" ht="14.5">
      <c r="AC138" s="3"/>
      <c r="AD138" s="3"/>
      <c r="AP138" s="53"/>
    </row>
    <row r="139" spans="29:42" ht="14.5">
      <c r="AC139" s="3"/>
      <c r="AD139" s="3"/>
      <c r="AP139" s="53"/>
    </row>
    <row r="140" spans="29:42" ht="14.5">
      <c r="AC140" s="3"/>
      <c r="AD140" s="3"/>
      <c r="AP140" s="53"/>
    </row>
    <row r="141" spans="29:42" ht="14.5">
      <c r="AC141" s="3"/>
      <c r="AD141" s="3"/>
      <c r="AP141" s="53"/>
    </row>
    <row r="142" spans="29:42" ht="14.5">
      <c r="AC142" s="3"/>
      <c r="AD142" s="3"/>
      <c r="AP142" s="53"/>
    </row>
    <row r="143" spans="29:42" ht="14.5">
      <c r="AC143" s="3"/>
      <c r="AD143" s="3"/>
      <c r="AP143" s="53"/>
    </row>
    <row r="144" spans="29:42" ht="14.5">
      <c r="AC144" s="3"/>
      <c r="AD144" s="3"/>
      <c r="AP144" s="53"/>
    </row>
    <row r="145" spans="29:42" ht="14.5">
      <c r="AC145" s="3"/>
      <c r="AD145" s="3"/>
      <c r="AP145" s="53"/>
    </row>
    <row r="146" spans="29:42" ht="14.5">
      <c r="AC146" s="3"/>
      <c r="AD146" s="3"/>
      <c r="AP146" s="53"/>
    </row>
    <row r="147" spans="29:42" ht="14.5">
      <c r="AC147" s="3"/>
      <c r="AD147" s="3"/>
      <c r="AP147" s="53"/>
    </row>
    <row r="148" spans="29:42" ht="14.5">
      <c r="AC148" s="3"/>
      <c r="AD148" s="3"/>
      <c r="AP148" s="53"/>
    </row>
    <row r="149" spans="29:42" ht="14.5">
      <c r="AC149" s="3"/>
      <c r="AD149" s="3"/>
      <c r="AP149" s="53"/>
    </row>
    <row r="150" spans="29:42" ht="14.5">
      <c r="AC150" s="3"/>
      <c r="AD150" s="3"/>
      <c r="AP150" s="53"/>
    </row>
    <row r="151" spans="29:42" ht="14.5">
      <c r="AC151" s="3"/>
      <c r="AD151" s="3"/>
      <c r="AP151" s="53"/>
    </row>
    <row r="152" spans="29:42" ht="14.5">
      <c r="AC152" s="3"/>
      <c r="AD152" s="3"/>
      <c r="AP152" s="53"/>
    </row>
    <row r="153" spans="29:42" ht="14.5">
      <c r="AC153" s="3"/>
      <c r="AD153" s="3"/>
      <c r="AP153" s="53"/>
    </row>
    <row r="154" spans="29:42" ht="14.5">
      <c r="AC154" s="3"/>
      <c r="AD154" s="3"/>
      <c r="AP154" s="53"/>
    </row>
    <row r="155" spans="29:42" ht="14.5">
      <c r="AC155" s="3"/>
      <c r="AD155" s="3"/>
      <c r="AP155" s="53"/>
    </row>
    <row r="156" spans="29:42" ht="14.5">
      <c r="AC156" s="3"/>
      <c r="AD156" s="3"/>
      <c r="AP156" s="53"/>
    </row>
    <row r="157" spans="29:42" ht="14.5">
      <c r="AC157" s="3"/>
      <c r="AD157" s="3"/>
      <c r="AP157" s="53"/>
    </row>
    <row r="158" spans="29:42" ht="14.5">
      <c r="AC158" s="3"/>
      <c r="AD158" s="3"/>
      <c r="AP158" s="53"/>
    </row>
    <row r="159" spans="29:42" ht="14.5">
      <c r="AC159" s="3"/>
      <c r="AD159" s="3"/>
      <c r="AP159" s="53"/>
    </row>
    <row r="160" spans="29:42" ht="14.5">
      <c r="AC160" s="3"/>
      <c r="AD160" s="3"/>
      <c r="AP160" s="53"/>
    </row>
    <row r="161" spans="29:42" ht="14.5">
      <c r="AC161" s="3"/>
      <c r="AD161" s="3"/>
      <c r="AP161" s="53"/>
    </row>
    <row r="162" spans="29:42" ht="14.5">
      <c r="AC162" s="3"/>
      <c r="AD162" s="3"/>
      <c r="AP162" s="53"/>
    </row>
    <row r="163" spans="29:42" ht="14.5">
      <c r="AC163" s="3"/>
      <c r="AD163" s="3"/>
      <c r="AP163" s="53"/>
    </row>
    <row r="164" spans="29:42" ht="14.5">
      <c r="AC164" s="3"/>
      <c r="AD164" s="3"/>
      <c r="AP164" s="53"/>
    </row>
    <row r="165" spans="29:42" ht="14.5">
      <c r="AC165" s="3"/>
      <c r="AD165" s="3"/>
      <c r="AP165" s="53"/>
    </row>
    <row r="166" spans="29:42" ht="14.5">
      <c r="AC166" s="3"/>
      <c r="AD166" s="3"/>
      <c r="AP166" s="53"/>
    </row>
    <row r="167" spans="29:42" ht="14.5">
      <c r="AC167" s="3"/>
      <c r="AD167" s="3"/>
      <c r="AP167" s="53"/>
    </row>
    <row r="168" spans="29:42" ht="14.5">
      <c r="AC168" s="3"/>
      <c r="AD168" s="3"/>
      <c r="AP168" s="53"/>
    </row>
    <row r="169" spans="29:42" ht="14.5">
      <c r="AC169" s="3"/>
      <c r="AD169" s="3"/>
      <c r="AP169" s="53"/>
    </row>
    <row r="170" spans="29:42" ht="14.5">
      <c r="AC170" s="3"/>
      <c r="AD170" s="3"/>
      <c r="AP170" s="53"/>
    </row>
    <row r="171" spans="29:42" ht="14.5">
      <c r="AC171" s="3"/>
      <c r="AD171" s="3"/>
      <c r="AP171" s="53"/>
    </row>
    <row r="172" spans="29:42" ht="14.5">
      <c r="AC172" s="3"/>
      <c r="AD172" s="3"/>
      <c r="AP172" s="53"/>
    </row>
    <row r="173" spans="29:42" ht="14.5">
      <c r="AC173" s="3"/>
      <c r="AD173" s="3"/>
      <c r="AP173" s="53"/>
    </row>
    <row r="174" spans="29:42" ht="14.5">
      <c r="AC174" s="3"/>
      <c r="AD174" s="3"/>
      <c r="AP174" s="53"/>
    </row>
    <row r="175" spans="29:42" ht="14.5">
      <c r="AC175" s="3"/>
      <c r="AD175" s="3"/>
      <c r="AP175" s="53"/>
    </row>
    <row r="176" spans="29:42" ht="14.5">
      <c r="AC176" s="3"/>
      <c r="AD176" s="3"/>
      <c r="AP176" s="53"/>
    </row>
    <row r="177" spans="29:42" ht="14.5">
      <c r="AC177" s="3"/>
      <c r="AD177" s="3"/>
      <c r="AP177" s="53"/>
    </row>
    <row r="178" spans="29:42" ht="14.5">
      <c r="AC178" s="3"/>
      <c r="AD178" s="3"/>
      <c r="AP178" s="53"/>
    </row>
    <row r="179" spans="29:42" ht="14.5">
      <c r="AC179" s="3"/>
      <c r="AD179" s="3"/>
      <c r="AP179" s="53"/>
    </row>
    <row r="180" spans="29:42" ht="14.5">
      <c r="AC180" s="3"/>
      <c r="AD180" s="3"/>
      <c r="AP180" s="53"/>
    </row>
    <row r="181" spans="29:42" ht="14.5">
      <c r="AC181" s="3"/>
      <c r="AD181" s="3"/>
      <c r="AP181" s="53"/>
    </row>
    <row r="182" spans="29:42" ht="14.5">
      <c r="AC182" s="3"/>
      <c r="AD182" s="3"/>
      <c r="AP182" s="53"/>
    </row>
    <row r="183" spans="29:42" ht="14.5">
      <c r="AC183" s="3"/>
      <c r="AD183" s="3"/>
      <c r="AP183" s="53"/>
    </row>
    <row r="184" spans="29:42" ht="14.5">
      <c r="AC184" s="3"/>
      <c r="AD184" s="3"/>
      <c r="AP184" s="53"/>
    </row>
    <row r="185" spans="29:42" ht="14.5">
      <c r="AC185" s="3"/>
      <c r="AD185" s="3"/>
      <c r="AP185" s="53"/>
    </row>
    <row r="186" spans="29:42" ht="14.5">
      <c r="AC186" s="3"/>
      <c r="AD186" s="3"/>
      <c r="AP186" s="53"/>
    </row>
    <row r="187" spans="29:42" ht="14.5">
      <c r="AC187" s="3"/>
      <c r="AD187" s="3"/>
      <c r="AP187" s="53"/>
    </row>
    <row r="188" spans="29:42" ht="14.5">
      <c r="AC188" s="3"/>
      <c r="AD188" s="3"/>
      <c r="AP188" s="53"/>
    </row>
    <row r="189" spans="29:42" ht="14.5">
      <c r="AC189" s="3"/>
      <c r="AD189" s="3"/>
      <c r="AP189" s="53"/>
    </row>
    <row r="190" spans="29:42" ht="14.5">
      <c r="AC190" s="3"/>
      <c r="AD190" s="3"/>
      <c r="AP190" s="53"/>
    </row>
    <row r="191" spans="29:42" ht="14.5">
      <c r="AC191" s="3"/>
      <c r="AD191" s="3"/>
      <c r="AP191" s="53"/>
    </row>
    <row r="192" spans="29:42" ht="14.5">
      <c r="AC192" s="3"/>
      <c r="AD192" s="3"/>
      <c r="AP192" s="53"/>
    </row>
    <row r="193" spans="29:42" ht="14.5">
      <c r="AC193" s="3"/>
      <c r="AD193" s="3"/>
      <c r="AP193" s="53"/>
    </row>
    <row r="194" spans="29:42" ht="14.5">
      <c r="AC194" s="3"/>
      <c r="AD194" s="3"/>
      <c r="AP194" s="53"/>
    </row>
    <row r="195" spans="29:42" ht="14.5">
      <c r="AC195" s="3"/>
      <c r="AD195" s="3"/>
      <c r="AP195" s="53"/>
    </row>
    <row r="196" spans="29:42" ht="14.5">
      <c r="AC196" s="3"/>
      <c r="AD196" s="3"/>
      <c r="AP196" s="53"/>
    </row>
    <row r="197" spans="29:42" ht="14.5">
      <c r="AC197" s="3"/>
      <c r="AD197" s="3"/>
      <c r="AP197" s="53"/>
    </row>
    <row r="198" spans="29:42" ht="14.5">
      <c r="AC198" s="3"/>
      <c r="AD198" s="3"/>
      <c r="AP198" s="53"/>
    </row>
    <row r="199" spans="29:42" ht="14.5">
      <c r="AC199" s="3"/>
      <c r="AD199" s="3"/>
      <c r="AP199" s="53"/>
    </row>
    <row r="200" spans="29:42" ht="14.5">
      <c r="AC200" s="3"/>
      <c r="AD200" s="3"/>
      <c r="AP200" s="53"/>
    </row>
    <row r="201" spans="29:42" ht="14.5">
      <c r="AC201" s="3"/>
      <c r="AD201" s="3"/>
      <c r="AP201" s="53"/>
    </row>
    <row r="202" spans="29:42" ht="14.5">
      <c r="AC202" s="3"/>
      <c r="AD202" s="3"/>
      <c r="AP202" s="53"/>
    </row>
    <row r="203" spans="29:42" ht="14.5">
      <c r="AC203" s="3"/>
      <c r="AD203" s="3"/>
      <c r="AP203" s="53"/>
    </row>
    <row r="204" spans="29:42" ht="14.5">
      <c r="AC204" s="3"/>
      <c r="AD204" s="3"/>
      <c r="AP204" s="53"/>
    </row>
    <row r="205" spans="29:42" ht="14.5">
      <c r="AC205" s="3"/>
      <c r="AD205" s="3"/>
      <c r="AP205" s="53"/>
    </row>
    <row r="206" spans="29:42" ht="14.5">
      <c r="AC206" s="3"/>
      <c r="AD206" s="3"/>
      <c r="AP206" s="53"/>
    </row>
    <row r="207" spans="29:42" ht="14.5">
      <c r="AC207" s="3"/>
      <c r="AD207" s="3"/>
      <c r="AP207" s="53"/>
    </row>
    <row r="208" spans="29:42" ht="14.5">
      <c r="AC208" s="3"/>
      <c r="AD208" s="3"/>
      <c r="AP208" s="53"/>
    </row>
    <row r="209" spans="29:42" ht="14.5">
      <c r="AC209" s="3"/>
      <c r="AD209" s="3"/>
      <c r="AP209" s="53"/>
    </row>
    <row r="210" spans="29:42" ht="14.5">
      <c r="AC210" s="3"/>
      <c r="AD210" s="3"/>
      <c r="AP210" s="53"/>
    </row>
    <row r="211" spans="29:42" ht="14.5">
      <c r="AC211" s="3"/>
      <c r="AD211" s="3"/>
      <c r="AP211" s="53"/>
    </row>
    <row r="212" spans="29:42" ht="14.5">
      <c r="AC212" s="3"/>
      <c r="AD212" s="3"/>
      <c r="AP212" s="53"/>
    </row>
    <row r="213" spans="29:42" ht="14.5">
      <c r="AC213" s="3"/>
      <c r="AD213" s="3"/>
      <c r="AP213" s="53"/>
    </row>
    <row r="214" spans="29:42" ht="14.5">
      <c r="AC214" s="3"/>
      <c r="AD214" s="3"/>
      <c r="AP214" s="53"/>
    </row>
    <row r="215" spans="29:42" ht="14.5">
      <c r="AC215" s="3"/>
      <c r="AD215" s="3"/>
      <c r="AP215" s="53"/>
    </row>
    <row r="216" spans="29:42" ht="14.5">
      <c r="AC216" s="3"/>
      <c r="AD216" s="3"/>
      <c r="AP216" s="53"/>
    </row>
    <row r="217" spans="29:42" ht="14.5">
      <c r="AC217" s="3"/>
      <c r="AD217" s="3"/>
      <c r="AP217" s="53"/>
    </row>
    <row r="218" spans="29:42" ht="14.5">
      <c r="AC218" s="3"/>
      <c r="AD218" s="3"/>
      <c r="AP218" s="53"/>
    </row>
    <row r="219" spans="29:42" ht="14.5">
      <c r="AC219" s="3"/>
      <c r="AD219" s="3"/>
      <c r="AP219" s="53"/>
    </row>
    <row r="220" spans="29:42" ht="14.5">
      <c r="AC220" s="3"/>
      <c r="AD220" s="3"/>
      <c r="AP220" s="53"/>
    </row>
    <row r="221" spans="29:42" ht="14.5">
      <c r="AC221" s="3"/>
      <c r="AD221" s="3"/>
      <c r="AP221" s="53"/>
    </row>
    <row r="222" spans="29:42" ht="14.5">
      <c r="AC222" s="3"/>
      <c r="AD222" s="3"/>
      <c r="AP222" s="53"/>
    </row>
    <row r="223" spans="29:42" ht="14.5">
      <c r="AC223" s="3"/>
      <c r="AD223" s="3"/>
      <c r="AP223" s="53"/>
    </row>
    <row r="224" spans="29:42" ht="14.5">
      <c r="AC224" s="3"/>
      <c r="AD224" s="3"/>
      <c r="AP224" s="53"/>
    </row>
    <row r="225" spans="29:42" ht="14.5">
      <c r="AC225" s="3"/>
      <c r="AD225" s="3"/>
      <c r="AP225" s="53"/>
    </row>
    <row r="226" spans="29:42" ht="14.5">
      <c r="AC226" s="3"/>
      <c r="AD226" s="3"/>
      <c r="AP226" s="53"/>
    </row>
    <row r="227" spans="29:42" ht="14.5">
      <c r="AC227" s="3"/>
      <c r="AD227" s="3"/>
      <c r="AP227" s="53"/>
    </row>
    <row r="228" spans="29:42" ht="14.5">
      <c r="AC228" s="3"/>
      <c r="AD228" s="3"/>
      <c r="AP228" s="53"/>
    </row>
    <row r="229" spans="29:42" ht="14.5">
      <c r="AC229" s="3"/>
      <c r="AD229" s="3"/>
      <c r="AP229" s="53"/>
    </row>
    <row r="230" spans="29:42" ht="14.5">
      <c r="AC230" s="3"/>
      <c r="AD230" s="3"/>
      <c r="AP230" s="53"/>
    </row>
    <row r="231" spans="29:42" ht="14.5">
      <c r="AC231" s="3"/>
      <c r="AD231" s="3"/>
      <c r="AP231" s="53"/>
    </row>
    <row r="232" spans="29:42" ht="14.5">
      <c r="AC232" s="3"/>
      <c r="AD232" s="3"/>
      <c r="AP232" s="53"/>
    </row>
    <row r="233" spans="29:42" ht="14.5">
      <c r="AC233" s="3"/>
      <c r="AD233" s="3"/>
      <c r="AP233" s="53"/>
    </row>
    <row r="234" spans="29:42" ht="14.5">
      <c r="AC234" s="3"/>
      <c r="AD234" s="3"/>
      <c r="AP234" s="53"/>
    </row>
    <row r="235" spans="29:42" ht="14.5">
      <c r="AC235" s="3"/>
      <c r="AD235" s="3"/>
      <c r="AP235" s="53"/>
    </row>
    <row r="236" spans="29:42" ht="14.5">
      <c r="AC236" s="3"/>
      <c r="AD236" s="3"/>
      <c r="AP236" s="53"/>
    </row>
    <row r="237" spans="29:42" ht="14.5">
      <c r="AC237" s="3"/>
      <c r="AD237" s="3"/>
      <c r="AP237" s="53"/>
    </row>
    <row r="238" spans="29:42" ht="14.5">
      <c r="AC238" s="3"/>
      <c r="AD238" s="3"/>
      <c r="AP238" s="53"/>
    </row>
    <row r="239" spans="29:42" ht="14.5">
      <c r="AC239" s="3"/>
      <c r="AD239" s="3"/>
      <c r="AP239" s="53"/>
    </row>
    <row r="240" spans="29:42" ht="14.5">
      <c r="AC240" s="3"/>
      <c r="AD240" s="3"/>
      <c r="AP240" s="53"/>
    </row>
    <row r="241" spans="29:42" ht="14.5">
      <c r="AC241" s="3"/>
      <c r="AD241" s="3"/>
      <c r="AP241" s="53"/>
    </row>
    <row r="242" spans="29:42" ht="14.5">
      <c r="AC242" s="3"/>
      <c r="AD242" s="3"/>
      <c r="AP242" s="53"/>
    </row>
    <row r="243" spans="29:42" ht="14.5">
      <c r="AC243" s="3"/>
      <c r="AD243" s="3"/>
      <c r="AP243" s="53"/>
    </row>
    <row r="244" spans="29:42" ht="14.5">
      <c r="AC244" s="3"/>
      <c r="AD244" s="3"/>
      <c r="AP244" s="53"/>
    </row>
    <row r="245" spans="29:42" ht="14.5">
      <c r="AC245" s="3"/>
      <c r="AD245" s="3"/>
      <c r="AP245" s="53"/>
    </row>
    <row r="246" spans="29:42" ht="14.5">
      <c r="AC246" s="3"/>
      <c r="AD246" s="3"/>
      <c r="AP246" s="53"/>
    </row>
    <row r="247" spans="29:42" ht="14.5">
      <c r="AC247" s="3"/>
      <c r="AD247" s="3"/>
      <c r="AP247" s="53"/>
    </row>
    <row r="248" spans="29:42" ht="14.5">
      <c r="AC248" s="3"/>
      <c r="AD248" s="3"/>
      <c r="AP248" s="53"/>
    </row>
    <row r="249" spans="29:42" ht="14.5">
      <c r="AC249" s="3"/>
      <c r="AD249" s="3"/>
      <c r="AP249" s="53"/>
    </row>
    <row r="250" spans="29:42" ht="14.5">
      <c r="AC250" s="3"/>
      <c r="AD250" s="3"/>
      <c r="AP250" s="53"/>
    </row>
    <row r="251" spans="29:42" ht="14.5">
      <c r="AC251" s="3"/>
      <c r="AD251" s="3"/>
      <c r="AP251" s="53"/>
    </row>
    <row r="252" spans="29:42" ht="14.5">
      <c r="AC252" s="3"/>
      <c r="AD252" s="3"/>
      <c r="AP252" s="53"/>
    </row>
    <row r="253" spans="29:42" ht="14.5">
      <c r="AC253" s="3"/>
      <c r="AD253" s="3"/>
      <c r="AP253" s="53"/>
    </row>
    <row r="254" spans="29:42" ht="14.5">
      <c r="AC254" s="3"/>
      <c r="AD254" s="3"/>
      <c r="AP254" s="53"/>
    </row>
    <row r="255" spans="29:42" ht="14.5">
      <c r="AC255" s="3"/>
      <c r="AD255" s="3"/>
      <c r="AP255" s="53"/>
    </row>
    <row r="256" spans="29:42" ht="14.5">
      <c r="AC256" s="3"/>
      <c r="AD256" s="3"/>
      <c r="AP256" s="53"/>
    </row>
    <row r="257" spans="29:42" ht="14.5">
      <c r="AC257" s="3"/>
      <c r="AD257" s="3"/>
      <c r="AP257" s="53"/>
    </row>
    <row r="258" spans="29:42" ht="14.5">
      <c r="AC258" s="3"/>
      <c r="AD258" s="3"/>
      <c r="AP258" s="53"/>
    </row>
    <row r="259" spans="29:42" ht="14.5">
      <c r="AC259" s="3"/>
      <c r="AD259" s="3"/>
      <c r="AP259" s="53"/>
    </row>
    <row r="260" spans="29:42" ht="14.5">
      <c r="AC260" s="3"/>
      <c r="AD260" s="3"/>
      <c r="AP260" s="53"/>
    </row>
    <row r="261" spans="29:42" ht="14.5">
      <c r="AC261" s="3"/>
      <c r="AD261" s="3"/>
      <c r="AP261" s="53"/>
    </row>
    <row r="262" spans="29:42" ht="14.5">
      <c r="AC262" s="3"/>
      <c r="AD262" s="3"/>
      <c r="AP262" s="53"/>
    </row>
    <row r="263" spans="29:42" ht="14.5">
      <c r="AC263" s="3"/>
      <c r="AD263" s="3"/>
      <c r="AP263" s="53"/>
    </row>
    <row r="264" spans="29:42" ht="14.5">
      <c r="AC264" s="3"/>
      <c r="AD264" s="3"/>
      <c r="AP264" s="53"/>
    </row>
    <row r="265" spans="29:42" ht="14.5">
      <c r="AC265" s="3"/>
      <c r="AD265" s="3"/>
      <c r="AP265" s="53"/>
    </row>
    <row r="266" spans="29:42" ht="14.5">
      <c r="AC266" s="3"/>
      <c r="AD266" s="3"/>
      <c r="AP266" s="53"/>
    </row>
    <row r="267" spans="29:42" ht="14.5">
      <c r="AC267" s="3"/>
      <c r="AD267" s="3"/>
      <c r="AP267" s="53"/>
    </row>
    <row r="268" spans="29:42" ht="14.5">
      <c r="AC268" s="3"/>
      <c r="AD268" s="3"/>
      <c r="AP268" s="53"/>
    </row>
    <row r="269" spans="29:42" ht="14.5">
      <c r="AC269" s="3"/>
      <c r="AD269" s="3"/>
      <c r="AP269" s="53"/>
    </row>
    <row r="270" spans="29:42" ht="14.5">
      <c r="AC270" s="3"/>
      <c r="AD270" s="3"/>
      <c r="AP270" s="53"/>
    </row>
    <row r="271" spans="29:42" ht="14.5">
      <c r="AC271" s="3"/>
      <c r="AD271" s="3"/>
      <c r="AP271" s="53"/>
    </row>
    <row r="272" spans="29:42" ht="14.5">
      <c r="AC272" s="3"/>
      <c r="AD272" s="3"/>
      <c r="AP272" s="53"/>
    </row>
    <row r="273" spans="29:42" ht="14.5">
      <c r="AC273" s="3"/>
      <c r="AD273" s="3"/>
      <c r="AP273" s="53"/>
    </row>
    <row r="274" spans="29:42" ht="14.5">
      <c r="AC274" s="3"/>
      <c r="AD274" s="3"/>
      <c r="AP274" s="53"/>
    </row>
    <row r="275" spans="29:42" ht="14.5">
      <c r="AC275" s="3"/>
      <c r="AD275" s="3"/>
      <c r="AP275" s="53"/>
    </row>
    <row r="276" spans="29:42" ht="14.5">
      <c r="AC276" s="3"/>
      <c r="AD276" s="3"/>
      <c r="AP276" s="53"/>
    </row>
    <row r="277" spans="29:42" ht="14.5">
      <c r="AC277" s="3"/>
      <c r="AD277" s="3"/>
      <c r="AP277" s="53"/>
    </row>
    <row r="278" spans="29:42" ht="14.5">
      <c r="AC278" s="3"/>
      <c r="AD278" s="3"/>
      <c r="AP278" s="53"/>
    </row>
    <row r="279" spans="29:42" ht="14.5">
      <c r="AC279" s="3"/>
      <c r="AD279" s="3"/>
      <c r="AP279" s="53"/>
    </row>
    <row r="280" spans="29:42" ht="14.5">
      <c r="AC280" s="3"/>
      <c r="AD280" s="3"/>
      <c r="AP280" s="53"/>
    </row>
    <row r="281" spans="29:42" ht="14.5">
      <c r="AC281" s="3"/>
      <c r="AD281" s="3"/>
      <c r="AP281" s="53"/>
    </row>
    <row r="282" spans="29:42" ht="14.5">
      <c r="AC282" s="3"/>
      <c r="AD282" s="3"/>
      <c r="AP282" s="53"/>
    </row>
    <row r="283" spans="29:42" ht="14.5">
      <c r="AC283" s="3"/>
      <c r="AD283" s="3"/>
      <c r="AP283" s="53"/>
    </row>
    <row r="284" spans="29:42" ht="14.5">
      <c r="AC284" s="3"/>
      <c r="AD284" s="3"/>
      <c r="AP284" s="53"/>
    </row>
    <row r="285" spans="29:42" ht="14.5">
      <c r="AC285" s="3"/>
      <c r="AD285" s="3"/>
      <c r="AP285" s="53"/>
    </row>
    <row r="286" spans="29:42" ht="14.5">
      <c r="AC286" s="3"/>
      <c r="AD286" s="3"/>
      <c r="AP286" s="53"/>
    </row>
    <row r="287" spans="29:42" ht="14.5">
      <c r="AC287" s="3"/>
      <c r="AD287" s="3"/>
      <c r="AP287" s="53"/>
    </row>
    <row r="288" spans="29:42" ht="14.5">
      <c r="AC288" s="3"/>
      <c r="AD288" s="3"/>
      <c r="AP288" s="53"/>
    </row>
    <row r="289" spans="29:42" ht="14.5">
      <c r="AC289" s="3"/>
      <c r="AD289" s="3"/>
      <c r="AP289" s="53"/>
    </row>
    <row r="290" spans="29:42" ht="14.5">
      <c r="AC290" s="3"/>
      <c r="AD290" s="3"/>
      <c r="AP290" s="53"/>
    </row>
    <row r="291" spans="29:42" ht="14.5">
      <c r="AC291" s="3"/>
      <c r="AD291" s="3"/>
      <c r="AP291" s="53"/>
    </row>
    <row r="292" spans="29:42" ht="14.5">
      <c r="AC292" s="3"/>
      <c r="AD292" s="3"/>
      <c r="AP292" s="53"/>
    </row>
    <row r="293" spans="29:42" ht="14.5">
      <c r="AC293" s="3"/>
      <c r="AD293" s="3"/>
      <c r="AP293" s="53"/>
    </row>
    <row r="294" spans="29:42" ht="14.5">
      <c r="AC294" s="3"/>
      <c r="AD294" s="3"/>
      <c r="AP294" s="53"/>
    </row>
    <row r="295" spans="29:42" ht="14.5">
      <c r="AC295" s="3"/>
      <c r="AD295" s="3"/>
      <c r="AP295" s="53"/>
    </row>
    <row r="296" spans="29:42" ht="14.5">
      <c r="AC296" s="3"/>
      <c r="AD296" s="3"/>
      <c r="AP296" s="53"/>
    </row>
    <row r="297" spans="29:42" ht="14.5">
      <c r="AC297" s="3"/>
      <c r="AD297" s="3"/>
      <c r="AP297" s="53"/>
    </row>
    <row r="298" spans="29:42" ht="14.5">
      <c r="AC298" s="3"/>
      <c r="AD298" s="3"/>
      <c r="AP298" s="53"/>
    </row>
    <row r="299" spans="29:42" ht="14.5">
      <c r="AC299" s="3"/>
      <c r="AD299" s="3"/>
      <c r="AP299" s="53"/>
    </row>
    <row r="300" spans="29:42" ht="14.5">
      <c r="AC300" s="3"/>
      <c r="AD300" s="3"/>
      <c r="AP300" s="53"/>
    </row>
    <row r="301" spans="29:42" ht="14.5">
      <c r="AC301" s="3"/>
      <c r="AD301" s="3"/>
      <c r="AP301" s="53"/>
    </row>
    <row r="302" spans="29:42" ht="14.5">
      <c r="AC302" s="3"/>
      <c r="AD302" s="3"/>
      <c r="AP302" s="53"/>
    </row>
    <row r="303" spans="29:42" ht="14.5">
      <c r="AC303" s="3"/>
      <c r="AD303" s="3"/>
      <c r="AP303" s="53"/>
    </row>
    <row r="304" spans="29:42" ht="14.5">
      <c r="AC304" s="3"/>
      <c r="AD304" s="3"/>
      <c r="AP304" s="53"/>
    </row>
    <row r="305" spans="29:42" ht="14.5">
      <c r="AC305" s="3"/>
      <c r="AD305" s="3"/>
      <c r="AP305" s="53"/>
    </row>
    <row r="306" spans="29:42" ht="14.5">
      <c r="AC306" s="3"/>
      <c r="AD306" s="3"/>
      <c r="AP306" s="53"/>
    </row>
    <row r="307" spans="29:42" ht="14.5">
      <c r="AC307" s="3"/>
      <c r="AD307" s="3"/>
      <c r="AP307" s="53"/>
    </row>
    <row r="308" spans="29:42" ht="14.5">
      <c r="AC308" s="3"/>
      <c r="AD308" s="3"/>
      <c r="AP308" s="53"/>
    </row>
    <row r="309" spans="29:42" ht="14.5">
      <c r="AC309" s="3"/>
      <c r="AD309" s="3"/>
      <c r="AP309" s="53"/>
    </row>
    <row r="310" spans="29:42" ht="14.5">
      <c r="AC310" s="3"/>
      <c r="AD310" s="3"/>
      <c r="AP310" s="53"/>
    </row>
    <row r="311" spans="29:42" ht="14.5">
      <c r="AC311" s="3"/>
      <c r="AD311" s="3"/>
      <c r="AP311" s="53"/>
    </row>
    <row r="312" spans="29:42" ht="14.5">
      <c r="AC312" s="3"/>
      <c r="AD312" s="3"/>
      <c r="AP312" s="53"/>
    </row>
    <row r="313" spans="29:42" ht="14.5">
      <c r="AC313" s="3"/>
      <c r="AD313" s="3"/>
      <c r="AP313" s="53"/>
    </row>
    <row r="314" spans="29:42" ht="14.5">
      <c r="AC314" s="3"/>
      <c r="AD314" s="3"/>
      <c r="AP314" s="53"/>
    </row>
    <row r="315" spans="29:42" ht="14.5">
      <c r="AC315" s="3"/>
      <c r="AD315" s="3"/>
      <c r="AP315" s="53"/>
    </row>
    <row r="316" spans="29:42" ht="14.5">
      <c r="AC316" s="3"/>
      <c r="AD316" s="3"/>
      <c r="AP316" s="53"/>
    </row>
    <row r="317" spans="29:42" ht="14.5">
      <c r="AC317" s="3"/>
      <c r="AD317" s="3"/>
      <c r="AP317" s="53"/>
    </row>
    <row r="318" spans="29:42" ht="14.5">
      <c r="AC318" s="3"/>
      <c r="AD318" s="3"/>
      <c r="AP318" s="53"/>
    </row>
    <row r="319" spans="29:42" ht="14.5">
      <c r="AC319" s="3"/>
      <c r="AD319" s="3"/>
      <c r="AP319" s="53"/>
    </row>
    <row r="320" spans="29:42" ht="14.5">
      <c r="AC320" s="3"/>
      <c r="AD320" s="3"/>
      <c r="AP320" s="53"/>
    </row>
    <row r="321" spans="29:42" ht="14.5">
      <c r="AC321" s="3"/>
      <c r="AD321" s="3"/>
      <c r="AP321" s="53"/>
    </row>
    <row r="322" spans="29:42" ht="14.5">
      <c r="AC322" s="3"/>
      <c r="AD322" s="3"/>
      <c r="AP322" s="53"/>
    </row>
    <row r="323" spans="29:42" ht="14.5">
      <c r="AC323" s="3"/>
      <c r="AD323" s="3"/>
      <c r="AP323" s="53"/>
    </row>
    <row r="324" spans="29:42" ht="14.5">
      <c r="AC324" s="3"/>
      <c r="AD324" s="3"/>
      <c r="AP324" s="53"/>
    </row>
    <row r="325" spans="29:42" ht="14.5">
      <c r="AC325" s="3"/>
      <c r="AD325" s="3"/>
      <c r="AP325" s="53"/>
    </row>
    <row r="326" spans="29:42" ht="14.5">
      <c r="AC326" s="3"/>
      <c r="AD326" s="3"/>
      <c r="AP326" s="53"/>
    </row>
    <row r="327" spans="29:42" ht="14.5">
      <c r="AC327" s="3"/>
      <c r="AD327" s="3"/>
      <c r="AP327" s="53"/>
    </row>
    <row r="328" spans="29:42" ht="14.5">
      <c r="AC328" s="3"/>
      <c r="AD328" s="3"/>
      <c r="AP328" s="53"/>
    </row>
    <row r="329" spans="29:42" ht="14.5">
      <c r="AC329" s="3"/>
      <c r="AD329" s="3"/>
      <c r="AP329" s="53"/>
    </row>
    <row r="330" spans="29:42" ht="14.5">
      <c r="AC330" s="3"/>
      <c r="AD330" s="3"/>
      <c r="AP330" s="53"/>
    </row>
    <row r="331" spans="29:42" ht="14.5">
      <c r="AC331" s="3"/>
      <c r="AD331" s="3"/>
      <c r="AP331" s="53"/>
    </row>
    <row r="332" spans="29:42" ht="14.5">
      <c r="AC332" s="3"/>
      <c r="AD332" s="3"/>
      <c r="AP332" s="53"/>
    </row>
    <row r="333" spans="29:42" ht="14.5">
      <c r="AC333" s="3"/>
      <c r="AD333" s="3"/>
      <c r="AP333" s="53"/>
    </row>
    <row r="334" spans="29:42" ht="14.5">
      <c r="AC334" s="3"/>
      <c r="AD334" s="3"/>
      <c r="AP334" s="53"/>
    </row>
    <row r="335" spans="29:42" ht="14.5">
      <c r="AC335" s="3"/>
      <c r="AD335" s="3"/>
      <c r="AP335" s="53"/>
    </row>
    <row r="336" spans="29:42" ht="14.5">
      <c r="AC336" s="3"/>
      <c r="AD336" s="3"/>
      <c r="AP336" s="53"/>
    </row>
    <row r="337" spans="29:42" ht="14.5">
      <c r="AC337" s="3"/>
      <c r="AD337" s="3"/>
      <c r="AP337" s="53"/>
    </row>
    <row r="338" spans="29:42" ht="14.5">
      <c r="AC338" s="3"/>
      <c r="AD338" s="3"/>
      <c r="AP338" s="53"/>
    </row>
    <row r="339" spans="29:42" ht="14.5">
      <c r="AC339" s="3"/>
      <c r="AD339" s="3"/>
      <c r="AP339" s="53"/>
    </row>
    <row r="340" spans="29:42" ht="14.5">
      <c r="AC340" s="3"/>
      <c r="AD340" s="3"/>
      <c r="AP340" s="53"/>
    </row>
    <row r="341" spans="29:42" ht="14.5">
      <c r="AC341" s="3"/>
      <c r="AD341" s="3"/>
      <c r="AP341" s="53"/>
    </row>
    <row r="342" spans="29:42" ht="14.5">
      <c r="AC342" s="3"/>
      <c r="AD342" s="3"/>
      <c r="AP342" s="53"/>
    </row>
    <row r="343" spans="29:42" ht="14.5">
      <c r="AC343" s="3"/>
      <c r="AD343" s="3"/>
      <c r="AP343" s="53"/>
    </row>
    <row r="344" spans="29:42" ht="14.5">
      <c r="AC344" s="3"/>
      <c r="AD344" s="3"/>
      <c r="AP344" s="53"/>
    </row>
    <row r="345" spans="29:42" ht="14.5">
      <c r="AC345" s="3"/>
      <c r="AD345" s="3"/>
      <c r="AP345" s="53"/>
    </row>
    <row r="346" spans="29:42" ht="14.5">
      <c r="AC346" s="3"/>
      <c r="AD346" s="3"/>
      <c r="AP346" s="53"/>
    </row>
    <row r="347" spans="29:42" ht="14.5">
      <c r="AC347" s="3"/>
      <c r="AD347" s="3"/>
      <c r="AP347" s="53"/>
    </row>
    <row r="348" spans="29:42" ht="14.5">
      <c r="AC348" s="3"/>
      <c r="AD348" s="3"/>
      <c r="AP348" s="53"/>
    </row>
    <row r="349" spans="29:42" ht="14.5">
      <c r="AC349" s="3"/>
      <c r="AD349" s="3"/>
      <c r="AP349" s="53"/>
    </row>
    <row r="350" spans="29:42" ht="14.5">
      <c r="AC350" s="3"/>
      <c r="AD350" s="3"/>
      <c r="AP350" s="53"/>
    </row>
    <row r="351" spans="29:42" ht="14.5">
      <c r="AC351" s="3"/>
      <c r="AD351" s="3"/>
      <c r="AP351" s="53"/>
    </row>
    <row r="352" spans="29:42" ht="14.5">
      <c r="AC352" s="3"/>
      <c r="AD352" s="3"/>
      <c r="AP352" s="53"/>
    </row>
    <row r="353" spans="29:42" ht="14.5">
      <c r="AC353" s="3"/>
      <c r="AD353" s="3"/>
      <c r="AP353" s="53"/>
    </row>
    <row r="354" spans="29:42" ht="14.5">
      <c r="AC354" s="3"/>
      <c r="AD354" s="3"/>
      <c r="AP354" s="53"/>
    </row>
    <row r="355" spans="29:42" ht="14.5">
      <c r="AC355" s="3"/>
      <c r="AD355" s="3"/>
      <c r="AP355" s="53"/>
    </row>
    <row r="356" spans="29:42" ht="14.5">
      <c r="AC356" s="3"/>
      <c r="AD356" s="3"/>
      <c r="AP356" s="53"/>
    </row>
    <row r="357" spans="29:42" ht="14.5">
      <c r="AC357" s="3"/>
      <c r="AD357" s="3"/>
      <c r="AP357" s="53"/>
    </row>
    <row r="358" spans="29:42" ht="14.5">
      <c r="AC358" s="3"/>
      <c r="AD358" s="3"/>
      <c r="AP358" s="53"/>
    </row>
    <row r="359" spans="29:42" ht="14.5">
      <c r="AC359" s="3"/>
      <c r="AD359" s="3"/>
      <c r="AP359" s="53"/>
    </row>
    <row r="360" spans="29:42" ht="14.5">
      <c r="AC360" s="3"/>
      <c r="AD360" s="3"/>
      <c r="AP360" s="53"/>
    </row>
    <row r="361" spans="29:42" ht="14.5">
      <c r="AC361" s="3"/>
      <c r="AD361" s="3"/>
      <c r="AP361" s="53"/>
    </row>
    <row r="362" spans="29:42" ht="14.5">
      <c r="AC362" s="3"/>
      <c r="AD362" s="3"/>
      <c r="AP362" s="53"/>
    </row>
    <row r="363" spans="29:42" ht="14.5">
      <c r="AC363" s="3"/>
      <c r="AD363" s="3"/>
      <c r="AP363" s="53"/>
    </row>
    <row r="364" spans="29:42" ht="14.5">
      <c r="AC364" s="3"/>
      <c r="AD364" s="3"/>
      <c r="AP364" s="53"/>
    </row>
    <row r="365" spans="29:42" ht="14.5">
      <c r="AC365" s="3"/>
      <c r="AD365" s="3"/>
      <c r="AP365" s="53"/>
    </row>
    <row r="366" spans="29:42" ht="14.5">
      <c r="AC366" s="3"/>
      <c r="AD366" s="3"/>
      <c r="AP366" s="53"/>
    </row>
    <row r="367" spans="29:42" ht="14.5">
      <c r="AC367" s="3"/>
      <c r="AD367" s="3"/>
      <c r="AP367" s="53"/>
    </row>
    <row r="368" spans="29:42" ht="14.5">
      <c r="AC368" s="3"/>
      <c r="AD368" s="3"/>
      <c r="AP368" s="53"/>
    </row>
    <row r="369" spans="29:42" ht="14.5">
      <c r="AC369" s="3"/>
      <c r="AD369" s="3"/>
      <c r="AP369" s="53"/>
    </row>
    <row r="370" spans="29:42" ht="14.5">
      <c r="AC370" s="3"/>
      <c r="AD370" s="3"/>
      <c r="AP370" s="53"/>
    </row>
    <row r="371" spans="29:42" ht="14.5">
      <c r="AC371" s="3"/>
      <c r="AD371" s="3"/>
      <c r="AP371" s="53"/>
    </row>
    <row r="372" spans="29:42" ht="14.5">
      <c r="AC372" s="3"/>
      <c r="AD372" s="3"/>
      <c r="AP372" s="53"/>
    </row>
    <row r="373" spans="29:42" ht="14.5">
      <c r="AC373" s="3"/>
      <c r="AD373" s="3"/>
      <c r="AP373" s="53"/>
    </row>
    <row r="374" spans="29:42" ht="14.5">
      <c r="AC374" s="3"/>
      <c r="AD374" s="3"/>
      <c r="AP374" s="53"/>
    </row>
    <row r="375" spans="29:42" ht="14.5">
      <c r="AC375" s="3"/>
      <c r="AD375" s="3"/>
      <c r="AP375" s="53"/>
    </row>
    <row r="376" spans="29:42" ht="14.5">
      <c r="AC376" s="3"/>
      <c r="AD376" s="3"/>
      <c r="AP376" s="53"/>
    </row>
    <row r="377" spans="29:42" ht="14.5">
      <c r="AC377" s="3"/>
      <c r="AD377" s="3"/>
      <c r="AP377" s="53"/>
    </row>
    <row r="378" spans="29:42" ht="14.5">
      <c r="AC378" s="3"/>
      <c r="AD378" s="3"/>
      <c r="AP378" s="53"/>
    </row>
    <row r="379" spans="29:42" ht="14.5">
      <c r="AC379" s="3"/>
      <c r="AD379" s="3"/>
      <c r="AP379" s="53"/>
    </row>
    <row r="380" spans="29:42" ht="14.5">
      <c r="AC380" s="3"/>
      <c r="AD380" s="3"/>
      <c r="AP380" s="53"/>
    </row>
    <row r="381" spans="29:42" ht="14.5">
      <c r="AC381" s="3"/>
      <c r="AD381" s="3"/>
      <c r="AP381" s="53"/>
    </row>
    <row r="382" spans="29:42" ht="14.5">
      <c r="AC382" s="3"/>
      <c r="AD382" s="3"/>
      <c r="AP382" s="53"/>
    </row>
    <row r="383" spans="29:42" ht="14.5">
      <c r="AC383" s="3"/>
      <c r="AD383" s="3"/>
      <c r="AP383" s="53"/>
    </row>
    <row r="384" spans="29:42" ht="14.5">
      <c r="AC384" s="3"/>
      <c r="AD384" s="3"/>
      <c r="AP384" s="53"/>
    </row>
    <row r="385" spans="29:42" ht="14.5">
      <c r="AC385" s="3"/>
      <c r="AD385" s="3"/>
      <c r="AP385" s="53"/>
    </row>
    <row r="386" spans="29:42" ht="14.5">
      <c r="AC386" s="3"/>
      <c r="AD386" s="3"/>
      <c r="AP386" s="53"/>
    </row>
    <row r="387" spans="29:42" ht="14.5">
      <c r="AC387" s="3"/>
      <c r="AD387" s="3"/>
      <c r="AP387" s="53"/>
    </row>
    <row r="388" spans="29:42" ht="14.5">
      <c r="AC388" s="3"/>
      <c r="AD388" s="3"/>
      <c r="AP388" s="53"/>
    </row>
    <row r="389" spans="29:42" ht="14.5">
      <c r="AC389" s="3"/>
      <c r="AD389" s="3"/>
      <c r="AP389" s="53"/>
    </row>
    <row r="390" spans="29:42" ht="14.5">
      <c r="AC390" s="3"/>
      <c r="AD390" s="3"/>
      <c r="AP390" s="53"/>
    </row>
    <row r="391" spans="29:42" ht="14.5">
      <c r="AC391" s="3"/>
      <c r="AD391" s="3"/>
      <c r="AP391" s="53"/>
    </row>
    <row r="392" spans="29:42" ht="14.5">
      <c r="AC392" s="3"/>
      <c r="AD392" s="3"/>
      <c r="AP392" s="53"/>
    </row>
    <row r="393" spans="29:42" ht="14.5">
      <c r="AC393" s="3"/>
      <c r="AD393" s="3"/>
      <c r="AP393" s="53"/>
    </row>
    <row r="394" spans="29:42" ht="14.5">
      <c r="AC394" s="3"/>
      <c r="AD394" s="3"/>
      <c r="AP394" s="53"/>
    </row>
    <row r="395" spans="29:42" ht="14.5">
      <c r="AC395" s="3"/>
      <c r="AD395" s="3"/>
      <c r="AP395" s="53"/>
    </row>
    <row r="396" spans="29:42" ht="14.5">
      <c r="AC396" s="3"/>
      <c r="AD396" s="3"/>
      <c r="AP396" s="53"/>
    </row>
    <row r="397" spans="29:42" ht="14.5">
      <c r="AC397" s="3"/>
      <c r="AD397" s="3"/>
      <c r="AP397" s="53"/>
    </row>
    <row r="398" spans="29:42" ht="14.5">
      <c r="AC398" s="3"/>
      <c r="AD398" s="3"/>
      <c r="AP398" s="53"/>
    </row>
    <row r="399" spans="29:42" ht="14.5">
      <c r="AC399" s="3"/>
      <c r="AD399" s="3"/>
      <c r="AP399" s="53"/>
    </row>
    <row r="400" spans="29:42" ht="14.5">
      <c r="AC400" s="3"/>
      <c r="AD400" s="3"/>
      <c r="AP400" s="53"/>
    </row>
    <row r="401" spans="29:42" ht="14.5">
      <c r="AC401" s="3"/>
      <c r="AD401" s="3"/>
      <c r="AP401" s="53"/>
    </row>
    <row r="402" spans="29:42" ht="14.5">
      <c r="AC402" s="3"/>
      <c r="AD402" s="3"/>
      <c r="AP402" s="53"/>
    </row>
    <row r="403" spans="29:42" ht="14.5">
      <c r="AC403" s="3"/>
      <c r="AD403" s="3"/>
      <c r="AP403" s="53"/>
    </row>
    <row r="404" spans="29:42" ht="14.5">
      <c r="AC404" s="3"/>
      <c r="AD404" s="3"/>
      <c r="AP404" s="53"/>
    </row>
    <row r="405" spans="29:42" ht="14.5">
      <c r="AC405" s="3"/>
      <c r="AD405" s="3"/>
      <c r="AP405" s="53"/>
    </row>
    <row r="406" spans="29:42" ht="14.5">
      <c r="AC406" s="3"/>
      <c r="AD406" s="3"/>
      <c r="AP406" s="53"/>
    </row>
    <row r="407" spans="29:42" ht="14.5">
      <c r="AC407" s="3"/>
      <c r="AD407" s="3"/>
      <c r="AP407" s="53"/>
    </row>
    <row r="408" spans="29:42" ht="14.5">
      <c r="AC408" s="3"/>
      <c r="AD408" s="3"/>
      <c r="AP408" s="53"/>
    </row>
    <row r="409" spans="29:42" ht="14.5">
      <c r="AC409" s="3"/>
      <c r="AD409" s="3"/>
      <c r="AP409" s="53"/>
    </row>
    <row r="410" spans="29:42" ht="14.5">
      <c r="AC410" s="3"/>
      <c r="AD410" s="3"/>
      <c r="AP410" s="53"/>
    </row>
    <row r="411" spans="29:42" ht="14.5">
      <c r="AC411" s="3"/>
      <c r="AD411" s="3"/>
      <c r="AP411" s="53"/>
    </row>
    <row r="412" spans="29:42" ht="14.5">
      <c r="AC412" s="3"/>
      <c r="AD412" s="3"/>
      <c r="AP412" s="53"/>
    </row>
    <row r="413" spans="29:42" ht="14.5">
      <c r="AC413" s="3"/>
      <c r="AD413" s="3"/>
      <c r="AP413" s="53"/>
    </row>
    <row r="414" spans="29:42" ht="14.5">
      <c r="AC414" s="3"/>
      <c r="AD414" s="3"/>
      <c r="AP414" s="53"/>
    </row>
    <row r="415" spans="29:42" ht="14.5">
      <c r="AC415" s="3"/>
      <c r="AD415" s="3"/>
      <c r="AP415" s="53"/>
    </row>
    <row r="416" spans="29:42" ht="14.5">
      <c r="AC416" s="3"/>
      <c r="AD416" s="3"/>
      <c r="AP416" s="53"/>
    </row>
    <row r="417" spans="29:42" ht="14.5">
      <c r="AC417" s="3"/>
      <c r="AD417" s="3"/>
      <c r="AP417" s="53"/>
    </row>
    <row r="418" spans="29:42" ht="14.5">
      <c r="AC418" s="3"/>
      <c r="AD418" s="3"/>
      <c r="AP418" s="53"/>
    </row>
    <row r="419" spans="29:42" ht="14.5">
      <c r="AC419" s="3"/>
      <c r="AD419" s="3"/>
      <c r="AP419" s="53"/>
    </row>
    <row r="420" spans="29:42" ht="14.5">
      <c r="AC420" s="3"/>
      <c r="AD420" s="3"/>
      <c r="AP420" s="53"/>
    </row>
    <row r="421" spans="29:42" ht="14.5">
      <c r="AC421" s="3"/>
      <c r="AD421" s="3"/>
      <c r="AP421" s="53"/>
    </row>
    <row r="422" spans="29:42" ht="14.5">
      <c r="AC422" s="3"/>
      <c r="AD422" s="3"/>
      <c r="AP422" s="53"/>
    </row>
    <row r="423" spans="29:42" ht="14.5">
      <c r="AC423" s="3"/>
      <c r="AD423" s="3"/>
      <c r="AP423" s="53"/>
    </row>
    <row r="424" spans="29:42" ht="14.5">
      <c r="AC424" s="3"/>
      <c r="AD424" s="3"/>
      <c r="AP424" s="53"/>
    </row>
    <row r="425" spans="29:42" ht="14.5">
      <c r="AC425" s="3"/>
      <c r="AD425" s="3"/>
      <c r="AP425" s="53"/>
    </row>
    <row r="426" spans="29:42" ht="14.5">
      <c r="AC426" s="3"/>
      <c r="AD426" s="3"/>
      <c r="AP426" s="53"/>
    </row>
    <row r="427" spans="29:42" ht="14.5">
      <c r="AC427" s="3"/>
      <c r="AD427" s="3"/>
      <c r="AP427" s="53"/>
    </row>
    <row r="428" spans="29:42" ht="14.5">
      <c r="AC428" s="3"/>
      <c r="AD428" s="3"/>
      <c r="AP428" s="53"/>
    </row>
    <row r="429" spans="29:42" ht="14.5">
      <c r="AC429" s="3"/>
      <c r="AD429" s="3"/>
      <c r="AP429" s="53"/>
    </row>
    <row r="430" spans="29:42" ht="14.5">
      <c r="AC430" s="3"/>
      <c r="AD430" s="3"/>
      <c r="AP430" s="53"/>
    </row>
    <row r="431" spans="29:42" ht="14.5">
      <c r="AC431" s="3"/>
      <c r="AD431" s="3"/>
      <c r="AP431" s="53"/>
    </row>
    <row r="432" spans="29:42" ht="14.5">
      <c r="AC432" s="3"/>
      <c r="AD432" s="3"/>
      <c r="AP432" s="53"/>
    </row>
    <row r="433" spans="29:42" ht="14.5">
      <c r="AC433" s="3"/>
      <c r="AD433" s="3"/>
      <c r="AP433" s="53"/>
    </row>
    <row r="434" spans="29:42" ht="14.5">
      <c r="AC434" s="3"/>
      <c r="AD434" s="3"/>
      <c r="AP434" s="53"/>
    </row>
    <row r="435" spans="29:42" ht="14.5">
      <c r="AC435" s="3"/>
      <c r="AD435" s="3"/>
      <c r="AP435" s="53"/>
    </row>
    <row r="436" spans="29:42" ht="14.5">
      <c r="AC436" s="3"/>
      <c r="AD436" s="3"/>
      <c r="AP436" s="53"/>
    </row>
    <row r="437" spans="29:42" ht="14.5">
      <c r="AC437" s="3"/>
      <c r="AD437" s="3"/>
      <c r="AP437" s="53"/>
    </row>
    <row r="438" spans="29:42" ht="14.5">
      <c r="AC438" s="3"/>
      <c r="AD438" s="3"/>
      <c r="AP438" s="53"/>
    </row>
    <row r="439" spans="29:42" ht="14.5">
      <c r="AC439" s="3"/>
      <c r="AD439" s="3"/>
      <c r="AP439" s="53"/>
    </row>
    <row r="440" spans="29:42" ht="14.5">
      <c r="AC440" s="3"/>
      <c r="AD440" s="3"/>
      <c r="AP440" s="53"/>
    </row>
    <row r="441" spans="29:42" ht="14.5">
      <c r="AC441" s="3"/>
      <c r="AD441" s="3"/>
      <c r="AP441" s="53"/>
    </row>
    <row r="442" spans="29:42" ht="14.5">
      <c r="AC442" s="3"/>
      <c r="AD442" s="3"/>
      <c r="AP442" s="53"/>
    </row>
    <row r="443" spans="29:42" ht="14.5">
      <c r="AC443" s="3"/>
      <c r="AD443" s="3"/>
      <c r="AP443" s="53"/>
    </row>
    <row r="444" spans="29:42" ht="14.5">
      <c r="AC444" s="3"/>
      <c r="AD444" s="3"/>
      <c r="AP444" s="53"/>
    </row>
    <row r="445" spans="29:42" ht="14.5">
      <c r="AC445" s="3"/>
      <c r="AD445" s="3"/>
      <c r="AP445" s="53"/>
    </row>
    <row r="446" spans="29:42" ht="14.5">
      <c r="AC446" s="3"/>
      <c r="AD446" s="3"/>
      <c r="AP446" s="53"/>
    </row>
    <row r="447" spans="29:42" ht="14.5">
      <c r="AC447" s="3"/>
      <c r="AD447" s="3"/>
      <c r="AP447" s="53"/>
    </row>
    <row r="448" spans="29:42" ht="14.5">
      <c r="AC448" s="3"/>
      <c r="AD448" s="3"/>
      <c r="AP448" s="53"/>
    </row>
    <row r="449" spans="29:42" ht="14.5">
      <c r="AC449" s="3"/>
      <c r="AD449" s="3"/>
      <c r="AP449" s="53"/>
    </row>
    <row r="450" spans="29:42" ht="14.5">
      <c r="AC450" s="3"/>
      <c r="AD450" s="3"/>
      <c r="AP450" s="53"/>
    </row>
    <row r="451" spans="29:42" ht="14.5">
      <c r="AC451" s="3"/>
      <c r="AD451" s="3"/>
      <c r="AP451" s="53"/>
    </row>
    <row r="452" spans="29:42" ht="14.5">
      <c r="AC452" s="3"/>
      <c r="AD452" s="3"/>
      <c r="AP452" s="53"/>
    </row>
    <row r="453" spans="29:42" ht="14.5">
      <c r="AC453" s="3"/>
      <c r="AD453" s="3"/>
      <c r="AP453" s="53"/>
    </row>
    <row r="454" spans="29:42" ht="14.5">
      <c r="AC454" s="3"/>
      <c r="AD454" s="3"/>
      <c r="AP454" s="53"/>
    </row>
    <row r="455" spans="29:42" ht="14.5">
      <c r="AC455" s="3"/>
      <c r="AD455" s="3"/>
      <c r="AP455" s="53"/>
    </row>
    <row r="456" spans="29:42" ht="14.5">
      <c r="AC456" s="3"/>
      <c r="AD456" s="3"/>
      <c r="AP456" s="53"/>
    </row>
    <row r="457" spans="29:42" ht="14.5">
      <c r="AC457" s="3"/>
      <c r="AD457" s="3"/>
      <c r="AP457" s="53"/>
    </row>
    <row r="458" spans="29:42" ht="14.5">
      <c r="AC458" s="3"/>
      <c r="AD458" s="3"/>
      <c r="AP458" s="53"/>
    </row>
    <row r="459" spans="29:42" ht="14.5">
      <c r="AC459" s="3"/>
      <c r="AD459" s="3"/>
      <c r="AP459" s="53"/>
    </row>
    <row r="460" spans="29:42" ht="14.5">
      <c r="AC460" s="3"/>
      <c r="AD460" s="3"/>
      <c r="AP460" s="53"/>
    </row>
    <row r="461" spans="29:42" ht="14.5">
      <c r="AC461" s="3"/>
      <c r="AD461" s="3"/>
      <c r="AP461" s="53"/>
    </row>
    <row r="462" spans="29:42" ht="14.5">
      <c r="AC462" s="3"/>
      <c r="AD462" s="3"/>
      <c r="AP462" s="53"/>
    </row>
    <row r="463" spans="29:42" ht="14.5">
      <c r="AC463" s="3"/>
      <c r="AD463" s="3"/>
      <c r="AP463" s="53"/>
    </row>
    <row r="464" spans="29:42" ht="14.5">
      <c r="AC464" s="3"/>
      <c r="AD464" s="3"/>
      <c r="AP464" s="53"/>
    </row>
    <row r="465" spans="29:42" ht="14.5">
      <c r="AC465" s="3"/>
      <c r="AD465" s="3"/>
      <c r="AP465" s="53"/>
    </row>
    <row r="466" spans="29:42" ht="14.5">
      <c r="AC466" s="3"/>
      <c r="AD466" s="3"/>
      <c r="AP466" s="53"/>
    </row>
    <row r="467" spans="29:42" ht="14.5">
      <c r="AC467" s="3"/>
      <c r="AD467" s="3"/>
      <c r="AP467" s="53"/>
    </row>
    <row r="468" spans="29:42" ht="14.5">
      <c r="AC468" s="3"/>
      <c r="AD468" s="3"/>
      <c r="AP468" s="53"/>
    </row>
    <row r="469" spans="29:42" ht="14.5">
      <c r="AC469" s="3"/>
      <c r="AD469" s="3"/>
      <c r="AP469" s="53"/>
    </row>
    <row r="470" spans="29:42" ht="14.5">
      <c r="AC470" s="3"/>
      <c r="AD470" s="3"/>
      <c r="AP470" s="53"/>
    </row>
    <row r="471" spans="29:42" ht="14.5">
      <c r="AC471" s="3"/>
      <c r="AD471" s="3"/>
      <c r="AP471" s="53"/>
    </row>
    <row r="472" spans="29:42" ht="14.5">
      <c r="AC472" s="3"/>
      <c r="AD472" s="3"/>
      <c r="AP472" s="53"/>
    </row>
    <row r="473" spans="29:42" ht="14.5">
      <c r="AC473" s="3"/>
      <c r="AD473" s="3"/>
      <c r="AP473" s="53"/>
    </row>
    <row r="474" spans="29:42" ht="14.5">
      <c r="AC474" s="3"/>
      <c r="AD474" s="3"/>
      <c r="AP474" s="53"/>
    </row>
    <row r="475" spans="29:42" ht="14.5">
      <c r="AC475" s="3"/>
      <c r="AD475" s="3"/>
      <c r="AP475" s="53"/>
    </row>
    <row r="476" spans="29:42" ht="14.5">
      <c r="AC476" s="3"/>
      <c r="AD476" s="3"/>
      <c r="AP476" s="53"/>
    </row>
    <row r="477" spans="29:42" ht="14.5">
      <c r="AC477" s="3"/>
      <c r="AD477" s="3"/>
      <c r="AP477" s="53"/>
    </row>
    <row r="478" spans="29:42" ht="14.5">
      <c r="AC478" s="3"/>
      <c r="AD478" s="3"/>
      <c r="AP478" s="53"/>
    </row>
    <row r="479" spans="29:42" ht="14.5">
      <c r="AC479" s="3"/>
      <c r="AD479" s="3"/>
      <c r="AP479" s="53"/>
    </row>
    <row r="480" spans="29:42" ht="14.5">
      <c r="AC480" s="3"/>
      <c r="AD480" s="3"/>
      <c r="AP480" s="53"/>
    </row>
    <row r="481" spans="29:42" ht="14.5">
      <c r="AC481" s="3"/>
      <c r="AD481" s="3"/>
      <c r="AP481" s="53"/>
    </row>
    <row r="482" spans="29:42" ht="14.5">
      <c r="AC482" s="3"/>
      <c r="AD482" s="3"/>
      <c r="AP482" s="53"/>
    </row>
    <row r="483" spans="29:42" ht="14.5">
      <c r="AC483" s="3"/>
      <c r="AD483" s="3"/>
      <c r="AP483" s="53"/>
    </row>
    <row r="484" spans="29:42" ht="14.5">
      <c r="AC484" s="3"/>
      <c r="AD484" s="3"/>
      <c r="AP484" s="53"/>
    </row>
    <row r="485" spans="29:42" ht="14.5">
      <c r="AC485" s="3"/>
      <c r="AD485" s="3"/>
      <c r="AP485" s="53"/>
    </row>
    <row r="486" spans="29:42" ht="14.5">
      <c r="AC486" s="3"/>
      <c r="AD486" s="3"/>
      <c r="AP486" s="53"/>
    </row>
    <row r="487" spans="29:42" ht="14.5">
      <c r="AC487" s="3"/>
      <c r="AD487" s="3"/>
      <c r="AP487" s="53"/>
    </row>
    <row r="488" spans="29:42" ht="14.5">
      <c r="AC488" s="3"/>
      <c r="AD488" s="3"/>
      <c r="AP488" s="53"/>
    </row>
    <row r="489" spans="29:42" ht="14.5">
      <c r="AC489" s="3"/>
      <c r="AD489" s="3"/>
      <c r="AP489" s="53"/>
    </row>
    <row r="490" spans="29:42" ht="14.5">
      <c r="AC490" s="3"/>
      <c r="AD490" s="3"/>
      <c r="AP490" s="53"/>
    </row>
    <row r="491" spans="29:42" ht="14.5">
      <c r="AC491" s="3"/>
      <c r="AD491" s="3"/>
      <c r="AP491" s="53"/>
    </row>
    <row r="492" spans="29:42" ht="14.5">
      <c r="AC492" s="3"/>
      <c r="AD492" s="3"/>
      <c r="AP492" s="53"/>
    </row>
    <row r="493" spans="29:42" ht="14.5">
      <c r="AC493" s="3"/>
      <c r="AD493" s="3"/>
      <c r="AP493" s="53"/>
    </row>
    <row r="494" spans="29:42" ht="14.5">
      <c r="AC494" s="3"/>
      <c r="AD494" s="3"/>
      <c r="AP494" s="53"/>
    </row>
    <row r="495" spans="29:42" ht="14.5">
      <c r="AC495" s="3"/>
      <c r="AD495" s="3"/>
      <c r="AP495" s="53"/>
    </row>
    <row r="496" spans="29:42" ht="14.5">
      <c r="AC496" s="3"/>
      <c r="AD496" s="3"/>
      <c r="AP496" s="53"/>
    </row>
    <row r="497" spans="29:42" ht="14.5">
      <c r="AC497" s="3"/>
      <c r="AD497" s="3"/>
      <c r="AP497" s="53"/>
    </row>
    <row r="498" spans="29:42" ht="14.5">
      <c r="AC498" s="3"/>
      <c r="AD498" s="3"/>
      <c r="AP498" s="53"/>
    </row>
    <row r="499" spans="29:42" ht="14.5">
      <c r="AC499" s="3"/>
      <c r="AD499" s="3"/>
      <c r="AP499" s="53"/>
    </row>
    <row r="500" spans="29:42" ht="14.5">
      <c r="AC500" s="3"/>
      <c r="AD500" s="3"/>
      <c r="AP500" s="53"/>
    </row>
    <row r="501" spans="29:42" ht="14.5">
      <c r="AC501" s="3"/>
      <c r="AD501" s="3"/>
      <c r="AP501" s="53"/>
    </row>
    <row r="502" spans="29:42" ht="14.5">
      <c r="AC502" s="3"/>
      <c r="AD502" s="3"/>
      <c r="AP502" s="53"/>
    </row>
    <row r="503" spans="29:42" ht="14.5">
      <c r="AC503" s="3"/>
      <c r="AD503" s="3"/>
      <c r="AP503" s="53"/>
    </row>
    <row r="504" spans="29:42" ht="14.5">
      <c r="AC504" s="3"/>
      <c r="AD504" s="3"/>
      <c r="AP504" s="53"/>
    </row>
    <row r="505" spans="29:42" ht="14.5">
      <c r="AC505" s="3"/>
      <c r="AD505" s="3"/>
      <c r="AP505" s="53"/>
    </row>
    <row r="506" spans="29:42" ht="14.5">
      <c r="AC506" s="3"/>
      <c r="AD506" s="3"/>
      <c r="AP506" s="53"/>
    </row>
    <row r="507" spans="29:42" ht="14.5">
      <c r="AC507" s="3"/>
      <c r="AD507" s="3"/>
      <c r="AP507" s="53"/>
    </row>
    <row r="508" spans="29:42" ht="14.5">
      <c r="AC508" s="3"/>
      <c r="AD508" s="3"/>
      <c r="AP508" s="53"/>
    </row>
    <row r="509" spans="29:42" ht="14.5">
      <c r="AC509" s="3"/>
      <c r="AD509" s="3"/>
      <c r="AP509" s="53"/>
    </row>
    <row r="510" spans="29:42" ht="14.5">
      <c r="AC510" s="3"/>
      <c r="AD510" s="3"/>
      <c r="AP510" s="53"/>
    </row>
    <row r="511" spans="29:42" ht="14.5">
      <c r="AC511" s="3"/>
      <c r="AD511" s="3"/>
      <c r="AP511" s="53"/>
    </row>
    <row r="512" spans="29:42" ht="14.5">
      <c r="AC512" s="3"/>
      <c r="AD512" s="3"/>
      <c r="AP512" s="53"/>
    </row>
    <row r="513" spans="29:42" ht="14.5">
      <c r="AC513" s="3"/>
      <c r="AD513" s="3"/>
      <c r="AP513" s="53"/>
    </row>
    <row r="514" spans="29:42" ht="14.5">
      <c r="AC514" s="3"/>
      <c r="AD514" s="3"/>
      <c r="AP514" s="53"/>
    </row>
    <row r="515" spans="29:42" ht="14.5">
      <c r="AC515" s="3"/>
      <c r="AD515" s="3"/>
      <c r="AP515" s="53"/>
    </row>
    <row r="516" spans="29:42" ht="14.5">
      <c r="AC516" s="3"/>
      <c r="AD516" s="3"/>
      <c r="AP516" s="53"/>
    </row>
    <row r="517" spans="29:42" ht="14.5">
      <c r="AC517" s="3"/>
      <c r="AD517" s="3"/>
      <c r="AP517" s="53"/>
    </row>
    <row r="518" spans="29:42" ht="14.5">
      <c r="AC518" s="3"/>
      <c r="AD518" s="3"/>
      <c r="AP518" s="53"/>
    </row>
    <row r="519" spans="29:42" ht="14.5">
      <c r="AC519" s="3"/>
      <c r="AD519" s="3"/>
      <c r="AP519" s="53"/>
    </row>
    <row r="520" spans="29:42" ht="14.5">
      <c r="AC520" s="3"/>
      <c r="AD520" s="3"/>
      <c r="AP520" s="53"/>
    </row>
    <row r="521" spans="29:42" ht="14.5">
      <c r="AC521" s="3"/>
      <c r="AD521" s="3"/>
      <c r="AP521" s="53"/>
    </row>
    <row r="522" spans="29:42" ht="14.5">
      <c r="AC522" s="3"/>
      <c r="AD522" s="3"/>
      <c r="AP522" s="53"/>
    </row>
    <row r="523" spans="29:42" ht="14.5">
      <c r="AC523" s="3"/>
      <c r="AD523" s="3"/>
      <c r="AP523" s="53"/>
    </row>
    <row r="524" spans="29:42" ht="14.5">
      <c r="AC524" s="3"/>
      <c r="AD524" s="3"/>
      <c r="AP524" s="53"/>
    </row>
    <row r="525" spans="29:42" ht="14.5">
      <c r="AC525" s="3"/>
      <c r="AD525" s="3"/>
      <c r="AP525" s="53"/>
    </row>
    <row r="526" spans="29:42" ht="14.5">
      <c r="AC526" s="3"/>
      <c r="AD526" s="3"/>
      <c r="AP526" s="53"/>
    </row>
    <row r="527" spans="29:42" ht="14.5">
      <c r="AC527" s="3"/>
      <c r="AD527" s="3"/>
      <c r="AP527" s="53"/>
    </row>
    <row r="528" spans="29:42" ht="14.5">
      <c r="AC528" s="3"/>
      <c r="AD528" s="3"/>
      <c r="AP528" s="53"/>
    </row>
    <row r="529" spans="29:42" ht="14.5">
      <c r="AC529" s="3"/>
      <c r="AD529" s="3"/>
      <c r="AP529" s="53"/>
    </row>
    <row r="530" spans="29:42" ht="14.5">
      <c r="AC530" s="3"/>
      <c r="AD530" s="3"/>
      <c r="AP530" s="53"/>
    </row>
    <row r="531" spans="29:42" ht="14.5">
      <c r="AC531" s="3"/>
      <c r="AD531" s="3"/>
      <c r="AP531" s="53"/>
    </row>
    <row r="532" spans="29:42" ht="14.5">
      <c r="AC532" s="3"/>
      <c r="AD532" s="3"/>
      <c r="AP532" s="53"/>
    </row>
    <row r="533" spans="29:42" ht="14.5">
      <c r="AC533" s="3"/>
      <c r="AD533" s="3"/>
      <c r="AP533" s="53"/>
    </row>
    <row r="534" spans="29:42" ht="14.5">
      <c r="AC534" s="3"/>
      <c r="AD534" s="3"/>
      <c r="AP534" s="53"/>
    </row>
    <row r="535" spans="29:42" ht="14.5">
      <c r="AC535" s="3"/>
      <c r="AD535" s="3"/>
      <c r="AP535" s="53"/>
    </row>
    <row r="536" spans="29:42" ht="14.5">
      <c r="AC536" s="3"/>
      <c r="AD536" s="3"/>
      <c r="AP536" s="53"/>
    </row>
    <row r="537" spans="29:42" ht="14.5">
      <c r="AC537" s="3"/>
      <c r="AD537" s="3"/>
      <c r="AP537" s="53"/>
    </row>
    <row r="538" spans="29:42" ht="14.5">
      <c r="AC538" s="3"/>
      <c r="AD538" s="3"/>
      <c r="AP538" s="53"/>
    </row>
    <row r="539" spans="29:42" ht="14.5">
      <c r="AC539" s="3"/>
      <c r="AD539" s="3"/>
      <c r="AP539" s="53"/>
    </row>
    <row r="540" spans="29:42" ht="14.5">
      <c r="AC540" s="3"/>
      <c r="AD540" s="3"/>
      <c r="AP540" s="53"/>
    </row>
    <row r="541" spans="29:42" ht="14.5">
      <c r="AC541" s="3"/>
      <c r="AD541" s="3"/>
      <c r="AP541" s="53"/>
    </row>
    <row r="542" spans="29:42" ht="14.5">
      <c r="AC542" s="3"/>
      <c r="AD542" s="3"/>
      <c r="AP542" s="53"/>
    </row>
    <row r="543" spans="29:42" ht="14.5">
      <c r="AC543" s="3"/>
      <c r="AD543" s="3"/>
      <c r="AP543" s="53"/>
    </row>
    <row r="544" spans="29:42" ht="14.5">
      <c r="AC544" s="3"/>
      <c r="AD544" s="3"/>
      <c r="AP544" s="53"/>
    </row>
    <row r="545" spans="29:42" ht="14.5">
      <c r="AC545" s="3"/>
      <c r="AD545" s="3"/>
      <c r="AP545" s="53"/>
    </row>
    <row r="546" spans="29:42" ht="14.5">
      <c r="AC546" s="3"/>
      <c r="AD546" s="3"/>
      <c r="AP546" s="53"/>
    </row>
    <row r="547" spans="29:42" ht="14.5">
      <c r="AC547" s="3"/>
      <c r="AD547" s="3"/>
      <c r="AP547" s="53"/>
    </row>
    <row r="548" spans="29:42" ht="14.5">
      <c r="AC548" s="3"/>
      <c r="AD548" s="3"/>
      <c r="AP548" s="53"/>
    </row>
    <row r="549" spans="29:42" ht="14.5">
      <c r="AC549" s="3"/>
      <c r="AD549" s="3"/>
      <c r="AP549" s="53"/>
    </row>
    <row r="550" spans="29:42" ht="14.5">
      <c r="AC550" s="3"/>
      <c r="AD550" s="3"/>
      <c r="AP550" s="53"/>
    </row>
    <row r="551" spans="29:42" ht="14.5">
      <c r="AC551" s="3"/>
      <c r="AD551" s="3"/>
      <c r="AP551" s="53"/>
    </row>
    <row r="552" spans="29:42" ht="14.5">
      <c r="AC552" s="3"/>
      <c r="AD552" s="3"/>
      <c r="AP552" s="53"/>
    </row>
    <row r="553" spans="29:42" ht="14.5">
      <c r="AC553" s="3"/>
      <c r="AD553" s="3"/>
      <c r="AP553" s="53"/>
    </row>
    <row r="554" spans="29:42" ht="14.5">
      <c r="AC554" s="3"/>
      <c r="AD554" s="3"/>
      <c r="AP554" s="53"/>
    </row>
    <row r="555" spans="29:42" ht="14.5">
      <c r="AC555" s="3"/>
      <c r="AD555" s="3"/>
      <c r="AP555" s="53"/>
    </row>
    <row r="556" spans="29:42" ht="14.5">
      <c r="AC556" s="3"/>
      <c r="AD556" s="3"/>
      <c r="AP556" s="53"/>
    </row>
    <row r="557" spans="29:42" ht="14.5">
      <c r="AC557" s="3"/>
      <c r="AD557" s="3"/>
      <c r="AP557" s="53"/>
    </row>
    <row r="558" spans="29:42" ht="14.5">
      <c r="AC558" s="3"/>
      <c r="AD558" s="3"/>
      <c r="AP558" s="53"/>
    </row>
    <row r="559" spans="29:42" ht="14.5">
      <c r="AC559" s="3"/>
      <c r="AD559" s="3"/>
      <c r="AP559" s="53"/>
    </row>
    <row r="560" spans="29:42" ht="14.5">
      <c r="AC560" s="3"/>
      <c r="AD560" s="3"/>
      <c r="AP560" s="53"/>
    </row>
    <row r="561" spans="29:42" ht="14.5">
      <c r="AC561" s="3"/>
      <c r="AD561" s="3"/>
      <c r="AP561" s="53"/>
    </row>
    <row r="562" spans="29:42" ht="14.5">
      <c r="AC562" s="3"/>
      <c r="AD562" s="3"/>
      <c r="AP562" s="53"/>
    </row>
    <row r="563" spans="29:42" ht="14.5">
      <c r="AC563" s="3"/>
      <c r="AD563" s="3"/>
      <c r="AP563" s="53"/>
    </row>
    <row r="564" spans="29:42" ht="14.5">
      <c r="AC564" s="3"/>
      <c r="AD564" s="3"/>
      <c r="AP564" s="53"/>
    </row>
    <row r="565" spans="29:42" ht="14.5">
      <c r="AC565" s="3"/>
      <c r="AD565" s="3"/>
      <c r="AP565" s="53"/>
    </row>
    <row r="566" spans="29:42" ht="14.5">
      <c r="AC566" s="3"/>
      <c r="AD566" s="3"/>
      <c r="AP566" s="53"/>
    </row>
    <row r="567" spans="29:42" ht="14.5">
      <c r="AC567" s="3"/>
      <c r="AD567" s="3"/>
      <c r="AP567" s="53"/>
    </row>
    <row r="568" spans="29:42" ht="14.5">
      <c r="AC568" s="3"/>
      <c r="AD568" s="3"/>
      <c r="AP568" s="53"/>
    </row>
    <row r="569" spans="29:42" ht="14.5">
      <c r="AC569" s="3"/>
      <c r="AD569" s="3"/>
      <c r="AP569" s="53"/>
    </row>
    <row r="570" spans="29:42" ht="14.5">
      <c r="AC570" s="3"/>
      <c r="AD570" s="3"/>
      <c r="AP570" s="53"/>
    </row>
    <row r="571" spans="29:42" ht="14.5">
      <c r="AC571" s="3"/>
      <c r="AD571" s="3"/>
      <c r="AP571" s="53"/>
    </row>
    <row r="572" spans="29:42" ht="14.5">
      <c r="AC572" s="3"/>
      <c r="AD572" s="3"/>
      <c r="AP572" s="53"/>
    </row>
    <row r="573" spans="29:42" ht="14.5">
      <c r="AC573" s="3"/>
      <c r="AD573" s="3"/>
      <c r="AP573" s="53"/>
    </row>
    <row r="574" spans="29:42" ht="14.5">
      <c r="AC574" s="3"/>
      <c r="AD574" s="3"/>
      <c r="AP574" s="53"/>
    </row>
    <row r="575" spans="29:42" ht="14.5">
      <c r="AC575" s="3"/>
      <c r="AD575" s="3"/>
      <c r="AP575" s="53"/>
    </row>
    <row r="576" spans="29:42" ht="14.5">
      <c r="AC576" s="3"/>
      <c r="AD576" s="3"/>
      <c r="AP576" s="53"/>
    </row>
    <row r="577" spans="29:42" ht="14.5">
      <c r="AC577" s="3"/>
      <c r="AD577" s="3"/>
      <c r="AP577" s="53"/>
    </row>
    <row r="578" spans="29:42" ht="14.5">
      <c r="AC578" s="3"/>
      <c r="AD578" s="3"/>
      <c r="AP578" s="53"/>
    </row>
    <row r="579" spans="29:42" ht="14.5">
      <c r="AC579" s="3"/>
      <c r="AD579" s="3"/>
      <c r="AP579" s="53"/>
    </row>
    <row r="580" spans="29:42" ht="14.5">
      <c r="AC580" s="3"/>
      <c r="AD580" s="3"/>
      <c r="AP580" s="53"/>
    </row>
    <row r="581" spans="29:42" ht="14.5">
      <c r="AC581" s="3"/>
      <c r="AD581" s="3"/>
      <c r="AP581" s="53"/>
    </row>
    <row r="582" spans="29:42" ht="14.5">
      <c r="AC582" s="3"/>
      <c r="AD582" s="3"/>
      <c r="AP582" s="53"/>
    </row>
    <row r="583" spans="29:42" ht="14.5">
      <c r="AC583" s="3"/>
      <c r="AD583" s="3"/>
      <c r="AP583" s="53"/>
    </row>
    <row r="584" spans="29:42" ht="14.5">
      <c r="AC584" s="3"/>
      <c r="AD584" s="3"/>
      <c r="AP584" s="53"/>
    </row>
    <row r="585" spans="29:42" ht="14.5">
      <c r="AC585" s="3"/>
      <c r="AD585" s="3"/>
      <c r="AP585" s="53"/>
    </row>
    <row r="586" spans="29:42" ht="14.5">
      <c r="AC586" s="3"/>
      <c r="AD586" s="3"/>
      <c r="AP586" s="53"/>
    </row>
    <row r="587" spans="29:42" ht="14.5">
      <c r="AC587" s="3"/>
      <c r="AD587" s="3"/>
      <c r="AP587" s="53"/>
    </row>
    <row r="588" spans="29:42" ht="14.5">
      <c r="AC588" s="3"/>
      <c r="AD588" s="3"/>
      <c r="AP588" s="53"/>
    </row>
    <row r="589" spans="29:42" ht="14.5">
      <c r="AC589" s="3"/>
      <c r="AD589" s="3"/>
      <c r="AP589" s="53"/>
    </row>
    <row r="590" spans="29:42" ht="14.5">
      <c r="AC590" s="3"/>
      <c r="AD590" s="3"/>
      <c r="AP590" s="53"/>
    </row>
    <row r="591" spans="29:42" ht="14.5">
      <c r="AC591" s="3"/>
      <c r="AD591" s="3"/>
      <c r="AP591" s="53"/>
    </row>
    <row r="592" spans="29:42" ht="14.5">
      <c r="AC592" s="3"/>
      <c r="AD592" s="3"/>
      <c r="AP592" s="53"/>
    </row>
    <row r="593" spans="29:42" ht="14.5">
      <c r="AC593" s="3"/>
      <c r="AD593" s="3"/>
      <c r="AP593" s="53"/>
    </row>
    <row r="594" spans="29:42" ht="14.5">
      <c r="AC594" s="3"/>
      <c r="AD594" s="3"/>
      <c r="AP594" s="53"/>
    </row>
    <row r="595" spans="29:42" ht="14.5">
      <c r="AC595" s="3"/>
      <c r="AD595" s="3"/>
      <c r="AP595" s="53"/>
    </row>
    <row r="596" spans="29:42" ht="14.5">
      <c r="AC596" s="3"/>
      <c r="AD596" s="3"/>
      <c r="AP596" s="53"/>
    </row>
    <row r="597" spans="29:42" ht="14.5">
      <c r="AC597" s="3"/>
      <c r="AD597" s="3"/>
      <c r="AP597" s="53"/>
    </row>
    <row r="598" spans="29:42" ht="14.5">
      <c r="AC598" s="3"/>
      <c r="AD598" s="3"/>
      <c r="AP598" s="53"/>
    </row>
    <row r="599" spans="29:42" ht="14.5">
      <c r="AC599" s="3"/>
      <c r="AD599" s="3"/>
      <c r="AP599" s="53"/>
    </row>
    <row r="600" spans="29:42" ht="14.5">
      <c r="AC600" s="3"/>
      <c r="AD600" s="3"/>
      <c r="AP600" s="53"/>
    </row>
    <row r="601" spans="29:42" ht="14.5">
      <c r="AC601" s="3"/>
      <c r="AD601" s="3"/>
      <c r="AP601" s="53"/>
    </row>
    <row r="602" spans="29:42" ht="14.5">
      <c r="AC602" s="3"/>
      <c r="AD602" s="3"/>
      <c r="AP602" s="53"/>
    </row>
    <row r="603" spans="29:42" ht="14.5">
      <c r="AC603" s="3"/>
      <c r="AD603" s="3"/>
      <c r="AP603" s="53"/>
    </row>
    <row r="604" spans="29:42" ht="14.5">
      <c r="AC604" s="3"/>
      <c r="AD604" s="3"/>
      <c r="AP604" s="53"/>
    </row>
    <row r="605" spans="29:42" ht="14.5">
      <c r="AC605" s="3"/>
      <c r="AD605" s="3"/>
      <c r="AP605" s="53"/>
    </row>
    <row r="606" spans="29:42" ht="14.5">
      <c r="AC606" s="3"/>
      <c r="AD606" s="3"/>
      <c r="AP606" s="53"/>
    </row>
    <row r="607" spans="29:42" ht="14.5">
      <c r="AC607" s="3"/>
      <c r="AD607" s="3"/>
      <c r="AP607" s="53"/>
    </row>
    <row r="608" spans="29:42" ht="14.5">
      <c r="AC608" s="3"/>
      <c r="AD608" s="3"/>
      <c r="AP608" s="53"/>
    </row>
    <row r="609" spans="29:42" ht="14.5">
      <c r="AC609" s="3"/>
      <c r="AD609" s="3"/>
      <c r="AP609" s="53"/>
    </row>
    <row r="610" spans="29:42" ht="14.5">
      <c r="AC610" s="3"/>
      <c r="AD610" s="3"/>
      <c r="AP610" s="53"/>
    </row>
    <row r="611" spans="29:42" ht="14.5">
      <c r="AC611" s="3"/>
      <c r="AD611" s="3"/>
      <c r="AP611" s="53"/>
    </row>
    <row r="612" spans="29:42" ht="14.5">
      <c r="AC612" s="3"/>
      <c r="AD612" s="3"/>
      <c r="AP612" s="53"/>
    </row>
    <row r="613" spans="29:42" ht="14.5">
      <c r="AC613" s="3"/>
      <c r="AD613" s="3"/>
      <c r="AP613" s="53"/>
    </row>
    <row r="614" spans="29:42" ht="14.5">
      <c r="AC614" s="3"/>
      <c r="AD614" s="3"/>
      <c r="AP614" s="53"/>
    </row>
    <row r="615" spans="29:42" ht="14.5">
      <c r="AC615" s="3"/>
      <c r="AD615" s="3"/>
      <c r="AP615" s="53"/>
    </row>
    <row r="616" spans="29:42" ht="14.5">
      <c r="AC616" s="3"/>
      <c r="AD616" s="3"/>
      <c r="AP616" s="53"/>
    </row>
    <row r="617" spans="29:42" ht="14.5">
      <c r="AC617" s="3"/>
      <c r="AD617" s="3"/>
      <c r="AP617" s="53"/>
    </row>
    <row r="618" spans="29:42" ht="14.5">
      <c r="AC618" s="3"/>
      <c r="AD618" s="3"/>
      <c r="AP618" s="53"/>
    </row>
    <row r="619" spans="29:42" ht="14.5">
      <c r="AC619" s="3"/>
      <c r="AD619" s="3"/>
      <c r="AP619" s="53"/>
    </row>
    <row r="620" spans="29:42" ht="14.5">
      <c r="AC620" s="3"/>
      <c r="AD620" s="3"/>
      <c r="AP620" s="53"/>
    </row>
    <row r="621" spans="29:42" ht="14.5">
      <c r="AC621" s="3"/>
      <c r="AD621" s="3"/>
      <c r="AP621" s="53"/>
    </row>
    <row r="622" spans="29:42" ht="14.5">
      <c r="AC622" s="3"/>
      <c r="AD622" s="3"/>
      <c r="AP622" s="53"/>
    </row>
    <row r="623" spans="29:42" ht="14.5">
      <c r="AC623" s="3"/>
      <c r="AD623" s="3"/>
      <c r="AP623" s="53"/>
    </row>
    <row r="624" spans="29:42" ht="14.5">
      <c r="AC624" s="3"/>
      <c r="AD624" s="3"/>
      <c r="AP624" s="53"/>
    </row>
    <row r="625" spans="29:42" ht="14.5">
      <c r="AC625" s="3"/>
      <c r="AD625" s="3"/>
      <c r="AP625" s="53"/>
    </row>
    <row r="626" spans="29:42" ht="14.5">
      <c r="AC626" s="3"/>
      <c r="AD626" s="3"/>
      <c r="AP626" s="53"/>
    </row>
    <row r="627" spans="29:42" ht="14.5">
      <c r="AC627" s="3"/>
      <c r="AD627" s="3"/>
      <c r="AP627" s="53"/>
    </row>
    <row r="628" spans="29:42" ht="14.5">
      <c r="AC628" s="3"/>
      <c r="AD628" s="3"/>
      <c r="AP628" s="53"/>
    </row>
    <row r="629" spans="29:42" ht="14.5">
      <c r="AC629" s="3"/>
      <c r="AD629" s="3"/>
      <c r="AP629" s="53"/>
    </row>
    <row r="630" spans="29:42" ht="14.5">
      <c r="AC630" s="3"/>
      <c r="AD630" s="3"/>
      <c r="AP630" s="53"/>
    </row>
    <row r="631" spans="29:42" ht="14.5">
      <c r="AC631" s="3"/>
      <c r="AD631" s="3"/>
      <c r="AP631" s="53"/>
    </row>
    <row r="632" spans="29:42" ht="14.5">
      <c r="AC632" s="3"/>
      <c r="AD632" s="3"/>
      <c r="AP632" s="53"/>
    </row>
    <row r="633" spans="29:42" ht="14.5">
      <c r="AC633" s="3"/>
      <c r="AD633" s="3"/>
      <c r="AP633" s="53"/>
    </row>
    <row r="634" spans="29:42" ht="14.5">
      <c r="AC634" s="3"/>
      <c r="AD634" s="3"/>
      <c r="AP634" s="53"/>
    </row>
    <row r="635" spans="29:42" ht="14.5">
      <c r="AC635" s="3"/>
      <c r="AD635" s="3"/>
      <c r="AP635" s="53"/>
    </row>
    <row r="636" spans="29:42" ht="14.5">
      <c r="AC636" s="3"/>
      <c r="AD636" s="3"/>
      <c r="AP636" s="53"/>
    </row>
    <row r="637" spans="29:42" ht="14.5">
      <c r="AC637" s="3"/>
      <c r="AD637" s="3"/>
      <c r="AP637" s="53"/>
    </row>
    <row r="638" spans="29:42" ht="14.5">
      <c r="AC638" s="3"/>
      <c r="AD638" s="3"/>
      <c r="AP638" s="53"/>
    </row>
    <row r="639" spans="29:42" ht="14.5">
      <c r="AC639" s="3"/>
      <c r="AD639" s="3"/>
      <c r="AP639" s="53"/>
    </row>
    <row r="640" spans="29:42" ht="14.5">
      <c r="AC640" s="3"/>
      <c r="AD640" s="3"/>
      <c r="AP640" s="53"/>
    </row>
    <row r="641" spans="29:42" ht="14.5">
      <c r="AC641" s="3"/>
      <c r="AD641" s="3"/>
      <c r="AP641" s="53"/>
    </row>
    <row r="642" spans="29:42" ht="14.5">
      <c r="AC642" s="3"/>
      <c r="AD642" s="3"/>
      <c r="AP642" s="53"/>
    </row>
    <row r="643" spans="29:42" ht="14.5">
      <c r="AC643" s="3"/>
      <c r="AD643" s="3"/>
      <c r="AP643" s="53"/>
    </row>
    <row r="644" spans="29:42" ht="14.5">
      <c r="AC644" s="3"/>
      <c r="AD644" s="3"/>
      <c r="AP644" s="53"/>
    </row>
    <row r="645" spans="29:42" ht="14.5">
      <c r="AC645" s="3"/>
      <c r="AD645" s="3"/>
      <c r="AP645" s="53"/>
    </row>
    <row r="646" spans="29:42" ht="14.5">
      <c r="AC646" s="3"/>
      <c r="AD646" s="3"/>
      <c r="AP646" s="53"/>
    </row>
    <row r="647" spans="29:42" ht="14.5">
      <c r="AC647" s="3"/>
      <c r="AD647" s="3"/>
      <c r="AP647" s="53"/>
    </row>
    <row r="648" spans="29:42" ht="14.5">
      <c r="AC648" s="3"/>
      <c r="AD648" s="3"/>
      <c r="AP648" s="53"/>
    </row>
    <row r="649" spans="29:42" ht="14.5">
      <c r="AC649" s="3"/>
      <c r="AD649" s="3"/>
      <c r="AP649" s="53"/>
    </row>
    <row r="650" spans="29:42" ht="14.5">
      <c r="AC650" s="3"/>
      <c r="AD650" s="3"/>
      <c r="AP650" s="53"/>
    </row>
    <row r="651" spans="29:42" ht="14.5">
      <c r="AC651" s="3"/>
      <c r="AD651" s="3"/>
      <c r="AP651" s="53"/>
    </row>
    <row r="652" spans="29:42" ht="14.5">
      <c r="AC652" s="3"/>
      <c r="AD652" s="3"/>
      <c r="AP652" s="53"/>
    </row>
    <row r="653" spans="29:42" ht="14.5">
      <c r="AC653" s="3"/>
      <c r="AD653" s="3"/>
      <c r="AP653" s="53"/>
    </row>
    <row r="654" spans="29:42" ht="14.5">
      <c r="AC654" s="3"/>
      <c r="AD654" s="3"/>
      <c r="AP654" s="53"/>
    </row>
    <row r="655" spans="29:42" ht="14.5">
      <c r="AC655" s="3"/>
      <c r="AD655" s="3"/>
      <c r="AP655" s="53"/>
    </row>
    <row r="656" spans="29:42" ht="14.5">
      <c r="AC656" s="3"/>
      <c r="AD656" s="3"/>
      <c r="AP656" s="53"/>
    </row>
    <row r="657" spans="29:42" ht="14.5">
      <c r="AC657" s="3"/>
      <c r="AD657" s="3"/>
      <c r="AP657" s="53"/>
    </row>
    <row r="658" spans="29:42" ht="14.5">
      <c r="AC658" s="3"/>
      <c r="AD658" s="3"/>
      <c r="AP658" s="53"/>
    </row>
    <row r="659" spans="29:42" ht="14.5">
      <c r="AC659" s="3"/>
      <c r="AD659" s="3"/>
      <c r="AP659" s="53"/>
    </row>
    <row r="660" spans="29:42" ht="14.5">
      <c r="AC660" s="3"/>
      <c r="AD660" s="3"/>
      <c r="AP660" s="53"/>
    </row>
    <row r="661" spans="29:42" ht="14.5">
      <c r="AC661" s="3"/>
      <c r="AD661" s="3"/>
      <c r="AP661" s="53"/>
    </row>
    <row r="662" spans="29:42" ht="14.5">
      <c r="AC662" s="3"/>
      <c r="AD662" s="3"/>
      <c r="AP662" s="53"/>
    </row>
    <row r="663" spans="29:42" ht="14.5">
      <c r="AC663" s="3"/>
      <c r="AD663" s="3"/>
      <c r="AP663" s="53"/>
    </row>
    <row r="664" spans="29:42" ht="14.5">
      <c r="AC664" s="3"/>
      <c r="AD664" s="3"/>
      <c r="AP664" s="53"/>
    </row>
    <row r="665" spans="29:42" ht="14.5">
      <c r="AC665" s="3"/>
      <c r="AD665" s="3"/>
      <c r="AP665" s="53"/>
    </row>
    <row r="666" spans="29:42" ht="14.5">
      <c r="AC666" s="3"/>
      <c r="AD666" s="3"/>
      <c r="AP666" s="53"/>
    </row>
    <row r="667" spans="29:42" ht="14.5">
      <c r="AC667" s="3"/>
      <c r="AD667" s="3"/>
      <c r="AP667" s="53"/>
    </row>
    <row r="668" spans="29:42" ht="14.5">
      <c r="AC668" s="3"/>
      <c r="AD668" s="3"/>
      <c r="AP668" s="53"/>
    </row>
    <row r="669" spans="29:42" ht="14.5">
      <c r="AC669" s="3"/>
      <c r="AD669" s="3"/>
      <c r="AP669" s="53"/>
    </row>
    <row r="670" spans="29:42" ht="14.5">
      <c r="AC670" s="3"/>
      <c r="AD670" s="3"/>
      <c r="AP670" s="53"/>
    </row>
    <row r="671" spans="29:42" ht="14.5">
      <c r="AC671" s="3"/>
      <c r="AD671" s="3"/>
      <c r="AP671" s="53"/>
    </row>
    <row r="672" spans="29:42" ht="14.5">
      <c r="AC672" s="3"/>
      <c r="AD672" s="3"/>
      <c r="AP672" s="53"/>
    </row>
    <row r="673" spans="29:42" ht="14.5">
      <c r="AC673" s="3"/>
      <c r="AD673" s="3"/>
      <c r="AP673" s="53"/>
    </row>
    <row r="674" spans="29:42" ht="14.5">
      <c r="AC674" s="3"/>
      <c r="AD674" s="3"/>
      <c r="AP674" s="53"/>
    </row>
    <row r="675" spans="29:42" ht="14.5">
      <c r="AC675" s="3"/>
      <c r="AD675" s="3"/>
      <c r="AP675" s="53"/>
    </row>
    <row r="676" spans="29:42" ht="14.5">
      <c r="AC676" s="3"/>
      <c r="AD676" s="3"/>
      <c r="AP676" s="53"/>
    </row>
    <row r="677" spans="29:42" ht="14.5">
      <c r="AC677" s="3"/>
      <c r="AD677" s="3"/>
      <c r="AP677" s="53"/>
    </row>
    <row r="678" spans="29:42" ht="14.5">
      <c r="AC678" s="3"/>
      <c r="AD678" s="3"/>
      <c r="AP678" s="53"/>
    </row>
    <row r="679" spans="29:42" ht="14.5">
      <c r="AC679" s="3"/>
      <c r="AD679" s="3"/>
      <c r="AP679" s="53"/>
    </row>
    <row r="680" spans="29:42" ht="14.5">
      <c r="AC680" s="3"/>
      <c r="AD680" s="3"/>
      <c r="AP680" s="53"/>
    </row>
    <row r="681" spans="29:42" ht="14.5">
      <c r="AC681" s="3"/>
      <c r="AD681" s="3"/>
      <c r="AP681" s="53"/>
    </row>
    <row r="682" spans="29:42" ht="14.5">
      <c r="AC682" s="3"/>
      <c r="AD682" s="3"/>
      <c r="AP682" s="53"/>
    </row>
    <row r="683" spans="29:42" ht="14.5">
      <c r="AC683" s="3"/>
      <c r="AD683" s="3"/>
      <c r="AP683" s="53"/>
    </row>
    <row r="684" spans="29:42" ht="14.5">
      <c r="AC684" s="3"/>
      <c r="AD684" s="3"/>
      <c r="AP684" s="53"/>
    </row>
    <row r="685" spans="29:42" ht="14.5">
      <c r="AC685" s="3"/>
      <c r="AD685" s="3"/>
      <c r="AP685" s="53"/>
    </row>
    <row r="686" spans="29:42" ht="14.5">
      <c r="AC686" s="3"/>
      <c r="AD686" s="3"/>
      <c r="AP686" s="53"/>
    </row>
    <row r="687" spans="29:42" ht="14.5">
      <c r="AC687" s="3"/>
      <c r="AD687" s="3"/>
      <c r="AP687" s="53"/>
    </row>
    <row r="688" spans="29:42" ht="14.5">
      <c r="AC688" s="3"/>
      <c r="AD688" s="3"/>
      <c r="AP688" s="53"/>
    </row>
    <row r="689" spans="29:42" ht="14.5">
      <c r="AC689" s="3"/>
      <c r="AD689" s="3"/>
      <c r="AP689" s="53"/>
    </row>
    <row r="690" spans="29:42" ht="14.5">
      <c r="AC690" s="3"/>
      <c r="AD690" s="3"/>
      <c r="AP690" s="53"/>
    </row>
    <row r="691" spans="29:42" ht="14.5">
      <c r="AC691" s="3"/>
      <c r="AD691" s="3"/>
      <c r="AP691" s="53"/>
    </row>
    <row r="692" spans="29:42" ht="14.5">
      <c r="AC692" s="3"/>
      <c r="AD692" s="3"/>
      <c r="AP692" s="53"/>
    </row>
    <row r="693" spans="29:42" ht="14.5">
      <c r="AC693" s="3"/>
      <c r="AD693" s="3"/>
      <c r="AP693" s="53"/>
    </row>
    <row r="694" spans="29:42" ht="14.5">
      <c r="AC694" s="3"/>
      <c r="AD694" s="3"/>
      <c r="AP694" s="53"/>
    </row>
    <row r="695" spans="29:42" ht="14.5">
      <c r="AC695" s="3"/>
      <c r="AD695" s="3"/>
      <c r="AP695" s="53"/>
    </row>
    <row r="696" spans="29:42" ht="14.5">
      <c r="AC696" s="3"/>
      <c r="AD696" s="3"/>
      <c r="AP696" s="53"/>
    </row>
    <row r="697" spans="29:42" ht="14.5">
      <c r="AC697" s="3"/>
      <c r="AD697" s="3"/>
      <c r="AP697" s="53"/>
    </row>
    <row r="698" spans="29:42" ht="14.5">
      <c r="AC698" s="3"/>
      <c r="AD698" s="3"/>
      <c r="AP698" s="53"/>
    </row>
    <row r="699" spans="29:42" ht="14.5">
      <c r="AC699" s="3"/>
      <c r="AD699" s="3"/>
      <c r="AP699" s="53"/>
    </row>
    <row r="700" spans="29:42" ht="14.5">
      <c r="AC700" s="3"/>
      <c r="AD700" s="3"/>
      <c r="AP700" s="53"/>
    </row>
    <row r="701" spans="29:42" ht="14.5">
      <c r="AC701" s="3"/>
      <c r="AD701" s="3"/>
      <c r="AP701" s="53"/>
    </row>
    <row r="702" spans="29:42" ht="14.5">
      <c r="AC702" s="3"/>
      <c r="AD702" s="3"/>
      <c r="AP702" s="53"/>
    </row>
    <row r="703" spans="29:42" ht="14.5">
      <c r="AC703" s="3"/>
      <c r="AD703" s="3"/>
      <c r="AP703" s="53"/>
    </row>
    <row r="704" spans="29:42" ht="14.5">
      <c r="AC704" s="3"/>
      <c r="AD704" s="3"/>
      <c r="AP704" s="53"/>
    </row>
    <row r="705" spans="29:42" ht="14.5">
      <c r="AC705" s="3"/>
      <c r="AD705" s="3"/>
      <c r="AP705" s="53"/>
    </row>
    <row r="706" spans="29:42" ht="14.5">
      <c r="AC706" s="3"/>
      <c r="AD706" s="3"/>
      <c r="AP706" s="53"/>
    </row>
    <row r="707" spans="29:42" ht="14.5">
      <c r="AC707" s="3"/>
      <c r="AD707" s="3"/>
      <c r="AP707" s="53"/>
    </row>
    <row r="708" spans="29:42" ht="14.5">
      <c r="AC708" s="3"/>
      <c r="AD708" s="3"/>
      <c r="AP708" s="53"/>
    </row>
    <row r="709" spans="29:42" ht="14.5">
      <c r="AC709" s="3"/>
      <c r="AD709" s="3"/>
      <c r="AP709" s="53"/>
    </row>
    <row r="710" spans="29:42" ht="14.5">
      <c r="AC710" s="3"/>
      <c r="AD710" s="3"/>
      <c r="AP710" s="53"/>
    </row>
    <row r="711" spans="29:42" ht="14.5">
      <c r="AC711" s="3"/>
      <c r="AD711" s="3"/>
      <c r="AP711" s="53"/>
    </row>
    <row r="712" spans="29:42" ht="14.5">
      <c r="AC712" s="3"/>
      <c r="AD712" s="3"/>
      <c r="AP712" s="53"/>
    </row>
    <row r="713" spans="29:42" ht="14.5">
      <c r="AC713" s="3"/>
      <c r="AD713" s="3"/>
      <c r="AP713" s="53"/>
    </row>
    <row r="714" spans="29:42" ht="14.5">
      <c r="AC714" s="3"/>
      <c r="AD714" s="3"/>
      <c r="AP714" s="53"/>
    </row>
    <row r="715" spans="29:42" ht="14.5">
      <c r="AC715" s="3"/>
      <c r="AD715" s="3"/>
      <c r="AP715" s="53"/>
    </row>
    <row r="716" spans="29:42" ht="14.5">
      <c r="AC716" s="3"/>
      <c r="AD716" s="3"/>
      <c r="AP716" s="53"/>
    </row>
    <row r="717" spans="29:42" ht="14.5">
      <c r="AC717" s="3"/>
      <c r="AD717" s="3"/>
      <c r="AP717" s="53"/>
    </row>
    <row r="718" spans="29:42" ht="14.5">
      <c r="AC718" s="3"/>
      <c r="AD718" s="3"/>
      <c r="AP718" s="53"/>
    </row>
    <row r="719" spans="29:42" ht="14.5">
      <c r="AC719" s="3"/>
      <c r="AD719" s="3"/>
      <c r="AP719" s="53"/>
    </row>
    <row r="720" spans="29:42" ht="14.5">
      <c r="AC720" s="3"/>
      <c r="AD720" s="3"/>
      <c r="AP720" s="53"/>
    </row>
    <row r="721" spans="29:42" ht="14.5">
      <c r="AC721" s="3"/>
      <c r="AD721" s="3"/>
      <c r="AP721" s="53"/>
    </row>
    <row r="722" spans="29:42" ht="14.5">
      <c r="AC722" s="3"/>
      <c r="AD722" s="3"/>
      <c r="AP722" s="53"/>
    </row>
    <row r="723" spans="29:42" ht="14.5">
      <c r="AC723" s="3"/>
      <c r="AD723" s="3"/>
      <c r="AP723" s="53"/>
    </row>
    <row r="724" spans="29:42" ht="14.5">
      <c r="AC724" s="3"/>
      <c r="AD724" s="3"/>
      <c r="AP724" s="53"/>
    </row>
    <row r="725" spans="29:42" ht="14.5">
      <c r="AC725" s="3"/>
      <c r="AD725" s="3"/>
      <c r="AP725" s="53"/>
    </row>
    <row r="726" spans="29:42" ht="14.5">
      <c r="AC726" s="3"/>
      <c r="AD726" s="3"/>
      <c r="AP726" s="53"/>
    </row>
    <row r="727" spans="29:42" ht="14.5">
      <c r="AC727" s="3"/>
      <c r="AD727" s="3"/>
      <c r="AP727" s="53"/>
    </row>
    <row r="728" spans="29:42" ht="14.5">
      <c r="AC728" s="3"/>
      <c r="AD728" s="3"/>
      <c r="AP728" s="53"/>
    </row>
    <row r="729" spans="29:42" ht="14.5">
      <c r="AC729" s="3"/>
      <c r="AD729" s="3"/>
      <c r="AP729" s="53"/>
    </row>
    <row r="730" spans="29:42" ht="14.5">
      <c r="AC730" s="3"/>
      <c r="AD730" s="3"/>
      <c r="AP730" s="53"/>
    </row>
    <row r="731" spans="29:42" ht="14.5">
      <c r="AC731" s="3"/>
      <c r="AD731" s="3"/>
      <c r="AP731" s="53"/>
    </row>
    <row r="732" spans="29:42" ht="14.5">
      <c r="AC732" s="3"/>
      <c r="AD732" s="3"/>
      <c r="AP732" s="53"/>
    </row>
    <row r="733" spans="29:42" ht="14.5">
      <c r="AC733" s="3"/>
      <c r="AD733" s="3"/>
      <c r="AP733" s="53"/>
    </row>
    <row r="734" spans="29:42" ht="14.5">
      <c r="AC734" s="3"/>
      <c r="AD734" s="3"/>
      <c r="AP734" s="53"/>
    </row>
    <row r="735" spans="29:42" ht="14.5">
      <c r="AC735" s="3"/>
      <c r="AD735" s="3"/>
      <c r="AP735" s="53"/>
    </row>
    <row r="736" spans="29:42" ht="14.5">
      <c r="AC736" s="3"/>
      <c r="AD736" s="3"/>
      <c r="AP736" s="53"/>
    </row>
    <row r="737" spans="29:42" ht="14.5">
      <c r="AC737" s="3"/>
      <c r="AD737" s="3"/>
      <c r="AP737" s="53"/>
    </row>
    <row r="738" spans="29:42" ht="14.5">
      <c r="AC738" s="3"/>
      <c r="AD738" s="3"/>
      <c r="AP738" s="53"/>
    </row>
    <row r="739" spans="29:42" ht="14.5">
      <c r="AC739" s="3"/>
      <c r="AD739" s="3"/>
      <c r="AP739" s="53"/>
    </row>
    <row r="740" spans="29:42" ht="14.5">
      <c r="AC740" s="3"/>
      <c r="AD740" s="3"/>
      <c r="AP740" s="53"/>
    </row>
    <row r="741" spans="29:42" ht="14.5">
      <c r="AC741" s="3"/>
      <c r="AD741" s="3"/>
      <c r="AP741" s="53"/>
    </row>
    <row r="742" spans="29:42" ht="14.5">
      <c r="AC742" s="3"/>
      <c r="AD742" s="3"/>
      <c r="AP742" s="53"/>
    </row>
    <row r="743" spans="29:42" ht="14.5">
      <c r="AC743" s="3"/>
      <c r="AD743" s="3"/>
      <c r="AP743" s="53"/>
    </row>
    <row r="744" spans="29:42" ht="14.5">
      <c r="AC744" s="3"/>
      <c r="AD744" s="3"/>
      <c r="AP744" s="53"/>
    </row>
    <row r="745" spans="29:42" ht="14.5">
      <c r="AC745" s="3"/>
      <c r="AD745" s="3"/>
      <c r="AP745" s="53"/>
    </row>
    <row r="746" spans="29:42" ht="14.5">
      <c r="AC746" s="3"/>
      <c r="AD746" s="3"/>
      <c r="AP746" s="53"/>
    </row>
    <row r="747" spans="29:42" ht="14.5">
      <c r="AC747" s="3"/>
      <c r="AD747" s="3"/>
      <c r="AP747" s="53"/>
    </row>
    <row r="748" spans="29:42" ht="14.5">
      <c r="AC748" s="3"/>
      <c r="AD748" s="3"/>
      <c r="AP748" s="53"/>
    </row>
    <row r="749" spans="29:42" ht="14.5">
      <c r="AC749" s="3"/>
      <c r="AD749" s="3"/>
      <c r="AP749" s="53"/>
    </row>
    <row r="750" spans="29:42" ht="14.5">
      <c r="AC750" s="3"/>
      <c r="AD750" s="3"/>
      <c r="AP750" s="53"/>
    </row>
    <row r="751" spans="29:42" ht="14.5">
      <c r="AC751" s="3"/>
      <c r="AD751" s="3"/>
      <c r="AP751" s="53"/>
    </row>
    <row r="752" spans="29:42" ht="14.5">
      <c r="AC752" s="3"/>
      <c r="AD752" s="3"/>
      <c r="AP752" s="53"/>
    </row>
    <row r="753" spans="29:42" ht="14.5">
      <c r="AC753" s="3"/>
      <c r="AD753" s="3"/>
      <c r="AP753" s="53"/>
    </row>
    <row r="754" spans="29:42" ht="14.5">
      <c r="AC754" s="3"/>
      <c r="AD754" s="3"/>
      <c r="AP754" s="53"/>
    </row>
    <row r="755" spans="29:42" ht="14.5">
      <c r="AC755" s="3"/>
      <c r="AD755" s="3"/>
      <c r="AP755" s="53"/>
    </row>
    <row r="756" spans="29:42" ht="14.5">
      <c r="AC756" s="3"/>
      <c r="AD756" s="3"/>
      <c r="AP756" s="53"/>
    </row>
    <row r="757" spans="29:42" ht="14.5">
      <c r="AC757" s="3"/>
      <c r="AD757" s="3"/>
      <c r="AP757" s="53"/>
    </row>
    <row r="758" spans="29:42" ht="14.5">
      <c r="AC758" s="3"/>
      <c r="AD758" s="3"/>
      <c r="AP758" s="53"/>
    </row>
    <row r="759" spans="29:42" ht="14.5">
      <c r="AC759" s="3"/>
      <c r="AD759" s="3"/>
      <c r="AP759" s="53"/>
    </row>
    <row r="760" spans="29:42" ht="14.5">
      <c r="AC760" s="3"/>
      <c r="AD760" s="3"/>
      <c r="AP760" s="53"/>
    </row>
    <row r="761" spans="29:42" ht="14.5">
      <c r="AC761" s="3"/>
      <c r="AD761" s="3"/>
      <c r="AP761" s="53"/>
    </row>
    <row r="762" spans="29:42" ht="14.5">
      <c r="AC762" s="3"/>
      <c r="AD762" s="3"/>
      <c r="AP762" s="53"/>
    </row>
    <row r="763" spans="29:42" ht="14.5">
      <c r="AC763" s="3"/>
      <c r="AD763" s="3"/>
      <c r="AP763" s="53"/>
    </row>
    <row r="764" spans="29:42" ht="14.5">
      <c r="AC764" s="3"/>
      <c r="AD764" s="3"/>
      <c r="AP764" s="53"/>
    </row>
    <row r="765" spans="29:42" ht="14.5">
      <c r="AC765" s="3"/>
      <c r="AD765" s="3"/>
      <c r="AP765" s="53"/>
    </row>
    <row r="766" spans="29:42" ht="14.5">
      <c r="AC766" s="3"/>
      <c r="AD766" s="3"/>
      <c r="AP766" s="53"/>
    </row>
    <row r="767" spans="29:42" ht="14.5">
      <c r="AC767" s="3"/>
      <c r="AD767" s="3"/>
      <c r="AP767" s="53"/>
    </row>
    <row r="768" spans="29:42" ht="14.5">
      <c r="AC768" s="3"/>
      <c r="AD768" s="3"/>
      <c r="AP768" s="53"/>
    </row>
    <row r="769" spans="29:42" ht="14.5">
      <c r="AC769" s="3"/>
      <c r="AD769" s="3"/>
      <c r="AP769" s="53"/>
    </row>
    <row r="770" spans="29:42" ht="14.5">
      <c r="AC770" s="3"/>
      <c r="AD770" s="3"/>
      <c r="AP770" s="53"/>
    </row>
    <row r="771" spans="29:42" ht="14.5">
      <c r="AC771" s="3"/>
      <c r="AD771" s="3"/>
      <c r="AP771" s="53"/>
    </row>
    <row r="772" spans="29:42" ht="14.5">
      <c r="AC772" s="3"/>
      <c r="AD772" s="3"/>
      <c r="AP772" s="53"/>
    </row>
    <row r="773" spans="29:42" ht="14.5">
      <c r="AC773" s="3"/>
      <c r="AD773" s="3"/>
      <c r="AP773" s="53"/>
    </row>
    <row r="774" spans="29:42" ht="14.5">
      <c r="AC774" s="3"/>
      <c r="AD774" s="3"/>
      <c r="AP774" s="53"/>
    </row>
    <row r="775" spans="29:42" ht="14.5">
      <c r="AC775" s="3"/>
      <c r="AD775" s="3"/>
      <c r="AP775" s="53"/>
    </row>
    <row r="776" spans="29:42" ht="14.5">
      <c r="AC776" s="3"/>
      <c r="AD776" s="3"/>
      <c r="AP776" s="53"/>
    </row>
    <row r="777" spans="29:42" ht="14.5">
      <c r="AC777" s="3"/>
      <c r="AD777" s="3"/>
      <c r="AP777" s="53"/>
    </row>
    <row r="778" spans="29:42" ht="14.5">
      <c r="AC778" s="3"/>
      <c r="AD778" s="3"/>
      <c r="AP778" s="53"/>
    </row>
    <row r="779" spans="29:42" ht="14.5">
      <c r="AC779" s="3"/>
      <c r="AD779" s="3"/>
      <c r="AP779" s="53"/>
    </row>
    <row r="780" spans="29:42" ht="14.5">
      <c r="AC780" s="3"/>
      <c r="AD780" s="3"/>
      <c r="AP780" s="53"/>
    </row>
    <row r="781" spans="29:42" ht="14.5">
      <c r="AC781" s="3"/>
      <c r="AD781" s="3"/>
      <c r="AP781" s="53"/>
    </row>
    <row r="782" spans="29:42" ht="14.5">
      <c r="AC782" s="3"/>
      <c r="AD782" s="3"/>
      <c r="AP782" s="53"/>
    </row>
    <row r="783" spans="29:42" ht="14.5">
      <c r="AC783" s="3"/>
      <c r="AD783" s="3"/>
      <c r="AP783" s="53"/>
    </row>
    <row r="784" spans="29:42" ht="14.5">
      <c r="AC784" s="3"/>
      <c r="AD784" s="3"/>
      <c r="AP784" s="53"/>
    </row>
  </sheetData>
  <mergeCells count="1">
    <mergeCell ref="A1:B1"/>
  </mergeCells>
  <conditionalFormatting sqref="AC1:AF19 AC44:AF784">
    <cfRule type="notContainsBlanks" dxfId="2" priority="1">
      <formula>LEN(TRIM(AC1))&gt;0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F4AF1-332E-43A6-94FB-E2229AFC6F41}">
  <sheetPr>
    <outlinePr summaryBelow="0" summaryRight="0"/>
  </sheetPr>
  <dimension ref="A1:BA317"/>
  <sheetViews>
    <sheetView zoomScale="60" zoomScaleNormal="60" workbookViewId="0">
      <selection activeCell="I11" sqref="I11"/>
    </sheetView>
  </sheetViews>
  <sheetFormatPr defaultColWidth="12.6640625" defaultRowHeight="15" customHeight="1"/>
  <cols>
    <col min="1" max="1" width="14" style="178" customWidth="1"/>
    <col min="2" max="49" width="12.6640625" style="178"/>
    <col min="50" max="50" width="17.25" style="178" customWidth="1"/>
    <col min="51" max="16384" width="12.6640625" style="178"/>
  </cols>
  <sheetData>
    <row r="1" spans="1:7" ht="14.5">
      <c r="A1" s="181" t="s">
        <v>70</v>
      </c>
      <c r="B1" s="182"/>
      <c r="C1" s="26"/>
    </row>
    <row r="2" spans="1:7" ht="14.5">
      <c r="A2" s="26" t="s">
        <v>74</v>
      </c>
    </row>
    <row r="3" spans="1:7" ht="14.5">
      <c r="A3" s="21" t="s">
        <v>76</v>
      </c>
      <c r="B3" s="21">
        <v>230</v>
      </c>
      <c r="F3" s="178">
        <v>0</v>
      </c>
      <c r="G3" s="178">
        <v>100</v>
      </c>
    </row>
    <row r="4" spans="1:7" ht="14.5">
      <c r="A4" s="21" t="s">
        <v>12</v>
      </c>
      <c r="B4" s="21">
        <v>5.55</v>
      </c>
      <c r="F4" s="178">
        <v>10000</v>
      </c>
      <c r="G4" s="178">
        <v>100</v>
      </c>
    </row>
    <row r="5" spans="1:7" ht="14.5">
      <c r="A5" s="21" t="s">
        <v>11</v>
      </c>
      <c r="B5" s="21">
        <v>0.84</v>
      </c>
      <c r="F5" s="178">
        <v>2000</v>
      </c>
      <c r="G5" s="178">
        <v>100</v>
      </c>
    </row>
    <row r="6" spans="1:7" ht="14.5">
      <c r="A6" s="21" t="s">
        <v>10</v>
      </c>
      <c r="B6" s="30">
        <v>6</v>
      </c>
      <c r="F6" s="178">
        <v>36250</v>
      </c>
      <c r="G6" s="178">
        <v>100</v>
      </c>
    </row>
    <row r="7" spans="1:7" ht="14.5">
      <c r="A7" s="21" t="s">
        <v>84</v>
      </c>
      <c r="B7" s="76">
        <f>77.04843221/12</f>
        <v>6.4207026841666668</v>
      </c>
    </row>
    <row r="8" spans="1:7" ht="14.5">
      <c r="A8" s="21" t="s">
        <v>15</v>
      </c>
      <c r="B8" s="21">
        <v>6.3156723449164814E-2</v>
      </c>
    </row>
    <row r="9" spans="1:7" ht="14.5">
      <c r="A9" s="26" t="s">
        <v>89</v>
      </c>
    </row>
    <row r="10" spans="1:7" ht="14.5">
      <c r="A10" s="21" t="s">
        <v>97</v>
      </c>
      <c r="B10" s="63">
        <f ca="1">Ashvat_Design_0!B10</f>
        <v>17400.351958329771</v>
      </c>
    </row>
    <row r="11" spans="1:7" ht="14.5">
      <c r="A11" s="21" t="s">
        <v>94</v>
      </c>
      <c r="B11" s="21">
        <v>0.99</v>
      </c>
    </row>
    <row r="12" spans="1:7" ht="14.5">
      <c r="A12" s="21" t="s">
        <v>96</v>
      </c>
      <c r="B12" s="32">
        <f ca="1">B10*B11</f>
        <v>17226.348438746474</v>
      </c>
    </row>
    <row r="13" spans="1:7" ht="14.5">
      <c r="A13" s="26" t="s">
        <v>98</v>
      </c>
    </row>
    <row r="14" spans="1:7" ht="14.5">
      <c r="A14" s="21" t="s">
        <v>100</v>
      </c>
      <c r="B14" s="21">
        <v>0.78</v>
      </c>
    </row>
    <row r="15" spans="1:7" ht="14.5">
      <c r="A15" s="21" t="s">
        <v>102</v>
      </c>
      <c r="B15" s="21">
        <v>6280</v>
      </c>
    </row>
    <row r="16" spans="1:7" ht="14.5">
      <c r="A16" s="26" t="s">
        <v>104</v>
      </c>
    </row>
    <row r="17" spans="1:53" ht="14.5">
      <c r="A17" s="6" t="s">
        <v>105</v>
      </c>
      <c r="B17" s="6">
        <v>5.0000000000000001E-3</v>
      </c>
      <c r="AK17" s="11" t="e">
        <f>(AG17/D17)*60</f>
        <v>#DIV/0!</v>
      </c>
    </row>
    <row r="18" spans="1:53" ht="14.5">
      <c r="A18" s="33" t="s">
        <v>106</v>
      </c>
      <c r="B18" s="21">
        <v>2.1</v>
      </c>
    </row>
    <row r="20" spans="1:53" ht="14.5">
      <c r="A20" s="22" t="s">
        <v>3</v>
      </c>
      <c r="B20" s="41" t="s">
        <v>22</v>
      </c>
      <c r="C20" s="7">
        <v>18000</v>
      </c>
      <c r="D20" s="41" t="s">
        <v>9</v>
      </c>
      <c r="E20" s="41"/>
      <c r="F20" s="41"/>
      <c r="G20" s="41"/>
      <c r="H20" s="5"/>
      <c r="I20" s="5"/>
      <c r="J20" s="41"/>
      <c r="K20" s="41"/>
      <c r="L20" s="6" t="s">
        <v>60</v>
      </c>
      <c r="M20" s="41"/>
      <c r="N20" s="41"/>
      <c r="O20" s="41"/>
      <c r="P20" s="41"/>
      <c r="Q20" s="7"/>
      <c r="R20" s="41"/>
      <c r="S20" s="24"/>
      <c r="T20" s="7"/>
      <c r="U20" s="7"/>
      <c r="V20" s="7"/>
      <c r="W20" s="7"/>
      <c r="X20" s="41"/>
      <c r="Y20" s="41"/>
      <c r="Z20" s="9"/>
      <c r="AA20" s="9"/>
      <c r="AB20" s="7"/>
      <c r="AC20" s="7"/>
      <c r="AD20" s="5"/>
      <c r="AE20" s="7"/>
      <c r="AF20" s="41"/>
      <c r="AG20" s="41"/>
      <c r="AH20" s="41"/>
      <c r="AI20" s="7" t="s">
        <v>61</v>
      </c>
      <c r="AJ20" s="10"/>
      <c r="AK20" s="11"/>
      <c r="AL20" s="5"/>
      <c r="AM20" s="41"/>
      <c r="AN20" s="41"/>
      <c r="AO20" s="41"/>
      <c r="AP20" s="41"/>
      <c r="AQ20" s="11"/>
      <c r="AR20" s="11"/>
      <c r="AS20" s="11"/>
      <c r="AT20" s="11"/>
      <c r="AU20" s="11"/>
      <c r="AV20" s="11"/>
      <c r="AW20" s="11"/>
      <c r="AX20" s="41"/>
      <c r="AY20" s="11"/>
      <c r="AZ20" s="11"/>
      <c r="BA20" s="11"/>
    </row>
    <row r="21" spans="1:53" ht="14.5">
      <c r="A21" s="41" t="s">
        <v>2</v>
      </c>
      <c r="B21" s="41" t="s">
        <v>2</v>
      </c>
      <c r="C21" s="41" t="s">
        <v>2</v>
      </c>
      <c r="D21" s="23" t="s">
        <v>23</v>
      </c>
      <c r="E21" s="41" t="s">
        <v>24</v>
      </c>
      <c r="F21" s="41" t="s">
        <v>25</v>
      </c>
      <c r="G21" s="41"/>
      <c r="H21" s="5" t="s">
        <v>0</v>
      </c>
      <c r="I21" s="5" t="s">
        <v>26</v>
      </c>
      <c r="J21" s="41" t="s">
        <v>27</v>
      </c>
      <c r="K21" s="41" t="s">
        <v>28</v>
      </c>
      <c r="L21" s="12" t="s">
        <v>29</v>
      </c>
      <c r="M21" s="13" t="s">
        <v>30</v>
      </c>
      <c r="N21" s="41" t="s">
        <v>31</v>
      </c>
      <c r="O21" s="41" t="s">
        <v>32</v>
      </c>
      <c r="P21" s="41" t="s">
        <v>33</v>
      </c>
      <c r="Q21" s="41" t="s">
        <v>34</v>
      </c>
      <c r="R21" s="41" t="s">
        <v>13</v>
      </c>
      <c r="S21" s="24" t="s">
        <v>35</v>
      </c>
      <c r="T21" s="41" t="s">
        <v>36</v>
      </c>
      <c r="U21" s="41" t="s">
        <v>37</v>
      </c>
      <c r="V21" s="41" t="s">
        <v>38</v>
      </c>
      <c r="W21" s="41" t="s">
        <v>39</v>
      </c>
      <c r="X21" s="41" t="s">
        <v>40</v>
      </c>
      <c r="Y21" s="7" t="s">
        <v>108</v>
      </c>
      <c r="Z21" s="35" t="s">
        <v>109</v>
      </c>
      <c r="AA21" s="9" t="s">
        <v>110</v>
      </c>
      <c r="AB21" s="7" t="s">
        <v>111</v>
      </c>
      <c r="AC21" s="7" t="s">
        <v>112</v>
      </c>
      <c r="AD21" s="5" t="s">
        <v>41</v>
      </c>
      <c r="AE21" s="7" t="s">
        <v>113</v>
      </c>
      <c r="AF21" s="7" t="s">
        <v>114</v>
      </c>
      <c r="AG21" s="7" t="s">
        <v>115</v>
      </c>
      <c r="AH21" s="41" t="s">
        <v>42</v>
      </c>
      <c r="AI21" s="41" t="s">
        <v>43</v>
      </c>
      <c r="AJ21" s="10" t="s">
        <v>35</v>
      </c>
      <c r="AK21" s="36" t="s">
        <v>116</v>
      </c>
      <c r="AL21" s="5" t="s">
        <v>44</v>
      </c>
      <c r="AM21" s="41" t="s">
        <v>45</v>
      </c>
      <c r="AN21" s="41" t="s">
        <v>46</v>
      </c>
      <c r="AO21" s="41" t="s">
        <v>47</v>
      </c>
      <c r="AP21" s="7" t="s">
        <v>85</v>
      </c>
      <c r="AQ21" s="15" t="s">
        <v>62</v>
      </c>
      <c r="AR21" s="16" t="s">
        <v>63</v>
      </c>
      <c r="AS21" s="16" t="s">
        <v>64</v>
      </c>
      <c r="AT21" s="17" t="s">
        <v>65</v>
      </c>
      <c r="AU21" s="18" t="s">
        <v>66</v>
      </c>
      <c r="AV21" s="18" t="s">
        <v>67</v>
      </c>
      <c r="AW21" s="19" t="s">
        <v>68</v>
      </c>
      <c r="AX21" s="37" t="s">
        <v>117</v>
      </c>
      <c r="AY21" s="19" t="s">
        <v>196</v>
      </c>
      <c r="AZ21" s="19"/>
      <c r="BA21" s="19"/>
    </row>
    <row r="22" spans="1:53" ht="14.5">
      <c r="A22" s="41" t="s">
        <v>18</v>
      </c>
      <c r="B22" s="41" t="s">
        <v>21</v>
      </c>
      <c r="C22" s="41" t="s">
        <v>48</v>
      </c>
      <c r="D22" s="23" t="s">
        <v>8</v>
      </c>
      <c r="E22" s="41" t="s">
        <v>49</v>
      </c>
      <c r="F22" s="41" t="s">
        <v>49</v>
      </c>
      <c r="G22" s="41"/>
      <c r="H22" s="5" t="s">
        <v>9</v>
      </c>
      <c r="I22" s="5" t="s">
        <v>50</v>
      </c>
      <c r="J22" s="41"/>
      <c r="K22" s="41" t="s">
        <v>51</v>
      </c>
      <c r="L22" s="5" t="s">
        <v>52</v>
      </c>
      <c r="M22" s="41" t="s">
        <v>52</v>
      </c>
      <c r="N22" s="41" t="s">
        <v>53</v>
      </c>
      <c r="O22" s="41" t="s">
        <v>54</v>
      </c>
      <c r="P22" s="41"/>
      <c r="Q22" s="41"/>
      <c r="R22" s="41"/>
      <c r="S22" s="24" t="s">
        <v>55</v>
      </c>
      <c r="T22" s="41"/>
      <c r="U22" s="41"/>
      <c r="V22" s="41"/>
      <c r="W22" s="41"/>
      <c r="X22" s="41"/>
      <c r="Y22" s="41"/>
      <c r="Z22" s="9" t="s">
        <v>118</v>
      </c>
      <c r="AA22" s="9" t="s">
        <v>118</v>
      </c>
      <c r="AB22" s="7" t="s">
        <v>119</v>
      </c>
      <c r="AC22" s="7" t="s">
        <v>119</v>
      </c>
      <c r="AD22" s="5" t="s">
        <v>20</v>
      </c>
      <c r="AE22" s="7" t="s">
        <v>118</v>
      </c>
      <c r="AF22" s="7" t="s">
        <v>118</v>
      </c>
      <c r="AG22" s="7" t="s">
        <v>119</v>
      </c>
      <c r="AH22" s="41" t="s">
        <v>56</v>
      </c>
      <c r="AI22" s="41" t="s">
        <v>57</v>
      </c>
      <c r="AJ22" s="10" t="s">
        <v>55</v>
      </c>
      <c r="AK22" s="11"/>
      <c r="AL22" s="5" t="s">
        <v>9</v>
      </c>
      <c r="AM22" s="41" t="s">
        <v>18</v>
      </c>
      <c r="AN22" s="41" t="s">
        <v>8</v>
      </c>
      <c r="AO22" s="41" t="s">
        <v>49</v>
      </c>
      <c r="AP22" s="41"/>
      <c r="AQ22" s="11"/>
      <c r="AR22" s="11"/>
      <c r="AS22" s="11"/>
      <c r="AT22" s="11"/>
      <c r="AU22" s="11"/>
      <c r="AV22" s="11"/>
      <c r="AW22" s="11"/>
      <c r="AX22" s="41"/>
      <c r="AY22" s="11"/>
      <c r="AZ22" s="11"/>
      <c r="BA22" s="11"/>
    </row>
    <row r="23" spans="1:53" ht="14.5">
      <c r="A23" s="41">
        <v>0</v>
      </c>
      <c r="B23" s="41">
        <v>0</v>
      </c>
      <c r="C23" s="41">
        <v>0</v>
      </c>
      <c r="D23" s="23">
        <f ca="1">$B$12</f>
        <v>17226.348438746474</v>
      </c>
      <c r="E23" s="7">
        <v>0</v>
      </c>
      <c r="F23" s="7">
        <v>0</v>
      </c>
      <c r="G23" s="41"/>
      <c r="H23" s="5">
        <v>0</v>
      </c>
      <c r="I23" s="5">
        <v>15</v>
      </c>
      <c r="J23" s="41">
        <f>K23/1125.33</f>
        <v>0.22215705615241751</v>
      </c>
      <c r="K23" s="41">
        <v>250</v>
      </c>
      <c r="L23" s="6">
        <v>10</v>
      </c>
      <c r="M23" s="41">
        <f t="shared" ref="M23:M107" si="0">K23*0.592484</f>
        <v>148.12100000000001</v>
      </c>
      <c r="N23" s="41">
        <f t="shared" ref="N23:N107" si="1">0.5*AV23*K23^2</f>
        <v>70.602809562097974</v>
      </c>
      <c r="O23" s="41">
        <f t="shared" ref="O23:O107" si="2">P23/$B$7</f>
        <v>1453278.7616017808</v>
      </c>
      <c r="P23" s="41">
        <f t="shared" ref="P23:P107" si="3">(AV23*K23*$B$7)/(AW23)</f>
        <v>9331070.8454589639</v>
      </c>
      <c r="Q23" s="41">
        <f t="shared" ref="Q23:Q107" si="4">0.455/(LOG10(P23)^2.58 * (1+0.144*J23*J23)^0.65)</f>
        <v>3.0233102068243909E-3</v>
      </c>
      <c r="R23" s="41">
        <f t="shared" ref="R23:R107" si="5">(((Q23*$B$4)+$B$17)+(0.1*(Q23*$B$4)))</f>
        <v>2.3457308812662905E-2</v>
      </c>
      <c r="S23" s="24">
        <f ca="1">AJ23</f>
        <v>16.303615513445465</v>
      </c>
      <c r="T23" s="41">
        <f t="shared" ref="T23:T107" ca="1" si="6">(D23*COS(RADIANS(S23)))/(N23*$B$3)</f>
        <v>1.0181658658384372</v>
      </c>
      <c r="U23" s="41">
        <f t="shared" ref="U23:U107" ca="1" si="7">(W23)/(N23*$B$3)</f>
        <v>8.8929467027249534E-2</v>
      </c>
      <c r="V23" s="41">
        <f t="shared" ref="V23:V107" ca="1" si="8">T23/U23</f>
        <v>11.449139412096706</v>
      </c>
      <c r="W23" s="20">
        <f t="shared" ref="W23:W107" ca="1" si="9">(N23*$B$3*R23)+((N23*$B$3)*((T23^2)/(PI()*$B$6*$B$5)))</f>
        <v>1444.094151746267</v>
      </c>
      <c r="X23" s="41">
        <f t="shared" ref="X23:X107" si="10">SQRT(PI()*$B$6*$B$5*R23)</f>
        <v>0.60943767323311937</v>
      </c>
      <c r="Y23" s="41">
        <f t="shared" ref="Y23:Y107" ca="1" si="11">SQRT((2*((T23*N23*$B$3)/(D23))*D23)/(AV23*$B$3*$B$18))</f>
        <v>174.07629227125062</v>
      </c>
      <c r="Z23" s="14">
        <f t="shared" ref="Z23:Z107" ca="1" si="12">(D23/(V23))</f>
        <v>1504.5976661395002</v>
      </c>
      <c r="AA23" s="14">
        <f t="shared" ref="AA23:AA107" si="13">$B$15*AR23</f>
        <v>6280</v>
      </c>
      <c r="AB23" s="25">
        <f t="shared" ref="AB23:AB107" ca="1" si="14">Z23*K23</f>
        <v>376149.41653487505</v>
      </c>
      <c r="AC23" s="41">
        <f t="shared" ref="AC23:AC107" si="15">AA23*K23</f>
        <v>1570000</v>
      </c>
      <c r="AD23" s="5">
        <v>100</v>
      </c>
      <c r="AE23" s="41">
        <f t="shared" ref="AE23:AE107" si="16">AA23*(AD23/100)</f>
        <v>6280</v>
      </c>
      <c r="AF23" s="41">
        <f t="shared" ref="AF23:AF107" ca="1" si="17">AA23-Z23</f>
        <v>4775.4023338605002</v>
      </c>
      <c r="AG23" s="41">
        <f t="shared" ref="AG23:AG107" ca="1" si="18">AC23-AB23</f>
        <v>1193850.5834651249</v>
      </c>
      <c r="AH23" s="41">
        <f t="shared" ref="AH23:AH107" si="19">(AP23*AE23)</f>
        <v>4427.3999999999996</v>
      </c>
      <c r="AI23" s="13">
        <f t="shared" ref="AI23:AI107" ca="1" si="20">K23*SIN(RADIANS(AJ23))</f>
        <v>70.181818646146468</v>
      </c>
      <c r="AJ23" s="10">
        <f t="shared" ref="AJ23:AJ107" ca="1" si="21">DEGREES(ASIN(((AE23-W23)/(D23))))</f>
        <v>16.303615513445465</v>
      </c>
      <c r="AK23" s="11">
        <f ca="1">AI23*60</f>
        <v>4210.9091187687882</v>
      </c>
      <c r="AL23" s="6">
        <v>10000</v>
      </c>
      <c r="AM23" s="41">
        <f t="shared" ref="AM23:AM107" ca="1" si="22">AL23/AI23</f>
        <v>142.48704568941915</v>
      </c>
      <c r="AN23" s="41">
        <f t="shared" ref="AN23:AN107" ca="1" si="23">AH23*(AM23/3600)</f>
        <v>175.2353183570373</v>
      </c>
      <c r="AO23" s="41">
        <f t="shared" ref="AO23:AO107" ca="1" si="24">M23*COS(RADIANS(AJ23))*(AM23/3600)</f>
        <v>5.6268409828696511</v>
      </c>
      <c r="AP23" s="67">
        <f>0.705 + 0.302*AZ23 + -0.0327*AZ23^2</f>
        <v>0.70499999999999996</v>
      </c>
      <c r="AQ23" s="11">
        <f t="shared" ref="AQ23:AQ107" si="25">IF(H23 &lt;= 36089, ((1 - 6.87535*10^(-6)*H23) + ((I23*1.8)/518.67)), 0.75187 + ((I23*1.8)/518.67))</f>
        <v>1.0520562207183759</v>
      </c>
      <c r="AR23" s="11">
        <f t="shared" ref="AR23:AR107" si="26">IF(H23 &lt;= 36089, (1 - 6.87535*10^(-6)*H23)^5.2561, 0.22336*EXP((36089 - H23)/(20806.7)))</f>
        <v>1</v>
      </c>
      <c r="AS23" s="11">
        <f t="shared" ref="AS23:AS107" si="27">(AR23/AQ23)</f>
        <v>0.95051954477981193</v>
      </c>
      <c r="AT23" s="11">
        <f t="shared" ref="AT23:AT107" si="28">(518.67*AQ23)</f>
        <v>545.66999999999996</v>
      </c>
      <c r="AU23" s="11">
        <f t="shared" ref="AU23:AU107" si="29">2116.22*AR23</f>
        <v>2116.2199999999998</v>
      </c>
      <c r="AV23" s="11">
        <f t="shared" ref="AV23:AV107" si="30">(0.0023769*AS23)</f>
        <v>2.259289905987135E-3</v>
      </c>
      <c r="AW23" s="11">
        <f t="shared" ref="AW23:AW107" si="31">((2.2697*10^-8)*(AT23^1.5))/(AT23+198.72)</f>
        <v>3.8865391239478742E-7</v>
      </c>
      <c r="AX23" s="41">
        <f t="shared" ref="AX23:AX107" ca="1" si="32">AG23/D23</f>
        <v>69.303752197409921</v>
      </c>
      <c r="AY23" s="11">
        <f t="shared" ref="AY23:AY107" ca="1" si="33">SQRT(((D23/$B$3)/(3*AV23*R23))*((AE23/D23)+SQRT((AE23/D23)^2+12*R23*$B$8)))</f>
        <v>595.48054038136377</v>
      </c>
      <c r="AZ23" s="11"/>
      <c r="BA23" s="11"/>
    </row>
    <row r="24" spans="1:53" ht="14.5">
      <c r="A24" s="41">
        <f t="shared" ref="A24:A87" ca="1" si="34">A23+AM23</f>
        <v>142.48704568941915</v>
      </c>
      <c r="B24" s="41">
        <f t="shared" ref="B24:C39" ca="1" si="35">A24/60</f>
        <v>2.3747840948236525</v>
      </c>
      <c r="C24" s="41">
        <f t="shared" ca="1" si="35"/>
        <v>3.9579734913727543E-2</v>
      </c>
      <c r="D24" s="41">
        <f ca="1">D23</f>
        <v>17226.348438746474</v>
      </c>
      <c r="E24" s="41">
        <f t="shared" ref="E24:E87" ca="1" si="36">E23+AO23</f>
        <v>5.6268409828696511</v>
      </c>
      <c r="F24" s="41">
        <f t="shared" ref="F24:F87" ca="1" si="37">F23+AO23</f>
        <v>5.6268409828696511</v>
      </c>
      <c r="G24" s="41"/>
      <c r="H24" s="5">
        <v>0</v>
      </c>
      <c r="I24" s="5">
        <v>15</v>
      </c>
      <c r="J24" s="41">
        <f t="shared" ref="J24:J87" si="38">K24/1125.33</f>
        <v>0.22660019727546588</v>
      </c>
      <c r="K24" s="41">
        <f>K23+5</f>
        <v>255</v>
      </c>
      <c r="L24" s="6">
        <f t="shared" ref="L24:L87" si="39">L23+1.235</f>
        <v>11.234999999999999</v>
      </c>
      <c r="M24" s="41">
        <f t="shared" si="0"/>
        <v>151.08341999999999</v>
      </c>
      <c r="N24" s="41">
        <f t="shared" si="1"/>
        <v>73.455163068406719</v>
      </c>
      <c r="O24" s="41">
        <f t="shared" si="2"/>
        <v>1482344.3368338167</v>
      </c>
      <c r="P24" s="41">
        <f t="shared" si="3"/>
        <v>9517692.2623681445</v>
      </c>
      <c r="Q24" s="41">
        <f t="shared" si="4"/>
        <v>3.0131485185508878E-3</v>
      </c>
      <c r="R24" s="41">
        <f t="shared" si="5"/>
        <v>2.339527170575317E-2</v>
      </c>
      <c r="S24" s="24">
        <f t="shared" ref="S24:S87" ca="1" si="40">AJ24</f>
        <v>16.400523382201666</v>
      </c>
      <c r="T24" s="41">
        <f t="shared" ca="1" si="6"/>
        <v>0.97814371248522347</v>
      </c>
      <c r="U24" s="41">
        <f t="shared" ca="1" si="7"/>
        <v>8.3821421939042282E-2</v>
      </c>
      <c r="V24" s="41">
        <f t="shared" ca="1" si="8"/>
        <v>11.669376274677875</v>
      </c>
      <c r="W24" s="20">
        <f t="shared" ca="1" si="9"/>
        <v>1416.1367299463573</v>
      </c>
      <c r="X24" s="41">
        <f t="shared" si="10"/>
        <v>0.60863125547940577</v>
      </c>
      <c r="Y24" s="41">
        <f t="shared" ca="1" si="11"/>
        <v>174.03310427336689</v>
      </c>
      <c r="Z24" s="14">
        <f t="shared" ca="1" si="12"/>
        <v>1476.2013010178641</v>
      </c>
      <c r="AA24" s="14">
        <f t="shared" si="13"/>
        <v>6280</v>
      </c>
      <c r="AB24" s="25">
        <f t="shared" ca="1" si="14"/>
        <v>376431.33175955532</v>
      </c>
      <c r="AC24" s="41">
        <f t="shared" si="15"/>
        <v>1601400</v>
      </c>
      <c r="AD24" s="5">
        <v>100</v>
      </c>
      <c r="AE24" s="41">
        <f t="shared" si="16"/>
        <v>6280</v>
      </c>
      <c r="AF24" s="41">
        <f t="shared" ca="1" si="17"/>
        <v>4803.7986989821356</v>
      </c>
      <c r="AG24" s="41">
        <f t="shared" ca="1" si="18"/>
        <v>1224968.6682404447</v>
      </c>
      <c r="AH24" s="41">
        <f t="shared" si="19"/>
        <v>4427.3999999999996</v>
      </c>
      <c r="AI24" s="13">
        <f t="shared" ca="1" si="20"/>
        <v>71.999306078934268</v>
      </c>
      <c r="AJ24" s="10">
        <f t="shared" ca="1" si="21"/>
        <v>16.400523382201666</v>
      </c>
      <c r="AK24" s="11">
        <f t="shared" ref="AK24:AK87" ca="1" si="41">AI24*60</f>
        <v>4319.958364736056</v>
      </c>
      <c r="AL24" s="6">
        <v>10000</v>
      </c>
      <c r="AM24" s="41">
        <f t="shared" ca="1" si="22"/>
        <v>138.89022748409272</v>
      </c>
      <c r="AN24" s="41">
        <f t="shared" ca="1" si="23"/>
        <v>170.81183143418667</v>
      </c>
      <c r="AO24" s="41">
        <f t="shared" ca="1" si="24"/>
        <v>5.5917223509461582</v>
      </c>
      <c r="AP24" s="67">
        <f t="shared" ref="AP24:AP87" si="42">0.705 + 0.302*AZ24 + -0.0327*AZ24^2</f>
        <v>0.70499999999999996</v>
      </c>
      <c r="AQ24" s="11">
        <f t="shared" si="25"/>
        <v>1.0520562207183759</v>
      </c>
      <c r="AR24" s="11">
        <f t="shared" si="26"/>
        <v>1</v>
      </c>
      <c r="AS24" s="11">
        <f t="shared" si="27"/>
        <v>0.95051954477981193</v>
      </c>
      <c r="AT24" s="11">
        <f t="shared" si="28"/>
        <v>545.66999999999996</v>
      </c>
      <c r="AU24" s="11">
        <f t="shared" si="29"/>
        <v>2116.2199999999998</v>
      </c>
      <c r="AV24" s="11">
        <f t="shared" si="30"/>
        <v>2.259289905987135E-3</v>
      </c>
      <c r="AW24" s="11">
        <f t="shared" si="31"/>
        <v>3.8865391239478742E-7</v>
      </c>
      <c r="AX24" s="41">
        <f t="shared" ca="1" si="32"/>
        <v>71.110175937529291</v>
      </c>
      <c r="AY24" s="11">
        <f t="shared" ca="1" si="33"/>
        <v>596.24554505284823</v>
      </c>
      <c r="AZ24" s="11"/>
      <c r="BA24" s="11"/>
    </row>
    <row r="25" spans="1:53" ht="14.5">
      <c r="A25" s="41">
        <f t="shared" ca="1" si="34"/>
        <v>281.37727317351187</v>
      </c>
      <c r="B25" s="41">
        <f t="shared" ca="1" si="35"/>
        <v>4.6896212195585312</v>
      </c>
      <c r="C25" s="41">
        <f t="shared" ca="1" si="35"/>
        <v>7.8160353659308859E-2</v>
      </c>
      <c r="D25" s="41">
        <f t="shared" ref="D25:D88" ca="1" si="43">D24</f>
        <v>17226.348438746474</v>
      </c>
      <c r="E25" s="41">
        <f t="shared" ca="1" si="36"/>
        <v>11.218563333815808</v>
      </c>
      <c r="F25" s="41">
        <f t="shared" ca="1" si="37"/>
        <v>11.218563333815808</v>
      </c>
      <c r="G25" s="41"/>
      <c r="H25" s="5">
        <v>0</v>
      </c>
      <c r="I25" s="5">
        <v>15</v>
      </c>
      <c r="J25" s="41">
        <f t="shared" si="38"/>
        <v>0.23104333839851424</v>
      </c>
      <c r="K25" s="41">
        <f t="shared" ref="K25:K88" si="44">K24+5</f>
        <v>260</v>
      </c>
      <c r="L25" s="6">
        <f t="shared" si="39"/>
        <v>12.469999999999999</v>
      </c>
      <c r="M25" s="41">
        <f t="shared" si="0"/>
        <v>154.04584</v>
      </c>
      <c r="N25" s="41">
        <f t="shared" si="1"/>
        <v>76.363998822365161</v>
      </c>
      <c r="O25" s="41">
        <f t="shared" si="2"/>
        <v>1511409.9120658522</v>
      </c>
      <c r="P25" s="41">
        <f t="shared" si="3"/>
        <v>9704313.6792773232</v>
      </c>
      <c r="Q25" s="41">
        <f t="shared" si="4"/>
        <v>3.0032070903437012E-3</v>
      </c>
      <c r="R25" s="41">
        <f t="shared" si="5"/>
        <v>2.3334579286548297E-2</v>
      </c>
      <c r="S25" s="24">
        <f t="shared" ca="1" si="40"/>
        <v>16.487859526120328</v>
      </c>
      <c r="T25" s="41">
        <f t="shared" ca="1" si="6"/>
        <v>0.94046132679414984</v>
      </c>
      <c r="U25" s="41">
        <f t="shared" ca="1" si="7"/>
        <v>7.9194649038261164E-2</v>
      </c>
      <c r="V25" s="41">
        <f t="shared" ca="1" si="8"/>
        <v>11.875314029610593</v>
      </c>
      <c r="W25" s="20">
        <f t="shared" ca="1" si="9"/>
        <v>1390.9526197559417</v>
      </c>
      <c r="X25" s="41">
        <f t="shared" si="10"/>
        <v>0.60784128193188114</v>
      </c>
      <c r="Y25" s="41">
        <f t="shared" ca="1" si="11"/>
        <v>173.99395951650368</v>
      </c>
      <c r="Z25" s="14">
        <f t="shared" ca="1" si="12"/>
        <v>1450.6015079511417</v>
      </c>
      <c r="AA25" s="14">
        <f t="shared" si="13"/>
        <v>6280</v>
      </c>
      <c r="AB25" s="25">
        <f t="shared" ca="1" si="14"/>
        <v>377156.39206729684</v>
      </c>
      <c r="AC25" s="41">
        <f t="shared" si="15"/>
        <v>1632800</v>
      </c>
      <c r="AD25" s="5">
        <v>100</v>
      </c>
      <c r="AE25" s="41">
        <f t="shared" si="16"/>
        <v>6280</v>
      </c>
      <c r="AF25" s="41">
        <f t="shared" ca="1" si="17"/>
        <v>4829.3984920488583</v>
      </c>
      <c r="AG25" s="41">
        <f t="shared" ca="1" si="18"/>
        <v>1255643.6079327031</v>
      </c>
      <c r="AH25" s="41">
        <f t="shared" si="19"/>
        <v>4427.3999999999996</v>
      </c>
      <c r="AI25" s="13">
        <f t="shared" ca="1" si="20"/>
        <v>73.791164934543417</v>
      </c>
      <c r="AJ25" s="10">
        <f t="shared" ca="1" si="21"/>
        <v>16.487859526120328</v>
      </c>
      <c r="AK25" s="11">
        <f t="shared" ca="1" si="41"/>
        <v>4427.4698960726055</v>
      </c>
      <c r="AL25" s="6">
        <v>10000</v>
      </c>
      <c r="AM25" s="41">
        <f t="shared" ca="1" si="22"/>
        <v>135.51757868127598</v>
      </c>
      <c r="AN25" s="41">
        <f t="shared" ca="1" si="23"/>
        <v>166.6640355148559</v>
      </c>
      <c r="AO25" s="41">
        <f t="shared" ca="1" si="24"/>
        <v>5.5604164512516983</v>
      </c>
      <c r="AP25" s="67">
        <f t="shared" si="42"/>
        <v>0.70499999999999996</v>
      </c>
      <c r="AQ25" s="11">
        <f t="shared" si="25"/>
        <v>1.0520562207183759</v>
      </c>
      <c r="AR25" s="11">
        <f t="shared" si="26"/>
        <v>1</v>
      </c>
      <c r="AS25" s="11">
        <f t="shared" si="27"/>
        <v>0.95051954477981193</v>
      </c>
      <c r="AT25" s="11">
        <f t="shared" si="28"/>
        <v>545.66999999999996</v>
      </c>
      <c r="AU25" s="11">
        <f t="shared" si="29"/>
        <v>2116.2199999999998</v>
      </c>
      <c r="AV25" s="11">
        <f t="shared" si="30"/>
        <v>2.259289905987135E-3</v>
      </c>
      <c r="AW25" s="11">
        <f t="shared" si="31"/>
        <v>3.8865391239478742E-7</v>
      </c>
      <c r="AX25" s="41">
        <f t="shared" ca="1" si="32"/>
        <v>72.890874836157309</v>
      </c>
      <c r="AY25" s="11">
        <f t="shared" ca="1" si="33"/>
        <v>596.99694445927958</v>
      </c>
      <c r="AZ25" s="11"/>
      <c r="BA25" s="11"/>
    </row>
    <row r="26" spans="1:53" ht="14.5">
      <c r="A26" s="41">
        <f t="shared" ca="1" si="34"/>
        <v>416.89485185478782</v>
      </c>
      <c r="B26" s="41">
        <f t="shared" ca="1" si="35"/>
        <v>6.9482475309131306</v>
      </c>
      <c r="C26" s="41">
        <f t="shared" ca="1" si="35"/>
        <v>0.11580412551521885</v>
      </c>
      <c r="D26" s="41">
        <f t="shared" ca="1" si="43"/>
        <v>17226.348438746474</v>
      </c>
      <c r="E26" s="41">
        <f t="shared" ca="1" si="36"/>
        <v>16.778979785067506</v>
      </c>
      <c r="F26" s="41">
        <f t="shared" ca="1" si="37"/>
        <v>16.778979785067506</v>
      </c>
      <c r="G26" s="41"/>
      <c r="H26" s="5">
        <v>0</v>
      </c>
      <c r="I26" s="5">
        <v>15</v>
      </c>
      <c r="J26" s="41">
        <f t="shared" si="38"/>
        <v>0.23548647952156257</v>
      </c>
      <c r="K26" s="41">
        <f t="shared" si="44"/>
        <v>265</v>
      </c>
      <c r="L26" s="6">
        <f t="shared" si="39"/>
        <v>13.704999999999998</v>
      </c>
      <c r="M26" s="41">
        <f t="shared" si="0"/>
        <v>157.00826000000001</v>
      </c>
      <c r="N26" s="41">
        <f t="shared" si="1"/>
        <v>79.329316823973272</v>
      </c>
      <c r="O26" s="41">
        <f t="shared" si="2"/>
        <v>1540475.4872978881</v>
      </c>
      <c r="P26" s="41">
        <f t="shared" si="3"/>
        <v>9890935.0961865038</v>
      </c>
      <c r="Q26" s="41">
        <f t="shared" si="4"/>
        <v>2.9934762535630279E-3</v>
      </c>
      <c r="R26" s="41">
        <f t="shared" si="5"/>
        <v>2.3275172528002284E-2</v>
      </c>
      <c r="S26" s="24">
        <f t="shared" ca="1" si="40"/>
        <v>16.566302477337324</v>
      </c>
      <c r="T26" s="41">
        <f t="shared" ca="1" si="6"/>
        <v>0.90493932006022626</v>
      </c>
      <c r="U26" s="41">
        <f t="shared" ca="1" si="7"/>
        <v>7.499517163692393E-2</v>
      </c>
      <c r="V26" s="41">
        <f t="shared" ca="1" si="8"/>
        <v>12.066634428698057</v>
      </c>
      <c r="W26" s="20">
        <f t="shared" ca="1" si="9"/>
        <v>1368.3426181423722</v>
      </c>
      <c r="X26" s="41">
        <f t="shared" si="10"/>
        <v>0.60706704701048875</v>
      </c>
      <c r="Y26" s="41">
        <f t="shared" ca="1" si="11"/>
        <v>173.95862090249997</v>
      </c>
      <c r="Z26" s="14">
        <f t="shared" ca="1" si="12"/>
        <v>1427.6017509718433</v>
      </c>
      <c r="AA26" s="14">
        <f t="shared" si="13"/>
        <v>6280</v>
      </c>
      <c r="AB26" s="25">
        <f t="shared" ca="1" si="14"/>
        <v>378314.46400753851</v>
      </c>
      <c r="AC26" s="41">
        <f t="shared" si="15"/>
        <v>1664200</v>
      </c>
      <c r="AD26" s="5">
        <v>100</v>
      </c>
      <c r="AE26" s="41">
        <f t="shared" si="16"/>
        <v>6280</v>
      </c>
      <c r="AF26" s="41">
        <f t="shared" ca="1" si="17"/>
        <v>4852.3982490281569</v>
      </c>
      <c r="AG26" s="41">
        <f t="shared" ca="1" si="18"/>
        <v>1285885.5359924615</v>
      </c>
      <c r="AH26" s="41">
        <f t="shared" si="19"/>
        <v>4427.3999999999996</v>
      </c>
      <c r="AI26" s="13">
        <f t="shared" ca="1" si="20"/>
        <v>75.558044748744521</v>
      </c>
      <c r="AJ26" s="10">
        <f t="shared" ca="1" si="21"/>
        <v>16.566302477337324</v>
      </c>
      <c r="AK26" s="11">
        <f t="shared" ca="1" si="41"/>
        <v>4533.482684924671</v>
      </c>
      <c r="AL26" s="6">
        <v>10000</v>
      </c>
      <c r="AM26" s="41">
        <f t="shared" ca="1" si="22"/>
        <v>132.34858092547665</v>
      </c>
      <c r="AN26" s="41">
        <f t="shared" ca="1" si="23"/>
        <v>162.76669644151536</v>
      </c>
      <c r="AO26" s="41">
        <f t="shared" ca="1" si="24"/>
        <v>5.5325719510540585</v>
      </c>
      <c r="AP26" s="67">
        <f t="shared" si="42"/>
        <v>0.70499999999999996</v>
      </c>
      <c r="AQ26" s="11">
        <f t="shared" si="25"/>
        <v>1.0520562207183759</v>
      </c>
      <c r="AR26" s="11">
        <f t="shared" si="26"/>
        <v>1</v>
      </c>
      <c r="AS26" s="11">
        <f t="shared" si="27"/>
        <v>0.95051954477981193</v>
      </c>
      <c r="AT26" s="11">
        <f t="shared" si="28"/>
        <v>545.66999999999996</v>
      </c>
      <c r="AU26" s="11">
        <f t="shared" si="29"/>
        <v>2116.2199999999998</v>
      </c>
      <c r="AV26" s="11">
        <f t="shared" si="30"/>
        <v>2.259289905987135E-3</v>
      </c>
      <c r="AW26" s="11">
        <f t="shared" si="31"/>
        <v>3.8865391239478742E-7</v>
      </c>
      <c r="AX26" s="41">
        <f t="shared" ca="1" si="32"/>
        <v>74.646437146259927</v>
      </c>
      <c r="AY26" s="11">
        <f t="shared" ca="1" si="33"/>
        <v>597.73529656262076</v>
      </c>
      <c r="AZ26" s="11"/>
      <c r="BA26" s="11"/>
    </row>
    <row r="27" spans="1:53" ht="14.5">
      <c r="A27" s="41">
        <f t="shared" ca="1" si="34"/>
        <v>549.24343278026447</v>
      </c>
      <c r="B27" s="41">
        <f t="shared" ca="1" si="35"/>
        <v>9.1540572130044087</v>
      </c>
      <c r="C27" s="41">
        <f t="shared" ca="1" si="35"/>
        <v>0.15256762021674014</v>
      </c>
      <c r="D27" s="41">
        <f t="shared" ca="1" si="43"/>
        <v>17226.348438746474</v>
      </c>
      <c r="E27" s="41">
        <f t="shared" ca="1" si="36"/>
        <v>22.311551736121565</v>
      </c>
      <c r="F27" s="41">
        <f t="shared" ca="1" si="37"/>
        <v>22.311551736121565</v>
      </c>
      <c r="G27" s="41"/>
      <c r="H27" s="5">
        <v>0</v>
      </c>
      <c r="I27" s="5">
        <v>15</v>
      </c>
      <c r="J27" s="41">
        <f t="shared" si="38"/>
        <v>0.23992962064461093</v>
      </c>
      <c r="K27" s="41">
        <f t="shared" si="44"/>
        <v>270</v>
      </c>
      <c r="L27" s="6">
        <f t="shared" si="39"/>
        <v>14.939999999999998</v>
      </c>
      <c r="M27" s="41">
        <f t="shared" si="0"/>
        <v>159.97068000000002</v>
      </c>
      <c r="N27" s="41">
        <f t="shared" si="1"/>
        <v>82.351117073231066</v>
      </c>
      <c r="O27" s="41">
        <f t="shared" si="2"/>
        <v>1569541.0625299234</v>
      </c>
      <c r="P27" s="41">
        <f t="shared" si="3"/>
        <v>10077556.513095681</v>
      </c>
      <c r="Q27" s="41">
        <f t="shared" si="4"/>
        <v>2.9839469258662443E-3</v>
      </c>
      <c r="R27" s="41">
        <f t="shared" si="5"/>
        <v>2.3216995982413422E-2</v>
      </c>
      <c r="S27" s="24">
        <f t="shared" ca="1" si="40"/>
        <v>16.636466732973087</v>
      </c>
      <c r="T27" s="41">
        <f t="shared" ca="1" si="6"/>
        <v>0.87141517252149769</v>
      </c>
      <c r="U27" s="41">
        <f t="shared" ca="1" si="7"/>
        <v>7.1175963573551326E-2</v>
      </c>
      <c r="V27" s="41">
        <f t="shared" ca="1" si="8"/>
        <v>12.243110296933327</v>
      </c>
      <c r="W27" s="20">
        <f t="shared" ca="1" si="9"/>
        <v>1348.1266250804774</v>
      </c>
      <c r="X27" s="41">
        <f t="shared" si="10"/>
        <v>0.60630788700505922</v>
      </c>
      <c r="Y27" s="41">
        <f t="shared" ca="1" si="11"/>
        <v>173.92686760438951</v>
      </c>
      <c r="Z27" s="14">
        <f t="shared" ca="1" si="12"/>
        <v>1407.0238706467715</v>
      </c>
      <c r="AA27" s="14">
        <f t="shared" si="13"/>
        <v>6280</v>
      </c>
      <c r="AB27" s="25">
        <f t="shared" ca="1" si="14"/>
        <v>379896.44507462828</v>
      </c>
      <c r="AC27" s="41">
        <f t="shared" si="15"/>
        <v>1695600</v>
      </c>
      <c r="AD27" s="5">
        <v>100</v>
      </c>
      <c r="AE27" s="41">
        <f t="shared" si="16"/>
        <v>6280</v>
      </c>
      <c r="AF27" s="41">
        <f t="shared" ca="1" si="17"/>
        <v>4872.9761293532283</v>
      </c>
      <c r="AG27" s="41">
        <f t="shared" ca="1" si="18"/>
        <v>1315703.5549253717</v>
      </c>
      <c r="AH27" s="41">
        <f t="shared" si="19"/>
        <v>4427.3999999999996</v>
      </c>
      <c r="AI27" s="13">
        <f t="shared" ca="1" si="20"/>
        <v>77.300526920327954</v>
      </c>
      <c r="AJ27" s="10">
        <f t="shared" ca="1" si="21"/>
        <v>16.636466732973087</v>
      </c>
      <c r="AK27" s="11">
        <f t="shared" ca="1" si="41"/>
        <v>4638.0316152196774</v>
      </c>
      <c r="AL27" s="6">
        <v>10000</v>
      </c>
      <c r="AM27" s="41">
        <f t="shared" ca="1" si="22"/>
        <v>129.36522425399238</v>
      </c>
      <c r="AN27" s="41">
        <f t="shared" ca="1" si="23"/>
        <v>159.09766496170161</v>
      </c>
      <c r="AO27" s="41">
        <f t="shared" ca="1" si="24"/>
        <v>5.5078823666234573</v>
      </c>
      <c r="AP27" s="67">
        <f t="shared" si="42"/>
        <v>0.70499999999999996</v>
      </c>
      <c r="AQ27" s="11">
        <f t="shared" si="25"/>
        <v>1.0520562207183759</v>
      </c>
      <c r="AR27" s="11">
        <f t="shared" si="26"/>
        <v>1</v>
      </c>
      <c r="AS27" s="11">
        <f t="shared" si="27"/>
        <v>0.95051954477981193</v>
      </c>
      <c r="AT27" s="11">
        <f t="shared" si="28"/>
        <v>545.66999999999996</v>
      </c>
      <c r="AU27" s="11">
        <f t="shared" si="29"/>
        <v>2116.2199999999998</v>
      </c>
      <c r="AV27" s="11">
        <f t="shared" si="30"/>
        <v>2.259289905987135E-3</v>
      </c>
      <c r="AW27" s="11">
        <f t="shared" si="31"/>
        <v>3.8865391239478742E-7</v>
      </c>
      <c r="AX27" s="41">
        <f t="shared" ca="1" si="32"/>
        <v>76.377391273824287</v>
      </c>
      <c r="AY27" s="11">
        <f t="shared" ca="1" si="33"/>
        <v>598.46112774357755</v>
      </c>
      <c r="AZ27" s="11"/>
      <c r="BA27" s="11"/>
    </row>
    <row r="28" spans="1:53" ht="14.5">
      <c r="A28" s="41">
        <f t="shared" ca="1" si="34"/>
        <v>678.60865703425679</v>
      </c>
      <c r="B28" s="41">
        <f t="shared" ca="1" si="35"/>
        <v>11.310144283904281</v>
      </c>
      <c r="C28" s="41">
        <f t="shared" ca="1" si="35"/>
        <v>0.18850240473173802</v>
      </c>
      <c r="D28" s="41">
        <f t="shared" ca="1" si="43"/>
        <v>17226.348438746474</v>
      </c>
      <c r="E28" s="41">
        <f t="shared" ca="1" si="36"/>
        <v>27.819434102745021</v>
      </c>
      <c r="F28" s="41">
        <f t="shared" ca="1" si="37"/>
        <v>27.819434102745021</v>
      </c>
      <c r="G28" s="41"/>
      <c r="H28" s="5">
        <v>0</v>
      </c>
      <c r="I28" s="5">
        <v>15</v>
      </c>
      <c r="J28" s="41">
        <f t="shared" si="38"/>
        <v>0.24437276176765929</v>
      </c>
      <c r="K28" s="41">
        <f t="shared" si="44"/>
        <v>275</v>
      </c>
      <c r="L28" s="6">
        <f t="shared" si="39"/>
        <v>16.174999999999997</v>
      </c>
      <c r="M28" s="41">
        <f t="shared" si="0"/>
        <v>162.9331</v>
      </c>
      <c r="N28" s="41">
        <f t="shared" si="1"/>
        <v>85.429399570138543</v>
      </c>
      <c r="O28" s="41">
        <f t="shared" si="2"/>
        <v>1598606.6377619591</v>
      </c>
      <c r="P28" s="41">
        <f t="shared" si="3"/>
        <v>10264177.930004861</v>
      </c>
      <c r="Q28" s="41">
        <f t="shared" si="4"/>
        <v>2.9746105656281918E-3</v>
      </c>
      <c r="R28" s="41">
        <f t="shared" si="5"/>
        <v>2.3159997503160112E-2</v>
      </c>
      <c r="S28" s="24">
        <f t="shared" ca="1" si="40"/>
        <v>16.698909869879248</v>
      </c>
      <c r="T28" s="41">
        <f t="shared" ca="1" si="6"/>
        <v>0.83974136907324692</v>
      </c>
      <c r="U28" s="41">
        <f t="shared" ca="1" si="7"/>
        <v>6.769594419982182E-2</v>
      </c>
      <c r="V28" s="41">
        <f t="shared" ca="1" si="8"/>
        <v>12.404603835564158</v>
      </c>
      <c r="W28" s="20">
        <f t="shared" ca="1" si="9"/>
        <v>1330.1414892546074</v>
      </c>
      <c r="X28" s="41">
        <f t="shared" si="10"/>
        <v>0.60556317687418226</v>
      </c>
      <c r="Y28" s="41">
        <f t="shared" ca="1" si="11"/>
        <v>173.89849397765721</v>
      </c>
      <c r="Z28" s="14">
        <f t="shared" ca="1" si="12"/>
        <v>1388.7060535829698</v>
      </c>
      <c r="AA28" s="14">
        <f t="shared" si="13"/>
        <v>6280</v>
      </c>
      <c r="AB28" s="25">
        <f t="shared" ca="1" si="14"/>
        <v>381894.16473531671</v>
      </c>
      <c r="AC28" s="41">
        <f t="shared" si="15"/>
        <v>1727000</v>
      </c>
      <c r="AD28" s="5">
        <v>100</v>
      </c>
      <c r="AE28" s="41">
        <f t="shared" si="16"/>
        <v>6280</v>
      </c>
      <c r="AF28" s="41">
        <f t="shared" ca="1" si="17"/>
        <v>4891.2939464170304</v>
      </c>
      <c r="AG28" s="41">
        <f t="shared" ca="1" si="18"/>
        <v>1345105.8352646832</v>
      </c>
      <c r="AH28" s="41">
        <f t="shared" si="19"/>
        <v>4427.3999999999996</v>
      </c>
      <c r="AI28" s="13">
        <f t="shared" ca="1" si="20"/>
        <v>79.01913137860781</v>
      </c>
      <c r="AJ28" s="10">
        <f t="shared" ca="1" si="21"/>
        <v>16.698909869879248</v>
      </c>
      <c r="AK28" s="11">
        <f t="shared" ca="1" si="41"/>
        <v>4741.1478827164683</v>
      </c>
      <c r="AL28" s="6">
        <v>10000</v>
      </c>
      <c r="AM28" s="41">
        <f t="shared" ca="1" si="22"/>
        <v>126.55163155472519</v>
      </c>
      <c r="AN28" s="41">
        <f t="shared" ca="1" si="23"/>
        <v>155.63741487371951</v>
      </c>
      <c r="AO28" s="41">
        <f t="shared" ca="1" si="24"/>
        <v>5.4860792854263822</v>
      </c>
      <c r="AP28" s="67">
        <f t="shared" si="42"/>
        <v>0.70499999999999996</v>
      </c>
      <c r="AQ28" s="11">
        <f t="shared" si="25"/>
        <v>1.0520562207183759</v>
      </c>
      <c r="AR28" s="11">
        <f t="shared" si="26"/>
        <v>1</v>
      </c>
      <c r="AS28" s="11">
        <f t="shared" si="27"/>
        <v>0.95051954477981193</v>
      </c>
      <c r="AT28" s="11">
        <f t="shared" si="28"/>
        <v>545.66999999999996</v>
      </c>
      <c r="AU28" s="11">
        <f t="shared" si="29"/>
        <v>2116.2199999999998</v>
      </c>
      <c r="AV28" s="11">
        <f t="shared" si="30"/>
        <v>2.259289905987135E-3</v>
      </c>
      <c r="AW28" s="11">
        <f t="shared" si="31"/>
        <v>3.8865391239478742E-7</v>
      </c>
      <c r="AX28" s="41">
        <f t="shared" ca="1" si="32"/>
        <v>78.084211523272998</v>
      </c>
      <c r="AY28" s="11">
        <f t="shared" ca="1" si="33"/>
        <v>599.17493513131535</v>
      </c>
      <c r="AZ28" s="11"/>
      <c r="BA28" s="11"/>
    </row>
    <row r="29" spans="1:53" ht="14.5">
      <c r="A29" s="41">
        <f t="shared" ca="1" si="34"/>
        <v>805.16028858898198</v>
      </c>
      <c r="B29" s="41">
        <f t="shared" ca="1" si="35"/>
        <v>13.4193381431497</v>
      </c>
      <c r="C29" s="41">
        <f t="shared" ca="1" si="35"/>
        <v>0.22365563571916167</v>
      </c>
      <c r="D29" s="41">
        <f t="shared" ca="1" si="43"/>
        <v>17226.348438746474</v>
      </c>
      <c r="E29" s="41">
        <f t="shared" ca="1" si="36"/>
        <v>33.305513388171406</v>
      </c>
      <c r="F29" s="41">
        <f t="shared" ca="1" si="37"/>
        <v>33.305513388171406</v>
      </c>
      <c r="G29" s="41"/>
      <c r="H29" s="5">
        <v>0</v>
      </c>
      <c r="I29" s="5">
        <v>15</v>
      </c>
      <c r="J29" s="41">
        <f t="shared" si="38"/>
        <v>0.24881590289070762</v>
      </c>
      <c r="K29" s="41">
        <f t="shared" si="44"/>
        <v>280</v>
      </c>
      <c r="L29" s="6">
        <f t="shared" si="39"/>
        <v>17.409999999999997</v>
      </c>
      <c r="M29" s="41">
        <f t="shared" si="0"/>
        <v>165.89552</v>
      </c>
      <c r="N29" s="41">
        <f t="shared" si="1"/>
        <v>88.564164314695688</v>
      </c>
      <c r="O29" s="41">
        <f t="shared" si="2"/>
        <v>1627672.2129939946</v>
      </c>
      <c r="P29" s="41">
        <f t="shared" si="3"/>
        <v>10450799.34691404</v>
      </c>
      <c r="Q29" s="41">
        <f t="shared" si="4"/>
        <v>2.9654591306639399E-3</v>
      </c>
      <c r="R29" s="41">
        <f t="shared" si="5"/>
        <v>2.3104127992703352E-2</v>
      </c>
      <c r="S29" s="24">
        <f t="shared" ca="1" si="40"/>
        <v>16.754138761461888</v>
      </c>
      <c r="T29" s="41">
        <f t="shared" ca="1" si="6"/>
        <v>0.80978376991727319</v>
      </c>
      <c r="U29" s="41">
        <f t="shared" ca="1" si="7"/>
        <v>6.451913385929274E-2</v>
      </c>
      <c r="V29" s="41">
        <f t="shared" ca="1" si="8"/>
        <v>12.551063870189253</v>
      </c>
      <c r="W29" s="20">
        <f t="shared" ca="1" si="9"/>
        <v>1314.2391296879373</v>
      </c>
      <c r="X29" s="41">
        <f t="shared" si="10"/>
        <v>0.60483232734217729</v>
      </c>
      <c r="Y29" s="41">
        <f t="shared" ca="1" si="11"/>
        <v>173.87330850433847</v>
      </c>
      <c r="Z29" s="14">
        <f t="shared" ca="1" si="12"/>
        <v>1372.5010578315801</v>
      </c>
      <c r="AA29" s="14">
        <f t="shared" si="13"/>
        <v>6280</v>
      </c>
      <c r="AB29" s="25">
        <f t="shared" ca="1" si="14"/>
        <v>384300.29619284242</v>
      </c>
      <c r="AC29" s="41">
        <f t="shared" si="15"/>
        <v>1758400</v>
      </c>
      <c r="AD29" s="5">
        <v>100</v>
      </c>
      <c r="AE29" s="41">
        <f t="shared" si="16"/>
        <v>6280</v>
      </c>
      <c r="AF29" s="41">
        <f t="shared" ca="1" si="17"/>
        <v>4907.4989421684204</v>
      </c>
      <c r="AG29" s="41">
        <f t="shared" ca="1" si="18"/>
        <v>1374099.7038071575</v>
      </c>
      <c r="AH29" s="41">
        <f t="shared" si="19"/>
        <v>4427.3999999999996</v>
      </c>
      <c r="AI29" s="13">
        <f t="shared" ca="1" si="20"/>
        <v>80.71432251770679</v>
      </c>
      <c r="AJ29" s="10">
        <f t="shared" ca="1" si="21"/>
        <v>16.754138761461888</v>
      </c>
      <c r="AK29" s="11">
        <f t="shared" ca="1" si="41"/>
        <v>4842.8593510624078</v>
      </c>
      <c r="AL29" s="6">
        <v>10000</v>
      </c>
      <c r="AM29" s="41">
        <f t="shared" ca="1" si="22"/>
        <v>123.89374881770506</v>
      </c>
      <c r="AN29" s="41">
        <f t="shared" ca="1" si="23"/>
        <v>152.36866208764093</v>
      </c>
      <c r="AO29" s="41">
        <f t="shared" ca="1" si="24"/>
        <v>5.4669267787893565</v>
      </c>
      <c r="AP29" s="67">
        <f t="shared" si="42"/>
        <v>0.70499999999999996</v>
      </c>
      <c r="AQ29" s="11">
        <f t="shared" si="25"/>
        <v>1.0520562207183759</v>
      </c>
      <c r="AR29" s="11">
        <f t="shared" si="26"/>
        <v>1</v>
      </c>
      <c r="AS29" s="11">
        <f t="shared" si="27"/>
        <v>0.95051954477981193</v>
      </c>
      <c r="AT29" s="11">
        <f t="shared" si="28"/>
        <v>545.66999999999996</v>
      </c>
      <c r="AU29" s="11">
        <f t="shared" si="29"/>
        <v>2116.2199999999998</v>
      </c>
      <c r="AV29" s="11">
        <f t="shared" si="30"/>
        <v>2.259289905987135E-3</v>
      </c>
      <c r="AW29" s="11">
        <f t="shared" si="31"/>
        <v>3.8865391239478742E-7</v>
      </c>
      <c r="AX29" s="41">
        <f t="shared" ca="1" si="32"/>
        <v>79.767323219612521</v>
      </c>
      <c r="AY29" s="11">
        <f t="shared" ca="1" si="33"/>
        <v>599.87718872240998</v>
      </c>
      <c r="AZ29" s="11"/>
      <c r="BA29" s="11"/>
    </row>
    <row r="30" spans="1:53" ht="14.5">
      <c r="A30" s="41">
        <f t="shared" ca="1" si="34"/>
        <v>929.05403740668703</v>
      </c>
      <c r="B30" s="41">
        <f t="shared" ca="1" si="35"/>
        <v>15.484233956778118</v>
      </c>
      <c r="C30" s="41">
        <f t="shared" ca="1" si="35"/>
        <v>0.25807056594630196</v>
      </c>
      <c r="D30" s="41">
        <f t="shared" ca="1" si="43"/>
        <v>17226.348438746474</v>
      </c>
      <c r="E30" s="41">
        <f t="shared" ca="1" si="36"/>
        <v>38.772440166960763</v>
      </c>
      <c r="F30" s="41">
        <f t="shared" ca="1" si="37"/>
        <v>38.772440166960763</v>
      </c>
      <c r="G30" s="41"/>
      <c r="H30" s="5">
        <v>0</v>
      </c>
      <c r="I30" s="5">
        <v>15</v>
      </c>
      <c r="J30" s="41">
        <f t="shared" si="38"/>
        <v>0.25325904401375599</v>
      </c>
      <c r="K30" s="41">
        <f t="shared" si="44"/>
        <v>285</v>
      </c>
      <c r="L30" s="6">
        <f t="shared" si="39"/>
        <v>18.644999999999996</v>
      </c>
      <c r="M30" s="41">
        <f t="shared" si="0"/>
        <v>168.85794000000001</v>
      </c>
      <c r="N30" s="41">
        <f t="shared" si="1"/>
        <v>91.755411306902516</v>
      </c>
      <c r="O30" s="41">
        <f t="shared" si="2"/>
        <v>1656737.7882260301</v>
      </c>
      <c r="P30" s="41">
        <f t="shared" si="3"/>
        <v>10637420.763823219</v>
      </c>
      <c r="Q30" s="41">
        <f t="shared" si="4"/>
        <v>2.9564850407788295E-3</v>
      </c>
      <c r="R30" s="41">
        <f t="shared" si="5"/>
        <v>2.3049341173954754E-2</v>
      </c>
      <c r="S30" s="24">
        <f t="shared" ca="1" si="40"/>
        <v>16.802615022194459</v>
      </c>
      <c r="T30" s="41">
        <f t="shared" ca="1" si="6"/>
        <v>0.78142018315039308</v>
      </c>
      <c r="U30" s="41">
        <f t="shared" ca="1" si="7"/>
        <v>6.1613941921080093E-2</v>
      </c>
      <c r="V30" s="41">
        <f t="shared" ca="1" si="8"/>
        <v>12.682522149796819</v>
      </c>
      <c r="W30" s="20">
        <f t="shared" ca="1" si="9"/>
        <v>1300.2848941379107</v>
      </c>
      <c r="X30" s="41">
        <f t="shared" si="10"/>
        <v>0.60411478226160975</v>
      </c>
      <c r="Y30" s="41">
        <f t="shared" ca="1" si="11"/>
        <v>173.85113278236022</v>
      </c>
      <c r="Z30" s="14">
        <f t="shared" ca="1" si="12"/>
        <v>1358.2746582486709</v>
      </c>
      <c r="AA30" s="14">
        <f t="shared" si="13"/>
        <v>6280</v>
      </c>
      <c r="AB30" s="25">
        <f t="shared" ca="1" si="14"/>
        <v>387108.27760087122</v>
      </c>
      <c r="AC30" s="41">
        <f t="shared" si="15"/>
        <v>1789800</v>
      </c>
      <c r="AD30" s="5">
        <v>100</v>
      </c>
      <c r="AE30" s="41">
        <f t="shared" si="16"/>
        <v>6280</v>
      </c>
      <c r="AF30" s="41">
        <f t="shared" ca="1" si="17"/>
        <v>4921.7253417513293</v>
      </c>
      <c r="AG30" s="41">
        <f t="shared" ca="1" si="18"/>
        <v>1402691.7223991288</v>
      </c>
      <c r="AH30" s="41">
        <f t="shared" si="19"/>
        <v>4427.3999999999996</v>
      </c>
      <c r="AI30" s="13">
        <f t="shared" ca="1" si="20"/>
        <v>82.386514484898512</v>
      </c>
      <c r="AJ30" s="10">
        <f t="shared" ca="1" si="21"/>
        <v>16.802615022194459</v>
      </c>
      <c r="AK30" s="11">
        <f t="shared" ca="1" si="41"/>
        <v>4943.1908690939108</v>
      </c>
      <c r="AL30" s="6">
        <v>10000</v>
      </c>
      <c r="AM30" s="41">
        <f t="shared" ca="1" si="22"/>
        <v>121.37908810103873</v>
      </c>
      <c r="AN30" s="41">
        <f t="shared" ca="1" si="23"/>
        <v>149.27604851626077</v>
      </c>
      <c r="AO30" s="41">
        <f t="shared" ca="1" si="24"/>
        <v>5.4502167687680139</v>
      </c>
      <c r="AP30" s="67">
        <f t="shared" si="42"/>
        <v>0.70499999999999996</v>
      </c>
      <c r="AQ30" s="11">
        <f t="shared" si="25"/>
        <v>1.0520562207183759</v>
      </c>
      <c r="AR30" s="11">
        <f t="shared" si="26"/>
        <v>1</v>
      </c>
      <c r="AS30" s="11">
        <f t="shared" si="27"/>
        <v>0.95051954477981193</v>
      </c>
      <c r="AT30" s="11">
        <f t="shared" si="28"/>
        <v>545.66999999999996</v>
      </c>
      <c r="AU30" s="11">
        <f t="shared" si="29"/>
        <v>2116.2199999999998</v>
      </c>
      <c r="AV30" s="11">
        <f t="shared" si="30"/>
        <v>2.259289905987135E-3</v>
      </c>
      <c r="AW30" s="11">
        <f t="shared" si="31"/>
        <v>3.8865391239478742E-7</v>
      </c>
      <c r="AX30" s="41">
        <f t="shared" ca="1" si="32"/>
        <v>81.427107282011988</v>
      </c>
      <c r="AY30" s="11">
        <f t="shared" ca="1" si="33"/>
        <v>600.56833331149346</v>
      </c>
      <c r="AZ30" s="11"/>
      <c r="BA30" s="11"/>
    </row>
    <row r="31" spans="1:53" ht="14.5">
      <c r="A31" s="41">
        <f t="shared" ca="1" si="34"/>
        <v>1050.4331255077257</v>
      </c>
      <c r="B31" s="41">
        <f t="shared" ca="1" si="35"/>
        <v>17.507218758462095</v>
      </c>
      <c r="C31" s="41">
        <f t="shared" ca="1" si="35"/>
        <v>0.29178697930770159</v>
      </c>
      <c r="D31" s="41">
        <f t="shared" ca="1" si="43"/>
        <v>17226.348438746474</v>
      </c>
      <c r="E31" s="41">
        <f t="shared" ca="1" si="36"/>
        <v>44.222656935728779</v>
      </c>
      <c r="F31" s="41">
        <f t="shared" ca="1" si="37"/>
        <v>44.222656935728779</v>
      </c>
      <c r="G31" s="41"/>
      <c r="H31" s="5">
        <v>0</v>
      </c>
      <c r="I31" s="5">
        <v>15</v>
      </c>
      <c r="J31" s="41">
        <f t="shared" si="38"/>
        <v>0.25770218513680432</v>
      </c>
      <c r="K31" s="41">
        <f t="shared" si="44"/>
        <v>290</v>
      </c>
      <c r="L31" s="6">
        <f t="shared" si="39"/>
        <v>19.879999999999995</v>
      </c>
      <c r="M31" s="41">
        <f t="shared" si="0"/>
        <v>171.82035999999999</v>
      </c>
      <c r="N31" s="41">
        <f t="shared" si="1"/>
        <v>95.003140546759028</v>
      </c>
      <c r="O31" s="41">
        <f t="shared" si="2"/>
        <v>1685803.363458066</v>
      </c>
      <c r="P31" s="41">
        <f t="shared" si="3"/>
        <v>10824042.180732399</v>
      </c>
      <c r="Q31" s="41">
        <f t="shared" si="4"/>
        <v>2.9476811437304795E-3</v>
      </c>
      <c r="R31" s="41">
        <f t="shared" si="5"/>
        <v>2.2995593382474578E-2</v>
      </c>
      <c r="S31" s="24">
        <f t="shared" ca="1" si="40"/>
        <v>16.844759786346472</v>
      </c>
      <c r="T31" s="41">
        <f t="shared" ca="1" si="6"/>
        <v>0.7545391113672093</v>
      </c>
      <c r="U31" s="41">
        <f t="shared" ca="1" si="7"/>
        <v>5.895256467618834E-2</v>
      </c>
      <c r="V31" s="41">
        <f t="shared" ca="1" si="8"/>
        <v>12.799088818471317</v>
      </c>
      <c r="W31" s="20">
        <f t="shared" ca="1" si="9"/>
        <v>1288.1561211304793</v>
      </c>
      <c r="X31" s="41">
        <f t="shared" si="10"/>
        <v>0.60341001621286816</v>
      </c>
      <c r="Y31" s="41">
        <f t="shared" ca="1" si="11"/>
        <v>173.83180056756876</v>
      </c>
      <c r="Z31" s="14">
        <f t="shared" ca="1" si="12"/>
        <v>1345.9042813958638</v>
      </c>
      <c r="AA31" s="14">
        <f t="shared" si="13"/>
        <v>6280</v>
      </c>
      <c r="AB31" s="25">
        <f t="shared" ca="1" si="14"/>
        <v>390312.24160480051</v>
      </c>
      <c r="AC31" s="41">
        <f t="shared" si="15"/>
        <v>1821200</v>
      </c>
      <c r="AD31" s="5">
        <v>100</v>
      </c>
      <c r="AE31" s="41">
        <f t="shared" si="16"/>
        <v>6280</v>
      </c>
      <c r="AF31" s="41">
        <f t="shared" ca="1" si="17"/>
        <v>4934.095718604136</v>
      </c>
      <c r="AG31" s="41">
        <f t="shared" ca="1" si="18"/>
        <v>1430887.7583951994</v>
      </c>
      <c r="AH31" s="41">
        <f t="shared" si="19"/>
        <v>4427.3999999999996</v>
      </c>
      <c r="AI31" s="13">
        <f t="shared" ca="1" si="20"/>
        <v>84.036075899641006</v>
      </c>
      <c r="AJ31" s="10">
        <f t="shared" ca="1" si="21"/>
        <v>16.844759786346472</v>
      </c>
      <c r="AK31" s="11">
        <f t="shared" ca="1" si="41"/>
        <v>5042.1645539784604</v>
      </c>
      <c r="AL31" s="6">
        <v>10000</v>
      </c>
      <c r="AM31" s="41">
        <f t="shared" ca="1" si="22"/>
        <v>118.99651302069805</v>
      </c>
      <c r="AN31" s="41">
        <f t="shared" ca="1" si="23"/>
        <v>146.34587826328845</v>
      </c>
      <c r="AO31" s="41">
        <f t="shared" ca="1" si="24"/>
        <v>5.4357651649923637</v>
      </c>
      <c r="AP31" s="67">
        <f t="shared" si="42"/>
        <v>0.70499999999999996</v>
      </c>
      <c r="AQ31" s="11">
        <f t="shared" si="25"/>
        <v>1.0520562207183759</v>
      </c>
      <c r="AR31" s="11">
        <f t="shared" si="26"/>
        <v>1</v>
      </c>
      <c r="AS31" s="11">
        <f t="shared" si="27"/>
        <v>0.95051954477981193</v>
      </c>
      <c r="AT31" s="11">
        <f t="shared" si="28"/>
        <v>545.66999999999996</v>
      </c>
      <c r="AU31" s="11">
        <f t="shared" si="29"/>
        <v>2116.2199999999998</v>
      </c>
      <c r="AV31" s="11">
        <f t="shared" si="30"/>
        <v>2.259289905987135E-3</v>
      </c>
      <c r="AW31" s="11">
        <f t="shared" si="31"/>
        <v>3.8865391239478742E-7</v>
      </c>
      <c r="AX31" s="41">
        <f t="shared" ca="1" si="32"/>
        <v>83.063904313973239</v>
      </c>
      <c r="AY31" s="11">
        <f t="shared" ca="1" si="33"/>
        <v>601.24879025330745</v>
      </c>
      <c r="AZ31" s="11"/>
      <c r="BA31" s="11"/>
    </row>
    <row r="32" spans="1:53" ht="14.5">
      <c r="A32" s="41">
        <f t="shared" ca="1" si="34"/>
        <v>1169.4296385284238</v>
      </c>
      <c r="B32" s="41">
        <f t="shared" ca="1" si="35"/>
        <v>19.490493975473729</v>
      </c>
      <c r="C32" s="41">
        <f t="shared" ca="1" si="35"/>
        <v>0.32484156625789551</v>
      </c>
      <c r="D32" s="41">
        <f t="shared" ca="1" si="43"/>
        <v>17226.348438746474</v>
      </c>
      <c r="E32" s="41">
        <f t="shared" ca="1" si="36"/>
        <v>49.65842210072114</v>
      </c>
      <c r="F32" s="41">
        <f t="shared" ca="1" si="37"/>
        <v>49.65842210072114</v>
      </c>
      <c r="G32" s="41"/>
      <c r="H32" s="5">
        <v>0</v>
      </c>
      <c r="I32" s="5">
        <v>15</v>
      </c>
      <c r="J32" s="41">
        <f t="shared" si="38"/>
        <v>0.26214532625985271</v>
      </c>
      <c r="K32" s="41">
        <f t="shared" si="44"/>
        <v>295</v>
      </c>
      <c r="L32" s="6">
        <f t="shared" si="39"/>
        <v>21.114999999999995</v>
      </c>
      <c r="M32" s="41">
        <f t="shared" si="0"/>
        <v>174.78278</v>
      </c>
      <c r="N32" s="41">
        <f t="shared" si="1"/>
        <v>98.307352034265207</v>
      </c>
      <c r="O32" s="41">
        <f t="shared" si="2"/>
        <v>1714868.9386901017</v>
      </c>
      <c r="P32" s="41">
        <f t="shared" si="3"/>
        <v>11010663.59764158</v>
      </c>
      <c r="Q32" s="41">
        <f t="shared" si="4"/>
        <v>2.9390406842388275E-3</v>
      </c>
      <c r="R32" s="41">
        <f t="shared" si="5"/>
        <v>2.294284337727804E-2</v>
      </c>
      <c r="S32" s="24">
        <f t="shared" ca="1" si="40"/>
        <v>16.880957911459909</v>
      </c>
      <c r="T32" s="41">
        <f t="shared" ca="1" si="6"/>
        <v>0.72903864858347711</v>
      </c>
      <c r="U32" s="41">
        <f t="shared" ca="1" si="7"/>
        <v>5.6510474596459477E-2</v>
      </c>
      <c r="V32" s="41">
        <f t="shared" ca="1" si="8"/>
        <v>12.900947192348536</v>
      </c>
      <c r="W32" s="20">
        <f t="shared" ca="1" si="9"/>
        <v>1277.7408775488348</v>
      </c>
      <c r="X32" s="41">
        <f t="shared" si="10"/>
        <v>0.60271753231580238</v>
      </c>
      <c r="Y32" s="41">
        <f t="shared" ca="1" si="11"/>
        <v>173.81515687235253</v>
      </c>
      <c r="Z32" s="14">
        <f t="shared" ca="1" si="12"/>
        <v>1335.2778041726506</v>
      </c>
      <c r="AA32" s="14">
        <f t="shared" si="13"/>
        <v>6280</v>
      </c>
      <c r="AB32" s="25">
        <f t="shared" ca="1" si="14"/>
        <v>393906.9522309319</v>
      </c>
      <c r="AC32" s="41">
        <f t="shared" si="15"/>
        <v>1852600</v>
      </c>
      <c r="AD32" s="5">
        <v>100</v>
      </c>
      <c r="AE32" s="41">
        <f t="shared" si="16"/>
        <v>6280</v>
      </c>
      <c r="AF32" s="41">
        <f t="shared" ca="1" si="17"/>
        <v>4944.7221958273494</v>
      </c>
      <c r="AG32" s="41">
        <f t="shared" ca="1" si="18"/>
        <v>1458693.047769068</v>
      </c>
      <c r="AH32" s="41">
        <f t="shared" si="19"/>
        <v>4427.3999999999996</v>
      </c>
      <c r="AI32" s="13">
        <f t="shared" ca="1" si="20"/>
        <v>85.663334070495267</v>
      </c>
      <c r="AJ32" s="10">
        <f t="shared" ca="1" si="21"/>
        <v>16.880957911459909</v>
      </c>
      <c r="AK32" s="11">
        <f t="shared" ca="1" si="41"/>
        <v>5139.8000442297161</v>
      </c>
      <c r="AL32" s="6">
        <v>10000</v>
      </c>
      <c r="AM32" s="41">
        <f t="shared" ca="1" si="22"/>
        <v>116.73605876430936</v>
      </c>
      <c r="AN32" s="41">
        <f t="shared" ca="1" si="23"/>
        <v>143.56589627030647</v>
      </c>
      <c r="AO32" s="41">
        <f t="shared" ca="1" si="24"/>
        <v>5.4234086267593602</v>
      </c>
      <c r="AP32" s="67">
        <f t="shared" si="42"/>
        <v>0.70499999999999996</v>
      </c>
      <c r="AQ32" s="11">
        <f t="shared" si="25"/>
        <v>1.0520562207183759</v>
      </c>
      <c r="AR32" s="11">
        <f t="shared" si="26"/>
        <v>1</v>
      </c>
      <c r="AS32" s="11">
        <f t="shared" si="27"/>
        <v>0.95051954477981193</v>
      </c>
      <c r="AT32" s="11">
        <f t="shared" si="28"/>
        <v>545.66999999999996</v>
      </c>
      <c r="AU32" s="11">
        <f t="shared" si="29"/>
        <v>2116.2199999999998</v>
      </c>
      <c r="AV32" s="11">
        <f t="shared" si="30"/>
        <v>2.259289905987135E-3</v>
      </c>
      <c r="AW32" s="11">
        <f t="shared" si="31"/>
        <v>3.8865391239478742E-7</v>
      </c>
      <c r="AX32" s="41">
        <f t="shared" ca="1" si="32"/>
        <v>84.678018266952819</v>
      </c>
      <c r="AY32" s="11">
        <f t="shared" ca="1" si="33"/>
        <v>601.91895907351841</v>
      </c>
      <c r="AZ32" s="11"/>
      <c r="BA32" s="11"/>
    </row>
    <row r="33" spans="1:53" ht="14.5">
      <c r="A33" s="41">
        <f t="shared" ca="1" si="34"/>
        <v>1286.1656972927331</v>
      </c>
      <c r="B33" s="41">
        <f t="shared" ca="1" si="35"/>
        <v>21.436094954878886</v>
      </c>
      <c r="C33" s="41">
        <f t="shared" ca="1" si="35"/>
        <v>0.35726824924798145</v>
      </c>
      <c r="D33" s="41">
        <f t="shared" ca="1" si="43"/>
        <v>17226.348438746474</v>
      </c>
      <c r="E33" s="41">
        <f t="shared" ca="1" si="36"/>
        <v>55.081830727480501</v>
      </c>
      <c r="F33" s="41">
        <f t="shared" ca="1" si="37"/>
        <v>55.081830727480501</v>
      </c>
      <c r="G33" s="41"/>
      <c r="H33" s="5">
        <v>0</v>
      </c>
      <c r="I33" s="5">
        <v>15</v>
      </c>
      <c r="J33" s="41">
        <f t="shared" si="38"/>
        <v>0.26658846738290104</v>
      </c>
      <c r="K33" s="41">
        <f t="shared" si="44"/>
        <v>300</v>
      </c>
      <c r="L33" s="6">
        <f t="shared" si="39"/>
        <v>22.349999999999994</v>
      </c>
      <c r="M33" s="41">
        <f t="shared" si="0"/>
        <v>177.74520000000001</v>
      </c>
      <c r="N33" s="41">
        <f t="shared" si="1"/>
        <v>101.66804576942107</v>
      </c>
      <c r="O33" s="41">
        <f t="shared" si="2"/>
        <v>1743934.513922137</v>
      </c>
      <c r="P33" s="41">
        <f t="shared" si="3"/>
        <v>11197285.014550757</v>
      </c>
      <c r="Q33" s="41">
        <f t="shared" si="4"/>
        <v>2.9305572757245815E-3</v>
      </c>
      <c r="R33" s="41">
        <f t="shared" si="5"/>
        <v>2.2891052168298572E-2</v>
      </c>
      <c r="S33" s="24">
        <f t="shared" ca="1" si="40"/>
        <v>16.911561683679111</v>
      </c>
      <c r="T33" s="41">
        <f t="shared" ca="1" si="6"/>
        <v>0.70482550732577787</v>
      </c>
      <c r="U33" s="41">
        <f t="shared" ca="1" si="7"/>
        <v>5.4265985819942908E-2</v>
      </c>
      <c r="V33" s="41">
        <f t="shared" ca="1" si="8"/>
        <v>12.98834798034301</v>
      </c>
      <c r="W33" s="20">
        <f t="shared" ca="1" si="9"/>
        <v>1268.9368479148834</v>
      </c>
      <c r="X33" s="41">
        <f t="shared" si="10"/>
        <v>0.60203686023144143</v>
      </c>
      <c r="Y33" s="41">
        <f t="shared" ca="1" si="11"/>
        <v>173.8010571222714</v>
      </c>
      <c r="Z33" s="14">
        <f t="shared" ca="1" si="12"/>
        <v>1326.2924942277027</v>
      </c>
      <c r="AA33" s="14">
        <f t="shared" si="13"/>
        <v>6280</v>
      </c>
      <c r="AB33" s="25">
        <f t="shared" ca="1" si="14"/>
        <v>397887.7482683108</v>
      </c>
      <c r="AC33" s="41">
        <f t="shared" si="15"/>
        <v>1884000</v>
      </c>
      <c r="AD33" s="5">
        <v>100</v>
      </c>
      <c r="AE33" s="41">
        <f t="shared" si="16"/>
        <v>6280</v>
      </c>
      <c r="AF33" s="41">
        <f t="shared" ca="1" si="17"/>
        <v>4953.7075057722977</v>
      </c>
      <c r="AG33" s="41">
        <f t="shared" ca="1" si="18"/>
        <v>1486112.2517316891</v>
      </c>
      <c r="AH33" s="41">
        <f t="shared" si="19"/>
        <v>4427.3999999999996</v>
      </c>
      <c r="AI33" s="13">
        <f t="shared" ca="1" si="20"/>
        <v>87.268578768799614</v>
      </c>
      <c r="AJ33" s="10">
        <f t="shared" ca="1" si="21"/>
        <v>16.911561683679111</v>
      </c>
      <c r="AK33" s="11">
        <f t="shared" ca="1" si="41"/>
        <v>5236.1147261279766</v>
      </c>
      <c r="AL33" s="6">
        <v>10000</v>
      </c>
      <c r="AM33" s="41">
        <f t="shared" ca="1" si="22"/>
        <v>114.58878030422576</v>
      </c>
      <c r="AN33" s="41">
        <f t="shared" ca="1" si="23"/>
        <v>140.92510164414699</v>
      </c>
      <c r="AO33" s="41">
        <f t="shared" ca="1" si="24"/>
        <v>5.4130018358748968</v>
      </c>
      <c r="AP33" s="67">
        <f t="shared" si="42"/>
        <v>0.70499999999999996</v>
      </c>
      <c r="AQ33" s="11">
        <f t="shared" si="25"/>
        <v>1.0520562207183759</v>
      </c>
      <c r="AR33" s="11">
        <f t="shared" si="26"/>
        <v>1</v>
      </c>
      <c r="AS33" s="11">
        <f t="shared" si="27"/>
        <v>0.95051954477981193</v>
      </c>
      <c r="AT33" s="11">
        <f t="shared" si="28"/>
        <v>545.66999999999996</v>
      </c>
      <c r="AU33" s="11">
        <f t="shared" si="29"/>
        <v>2116.2199999999998</v>
      </c>
      <c r="AV33" s="11">
        <f t="shared" si="30"/>
        <v>2.259289905987135E-3</v>
      </c>
      <c r="AW33" s="11">
        <f t="shared" si="31"/>
        <v>3.8865391239478742E-7</v>
      </c>
      <c r="AX33" s="41">
        <f t="shared" ca="1" si="32"/>
        <v>86.269719727080499</v>
      </c>
      <c r="AY33" s="11">
        <f t="shared" ca="1" si="33"/>
        <v>602.57921894359288</v>
      </c>
      <c r="AZ33" s="11"/>
      <c r="BA33" s="11"/>
    </row>
    <row r="34" spans="1:53" ht="14.5">
      <c r="A34" s="41">
        <f t="shared" ca="1" si="34"/>
        <v>1400.7544775969588</v>
      </c>
      <c r="B34" s="41">
        <f t="shared" ca="1" si="35"/>
        <v>23.345907959949315</v>
      </c>
      <c r="C34" s="41">
        <f t="shared" ca="1" si="35"/>
        <v>0.38909846599915526</v>
      </c>
      <c r="D34" s="41">
        <f t="shared" ca="1" si="43"/>
        <v>17226.348438746474</v>
      </c>
      <c r="E34" s="41">
        <f t="shared" ca="1" si="36"/>
        <v>60.494832563355395</v>
      </c>
      <c r="F34" s="41">
        <f t="shared" ca="1" si="37"/>
        <v>60.494832563355395</v>
      </c>
      <c r="G34" s="41"/>
      <c r="H34" s="5">
        <v>0</v>
      </c>
      <c r="I34" s="5">
        <v>15</v>
      </c>
      <c r="J34" s="41">
        <f t="shared" si="38"/>
        <v>0.27103160850594937</v>
      </c>
      <c r="K34" s="41">
        <f t="shared" si="44"/>
        <v>305</v>
      </c>
      <c r="L34" s="6">
        <f t="shared" si="39"/>
        <v>23.584999999999994</v>
      </c>
      <c r="M34" s="41">
        <f t="shared" si="0"/>
        <v>180.70761999999999</v>
      </c>
      <c r="N34" s="41">
        <f t="shared" si="1"/>
        <v>105.08522175222662</v>
      </c>
      <c r="O34" s="41">
        <f t="shared" si="2"/>
        <v>1773000.0891541729</v>
      </c>
      <c r="P34" s="41">
        <f t="shared" si="3"/>
        <v>11383906.431459937</v>
      </c>
      <c r="Q34" s="41">
        <f t="shared" si="4"/>
        <v>2.9222248744946704E-3</v>
      </c>
      <c r="R34" s="41">
        <f t="shared" si="5"/>
        <v>2.2840182858789963E-2</v>
      </c>
      <c r="S34" s="24">
        <f t="shared" ca="1" si="40"/>
        <v>16.936894090748929</v>
      </c>
      <c r="T34" s="41">
        <f t="shared" ca="1" si="6"/>
        <v>0.68181415870111639</v>
      </c>
      <c r="U34" s="41">
        <f t="shared" ca="1" si="7"/>
        <v>5.2199883435666374E-2</v>
      </c>
      <c r="V34" s="41">
        <f t="shared" ca="1" si="8"/>
        <v>13.061603088470815</v>
      </c>
      <c r="W34" s="20">
        <f t="shared" ca="1" si="9"/>
        <v>1261.6503550437978</v>
      </c>
      <c r="X34" s="41">
        <f t="shared" si="10"/>
        <v>0.6013675543344047</v>
      </c>
      <c r="Y34" s="41">
        <f t="shared" ca="1" si="11"/>
        <v>173.78936637037066</v>
      </c>
      <c r="Z34" s="14">
        <f t="shared" ca="1" si="12"/>
        <v>1318.854073429301</v>
      </c>
      <c r="AA34" s="14">
        <f t="shared" si="13"/>
        <v>6280</v>
      </c>
      <c r="AB34" s="25">
        <f t="shared" ca="1" si="14"/>
        <v>402250.4923959368</v>
      </c>
      <c r="AC34" s="41">
        <f t="shared" si="15"/>
        <v>1915400</v>
      </c>
      <c r="AD34" s="5">
        <v>100</v>
      </c>
      <c r="AE34" s="41">
        <f t="shared" si="16"/>
        <v>6280</v>
      </c>
      <c r="AF34" s="41">
        <f t="shared" ca="1" si="17"/>
        <v>4961.145926570699</v>
      </c>
      <c r="AG34" s="41">
        <f t="shared" ca="1" si="18"/>
        <v>1513149.5076040633</v>
      </c>
      <c r="AH34" s="41">
        <f t="shared" si="19"/>
        <v>4427.3999999999996</v>
      </c>
      <c r="AI34" s="13">
        <f t="shared" ca="1" si="20"/>
        <v>88.852065610662876</v>
      </c>
      <c r="AJ34" s="10">
        <f t="shared" ca="1" si="21"/>
        <v>16.936894090748929</v>
      </c>
      <c r="AK34" s="11">
        <f t="shared" ca="1" si="41"/>
        <v>5331.1239366397722</v>
      </c>
      <c r="AL34" s="6">
        <v>10000</v>
      </c>
      <c r="AM34" s="41">
        <f t="shared" ca="1" si="22"/>
        <v>112.54662377595788</v>
      </c>
      <c r="AN34" s="41">
        <f t="shared" ca="1" si="23"/>
        <v>138.41358947379885</v>
      </c>
      <c r="AO34" s="41">
        <f t="shared" ca="1" si="24"/>
        <v>5.4044151890627141</v>
      </c>
      <c r="AP34" s="67">
        <f t="shared" si="42"/>
        <v>0.70499999999999996</v>
      </c>
      <c r="AQ34" s="11">
        <f t="shared" si="25"/>
        <v>1.0520562207183759</v>
      </c>
      <c r="AR34" s="11">
        <f t="shared" si="26"/>
        <v>1</v>
      </c>
      <c r="AS34" s="11">
        <f t="shared" si="27"/>
        <v>0.95051954477981193</v>
      </c>
      <c r="AT34" s="11">
        <f t="shared" si="28"/>
        <v>545.66999999999996</v>
      </c>
      <c r="AU34" s="11">
        <f t="shared" si="29"/>
        <v>2116.2199999999998</v>
      </c>
      <c r="AV34" s="11">
        <f t="shared" si="30"/>
        <v>2.259289905987135E-3</v>
      </c>
      <c r="AW34" s="11">
        <f t="shared" si="31"/>
        <v>3.8865391239478742E-7</v>
      </c>
      <c r="AX34" s="41">
        <f t="shared" ca="1" si="32"/>
        <v>87.839248868355767</v>
      </c>
      <c r="AY34" s="11">
        <f t="shared" ca="1" si="33"/>
        <v>603.22993003326508</v>
      </c>
      <c r="AZ34" s="11"/>
      <c r="BA34" s="11"/>
    </row>
    <row r="35" spans="1:53" ht="14.5">
      <c r="A35" s="41">
        <f t="shared" ca="1" si="34"/>
        <v>1513.3011013729167</v>
      </c>
      <c r="B35" s="41">
        <f t="shared" ca="1" si="35"/>
        <v>25.221685022881946</v>
      </c>
      <c r="C35" s="41">
        <f t="shared" ca="1" si="35"/>
        <v>0.42036141704803243</v>
      </c>
      <c r="D35" s="41">
        <f t="shared" ca="1" si="43"/>
        <v>17226.348438746474</v>
      </c>
      <c r="E35" s="41">
        <f t="shared" ca="1" si="36"/>
        <v>65.899247752418106</v>
      </c>
      <c r="F35" s="41">
        <f t="shared" ca="1" si="37"/>
        <v>65.899247752418106</v>
      </c>
      <c r="G35" s="41"/>
      <c r="H35" s="5">
        <v>0</v>
      </c>
      <c r="I35" s="5">
        <v>15</v>
      </c>
      <c r="J35" s="41">
        <f t="shared" si="38"/>
        <v>0.27547474962899776</v>
      </c>
      <c r="K35" s="41">
        <f t="shared" si="44"/>
        <v>310</v>
      </c>
      <c r="L35" s="6">
        <f t="shared" si="39"/>
        <v>24.819999999999993</v>
      </c>
      <c r="M35" s="41">
        <f t="shared" si="0"/>
        <v>183.67004</v>
      </c>
      <c r="N35" s="41">
        <f t="shared" si="1"/>
        <v>108.55887998268183</v>
      </c>
      <c r="O35" s="41">
        <f t="shared" si="2"/>
        <v>1802065.6643862084</v>
      </c>
      <c r="P35" s="41">
        <f t="shared" si="3"/>
        <v>11570527.848369116</v>
      </c>
      <c r="Q35" s="41">
        <f t="shared" si="4"/>
        <v>2.9140377561264739E-3</v>
      </c>
      <c r="R35" s="41">
        <f t="shared" si="5"/>
        <v>2.2790200501152123E-2</v>
      </c>
      <c r="S35" s="24">
        <f t="shared" ca="1" si="40"/>
        <v>16.957251718981446</v>
      </c>
      <c r="T35" s="41">
        <f t="shared" ca="1" si="6"/>
        <v>0.65992607075493814</v>
      </c>
      <c r="U35" s="41">
        <f t="shared" ca="1" si="7"/>
        <v>5.0295106330665064E-2</v>
      </c>
      <c r="V35" s="41">
        <f t="shared" ca="1" si="8"/>
        <v>13.121079144683693</v>
      </c>
      <c r="W35" s="20">
        <f t="shared" ca="1" si="9"/>
        <v>1255.7954947293847</v>
      </c>
      <c r="X35" s="41">
        <f t="shared" si="10"/>
        <v>0.60070919203889328</v>
      </c>
      <c r="Y35" s="41">
        <f t="shared" ca="1" si="11"/>
        <v>173.77995856768263</v>
      </c>
      <c r="Z35" s="14">
        <f t="shared" ca="1" si="12"/>
        <v>1312.8758883926193</v>
      </c>
      <c r="AA35" s="14">
        <f t="shared" si="13"/>
        <v>6280</v>
      </c>
      <c r="AB35" s="25">
        <f t="shared" ca="1" si="14"/>
        <v>406991.52540171199</v>
      </c>
      <c r="AC35" s="41">
        <f t="shared" si="15"/>
        <v>1946800</v>
      </c>
      <c r="AD35" s="5">
        <v>100</v>
      </c>
      <c r="AE35" s="41">
        <f t="shared" si="16"/>
        <v>6280</v>
      </c>
      <c r="AF35" s="41">
        <f t="shared" ca="1" si="17"/>
        <v>4967.1241116073807</v>
      </c>
      <c r="AG35" s="41">
        <f t="shared" ca="1" si="18"/>
        <v>1539808.4745982881</v>
      </c>
      <c r="AH35" s="41">
        <f t="shared" si="19"/>
        <v>4427.3999999999996</v>
      </c>
      <c r="AI35" s="13">
        <f t="shared" ca="1" si="20"/>
        <v>90.414019092442501</v>
      </c>
      <c r="AJ35" s="10">
        <f t="shared" ca="1" si="21"/>
        <v>16.957251718981446</v>
      </c>
      <c r="AK35" s="11">
        <f t="shared" ca="1" si="41"/>
        <v>5424.8411455465503</v>
      </c>
      <c r="AL35" s="6">
        <v>10000</v>
      </c>
      <c r="AM35" s="41">
        <f t="shared" ca="1" si="22"/>
        <v>110.60231698997525</v>
      </c>
      <c r="AN35" s="41">
        <f t="shared" ca="1" si="23"/>
        <v>136.02241617817123</v>
      </c>
      <c r="AO35" s="41">
        <f t="shared" ca="1" si="24"/>
        <v>5.3975328368706394</v>
      </c>
      <c r="AP35" s="67">
        <f t="shared" si="42"/>
        <v>0.70499999999999996</v>
      </c>
      <c r="AQ35" s="11">
        <f t="shared" si="25"/>
        <v>1.0520562207183759</v>
      </c>
      <c r="AR35" s="11">
        <f t="shared" si="26"/>
        <v>1</v>
      </c>
      <c r="AS35" s="11">
        <f t="shared" si="27"/>
        <v>0.95051954477981193</v>
      </c>
      <c r="AT35" s="11">
        <f t="shared" si="28"/>
        <v>545.66999999999996</v>
      </c>
      <c r="AU35" s="11">
        <f t="shared" si="29"/>
        <v>2116.2199999999998</v>
      </c>
      <c r="AV35" s="11">
        <f t="shared" si="30"/>
        <v>2.259289905987135E-3</v>
      </c>
      <c r="AW35" s="11">
        <f t="shared" si="31"/>
        <v>3.8865391239478742E-7</v>
      </c>
      <c r="AX35" s="41">
        <f t="shared" ca="1" si="32"/>
        <v>89.386818110265551</v>
      </c>
      <c r="AY35" s="11">
        <f t="shared" ca="1" si="33"/>
        <v>603.87143475257574</v>
      </c>
      <c r="AZ35" s="11"/>
      <c r="BA35" s="11"/>
    </row>
    <row r="36" spans="1:53" ht="14.5">
      <c r="A36" s="41">
        <f t="shared" ca="1" si="34"/>
        <v>1623.9034183628919</v>
      </c>
      <c r="B36" s="41">
        <f t="shared" ca="1" si="35"/>
        <v>27.065056972714864</v>
      </c>
      <c r="C36" s="41">
        <f t="shared" ca="1" si="35"/>
        <v>0.45108428287858104</v>
      </c>
      <c r="D36" s="41">
        <f t="shared" ca="1" si="43"/>
        <v>17226.348438746474</v>
      </c>
      <c r="E36" s="41">
        <f t="shared" ca="1" si="36"/>
        <v>71.296780589288744</v>
      </c>
      <c r="F36" s="41">
        <f t="shared" ca="1" si="37"/>
        <v>71.296780589288744</v>
      </c>
      <c r="G36" s="41"/>
      <c r="H36" s="5">
        <v>0</v>
      </c>
      <c r="I36" s="5">
        <v>15</v>
      </c>
      <c r="J36" s="41">
        <f t="shared" si="38"/>
        <v>0.27991789075204609</v>
      </c>
      <c r="K36" s="41">
        <f t="shared" si="44"/>
        <v>315</v>
      </c>
      <c r="L36" s="6">
        <f t="shared" si="39"/>
        <v>26.054999999999993</v>
      </c>
      <c r="M36" s="41">
        <f t="shared" si="0"/>
        <v>186.63246000000001</v>
      </c>
      <c r="N36" s="41">
        <f t="shared" si="1"/>
        <v>112.08902046078673</v>
      </c>
      <c r="O36" s="41">
        <f t="shared" si="2"/>
        <v>1831131.2396182439</v>
      </c>
      <c r="P36" s="41">
        <f t="shared" si="3"/>
        <v>11757149.265278295</v>
      </c>
      <c r="Q36" s="41">
        <f t="shared" si="4"/>
        <v>2.9059904938312595E-3</v>
      </c>
      <c r="R36" s="41">
        <f t="shared" si="5"/>
        <v>2.2741071964839842E-2</v>
      </c>
      <c r="S36" s="24">
        <f t="shared" ca="1" si="40"/>
        <v>16.972907322458298</v>
      </c>
      <c r="T36" s="41">
        <f t="shared" ca="1" si="6"/>
        <v>0.63908903252846594</v>
      </c>
      <c r="U36" s="41">
        <f t="shared" ca="1" si="7"/>
        <v>4.8536475138507104E-2</v>
      </c>
      <c r="V36" s="41">
        <f t="shared" ca="1" si="8"/>
        <v>13.167190874588986</v>
      </c>
      <c r="W36" s="20">
        <f t="shared" ca="1" si="9"/>
        <v>1251.2933696257555</v>
      </c>
      <c r="X36" s="41">
        <f t="shared" si="10"/>
        <v>0.60006137226309453</v>
      </c>
      <c r="Y36" s="41">
        <f t="shared" ca="1" si="11"/>
        <v>173.77271588765024</v>
      </c>
      <c r="Z36" s="14">
        <f t="shared" ca="1" si="12"/>
        <v>1308.2781743516114</v>
      </c>
      <c r="AA36" s="14">
        <f t="shared" si="13"/>
        <v>6280</v>
      </c>
      <c r="AB36" s="25">
        <f t="shared" ca="1" si="14"/>
        <v>412107.6249207576</v>
      </c>
      <c r="AC36" s="41">
        <f t="shared" si="15"/>
        <v>1978200</v>
      </c>
      <c r="AD36" s="5">
        <v>100</v>
      </c>
      <c r="AE36" s="41">
        <f t="shared" si="16"/>
        <v>6280</v>
      </c>
      <c r="AF36" s="41">
        <f t="shared" ca="1" si="17"/>
        <v>4971.7218256483884</v>
      </c>
      <c r="AG36" s="41">
        <f t="shared" ca="1" si="18"/>
        <v>1566092.3750792425</v>
      </c>
      <c r="AH36" s="41">
        <f t="shared" si="19"/>
        <v>4427.3999999999996</v>
      </c>
      <c r="AI36" s="13">
        <f t="shared" ca="1" si="20"/>
        <v>91.954635319286197</v>
      </c>
      <c r="AJ36" s="10">
        <f t="shared" ca="1" si="21"/>
        <v>16.972907322458298</v>
      </c>
      <c r="AK36" s="11">
        <f t="shared" ca="1" si="41"/>
        <v>5517.2781191571721</v>
      </c>
      <c r="AL36" s="6">
        <v>10000</v>
      </c>
      <c r="AM36" s="41">
        <f t="shared" ca="1" si="22"/>
        <v>108.74927582799776</v>
      </c>
      <c r="AN36" s="41">
        <f t="shared" ca="1" si="23"/>
        <v>133.74348438913256</v>
      </c>
      <c r="AO36" s="41">
        <f t="shared" ca="1" si="24"/>
        <v>5.3922510101726031</v>
      </c>
      <c r="AP36" s="67">
        <f t="shared" si="42"/>
        <v>0.70499999999999996</v>
      </c>
      <c r="AQ36" s="11">
        <f t="shared" si="25"/>
        <v>1.0520562207183759</v>
      </c>
      <c r="AR36" s="11">
        <f t="shared" si="26"/>
        <v>1</v>
      </c>
      <c r="AS36" s="11">
        <f t="shared" si="27"/>
        <v>0.95051954477981193</v>
      </c>
      <c r="AT36" s="11">
        <f t="shared" si="28"/>
        <v>545.66999999999996</v>
      </c>
      <c r="AU36" s="11">
        <f t="shared" si="29"/>
        <v>2116.2199999999998</v>
      </c>
      <c r="AV36" s="11">
        <f t="shared" si="30"/>
        <v>2.259289905987135E-3</v>
      </c>
      <c r="AW36" s="11">
        <f t="shared" si="31"/>
        <v>3.8865391239478742E-7</v>
      </c>
      <c r="AX36" s="41">
        <f t="shared" ca="1" si="32"/>
        <v>90.912614513050215</v>
      </c>
      <c r="AY36" s="11">
        <f t="shared" ca="1" si="33"/>
        <v>604.50405889412514</v>
      </c>
      <c r="AZ36" s="11"/>
      <c r="BA36" s="11"/>
    </row>
    <row r="37" spans="1:53" ht="14.5">
      <c r="A37" s="41">
        <f t="shared" ca="1" si="34"/>
        <v>1732.6526941908896</v>
      </c>
      <c r="B37" s="41">
        <f t="shared" ca="1" si="35"/>
        <v>28.877544903181494</v>
      </c>
      <c r="C37" s="41">
        <f t="shared" ca="1" si="35"/>
        <v>0.48129241505302489</v>
      </c>
      <c r="D37" s="41">
        <f t="shared" ca="1" si="43"/>
        <v>17226.348438746474</v>
      </c>
      <c r="E37" s="41">
        <f t="shared" ca="1" si="36"/>
        <v>76.689031599461345</v>
      </c>
      <c r="F37" s="41">
        <f t="shared" ca="1" si="37"/>
        <v>76.689031599461345</v>
      </c>
      <c r="G37" s="41"/>
      <c r="H37" s="5">
        <v>0</v>
      </c>
      <c r="I37" s="5">
        <v>15</v>
      </c>
      <c r="J37" s="41">
        <f t="shared" si="38"/>
        <v>0.28436103187509443</v>
      </c>
      <c r="K37" s="41">
        <f t="shared" si="44"/>
        <v>320</v>
      </c>
      <c r="L37" s="6">
        <f t="shared" si="39"/>
        <v>27.289999999999992</v>
      </c>
      <c r="M37" s="41">
        <f t="shared" si="0"/>
        <v>189.59487999999999</v>
      </c>
      <c r="N37" s="41">
        <f t="shared" si="1"/>
        <v>115.67564318654131</v>
      </c>
      <c r="O37" s="41">
        <f t="shared" si="2"/>
        <v>1860196.8148502798</v>
      </c>
      <c r="P37" s="41">
        <f t="shared" si="3"/>
        <v>11943770.682187475</v>
      </c>
      <c r="Q37" s="41">
        <f t="shared" si="4"/>
        <v>2.8980779386024377E-3</v>
      </c>
      <c r="R37" s="41">
        <f t="shared" si="5"/>
        <v>2.2692765815167885E-2</v>
      </c>
      <c r="S37" s="24">
        <f t="shared" ca="1" si="40"/>
        <v>16.984112105938671</v>
      </c>
      <c r="T37" s="41">
        <f t="shared" ca="1" si="6"/>
        <v>0.61923655300226521</v>
      </c>
      <c r="U37" s="41">
        <f t="shared" ca="1" si="7"/>
        <v>4.6910458274485367E-2</v>
      </c>
      <c r="V37" s="41">
        <f t="shared" ca="1" si="8"/>
        <v>13.200394448908389</v>
      </c>
      <c r="W37" s="20">
        <f t="shared" ca="1" si="9"/>
        <v>1248.0714096075958</v>
      </c>
      <c r="X37" s="41">
        <f t="shared" si="10"/>
        <v>0.59942371401856276</v>
      </c>
      <c r="Y37" s="41">
        <f t="shared" ca="1" si="11"/>
        <v>173.76752810173321</v>
      </c>
      <c r="Z37" s="14">
        <f t="shared" ca="1" si="12"/>
        <v>1304.9874005977915</v>
      </c>
      <c r="AA37" s="14">
        <f t="shared" si="13"/>
        <v>6280</v>
      </c>
      <c r="AB37" s="25">
        <f t="shared" ca="1" si="14"/>
        <v>417595.9681912933</v>
      </c>
      <c r="AC37" s="41">
        <f t="shared" si="15"/>
        <v>2009600</v>
      </c>
      <c r="AD37" s="5">
        <v>100</v>
      </c>
      <c r="AE37" s="41">
        <f t="shared" si="16"/>
        <v>6280</v>
      </c>
      <c r="AF37" s="41">
        <f t="shared" ca="1" si="17"/>
        <v>4975.0125994022083</v>
      </c>
      <c r="AG37" s="41">
        <f t="shared" ca="1" si="18"/>
        <v>1592004.0318087067</v>
      </c>
      <c r="AH37" s="41">
        <f t="shared" si="19"/>
        <v>4427.3999999999996</v>
      </c>
      <c r="AI37" s="13">
        <f t="shared" ca="1" si="20"/>
        <v>93.474084461439219</v>
      </c>
      <c r="AJ37" s="10">
        <f t="shared" ca="1" si="21"/>
        <v>16.984112105938671</v>
      </c>
      <c r="AK37" s="11">
        <f t="shared" ca="1" si="41"/>
        <v>5608.4450676863535</v>
      </c>
      <c r="AL37" s="6">
        <v>10000</v>
      </c>
      <c r="AM37" s="41">
        <f t="shared" ca="1" si="22"/>
        <v>106.98152389099131</v>
      </c>
      <c r="AN37" s="41">
        <f t="shared" ca="1" si="23"/>
        <v>131.56944413193747</v>
      </c>
      <c r="AO37" s="41">
        <f t="shared" ca="1" si="24"/>
        <v>5.3884765865196123</v>
      </c>
      <c r="AP37" s="67">
        <f t="shared" si="42"/>
        <v>0.70499999999999996</v>
      </c>
      <c r="AQ37" s="11">
        <f t="shared" si="25"/>
        <v>1.0520562207183759</v>
      </c>
      <c r="AR37" s="11">
        <f t="shared" si="26"/>
        <v>1</v>
      </c>
      <c r="AS37" s="11">
        <f t="shared" si="27"/>
        <v>0.95051954477981193</v>
      </c>
      <c r="AT37" s="11">
        <f t="shared" si="28"/>
        <v>545.66999999999996</v>
      </c>
      <c r="AU37" s="11">
        <f t="shared" si="29"/>
        <v>2116.2199999999998</v>
      </c>
      <c r="AV37" s="11">
        <f t="shared" si="30"/>
        <v>2.259289905987135E-3</v>
      </c>
      <c r="AW37" s="11">
        <f t="shared" si="31"/>
        <v>3.8865391239478742E-7</v>
      </c>
      <c r="AX37" s="41">
        <f t="shared" ca="1" si="32"/>
        <v>92.416801939747216</v>
      </c>
      <c r="AY37" s="11">
        <f t="shared" ca="1" si="33"/>
        <v>605.12811268499638</v>
      </c>
      <c r="AZ37" s="11"/>
      <c r="BA37" s="11"/>
    </row>
    <row r="38" spans="1:53" ht="14.5">
      <c r="A38" s="41">
        <f t="shared" ca="1" si="34"/>
        <v>1839.634218081881</v>
      </c>
      <c r="B38" s="41">
        <f t="shared" ca="1" si="35"/>
        <v>30.660570301364682</v>
      </c>
      <c r="C38" s="41">
        <f t="shared" ca="1" si="35"/>
        <v>0.51100950502274467</v>
      </c>
      <c r="D38" s="41">
        <f t="shared" ca="1" si="43"/>
        <v>17226.348438746474</v>
      </c>
      <c r="E38" s="41">
        <f t="shared" ca="1" si="36"/>
        <v>82.07750818598096</v>
      </c>
      <c r="F38" s="41">
        <f t="shared" ca="1" si="37"/>
        <v>82.07750818598096</v>
      </c>
      <c r="G38" s="41"/>
      <c r="H38" s="5">
        <v>0</v>
      </c>
      <c r="I38" s="5">
        <v>15</v>
      </c>
      <c r="J38" s="41">
        <f t="shared" si="38"/>
        <v>0.28880417299814276</v>
      </c>
      <c r="K38" s="41">
        <f t="shared" si="44"/>
        <v>325</v>
      </c>
      <c r="L38" s="6">
        <f t="shared" si="39"/>
        <v>28.524999999999991</v>
      </c>
      <c r="M38" s="41">
        <f t="shared" si="0"/>
        <v>192.5573</v>
      </c>
      <c r="N38" s="41">
        <f t="shared" si="1"/>
        <v>119.31874815994557</v>
      </c>
      <c r="O38" s="41">
        <f t="shared" si="2"/>
        <v>1889262.3900823153</v>
      </c>
      <c r="P38" s="41">
        <f t="shared" si="3"/>
        <v>12130392.099096654</v>
      </c>
      <c r="Q38" s="41">
        <f t="shared" si="4"/>
        <v>2.8902952009759093E-3</v>
      </c>
      <c r="R38" s="41">
        <f t="shared" si="5"/>
        <v>2.2645252201957924E-2</v>
      </c>
      <c r="S38" s="24">
        <f t="shared" ca="1" si="40"/>
        <v>16.991097757180086</v>
      </c>
      <c r="T38" s="41">
        <f t="shared" ca="1" si="6"/>
        <v>0.60030732561685973</v>
      </c>
      <c r="U38" s="41">
        <f t="shared" ca="1" si="7"/>
        <v>4.5404970223540252E-2</v>
      </c>
      <c r="V38" s="41">
        <f t="shared" ca="1" si="8"/>
        <v>13.22118091172384</v>
      </c>
      <c r="W38" s="20">
        <f t="shared" ca="1" si="9"/>
        <v>1246.0627676818583</v>
      </c>
      <c r="X38" s="41">
        <f t="shared" si="10"/>
        <v>0.59879585511261668</v>
      </c>
      <c r="Y38" s="41">
        <f t="shared" ca="1" si="11"/>
        <v>173.76429200319555</v>
      </c>
      <c r="Z38" s="14">
        <f t="shared" ca="1" si="12"/>
        <v>1302.9356873462843</v>
      </c>
      <c r="AA38" s="14">
        <f t="shared" si="13"/>
        <v>6280</v>
      </c>
      <c r="AB38" s="25">
        <f t="shared" ca="1" si="14"/>
        <v>423454.09838754241</v>
      </c>
      <c r="AC38" s="41">
        <f t="shared" si="15"/>
        <v>2041000</v>
      </c>
      <c r="AD38" s="5">
        <v>100</v>
      </c>
      <c r="AE38" s="41">
        <f t="shared" si="16"/>
        <v>6280</v>
      </c>
      <c r="AF38" s="41">
        <f t="shared" ca="1" si="17"/>
        <v>4977.0643126537161</v>
      </c>
      <c r="AG38" s="41">
        <f t="shared" ca="1" si="18"/>
        <v>1617545.9016124576</v>
      </c>
      <c r="AH38" s="41">
        <f t="shared" si="19"/>
        <v>4427.3999999999996</v>
      </c>
      <c r="AI38" s="13">
        <f t="shared" ca="1" si="20"/>
        <v>94.972512968769735</v>
      </c>
      <c r="AJ38" s="10">
        <f t="shared" ca="1" si="21"/>
        <v>16.991097757180086</v>
      </c>
      <c r="AK38" s="11">
        <f t="shared" ca="1" si="41"/>
        <v>5698.3507781261842</v>
      </c>
      <c r="AL38" s="6">
        <v>10000</v>
      </c>
      <c r="AM38" s="41">
        <f t="shared" ca="1" si="22"/>
        <v>105.29362325379711</v>
      </c>
      <c r="AN38" s="41">
        <f t="shared" ca="1" si="23"/>
        <v>129.49360766496147</v>
      </c>
      <c r="AO38" s="41">
        <f t="shared" ca="1" si="24"/>
        <v>5.3861258574291124</v>
      </c>
      <c r="AP38" s="67">
        <f t="shared" si="42"/>
        <v>0.70499999999999996</v>
      </c>
      <c r="AQ38" s="11">
        <f t="shared" si="25"/>
        <v>1.0520562207183759</v>
      </c>
      <c r="AR38" s="11">
        <f t="shared" si="26"/>
        <v>1</v>
      </c>
      <c r="AS38" s="11">
        <f t="shared" si="27"/>
        <v>0.95051954477981193</v>
      </c>
      <c r="AT38" s="11">
        <f t="shared" si="28"/>
        <v>545.66999999999996</v>
      </c>
      <c r="AU38" s="11">
        <f t="shared" si="29"/>
        <v>2116.2199999999998</v>
      </c>
      <c r="AV38" s="11">
        <f t="shared" si="30"/>
        <v>2.259289905987135E-3</v>
      </c>
      <c r="AW38" s="11">
        <f t="shared" si="31"/>
        <v>3.8865391239478742E-7</v>
      </c>
      <c r="AX38" s="41">
        <f t="shared" ca="1" si="32"/>
        <v>93.899523010586634</v>
      </c>
      <c r="AY38" s="11">
        <f t="shared" ca="1" si="33"/>
        <v>605.74389175678482</v>
      </c>
      <c r="AZ38" s="11"/>
      <c r="BA38" s="11"/>
    </row>
    <row r="39" spans="1:53" ht="14.5">
      <c r="A39" s="41">
        <f t="shared" ca="1" si="34"/>
        <v>1944.9278413356781</v>
      </c>
      <c r="B39" s="41">
        <f t="shared" ca="1" si="35"/>
        <v>32.415464022261304</v>
      </c>
      <c r="C39" s="41">
        <f t="shared" ca="1" si="35"/>
        <v>0.54025773370435504</v>
      </c>
      <c r="D39" s="41">
        <f t="shared" ca="1" si="43"/>
        <v>17226.348438746474</v>
      </c>
      <c r="E39" s="41">
        <f t="shared" ca="1" si="36"/>
        <v>87.463634043410067</v>
      </c>
      <c r="F39" s="41">
        <f t="shared" ca="1" si="37"/>
        <v>87.463634043410067</v>
      </c>
      <c r="G39" s="41"/>
      <c r="H39" s="5">
        <v>0</v>
      </c>
      <c r="I39" s="5">
        <v>15</v>
      </c>
      <c r="J39" s="41">
        <f t="shared" si="38"/>
        <v>0.29324731412119115</v>
      </c>
      <c r="K39" s="41">
        <f t="shared" si="44"/>
        <v>330</v>
      </c>
      <c r="L39" s="6">
        <f t="shared" si="39"/>
        <v>29.759999999999991</v>
      </c>
      <c r="M39" s="41">
        <f t="shared" si="0"/>
        <v>195.51972000000001</v>
      </c>
      <c r="N39" s="41">
        <f t="shared" si="1"/>
        <v>123.0183353809995</v>
      </c>
      <c r="O39" s="41">
        <f t="shared" si="2"/>
        <v>1918327.9653143508</v>
      </c>
      <c r="P39" s="41">
        <f t="shared" si="3"/>
        <v>12317013.516005833</v>
      </c>
      <c r="Q39" s="41">
        <f t="shared" si="4"/>
        <v>2.8826376342490161E-3</v>
      </c>
      <c r="R39" s="41">
        <f t="shared" si="5"/>
        <v>2.2598502757090244E-2</v>
      </c>
      <c r="S39" s="24">
        <f t="shared" ca="1" si="40"/>
        <v>16.994078259482571</v>
      </c>
      <c r="T39" s="41">
        <f t="shared" ca="1" si="6"/>
        <v>0.58224475033776624</v>
      </c>
      <c r="U39" s="41">
        <f t="shared" ca="1" si="7"/>
        <v>4.4009197214562562E-2</v>
      </c>
      <c r="V39" s="41">
        <f t="shared" ca="1" si="8"/>
        <v>13.230069785165327</v>
      </c>
      <c r="W39" s="20">
        <f t="shared" ca="1" si="9"/>
        <v>1245.2057820416096</v>
      </c>
      <c r="X39" s="41">
        <f t="shared" si="10"/>
        <v>0.59817745095311736</v>
      </c>
      <c r="Y39" s="41">
        <f t="shared" ca="1" si="11"/>
        <v>173.76291087596059</v>
      </c>
      <c r="Z39" s="14">
        <f t="shared" ca="1" si="12"/>
        <v>1302.060285279985</v>
      </c>
      <c r="AA39" s="14">
        <f t="shared" si="13"/>
        <v>6280</v>
      </c>
      <c r="AB39" s="25">
        <f t="shared" ca="1" si="14"/>
        <v>429679.89414239506</v>
      </c>
      <c r="AC39" s="41">
        <f t="shared" si="15"/>
        <v>2072400</v>
      </c>
      <c r="AD39" s="5">
        <v>100</v>
      </c>
      <c r="AE39" s="41">
        <f t="shared" si="16"/>
        <v>6280</v>
      </c>
      <c r="AF39" s="41">
        <f t="shared" ca="1" si="17"/>
        <v>4977.9397147200152</v>
      </c>
      <c r="AG39" s="41">
        <f t="shared" ca="1" si="18"/>
        <v>1642720.1058576049</v>
      </c>
      <c r="AH39" s="41">
        <f t="shared" si="19"/>
        <v>4427.3999999999996</v>
      </c>
      <c r="AI39" s="13">
        <f t="shared" ca="1" si="20"/>
        <v>96.450045570259675</v>
      </c>
      <c r="AJ39" s="10">
        <f t="shared" ca="1" si="21"/>
        <v>16.994078259482571</v>
      </c>
      <c r="AK39" s="11">
        <f t="shared" ca="1" si="41"/>
        <v>5787.0027342155809</v>
      </c>
      <c r="AL39" s="6">
        <v>10000</v>
      </c>
      <c r="AM39" s="41">
        <f t="shared" ca="1" si="22"/>
        <v>103.68061456969902</v>
      </c>
      <c r="AN39" s="41">
        <f t="shared" ca="1" si="23"/>
        <v>127.5098758183015</v>
      </c>
      <c r="AO39" s="41">
        <f t="shared" ca="1" si="24"/>
        <v>5.3851234647431188</v>
      </c>
      <c r="AP39" s="67">
        <f t="shared" si="42"/>
        <v>0.70499999999999996</v>
      </c>
      <c r="AQ39" s="11">
        <f t="shared" si="25"/>
        <v>1.0520562207183759</v>
      </c>
      <c r="AR39" s="11">
        <f t="shared" si="26"/>
        <v>1</v>
      </c>
      <c r="AS39" s="11">
        <f t="shared" si="27"/>
        <v>0.95051954477981193</v>
      </c>
      <c r="AT39" s="11">
        <f t="shared" si="28"/>
        <v>545.66999999999996</v>
      </c>
      <c r="AU39" s="11">
        <f t="shared" si="29"/>
        <v>2116.2199999999998</v>
      </c>
      <c r="AV39" s="11">
        <f t="shared" si="30"/>
        <v>2.259289905987135E-3</v>
      </c>
      <c r="AW39" s="11">
        <f t="shared" si="31"/>
        <v>3.8865391239478742E-7</v>
      </c>
      <c r="AX39" s="41">
        <f t="shared" ca="1" si="32"/>
        <v>95.360900872218878</v>
      </c>
      <c r="AY39" s="11">
        <f t="shared" ca="1" si="33"/>
        <v>606.35167804125797</v>
      </c>
      <c r="AZ39" s="11"/>
      <c r="BA39" s="11"/>
    </row>
    <row r="40" spans="1:53" ht="14.5">
      <c r="A40" s="41">
        <f t="shared" ca="1" si="34"/>
        <v>2048.608455905377</v>
      </c>
      <c r="B40" s="41">
        <f t="shared" ref="B40:C55" ca="1" si="45">A40/60</f>
        <v>34.143474265089615</v>
      </c>
      <c r="C40" s="41">
        <f t="shared" ca="1" si="45"/>
        <v>0.56905790441816029</v>
      </c>
      <c r="D40" s="41">
        <f t="shared" ca="1" si="43"/>
        <v>17226.348438746474</v>
      </c>
      <c r="E40" s="41">
        <f t="shared" ca="1" si="36"/>
        <v>92.848757508153184</v>
      </c>
      <c r="F40" s="41">
        <f t="shared" ca="1" si="37"/>
        <v>92.848757508153184</v>
      </c>
      <c r="G40" s="41"/>
      <c r="H40" s="5">
        <v>0</v>
      </c>
      <c r="I40" s="5">
        <v>15</v>
      </c>
      <c r="J40" s="41">
        <f t="shared" si="38"/>
        <v>0.29769045524423948</v>
      </c>
      <c r="K40" s="41">
        <f t="shared" si="44"/>
        <v>335</v>
      </c>
      <c r="L40" s="6">
        <f t="shared" si="39"/>
        <v>30.99499999999999</v>
      </c>
      <c r="M40" s="41">
        <f t="shared" si="0"/>
        <v>198.48214000000002</v>
      </c>
      <c r="N40" s="41">
        <f t="shared" si="1"/>
        <v>126.77440484970312</v>
      </c>
      <c r="O40" s="41">
        <f t="shared" si="2"/>
        <v>1947393.5405463863</v>
      </c>
      <c r="P40" s="41">
        <f t="shared" si="3"/>
        <v>12503634.932915011</v>
      </c>
      <c r="Q40" s="41">
        <f t="shared" si="4"/>
        <v>2.8751008190211814E-3</v>
      </c>
      <c r="R40" s="41">
        <f t="shared" si="5"/>
        <v>2.2552490500124311E-2</v>
      </c>
      <c r="S40" s="24">
        <f t="shared" ca="1" si="40"/>
        <v>16.993251511097807</v>
      </c>
      <c r="T40" s="41">
        <f t="shared" ca="1" si="6"/>
        <v>0.56499650631842391</v>
      </c>
      <c r="U40" s="41">
        <f t="shared" ca="1" si="7"/>
        <v>4.2713446210041167E-2</v>
      </c>
      <c r="V40" s="41">
        <f t="shared" ca="1" si="8"/>
        <v>13.227602931874959</v>
      </c>
      <c r="W40" s="20">
        <f t="shared" ca="1" si="9"/>
        <v>1245.4434961422885</v>
      </c>
      <c r="X40" s="41">
        <f t="shared" si="10"/>
        <v>0.5975681734461219</v>
      </c>
      <c r="Y40" s="41">
        <f t="shared" ca="1" si="11"/>
        <v>173.76329400541405</v>
      </c>
      <c r="Z40" s="14">
        <f t="shared" ca="1" si="12"/>
        <v>1302.3031102056757</v>
      </c>
      <c r="AA40" s="14">
        <f t="shared" si="13"/>
        <v>6280</v>
      </c>
      <c r="AB40" s="25">
        <f t="shared" ca="1" si="14"/>
        <v>436271.54191890138</v>
      </c>
      <c r="AC40" s="41">
        <f t="shared" si="15"/>
        <v>2103800</v>
      </c>
      <c r="AD40" s="5">
        <v>100</v>
      </c>
      <c r="AE40" s="41">
        <f t="shared" si="16"/>
        <v>6280</v>
      </c>
      <c r="AF40" s="41">
        <f t="shared" ca="1" si="17"/>
        <v>4977.6968897943243</v>
      </c>
      <c r="AG40" s="41">
        <f t="shared" ca="1" si="18"/>
        <v>1667528.4580810987</v>
      </c>
      <c r="AH40" s="41">
        <f t="shared" si="19"/>
        <v>4427.3999999999996</v>
      </c>
      <c r="AI40" s="13">
        <f t="shared" ca="1" si="20"/>
        <v>97.906787081979047</v>
      </c>
      <c r="AJ40" s="10">
        <f t="shared" ca="1" si="21"/>
        <v>16.993251511097807</v>
      </c>
      <c r="AK40" s="11">
        <f t="shared" ca="1" si="41"/>
        <v>5874.4072249187429</v>
      </c>
      <c r="AL40" s="6">
        <v>10000</v>
      </c>
      <c r="AM40" s="41">
        <f t="shared" ca="1" si="22"/>
        <v>102.13796507924243</v>
      </c>
      <c r="AN40" s="41">
        <f t="shared" ca="1" si="23"/>
        <v>125.61267405328832</v>
      </c>
      <c r="AO40" s="41">
        <f t="shared" ca="1" si="24"/>
        <v>5.3854014798269745</v>
      </c>
      <c r="AP40" s="67">
        <f t="shared" si="42"/>
        <v>0.70499999999999996</v>
      </c>
      <c r="AQ40" s="11">
        <f t="shared" si="25"/>
        <v>1.0520562207183759</v>
      </c>
      <c r="AR40" s="11">
        <f t="shared" si="26"/>
        <v>1</v>
      </c>
      <c r="AS40" s="11">
        <f t="shared" si="27"/>
        <v>0.95051954477981193</v>
      </c>
      <c r="AT40" s="11">
        <f t="shared" si="28"/>
        <v>545.66999999999996</v>
      </c>
      <c r="AU40" s="11">
        <f t="shared" si="29"/>
        <v>2116.2199999999998</v>
      </c>
      <c r="AV40" s="11">
        <f t="shared" si="30"/>
        <v>2.259289905987135E-3</v>
      </c>
      <c r="AW40" s="11">
        <f t="shared" si="31"/>
        <v>3.8865391239478742E-7</v>
      </c>
      <c r="AX40" s="41">
        <f t="shared" ca="1" si="32"/>
        <v>96.801040801566501</v>
      </c>
      <c r="AY40" s="11">
        <f t="shared" ca="1" si="33"/>
        <v>606.95174059838382</v>
      </c>
      <c r="AZ40" s="11"/>
      <c r="BA40" s="11"/>
    </row>
    <row r="41" spans="1:53" ht="14.5">
      <c r="A41" s="41">
        <f t="shared" ca="1" si="34"/>
        <v>2150.7464209846194</v>
      </c>
      <c r="B41" s="41">
        <f t="shared" ca="1" si="45"/>
        <v>35.845773683076992</v>
      </c>
      <c r="C41" s="41">
        <f t="shared" ca="1" si="45"/>
        <v>0.59742956138461656</v>
      </c>
      <c r="D41" s="41">
        <f t="shared" ca="1" si="43"/>
        <v>17226.348438746474</v>
      </c>
      <c r="E41" s="41">
        <f t="shared" ca="1" si="36"/>
        <v>98.234158987980152</v>
      </c>
      <c r="F41" s="41">
        <f t="shared" ca="1" si="37"/>
        <v>98.234158987980152</v>
      </c>
      <c r="G41" s="41"/>
      <c r="H41" s="5">
        <v>0</v>
      </c>
      <c r="I41" s="5">
        <v>15</v>
      </c>
      <c r="J41" s="41">
        <f t="shared" si="38"/>
        <v>0.30213359636728782</v>
      </c>
      <c r="K41" s="41">
        <f t="shared" si="44"/>
        <v>340</v>
      </c>
      <c r="L41" s="6">
        <f t="shared" si="39"/>
        <v>32.22999999999999</v>
      </c>
      <c r="M41" s="41">
        <f t="shared" si="0"/>
        <v>201.44456</v>
      </c>
      <c r="N41" s="41">
        <f t="shared" si="1"/>
        <v>130.58695656605641</v>
      </c>
      <c r="O41" s="41">
        <f t="shared" si="2"/>
        <v>1976459.115778422</v>
      </c>
      <c r="P41" s="41">
        <f t="shared" si="3"/>
        <v>12690256.34982419</v>
      </c>
      <c r="Q41" s="41">
        <f t="shared" si="4"/>
        <v>2.8676805489341226E-3</v>
      </c>
      <c r="R41" s="41">
        <f t="shared" si="5"/>
        <v>2.2507189751242818E-2</v>
      </c>
      <c r="S41" s="24">
        <f t="shared" ca="1" si="40"/>
        <v>16.988800774587382</v>
      </c>
      <c r="T41" s="41">
        <f t="shared" ca="1" si="6"/>
        <v>0.54851416914071394</v>
      </c>
      <c r="U41" s="41">
        <f t="shared" ca="1" si="7"/>
        <v>4.1509013795753683E-2</v>
      </c>
      <c r="V41" s="41">
        <f t="shared" ca="1" si="8"/>
        <v>13.214338741934318</v>
      </c>
      <c r="W41" s="20">
        <f t="shared" ca="1" si="9"/>
        <v>1246.7232297785622</v>
      </c>
      <c r="X41" s="41">
        <f t="shared" si="10"/>
        <v>0.59696770997793325</v>
      </c>
      <c r="Y41" s="41">
        <f t="shared" ca="1" si="11"/>
        <v>173.76535622810232</v>
      </c>
      <c r="Z41" s="14">
        <f t="shared" ca="1" si="12"/>
        <v>1303.6103262647916</v>
      </c>
      <c r="AA41" s="14">
        <f t="shared" si="13"/>
        <v>6280</v>
      </c>
      <c r="AB41" s="25">
        <f t="shared" ca="1" si="14"/>
        <v>443227.51093002915</v>
      </c>
      <c r="AC41" s="41">
        <f t="shared" si="15"/>
        <v>2135200</v>
      </c>
      <c r="AD41" s="5">
        <v>100</v>
      </c>
      <c r="AE41" s="41">
        <f t="shared" si="16"/>
        <v>6280</v>
      </c>
      <c r="AF41" s="41">
        <f t="shared" ca="1" si="17"/>
        <v>4976.3896737352079</v>
      </c>
      <c r="AG41" s="41">
        <f t="shared" ca="1" si="18"/>
        <v>1691972.4890699708</v>
      </c>
      <c r="AH41" s="41">
        <f t="shared" si="19"/>
        <v>4427.3999999999996</v>
      </c>
      <c r="AI41" s="13">
        <f t="shared" ca="1" si="20"/>
        <v>99.342824044247521</v>
      </c>
      <c r="AJ41" s="10">
        <f t="shared" ca="1" si="21"/>
        <v>16.988800774587382</v>
      </c>
      <c r="AK41" s="11">
        <f t="shared" ca="1" si="41"/>
        <v>5960.5694426548516</v>
      </c>
      <c r="AL41" s="6">
        <v>10000</v>
      </c>
      <c r="AM41" s="41">
        <f t="shared" ca="1" si="22"/>
        <v>100.66152332800583</v>
      </c>
      <c r="AN41" s="41">
        <f t="shared" ca="1" si="23"/>
        <v>123.7968967728925</v>
      </c>
      <c r="AO41" s="41">
        <f t="shared" ca="1" si="24"/>
        <v>5.3868986039247559</v>
      </c>
      <c r="AP41" s="67">
        <f t="shared" si="42"/>
        <v>0.70499999999999996</v>
      </c>
      <c r="AQ41" s="11">
        <f t="shared" si="25"/>
        <v>1.0520562207183759</v>
      </c>
      <c r="AR41" s="11">
        <f t="shared" si="26"/>
        <v>1</v>
      </c>
      <c r="AS41" s="11">
        <f t="shared" si="27"/>
        <v>0.95051954477981193</v>
      </c>
      <c r="AT41" s="11">
        <f t="shared" si="28"/>
        <v>545.66999999999996</v>
      </c>
      <c r="AU41" s="11">
        <f t="shared" si="29"/>
        <v>2116.2199999999998</v>
      </c>
      <c r="AV41" s="11">
        <f t="shared" si="30"/>
        <v>2.259289905987135E-3</v>
      </c>
      <c r="AW41" s="11">
        <f t="shared" si="31"/>
        <v>3.8865391239478742E-7</v>
      </c>
      <c r="AX41" s="41">
        <f t="shared" ca="1" si="32"/>
        <v>98.220031661747356</v>
      </c>
      <c r="AY41" s="11">
        <f t="shared" ca="1" si="33"/>
        <v>607.54433638275646</v>
      </c>
      <c r="AZ41" s="11"/>
      <c r="BA41" s="11"/>
    </row>
    <row r="42" spans="1:53" ht="14.5">
      <c r="A42" s="41">
        <f t="shared" ca="1" si="34"/>
        <v>2251.4079443126252</v>
      </c>
      <c r="B42" s="41">
        <f t="shared" ca="1" si="45"/>
        <v>37.523465738543756</v>
      </c>
      <c r="C42" s="41">
        <f t="shared" ca="1" si="45"/>
        <v>0.62539109564239592</v>
      </c>
      <c r="D42" s="41">
        <f t="shared" ca="1" si="43"/>
        <v>17226.348438746474</v>
      </c>
      <c r="E42" s="41">
        <f t="shared" ca="1" si="36"/>
        <v>103.6210575919049</v>
      </c>
      <c r="F42" s="41">
        <f t="shared" ca="1" si="37"/>
        <v>103.6210575919049</v>
      </c>
      <c r="G42" s="41"/>
      <c r="H42" s="5">
        <v>0</v>
      </c>
      <c r="I42" s="5">
        <v>15</v>
      </c>
      <c r="J42" s="41">
        <f t="shared" si="38"/>
        <v>0.3065767374903362</v>
      </c>
      <c r="K42" s="41">
        <f t="shared" si="44"/>
        <v>345</v>
      </c>
      <c r="L42" s="6">
        <f t="shared" si="39"/>
        <v>33.464999999999989</v>
      </c>
      <c r="M42" s="41">
        <f t="shared" si="0"/>
        <v>204.40698</v>
      </c>
      <c r="N42" s="41">
        <f t="shared" si="1"/>
        <v>134.45599053005938</v>
      </c>
      <c r="O42" s="41">
        <f t="shared" si="2"/>
        <v>2005524.6910104579</v>
      </c>
      <c r="P42" s="41">
        <f t="shared" si="3"/>
        <v>12876877.766733373</v>
      </c>
      <c r="Q42" s="41">
        <f t="shared" si="4"/>
        <v>2.8603728175023591E-3</v>
      </c>
      <c r="R42" s="41">
        <f t="shared" si="5"/>
        <v>2.2462576050851901E-2</v>
      </c>
      <c r="S42" s="24">
        <f t="shared" ca="1" si="40"/>
        <v>16.980895976172654</v>
      </c>
      <c r="T42" s="41">
        <f t="shared" ca="1" si="6"/>
        <v>0.53275286740441441</v>
      </c>
      <c r="U42" s="41">
        <f t="shared" ca="1" si="7"/>
        <v>4.0388072097463923E-2</v>
      </c>
      <c r="V42" s="41">
        <f t="shared" ca="1" si="8"/>
        <v>13.190846696489567</v>
      </c>
      <c r="W42" s="20">
        <f t="shared" ca="1" si="9"/>
        <v>1248.996195076712</v>
      </c>
      <c r="X42" s="41">
        <f t="shared" si="10"/>
        <v>0.59637576247394064</v>
      </c>
      <c r="Y42" s="41">
        <f t="shared" ca="1" si="11"/>
        <v>173.76901751738527</v>
      </c>
      <c r="Z42" s="14">
        <f t="shared" ca="1" si="12"/>
        <v>1305.9319720038034</v>
      </c>
      <c r="AA42" s="14">
        <f t="shared" si="13"/>
        <v>6280</v>
      </c>
      <c r="AB42" s="25">
        <f t="shared" ca="1" si="14"/>
        <v>450546.53034131217</v>
      </c>
      <c r="AC42" s="41">
        <f t="shared" si="15"/>
        <v>2166600</v>
      </c>
      <c r="AD42" s="5">
        <v>100</v>
      </c>
      <c r="AE42" s="41">
        <f t="shared" si="16"/>
        <v>6280</v>
      </c>
      <c r="AF42" s="41">
        <f t="shared" ca="1" si="17"/>
        <v>4974.0680279961962</v>
      </c>
      <c r="AG42" s="41">
        <f t="shared" ca="1" si="18"/>
        <v>1716053.4696586877</v>
      </c>
      <c r="AH42" s="41">
        <f t="shared" si="19"/>
        <v>4427.3999999999996</v>
      </c>
      <c r="AI42" s="13">
        <f t="shared" ca="1" si="20"/>
        <v>100.75822620622884</v>
      </c>
      <c r="AJ42" s="10">
        <f t="shared" ca="1" si="21"/>
        <v>16.980895976172654</v>
      </c>
      <c r="AK42" s="11">
        <f t="shared" ca="1" si="41"/>
        <v>6045.4935723737308</v>
      </c>
      <c r="AL42" s="6">
        <v>10000</v>
      </c>
      <c r="AM42" s="41">
        <f t="shared" ca="1" si="22"/>
        <v>99.247479600646273</v>
      </c>
      <c r="AN42" s="41">
        <f t="shared" ca="1" si="23"/>
        <v>122.05785866219479</v>
      </c>
      <c r="AO42" s="41">
        <f t="shared" ca="1" si="24"/>
        <v>5.3895594716663231</v>
      </c>
      <c r="AP42" s="67">
        <f t="shared" si="42"/>
        <v>0.70499999999999996</v>
      </c>
      <c r="AQ42" s="11">
        <f t="shared" si="25"/>
        <v>1.0520562207183759</v>
      </c>
      <c r="AR42" s="11">
        <f t="shared" si="26"/>
        <v>1</v>
      </c>
      <c r="AS42" s="11">
        <f t="shared" si="27"/>
        <v>0.95051954477981193</v>
      </c>
      <c r="AT42" s="11">
        <f t="shared" si="28"/>
        <v>545.66999999999996</v>
      </c>
      <c r="AU42" s="11">
        <f t="shared" si="29"/>
        <v>2116.2199999999998</v>
      </c>
      <c r="AV42" s="11">
        <f t="shared" si="30"/>
        <v>2.259289905987135E-3</v>
      </c>
      <c r="AW42" s="11">
        <f t="shared" si="31"/>
        <v>3.8865391239478742E-7</v>
      </c>
      <c r="AX42" s="41">
        <f t="shared" ca="1" si="32"/>
        <v>99.617947225474879</v>
      </c>
      <c r="AY42" s="11">
        <f t="shared" ca="1" si="33"/>
        <v>608.12971095383512</v>
      </c>
      <c r="AZ42" s="11"/>
      <c r="BA42" s="11"/>
    </row>
    <row r="43" spans="1:53" ht="14.5">
      <c r="A43" s="41">
        <f t="shared" ca="1" si="34"/>
        <v>2350.6554239132715</v>
      </c>
      <c r="B43" s="41">
        <f t="shared" ca="1" si="45"/>
        <v>39.177590398554528</v>
      </c>
      <c r="C43" s="41">
        <f t="shared" ca="1" si="45"/>
        <v>0.65295983997590878</v>
      </c>
      <c r="D43" s="41">
        <f t="shared" ca="1" si="43"/>
        <v>17226.348438746474</v>
      </c>
      <c r="E43" s="41">
        <f t="shared" ca="1" si="36"/>
        <v>109.01061706357122</v>
      </c>
      <c r="F43" s="41">
        <f t="shared" ca="1" si="37"/>
        <v>109.01061706357122</v>
      </c>
      <c r="G43" s="41"/>
      <c r="H43" s="5">
        <v>0</v>
      </c>
      <c r="I43" s="5">
        <v>15</v>
      </c>
      <c r="J43" s="41">
        <f t="shared" si="38"/>
        <v>0.31101987861338454</v>
      </c>
      <c r="K43" s="41">
        <f t="shared" si="44"/>
        <v>350</v>
      </c>
      <c r="L43" s="6">
        <f t="shared" si="39"/>
        <v>34.699999999999989</v>
      </c>
      <c r="M43" s="41">
        <f t="shared" si="0"/>
        <v>207.36940000000001</v>
      </c>
      <c r="N43" s="41">
        <f t="shared" si="1"/>
        <v>138.38150674171203</v>
      </c>
      <c r="O43" s="41">
        <f t="shared" si="2"/>
        <v>2034590.2662424934</v>
      </c>
      <c r="P43" s="41">
        <f t="shared" si="3"/>
        <v>13063499.183642551</v>
      </c>
      <c r="Q43" s="41">
        <f t="shared" si="4"/>
        <v>2.8531738059361569E-3</v>
      </c>
      <c r="R43" s="41">
        <f t="shared" si="5"/>
        <v>2.2418626085240239E-2</v>
      </c>
      <c r="S43" s="24">
        <f t="shared" ca="1" si="40"/>
        <v>16.969694872512814</v>
      </c>
      <c r="T43" s="41">
        <f t="shared" ca="1" si="6"/>
        <v>0.51767097411509533</v>
      </c>
      <c r="U43" s="41">
        <f t="shared" ca="1" si="7"/>
        <v>3.9343569301330504E-2</v>
      </c>
      <c r="V43" s="41">
        <f t="shared" ca="1" si="8"/>
        <v>13.157702346482045</v>
      </c>
      <c r="W43" s="20">
        <f t="shared" ca="1" si="9"/>
        <v>1252.2171521184687</v>
      </c>
      <c r="X43" s="41">
        <f t="shared" si="10"/>
        <v>0.59579204652743967</v>
      </c>
      <c r="Y43" s="41">
        <f t="shared" ca="1" si="11"/>
        <v>173.77420260224824</v>
      </c>
      <c r="Z43" s="14">
        <f t="shared" ca="1" si="12"/>
        <v>1309.2216243478297</v>
      </c>
      <c r="AA43" s="14">
        <f t="shared" si="13"/>
        <v>6280</v>
      </c>
      <c r="AB43" s="25">
        <f t="shared" ca="1" si="14"/>
        <v>458227.56852174038</v>
      </c>
      <c r="AC43" s="41">
        <f t="shared" si="15"/>
        <v>2198000</v>
      </c>
      <c r="AD43" s="5">
        <v>100</v>
      </c>
      <c r="AE43" s="41">
        <f t="shared" si="16"/>
        <v>6280</v>
      </c>
      <c r="AF43" s="41">
        <f t="shared" ca="1" si="17"/>
        <v>4970.7783756521703</v>
      </c>
      <c r="AG43" s="41">
        <f t="shared" ca="1" si="18"/>
        <v>1739772.4314782596</v>
      </c>
      <c r="AH43" s="41">
        <f t="shared" si="19"/>
        <v>4427.3999999999996</v>
      </c>
      <c r="AI43" s="13">
        <f t="shared" ca="1" si="20"/>
        <v>102.15304787406167</v>
      </c>
      <c r="AJ43" s="10">
        <f t="shared" ca="1" si="21"/>
        <v>16.969694872512814</v>
      </c>
      <c r="AK43" s="11">
        <f t="shared" ca="1" si="41"/>
        <v>6129.1828724437</v>
      </c>
      <c r="AL43" s="6">
        <v>10000</v>
      </c>
      <c r="AM43" s="41">
        <f t="shared" ca="1" si="22"/>
        <v>97.892331243296795</v>
      </c>
      <c r="AN43" s="41">
        <f t="shared" ca="1" si="23"/>
        <v>120.39125204071449</v>
      </c>
      <c r="AO43" s="41">
        <f t="shared" ca="1" si="24"/>
        <v>5.3933340427134375</v>
      </c>
      <c r="AP43" s="67">
        <f t="shared" si="42"/>
        <v>0.70499999999999996</v>
      </c>
      <c r="AQ43" s="11">
        <f t="shared" si="25"/>
        <v>1.0520562207183759</v>
      </c>
      <c r="AR43" s="11">
        <f t="shared" si="26"/>
        <v>1</v>
      </c>
      <c r="AS43" s="11">
        <f t="shared" si="27"/>
        <v>0.95051954477981193</v>
      </c>
      <c r="AT43" s="11">
        <f t="shared" si="28"/>
        <v>545.66999999999996</v>
      </c>
      <c r="AU43" s="11">
        <f t="shared" si="29"/>
        <v>2116.2199999999998</v>
      </c>
      <c r="AV43" s="11">
        <f t="shared" si="30"/>
        <v>2.259289905987135E-3</v>
      </c>
      <c r="AW43" s="11">
        <f t="shared" si="31"/>
        <v>3.8865391239478742E-7</v>
      </c>
      <c r="AX43" s="41">
        <f t="shared" ca="1" si="32"/>
        <v>100.99484737955639</v>
      </c>
      <c r="AY43" s="11">
        <f t="shared" ca="1" si="33"/>
        <v>608.70809913486494</v>
      </c>
      <c r="AZ43" s="11"/>
      <c r="BA43" s="11"/>
    </row>
    <row r="44" spans="1:53" ht="14.5">
      <c r="A44" s="41">
        <f t="shared" ca="1" si="34"/>
        <v>2448.5477551565682</v>
      </c>
      <c r="B44" s="41">
        <f t="shared" ca="1" si="45"/>
        <v>40.809129252609473</v>
      </c>
      <c r="C44" s="41">
        <f t="shared" ca="1" si="45"/>
        <v>0.68015215421015784</v>
      </c>
      <c r="D44" s="41">
        <f t="shared" ca="1" si="43"/>
        <v>17226.348438746474</v>
      </c>
      <c r="E44" s="41">
        <f t="shared" ca="1" si="36"/>
        <v>114.40395110628465</v>
      </c>
      <c r="F44" s="41">
        <f t="shared" ca="1" si="37"/>
        <v>114.40395110628465</v>
      </c>
      <c r="G44" s="41"/>
      <c r="H44" s="5">
        <v>0</v>
      </c>
      <c r="I44" s="5">
        <v>15</v>
      </c>
      <c r="J44" s="41">
        <f t="shared" si="38"/>
        <v>0.31546301973643287</v>
      </c>
      <c r="K44" s="41">
        <f t="shared" si="44"/>
        <v>355</v>
      </c>
      <c r="L44" s="6">
        <f t="shared" si="39"/>
        <v>35.934999999999988</v>
      </c>
      <c r="M44" s="41">
        <f t="shared" si="0"/>
        <v>210.33181999999999</v>
      </c>
      <c r="N44" s="41">
        <f t="shared" si="1"/>
        <v>142.36350520101433</v>
      </c>
      <c r="O44" s="41">
        <f t="shared" si="2"/>
        <v>2063655.8414745291</v>
      </c>
      <c r="P44" s="41">
        <f t="shared" si="3"/>
        <v>13250120.60055173</v>
      </c>
      <c r="Q44" s="41">
        <f t="shared" si="4"/>
        <v>2.8460798718690536E-3</v>
      </c>
      <c r="R44" s="41">
        <f t="shared" si="5"/>
        <v>2.2375317617760571E-2</v>
      </c>
      <c r="S44" s="24">
        <f t="shared" ca="1" si="40"/>
        <v>16.955344100109919</v>
      </c>
      <c r="T44" s="41">
        <f t="shared" ca="1" si="6"/>
        <v>0.50322982890215651</v>
      </c>
      <c r="U44" s="41">
        <f t="shared" ca="1" si="7"/>
        <v>3.8369142728788691E-2</v>
      </c>
      <c r="V44" s="41">
        <f t="shared" ca="1" si="8"/>
        <v>13.11548273202828</v>
      </c>
      <c r="W44" s="20">
        <f t="shared" ca="1" si="9"/>
        <v>1256.3440995985252</v>
      </c>
      <c r="X44" s="41">
        <f t="shared" si="10"/>
        <v>0.59521629059230408</v>
      </c>
      <c r="Y44" s="41">
        <f t="shared" ca="1" si="11"/>
        <v>173.78084061663944</v>
      </c>
      <c r="Z44" s="14">
        <f t="shared" ca="1" si="12"/>
        <v>1313.4360961552238</v>
      </c>
      <c r="AA44" s="14">
        <f t="shared" si="13"/>
        <v>6280</v>
      </c>
      <c r="AB44" s="25">
        <f t="shared" ca="1" si="14"/>
        <v>466269.81413510448</v>
      </c>
      <c r="AC44" s="41">
        <f t="shared" si="15"/>
        <v>2229400</v>
      </c>
      <c r="AD44" s="5">
        <v>100</v>
      </c>
      <c r="AE44" s="41">
        <f t="shared" si="16"/>
        <v>6280</v>
      </c>
      <c r="AF44" s="41">
        <f t="shared" ca="1" si="17"/>
        <v>4966.5639038447762</v>
      </c>
      <c r="AG44" s="41">
        <f t="shared" ca="1" si="18"/>
        <v>1763130.1858648956</v>
      </c>
      <c r="AH44" s="41">
        <f t="shared" si="19"/>
        <v>4427.3999999999996</v>
      </c>
      <c r="AI44" s="13">
        <f t="shared" ca="1" si="20"/>
        <v>103.52732913675453</v>
      </c>
      <c r="AJ44" s="10">
        <f t="shared" ca="1" si="21"/>
        <v>16.955344100109919</v>
      </c>
      <c r="AK44" s="11">
        <f t="shared" ca="1" si="41"/>
        <v>6211.6397482052716</v>
      </c>
      <c r="AL44" s="6">
        <v>10000</v>
      </c>
      <c r="AM44" s="41">
        <f t="shared" ca="1" si="22"/>
        <v>96.59285218099744</v>
      </c>
      <c r="AN44" s="41">
        <f t="shared" ca="1" si="23"/>
        <v>118.79310937393001</v>
      </c>
      <c r="AO44" s="41">
        <f t="shared" ca="1" si="24"/>
        <v>5.3981770689781605</v>
      </c>
      <c r="AP44" s="67">
        <f t="shared" si="42"/>
        <v>0.70499999999999996</v>
      </c>
      <c r="AQ44" s="11">
        <f t="shared" si="25"/>
        <v>1.0520562207183759</v>
      </c>
      <c r="AR44" s="11">
        <f t="shared" si="26"/>
        <v>1</v>
      </c>
      <c r="AS44" s="11">
        <f t="shared" si="27"/>
        <v>0.95051954477981193</v>
      </c>
      <c r="AT44" s="11">
        <f t="shared" si="28"/>
        <v>545.66999999999996</v>
      </c>
      <c r="AU44" s="11">
        <f t="shared" si="29"/>
        <v>2116.2199999999998</v>
      </c>
      <c r="AV44" s="11">
        <f t="shared" si="30"/>
        <v>2.259289905987135E-3</v>
      </c>
      <c r="AW44" s="11">
        <f t="shared" si="31"/>
        <v>3.8865391239478742E-7</v>
      </c>
      <c r="AX44" s="41">
        <f t="shared" ca="1" si="32"/>
        <v>102.35077922255211</v>
      </c>
      <c r="AY44" s="11">
        <f t="shared" ca="1" si="33"/>
        <v>609.27972562486298</v>
      </c>
      <c r="AZ44" s="11"/>
      <c r="BA44" s="11"/>
    </row>
    <row r="45" spans="1:53" ht="14.5">
      <c r="A45" s="41">
        <f t="shared" ca="1" si="34"/>
        <v>2545.1406073375656</v>
      </c>
      <c r="B45" s="41">
        <f t="shared" ca="1" si="45"/>
        <v>42.419010122292761</v>
      </c>
      <c r="C45" s="41">
        <f t="shared" ca="1" si="45"/>
        <v>0.7069835020382127</v>
      </c>
      <c r="D45" s="41">
        <f t="shared" ca="1" si="43"/>
        <v>17226.348438746474</v>
      </c>
      <c r="E45" s="41">
        <f t="shared" ca="1" si="36"/>
        <v>119.80212817526281</v>
      </c>
      <c r="F45" s="41">
        <f t="shared" ca="1" si="37"/>
        <v>119.80212817526281</v>
      </c>
      <c r="G45" s="41"/>
      <c r="H45" s="5">
        <v>0</v>
      </c>
      <c r="I45" s="5">
        <v>15</v>
      </c>
      <c r="J45" s="41">
        <f t="shared" si="38"/>
        <v>0.31990616085948126</v>
      </c>
      <c r="K45" s="41">
        <f t="shared" si="44"/>
        <v>360</v>
      </c>
      <c r="L45" s="6">
        <f t="shared" si="39"/>
        <v>37.169999999999987</v>
      </c>
      <c r="M45" s="41">
        <f t="shared" si="0"/>
        <v>213.29424</v>
      </c>
      <c r="N45" s="41">
        <f t="shared" si="1"/>
        <v>146.40198590796635</v>
      </c>
      <c r="O45" s="41">
        <f t="shared" si="2"/>
        <v>2092721.4167065646</v>
      </c>
      <c r="P45" s="41">
        <f t="shared" si="3"/>
        <v>13436742.017460909</v>
      </c>
      <c r="Q45" s="41">
        <f t="shared" si="4"/>
        <v>2.8390875389110665E-3</v>
      </c>
      <c r="R45" s="41">
        <f t="shared" si="5"/>
        <v>2.2332629425052063E-2</v>
      </c>
      <c r="S45" s="24">
        <f t="shared" ca="1" si="40"/>
        <v>16.937980120615002</v>
      </c>
      <c r="T45" s="41">
        <f t="shared" ca="1" si="6"/>
        <v>0.48939348759959689</v>
      </c>
      <c r="U45" s="41">
        <f t="shared" ca="1" si="7"/>
        <v>3.7459042728635858E-2</v>
      </c>
      <c r="V45" s="41">
        <f t="shared" ca="1" si="8"/>
        <v>13.064762256337005</v>
      </c>
      <c r="W45" s="20">
        <f t="shared" ca="1" si="9"/>
        <v>1261.3379965072409</v>
      </c>
      <c r="X45" s="41">
        <f t="shared" si="10"/>
        <v>0.59464823523400578</v>
      </c>
      <c r="Y45" s="41">
        <f t="shared" ca="1" si="11"/>
        <v>173.78886477686729</v>
      </c>
      <c r="Z45" s="14">
        <f t="shared" ca="1" si="12"/>
        <v>1318.5351635764293</v>
      </c>
      <c r="AA45" s="14">
        <f t="shared" si="13"/>
        <v>6280</v>
      </c>
      <c r="AB45" s="25">
        <f t="shared" ca="1" si="14"/>
        <v>474672.65888751455</v>
      </c>
      <c r="AC45" s="41">
        <f t="shared" si="15"/>
        <v>2260800</v>
      </c>
      <c r="AD45" s="5">
        <v>100</v>
      </c>
      <c r="AE45" s="41">
        <f t="shared" si="16"/>
        <v>6280</v>
      </c>
      <c r="AF45" s="41">
        <f t="shared" ca="1" si="17"/>
        <v>4961.4648364235709</v>
      </c>
      <c r="AG45" s="41">
        <f t="shared" ca="1" si="18"/>
        <v>1786127.3411124854</v>
      </c>
      <c r="AH45" s="41">
        <f t="shared" si="19"/>
        <v>4427.3999999999996</v>
      </c>
      <c r="AI45" s="13">
        <f t="shared" ca="1" si="20"/>
        <v>104.88109698243539</v>
      </c>
      <c r="AJ45" s="10">
        <f t="shared" ca="1" si="21"/>
        <v>16.937980120615002</v>
      </c>
      <c r="AK45" s="11">
        <f t="shared" ca="1" si="41"/>
        <v>6292.8658189461239</v>
      </c>
      <c r="AL45" s="6">
        <v>10000</v>
      </c>
      <c r="AM45" s="41">
        <f t="shared" ca="1" si="22"/>
        <v>95.346066047294642</v>
      </c>
      <c r="AN45" s="41">
        <f t="shared" ca="1" si="23"/>
        <v>117.25977022716451</v>
      </c>
      <c r="AO45" s="41">
        <f t="shared" ca="1" si="24"/>
        <v>5.404047626854048</v>
      </c>
      <c r="AP45" s="67">
        <f t="shared" si="42"/>
        <v>0.70499999999999996</v>
      </c>
      <c r="AQ45" s="11">
        <f t="shared" si="25"/>
        <v>1.0520562207183759</v>
      </c>
      <c r="AR45" s="11">
        <f t="shared" si="26"/>
        <v>1</v>
      </c>
      <c r="AS45" s="11">
        <f t="shared" si="27"/>
        <v>0.95051954477981193</v>
      </c>
      <c r="AT45" s="11">
        <f t="shared" si="28"/>
        <v>545.66999999999996</v>
      </c>
      <c r="AU45" s="11">
        <f t="shared" si="29"/>
        <v>2116.2199999999998</v>
      </c>
      <c r="AV45" s="11">
        <f t="shared" si="30"/>
        <v>2.259289905987135E-3</v>
      </c>
      <c r="AW45" s="11">
        <f t="shared" si="31"/>
        <v>3.8865391239478742E-7</v>
      </c>
      <c r="AX45" s="41">
        <f t="shared" ca="1" si="32"/>
        <v>103.68577806629216</v>
      </c>
      <c r="AY45" s="11">
        <f t="shared" ca="1" si="33"/>
        <v>609.84480556762048</v>
      </c>
      <c r="AZ45" s="11"/>
      <c r="BA45" s="11"/>
    </row>
    <row r="46" spans="1:53" ht="14.5">
      <c r="A46" s="41">
        <f t="shared" ca="1" si="34"/>
        <v>2640.4866733848603</v>
      </c>
      <c r="B46" s="41">
        <f t="shared" ca="1" si="45"/>
        <v>44.008111223081002</v>
      </c>
      <c r="C46" s="41">
        <f t="shared" ca="1" si="45"/>
        <v>0.73346852038468335</v>
      </c>
      <c r="D46" s="41">
        <f t="shared" ca="1" si="43"/>
        <v>17226.348438746474</v>
      </c>
      <c r="E46" s="41">
        <f t="shared" ca="1" si="36"/>
        <v>125.20617580211686</v>
      </c>
      <c r="F46" s="41">
        <f t="shared" ca="1" si="37"/>
        <v>125.20617580211686</v>
      </c>
      <c r="G46" s="41"/>
      <c r="H46" s="5">
        <v>0</v>
      </c>
      <c r="I46" s="5">
        <v>15</v>
      </c>
      <c r="J46" s="41">
        <f t="shared" si="38"/>
        <v>0.32434930198252959</v>
      </c>
      <c r="K46" s="41">
        <f t="shared" si="44"/>
        <v>365</v>
      </c>
      <c r="L46" s="6">
        <f t="shared" si="39"/>
        <v>38.404999999999987</v>
      </c>
      <c r="M46" s="41">
        <f t="shared" si="0"/>
        <v>216.25666000000001</v>
      </c>
      <c r="N46" s="41">
        <f t="shared" si="1"/>
        <v>150.49694886256802</v>
      </c>
      <c r="O46" s="41">
        <f t="shared" si="2"/>
        <v>2121786.9919386003</v>
      </c>
      <c r="P46" s="41">
        <f t="shared" si="3"/>
        <v>13623363.434370087</v>
      </c>
      <c r="Q46" s="41">
        <f t="shared" si="4"/>
        <v>2.8321934869565348E-3</v>
      </c>
      <c r="R46" s="41">
        <f t="shared" si="5"/>
        <v>2.2290541237869645E-2</v>
      </c>
      <c r="S46" s="24">
        <f t="shared" ca="1" si="40"/>
        <v>16.917730073649786</v>
      </c>
      <c r="T46" s="41">
        <f t="shared" ca="1" si="6"/>
        <v>0.47612849615393604</v>
      </c>
      <c r="U46" s="41">
        <f t="shared" ca="1" si="7"/>
        <v>3.6608065909932409E-2</v>
      </c>
      <c r="V46" s="41">
        <f t="shared" ca="1" si="8"/>
        <v>13.00610901776032</v>
      </c>
      <c r="W46" s="20">
        <f t="shared" ca="1" si="9"/>
        <v>1267.1625113370619</v>
      </c>
      <c r="X46" s="41">
        <f t="shared" si="10"/>
        <v>0.59408763243401663</v>
      </c>
      <c r="Y46" s="41">
        <f t="shared" ca="1" si="11"/>
        <v>173.79821208476517</v>
      </c>
      <c r="Z46" s="14">
        <f t="shared" ca="1" si="12"/>
        <v>1324.4813199107637</v>
      </c>
      <c r="AA46" s="14">
        <f t="shared" si="13"/>
        <v>6280</v>
      </c>
      <c r="AB46" s="25">
        <f t="shared" ca="1" si="14"/>
        <v>483435.68176742876</v>
      </c>
      <c r="AC46" s="41">
        <f t="shared" si="15"/>
        <v>2292200</v>
      </c>
      <c r="AD46" s="5">
        <v>100</v>
      </c>
      <c r="AE46" s="41">
        <f t="shared" si="16"/>
        <v>6280</v>
      </c>
      <c r="AF46" s="41">
        <f t="shared" ca="1" si="17"/>
        <v>4955.5186800892361</v>
      </c>
      <c r="AG46" s="41">
        <f t="shared" ca="1" si="18"/>
        <v>1808764.3182325712</v>
      </c>
      <c r="AH46" s="41">
        <f t="shared" si="19"/>
        <v>4427.3999999999996</v>
      </c>
      <c r="AI46" s="13">
        <f t="shared" ca="1" si="20"/>
        <v>106.21436631611029</v>
      </c>
      <c r="AJ46" s="10">
        <f t="shared" ca="1" si="21"/>
        <v>16.917730073649786</v>
      </c>
      <c r="AK46" s="11">
        <f t="shared" ca="1" si="41"/>
        <v>6372.8619789666172</v>
      </c>
      <c r="AL46" s="6">
        <v>10000</v>
      </c>
      <c r="AM46" s="41">
        <f t="shared" ca="1" si="22"/>
        <v>94.149222434171122</v>
      </c>
      <c r="AN46" s="41">
        <f t="shared" ca="1" si="23"/>
        <v>115.78785205695812</v>
      </c>
      <c r="AO46" s="41">
        <f t="shared" ca="1" si="24"/>
        <v>5.4109087055553022</v>
      </c>
      <c r="AP46" s="67">
        <f t="shared" si="42"/>
        <v>0.70499999999999996</v>
      </c>
      <c r="AQ46" s="11">
        <f t="shared" si="25"/>
        <v>1.0520562207183759</v>
      </c>
      <c r="AR46" s="11">
        <f t="shared" si="26"/>
        <v>1</v>
      </c>
      <c r="AS46" s="11">
        <f t="shared" si="27"/>
        <v>0.95051954477981193</v>
      </c>
      <c r="AT46" s="11">
        <f t="shared" si="28"/>
        <v>545.66999999999996</v>
      </c>
      <c r="AU46" s="11">
        <f t="shared" si="29"/>
        <v>2116.2199999999998</v>
      </c>
      <c r="AV46" s="11">
        <f t="shared" si="30"/>
        <v>2.259289905987135E-3</v>
      </c>
      <c r="AW46" s="11">
        <f t="shared" si="31"/>
        <v>3.8865391239478742E-7</v>
      </c>
      <c r="AX46" s="41">
        <f t="shared" ca="1" si="32"/>
        <v>104.99986835075254</v>
      </c>
      <c r="AY46" s="11">
        <f t="shared" ca="1" si="33"/>
        <v>610.4035450812919</v>
      </c>
      <c r="AZ46" s="11"/>
      <c r="BA46" s="11"/>
    </row>
    <row r="47" spans="1:53" ht="14.5">
      <c r="A47" s="41">
        <f t="shared" ca="1" si="34"/>
        <v>2734.6358958190312</v>
      </c>
      <c r="B47" s="41">
        <f t="shared" ca="1" si="45"/>
        <v>45.577264930317185</v>
      </c>
      <c r="C47" s="41">
        <f t="shared" ca="1" si="45"/>
        <v>0.75962108217195312</v>
      </c>
      <c r="D47" s="41">
        <f t="shared" ca="1" si="43"/>
        <v>17226.348438746474</v>
      </c>
      <c r="E47" s="41">
        <f t="shared" ca="1" si="36"/>
        <v>130.61708450767216</v>
      </c>
      <c r="F47" s="41">
        <f t="shared" ca="1" si="37"/>
        <v>130.61708450767216</v>
      </c>
      <c r="G47" s="41"/>
      <c r="H47" s="5">
        <v>0</v>
      </c>
      <c r="I47" s="5">
        <v>15</v>
      </c>
      <c r="J47" s="41">
        <f t="shared" si="38"/>
        <v>0.32879244310557793</v>
      </c>
      <c r="K47" s="41">
        <f t="shared" si="44"/>
        <v>370</v>
      </c>
      <c r="L47" s="6">
        <f t="shared" si="39"/>
        <v>39.639999999999986</v>
      </c>
      <c r="M47" s="41">
        <f t="shared" si="0"/>
        <v>219.21907999999999</v>
      </c>
      <c r="N47" s="41">
        <f t="shared" si="1"/>
        <v>154.6483940648194</v>
      </c>
      <c r="O47" s="41">
        <f t="shared" si="2"/>
        <v>2150852.5671706358</v>
      </c>
      <c r="P47" s="41">
        <f t="shared" si="3"/>
        <v>13809984.851279268</v>
      </c>
      <c r="Q47" s="41">
        <f t="shared" si="4"/>
        <v>2.8253945431825048E-3</v>
      </c>
      <c r="R47" s="41">
        <f t="shared" si="5"/>
        <v>2.224903368612919E-2</v>
      </c>
      <c r="S47" s="24">
        <f t="shared" ca="1" si="40"/>
        <v>16.894712547325419</v>
      </c>
      <c r="T47" s="41">
        <f t="shared" ca="1" si="6"/>
        <v>0.46340368619678074</v>
      </c>
      <c r="U47" s="41">
        <f t="shared" ca="1" si="7"/>
        <v>3.5811496458059665E-2</v>
      </c>
      <c r="V47" s="41">
        <f t="shared" ca="1" si="8"/>
        <v>12.940081594732913</v>
      </c>
      <c r="W47" s="20">
        <f t="shared" ca="1" si="9"/>
        <v>1273.7837957482859</v>
      </c>
      <c r="X47" s="41">
        <f t="shared" si="10"/>
        <v>0.59353424494311113</v>
      </c>
      <c r="Y47" s="41">
        <f t="shared" ca="1" si="11"/>
        <v>173.80882305449896</v>
      </c>
      <c r="Z47" s="14">
        <f t="shared" ca="1" si="12"/>
        <v>1331.239553061105</v>
      </c>
      <c r="AA47" s="14">
        <f t="shared" si="13"/>
        <v>6280</v>
      </c>
      <c r="AB47" s="25">
        <f t="shared" ca="1" si="14"/>
        <v>492558.63463260885</v>
      </c>
      <c r="AC47" s="41">
        <f t="shared" si="15"/>
        <v>2323600</v>
      </c>
      <c r="AD47" s="5">
        <v>100</v>
      </c>
      <c r="AE47" s="41">
        <f t="shared" si="16"/>
        <v>6280</v>
      </c>
      <c r="AF47" s="41">
        <f t="shared" ca="1" si="17"/>
        <v>4948.7604469388953</v>
      </c>
      <c r="AG47" s="41">
        <f t="shared" ca="1" si="18"/>
        <v>1831041.3653673911</v>
      </c>
      <c r="AH47" s="41">
        <f t="shared" si="19"/>
        <v>4427.3999999999996</v>
      </c>
      <c r="AI47" s="13">
        <f t="shared" ca="1" si="20"/>
        <v>107.52714088882799</v>
      </c>
      <c r="AJ47" s="10">
        <f t="shared" ca="1" si="21"/>
        <v>16.894712547325419</v>
      </c>
      <c r="AK47" s="11">
        <f t="shared" ca="1" si="41"/>
        <v>6451.6284533296794</v>
      </c>
      <c r="AL47" s="6">
        <v>10000</v>
      </c>
      <c r="AM47" s="41">
        <f t="shared" ca="1" si="22"/>
        <v>92.999775845792939</v>
      </c>
      <c r="AN47" s="41">
        <f t="shared" ca="1" si="23"/>
        <v>114.37422432768435</v>
      </c>
      <c r="AO47" s="41">
        <f t="shared" ca="1" si="24"/>
        <v>5.4187268440284875</v>
      </c>
      <c r="AP47" s="67">
        <f t="shared" si="42"/>
        <v>0.70499999999999996</v>
      </c>
      <c r="AQ47" s="11">
        <f t="shared" si="25"/>
        <v>1.0520562207183759</v>
      </c>
      <c r="AR47" s="11">
        <f t="shared" si="26"/>
        <v>1</v>
      </c>
      <c r="AS47" s="11">
        <f t="shared" si="27"/>
        <v>0.95051954477981193</v>
      </c>
      <c r="AT47" s="11">
        <f t="shared" si="28"/>
        <v>545.66999999999996</v>
      </c>
      <c r="AU47" s="11">
        <f t="shared" si="29"/>
        <v>2116.2199999999998</v>
      </c>
      <c r="AV47" s="11">
        <f t="shared" si="30"/>
        <v>2.259289905987135E-3</v>
      </c>
      <c r="AW47" s="11">
        <f t="shared" si="31"/>
        <v>3.8865391239478742E-7</v>
      </c>
      <c r="AX47" s="41">
        <f t="shared" ca="1" si="32"/>
        <v>106.29306448074101</v>
      </c>
      <c r="AY47" s="11">
        <f t="shared" ca="1" si="33"/>
        <v>610.95614175180037</v>
      </c>
      <c r="AZ47" s="11"/>
      <c r="BA47" s="11"/>
    </row>
    <row r="48" spans="1:53" ht="14.5">
      <c r="A48" s="41">
        <f t="shared" ca="1" si="34"/>
        <v>2827.6356716648243</v>
      </c>
      <c r="B48" s="41">
        <f t="shared" ca="1" si="45"/>
        <v>47.127261194413741</v>
      </c>
      <c r="C48" s="41">
        <f t="shared" ca="1" si="45"/>
        <v>0.78545435324022905</v>
      </c>
      <c r="D48" s="41">
        <f t="shared" ca="1" si="43"/>
        <v>17226.348438746474</v>
      </c>
      <c r="E48" s="41">
        <f t="shared" ca="1" si="36"/>
        <v>136.03581135170066</v>
      </c>
      <c r="F48" s="41">
        <f t="shared" ca="1" si="37"/>
        <v>136.03581135170066</v>
      </c>
      <c r="G48" s="41"/>
      <c r="H48" s="5">
        <v>0</v>
      </c>
      <c r="I48" s="5">
        <v>15</v>
      </c>
      <c r="J48" s="41">
        <f t="shared" si="38"/>
        <v>0.33323558422862631</v>
      </c>
      <c r="K48" s="41">
        <f t="shared" si="44"/>
        <v>375</v>
      </c>
      <c r="L48" s="6">
        <f t="shared" si="39"/>
        <v>40.874999999999986</v>
      </c>
      <c r="M48" s="41">
        <f t="shared" si="0"/>
        <v>222.1815</v>
      </c>
      <c r="N48" s="41">
        <f t="shared" si="1"/>
        <v>158.85632151472043</v>
      </c>
      <c r="O48" s="41">
        <f t="shared" si="2"/>
        <v>2179918.1424026713</v>
      </c>
      <c r="P48" s="41">
        <f t="shared" si="3"/>
        <v>13996606.268188447</v>
      </c>
      <c r="Q48" s="41">
        <f t="shared" si="4"/>
        <v>2.8186876736798713E-3</v>
      </c>
      <c r="R48" s="41">
        <f t="shared" si="5"/>
        <v>2.2208088247815613E-2</v>
      </c>
      <c r="S48" s="24">
        <f t="shared" ca="1" si="40"/>
        <v>16.869038275399333</v>
      </c>
      <c r="T48" s="41">
        <f t="shared" ca="1" si="6"/>
        <v>0.45118998994246712</v>
      </c>
      <c r="U48" s="41">
        <f t="shared" ca="1" si="7"/>
        <v>3.5065054460129107E-2</v>
      </c>
      <c r="V48" s="41">
        <f t="shared" ca="1" si="8"/>
        <v>12.867226270972855</v>
      </c>
      <c r="W48" s="20">
        <f t="shared" ca="1" si="9"/>
        <v>1281.1702800073738</v>
      </c>
      <c r="X48" s="41">
        <f t="shared" si="10"/>
        <v>0.59298784567952256</v>
      </c>
      <c r="Y48" s="41">
        <f t="shared" ca="1" si="11"/>
        <v>173.82064146105623</v>
      </c>
      <c r="Z48" s="14">
        <f t="shared" ca="1" si="12"/>
        <v>1338.7771440382107</v>
      </c>
      <c r="AA48" s="14">
        <f t="shared" si="13"/>
        <v>6280</v>
      </c>
      <c r="AB48" s="25">
        <f t="shared" ca="1" si="14"/>
        <v>502041.42901432904</v>
      </c>
      <c r="AC48" s="41">
        <f t="shared" si="15"/>
        <v>2355000</v>
      </c>
      <c r="AD48" s="5">
        <v>100</v>
      </c>
      <c r="AE48" s="41">
        <f t="shared" si="16"/>
        <v>6280</v>
      </c>
      <c r="AF48" s="41">
        <f t="shared" ca="1" si="17"/>
        <v>4941.2228559617888</v>
      </c>
      <c r="AG48" s="41">
        <f t="shared" ca="1" si="18"/>
        <v>1852958.5709856709</v>
      </c>
      <c r="AH48" s="41">
        <f t="shared" si="19"/>
        <v>4427.3999999999996</v>
      </c>
      <c r="AI48" s="13">
        <f t="shared" ca="1" si="20"/>
        <v>108.81941414704387</v>
      </c>
      <c r="AJ48" s="10">
        <f t="shared" ca="1" si="21"/>
        <v>16.869038275399333</v>
      </c>
      <c r="AK48" s="11">
        <f t="shared" ca="1" si="41"/>
        <v>6529.1648488226319</v>
      </c>
      <c r="AL48" s="6">
        <v>10000</v>
      </c>
      <c r="AM48" s="41">
        <f t="shared" ca="1" si="22"/>
        <v>91.895367002135757</v>
      </c>
      <c r="AN48" s="41">
        <f t="shared" ca="1" si="23"/>
        <v>113.01598551812663</v>
      </c>
      <c r="AO48" s="41">
        <f t="shared" ca="1" si="24"/>
        <v>5.4274718100390915</v>
      </c>
      <c r="AP48" s="67">
        <f t="shared" si="42"/>
        <v>0.70499999999999996</v>
      </c>
      <c r="AQ48" s="11">
        <f t="shared" si="25"/>
        <v>1.0520562207183759</v>
      </c>
      <c r="AR48" s="11">
        <f t="shared" si="26"/>
        <v>1</v>
      </c>
      <c r="AS48" s="11">
        <f t="shared" si="27"/>
        <v>0.95051954477981193</v>
      </c>
      <c r="AT48" s="11">
        <f t="shared" si="28"/>
        <v>545.66999999999996</v>
      </c>
      <c r="AU48" s="11">
        <f t="shared" si="29"/>
        <v>2116.2199999999998</v>
      </c>
      <c r="AV48" s="11">
        <f t="shared" si="30"/>
        <v>2.259289905987135E-3</v>
      </c>
      <c r="AW48" s="11">
        <f t="shared" si="31"/>
        <v>3.8865391239478742E-7</v>
      </c>
      <c r="AX48" s="41">
        <f t="shared" ca="1" si="32"/>
        <v>107.56537159192089</v>
      </c>
      <c r="AY48" s="11">
        <f t="shared" ca="1" si="33"/>
        <v>611.50278509298403</v>
      </c>
      <c r="AZ48" s="11"/>
      <c r="BA48" s="11"/>
    </row>
    <row r="49" spans="1:53" ht="14.5">
      <c r="A49" s="41">
        <f t="shared" ca="1" si="34"/>
        <v>2919.5310386669598</v>
      </c>
      <c r="B49" s="41">
        <f t="shared" ca="1" si="45"/>
        <v>48.658850644449331</v>
      </c>
      <c r="C49" s="41">
        <f t="shared" ca="1" si="45"/>
        <v>0.81098084407415549</v>
      </c>
      <c r="D49" s="41">
        <f t="shared" ca="1" si="43"/>
        <v>17226.348438746474</v>
      </c>
      <c r="E49" s="41">
        <f t="shared" ca="1" si="36"/>
        <v>141.46328316173975</v>
      </c>
      <c r="F49" s="41">
        <f t="shared" ca="1" si="37"/>
        <v>141.46328316173975</v>
      </c>
      <c r="G49" s="41"/>
      <c r="H49" s="5">
        <v>0</v>
      </c>
      <c r="I49" s="5">
        <v>15</v>
      </c>
      <c r="J49" s="41">
        <f t="shared" si="38"/>
        <v>0.33767872535167465</v>
      </c>
      <c r="K49" s="41">
        <f t="shared" si="44"/>
        <v>380</v>
      </c>
      <c r="L49" s="6">
        <f t="shared" si="39"/>
        <v>42.109999999999985</v>
      </c>
      <c r="M49" s="41">
        <f t="shared" si="0"/>
        <v>225.14392000000001</v>
      </c>
      <c r="N49" s="41">
        <f t="shared" si="1"/>
        <v>163.12073121227115</v>
      </c>
      <c r="O49" s="41">
        <f t="shared" si="2"/>
        <v>2208983.7176347068</v>
      </c>
      <c r="P49" s="41">
        <f t="shared" si="3"/>
        <v>14183227.685097625</v>
      </c>
      <c r="Q49" s="41">
        <f t="shared" si="4"/>
        <v>2.8120699756649802E-3</v>
      </c>
      <c r="R49" s="41">
        <f t="shared" si="5"/>
        <v>2.2167687201434704E-2</v>
      </c>
      <c r="S49" s="24">
        <f t="shared" ca="1" si="40"/>
        <v>16.840810768935896</v>
      </c>
      <c r="T49" s="41">
        <f t="shared" ca="1" si="6"/>
        <v>0.43946027235130652</v>
      </c>
      <c r="U49" s="41">
        <f t="shared" ca="1" si="7"/>
        <v>3.4364850320856538E-2</v>
      </c>
      <c r="V49" s="41">
        <f t="shared" ca="1" si="8"/>
        <v>12.788074682362041</v>
      </c>
      <c r="W49" s="20">
        <f t="shared" ca="1" si="9"/>
        <v>1289.2924878378249</v>
      </c>
      <c r="X49" s="41">
        <f t="shared" si="10"/>
        <v>0.59244821716828788</v>
      </c>
      <c r="Y49" s="41">
        <f t="shared" ca="1" si="11"/>
        <v>173.83361410861036</v>
      </c>
      <c r="Z49" s="14">
        <f t="shared" ca="1" si="12"/>
        <v>1347.0634842714771</v>
      </c>
      <c r="AA49" s="14">
        <f t="shared" si="13"/>
        <v>6280</v>
      </c>
      <c r="AB49" s="25">
        <f t="shared" ca="1" si="14"/>
        <v>511884.1240231613</v>
      </c>
      <c r="AC49" s="41">
        <f t="shared" si="15"/>
        <v>2386400</v>
      </c>
      <c r="AD49" s="5">
        <v>100</v>
      </c>
      <c r="AE49" s="41">
        <f t="shared" si="16"/>
        <v>6280</v>
      </c>
      <c r="AF49" s="41">
        <f t="shared" ca="1" si="17"/>
        <v>4932.9365157285229</v>
      </c>
      <c r="AG49" s="41">
        <f t="shared" ca="1" si="18"/>
        <v>1874515.8759768386</v>
      </c>
      <c r="AH49" s="41">
        <f t="shared" si="19"/>
        <v>4427.3999999999996</v>
      </c>
      <c r="AI49" s="13">
        <f t="shared" ca="1" si="20"/>
        <v>110.09117001000524</v>
      </c>
      <c r="AJ49" s="10">
        <f t="shared" ca="1" si="21"/>
        <v>16.840810768935896</v>
      </c>
      <c r="AK49" s="11">
        <f t="shared" ca="1" si="41"/>
        <v>6605.4702006003145</v>
      </c>
      <c r="AL49" s="6">
        <v>10000</v>
      </c>
      <c r="AM49" s="41">
        <f t="shared" ca="1" si="22"/>
        <v>90.833806190734336</v>
      </c>
      <c r="AN49" s="41">
        <f t="shared" ca="1" si="23"/>
        <v>111.71044264690477</v>
      </c>
      <c r="AO49" s="41">
        <f t="shared" ca="1" si="24"/>
        <v>5.4371163159839559</v>
      </c>
      <c r="AP49" s="67">
        <f t="shared" si="42"/>
        <v>0.70499999999999996</v>
      </c>
      <c r="AQ49" s="11">
        <f t="shared" si="25"/>
        <v>1.0520562207183759</v>
      </c>
      <c r="AR49" s="11">
        <f t="shared" si="26"/>
        <v>1</v>
      </c>
      <c r="AS49" s="11">
        <f t="shared" si="27"/>
        <v>0.95051954477981193</v>
      </c>
      <c r="AT49" s="11">
        <f t="shared" si="28"/>
        <v>545.66999999999996</v>
      </c>
      <c r="AU49" s="11">
        <f t="shared" si="29"/>
        <v>2116.2199999999998</v>
      </c>
      <c r="AV49" s="11">
        <f t="shared" si="30"/>
        <v>2.259289905987135E-3</v>
      </c>
      <c r="AW49" s="11">
        <f t="shared" si="31"/>
        <v>3.8865391239478742E-7</v>
      </c>
      <c r="AX49" s="41">
        <f t="shared" ca="1" si="32"/>
        <v>108.81678625288757</v>
      </c>
      <c r="AY49" s="11">
        <f t="shared" ca="1" si="33"/>
        <v>612.0436569761348</v>
      </c>
      <c r="AZ49" s="11"/>
      <c r="BA49" s="11"/>
    </row>
    <row r="50" spans="1:53" ht="14.5">
      <c r="A50" s="41">
        <f t="shared" ca="1" si="34"/>
        <v>3010.3648448576942</v>
      </c>
      <c r="B50" s="41">
        <f t="shared" ca="1" si="45"/>
        <v>50.172747414294903</v>
      </c>
      <c r="C50" s="41">
        <f t="shared" ca="1" si="45"/>
        <v>0.83621245690491508</v>
      </c>
      <c r="D50" s="41">
        <f t="shared" ca="1" si="43"/>
        <v>17226.348438746474</v>
      </c>
      <c r="E50" s="41">
        <f t="shared" ca="1" si="36"/>
        <v>146.90039947772371</v>
      </c>
      <c r="F50" s="41">
        <f t="shared" ca="1" si="37"/>
        <v>146.90039947772371</v>
      </c>
      <c r="G50" s="41"/>
      <c r="H50" s="5">
        <v>0</v>
      </c>
      <c r="I50" s="5">
        <v>15</v>
      </c>
      <c r="J50" s="41">
        <f t="shared" si="38"/>
        <v>0.34212186647472298</v>
      </c>
      <c r="K50" s="41">
        <f t="shared" si="44"/>
        <v>385</v>
      </c>
      <c r="L50" s="6">
        <f t="shared" si="39"/>
        <v>43.344999999999985</v>
      </c>
      <c r="M50" s="41">
        <f t="shared" si="0"/>
        <v>228.10634000000002</v>
      </c>
      <c r="N50" s="41">
        <f t="shared" si="1"/>
        <v>167.44162315747155</v>
      </c>
      <c r="O50" s="41">
        <f t="shared" si="2"/>
        <v>2238049.2928667432</v>
      </c>
      <c r="P50" s="41">
        <f t="shared" si="3"/>
        <v>14369849.102006808</v>
      </c>
      <c r="Q50" s="41">
        <f t="shared" si="4"/>
        <v>2.8055386702243576E-3</v>
      </c>
      <c r="R50" s="41">
        <f t="shared" si="5"/>
        <v>2.2127813581719703E-2</v>
      </c>
      <c r="S50" s="24">
        <f t="shared" ca="1" si="40"/>
        <v>16.810126889402579</v>
      </c>
      <c r="T50" s="41">
        <f t="shared" ca="1" si="6"/>
        <v>0.42818917874237661</v>
      </c>
      <c r="U50" s="41">
        <f t="shared" ca="1" si="7"/>
        <v>3.3707344480866624E-2</v>
      </c>
      <c r="V50" s="41">
        <f t="shared" ca="1" si="8"/>
        <v>12.703141862315217</v>
      </c>
      <c r="W50" s="20">
        <f t="shared" ca="1" si="9"/>
        <v>1298.1228686070001</v>
      </c>
      <c r="X50" s="41">
        <f t="shared" si="10"/>
        <v>0.59191515101846204</v>
      </c>
      <c r="Y50" s="41">
        <f t="shared" ca="1" si="11"/>
        <v>173.84769061710142</v>
      </c>
      <c r="Z50" s="14">
        <f t="shared" ca="1" si="12"/>
        <v>1356.0699097480501</v>
      </c>
      <c r="AA50" s="14">
        <f t="shared" si="13"/>
        <v>6280</v>
      </c>
      <c r="AB50" s="25">
        <f t="shared" ca="1" si="14"/>
        <v>522086.91525299929</v>
      </c>
      <c r="AC50" s="41">
        <f t="shared" si="15"/>
        <v>2417800</v>
      </c>
      <c r="AD50" s="5">
        <v>100</v>
      </c>
      <c r="AE50" s="41">
        <f t="shared" si="16"/>
        <v>6280</v>
      </c>
      <c r="AF50" s="41">
        <f t="shared" ca="1" si="17"/>
        <v>4923.9300902519499</v>
      </c>
      <c r="AG50" s="41">
        <f t="shared" ca="1" si="18"/>
        <v>1895713.0847470006</v>
      </c>
      <c r="AH50" s="41">
        <f t="shared" si="19"/>
        <v>4427.3999999999996</v>
      </c>
      <c r="AI50" s="13">
        <f t="shared" ca="1" si="20"/>
        <v>111.34238358212819</v>
      </c>
      <c r="AJ50" s="10">
        <f t="shared" ca="1" si="21"/>
        <v>16.810126889402579</v>
      </c>
      <c r="AK50" s="11">
        <f t="shared" ca="1" si="41"/>
        <v>6680.5430149276917</v>
      </c>
      <c r="AL50" s="6">
        <v>10000</v>
      </c>
      <c r="AM50" s="41">
        <f t="shared" ca="1" si="22"/>
        <v>89.81305840847044</v>
      </c>
      <c r="AN50" s="41">
        <f t="shared" ca="1" si="23"/>
        <v>110.45509299935055</v>
      </c>
      <c r="AO50" s="41">
        <f t="shared" ca="1" si="24"/>
        <v>5.4476357667746642</v>
      </c>
      <c r="AP50" s="67">
        <f t="shared" si="42"/>
        <v>0.70499999999999996</v>
      </c>
      <c r="AQ50" s="11">
        <f t="shared" si="25"/>
        <v>1.0520562207183759</v>
      </c>
      <c r="AR50" s="11">
        <f t="shared" si="26"/>
        <v>1</v>
      </c>
      <c r="AS50" s="11">
        <f t="shared" si="27"/>
        <v>0.95051954477981193</v>
      </c>
      <c r="AT50" s="11">
        <f t="shared" si="28"/>
        <v>545.66999999999996</v>
      </c>
      <c r="AU50" s="11">
        <f t="shared" si="29"/>
        <v>2116.2199999999998</v>
      </c>
      <c r="AV50" s="11">
        <f t="shared" si="30"/>
        <v>2.259289905987135E-3</v>
      </c>
      <c r="AW50" s="11">
        <f t="shared" si="31"/>
        <v>3.8865391239478742E-7</v>
      </c>
      <c r="AX50" s="41">
        <f t="shared" ca="1" si="32"/>
        <v>110.04729710929658</v>
      </c>
      <c r="AY50" s="11">
        <f t="shared" ca="1" si="33"/>
        <v>612.57893203133983</v>
      </c>
      <c r="AZ50" s="11"/>
      <c r="BA50" s="11"/>
    </row>
    <row r="51" spans="1:53" ht="14.5">
      <c r="A51" s="41">
        <f t="shared" ca="1" si="34"/>
        <v>3100.1779032661648</v>
      </c>
      <c r="B51" s="41">
        <f t="shared" ca="1" si="45"/>
        <v>51.669631721102746</v>
      </c>
      <c r="C51" s="41">
        <f t="shared" ca="1" si="45"/>
        <v>0.86116052868504578</v>
      </c>
      <c r="D51" s="41">
        <f t="shared" ca="1" si="43"/>
        <v>17226.348438746474</v>
      </c>
      <c r="E51" s="41">
        <f t="shared" ca="1" si="36"/>
        <v>152.34803524449836</v>
      </c>
      <c r="F51" s="41">
        <f t="shared" ca="1" si="37"/>
        <v>152.34803524449836</v>
      </c>
      <c r="G51" s="41"/>
      <c r="H51" s="5">
        <v>0</v>
      </c>
      <c r="I51" s="5">
        <v>15</v>
      </c>
      <c r="J51" s="41">
        <f t="shared" si="38"/>
        <v>0.34656500759777137</v>
      </c>
      <c r="K51" s="41">
        <f t="shared" si="44"/>
        <v>390</v>
      </c>
      <c r="L51" s="6">
        <f t="shared" si="39"/>
        <v>44.579999999999984</v>
      </c>
      <c r="M51" s="41">
        <f t="shared" si="0"/>
        <v>231.06876</v>
      </c>
      <c r="N51" s="41">
        <f t="shared" si="1"/>
        <v>171.81899735032161</v>
      </c>
      <c r="O51" s="41">
        <f t="shared" si="2"/>
        <v>2267114.8680987787</v>
      </c>
      <c r="P51" s="41">
        <f t="shared" si="3"/>
        <v>14556470.518915987</v>
      </c>
      <c r="Q51" s="41">
        <f t="shared" si="4"/>
        <v>2.799091095549623E-3</v>
      </c>
      <c r="R51" s="41">
        <f t="shared" si="5"/>
        <v>2.2088451138330446E-2</v>
      </c>
      <c r="S51" s="24">
        <f t="shared" ca="1" si="40"/>
        <v>16.777077369320207</v>
      </c>
      <c r="T51" s="41">
        <f t="shared" ca="1" si="6"/>
        <v>0.41735299625170946</v>
      </c>
      <c r="U51" s="41">
        <f t="shared" ca="1" si="7"/>
        <v>3.3089311760175565E-2</v>
      </c>
      <c r="V51" s="41">
        <f t="shared" ca="1" si="8"/>
        <v>12.612924659074114</v>
      </c>
      <c r="W51" s="20">
        <f t="shared" ca="1" si="9"/>
        <v>1307.6356450184812</v>
      </c>
      <c r="X51" s="41">
        <f t="shared" si="10"/>
        <v>0.59138844743518149</v>
      </c>
      <c r="Y51" s="41">
        <f t="shared" ca="1" si="11"/>
        <v>173.86282322551085</v>
      </c>
      <c r="Z51" s="14">
        <f t="shared" ca="1" si="12"/>
        <v>1365.7695502330084</v>
      </c>
      <c r="AA51" s="14">
        <f t="shared" si="13"/>
        <v>6280</v>
      </c>
      <c r="AB51" s="25">
        <f t="shared" ca="1" si="14"/>
        <v>532650.12459087325</v>
      </c>
      <c r="AC51" s="41">
        <f t="shared" si="15"/>
        <v>2449200</v>
      </c>
      <c r="AD51" s="5">
        <v>100</v>
      </c>
      <c r="AE51" s="41">
        <f t="shared" si="16"/>
        <v>6280</v>
      </c>
      <c r="AF51" s="41">
        <f t="shared" ca="1" si="17"/>
        <v>4914.230449766992</v>
      </c>
      <c r="AG51" s="41">
        <f t="shared" ca="1" si="18"/>
        <v>1916549.8754091267</v>
      </c>
      <c r="AH51" s="41">
        <f t="shared" si="19"/>
        <v>4427.3999999999996</v>
      </c>
      <c r="AI51" s="13">
        <f t="shared" ca="1" si="20"/>
        <v>112.57302180658233</v>
      </c>
      <c r="AJ51" s="10">
        <f t="shared" ca="1" si="21"/>
        <v>16.777077369320207</v>
      </c>
      <c r="AK51" s="11">
        <f t="shared" ca="1" si="41"/>
        <v>6754.3813083949399</v>
      </c>
      <c r="AL51" s="6">
        <v>10000</v>
      </c>
      <c r="AM51" s="41">
        <f t="shared" ca="1" si="22"/>
        <v>88.831230071993005</v>
      </c>
      <c r="AN51" s="41">
        <f t="shared" ca="1" si="23"/>
        <v>109.24760778353939</v>
      </c>
      <c r="AO51" s="41">
        <f t="shared" ca="1" si="24"/>
        <v>5.4590080358037385</v>
      </c>
      <c r="AP51" s="67">
        <f t="shared" si="42"/>
        <v>0.70499999999999996</v>
      </c>
      <c r="AQ51" s="11">
        <f t="shared" si="25"/>
        <v>1.0520562207183759</v>
      </c>
      <c r="AR51" s="11">
        <f t="shared" si="26"/>
        <v>1</v>
      </c>
      <c r="AS51" s="11">
        <f t="shared" si="27"/>
        <v>0.95051954477981193</v>
      </c>
      <c r="AT51" s="11">
        <f t="shared" si="28"/>
        <v>545.66999999999996</v>
      </c>
      <c r="AU51" s="11">
        <f t="shared" si="29"/>
        <v>2116.2199999999998</v>
      </c>
      <c r="AV51" s="11">
        <f t="shared" si="30"/>
        <v>2.259289905987135E-3</v>
      </c>
      <c r="AW51" s="11">
        <f t="shared" si="31"/>
        <v>3.8865391239478742E-7</v>
      </c>
      <c r="AX51" s="41">
        <f t="shared" ca="1" si="32"/>
        <v>111.25688547541014</v>
      </c>
      <c r="AY51" s="11">
        <f t="shared" ca="1" si="33"/>
        <v>613.10877802281709</v>
      </c>
      <c r="AZ51" s="11"/>
      <c r="BA51" s="11"/>
    </row>
    <row r="52" spans="1:53" ht="14.5">
      <c r="A52" s="41">
        <f t="shared" ca="1" si="34"/>
        <v>3189.0091333381579</v>
      </c>
      <c r="B52" s="41">
        <f t="shared" ca="1" si="45"/>
        <v>53.15015222230263</v>
      </c>
      <c r="C52" s="41">
        <f t="shared" ca="1" si="45"/>
        <v>0.88583587037171052</v>
      </c>
      <c r="D52" s="41">
        <f t="shared" ca="1" si="43"/>
        <v>17226.348438746474</v>
      </c>
      <c r="E52" s="41">
        <f t="shared" ca="1" si="36"/>
        <v>157.80704328030211</v>
      </c>
      <c r="F52" s="41">
        <f t="shared" ca="1" si="37"/>
        <v>157.80704328030211</v>
      </c>
      <c r="G52" s="41"/>
      <c r="H52" s="5">
        <v>0</v>
      </c>
      <c r="I52" s="5">
        <v>15</v>
      </c>
      <c r="J52" s="41">
        <f t="shared" si="38"/>
        <v>0.3510081487208197</v>
      </c>
      <c r="K52" s="41">
        <f t="shared" si="44"/>
        <v>395</v>
      </c>
      <c r="L52" s="6">
        <f t="shared" si="39"/>
        <v>45.814999999999984</v>
      </c>
      <c r="M52" s="41">
        <f t="shared" si="0"/>
        <v>234.03118000000001</v>
      </c>
      <c r="N52" s="41">
        <f t="shared" si="1"/>
        <v>176.25285379082138</v>
      </c>
      <c r="O52" s="41">
        <f t="shared" si="2"/>
        <v>2296180.4433308137</v>
      </c>
      <c r="P52" s="41">
        <f t="shared" si="3"/>
        <v>14743091.935825162</v>
      </c>
      <c r="Q52" s="41">
        <f t="shared" si="4"/>
        <v>2.7927247006236948E-3</v>
      </c>
      <c r="R52" s="41">
        <f t="shared" si="5"/>
        <v>2.2049584297307658E-2</v>
      </c>
      <c r="S52" s="24">
        <f t="shared" ca="1" si="40"/>
        <v>16.741747285877473</v>
      </c>
      <c r="T52" s="41">
        <f t="shared" ca="1" si="6"/>
        <v>0.40692952771657015</v>
      </c>
      <c r="U52" s="41">
        <f t="shared" ca="1" si="7"/>
        <v>3.2507809743604753E-2</v>
      </c>
      <c r="V52" s="41">
        <f t="shared" ca="1" si="8"/>
        <v>12.517900496099255</v>
      </c>
      <c r="W52" s="20">
        <f t="shared" ca="1" si="9"/>
        <v>1317.8066746938637</v>
      </c>
      <c r="X52" s="41">
        <f t="shared" si="10"/>
        <v>0.59086791476384826</v>
      </c>
      <c r="Y52" s="41">
        <f t="shared" ca="1" si="11"/>
        <v>173.87896661043641</v>
      </c>
      <c r="Z52" s="14">
        <f t="shared" ca="1" si="12"/>
        <v>1376.1371920246877</v>
      </c>
      <c r="AA52" s="14">
        <f t="shared" si="13"/>
        <v>6280</v>
      </c>
      <c r="AB52" s="25">
        <f t="shared" ca="1" si="14"/>
        <v>543574.19084975158</v>
      </c>
      <c r="AC52" s="41">
        <f t="shared" si="15"/>
        <v>2480600</v>
      </c>
      <c r="AD52" s="5">
        <v>100</v>
      </c>
      <c r="AE52" s="41">
        <f t="shared" si="16"/>
        <v>6280</v>
      </c>
      <c r="AF52" s="41">
        <f t="shared" ca="1" si="17"/>
        <v>4903.8628079753125</v>
      </c>
      <c r="AG52" s="41">
        <f t="shared" ca="1" si="18"/>
        <v>1937025.8091502483</v>
      </c>
      <c r="AH52" s="41">
        <f t="shared" si="19"/>
        <v>4427.3999999999996</v>
      </c>
      <c r="AI52" s="13">
        <f t="shared" ca="1" si="20"/>
        <v>113.78304406563795</v>
      </c>
      <c r="AJ52" s="10">
        <f t="shared" ca="1" si="21"/>
        <v>16.741747285877473</v>
      </c>
      <c r="AK52" s="11">
        <f t="shared" ca="1" si="41"/>
        <v>6826.9826439382769</v>
      </c>
      <c r="AL52" s="6">
        <v>10000</v>
      </c>
      <c r="AM52" s="41">
        <f t="shared" ca="1" si="22"/>
        <v>87.886557106270658</v>
      </c>
      <c r="AN52" s="41">
        <f t="shared" ca="1" si="23"/>
        <v>108.08581748119519</v>
      </c>
      <c r="AO52" s="41">
        <f t="shared" ca="1" si="24"/>
        <v>5.4712132655673322</v>
      </c>
      <c r="AP52" s="67">
        <f t="shared" si="42"/>
        <v>0.70499999999999996</v>
      </c>
      <c r="AQ52" s="11">
        <f t="shared" si="25"/>
        <v>1.0520562207183759</v>
      </c>
      <c r="AR52" s="11">
        <f t="shared" si="26"/>
        <v>1</v>
      </c>
      <c r="AS52" s="11">
        <f t="shared" si="27"/>
        <v>0.95051954477981193</v>
      </c>
      <c r="AT52" s="11">
        <f t="shared" si="28"/>
        <v>545.66999999999996</v>
      </c>
      <c r="AU52" s="11">
        <f t="shared" si="29"/>
        <v>2116.2199999999998</v>
      </c>
      <c r="AV52" s="11">
        <f t="shared" si="30"/>
        <v>2.259289905987135E-3</v>
      </c>
      <c r="AW52" s="11">
        <f t="shared" si="31"/>
        <v>3.8865391239478742E-7</v>
      </c>
      <c r="AX52" s="41">
        <f t="shared" ca="1" si="32"/>
        <v>112.44552587786862</v>
      </c>
      <c r="AY52" s="11">
        <f t="shared" ca="1" si="33"/>
        <v>613.63335620023838</v>
      </c>
      <c r="AZ52" s="11"/>
      <c r="BA52" s="11"/>
    </row>
    <row r="53" spans="1:53" ht="14.5">
      <c r="A53" s="41">
        <f t="shared" ca="1" si="34"/>
        <v>3276.8956904444285</v>
      </c>
      <c r="B53" s="41">
        <f t="shared" ca="1" si="45"/>
        <v>54.61492817407381</v>
      </c>
      <c r="C53" s="41">
        <f t="shared" ca="1" si="45"/>
        <v>0.91024880290123023</v>
      </c>
      <c r="D53" s="41">
        <f t="shared" ca="1" si="43"/>
        <v>17226.348438746474</v>
      </c>
      <c r="E53" s="41">
        <f t="shared" ca="1" si="36"/>
        <v>163.27825654586945</v>
      </c>
      <c r="F53" s="41">
        <f t="shared" ca="1" si="37"/>
        <v>163.27825654586945</v>
      </c>
      <c r="G53" s="41"/>
      <c r="H53" s="5">
        <v>0</v>
      </c>
      <c r="I53" s="5">
        <v>15</v>
      </c>
      <c r="J53" s="41">
        <f t="shared" si="38"/>
        <v>0.35545128984386803</v>
      </c>
      <c r="K53" s="41">
        <f t="shared" si="44"/>
        <v>400</v>
      </c>
      <c r="L53" s="6">
        <f t="shared" si="39"/>
        <v>47.049999999999983</v>
      </c>
      <c r="M53" s="41">
        <f t="shared" si="0"/>
        <v>236.99360000000001</v>
      </c>
      <c r="N53" s="41">
        <f t="shared" si="1"/>
        <v>180.7431924789708</v>
      </c>
      <c r="O53" s="41">
        <f t="shared" si="2"/>
        <v>2325246.0185628496</v>
      </c>
      <c r="P53" s="41">
        <f t="shared" si="3"/>
        <v>14929713.352734344</v>
      </c>
      <c r="Q53" s="41">
        <f t="shared" si="4"/>
        <v>2.7864370393228081E-3</v>
      </c>
      <c r="R53" s="41">
        <f t="shared" si="5"/>
        <v>2.2011198125065745E-2</v>
      </c>
      <c r="S53" s="24">
        <f t="shared" ca="1" si="40"/>
        <v>16.704216492300827</v>
      </c>
      <c r="T53" s="41">
        <f t="shared" ca="1" si="6"/>
        <v>0.3968979767280274</v>
      </c>
      <c r="U53" s="41">
        <f t="shared" ca="1" si="7"/>
        <v>3.1960150704822339E-2</v>
      </c>
      <c r="V53" s="41">
        <f t="shared" ca="1" si="8"/>
        <v>12.418526445438227</v>
      </c>
      <c r="W53" s="20">
        <f t="shared" ca="1" si="9"/>
        <v>1328.6133242146823</v>
      </c>
      <c r="X53" s="41">
        <f t="shared" si="10"/>
        <v>0.59035336906393321</v>
      </c>
      <c r="Y53" s="41">
        <f t="shared" ca="1" si="11"/>
        <v>173.89607771869078</v>
      </c>
      <c r="Z53" s="14">
        <f t="shared" ca="1" si="12"/>
        <v>1387.1491528750848</v>
      </c>
      <c r="AA53" s="14">
        <f t="shared" si="13"/>
        <v>6280</v>
      </c>
      <c r="AB53" s="25">
        <f t="shared" ca="1" si="14"/>
        <v>554859.66115003393</v>
      </c>
      <c r="AC53" s="41">
        <f t="shared" si="15"/>
        <v>2512000</v>
      </c>
      <c r="AD53" s="5">
        <v>100</v>
      </c>
      <c r="AE53" s="41">
        <f t="shared" si="16"/>
        <v>6280</v>
      </c>
      <c r="AF53" s="41">
        <f t="shared" ca="1" si="17"/>
        <v>4892.8508471249152</v>
      </c>
      <c r="AG53" s="41">
        <f t="shared" ca="1" si="18"/>
        <v>1957140.3388499659</v>
      </c>
      <c r="AH53" s="41">
        <f t="shared" si="19"/>
        <v>4427.3999999999996</v>
      </c>
      <c r="AI53" s="13">
        <f t="shared" ca="1" si="20"/>
        <v>114.97240273274352</v>
      </c>
      <c r="AJ53" s="10">
        <f t="shared" ca="1" si="21"/>
        <v>16.704216492300827</v>
      </c>
      <c r="AK53" s="11">
        <f t="shared" ca="1" si="41"/>
        <v>6898.3441639646107</v>
      </c>
      <c r="AL53" s="6">
        <v>10000</v>
      </c>
      <c r="AM53" s="41">
        <f t="shared" ca="1" si="22"/>
        <v>86.977394246906997</v>
      </c>
      <c r="AN53" s="41">
        <f t="shared" ca="1" si="23"/>
        <v>106.9676986913211</v>
      </c>
      <c r="AO53" s="41">
        <f t="shared" ca="1" si="24"/>
        <v>5.4842336899930428</v>
      </c>
      <c r="AP53" s="67">
        <f t="shared" si="42"/>
        <v>0.70499999999999996</v>
      </c>
      <c r="AQ53" s="11">
        <f t="shared" si="25"/>
        <v>1.0520562207183759</v>
      </c>
      <c r="AR53" s="11">
        <f t="shared" si="26"/>
        <v>1</v>
      </c>
      <c r="AS53" s="11">
        <f t="shared" si="27"/>
        <v>0.95051954477981193</v>
      </c>
      <c r="AT53" s="11">
        <f t="shared" si="28"/>
        <v>545.66999999999996</v>
      </c>
      <c r="AU53" s="11">
        <f t="shared" si="29"/>
        <v>2116.2199999999998</v>
      </c>
      <c r="AV53" s="11">
        <f t="shared" si="30"/>
        <v>2.259289905987135E-3</v>
      </c>
      <c r="AW53" s="11">
        <f t="shared" si="31"/>
        <v>3.8865391239478742E-7</v>
      </c>
      <c r="AX53" s="41">
        <f t="shared" ca="1" si="32"/>
        <v>113.6131865560002</v>
      </c>
      <c r="AY53" s="11">
        <f t="shared" ca="1" si="33"/>
        <v>614.15282162785991</v>
      </c>
      <c r="AZ53" s="11"/>
      <c r="BA53" s="11"/>
    </row>
    <row r="54" spans="1:53" ht="14.5">
      <c r="A54" s="41">
        <f t="shared" ca="1" si="34"/>
        <v>3363.8730846913354</v>
      </c>
      <c r="B54" s="41">
        <f t="shared" ca="1" si="45"/>
        <v>56.06455141152226</v>
      </c>
      <c r="C54" s="41">
        <f t="shared" ca="1" si="45"/>
        <v>0.93440919019203761</v>
      </c>
      <c r="D54" s="41">
        <f t="shared" ca="1" si="43"/>
        <v>17226.348438746474</v>
      </c>
      <c r="E54" s="41">
        <f t="shared" ca="1" si="36"/>
        <v>168.76249023586249</v>
      </c>
      <c r="F54" s="41">
        <f t="shared" ca="1" si="37"/>
        <v>168.76249023586249</v>
      </c>
      <c r="G54" s="41"/>
      <c r="H54" s="5">
        <v>0</v>
      </c>
      <c r="I54" s="5">
        <v>15</v>
      </c>
      <c r="J54" s="41">
        <f t="shared" si="38"/>
        <v>0.35989443096691637</v>
      </c>
      <c r="K54" s="41">
        <f t="shared" si="44"/>
        <v>405</v>
      </c>
      <c r="L54" s="6">
        <f t="shared" si="39"/>
        <v>48.284999999999982</v>
      </c>
      <c r="M54" s="41">
        <f t="shared" si="0"/>
        <v>239.95602</v>
      </c>
      <c r="N54" s="41">
        <f t="shared" si="1"/>
        <v>185.2900134147699</v>
      </c>
      <c r="O54" s="41">
        <f t="shared" si="2"/>
        <v>2354311.5937948851</v>
      </c>
      <c r="P54" s="41">
        <f t="shared" si="3"/>
        <v>15116334.769643523</v>
      </c>
      <c r="Q54" s="41">
        <f t="shared" si="4"/>
        <v>2.780225764902174E-3</v>
      </c>
      <c r="R54" s="41">
        <f t="shared" si="5"/>
        <v>2.1973278294727772E-2</v>
      </c>
      <c r="S54" s="24">
        <f t="shared" ca="1" si="40"/>
        <v>16.66456001122943</v>
      </c>
      <c r="T54" s="41">
        <f t="shared" ca="1" si="6"/>
        <v>0.38723884273538717</v>
      </c>
      <c r="U54" s="41">
        <f t="shared" ca="1" si="7"/>
        <v>3.1443876633844951E-2</v>
      </c>
      <c r="V54" s="41">
        <f t="shared" ca="1" si="8"/>
        <v>12.315238583482373</v>
      </c>
      <c r="W54" s="20">
        <f t="shared" ca="1" si="9"/>
        <v>1340.0343543584252</v>
      </c>
      <c r="X54" s="41">
        <f t="shared" si="10"/>
        <v>0.58984463371013574</v>
      </c>
      <c r="Y54" s="41">
        <f t="shared" ca="1" si="11"/>
        <v>173.91411561275743</v>
      </c>
      <c r="Z54" s="14">
        <f t="shared" ca="1" si="12"/>
        <v>1398.7831678592938</v>
      </c>
      <c r="AA54" s="14">
        <f t="shared" si="13"/>
        <v>6280</v>
      </c>
      <c r="AB54" s="25">
        <f t="shared" ca="1" si="14"/>
        <v>566507.18298301403</v>
      </c>
      <c r="AC54" s="41">
        <f t="shared" si="15"/>
        <v>2543400</v>
      </c>
      <c r="AD54" s="5">
        <v>100</v>
      </c>
      <c r="AE54" s="41">
        <f t="shared" si="16"/>
        <v>6280</v>
      </c>
      <c r="AF54" s="41">
        <f t="shared" ca="1" si="17"/>
        <v>4881.2168321407062</v>
      </c>
      <c r="AG54" s="41">
        <f t="shared" ca="1" si="18"/>
        <v>1976892.817016986</v>
      </c>
      <c r="AH54" s="41">
        <f t="shared" si="19"/>
        <v>4427.3999999999996</v>
      </c>
      <c r="AI54" s="13">
        <f t="shared" ca="1" si="20"/>
        <v>116.14104368078276</v>
      </c>
      <c r="AJ54" s="10">
        <f t="shared" ca="1" si="21"/>
        <v>16.66456001122943</v>
      </c>
      <c r="AK54" s="11">
        <f t="shared" ca="1" si="41"/>
        <v>6968.4626208469654</v>
      </c>
      <c r="AL54" s="6">
        <v>10000</v>
      </c>
      <c r="AM54" s="41">
        <f t="shared" ca="1" si="22"/>
        <v>86.102205414007713</v>
      </c>
      <c r="AN54" s="41">
        <f t="shared" ca="1" si="23"/>
        <v>105.89136229166049</v>
      </c>
      <c r="AO54" s="41">
        <f t="shared" ca="1" si="24"/>
        <v>5.4980534759241593</v>
      </c>
      <c r="AP54" s="67">
        <f t="shared" si="42"/>
        <v>0.70499999999999996</v>
      </c>
      <c r="AQ54" s="11">
        <f t="shared" si="25"/>
        <v>1.0520562207183759</v>
      </c>
      <c r="AR54" s="11">
        <f t="shared" si="26"/>
        <v>1</v>
      </c>
      <c r="AS54" s="11">
        <f t="shared" si="27"/>
        <v>0.95051954477981193</v>
      </c>
      <c r="AT54" s="11">
        <f t="shared" si="28"/>
        <v>545.66999999999996</v>
      </c>
      <c r="AU54" s="11">
        <f t="shared" si="29"/>
        <v>2116.2199999999998</v>
      </c>
      <c r="AV54" s="11">
        <f t="shared" si="30"/>
        <v>2.259289905987135E-3</v>
      </c>
      <c r="AW54" s="11">
        <f t="shared" si="31"/>
        <v>3.8865391239478742E-7</v>
      </c>
      <c r="AX54" s="41">
        <f t="shared" ca="1" si="32"/>
        <v>114.75982992254163</v>
      </c>
      <c r="AY54" s="11">
        <f t="shared" ca="1" si="33"/>
        <v>614.66732349312031</v>
      </c>
      <c r="AZ54" s="11"/>
      <c r="BA54" s="11"/>
    </row>
    <row r="55" spans="1:53" ht="14.5">
      <c r="A55" s="41">
        <f t="shared" ca="1" si="34"/>
        <v>3449.975290105343</v>
      </c>
      <c r="B55" s="41">
        <f t="shared" ca="1" si="45"/>
        <v>57.499588168422385</v>
      </c>
      <c r="C55" s="41">
        <f t="shared" ca="1" si="45"/>
        <v>0.95832646947370637</v>
      </c>
      <c r="D55" s="41">
        <f t="shared" ca="1" si="43"/>
        <v>17226.348438746474</v>
      </c>
      <c r="E55" s="41">
        <f t="shared" ca="1" si="36"/>
        <v>174.26054371178665</v>
      </c>
      <c r="F55" s="41">
        <f t="shared" ca="1" si="37"/>
        <v>174.26054371178665</v>
      </c>
      <c r="G55" s="41"/>
      <c r="H55" s="5">
        <v>0</v>
      </c>
      <c r="I55" s="5">
        <v>15</v>
      </c>
      <c r="J55" s="41">
        <f t="shared" si="38"/>
        <v>0.36433757208996476</v>
      </c>
      <c r="K55" s="41">
        <f t="shared" si="44"/>
        <v>410</v>
      </c>
      <c r="L55" s="6">
        <f t="shared" si="39"/>
        <v>49.519999999999982</v>
      </c>
      <c r="M55" s="41">
        <f t="shared" si="0"/>
        <v>242.91844</v>
      </c>
      <c r="N55" s="41">
        <f t="shared" si="1"/>
        <v>189.89331659821869</v>
      </c>
      <c r="O55" s="41">
        <f t="shared" si="2"/>
        <v>2383377.1690269206</v>
      </c>
      <c r="P55" s="41">
        <f t="shared" si="3"/>
        <v>15302956.186552702</v>
      </c>
      <c r="Q55" s="41">
        <f t="shared" si="4"/>
        <v>2.7740886248358767E-3</v>
      </c>
      <c r="R55" s="41">
        <f t="shared" si="5"/>
        <v>2.1935811054623024E-2</v>
      </c>
      <c r="S55" s="24">
        <f t="shared" ca="1" si="40"/>
        <v>16.622848393870598</v>
      </c>
      <c r="T55" s="41">
        <f t="shared" ca="1" si="6"/>
        <v>0.37793382521001562</v>
      </c>
      <c r="U55" s="41">
        <f t="shared" ca="1" si="7"/>
        <v>3.095673699102305E-2</v>
      </c>
      <c r="V55" s="41">
        <f t="shared" ca="1" si="8"/>
        <v>12.208451598746027</v>
      </c>
      <c r="W55" s="20">
        <f t="shared" ca="1" si="9"/>
        <v>1352.0498154053494</v>
      </c>
      <c r="X55" s="41">
        <f t="shared" si="10"/>
        <v>0.58934153901882469</v>
      </c>
      <c r="Y55" s="41">
        <f t="shared" ca="1" si="11"/>
        <v>173.9330413280374</v>
      </c>
      <c r="Z55" s="14">
        <f t="shared" ca="1" si="12"/>
        <v>1411.0182851129011</v>
      </c>
      <c r="AA55" s="14">
        <f t="shared" si="13"/>
        <v>6280</v>
      </c>
      <c r="AB55" s="25">
        <f t="shared" ca="1" si="14"/>
        <v>578517.49689628952</v>
      </c>
      <c r="AC55" s="41">
        <f t="shared" si="15"/>
        <v>2574800</v>
      </c>
      <c r="AD55" s="5">
        <v>100</v>
      </c>
      <c r="AE55" s="41">
        <f t="shared" si="16"/>
        <v>6280</v>
      </c>
      <c r="AF55" s="41">
        <f t="shared" ca="1" si="17"/>
        <v>4868.9817148870989</v>
      </c>
      <c r="AG55" s="41">
        <f t="shared" ca="1" si="18"/>
        <v>1996282.5031037105</v>
      </c>
      <c r="AH55" s="41">
        <f t="shared" si="19"/>
        <v>4427.3999999999996</v>
      </c>
      <c r="AI55" s="13">
        <f t="shared" ca="1" si="20"/>
        <v>117.28890675050292</v>
      </c>
      <c r="AJ55" s="10">
        <f t="shared" ca="1" si="21"/>
        <v>16.622848393870598</v>
      </c>
      <c r="AK55" s="11">
        <f t="shared" ca="1" si="41"/>
        <v>7037.3344050301748</v>
      </c>
      <c r="AL55" s="6">
        <v>10000</v>
      </c>
      <c r="AM55" s="41">
        <f t="shared" ca="1" si="22"/>
        <v>85.259555034237039</v>
      </c>
      <c r="AN55" s="41">
        <f t="shared" ca="1" si="23"/>
        <v>104.85504276627252</v>
      </c>
      <c r="AO55" s="41">
        <f t="shared" ca="1" si="24"/>
        <v>5.5126585815540796</v>
      </c>
      <c r="AP55" s="67">
        <f t="shared" si="42"/>
        <v>0.70499999999999996</v>
      </c>
      <c r="AQ55" s="11">
        <f t="shared" si="25"/>
        <v>1.0520562207183759</v>
      </c>
      <c r="AR55" s="11">
        <f t="shared" si="26"/>
        <v>1</v>
      </c>
      <c r="AS55" s="11">
        <f t="shared" si="27"/>
        <v>0.95051954477981193</v>
      </c>
      <c r="AT55" s="11">
        <f t="shared" si="28"/>
        <v>545.66999999999996</v>
      </c>
      <c r="AU55" s="11">
        <f t="shared" si="29"/>
        <v>2116.2199999999998</v>
      </c>
      <c r="AV55" s="11">
        <f t="shared" si="30"/>
        <v>2.259289905987135E-3</v>
      </c>
      <c r="AW55" s="11">
        <f t="shared" si="31"/>
        <v>3.8865391239478742E-7</v>
      </c>
      <c r="AX55" s="41">
        <f t="shared" ca="1" si="32"/>
        <v>115.88541298825463</v>
      </c>
      <c r="AY55" s="11">
        <f t="shared" ca="1" si="33"/>
        <v>615.17700539622354</v>
      </c>
      <c r="AZ55" s="11"/>
      <c r="BA55" s="11"/>
    </row>
    <row r="56" spans="1:53" ht="14.5">
      <c r="A56" s="41">
        <f t="shared" ca="1" si="34"/>
        <v>3535.2348451395801</v>
      </c>
      <c r="B56" s="41">
        <f t="shared" ref="B56:C71" ca="1" si="46">A56/60</f>
        <v>58.920580752326337</v>
      </c>
      <c r="C56" s="41">
        <f t="shared" ca="1" si="46"/>
        <v>0.98200967920543891</v>
      </c>
      <c r="D56" s="41">
        <f t="shared" ca="1" si="43"/>
        <v>17226.348438746474</v>
      </c>
      <c r="E56" s="41">
        <f t="shared" ca="1" si="36"/>
        <v>179.77320229334074</v>
      </c>
      <c r="F56" s="41">
        <f t="shared" ca="1" si="37"/>
        <v>179.77320229334074</v>
      </c>
      <c r="G56" s="41"/>
      <c r="H56" s="5">
        <v>0</v>
      </c>
      <c r="I56" s="5">
        <v>15</v>
      </c>
      <c r="J56" s="41">
        <f t="shared" si="38"/>
        <v>0.36878071321301309</v>
      </c>
      <c r="K56" s="41">
        <f t="shared" si="44"/>
        <v>415</v>
      </c>
      <c r="L56" s="6">
        <f t="shared" si="39"/>
        <v>50.754999999999981</v>
      </c>
      <c r="M56" s="41">
        <f t="shared" si="0"/>
        <v>245.88086000000001</v>
      </c>
      <c r="N56" s="41">
        <f t="shared" si="1"/>
        <v>194.55310202931716</v>
      </c>
      <c r="O56" s="41">
        <f t="shared" si="2"/>
        <v>2412442.7442589565</v>
      </c>
      <c r="P56" s="41">
        <f t="shared" si="3"/>
        <v>15489577.603461882</v>
      </c>
      <c r="Q56" s="41">
        <f t="shared" si="4"/>
        <v>2.7680234559842561E-3</v>
      </c>
      <c r="R56" s="41">
        <f t="shared" si="5"/>
        <v>2.1898783198783883E-2</v>
      </c>
      <c r="S56" s="24">
        <f t="shared" ca="1" si="40"/>
        <v>16.579148048294471</v>
      </c>
      <c r="T56" s="41">
        <f t="shared" ca="1" si="6"/>
        <v>0.36896573598494042</v>
      </c>
      <c r="U56" s="41">
        <f t="shared" ca="1" si="7"/>
        <v>3.0496668860335592E-2</v>
      </c>
      <c r="V56" s="41">
        <f t="shared" ca="1" si="8"/>
        <v>12.098558622080281</v>
      </c>
      <c r="W56" s="20">
        <f t="shared" ca="1" si="9"/>
        <v>1364.6409515180092</v>
      </c>
      <c r="X56" s="41">
        <f t="shared" si="10"/>
        <v>0.58884392189787382</v>
      </c>
      <c r="Y56" s="41">
        <f t="shared" ca="1" si="11"/>
        <v>173.95281774091222</v>
      </c>
      <c r="Z56" s="14">
        <f t="shared" ca="1" si="12"/>
        <v>1423.834770474873</v>
      </c>
      <c r="AA56" s="14">
        <f t="shared" si="13"/>
        <v>6280</v>
      </c>
      <c r="AB56" s="25">
        <f t="shared" ca="1" si="14"/>
        <v>590891.42974707228</v>
      </c>
      <c r="AC56" s="41">
        <f t="shared" si="15"/>
        <v>2606200</v>
      </c>
      <c r="AD56" s="5">
        <v>100</v>
      </c>
      <c r="AE56" s="41">
        <f t="shared" si="16"/>
        <v>6280</v>
      </c>
      <c r="AF56" s="41">
        <f t="shared" ca="1" si="17"/>
        <v>4856.165229525127</v>
      </c>
      <c r="AG56" s="41">
        <f t="shared" ca="1" si="18"/>
        <v>2015308.5702529277</v>
      </c>
      <c r="AH56" s="41">
        <f t="shared" si="19"/>
        <v>4427.3999999999996</v>
      </c>
      <c r="AI56" s="13">
        <f t="shared" ca="1" si="20"/>
        <v>118.41592618269732</v>
      </c>
      <c r="AJ56" s="10">
        <f t="shared" ca="1" si="21"/>
        <v>16.579148048294471</v>
      </c>
      <c r="AK56" s="11">
        <f t="shared" ca="1" si="41"/>
        <v>7104.9555709618389</v>
      </c>
      <c r="AL56" s="6">
        <v>10000</v>
      </c>
      <c r="AM56" s="41">
        <f t="shared" ca="1" si="22"/>
        <v>84.448100203781365</v>
      </c>
      <c r="AN56" s="41">
        <f t="shared" ca="1" si="23"/>
        <v>103.85708856728377</v>
      </c>
      <c r="AO56" s="41">
        <f t="shared" ca="1" si="24"/>
        <v>5.5280366298968371</v>
      </c>
      <c r="AP56" s="67">
        <f t="shared" si="42"/>
        <v>0.70499999999999996</v>
      </c>
      <c r="AQ56" s="11">
        <f t="shared" si="25"/>
        <v>1.0520562207183759</v>
      </c>
      <c r="AR56" s="11">
        <f t="shared" si="26"/>
        <v>1</v>
      </c>
      <c r="AS56" s="11">
        <f t="shared" si="27"/>
        <v>0.95051954477981193</v>
      </c>
      <c r="AT56" s="11">
        <f t="shared" si="28"/>
        <v>545.66999999999996</v>
      </c>
      <c r="AU56" s="11">
        <f t="shared" si="29"/>
        <v>2116.2199999999998</v>
      </c>
      <c r="AV56" s="11">
        <f t="shared" si="30"/>
        <v>2.259289905987135E-3</v>
      </c>
      <c r="AW56" s="11">
        <f t="shared" si="31"/>
        <v>3.8865391239478742E-7</v>
      </c>
      <c r="AX56" s="41">
        <f t="shared" ca="1" si="32"/>
        <v>116.98988775357533</v>
      </c>
      <c r="AY56" s="11">
        <f t="shared" ca="1" si="33"/>
        <v>615.68200562209404</v>
      </c>
      <c r="AZ56" s="11"/>
      <c r="BA56" s="11"/>
    </row>
    <row r="57" spans="1:53" ht="14.5">
      <c r="A57" s="41">
        <f t="shared" ca="1" si="34"/>
        <v>3619.6829453433616</v>
      </c>
      <c r="B57" s="41">
        <f t="shared" ca="1" si="46"/>
        <v>60.328049089056023</v>
      </c>
      <c r="C57" s="41">
        <f t="shared" ca="1" si="46"/>
        <v>1.0054674848176004</v>
      </c>
      <c r="D57" s="41">
        <f t="shared" ca="1" si="43"/>
        <v>17226.348438746474</v>
      </c>
      <c r="E57" s="41">
        <f t="shared" ca="1" si="36"/>
        <v>185.30123892323758</v>
      </c>
      <c r="F57" s="41">
        <f t="shared" ca="1" si="37"/>
        <v>185.30123892323758</v>
      </c>
      <c r="G57" s="41"/>
      <c r="H57" s="5">
        <v>0</v>
      </c>
      <c r="I57" s="5">
        <v>15</v>
      </c>
      <c r="J57" s="41">
        <f t="shared" si="38"/>
        <v>0.37322385433606142</v>
      </c>
      <c r="K57" s="41">
        <f t="shared" si="44"/>
        <v>420</v>
      </c>
      <c r="L57" s="6">
        <f t="shared" si="39"/>
        <v>51.989999999999981</v>
      </c>
      <c r="M57" s="41">
        <f t="shared" si="0"/>
        <v>248.84327999999999</v>
      </c>
      <c r="N57" s="41">
        <f t="shared" si="1"/>
        <v>199.26936970806531</v>
      </c>
      <c r="O57" s="41">
        <f t="shared" si="2"/>
        <v>2441508.319490992</v>
      </c>
      <c r="P57" s="41">
        <f t="shared" si="3"/>
        <v>15676199.020371061</v>
      </c>
      <c r="Q57" s="41">
        <f t="shared" si="4"/>
        <v>2.7620281800642935E-3</v>
      </c>
      <c r="R57" s="41">
        <f t="shared" si="5"/>
        <v>2.1862182039292511E-2</v>
      </c>
      <c r="S57" s="24">
        <f t="shared" ca="1" si="40"/>
        <v>16.533521539860743</v>
      </c>
      <c r="T57" s="41">
        <f t="shared" ca="1" si="6"/>
        <v>0.3603184189823882</v>
      </c>
      <c r="U57" s="41">
        <f t="shared" ca="1" si="7"/>
        <v>3.0061779217525803E-2</v>
      </c>
      <c r="V57" s="41">
        <f t="shared" ca="1" si="8"/>
        <v>11.985931250946223</v>
      </c>
      <c r="W57" s="20">
        <f t="shared" ca="1" si="9"/>
        <v>1377.7901133052583</v>
      </c>
      <c r="X57" s="41">
        <f t="shared" si="10"/>
        <v>0.58835162551816211</v>
      </c>
      <c r="Y57" s="41">
        <f t="shared" ca="1" si="11"/>
        <v>173.973409446733</v>
      </c>
      <c r="Z57" s="14">
        <f t="shared" ca="1" si="12"/>
        <v>1437.2140201777438</v>
      </c>
      <c r="AA57" s="14">
        <f t="shared" si="13"/>
        <v>6280</v>
      </c>
      <c r="AB57" s="25">
        <f t="shared" ca="1" si="14"/>
        <v>603629.88847465243</v>
      </c>
      <c r="AC57" s="41">
        <f t="shared" si="15"/>
        <v>2637600</v>
      </c>
      <c r="AD57" s="5">
        <v>100</v>
      </c>
      <c r="AE57" s="41">
        <f t="shared" si="16"/>
        <v>6280</v>
      </c>
      <c r="AF57" s="41">
        <f t="shared" ca="1" si="17"/>
        <v>4842.7859798222562</v>
      </c>
      <c r="AG57" s="41">
        <f t="shared" ca="1" si="18"/>
        <v>2033970.1115253475</v>
      </c>
      <c r="AH57" s="41">
        <f t="shared" si="19"/>
        <v>4427.3999999999996</v>
      </c>
      <c r="AI57" s="13">
        <f t="shared" ca="1" si="20"/>
        <v>119.5220310173649</v>
      </c>
      <c r="AJ57" s="10">
        <f t="shared" ca="1" si="21"/>
        <v>16.533521539860743</v>
      </c>
      <c r="AK57" s="11">
        <f t="shared" ca="1" si="41"/>
        <v>7171.3218610418935</v>
      </c>
      <c r="AL57" s="6">
        <v>10000</v>
      </c>
      <c r="AM57" s="41">
        <f t="shared" ca="1" si="22"/>
        <v>83.666583598693521</v>
      </c>
      <c r="AN57" s="41">
        <f t="shared" ca="1" si="23"/>
        <v>102.89595339579324</v>
      </c>
      <c r="AO57" s="41">
        <f t="shared" ca="1" si="24"/>
        <v>5.5441767956294594</v>
      </c>
      <c r="AP57" s="67">
        <f t="shared" si="42"/>
        <v>0.70499999999999996</v>
      </c>
      <c r="AQ57" s="11">
        <f t="shared" si="25"/>
        <v>1.0520562207183759</v>
      </c>
      <c r="AR57" s="11">
        <f t="shared" si="26"/>
        <v>1</v>
      </c>
      <c r="AS57" s="11">
        <f t="shared" si="27"/>
        <v>0.95051954477981193</v>
      </c>
      <c r="AT57" s="11">
        <f t="shared" si="28"/>
        <v>545.66999999999996</v>
      </c>
      <c r="AU57" s="11">
        <f t="shared" si="29"/>
        <v>2116.2199999999998</v>
      </c>
      <c r="AV57" s="11">
        <f t="shared" si="30"/>
        <v>2.259289905987135E-3</v>
      </c>
      <c r="AW57" s="11">
        <f t="shared" si="31"/>
        <v>3.8865391239478742E-7</v>
      </c>
      <c r="AX57" s="41">
        <f t="shared" ca="1" si="32"/>
        <v>118.07320157012656</v>
      </c>
      <c r="AY57" s="11">
        <f t="shared" ca="1" si="33"/>
        <v>616.18245739597546</v>
      </c>
      <c r="AZ57" s="11"/>
      <c r="BA57" s="11"/>
    </row>
    <row r="58" spans="1:53" ht="14.5">
      <c r="A58" s="41">
        <f t="shared" ca="1" si="34"/>
        <v>3703.3495289420553</v>
      </c>
      <c r="B58" s="41">
        <f t="shared" ca="1" si="46"/>
        <v>61.722492149034252</v>
      </c>
      <c r="C58" s="41">
        <f t="shared" ca="1" si="46"/>
        <v>1.0287082024839043</v>
      </c>
      <c r="D58" s="41">
        <f t="shared" ca="1" si="43"/>
        <v>17226.348438746474</v>
      </c>
      <c r="E58" s="41">
        <f t="shared" ca="1" si="36"/>
        <v>190.84541571886703</v>
      </c>
      <c r="F58" s="41">
        <f t="shared" ca="1" si="37"/>
        <v>190.84541571886703</v>
      </c>
      <c r="G58" s="41"/>
      <c r="H58" s="5">
        <v>0</v>
      </c>
      <c r="I58" s="5">
        <v>15</v>
      </c>
      <c r="J58" s="41">
        <f t="shared" si="38"/>
        <v>0.37766699545910981</v>
      </c>
      <c r="K58" s="41">
        <f t="shared" si="44"/>
        <v>425</v>
      </c>
      <c r="L58" s="6">
        <f t="shared" si="39"/>
        <v>53.22499999999998</v>
      </c>
      <c r="M58" s="41">
        <f t="shared" si="0"/>
        <v>251.8057</v>
      </c>
      <c r="N58" s="41">
        <f t="shared" si="1"/>
        <v>204.04211963446312</v>
      </c>
      <c r="O58" s="41">
        <f t="shared" si="2"/>
        <v>2470573.8947230275</v>
      </c>
      <c r="P58" s="41">
        <f t="shared" si="3"/>
        <v>15862820.43728024</v>
      </c>
      <c r="Q58" s="41">
        <f t="shared" si="4"/>
        <v>2.7561007994006226E-3</v>
      </c>
      <c r="R58" s="41">
        <f t="shared" si="5"/>
        <v>2.1825995380340801E-2</v>
      </c>
      <c r="S58" s="24">
        <f t="shared" ca="1" si="40"/>
        <v>16.486027866447792</v>
      </c>
      <c r="T58" s="41">
        <f t="shared" ca="1" si="6"/>
        <v>0.35197667662579996</v>
      </c>
      <c r="U58" s="41">
        <f t="shared" ca="1" si="7"/>
        <v>2.9650329065304546E-2</v>
      </c>
      <c r="V58" s="41">
        <f t="shared" ca="1" si="8"/>
        <v>11.870919740909954</v>
      </c>
      <c r="W58" s="20">
        <f t="shared" ca="1" si="9"/>
        <v>1391.4806777791359</v>
      </c>
      <c r="X58" s="41">
        <f t="shared" si="10"/>
        <v>0.58786449900515647</v>
      </c>
      <c r="Y58" s="41">
        <f t="shared" ca="1" si="11"/>
        <v>173.9947826469232</v>
      </c>
      <c r="Z58" s="14">
        <f t="shared" ca="1" si="12"/>
        <v>1451.138480818842</v>
      </c>
      <c r="AA58" s="14">
        <f t="shared" si="13"/>
        <v>6280</v>
      </c>
      <c r="AB58" s="25">
        <f t="shared" ca="1" si="14"/>
        <v>616733.85434800782</v>
      </c>
      <c r="AC58" s="41">
        <f t="shared" si="15"/>
        <v>2669000</v>
      </c>
      <c r="AD58" s="5">
        <v>100</v>
      </c>
      <c r="AE58" s="41">
        <f t="shared" si="16"/>
        <v>6280</v>
      </c>
      <c r="AF58" s="41">
        <f t="shared" ca="1" si="17"/>
        <v>4828.8615191811577</v>
      </c>
      <c r="AG58" s="41">
        <f t="shared" ca="1" si="18"/>
        <v>2052266.1456519922</v>
      </c>
      <c r="AH58" s="41">
        <f t="shared" si="19"/>
        <v>4427.3999999999996</v>
      </c>
      <c r="AI58" s="13">
        <f t="shared" ca="1" si="20"/>
        <v>120.60714546274738</v>
      </c>
      <c r="AJ58" s="10">
        <f t="shared" ca="1" si="21"/>
        <v>16.486027866447792</v>
      </c>
      <c r="AK58" s="11">
        <f t="shared" ca="1" si="41"/>
        <v>7236.4287277648427</v>
      </c>
      <c r="AL58" s="6">
        <v>10000</v>
      </c>
      <c r="AM58" s="41">
        <f t="shared" ca="1" si="22"/>
        <v>82.913827050891911</v>
      </c>
      <c r="AN58" s="41">
        <f t="shared" ca="1" si="23"/>
        <v>101.9701883014219</v>
      </c>
      <c r="AO58" s="41">
        <f t="shared" ca="1" si="24"/>
        <v>5.5610697038562726</v>
      </c>
      <c r="AP58" s="67">
        <f t="shared" si="42"/>
        <v>0.70499999999999996</v>
      </c>
      <c r="AQ58" s="11">
        <f t="shared" si="25"/>
        <v>1.0520562207183759</v>
      </c>
      <c r="AR58" s="11">
        <f t="shared" si="26"/>
        <v>1</v>
      </c>
      <c r="AS58" s="11">
        <f t="shared" si="27"/>
        <v>0.95051954477981193</v>
      </c>
      <c r="AT58" s="11">
        <f t="shared" si="28"/>
        <v>545.66999999999996</v>
      </c>
      <c r="AU58" s="11">
        <f t="shared" si="29"/>
        <v>2116.2199999999998</v>
      </c>
      <c r="AV58" s="11">
        <f t="shared" si="30"/>
        <v>2.259289905987135E-3</v>
      </c>
      <c r="AW58" s="11">
        <f t="shared" si="31"/>
        <v>3.8865391239478742E-7</v>
      </c>
      <c r="AX58" s="41">
        <f t="shared" ca="1" si="32"/>
        <v>119.13529747464759</v>
      </c>
      <c r="AY58" s="11">
        <f t="shared" ca="1" si="33"/>
        <v>616.67848912384022</v>
      </c>
      <c r="AZ58" s="11"/>
      <c r="BA58" s="11"/>
    </row>
    <row r="59" spans="1:53" ht="14.5">
      <c r="A59" s="41">
        <f t="shared" ca="1" si="34"/>
        <v>3786.2633559929473</v>
      </c>
      <c r="B59" s="41">
        <f t="shared" ca="1" si="46"/>
        <v>63.10438926654912</v>
      </c>
      <c r="C59" s="41">
        <f t="shared" ca="1" si="46"/>
        <v>1.051739821109152</v>
      </c>
      <c r="D59" s="41">
        <f t="shared" ca="1" si="43"/>
        <v>17226.348438746474</v>
      </c>
      <c r="E59" s="41">
        <f t="shared" ca="1" si="36"/>
        <v>196.40648542272331</v>
      </c>
      <c r="F59" s="41">
        <f t="shared" ca="1" si="37"/>
        <v>196.40648542272331</v>
      </c>
      <c r="G59" s="41"/>
      <c r="H59" s="5">
        <v>0</v>
      </c>
      <c r="I59" s="5">
        <v>15</v>
      </c>
      <c r="J59" s="41">
        <f t="shared" si="38"/>
        <v>0.38211013658215814</v>
      </c>
      <c r="K59" s="41">
        <f t="shared" si="44"/>
        <v>430</v>
      </c>
      <c r="L59" s="6">
        <f t="shared" si="39"/>
        <v>54.45999999999998</v>
      </c>
      <c r="M59" s="41">
        <f t="shared" si="0"/>
        <v>254.76812000000001</v>
      </c>
      <c r="N59" s="41">
        <f t="shared" si="1"/>
        <v>208.87135180851064</v>
      </c>
      <c r="O59" s="41">
        <f t="shared" si="2"/>
        <v>2499639.469955063</v>
      </c>
      <c r="P59" s="41">
        <f t="shared" si="3"/>
        <v>16049441.854189418</v>
      </c>
      <c r="Q59" s="41">
        <f t="shared" si="4"/>
        <v>2.7502393929367255E-3</v>
      </c>
      <c r="R59" s="41">
        <f t="shared" si="5"/>
        <v>2.1790211493878709E-2</v>
      </c>
      <c r="S59" s="24">
        <f t="shared" ca="1" si="40"/>
        <v>16.43672271087032</v>
      </c>
      <c r="T59" s="41">
        <f t="shared" ca="1" si="6"/>
        <v>0.34392620230732651</v>
      </c>
      <c r="U59" s="41">
        <f t="shared" ca="1" si="7"/>
        <v>2.9260719219435325E-2</v>
      </c>
      <c r="V59" s="41">
        <f t="shared" ca="1" si="8"/>
        <v>11.753853339287934</v>
      </c>
      <c r="W59" s="20">
        <f t="shared" ca="1" si="9"/>
        <v>1405.6969749981265</v>
      </c>
      <c r="X59" s="41">
        <f t="shared" si="10"/>
        <v>0.5873823971491311</v>
      </c>
      <c r="Y59" s="41">
        <f t="shared" ca="1" si="11"/>
        <v>174.01690504445207</v>
      </c>
      <c r="Z59" s="14">
        <f t="shared" ca="1" si="12"/>
        <v>1465.5915759273946</v>
      </c>
      <c r="AA59" s="14">
        <f t="shared" si="13"/>
        <v>6280</v>
      </c>
      <c r="AB59" s="25">
        <f t="shared" ca="1" si="14"/>
        <v>630204.37764877966</v>
      </c>
      <c r="AC59" s="41">
        <f t="shared" si="15"/>
        <v>2700400</v>
      </c>
      <c r="AD59" s="5">
        <v>100</v>
      </c>
      <c r="AE59" s="41">
        <f t="shared" si="16"/>
        <v>6280</v>
      </c>
      <c r="AF59" s="41">
        <f t="shared" ca="1" si="17"/>
        <v>4814.4084240726052</v>
      </c>
      <c r="AG59" s="41">
        <f t="shared" ca="1" si="18"/>
        <v>2070195.6223512203</v>
      </c>
      <c r="AH59" s="41">
        <f t="shared" si="19"/>
        <v>4427.3999999999996</v>
      </c>
      <c r="AI59" s="13">
        <f t="shared" ca="1" si="20"/>
        <v>121.67118923685975</v>
      </c>
      <c r="AJ59" s="10">
        <f t="shared" ca="1" si="21"/>
        <v>16.43672271087032</v>
      </c>
      <c r="AK59" s="11">
        <f t="shared" ca="1" si="41"/>
        <v>7300.2713542115844</v>
      </c>
      <c r="AL59" s="6">
        <v>10000</v>
      </c>
      <c r="AM59" s="41">
        <f t="shared" ca="1" si="22"/>
        <v>82.188725718237208</v>
      </c>
      <c r="AN59" s="41">
        <f t="shared" ca="1" si="23"/>
        <v>101.07843451247871</v>
      </c>
      <c r="AO59" s="41">
        <f t="shared" ca="1" si="24"/>
        <v>5.5787073395295215</v>
      </c>
      <c r="AP59" s="67">
        <f t="shared" si="42"/>
        <v>0.70499999999999996</v>
      </c>
      <c r="AQ59" s="11">
        <f t="shared" si="25"/>
        <v>1.0520562207183759</v>
      </c>
      <c r="AR59" s="11">
        <f t="shared" si="26"/>
        <v>1</v>
      </c>
      <c r="AS59" s="11">
        <f t="shared" si="27"/>
        <v>0.95051954477981193</v>
      </c>
      <c r="AT59" s="11">
        <f t="shared" si="28"/>
        <v>545.66999999999996</v>
      </c>
      <c r="AU59" s="11">
        <f t="shared" si="29"/>
        <v>2116.2199999999998</v>
      </c>
      <c r="AV59" s="11">
        <f t="shared" si="30"/>
        <v>2.259289905987135E-3</v>
      </c>
      <c r="AW59" s="11">
        <f t="shared" si="31"/>
        <v>3.8865391239478742E-7</v>
      </c>
      <c r="AX59" s="41">
        <f t="shared" ca="1" si="32"/>
        <v>120.17611449765056</v>
      </c>
      <c r="AY59" s="11">
        <f t="shared" ca="1" si="33"/>
        <v>617.17022461867668</v>
      </c>
      <c r="AZ59" s="11"/>
      <c r="BA59" s="11"/>
    </row>
    <row r="60" spans="1:53" ht="14.5">
      <c r="A60" s="41">
        <f t="shared" ca="1" si="34"/>
        <v>3868.4520817111843</v>
      </c>
      <c r="B60" s="41">
        <f t="shared" ca="1" si="46"/>
        <v>64.474201361853076</v>
      </c>
      <c r="C60" s="41">
        <f t="shared" ca="1" si="46"/>
        <v>1.0745700226975512</v>
      </c>
      <c r="D60" s="41">
        <f t="shared" ca="1" si="43"/>
        <v>17226.348438746474</v>
      </c>
      <c r="E60" s="41">
        <f t="shared" ca="1" si="36"/>
        <v>201.98519276225284</v>
      </c>
      <c r="F60" s="41">
        <f t="shared" ca="1" si="37"/>
        <v>201.98519276225284</v>
      </c>
      <c r="G60" s="41"/>
      <c r="H60" s="5">
        <v>0</v>
      </c>
      <c r="I60" s="5">
        <v>15</v>
      </c>
      <c r="J60" s="41">
        <f t="shared" si="38"/>
        <v>0.38655327770520648</v>
      </c>
      <c r="K60" s="41">
        <f t="shared" si="44"/>
        <v>435</v>
      </c>
      <c r="L60" s="6">
        <f t="shared" si="39"/>
        <v>55.694999999999979</v>
      </c>
      <c r="M60" s="41">
        <f t="shared" si="0"/>
        <v>257.73054000000002</v>
      </c>
      <c r="N60" s="41">
        <f t="shared" si="1"/>
        <v>213.75706623020781</v>
      </c>
      <c r="O60" s="41">
        <f t="shared" si="2"/>
        <v>2528705.0451870989</v>
      </c>
      <c r="P60" s="41">
        <f t="shared" si="3"/>
        <v>16236063.271098597</v>
      </c>
      <c r="Q60" s="41">
        <f t="shared" si="4"/>
        <v>2.7444421124875099E-3</v>
      </c>
      <c r="R60" s="41">
        <f t="shared" si="5"/>
        <v>2.1754819096736249E-2</v>
      </c>
      <c r="S60" s="24">
        <f t="shared" ca="1" si="40"/>
        <v>16.385658672620444</v>
      </c>
      <c r="T60" s="41">
        <f t="shared" ca="1" si="6"/>
        <v>0.33615351834762291</v>
      </c>
      <c r="U60" s="41">
        <f t="shared" ca="1" si="7"/>
        <v>2.8891477556757961E-2</v>
      </c>
      <c r="V60" s="41">
        <f t="shared" ca="1" si="8"/>
        <v>11.635040737783028</v>
      </c>
      <c r="W60" s="20">
        <f t="shared" ca="1" si="9"/>
        <v>1420.424220765349</v>
      </c>
      <c r="X60" s="41">
        <f t="shared" si="10"/>
        <v>0.58690518013269133</v>
      </c>
      <c r="Y60" s="41">
        <f t="shared" ca="1" si="11"/>
        <v>174.03974574700013</v>
      </c>
      <c r="Z60" s="14">
        <f t="shared" ca="1" si="12"/>
        <v>1480.5576385140212</v>
      </c>
      <c r="AA60" s="14">
        <f t="shared" si="13"/>
        <v>6280</v>
      </c>
      <c r="AB60" s="25">
        <f t="shared" ca="1" si="14"/>
        <v>644042.57275359926</v>
      </c>
      <c r="AC60" s="41">
        <f t="shared" si="15"/>
        <v>2731800</v>
      </c>
      <c r="AD60" s="5">
        <v>100</v>
      </c>
      <c r="AE60" s="41">
        <f t="shared" si="16"/>
        <v>6280</v>
      </c>
      <c r="AF60" s="41">
        <f t="shared" ca="1" si="17"/>
        <v>4799.4423614859788</v>
      </c>
      <c r="AG60" s="41">
        <f t="shared" ca="1" si="18"/>
        <v>2087757.4272464006</v>
      </c>
      <c r="AH60" s="41">
        <f t="shared" si="19"/>
        <v>4427.3999999999996</v>
      </c>
      <c r="AI60" s="13">
        <f t="shared" ca="1" si="20"/>
        <v>122.71407788387327</v>
      </c>
      <c r="AJ60" s="10">
        <f t="shared" ca="1" si="21"/>
        <v>16.385658672620444</v>
      </c>
      <c r="AK60" s="11">
        <f t="shared" ca="1" si="41"/>
        <v>7362.8446730323967</v>
      </c>
      <c r="AL60" s="6">
        <v>10000</v>
      </c>
      <c r="AM60" s="41">
        <f t="shared" ca="1" si="22"/>
        <v>81.490242785861909</v>
      </c>
      <c r="AN60" s="41">
        <f t="shared" ca="1" si="23"/>
        <v>100.21941691947917</v>
      </c>
      <c r="AO60" s="41">
        <f t="shared" ca="1" si="24"/>
        <v>5.5970829664197055</v>
      </c>
      <c r="AP60" s="67">
        <f t="shared" si="42"/>
        <v>0.70499999999999996</v>
      </c>
      <c r="AQ60" s="11">
        <f t="shared" si="25"/>
        <v>1.0520562207183759</v>
      </c>
      <c r="AR60" s="11">
        <f t="shared" si="26"/>
        <v>1</v>
      </c>
      <c r="AS60" s="11">
        <f t="shared" si="27"/>
        <v>0.95051954477981193</v>
      </c>
      <c r="AT60" s="11">
        <f t="shared" si="28"/>
        <v>545.66999999999996</v>
      </c>
      <c r="AU60" s="11">
        <f t="shared" si="29"/>
        <v>2116.2199999999998</v>
      </c>
      <c r="AV60" s="11">
        <f t="shared" si="30"/>
        <v>2.259289905987135E-3</v>
      </c>
      <c r="AW60" s="11">
        <f t="shared" si="31"/>
        <v>3.8865391239478742E-7</v>
      </c>
      <c r="AX60" s="41">
        <f t="shared" ca="1" si="32"/>
        <v>121.19558794889456</v>
      </c>
      <c r="AY60" s="11">
        <f t="shared" ca="1" si="33"/>
        <v>617.6577833136414</v>
      </c>
      <c r="AZ60" s="11"/>
      <c r="BA60" s="11"/>
    </row>
    <row r="61" spans="1:53" ht="14.5">
      <c r="A61" s="41">
        <f t="shared" ca="1" si="34"/>
        <v>3949.9423244970462</v>
      </c>
      <c r="B61" s="41">
        <f t="shared" ca="1" si="46"/>
        <v>65.832372074950769</v>
      </c>
      <c r="C61" s="41">
        <f t="shared" ca="1" si="46"/>
        <v>1.0972062012491794</v>
      </c>
      <c r="D61" s="41">
        <f t="shared" ca="1" si="43"/>
        <v>17226.348438746474</v>
      </c>
      <c r="E61" s="41">
        <f t="shared" ca="1" si="36"/>
        <v>207.58227572867253</v>
      </c>
      <c r="F61" s="41">
        <f t="shared" ca="1" si="37"/>
        <v>207.58227572867253</v>
      </c>
      <c r="G61" s="41"/>
      <c r="H61" s="5">
        <v>0</v>
      </c>
      <c r="I61" s="5">
        <v>15</v>
      </c>
      <c r="J61" s="41">
        <f t="shared" si="38"/>
        <v>0.39099641882825487</v>
      </c>
      <c r="K61" s="41">
        <f t="shared" si="44"/>
        <v>440</v>
      </c>
      <c r="L61" s="6">
        <f t="shared" si="39"/>
        <v>56.929999999999978</v>
      </c>
      <c r="M61" s="41">
        <f t="shared" si="0"/>
        <v>260.69296000000003</v>
      </c>
      <c r="N61" s="41">
        <f t="shared" si="1"/>
        <v>218.69926289955467</v>
      </c>
      <c r="O61" s="41">
        <f t="shared" si="2"/>
        <v>2557770.6204191349</v>
      </c>
      <c r="P61" s="41">
        <f t="shared" si="3"/>
        <v>16422684.688007779</v>
      </c>
      <c r="Q61" s="41">
        <f t="shared" si="4"/>
        <v>2.7387071792160994E-3</v>
      </c>
      <c r="R61" s="41">
        <f t="shared" si="5"/>
        <v>2.1719807329114289E-2</v>
      </c>
      <c r="S61" s="24">
        <f t="shared" ca="1" si="40"/>
        <v>16.332885480845047</v>
      </c>
      <c r="T61" s="41">
        <f t="shared" ca="1" si="6"/>
        <v>0.32864591894301259</v>
      </c>
      <c r="U61" s="41">
        <f t="shared" ca="1" si="7"/>
        <v>2.8541247559746425E-2</v>
      </c>
      <c r="V61" s="41">
        <f t="shared" ca="1" si="8"/>
        <v>11.514770622939526</v>
      </c>
      <c r="W61" s="20">
        <f t="shared" ca="1" si="9"/>
        <v>1435.648454816559</v>
      </c>
      <c r="X61" s="41">
        <f t="shared" si="10"/>
        <v>0.58643271327438518</v>
      </c>
      <c r="Y61" s="41">
        <f t="shared" ca="1" si="11"/>
        <v>174.06327517719805</v>
      </c>
      <c r="Z61" s="14">
        <f t="shared" ca="1" si="12"/>
        <v>1496.0218490525936</v>
      </c>
      <c r="AA61" s="14">
        <f t="shared" si="13"/>
        <v>6280</v>
      </c>
      <c r="AB61" s="25">
        <f t="shared" ca="1" si="14"/>
        <v>658249.61358314112</v>
      </c>
      <c r="AC61" s="41">
        <f t="shared" si="15"/>
        <v>2763200</v>
      </c>
      <c r="AD61" s="5">
        <v>100</v>
      </c>
      <c r="AE61" s="41">
        <f t="shared" si="16"/>
        <v>6280</v>
      </c>
      <c r="AF61" s="41">
        <f t="shared" ca="1" si="17"/>
        <v>4783.9781509474069</v>
      </c>
      <c r="AG61" s="41">
        <f t="shared" ca="1" si="18"/>
        <v>2104950.386416859</v>
      </c>
      <c r="AH61" s="41">
        <f t="shared" si="19"/>
        <v>4427.3999999999996</v>
      </c>
      <c r="AI61" s="13">
        <f t="shared" ca="1" si="20"/>
        <v>123.73572306748372</v>
      </c>
      <c r="AJ61" s="10">
        <f t="shared" ca="1" si="21"/>
        <v>16.332885480845047</v>
      </c>
      <c r="AK61" s="11">
        <f t="shared" ca="1" si="41"/>
        <v>7424.1433840490226</v>
      </c>
      <c r="AL61" s="6">
        <v>10000</v>
      </c>
      <c r="AM61" s="41">
        <f t="shared" ca="1" si="22"/>
        <v>80.817404643492821</v>
      </c>
      <c r="AN61" s="41">
        <f t="shared" ca="1" si="23"/>
        <v>99.391938144055587</v>
      </c>
      <c r="AO61" s="41">
        <f t="shared" ca="1" si="24"/>
        <v>5.6161910546664489</v>
      </c>
      <c r="AP61" s="67">
        <f t="shared" si="42"/>
        <v>0.70499999999999996</v>
      </c>
      <c r="AQ61" s="11">
        <f t="shared" si="25"/>
        <v>1.0520562207183759</v>
      </c>
      <c r="AR61" s="11">
        <f t="shared" si="26"/>
        <v>1</v>
      </c>
      <c r="AS61" s="11">
        <f t="shared" si="27"/>
        <v>0.95051954477981193</v>
      </c>
      <c r="AT61" s="11">
        <f t="shared" si="28"/>
        <v>545.66999999999996</v>
      </c>
      <c r="AU61" s="11">
        <f t="shared" si="29"/>
        <v>2116.2199999999998</v>
      </c>
      <c r="AV61" s="11">
        <f t="shared" si="30"/>
        <v>2.259289905987135E-3</v>
      </c>
      <c r="AW61" s="11">
        <f t="shared" si="31"/>
        <v>3.8865391239478742E-7</v>
      </c>
      <c r="AX61" s="41">
        <f t="shared" ca="1" si="32"/>
        <v>122.1936496815707</v>
      </c>
      <c r="AY61" s="11">
        <f t="shared" ca="1" si="33"/>
        <v>618.14128046297583</v>
      </c>
      <c r="AZ61" s="11"/>
      <c r="BA61" s="11"/>
    </row>
    <row r="62" spans="1:53" ht="14.5">
      <c r="A62" s="41">
        <f t="shared" ca="1" si="34"/>
        <v>4030.7597291405391</v>
      </c>
      <c r="B62" s="41">
        <f t="shared" ca="1" si="46"/>
        <v>67.179328819008987</v>
      </c>
      <c r="C62" s="41">
        <f t="shared" ca="1" si="46"/>
        <v>1.1196554803168164</v>
      </c>
      <c r="D62" s="41">
        <f t="shared" ca="1" si="43"/>
        <v>17226.348438746474</v>
      </c>
      <c r="E62" s="41">
        <f t="shared" ca="1" si="36"/>
        <v>213.19846678333897</v>
      </c>
      <c r="F62" s="41">
        <f t="shared" ca="1" si="37"/>
        <v>213.19846678333897</v>
      </c>
      <c r="G62" s="41"/>
      <c r="H62" s="5">
        <v>0</v>
      </c>
      <c r="I62" s="5">
        <v>15</v>
      </c>
      <c r="J62" s="41">
        <f t="shared" si="38"/>
        <v>0.3954395599513032</v>
      </c>
      <c r="K62" s="41">
        <f t="shared" si="44"/>
        <v>445</v>
      </c>
      <c r="L62" s="6">
        <f t="shared" si="39"/>
        <v>58.164999999999978</v>
      </c>
      <c r="M62" s="41">
        <f t="shared" si="0"/>
        <v>263.65537999999998</v>
      </c>
      <c r="N62" s="41">
        <f t="shared" si="1"/>
        <v>223.69794181655121</v>
      </c>
      <c r="O62" s="41">
        <f t="shared" si="2"/>
        <v>2586836.1956511703</v>
      </c>
      <c r="P62" s="41">
        <f t="shared" si="3"/>
        <v>16609306.104916958</v>
      </c>
      <c r="Q62" s="41">
        <f t="shared" si="4"/>
        <v>2.7330328803189838E-3</v>
      </c>
      <c r="R62" s="41">
        <f t="shared" si="5"/>
        <v>2.1685165734347395E-2</v>
      </c>
      <c r="S62" s="24">
        <f t="shared" ca="1" si="40"/>
        <v>16.278450190275546</v>
      </c>
      <c r="T62" s="41">
        <f t="shared" ca="1" si="6"/>
        <v>0.32139141764672963</v>
      </c>
      <c r="U62" s="41">
        <f t="shared" ca="1" si="7"/>
        <v>2.8208778012569231E-2</v>
      </c>
      <c r="V62" s="41">
        <f t="shared" ca="1" si="8"/>
        <v>11.39331230525209</v>
      </c>
      <c r="W62" s="20">
        <f t="shared" ca="1" si="9"/>
        <v>1451.3564839914957</v>
      </c>
      <c r="X62" s="41">
        <f t="shared" si="10"/>
        <v>0.58596486678727633</v>
      </c>
      <c r="Y62" s="41">
        <f t="shared" ca="1" si="11"/>
        <v>174.08746498937117</v>
      </c>
      <c r="Z62" s="14">
        <f t="shared" ca="1" si="12"/>
        <v>1511.9701784006631</v>
      </c>
      <c r="AA62" s="14">
        <f t="shared" si="13"/>
        <v>6280</v>
      </c>
      <c r="AB62" s="25">
        <f t="shared" ca="1" si="14"/>
        <v>672826.72938829509</v>
      </c>
      <c r="AC62" s="41">
        <f t="shared" si="15"/>
        <v>2794600</v>
      </c>
      <c r="AD62" s="5">
        <v>100</v>
      </c>
      <c r="AE62" s="41">
        <f t="shared" si="16"/>
        <v>6280</v>
      </c>
      <c r="AF62" s="41">
        <f t="shared" ca="1" si="17"/>
        <v>4768.0298215993371</v>
      </c>
      <c r="AG62" s="41">
        <f t="shared" ca="1" si="18"/>
        <v>2121773.2706117048</v>
      </c>
      <c r="AH62" s="41">
        <f t="shared" si="19"/>
        <v>4427.3999999999996</v>
      </c>
      <c r="AI62" s="13">
        <f t="shared" ca="1" si="20"/>
        <v>124.73603284319404</v>
      </c>
      <c r="AJ62" s="10">
        <f t="shared" ca="1" si="21"/>
        <v>16.278450190275546</v>
      </c>
      <c r="AK62" s="11">
        <f t="shared" ca="1" si="41"/>
        <v>7484.1619705916419</v>
      </c>
      <c r="AL62" s="6">
        <v>10000</v>
      </c>
      <c r="AM62" s="41">
        <f t="shared" ca="1" si="22"/>
        <v>80.16929649006093</v>
      </c>
      <c r="AN62" s="41">
        <f t="shared" ca="1" si="23"/>
        <v>98.594873133359926</v>
      </c>
      <c r="AO62" s="41">
        <f t="shared" ca="1" si="24"/>
        <v>5.636027216059798</v>
      </c>
      <c r="AP62" s="67">
        <f t="shared" si="42"/>
        <v>0.70499999999999996</v>
      </c>
      <c r="AQ62" s="11">
        <f t="shared" si="25"/>
        <v>1.0520562207183759</v>
      </c>
      <c r="AR62" s="11">
        <f t="shared" si="26"/>
        <v>1</v>
      </c>
      <c r="AS62" s="11">
        <f t="shared" si="27"/>
        <v>0.95051954477981193</v>
      </c>
      <c r="AT62" s="11">
        <f t="shared" si="28"/>
        <v>545.66999999999996</v>
      </c>
      <c r="AU62" s="11">
        <f t="shared" si="29"/>
        <v>2116.2199999999998</v>
      </c>
      <c r="AV62" s="11">
        <f t="shared" si="30"/>
        <v>2.259289905987135E-3</v>
      </c>
      <c r="AW62" s="11">
        <f t="shared" si="31"/>
        <v>3.8865391239478742E-7</v>
      </c>
      <c r="AX62" s="41">
        <f t="shared" ca="1" si="32"/>
        <v>123.17022833691746</v>
      </c>
      <c r="AY62" s="11">
        <f t="shared" ca="1" si="33"/>
        <v>618.62082733152488</v>
      </c>
      <c r="AZ62" s="11"/>
      <c r="BA62" s="11"/>
    </row>
    <row r="63" spans="1:53" ht="14.5">
      <c r="A63" s="41">
        <f t="shared" ca="1" si="34"/>
        <v>4110.9290256306003</v>
      </c>
      <c r="B63" s="41">
        <f t="shared" ca="1" si="46"/>
        <v>68.515483760510008</v>
      </c>
      <c r="C63" s="41">
        <f t="shared" ca="1" si="46"/>
        <v>1.1419247293418335</v>
      </c>
      <c r="D63" s="41">
        <f t="shared" ca="1" si="43"/>
        <v>17226.348438746474</v>
      </c>
      <c r="E63" s="41">
        <f t="shared" ca="1" si="36"/>
        <v>218.83449399939877</v>
      </c>
      <c r="F63" s="41">
        <f t="shared" ca="1" si="37"/>
        <v>218.83449399939877</v>
      </c>
      <c r="G63" s="41"/>
      <c r="H63" s="5">
        <v>0</v>
      </c>
      <c r="I63" s="5">
        <v>15</v>
      </c>
      <c r="J63" s="41">
        <f t="shared" si="38"/>
        <v>0.39988270107435153</v>
      </c>
      <c r="K63" s="41">
        <f t="shared" si="44"/>
        <v>450</v>
      </c>
      <c r="L63" s="6">
        <f t="shared" si="39"/>
        <v>59.399999999999977</v>
      </c>
      <c r="M63" s="41">
        <f t="shared" si="0"/>
        <v>266.61779999999999</v>
      </c>
      <c r="N63" s="41">
        <f t="shared" si="1"/>
        <v>228.75310298119743</v>
      </c>
      <c r="O63" s="41">
        <f t="shared" si="2"/>
        <v>2615901.7708832058</v>
      </c>
      <c r="P63" s="41">
        <f t="shared" si="3"/>
        <v>16795927.521826137</v>
      </c>
      <c r="Q63" s="41">
        <f t="shared" si="4"/>
        <v>2.7274175659050795E-3</v>
      </c>
      <c r="R63" s="41">
        <f t="shared" si="5"/>
        <v>2.165088423985051E-2</v>
      </c>
      <c r="S63" s="24">
        <f t="shared" ca="1" si="40"/>
        <v>16.222397361651534</v>
      </c>
      <c r="T63" s="41">
        <f t="shared" ca="1" si="6"/>
        <v>0.31437869897678389</v>
      </c>
      <c r="U63" s="41">
        <f t="shared" ca="1" si="7"/>
        <v>2.7892913721285835E-2</v>
      </c>
      <c r="V63" s="41">
        <f t="shared" ca="1" si="8"/>
        <v>11.270916409742917</v>
      </c>
      <c r="W63" s="20">
        <f t="shared" ca="1" si="9"/>
        <v>1467.5358299341192</v>
      </c>
      <c r="X63" s="41">
        <f t="shared" si="10"/>
        <v>0.58550151555145646</v>
      </c>
      <c r="Y63" s="41">
        <f t="shared" ca="1" si="11"/>
        <v>174.11228799227283</v>
      </c>
      <c r="Z63" s="14">
        <f t="shared" ca="1" si="12"/>
        <v>1528.3893352146151</v>
      </c>
      <c r="AA63" s="14">
        <f t="shared" si="13"/>
        <v>6280</v>
      </c>
      <c r="AB63" s="25">
        <f t="shared" ca="1" si="14"/>
        <v>687775.20084657683</v>
      </c>
      <c r="AC63" s="41">
        <f t="shared" si="15"/>
        <v>2826000</v>
      </c>
      <c r="AD63" s="5">
        <v>100</v>
      </c>
      <c r="AE63" s="41">
        <f t="shared" si="16"/>
        <v>6280</v>
      </c>
      <c r="AF63" s="41">
        <f t="shared" ca="1" si="17"/>
        <v>4751.6106647853849</v>
      </c>
      <c r="AG63" s="41">
        <f t="shared" ca="1" si="18"/>
        <v>2138224.7991534229</v>
      </c>
      <c r="AH63" s="41">
        <f t="shared" si="19"/>
        <v>4427.3999999999996</v>
      </c>
      <c r="AI63" s="13">
        <f t="shared" ca="1" si="20"/>
        <v>125.71491191125781</v>
      </c>
      <c r="AJ63" s="10">
        <f t="shared" ca="1" si="21"/>
        <v>16.222397361651534</v>
      </c>
      <c r="AK63" s="11">
        <f t="shared" ca="1" si="41"/>
        <v>7542.894714675469</v>
      </c>
      <c r="AL63" s="6">
        <v>10000</v>
      </c>
      <c r="AM63" s="41">
        <f t="shared" ca="1" si="22"/>
        <v>79.545058322587877</v>
      </c>
      <c r="AN63" s="41">
        <f t="shared" ca="1" si="23"/>
        <v>97.827164227062653</v>
      </c>
      <c r="AO63" s="41">
        <f t="shared" ca="1" si="24"/>
        <v>5.6565881463054897</v>
      </c>
      <c r="AP63" s="67">
        <f t="shared" si="42"/>
        <v>0.70499999999999996</v>
      </c>
      <c r="AQ63" s="11">
        <f t="shared" si="25"/>
        <v>1.0520562207183759</v>
      </c>
      <c r="AR63" s="11">
        <f t="shared" si="26"/>
        <v>1</v>
      </c>
      <c r="AS63" s="11">
        <f t="shared" si="27"/>
        <v>0.95051954477981193</v>
      </c>
      <c r="AT63" s="11">
        <f t="shared" si="28"/>
        <v>545.66999999999996</v>
      </c>
      <c r="AU63" s="11">
        <f t="shared" si="29"/>
        <v>2116.2199999999998</v>
      </c>
      <c r="AV63" s="11">
        <f t="shared" si="30"/>
        <v>2.259289905987135E-3</v>
      </c>
      <c r="AW63" s="11">
        <f t="shared" si="31"/>
        <v>3.8865391239478742E-7</v>
      </c>
      <c r="AX63" s="41">
        <f t="shared" ca="1" si="32"/>
        <v>124.12524957082647</v>
      </c>
      <c r="AY63" s="11">
        <f t="shared" ca="1" si="33"/>
        <v>619.09653137361954</v>
      </c>
      <c r="AZ63" s="11"/>
      <c r="BA63" s="11"/>
    </row>
    <row r="64" spans="1:53" ht="14.5">
      <c r="A64" s="41">
        <f t="shared" ca="1" si="34"/>
        <v>4190.4740839531878</v>
      </c>
      <c r="B64" s="41">
        <f t="shared" ca="1" si="46"/>
        <v>69.841234732553133</v>
      </c>
      <c r="C64" s="41">
        <f t="shared" ca="1" si="46"/>
        <v>1.1640205788758855</v>
      </c>
      <c r="D64" s="41">
        <f t="shared" ca="1" si="43"/>
        <v>17226.348438746474</v>
      </c>
      <c r="E64" s="41">
        <f t="shared" ca="1" si="36"/>
        <v>224.49108214570427</v>
      </c>
      <c r="F64" s="41">
        <f t="shared" ca="1" si="37"/>
        <v>224.49108214570427</v>
      </c>
      <c r="G64" s="41"/>
      <c r="H64" s="5">
        <v>0</v>
      </c>
      <c r="I64" s="5">
        <v>15</v>
      </c>
      <c r="J64" s="41">
        <f t="shared" si="38"/>
        <v>0.40432584219739992</v>
      </c>
      <c r="K64" s="41">
        <f t="shared" si="44"/>
        <v>455</v>
      </c>
      <c r="L64" s="6">
        <f t="shared" si="39"/>
        <v>60.634999999999977</v>
      </c>
      <c r="M64" s="41">
        <f t="shared" si="0"/>
        <v>269.58022</v>
      </c>
      <c r="N64" s="41">
        <f t="shared" si="1"/>
        <v>233.86474639349331</v>
      </c>
      <c r="O64" s="41">
        <f t="shared" si="2"/>
        <v>2644967.3461152418</v>
      </c>
      <c r="P64" s="41">
        <f t="shared" si="3"/>
        <v>16982548.938735317</v>
      </c>
      <c r="Q64" s="41">
        <f t="shared" si="4"/>
        <v>2.7218596460552558E-3</v>
      </c>
      <c r="R64" s="41">
        <f t="shared" si="5"/>
        <v>2.1616953139167339E-2</v>
      </c>
      <c r="S64" s="24">
        <f t="shared" ca="1" si="40"/>
        <v>16.164769228024742</v>
      </c>
      <c r="T64" s="41">
        <f t="shared" ca="1" si="6"/>
        <v>0.30759707378374118</v>
      </c>
      <c r="U64" s="41">
        <f t="shared" ca="1" si="7"/>
        <v>2.7592587146153466E-2</v>
      </c>
      <c r="V64" s="41">
        <f t="shared" ca="1" si="8"/>
        <v>11.147815612738642</v>
      </c>
      <c r="W64" s="20">
        <f t="shared" ca="1" si="9"/>
        <v>1484.1746809133749</v>
      </c>
      <c r="X64" s="41">
        <f t="shared" si="10"/>
        <v>0.58504253889953572</v>
      </c>
      <c r="Y64" s="41">
        <f t="shared" ca="1" si="11"/>
        <v>174.13771807733235</v>
      </c>
      <c r="Z64" s="14">
        <f t="shared" ca="1" si="12"/>
        <v>1545.2667174600444</v>
      </c>
      <c r="AA64" s="14">
        <f t="shared" si="13"/>
        <v>6280</v>
      </c>
      <c r="AB64" s="25">
        <f t="shared" ca="1" si="14"/>
        <v>703096.35644432018</v>
      </c>
      <c r="AC64" s="41">
        <f t="shared" si="15"/>
        <v>2857400</v>
      </c>
      <c r="AD64" s="5">
        <v>100</v>
      </c>
      <c r="AE64" s="41">
        <f t="shared" si="16"/>
        <v>6280</v>
      </c>
      <c r="AF64" s="41">
        <f t="shared" ca="1" si="17"/>
        <v>4734.7332825399553</v>
      </c>
      <c r="AG64" s="41">
        <f t="shared" ca="1" si="18"/>
        <v>2154303.6435556798</v>
      </c>
      <c r="AH64" s="41">
        <f t="shared" si="19"/>
        <v>4427.3999999999996</v>
      </c>
      <c r="AI64" s="13">
        <f t="shared" ca="1" si="20"/>
        <v>126.67226185186821</v>
      </c>
      <c r="AJ64" s="10">
        <f t="shared" ca="1" si="21"/>
        <v>16.164769228024742</v>
      </c>
      <c r="AK64" s="11">
        <f t="shared" ca="1" si="41"/>
        <v>7600.3357111120931</v>
      </c>
      <c r="AL64" s="6">
        <v>10000</v>
      </c>
      <c r="AM64" s="41">
        <f t="shared" ca="1" si="22"/>
        <v>78.943881271292824</v>
      </c>
      <c r="AN64" s="41">
        <f t="shared" ca="1" si="23"/>
        <v>97.087816650144958</v>
      </c>
      <c r="AO64" s="41">
        <f t="shared" ca="1" si="24"/>
        <v>5.6778715736178</v>
      </c>
      <c r="AP64" s="67">
        <f t="shared" si="42"/>
        <v>0.70499999999999996</v>
      </c>
      <c r="AQ64" s="11">
        <f t="shared" si="25"/>
        <v>1.0520562207183759</v>
      </c>
      <c r="AR64" s="11">
        <f t="shared" si="26"/>
        <v>1</v>
      </c>
      <c r="AS64" s="11">
        <f t="shared" si="27"/>
        <v>0.95051954477981193</v>
      </c>
      <c r="AT64" s="11">
        <f t="shared" si="28"/>
        <v>545.66999999999996</v>
      </c>
      <c r="AU64" s="11">
        <f t="shared" si="29"/>
        <v>2116.2199999999998</v>
      </c>
      <c r="AV64" s="11">
        <f t="shared" si="30"/>
        <v>2.259289905987135E-3</v>
      </c>
      <c r="AW64" s="11">
        <f t="shared" si="31"/>
        <v>3.8865391239478742E-7</v>
      </c>
      <c r="AX64" s="41">
        <f t="shared" ca="1" si="32"/>
        <v>125.05863626385838</v>
      </c>
      <c r="AY64" s="11">
        <f t="shared" ca="1" si="33"/>
        <v>619.56849640203563</v>
      </c>
      <c r="AZ64" s="11"/>
      <c r="BA64" s="11"/>
    </row>
    <row r="65" spans="1:53" ht="14.5">
      <c r="A65" s="41">
        <f t="shared" ca="1" si="34"/>
        <v>4269.4179652244802</v>
      </c>
      <c r="B65" s="41">
        <f t="shared" ca="1" si="46"/>
        <v>71.156966087074665</v>
      </c>
      <c r="C65" s="41">
        <f t="shared" ca="1" si="46"/>
        <v>1.1859494347845778</v>
      </c>
      <c r="D65" s="41">
        <f t="shared" ca="1" si="43"/>
        <v>17226.348438746474</v>
      </c>
      <c r="E65" s="41">
        <f t="shared" ca="1" si="36"/>
        <v>230.16895371932208</v>
      </c>
      <c r="F65" s="41">
        <f t="shared" ca="1" si="37"/>
        <v>230.16895371932208</v>
      </c>
      <c r="G65" s="41"/>
      <c r="H65" s="5">
        <v>0</v>
      </c>
      <c r="I65" s="5">
        <v>15</v>
      </c>
      <c r="J65" s="41">
        <f t="shared" si="38"/>
        <v>0.40876898332044825</v>
      </c>
      <c r="K65" s="41">
        <f t="shared" si="44"/>
        <v>460</v>
      </c>
      <c r="L65" s="6">
        <f t="shared" si="39"/>
        <v>61.869999999999976</v>
      </c>
      <c r="M65" s="41">
        <f t="shared" si="0"/>
        <v>272.54264000000001</v>
      </c>
      <c r="N65" s="41">
        <f t="shared" si="1"/>
        <v>239.03287205343889</v>
      </c>
      <c r="O65" s="41">
        <f t="shared" si="2"/>
        <v>2674032.9213472768</v>
      </c>
      <c r="P65" s="41">
        <f t="shared" si="3"/>
        <v>17169170.355644494</v>
      </c>
      <c r="Q65" s="41">
        <f t="shared" si="4"/>
        <v>2.7163575880500895E-3</v>
      </c>
      <c r="R65" s="41">
        <f t="shared" si="5"/>
        <v>2.1583363075045797E-2</v>
      </c>
      <c r="S65" s="24">
        <f t="shared" ca="1" si="40"/>
        <v>16.105605848191974</v>
      </c>
      <c r="T65" s="41">
        <f t="shared" ca="1" si="6"/>
        <v>0.30103643804797819</v>
      </c>
      <c r="U65" s="41">
        <f t="shared" ca="1" si="7"/>
        <v>2.7306810847365692E-2</v>
      </c>
      <c r="V65" s="41">
        <f t="shared" ca="1" si="8"/>
        <v>11.02422541140572</v>
      </c>
      <c r="W65" s="20">
        <f t="shared" ca="1" si="9"/>
        <v>1501.2618473971388</v>
      </c>
      <c r="X65" s="41">
        <f t="shared" si="10"/>
        <v>0.58458782041424573</v>
      </c>
      <c r="Y65" s="41">
        <f t="shared" ca="1" si="11"/>
        <v>174.16373015198491</v>
      </c>
      <c r="Z65" s="14">
        <f t="shared" ca="1" si="12"/>
        <v>1562.5903676573962</v>
      </c>
      <c r="AA65" s="14">
        <f t="shared" si="13"/>
        <v>6280</v>
      </c>
      <c r="AB65" s="25">
        <f t="shared" ca="1" si="14"/>
        <v>718791.56912240223</v>
      </c>
      <c r="AC65" s="41">
        <f t="shared" si="15"/>
        <v>2888800</v>
      </c>
      <c r="AD65" s="5">
        <v>100</v>
      </c>
      <c r="AE65" s="41">
        <f t="shared" si="16"/>
        <v>6280</v>
      </c>
      <c r="AF65" s="41">
        <f t="shared" ca="1" si="17"/>
        <v>4717.4096323426038</v>
      </c>
      <c r="AG65" s="41">
        <f t="shared" ca="1" si="18"/>
        <v>2170008.430877598</v>
      </c>
      <c r="AH65" s="41">
        <f t="shared" si="19"/>
        <v>4427.3999999999996</v>
      </c>
      <c r="AI65" s="13">
        <f t="shared" ca="1" si="20"/>
        <v>127.60798134402977</v>
      </c>
      <c r="AJ65" s="10">
        <f t="shared" ca="1" si="21"/>
        <v>16.105605848191974</v>
      </c>
      <c r="AK65" s="11">
        <f t="shared" ca="1" si="41"/>
        <v>7656.4788806417864</v>
      </c>
      <c r="AL65" s="6">
        <v>10000</v>
      </c>
      <c r="AM65" s="41">
        <f t="shared" ca="1" si="22"/>
        <v>78.365004247188153</v>
      </c>
      <c r="AN65" s="41">
        <f t="shared" ca="1" si="23"/>
        <v>96.375894390000227</v>
      </c>
      <c r="AO65" s="41">
        <f t="shared" ca="1" si="24"/>
        <v>5.6998762130625407</v>
      </c>
      <c r="AP65" s="67">
        <f t="shared" si="42"/>
        <v>0.70499999999999996</v>
      </c>
      <c r="AQ65" s="11">
        <f t="shared" si="25"/>
        <v>1.0520562207183759</v>
      </c>
      <c r="AR65" s="11">
        <f t="shared" si="26"/>
        <v>1</v>
      </c>
      <c r="AS65" s="11">
        <f t="shared" si="27"/>
        <v>0.95051954477981193</v>
      </c>
      <c r="AT65" s="11">
        <f t="shared" si="28"/>
        <v>545.66999999999996</v>
      </c>
      <c r="AU65" s="11">
        <f t="shared" si="29"/>
        <v>2116.2199999999998</v>
      </c>
      <c r="AV65" s="11">
        <f t="shared" si="30"/>
        <v>2.259289905987135E-3</v>
      </c>
      <c r="AW65" s="11">
        <f t="shared" si="31"/>
        <v>3.8865391239478742E-7</v>
      </c>
      <c r="AX65" s="41">
        <f t="shared" ca="1" si="32"/>
        <v>125.97030871596053</v>
      </c>
      <c r="AY65" s="11">
        <f t="shared" ca="1" si="33"/>
        <v>620.03682274767868</v>
      </c>
      <c r="AZ65" s="11"/>
      <c r="BA65" s="11"/>
    </row>
    <row r="66" spans="1:53" ht="14.5">
      <c r="A66" s="41">
        <f t="shared" ca="1" si="34"/>
        <v>4347.7829694716684</v>
      </c>
      <c r="B66" s="41">
        <f t="shared" ca="1" si="46"/>
        <v>72.463049491194468</v>
      </c>
      <c r="C66" s="41">
        <f t="shared" ca="1" si="46"/>
        <v>1.2077174915199078</v>
      </c>
      <c r="D66" s="41">
        <f t="shared" ca="1" si="43"/>
        <v>17226.348438746474</v>
      </c>
      <c r="E66" s="41">
        <f t="shared" ca="1" si="36"/>
        <v>235.86882993238461</v>
      </c>
      <c r="F66" s="41">
        <f t="shared" ca="1" si="37"/>
        <v>235.86882993238461</v>
      </c>
      <c r="G66" s="41"/>
      <c r="H66" s="5">
        <v>0</v>
      </c>
      <c r="I66" s="5">
        <v>15</v>
      </c>
      <c r="J66" s="41">
        <f t="shared" si="38"/>
        <v>0.41321212444349659</v>
      </c>
      <c r="K66" s="41">
        <f t="shared" si="44"/>
        <v>465</v>
      </c>
      <c r="L66" s="6">
        <f t="shared" si="39"/>
        <v>63.104999999999976</v>
      </c>
      <c r="M66" s="41">
        <f t="shared" si="0"/>
        <v>275.50506000000001</v>
      </c>
      <c r="N66" s="41">
        <f t="shared" si="1"/>
        <v>244.25747996103414</v>
      </c>
      <c r="O66" s="41">
        <f t="shared" si="2"/>
        <v>2703098.4965793127</v>
      </c>
      <c r="P66" s="41">
        <f t="shared" si="3"/>
        <v>17355791.772553675</v>
      </c>
      <c r="Q66" s="41">
        <f t="shared" si="4"/>
        <v>2.7109099137544511E-3</v>
      </c>
      <c r="R66" s="41">
        <f t="shared" si="5"/>
        <v>2.1550105023470923E-2</v>
      </c>
      <c r="S66" s="24">
        <f t="shared" ca="1" si="40"/>
        <v>16.044945248382586</v>
      </c>
      <c r="T66" s="41">
        <f t="shared" ca="1" si="6"/>
        <v>0.29468723480829923</v>
      </c>
      <c r="U66" s="41">
        <f t="shared" ca="1" si="7"/>
        <v>2.7034670657172716E-2</v>
      </c>
      <c r="V66" s="41">
        <f t="shared" ca="1" si="8"/>
        <v>10.900344914322607</v>
      </c>
      <c r="W66" s="20">
        <f t="shared" ca="1" si="9"/>
        <v>1518.7867210484301</v>
      </c>
      <c r="X66" s="41">
        <f t="shared" si="10"/>
        <v>0.58413724773734188</v>
      </c>
      <c r="Y66" s="41">
        <f t="shared" ca="1" si="11"/>
        <v>174.19030007768666</v>
      </c>
      <c r="Z66" s="14">
        <f t="shared" ca="1" si="12"/>
        <v>1580.348931538098</v>
      </c>
      <c r="AA66" s="14">
        <f t="shared" si="13"/>
        <v>6280</v>
      </c>
      <c r="AB66" s="25">
        <f t="shared" ca="1" si="14"/>
        <v>734862.2531652156</v>
      </c>
      <c r="AC66" s="41">
        <f t="shared" si="15"/>
        <v>2920200</v>
      </c>
      <c r="AD66" s="5">
        <v>100</v>
      </c>
      <c r="AE66" s="41">
        <f t="shared" si="16"/>
        <v>6280</v>
      </c>
      <c r="AF66" s="41">
        <f t="shared" ca="1" si="17"/>
        <v>4699.6510684619025</v>
      </c>
      <c r="AG66" s="41">
        <f t="shared" ca="1" si="18"/>
        <v>2185337.7468347843</v>
      </c>
      <c r="AH66" s="41">
        <f t="shared" si="19"/>
        <v>4427.3999999999996</v>
      </c>
      <c r="AI66" s="13">
        <f t="shared" ca="1" si="20"/>
        <v>128.52196636941972</v>
      </c>
      <c r="AJ66" s="10">
        <f t="shared" ca="1" si="21"/>
        <v>16.044945248382586</v>
      </c>
      <c r="AK66" s="11">
        <f t="shared" ca="1" si="41"/>
        <v>7711.3179821651829</v>
      </c>
      <c r="AL66" s="6">
        <v>10000</v>
      </c>
      <c r="AM66" s="41">
        <f t="shared" ca="1" si="22"/>
        <v>77.807710872212283</v>
      </c>
      <c r="AN66" s="41">
        <f t="shared" ca="1" si="23"/>
        <v>95.690516421009065</v>
      </c>
      <c r="AO66" s="41">
        <f t="shared" ca="1" si="24"/>
        <v>5.7226017261416215</v>
      </c>
      <c r="AP66" s="67">
        <f t="shared" si="42"/>
        <v>0.70499999999999996</v>
      </c>
      <c r="AQ66" s="11">
        <f t="shared" si="25"/>
        <v>1.0520562207183759</v>
      </c>
      <c r="AR66" s="11">
        <f t="shared" si="26"/>
        <v>1</v>
      </c>
      <c r="AS66" s="11">
        <f t="shared" si="27"/>
        <v>0.95051954477981193</v>
      </c>
      <c r="AT66" s="11">
        <f t="shared" si="28"/>
        <v>545.66999999999996</v>
      </c>
      <c r="AU66" s="11">
        <f t="shared" si="29"/>
        <v>2116.2199999999998</v>
      </c>
      <c r="AV66" s="11">
        <f t="shared" si="30"/>
        <v>2.259289905987135E-3</v>
      </c>
      <c r="AW66" s="11">
        <f t="shared" si="31"/>
        <v>3.8865391239478742E-7</v>
      </c>
      <c r="AX66" s="41">
        <f t="shared" ca="1" si="32"/>
        <v>126.86018482706407</v>
      </c>
      <c r="AY66" s="11">
        <f t="shared" ca="1" si="33"/>
        <v>620.50160741060199</v>
      </c>
      <c r="AZ66" s="11"/>
      <c r="BA66" s="11"/>
    </row>
    <row r="67" spans="1:53" ht="14.5">
      <c r="A67" s="41">
        <f t="shared" ca="1" si="34"/>
        <v>4425.5906803438811</v>
      </c>
      <c r="B67" s="41">
        <f t="shared" ca="1" si="46"/>
        <v>73.759844672398017</v>
      </c>
      <c r="C67" s="41">
        <f t="shared" ca="1" si="46"/>
        <v>1.229330744539967</v>
      </c>
      <c r="D67" s="41">
        <f t="shared" ca="1" si="43"/>
        <v>17226.348438746474</v>
      </c>
      <c r="E67" s="41">
        <f t="shared" ca="1" si="36"/>
        <v>241.59143165852623</v>
      </c>
      <c r="F67" s="41">
        <f t="shared" ca="1" si="37"/>
        <v>241.59143165852623</v>
      </c>
      <c r="G67" s="41"/>
      <c r="H67" s="5">
        <v>0</v>
      </c>
      <c r="I67" s="5">
        <v>15</v>
      </c>
      <c r="J67" s="41">
        <f t="shared" si="38"/>
        <v>0.41765526556654498</v>
      </c>
      <c r="K67" s="41">
        <f t="shared" si="44"/>
        <v>470</v>
      </c>
      <c r="L67" s="6">
        <f t="shared" si="39"/>
        <v>64.339999999999975</v>
      </c>
      <c r="M67" s="41">
        <f t="shared" si="0"/>
        <v>278.46748000000002</v>
      </c>
      <c r="N67" s="41">
        <f t="shared" si="1"/>
        <v>249.53857011627906</v>
      </c>
      <c r="O67" s="41">
        <f t="shared" si="2"/>
        <v>2732164.0718113482</v>
      </c>
      <c r="P67" s="41">
        <f t="shared" si="3"/>
        <v>17542413.189462852</v>
      </c>
      <c r="Q67" s="41">
        <f t="shared" si="4"/>
        <v>2.7055151971485253E-3</v>
      </c>
      <c r="R67" s="41">
        <f t="shared" si="5"/>
        <v>2.1517170278591746E-2</v>
      </c>
      <c r="S67" s="24">
        <f t="shared" ca="1" si="40"/>
        <v>15.982823553216639</v>
      </c>
      <c r="T67" s="41">
        <f t="shared" ca="1" si="6"/>
        <v>0.28854041895265192</v>
      </c>
      <c r="U67" s="41">
        <f t="shared" ca="1" si="7"/>
        <v>2.6775319501482816E-2</v>
      </c>
      <c r="V67" s="41">
        <f t="shared" ca="1" si="8"/>
        <v>10.776357642965664</v>
      </c>
      <c r="W67" s="20">
        <f t="shared" ca="1" si="9"/>
        <v>1536.739236845505</v>
      </c>
      <c r="X67" s="41">
        <f t="shared" si="10"/>
        <v>0.58369071238906389</v>
      </c>
      <c r="Y67" s="41">
        <f t="shared" ca="1" si="11"/>
        <v>174.2174046122515</v>
      </c>
      <c r="Z67" s="14">
        <f t="shared" ca="1" si="12"/>
        <v>1598.5316198178596</v>
      </c>
      <c r="AA67" s="14">
        <f t="shared" si="13"/>
        <v>6280</v>
      </c>
      <c r="AB67" s="25">
        <f t="shared" ca="1" si="14"/>
        <v>751309.86131439405</v>
      </c>
      <c r="AC67" s="41">
        <f t="shared" si="15"/>
        <v>2951600</v>
      </c>
      <c r="AD67" s="5">
        <v>100</v>
      </c>
      <c r="AE67" s="41">
        <f t="shared" si="16"/>
        <v>6280</v>
      </c>
      <c r="AF67" s="41">
        <f t="shared" ca="1" si="17"/>
        <v>4681.4683801821402</v>
      </c>
      <c r="AG67" s="41">
        <f t="shared" ca="1" si="18"/>
        <v>2200290.138685606</v>
      </c>
      <c r="AH67" s="41">
        <f t="shared" si="19"/>
        <v>4427.3999999999996</v>
      </c>
      <c r="AI67" s="13">
        <f t="shared" ca="1" si="20"/>
        <v>129.41411040242704</v>
      </c>
      <c r="AJ67" s="10">
        <f t="shared" ca="1" si="21"/>
        <v>15.982823553216639</v>
      </c>
      <c r="AK67" s="11">
        <f t="shared" ca="1" si="41"/>
        <v>7764.8466241456226</v>
      </c>
      <c r="AL67" s="6">
        <v>10000</v>
      </c>
      <c r="AM67" s="41">
        <f t="shared" ca="1" si="22"/>
        <v>77.27132666526029</v>
      </c>
      <c r="AN67" s="41">
        <f t="shared" ca="1" si="23"/>
        <v>95.030853243825945</v>
      </c>
      <c r="AO67" s="41">
        <f t="shared" ca="1" si="24"/>
        <v>5.7460486851713544</v>
      </c>
      <c r="AP67" s="67">
        <f t="shared" si="42"/>
        <v>0.70499999999999996</v>
      </c>
      <c r="AQ67" s="11">
        <f t="shared" si="25"/>
        <v>1.0520562207183759</v>
      </c>
      <c r="AR67" s="11">
        <f t="shared" si="26"/>
        <v>1</v>
      </c>
      <c r="AS67" s="11">
        <f t="shared" si="27"/>
        <v>0.95051954477981193</v>
      </c>
      <c r="AT67" s="11">
        <f t="shared" si="28"/>
        <v>545.66999999999996</v>
      </c>
      <c r="AU67" s="11">
        <f t="shared" si="29"/>
        <v>2116.2199999999998</v>
      </c>
      <c r="AV67" s="11">
        <f t="shared" si="30"/>
        <v>2.259289905987135E-3</v>
      </c>
      <c r="AW67" s="11">
        <f t="shared" si="31"/>
        <v>3.8865391239478742E-7</v>
      </c>
      <c r="AX67" s="41">
        <f t="shared" ca="1" si="32"/>
        <v>127.72818026463399</v>
      </c>
      <c r="AY67" s="11">
        <f t="shared" ca="1" si="33"/>
        <v>620.96294420291088</v>
      </c>
      <c r="AZ67" s="11"/>
      <c r="BA67" s="11"/>
    </row>
    <row r="68" spans="1:53" ht="14.5">
      <c r="A68" s="41">
        <f t="shared" ca="1" si="34"/>
        <v>4502.8620070091411</v>
      </c>
      <c r="B68" s="41">
        <f t="shared" ca="1" si="46"/>
        <v>75.047700116819016</v>
      </c>
      <c r="C68" s="41">
        <f t="shared" ca="1" si="46"/>
        <v>1.2507950019469836</v>
      </c>
      <c r="D68" s="41">
        <f t="shared" ca="1" si="43"/>
        <v>17226.348438746474</v>
      </c>
      <c r="E68" s="41">
        <f t="shared" ca="1" si="36"/>
        <v>247.33748034369759</v>
      </c>
      <c r="F68" s="41">
        <f t="shared" ca="1" si="37"/>
        <v>247.33748034369759</v>
      </c>
      <c r="G68" s="41"/>
      <c r="H68" s="5">
        <v>0</v>
      </c>
      <c r="I68" s="5">
        <v>15</v>
      </c>
      <c r="J68" s="41">
        <f t="shared" si="38"/>
        <v>0.42209840668959331</v>
      </c>
      <c r="K68" s="41">
        <f t="shared" si="44"/>
        <v>475</v>
      </c>
      <c r="L68" s="6">
        <f t="shared" si="39"/>
        <v>65.574999999999974</v>
      </c>
      <c r="M68" s="41">
        <f t="shared" si="0"/>
        <v>281.42990000000003</v>
      </c>
      <c r="N68" s="41">
        <f t="shared" si="1"/>
        <v>254.87614251917367</v>
      </c>
      <c r="O68" s="41">
        <f t="shared" si="2"/>
        <v>2761229.6470433832</v>
      </c>
      <c r="P68" s="41">
        <f t="shared" si="3"/>
        <v>17729034.606372029</v>
      </c>
      <c r="Q68" s="41">
        <f t="shared" si="4"/>
        <v>2.7001720619955153E-3</v>
      </c>
      <c r="R68" s="41">
        <f t="shared" si="5"/>
        <v>2.148455043848262E-2</v>
      </c>
      <c r="S68" s="24">
        <f t="shared" ca="1" si="40"/>
        <v>15.919275106852002</v>
      </c>
      <c r="T68" s="41">
        <f t="shared" ca="1" si="6"/>
        <v>0.28258742462746317</v>
      </c>
      <c r="U68" s="41">
        <f t="shared" ca="1" si="7"/>
        <v>2.6527971802914427E-2</v>
      </c>
      <c r="V68" s="41">
        <f t="shared" ca="1" si="8"/>
        <v>10.652432335457226</v>
      </c>
      <c r="W68" s="20">
        <f t="shared" ca="1" si="9"/>
        <v>1555.1098380563749</v>
      </c>
      <c r="X68" s="41">
        <f t="shared" si="10"/>
        <v>0.58324810959745976</v>
      </c>
      <c r="Y68" s="41">
        <f t="shared" ca="1" si="11"/>
        <v>174.24502135617803</v>
      </c>
      <c r="Z68" s="14">
        <f t="shared" ca="1" si="12"/>
        <v>1617.128172821863</v>
      </c>
      <c r="AA68" s="14">
        <f t="shared" si="13"/>
        <v>6280</v>
      </c>
      <c r="AB68" s="25">
        <f t="shared" ca="1" si="14"/>
        <v>768135.88209038496</v>
      </c>
      <c r="AC68" s="41">
        <f t="shared" si="15"/>
        <v>2983000</v>
      </c>
      <c r="AD68" s="5">
        <v>100</v>
      </c>
      <c r="AE68" s="41">
        <f t="shared" si="16"/>
        <v>6280</v>
      </c>
      <c r="AF68" s="41">
        <f t="shared" ca="1" si="17"/>
        <v>4662.8718271781372</v>
      </c>
      <c r="AG68" s="41">
        <f t="shared" ca="1" si="18"/>
        <v>2214864.1179096149</v>
      </c>
      <c r="AH68" s="41">
        <f t="shared" si="19"/>
        <v>4427.3999999999996</v>
      </c>
      <c r="AI68" s="13">
        <f t="shared" ca="1" si="20"/>
        <v>130.28430458745191</v>
      </c>
      <c r="AJ68" s="10">
        <f t="shared" ca="1" si="21"/>
        <v>15.919275106852002</v>
      </c>
      <c r="AK68" s="11">
        <f t="shared" ca="1" si="41"/>
        <v>7817.0582752471146</v>
      </c>
      <c r="AL68" s="6">
        <v>10000</v>
      </c>
      <c r="AM68" s="41">
        <f t="shared" ca="1" si="22"/>
        <v>76.755216460380382</v>
      </c>
      <c r="AN68" s="41">
        <f t="shared" ca="1" si="23"/>
        <v>94.396123710191134</v>
      </c>
      <c r="AO68" s="41">
        <f t="shared" ca="1" si="24"/>
        <v>5.7702185420599186</v>
      </c>
      <c r="AP68" s="67">
        <f t="shared" si="42"/>
        <v>0.70499999999999996</v>
      </c>
      <c r="AQ68" s="11">
        <f t="shared" si="25"/>
        <v>1.0520562207183759</v>
      </c>
      <c r="AR68" s="11">
        <f t="shared" si="26"/>
        <v>1</v>
      </c>
      <c r="AS68" s="11">
        <f t="shared" si="27"/>
        <v>0.95051954477981193</v>
      </c>
      <c r="AT68" s="11">
        <f t="shared" si="28"/>
        <v>545.66999999999996</v>
      </c>
      <c r="AU68" s="11">
        <f t="shared" si="29"/>
        <v>2116.2199999999998</v>
      </c>
      <c r="AV68" s="11">
        <f t="shared" si="30"/>
        <v>2.259289905987135E-3</v>
      </c>
      <c r="AW68" s="11">
        <f t="shared" si="31"/>
        <v>3.8865391239478742E-7</v>
      </c>
      <c r="AX68" s="41">
        <f t="shared" ca="1" si="32"/>
        <v>128.5742086191533</v>
      </c>
      <c r="AY68" s="11">
        <f t="shared" ca="1" si="33"/>
        <v>621.42092388407752</v>
      </c>
      <c r="AZ68" s="11"/>
      <c r="BA68" s="11"/>
    </row>
    <row r="69" spans="1:53" ht="14.5">
      <c r="A69" s="41">
        <f t="shared" ca="1" si="34"/>
        <v>4579.6172234695214</v>
      </c>
      <c r="B69" s="41">
        <f t="shared" ca="1" si="46"/>
        <v>76.326953724492029</v>
      </c>
      <c r="C69" s="41">
        <f t="shared" ca="1" si="46"/>
        <v>1.2721158954082006</v>
      </c>
      <c r="D69" s="41">
        <f t="shared" ca="1" si="43"/>
        <v>17226.348438746474</v>
      </c>
      <c r="E69" s="41">
        <f t="shared" ca="1" si="36"/>
        <v>253.10769888575751</v>
      </c>
      <c r="F69" s="41">
        <f t="shared" ca="1" si="37"/>
        <v>253.10769888575751</v>
      </c>
      <c r="G69" s="41"/>
      <c r="H69" s="5">
        <v>0</v>
      </c>
      <c r="I69" s="5">
        <v>15</v>
      </c>
      <c r="J69" s="41">
        <f t="shared" si="38"/>
        <v>0.42654154781264164</v>
      </c>
      <c r="K69" s="41">
        <f t="shared" si="44"/>
        <v>480</v>
      </c>
      <c r="L69" s="6">
        <f t="shared" si="39"/>
        <v>66.809999999999974</v>
      </c>
      <c r="M69" s="41">
        <f t="shared" si="0"/>
        <v>284.39231999999998</v>
      </c>
      <c r="N69" s="41">
        <f t="shared" si="1"/>
        <v>260.27019716971796</v>
      </c>
      <c r="O69" s="41">
        <f t="shared" si="2"/>
        <v>2790295.2222754196</v>
      </c>
      <c r="P69" s="41">
        <f t="shared" si="3"/>
        <v>17915656.023281213</v>
      </c>
      <c r="Q69" s="41">
        <f t="shared" si="4"/>
        <v>2.6948791796371813E-3</v>
      </c>
      <c r="R69" s="41">
        <f t="shared" si="5"/>
        <v>2.1452237391684992E-2</v>
      </c>
      <c r="S69" s="24">
        <f t="shared" ca="1" si="40"/>
        <v>15.854332585151168</v>
      </c>
      <c r="T69" s="41">
        <f t="shared" ca="1" si="6"/>
        <v>0.27682013504517977</v>
      </c>
      <c r="U69" s="41">
        <f t="shared" ca="1" si="7"/>
        <v>2.6291898405034292E-2</v>
      </c>
      <c r="V69" s="41">
        <f t="shared" ca="1" si="8"/>
        <v>10.52872374526501</v>
      </c>
      <c r="W69" s="20">
        <f t="shared" ca="1" si="9"/>
        <v>1573.8894438242278</v>
      </c>
      <c r="X69" s="41">
        <f t="shared" si="10"/>
        <v>0.58280933813694202</v>
      </c>
      <c r="Y69" s="41">
        <f t="shared" ca="1" si="11"/>
        <v>174.2731287026603</v>
      </c>
      <c r="Z69" s="14">
        <f t="shared" ca="1" si="12"/>
        <v>1636.1288277217386</v>
      </c>
      <c r="AA69" s="14">
        <f t="shared" si="13"/>
        <v>6280</v>
      </c>
      <c r="AB69" s="25">
        <f t="shared" ca="1" si="14"/>
        <v>785341.83730643452</v>
      </c>
      <c r="AC69" s="41">
        <f t="shared" si="15"/>
        <v>3014400</v>
      </c>
      <c r="AD69" s="5">
        <v>100</v>
      </c>
      <c r="AE69" s="41">
        <f t="shared" si="16"/>
        <v>6280</v>
      </c>
      <c r="AF69" s="41">
        <f t="shared" ca="1" si="17"/>
        <v>4643.8711722782609</v>
      </c>
      <c r="AG69" s="41">
        <f t="shared" ca="1" si="18"/>
        <v>2229058.1626935657</v>
      </c>
      <c r="AH69" s="41">
        <f t="shared" si="19"/>
        <v>4427.3999999999996</v>
      </c>
      <c r="AI69" s="13">
        <f t="shared" ca="1" si="20"/>
        <v>131.13243790445173</v>
      </c>
      <c r="AJ69" s="10">
        <f t="shared" ca="1" si="21"/>
        <v>15.854332585151168</v>
      </c>
      <c r="AK69" s="11">
        <f t="shared" ca="1" si="41"/>
        <v>7867.9462742671039</v>
      </c>
      <c r="AL69" s="6">
        <v>10000</v>
      </c>
      <c r="AM69" s="41">
        <f t="shared" ca="1" si="22"/>
        <v>76.25878203596271</v>
      </c>
      <c r="AN69" s="41">
        <f t="shared" ca="1" si="23"/>
        <v>93.785592107228126</v>
      </c>
      <c r="AO69" s="41">
        <f t="shared" ca="1" si="24"/>
        <v>5.7951136011365749</v>
      </c>
      <c r="AP69" s="67">
        <f t="shared" si="42"/>
        <v>0.70499999999999996</v>
      </c>
      <c r="AQ69" s="11">
        <f t="shared" si="25"/>
        <v>1.0520562207183759</v>
      </c>
      <c r="AR69" s="11">
        <f t="shared" si="26"/>
        <v>1</v>
      </c>
      <c r="AS69" s="11">
        <f t="shared" si="27"/>
        <v>0.95051954477981193</v>
      </c>
      <c r="AT69" s="11">
        <f t="shared" si="28"/>
        <v>545.66999999999996</v>
      </c>
      <c r="AU69" s="11">
        <f t="shared" si="29"/>
        <v>2116.2199999999998</v>
      </c>
      <c r="AV69" s="11">
        <f t="shared" si="30"/>
        <v>2.259289905987135E-3</v>
      </c>
      <c r="AW69" s="11">
        <f t="shared" si="31"/>
        <v>3.8865391239478742E-7</v>
      </c>
      <c r="AX69" s="41">
        <f t="shared" ca="1" si="32"/>
        <v>129.39818154843789</v>
      </c>
      <c r="AY69" s="11">
        <f t="shared" ca="1" si="33"/>
        <v>621.87563428913927</v>
      </c>
      <c r="AZ69" s="11"/>
      <c r="BA69" s="11"/>
    </row>
    <row r="70" spans="1:53" ht="14.5">
      <c r="A70" s="41">
        <f t="shared" ca="1" si="34"/>
        <v>4655.8760055054845</v>
      </c>
      <c r="B70" s="41">
        <f t="shared" ca="1" si="46"/>
        <v>77.597933425091412</v>
      </c>
      <c r="C70" s="41">
        <f t="shared" ca="1" si="46"/>
        <v>1.2932988904181901</v>
      </c>
      <c r="D70" s="41">
        <f t="shared" ca="1" si="43"/>
        <v>17226.348438746474</v>
      </c>
      <c r="E70" s="41">
        <f t="shared" ca="1" si="36"/>
        <v>258.90281248689411</v>
      </c>
      <c r="F70" s="41">
        <f t="shared" ca="1" si="37"/>
        <v>258.90281248689411</v>
      </c>
      <c r="G70" s="41"/>
      <c r="H70" s="5">
        <v>0</v>
      </c>
      <c r="I70" s="5">
        <v>15</v>
      </c>
      <c r="J70" s="41">
        <f t="shared" si="38"/>
        <v>0.43098468893569003</v>
      </c>
      <c r="K70" s="41">
        <f t="shared" si="44"/>
        <v>485</v>
      </c>
      <c r="L70" s="6">
        <f t="shared" si="39"/>
        <v>68.044999999999973</v>
      </c>
      <c r="M70" s="41">
        <f t="shared" si="0"/>
        <v>287.35473999999999</v>
      </c>
      <c r="N70" s="41">
        <f t="shared" si="1"/>
        <v>265.72073406791191</v>
      </c>
      <c r="O70" s="41">
        <f t="shared" si="2"/>
        <v>2819360.7975074546</v>
      </c>
      <c r="P70" s="41">
        <f t="shared" si="3"/>
        <v>18102277.44019039</v>
      </c>
      <c r="Q70" s="41">
        <f t="shared" si="4"/>
        <v>2.6896352669089066E-3</v>
      </c>
      <c r="R70" s="41">
        <f t="shared" si="5"/>
        <v>2.1420223304478871E-2</v>
      </c>
      <c r="S70" s="24">
        <f t="shared" ca="1" si="40"/>
        <v>15.788027099620116</v>
      </c>
      <c r="T70" s="41">
        <f t="shared" ca="1" si="6"/>
        <v>0.27123085449026707</v>
      </c>
      <c r="U70" s="41">
        <f t="shared" ca="1" si="7"/>
        <v>2.6066421964324248E-2</v>
      </c>
      <c r="V70" s="41">
        <f t="shared" ca="1" si="8"/>
        <v>10.405373428753919</v>
      </c>
      <c r="W70" s="20">
        <f t="shared" ca="1" si="9"/>
        <v>1593.0694191433618</v>
      </c>
      <c r="X70" s="41">
        <f t="shared" si="10"/>
        <v>0.5823743001754822</v>
      </c>
      <c r="Y70" s="41">
        <f t="shared" ca="1" si="11"/>
        <v>174.30170579100434</v>
      </c>
      <c r="Z70" s="14">
        <f t="shared" ca="1" si="12"/>
        <v>1655.524288166695</v>
      </c>
      <c r="AA70" s="14">
        <f t="shared" si="13"/>
        <v>6280</v>
      </c>
      <c r="AB70" s="25">
        <f t="shared" ca="1" si="14"/>
        <v>802929.2797608471</v>
      </c>
      <c r="AC70" s="41">
        <f t="shared" si="15"/>
        <v>3045800</v>
      </c>
      <c r="AD70" s="5">
        <v>100</v>
      </c>
      <c r="AE70" s="41">
        <f t="shared" si="16"/>
        <v>6280</v>
      </c>
      <c r="AF70" s="41">
        <f t="shared" ca="1" si="17"/>
        <v>4624.4757118333055</v>
      </c>
      <c r="AG70" s="41">
        <f t="shared" ca="1" si="18"/>
        <v>2242870.7202391531</v>
      </c>
      <c r="AH70" s="41">
        <f t="shared" si="19"/>
        <v>4427.3999999999996</v>
      </c>
      <c r="AI70" s="13">
        <f t="shared" ca="1" si="20"/>
        <v>131.95839732363402</v>
      </c>
      <c r="AJ70" s="10">
        <f t="shared" ca="1" si="21"/>
        <v>15.788027099620116</v>
      </c>
      <c r="AK70" s="11">
        <f t="shared" ca="1" si="41"/>
        <v>7917.503839418041</v>
      </c>
      <c r="AL70" s="6">
        <v>10000</v>
      </c>
      <c r="AM70" s="41">
        <f t="shared" ca="1" si="22"/>
        <v>75.781459936001966</v>
      </c>
      <c r="AN70" s="41">
        <f t="shared" ca="1" si="23"/>
        <v>93.198565477959747</v>
      </c>
      <c r="AO70" s="41">
        <f t="shared" ca="1" si="24"/>
        <v>5.8207369957270059</v>
      </c>
      <c r="AP70" s="67">
        <f t="shared" si="42"/>
        <v>0.70499999999999996</v>
      </c>
      <c r="AQ70" s="11">
        <f t="shared" si="25"/>
        <v>1.0520562207183759</v>
      </c>
      <c r="AR70" s="11">
        <f t="shared" si="26"/>
        <v>1</v>
      </c>
      <c r="AS70" s="11">
        <f t="shared" si="27"/>
        <v>0.95051954477981193</v>
      </c>
      <c r="AT70" s="11">
        <f t="shared" si="28"/>
        <v>545.66999999999996</v>
      </c>
      <c r="AU70" s="11">
        <f t="shared" si="29"/>
        <v>2116.2199999999998</v>
      </c>
      <c r="AV70" s="11">
        <f t="shared" si="30"/>
        <v>2.259289905987135E-3</v>
      </c>
      <c r="AW70" s="11">
        <f t="shared" si="31"/>
        <v>3.8865391239478742E-7</v>
      </c>
      <c r="AX70" s="41">
        <f t="shared" ca="1" si="32"/>
        <v>130.20000891160205</v>
      </c>
      <c r="AY70" s="11">
        <f t="shared" ca="1" si="33"/>
        <v>622.32716045022619</v>
      </c>
      <c r="AZ70" s="11"/>
      <c r="BA70" s="11"/>
    </row>
    <row r="71" spans="1:53" ht="14.5">
      <c r="A71" s="41">
        <f t="shared" ca="1" si="34"/>
        <v>4731.6574654414862</v>
      </c>
      <c r="B71" s="41">
        <f t="shared" ca="1" si="46"/>
        <v>78.860957757358108</v>
      </c>
      <c r="C71" s="41">
        <f t="shared" ca="1" si="46"/>
        <v>1.3143492959559684</v>
      </c>
      <c r="D71" s="41">
        <f t="shared" ca="1" si="43"/>
        <v>17226.348438746474</v>
      </c>
      <c r="E71" s="41">
        <f t="shared" ca="1" si="36"/>
        <v>264.72354948262114</v>
      </c>
      <c r="F71" s="41">
        <f t="shared" ca="1" si="37"/>
        <v>264.72354948262114</v>
      </c>
      <c r="G71" s="41"/>
      <c r="H71" s="5">
        <v>0</v>
      </c>
      <c r="I71" s="5">
        <v>15</v>
      </c>
      <c r="J71" s="41">
        <f t="shared" si="38"/>
        <v>0.43542783005873836</v>
      </c>
      <c r="K71" s="41">
        <f t="shared" si="44"/>
        <v>490</v>
      </c>
      <c r="L71" s="6">
        <f t="shared" si="39"/>
        <v>69.279999999999973</v>
      </c>
      <c r="M71" s="41">
        <f t="shared" si="0"/>
        <v>290.31716</v>
      </c>
      <c r="N71" s="41">
        <f t="shared" si="1"/>
        <v>271.22775321375553</v>
      </c>
      <c r="O71" s="41">
        <f t="shared" si="2"/>
        <v>2848426.3727394906</v>
      </c>
      <c r="P71" s="41">
        <f t="shared" si="3"/>
        <v>18288898.85709957</v>
      </c>
      <c r="Q71" s="41">
        <f t="shared" si="4"/>
        <v>2.6844390841666748E-3</v>
      </c>
      <c r="R71" s="41">
        <f t="shared" si="5"/>
        <v>2.1388500608837548E-2</v>
      </c>
      <c r="S71" s="24">
        <f t="shared" ca="1" si="40"/>
        <v>15.720388293801513</v>
      </c>
      <c r="T71" s="41">
        <f t="shared" ca="1" si="6"/>
        <v>0.26581228234244814</v>
      </c>
      <c r="U71" s="41">
        <f t="shared" ca="1" si="7"/>
        <v>2.5850912762395987E-2</v>
      </c>
      <c r="V71" s="41">
        <f t="shared" ca="1" si="8"/>
        <v>10.282510516576878</v>
      </c>
      <c r="W71" s="20">
        <f t="shared" ca="1" si="9"/>
        <v>1612.6415470259763</v>
      </c>
      <c r="X71" s="41">
        <f t="shared" si="10"/>
        <v>0.58194290112990066</v>
      </c>
      <c r="Y71" s="41">
        <f t="shared" ca="1" si="11"/>
        <v>174.33073246319259</v>
      </c>
      <c r="Z71" s="14">
        <f t="shared" ca="1" si="12"/>
        <v>1675.3056961113862</v>
      </c>
      <c r="AA71" s="14">
        <f t="shared" si="13"/>
        <v>6280</v>
      </c>
      <c r="AB71" s="25">
        <f t="shared" ca="1" si="14"/>
        <v>820899.79109457927</v>
      </c>
      <c r="AC71" s="41">
        <f t="shared" si="15"/>
        <v>3077200</v>
      </c>
      <c r="AD71" s="5">
        <v>100</v>
      </c>
      <c r="AE71" s="41">
        <f t="shared" si="16"/>
        <v>6280</v>
      </c>
      <c r="AF71" s="41">
        <f t="shared" ca="1" si="17"/>
        <v>4604.6943038886138</v>
      </c>
      <c r="AG71" s="41">
        <f t="shared" ca="1" si="18"/>
        <v>2256300.2089054207</v>
      </c>
      <c r="AH71" s="41">
        <f t="shared" si="19"/>
        <v>4427.3999999999996</v>
      </c>
      <c r="AI71" s="13">
        <f t="shared" ca="1" si="20"/>
        <v>132.76206795011819</v>
      </c>
      <c r="AJ71" s="10">
        <f t="shared" ca="1" si="21"/>
        <v>15.720388293801513</v>
      </c>
      <c r="AK71" s="11">
        <f t="shared" ca="1" si="41"/>
        <v>7965.7240770070912</v>
      </c>
      <c r="AL71" s="6">
        <v>10000</v>
      </c>
      <c r="AM71" s="41">
        <f t="shared" ca="1" si="22"/>
        <v>75.3227194665063</v>
      </c>
      <c r="AN71" s="41">
        <f t="shared" ca="1" si="23"/>
        <v>92.634391157224997</v>
      </c>
      <c r="AO71" s="41">
        <f t="shared" ca="1" si="24"/>
        <v>5.8470926682060664</v>
      </c>
      <c r="AP71" s="67">
        <f t="shared" si="42"/>
        <v>0.70499999999999996</v>
      </c>
      <c r="AQ71" s="11">
        <f t="shared" si="25"/>
        <v>1.0520562207183759</v>
      </c>
      <c r="AR71" s="11">
        <f t="shared" si="26"/>
        <v>1</v>
      </c>
      <c r="AS71" s="11">
        <f t="shared" si="27"/>
        <v>0.95051954477981193</v>
      </c>
      <c r="AT71" s="11">
        <f t="shared" si="28"/>
        <v>545.66999999999996</v>
      </c>
      <c r="AU71" s="11">
        <f t="shared" si="29"/>
        <v>2116.2199999999998</v>
      </c>
      <c r="AV71" s="11">
        <f t="shared" si="30"/>
        <v>2.259289905987135E-3</v>
      </c>
      <c r="AW71" s="11">
        <f t="shared" si="31"/>
        <v>3.8865391239478742E-7</v>
      </c>
      <c r="AX71" s="41">
        <f t="shared" ca="1" si="32"/>
        <v>130.97959889342673</v>
      </c>
      <c r="AY71" s="11">
        <f t="shared" ca="1" si="33"/>
        <v>622.77558471182988</v>
      </c>
      <c r="AZ71" s="11"/>
      <c r="BA71" s="11"/>
    </row>
    <row r="72" spans="1:53" ht="14.5">
      <c r="A72" s="41">
        <f t="shared" ca="1" si="34"/>
        <v>4806.9801849079922</v>
      </c>
      <c r="B72" s="41">
        <f t="shared" ref="B72:C87" ca="1" si="47">A72/60</f>
        <v>80.116336415133205</v>
      </c>
      <c r="C72" s="41">
        <f t="shared" ca="1" si="47"/>
        <v>1.3352722735855533</v>
      </c>
      <c r="D72" s="41">
        <f t="shared" ca="1" si="43"/>
        <v>17226.348438746474</v>
      </c>
      <c r="E72" s="41">
        <f t="shared" ca="1" si="36"/>
        <v>270.57064215082721</v>
      </c>
      <c r="F72" s="41">
        <f t="shared" ca="1" si="37"/>
        <v>270.57064215082721</v>
      </c>
      <c r="G72" s="41"/>
      <c r="H72" s="5">
        <v>0</v>
      </c>
      <c r="I72" s="5">
        <v>15</v>
      </c>
      <c r="J72" s="41">
        <f t="shared" si="38"/>
        <v>0.4398709711817867</v>
      </c>
      <c r="K72" s="41">
        <f t="shared" si="44"/>
        <v>495</v>
      </c>
      <c r="L72" s="6">
        <f t="shared" si="39"/>
        <v>70.514999999999972</v>
      </c>
      <c r="M72" s="41">
        <f t="shared" si="0"/>
        <v>293.27958000000001</v>
      </c>
      <c r="N72" s="41">
        <f t="shared" si="1"/>
        <v>276.79125460724885</v>
      </c>
      <c r="O72" s="41">
        <f t="shared" si="2"/>
        <v>2877491.9479715265</v>
      </c>
      <c r="P72" s="41">
        <f t="shared" si="3"/>
        <v>18475520.274008751</v>
      </c>
      <c r="Q72" s="41">
        <f t="shared" si="4"/>
        <v>2.6792894334188248E-3</v>
      </c>
      <c r="R72" s="41">
        <f t="shared" si="5"/>
        <v>2.1357061991021924E-2</v>
      </c>
      <c r="S72" s="24">
        <f t="shared" ca="1" si="40"/>
        <v>15.651444432741433</v>
      </c>
      <c r="T72" s="41">
        <f t="shared" ca="1" si="6"/>
        <v>0.2605574889526111</v>
      </c>
      <c r="U72" s="41">
        <f t="shared" ca="1" si="7"/>
        <v>2.564478489622703E-2</v>
      </c>
      <c r="V72" s="41">
        <f t="shared" ca="1" si="8"/>
        <v>10.160252464856722</v>
      </c>
      <c r="W72" s="20">
        <f t="shared" ca="1" si="9"/>
        <v>1632.5980026787322</v>
      </c>
      <c r="X72" s="41">
        <f t="shared" si="10"/>
        <v>0.58151504952873889</v>
      </c>
      <c r="Y72" s="41">
        <f t="shared" ca="1" si="11"/>
        <v>174.36018922336152</v>
      </c>
      <c r="Z72" s="14">
        <f t="shared" ca="1" si="12"/>
        <v>1695.4646056611939</v>
      </c>
      <c r="AA72" s="14">
        <f t="shared" si="13"/>
        <v>6280</v>
      </c>
      <c r="AB72" s="25">
        <f t="shared" ca="1" si="14"/>
        <v>839254.97980229103</v>
      </c>
      <c r="AC72" s="41">
        <f t="shared" si="15"/>
        <v>3108600</v>
      </c>
      <c r="AD72" s="5">
        <v>100</v>
      </c>
      <c r="AE72" s="41">
        <f t="shared" si="16"/>
        <v>6280</v>
      </c>
      <c r="AF72" s="41">
        <f t="shared" ca="1" si="17"/>
        <v>4584.5353943388063</v>
      </c>
      <c r="AG72" s="41">
        <f t="shared" ca="1" si="18"/>
        <v>2269345.0201977091</v>
      </c>
      <c r="AH72" s="41">
        <f t="shared" si="19"/>
        <v>4427.3999999999996</v>
      </c>
      <c r="AI72" s="13">
        <f t="shared" ca="1" si="20"/>
        <v>133.54333315931859</v>
      </c>
      <c r="AJ72" s="10">
        <f t="shared" ca="1" si="21"/>
        <v>15.651444432741433</v>
      </c>
      <c r="AK72" s="11">
        <f t="shared" ca="1" si="41"/>
        <v>8012.5999895591158</v>
      </c>
      <c r="AL72" s="6">
        <v>10000</v>
      </c>
      <c r="AM72" s="41">
        <f t="shared" ca="1" si="22"/>
        <v>74.882060851887644</v>
      </c>
      <c r="AN72" s="41">
        <f t="shared" ca="1" si="23"/>
        <v>92.092454504346478</v>
      </c>
      <c r="AO72" s="41">
        <f t="shared" ca="1" si="24"/>
        <v>5.8741853532924955</v>
      </c>
      <c r="AP72" s="67">
        <f t="shared" si="42"/>
        <v>0.70499999999999996</v>
      </c>
      <c r="AQ72" s="11">
        <f t="shared" si="25"/>
        <v>1.0520562207183759</v>
      </c>
      <c r="AR72" s="11">
        <f t="shared" si="26"/>
        <v>1</v>
      </c>
      <c r="AS72" s="11">
        <f t="shared" si="27"/>
        <v>0.95051954477981193</v>
      </c>
      <c r="AT72" s="11">
        <f t="shared" si="28"/>
        <v>545.66999999999996</v>
      </c>
      <c r="AU72" s="11">
        <f t="shared" si="29"/>
        <v>2116.2199999999998</v>
      </c>
      <c r="AV72" s="11">
        <f t="shared" si="30"/>
        <v>2.259289905987135E-3</v>
      </c>
      <c r="AW72" s="11">
        <f t="shared" si="31"/>
        <v>3.8865391239478742E-7</v>
      </c>
      <c r="AX72" s="41">
        <f t="shared" ca="1" si="32"/>
        <v>131.73685811981895</v>
      </c>
      <c r="AY72" s="11">
        <f t="shared" ca="1" si="33"/>
        <v>623.22098684019898</v>
      </c>
      <c r="AZ72" s="11"/>
      <c r="BA72" s="11"/>
    </row>
    <row r="73" spans="1:53" ht="14.5">
      <c r="A73" s="41">
        <f t="shared" ca="1" si="34"/>
        <v>4881.8622457598794</v>
      </c>
      <c r="B73" s="41">
        <f t="shared" ca="1" si="47"/>
        <v>81.364370762664663</v>
      </c>
      <c r="C73" s="41">
        <f t="shared" ca="1" si="47"/>
        <v>1.3560728460444111</v>
      </c>
      <c r="D73" s="41">
        <f t="shared" ca="1" si="43"/>
        <v>17226.348438746474</v>
      </c>
      <c r="E73" s="41">
        <f t="shared" ca="1" si="36"/>
        <v>276.4448275041197</v>
      </c>
      <c r="F73" s="41">
        <f t="shared" ca="1" si="37"/>
        <v>276.4448275041197</v>
      </c>
      <c r="G73" s="41"/>
      <c r="H73" s="5">
        <v>0</v>
      </c>
      <c r="I73" s="5">
        <v>15</v>
      </c>
      <c r="J73" s="41">
        <f t="shared" si="38"/>
        <v>0.44431411230483503</v>
      </c>
      <c r="K73" s="41">
        <f t="shared" si="44"/>
        <v>500</v>
      </c>
      <c r="L73" s="6">
        <f t="shared" si="39"/>
        <v>71.749999999999972</v>
      </c>
      <c r="M73" s="41">
        <f t="shared" si="0"/>
        <v>296.24200000000002</v>
      </c>
      <c r="N73" s="41">
        <f t="shared" si="1"/>
        <v>282.4112382483919</v>
      </c>
      <c r="O73" s="41">
        <f t="shared" si="2"/>
        <v>2906557.5232035615</v>
      </c>
      <c r="P73" s="41">
        <f t="shared" si="3"/>
        <v>18662141.690917928</v>
      </c>
      <c r="Q73" s="41">
        <f t="shared" si="4"/>
        <v>2.6741851565560701E-3</v>
      </c>
      <c r="R73" s="41">
        <f t="shared" si="5"/>
        <v>2.1325900380774809E-2</v>
      </c>
      <c r="S73" s="24">
        <f t="shared" ca="1" si="40"/>
        <v>15.581222486092162</v>
      </c>
      <c r="T73" s="41">
        <f t="shared" ca="1" si="6"/>
        <v>0.25545989322177159</v>
      </c>
      <c r="U73" s="41">
        <f t="shared" ca="1" si="7"/>
        <v>2.5447492808817914E-2</v>
      </c>
      <c r="V73" s="41">
        <f t="shared" ca="1" si="8"/>
        <v>10.038705782962287</v>
      </c>
      <c r="W73" s="20">
        <f t="shared" ca="1" si="9"/>
        <v>1652.9313295247225</v>
      </c>
      <c r="X73" s="41">
        <f t="shared" si="10"/>
        <v>0.5810906568822517</v>
      </c>
      <c r="Y73" s="41">
        <f t="shared" ca="1" si="11"/>
        <v>174.39005719997601</v>
      </c>
      <c r="Z73" s="14">
        <f t="shared" ca="1" si="12"/>
        <v>1715.9929587719434</v>
      </c>
      <c r="AA73" s="14">
        <f t="shared" si="13"/>
        <v>6280</v>
      </c>
      <c r="AB73" s="25">
        <f t="shared" ca="1" si="14"/>
        <v>857996.47938597167</v>
      </c>
      <c r="AC73" s="41">
        <f t="shared" si="15"/>
        <v>3140000</v>
      </c>
      <c r="AD73" s="5">
        <v>100</v>
      </c>
      <c r="AE73" s="41">
        <f t="shared" si="16"/>
        <v>6280</v>
      </c>
      <c r="AF73" s="41">
        <f t="shared" ca="1" si="17"/>
        <v>4564.0070412280566</v>
      </c>
      <c r="AG73" s="41">
        <f t="shared" ca="1" si="18"/>
        <v>2282003.5206140284</v>
      </c>
      <c r="AH73" s="41">
        <f t="shared" si="19"/>
        <v>4427.3999999999996</v>
      </c>
      <c r="AI73" s="13">
        <f t="shared" ca="1" si="20"/>
        <v>134.30207472373579</v>
      </c>
      <c r="AJ73" s="10">
        <f t="shared" ca="1" si="21"/>
        <v>15.581222486092162</v>
      </c>
      <c r="AK73" s="11">
        <f t="shared" ca="1" si="41"/>
        <v>8058.124483424147</v>
      </c>
      <c r="AL73" s="6">
        <v>10000</v>
      </c>
      <c r="AM73" s="41">
        <f t="shared" ca="1" si="22"/>
        <v>74.459013537730982</v>
      </c>
      <c r="AN73" s="41">
        <f t="shared" ca="1" si="23"/>
        <v>91.572176815819489</v>
      </c>
      <c r="AO73" s="41">
        <f t="shared" ca="1" si="24"/>
        <v>5.9020205643795025</v>
      </c>
      <c r="AP73" s="67">
        <f t="shared" si="42"/>
        <v>0.70499999999999996</v>
      </c>
      <c r="AQ73" s="11">
        <f t="shared" si="25"/>
        <v>1.0520562207183759</v>
      </c>
      <c r="AR73" s="11">
        <f t="shared" si="26"/>
        <v>1</v>
      </c>
      <c r="AS73" s="11">
        <f t="shared" si="27"/>
        <v>0.95051954477981193</v>
      </c>
      <c r="AT73" s="11">
        <f t="shared" si="28"/>
        <v>545.66999999999996</v>
      </c>
      <c r="AU73" s="11">
        <f t="shared" si="29"/>
        <v>2116.2199999999998</v>
      </c>
      <c r="AV73" s="11">
        <f t="shared" si="30"/>
        <v>2.259289905987135E-3</v>
      </c>
      <c r="AW73" s="11">
        <f t="shared" si="31"/>
        <v>3.8865391239478742E-7</v>
      </c>
      <c r="AX73" s="41">
        <f t="shared" ca="1" si="32"/>
        <v>132.47169176499514</v>
      </c>
      <c r="AY73" s="11">
        <f t="shared" ca="1" si="33"/>
        <v>623.6634441272123</v>
      </c>
      <c r="AZ73" s="11"/>
      <c r="BA73" s="11"/>
    </row>
    <row r="74" spans="1:53" ht="14.5">
      <c r="A74" s="41">
        <f t="shared" ca="1" si="34"/>
        <v>4956.3212592976106</v>
      </c>
      <c r="B74" s="41">
        <f t="shared" ca="1" si="47"/>
        <v>82.605354321626848</v>
      </c>
      <c r="C74" s="41">
        <f t="shared" ca="1" si="47"/>
        <v>1.3767559053604475</v>
      </c>
      <c r="D74" s="41">
        <f t="shared" ca="1" si="43"/>
        <v>17226.348438746474</v>
      </c>
      <c r="E74" s="41">
        <f t="shared" ca="1" si="36"/>
        <v>282.34684806849918</v>
      </c>
      <c r="F74" s="41">
        <f t="shared" ca="1" si="37"/>
        <v>282.34684806849918</v>
      </c>
      <c r="G74" s="41"/>
      <c r="H74" s="5">
        <v>0</v>
      </c>
      <c r="I74" s="5">
        <v>15</v>
      </c>
      <c r="J74" s="41">
        <f t="shared" si="38"/>
        <v>0.44875725342788342</v>
      </c>
      <c r="K74" s="41">
        <f t="shared" si="44"/>
        <v>505</v>
      </c>
      <c r="L74" s="6">
        <f t="shared" si="39"/>
        <v>72.984999999999971</v>
      </c>
      <c r="M74" s="41">
        <f t="shared" si="0"/>
        <v>299.20442000000003</v>
      </c>
      <c r="N74" s="41">
        <f t="shared" si="1"/>
        <v>288.08770413718457</v>
      </c>
      <c r="O74" s="41">
        <f t="shared" si="2"/>
        <v>2935623.0984355975</v>
      </c>
      <c r="P74" s="41">
        <f t="shared" si="3"/>
        <v>18848763.107827108</v>
      </c>
      <c r="Q74" s="41">
        <f t="shared" si="4"/>
        <v>2.6691251336736564E-3</v>
      </c>
      <c r="R74" s="41">
        <f t="shared" si="5"/>
        <v>2.1295008941077671E-2</v>
      </c>
      <c r="S74" s="24">
        <f t="shared" ca="1" si="40"/>
        <v>15.509748205362849</v>
      </c>
      <c r="T74" s="41">
        <f t="shared" ca="1" si="6"/>
        <v>0.25051324174694156</v>
      </c>
      <c r="U74" s="41">
        <f t="shared" ca="1" si="7"/>
        <v>2.5258528126747906E-2</v>
      </c>
      <c r="V74" s="41">
        <f t="shared" ca="1" si="8"/>
        <v>9.9179667354273402</v>
      </c>
      <c r="W74" s="20">
        <f t="shared" ca="1" si="9"/>
        <v>1673.6344169214401</v>
      </c>
      <c r="X74" s="41">
        <f t="shared" si="10"/>
        <v>0.58066963755907675</v>
      </c>
      <c r="Y74" s="41">
        <f t="shared" ca="1" si="11"/>
        <v>174.42031811050128</v>
      </c>
      <c r="Z74" s="14">
        <f t="shared" ca="1" si="12"/>
        <v>1736.883062655708</v>
      </c>
      <c r="AA74" s="14">
        <f t="shared" si="13"/>
        <v>6280</v>
      </c>
      <c r="AB74" s="25">
        <f t="shared" ca="1" si="14"/>
        <v>877125.94664113258</v>
      </c>
      <c r="AC74" s="41">
        <f t="shared" si="15"/>
        <v>3171400</v>
      </c>
      <c r="AD74" s="5">
        <v>100</v>
      </c>
      <c r="AE74" s="41">
        <f t="shared" si="16"/>
        <v>6280</v>
      </c>
      <c r="AF74" s="41">
        <f t="shared" ca="1" si="17"/>
        <v>4543.1169373442917</v>
      </c>
      <c r="AG74" s="41">
        <f t="shared" ca="1" si="18"/>
        <v>2294274.0533588673</v>
      </c>
      <c r="AH74" s="41">
        <f t="shared" si="19"/>
        <v>4427.3999999999996</v>
      </c>
      <c r="AI74" s="13">
        <f t="shared" ca="1" si="20"/>
        <v>135.03817293178744</v>
      </c>
      <c r="AJ74" s="10">
        <f t="shared" ca="1" si="21"/>
        <v>15.509748205362849</v>
      </c>
      <c r="AK74" s="11">
        <f t="shared" ca="1" si="41"/>
        <v>8102.2903759072469</v>
      </c>
      <c r="AL74" s="6">
        <v>10000</v>
      </c>
      <c r="AM74" s="41">
        <f t="shared" ca="1" si="22"/>
        <v>74.053134627727474</v>
      </c>
      <c r="AN74" s="41">
        <f t="shared" ca="1" si="23"/>
        <v>91.073013403000175</v>
      </c>
      <c r="AO74" s="41">
        <f t="shared" ca="1" si="24"/>
        <v>5.9306045827217702</v>
      </c>
      <c r="AP74" s="67">
        <f t="shared" si="42"/>
        <v>0.70499999999999996</v>
      </c>
      <c r="AQ74" s="11">
        <f t="shared" si="25"/>
        <v>1.0520562207183759</v>
      </c>
      <c r="AR74" s="11">
        <f t="shared" si="26"/>
        <v>1</v>
      </c>
      <c r="AS74" s="11">
        <f t="shared" si="27"/>
        <v>0.95051954477981193</v>
      </c>
      <c r="AT74" s="11">
        <f t="shared" si="28"/>
        <v>545.66999999999996</v>
      </c>
      <c r="AU74" s="11">
        <f t="shared" si="29"/>
        <v>2116.2199999999998</v>
      </c>
      <c r="AV74" s="11">
        <f t="shared" si="30"/>
        <v>2.259289905987135E-3</v>
      </c>
      <c r="AW74" s="11">
        <f t="shared" si="31"/>
        <v>3.8865391239478742E-7</v>
      </c>
      <c r="AX74" s="41">
        <f t="shared" ca="1" si="32"/>
        <v>133.18400365096858</v>
      </c>
      <c r="AY74" s="11">
        <f t="shared" ca="1" si="33"/>
        <v>624.10303148906314</v>
      </c>
      <c r="AZ74" s="11"/>
      <c r="BA74" s="11"/>
    </row>
    <row r="75" spans="1:53" ht="14.5">
      <c r="A75" s="41">
        <f t="shared" ca="1" si="34"/>
        <v>5030.3743939253382</v>
      </c>
      <c r="B75" s="41">
        <f t="shared" ca="1" si="47"/>
        <v>83.839573232088966</v>
      </c>
      <c r="C75" s="41">
        <f t="shared" ca="1" si="47"/>
        <v>1.397326220534816</v>
      </c>
      <c r="D75" s="41">
        <f t="shared" ca="1" si="43"/>
        <v>17226.348438746474</v>
      </c>
      <c r="E75" s="41">
        <f t="shared" ca="1" si="36"/>
        <v>288.27745265122098</v>
      </c>
      <c r="F75" s="41">
        <f t="shared" ca="1" si="37"/>
        <v>288.27745265122098</v>
      </c>
      <c r="G75" s="41"/>
      <c r="H75" s="5">
        <v>0</v>
      </c>
      <c r="I75" s="5">
        <v>15</v>
      </c>
      <c r="J75" s="41">
        <f t="shared" si="38"/>
        <v>0.45320039455093175</v>
      </c>
      <c r="K75" s="41">
        <f t="shared" si="44"/>
        <v>510</v>
      </c>
      <c r="L75" s="6">
        <f t="shared" si="39"/>
        <v>74.21999999999997</v>
      </c>
      <c r="M75" s="41">
        <f t="shared" si="0"/>
        <v>302.16683999999998</v>
      </c>
      <c r="N75" s="41">
        <f t="shared" si="1"/>
        <v>293.82065227362688</v>
      </c>
      <c r="O75" s="41">
        <f t="shared" si="2"/>
        <v>2964688.6736676334</v>
      </c>
      <c r="P75" s="41">
        <f t="shared" si="3"/>
        <v>19035384.524736289</v>
      </c>
      <c r="Q75" s="41">
        <f t="shared" si="4"/>
        <v>2.664108281479984E-3</v>
      </c>
      <c r="R75" s="41">
        <f t="shared" si="5"/>
        <v>2.1264381058435304E-2</v>
      </c>
      <c r="S75" s="24">
        <f t="shared" ca="1" si="40"/>
        <v>15.437046195783658</v>
      </c>
      <c r="T75" s="41">
        <f t="shared" ca="1" si="6"/>
        <v>0.24571158940988572</v>
      </c>
      <c r="U75" s="41">
        <f t="shared" ca="1" si="7"/>
        <v>2.5077416774706644E-2</v>
      </c>
      <c r="V75" s="41">
        <f t="shared" ca="1" si="8"/>
        <v>9.7981220162083478</v>
      </c>
      <c r="W75" s="20">
        <f t="shared" ca="1" si="9"/>
        <v>1694.7004794388367</v>
      </c>
      <c r="X75" s="41">
        <f t="shared" si="10"/>
        <v>0.58025190866917797</v>
      </c>
      <c r="Y75" s="41">
        <f t="shared" ca="1" si="11"/>
        <v>174.45095422839003</v>
      </c>
      <c r="Z75" s="14">
        <f t="shared" ca="1" si="12"/>
        <v>1758.1275687575774</v>
      </c>
      <c r="AA75" s="14">
        <f t="shared" si="13"/>
        <v>6280</v>
      </c>
      <c r="AB75" s="25">
        <f t="shared" ca="1" si="14"/>
        <v>896645.06006636447</v>
      </c>
      <c r="AC75" s="41">
        <f t="shared" si="15"/>
        <v>3202800</v>
      </c>
      <c r="AD75" s="5">
        <v>100</v>
      </c>
      <c r="AE75" s="41">
        <f t="shared" si="16"/>
        <v>6280</v>
      </c>
      <c r="AF75" s="41">
        <f t="shared" ca="1" si="17"/>
        <v>4521.8724312424229</v>
      </c>
      <c r="AG75" s="41">
        <f t="shared" ca="1" si="18"/>
        <v>2306154.9399336353</v>
      </c>
      <c r="AH75" s="41">
        <f t="shared" si="19"/>
        <v>4427.3999999999996</v>
      </c>
      <c r="AI75" s="13">
        <f t="shared" ca="1" si="20"/>
        <v>135.751506699255</v>
      </c>
      <c r="AJ75" s="10">
        <f t="shared" ca="1" si="21"/>
        <v>15.437046195783658</v>
      </c>
      <c r="AK75" s="11">
        <f t="shared" ca="1" si="41"/>
        <v>8145.0904019553</v>
      </c>
      <c r="AL75" s="6">
        <v>10000</v>
      </c>
      <c r="AM75" s="41">
        <f t="shared" ca="1" si="22"/>
        <v>73.664007443792741</v>
      </c>
      <c r="AN75" s="41">
        <f t="shared" ca="1" si="23"/>
        <v>90.594451821291102</v>
      </c>
      <c r="AO75" s="41">
        <f t="shared" ca="1" si="24"/>
        <v>5.959944449323392</v>
      </c>
      <c r="AP75" s="67">
        <f t="shared" si="42"/>
        <v>0.70499999999999996</v>
      </c>
      <c r="AQ75" s="11">
        <f t="shared" si="25"/>
        <v>1.0520562207183759</v>
      </c>
      <c r="AR75" s="11">
        <f t="shared" si="26"/>
        <v>1</v>
      </c>
      <c r="AS75" s="11">
        <f t="shared" si="27"/>
        <v>0.95051954477981193</v>
      </c>
      <c r="AT75" s="11">
        <f t="shared" si="28"/>
        <v>545.66999999999996</v>
      </c>
      <c r="AU75" s="11">
        <f t="shared" si="29"/>
        <v>2116.2199999999998</v>
      </c>
      <c r="AV75" s="11">
        <f t="shared" si="30"/>
        <v>2.259289905987135E-3</v>
      </c>
      <c r="AW75" s="11">
        <f t="shared" si="31"/>
        <v>3.8865391239478742E-7</v>
      </c>
      <c r="AX75" s="41">
        <f t="shared" ca="1" si="32"/>
        <v>133.87369633987558</v>
      </c>
      <c r="AY75" s="11">
        <f t="shared" ca="1" si="33"/>
        <v>624.53982156006316</v>
      </c>
      <c r="AZ75" s="11"/>
      <c r="BA75" s="11"/>
    </row>
    <row r="76" spans="1:53" ht="14.5">
      <c r="A76" s="41">
        <f t="shared" ca="1" si="34"/>
        <v>5104.038401369131</v>
      </c>
      <c r="B76" s="41">
        <f t="shared" ca="1" si="47"/>
        <v>85.06730668948552</v>
      </c>
      <c r="C76" s="41">
        <f t="shared" ca="1" si="47"/>
        <v>1.4177884448247586</v>
      </c>
      <c r="D76" s="41">
        <f t="shared" ca="1" si="43"/>
        <v>17226.348438746474</v>
      </c>
      <c r="E76" s="41">
        <f t="shared" ca="1" si="36"/>
        <v>294.2373971005444</v>
      </c>
      <c r="F76" s="41">
        <f t="shared" ca="1" si="37"/>
        <v>294.2373971005444</v>
      </c>
      <c r="G76" s="41"/>
      <c r="H76" s="5">
        <v>0</v>
      </c>
      <c r="I76" s="5">
        <v>15</v>
      </c>
      <c r="J76" s="41">
        <f t="shared" si="38"/>
        <v>0.45764353567398008</v>
      </c>
      <c r="K76" s="41">
        <f t="shared" si="44"/>
        <v>515</v>
      </c>
      <c r="L76" s="6">
        <f t="shared" si="39"/>
        <v>75.45499999999997</v>
      </c>
      <c r="M76" s="41">
        <f t="shared" si="0"/>
        <v>305.12925999999999</v>
      </c>
      <c r="N76" s="41">
        <f t="shared" si="1"/>
        <v>299.61008265771892</v>
      </c>
      <c r="O76" s="41">
        <f t="shared" si="2"/>
        <v>2993754.2488996685</v>
      </c>
      <c r="P76" s="41">
        <f t="shared" si="3"/>
        <v>19222005.941645466</v>
      </c>
      <c r="Q76" s="41">
        <f t="shared" si="4"/>
        <v>2.6591335517864652E-3</v>
      </c>
      <c r="R76" s="41">
        <f t="shared" si="5"/>
        <v>2.1234010333656371E-2</v>
      </c>
      <c r="S76" s="24">
        <f t="shared" ca="1" si="40"/>
        <v>15.363139983208242</v>
      </c>
      <c r="T76" s="41">
        <f t="shared" ca="1" si="6"/>
        <v>0.24104928129569048</v>
      </c>
      <c r="U76" s="41">
        <f t="shared" ca="1" si="7"/>
        <v>2.4903716340261277E-2</v>
      </c>
      <c r="V76" s="41">
        <f t="shared" ca="1" si="8"/>
        <v>9.6792493940348781</v>
      </c>
      <c r="W76" s="20">
        <f t="shared" ca="1" si="9"/>
        <v>1716.1230375737152</v>
      </c>
      <c r="X76" s="41">
        <f t="shared" si="10"/>
        <v>0.57983738995268463</v>
      </c>
      <c r="Y76" s="41">
        <f t="shared" ca="1" si="11"/>
        <v>174.48194835221628</v>
      </c>
      <c r="Z76" s="14">
        <f t="shared" ca="1" si="12"/>
        <v>1779.7194531801936</v>
      </c>
      <c r="AA76" s="14">
        <f t="shared" si="13"/>
        <v>6280</v>
      </c>
      <c r="AB76" s="25">
        <f t="shared" ca="1" si="14"/>
        <v>916555.51838779973</v>
      </c>
      <c r="AC76" s="41">
        <f t="shared" si="15"/>
        <v>3234200</v>
      </c>
      <c r="AD76" s="5">
        <v>100</v>
      </c>
      <c r="AE76" s="41">
        <f t="shared" si="16"/>
        <v>6280</v>
      </c>
      <c r="AF76" s="41">
        <f t="shared" ca="1" si="17"/>
        <v>4500.2805468198067</v>
      </c>
      <c r="AG76" s="41">
        <f t="shared" ca="1" si="18"/>
        <v>2317644.4816122004</v>
      </c>
      <c r="AH76" s="41">
        <f t="shared" si="19"/>
        <v>4427.3999999999996</v>
      </c>
      <c r="AI76" s="13">
        <f t="shared" ca="1" si="20"/>
        <v>136.44195367387857</v>
      </c>
      <c r="AJ76" s="10">
        <f t="shared" ca="1" si="21"/>
        <v>15.363139983208242</v>
      </c>
      <c r="AK76" s="11">
        <f t="shared" ca="1" si="41"/>
        <v>8186.5172204327146</v>
      </c>
      <c r="AL76" s="6">
        <v>10000</v>
      </c>
      <c r="AM76" s="41">
        <f t="shared" ca="1" si="22"/>
        <v>73.291240199490574</v>
      </c>
      <c r="AN76" s="41">
        <f t="shared" ca="1" si="23"/>
        <v>90.136010238673492</v>
      </c>
      <c r="AO76" s="41">
        <f t="shared" ca="1" si="24"/>
        <v>5.9900479593927587</v>
      </c>
      <c r="AP76" s="67">
        <f t="shared" si="42"/>
        <v>0.70499999999999996</v>
      </c>
      <c r="AQ76" s="11">
        <f t="shared" si="25"/>
        <v>1.0520562207183759</v>
      </c>
      <c r="AR76" s="11">
        <f t="shared" si="26"/>
        <v>1</v>
      </c>
      <c r="AS76" s="11">
        <f t="shared" si="27"/>
        <v>0.95051954477981193</v>
      </c>
      <c r="AT76" s="11">
        <f t="shared" si="28"/>
        <v>545.66999999999996</v>
      </c>
      <c r="AU76" s="11">
        <f t="shared" si="29"/>
        <v>2116.2199999999998</v>
      </c>
      <c r="AV76" s="11">
        <f t="shared" si="30"/>
        <v>2.259289905987135E-3</v>
      </c>
      <c r="AW76" s="11">
        <f t="shared" si="31"/>
        <v>3.8865391239478742E-7</v>
      </c>
      <c r="AX76" s="41">
        <f t="shared" ca="1" si="32"/>
        <v>134.54067121963141</v>
      </c>
      <c r="AY76" s="11">
        <f t="shared" ca="1" si="33"/>
        <v>624.97388478185235</v>
      </c>
      <c r="AZ76" s="11"/>
      <c r="BA76" s="11"/>
    </row>
    <row r="77" spans="1:53" ht="14.5">
      <c r="A77" s="41">
        <f t="shared" ca="1" si="34"/>
        <v>5177.3296415686218</v>
      </c>
      <c r="B77" s="41">
        <f t="shared" ca="1" si="47"/>
        <v>86.288827359477025</v>
      </c>
      <c r="C77" s="41">
        <f t="shared" ca="1" si="47"/>
        <v>1.4381471226579505</v>
      </c>
      <c r="D77" s="41">
        <f t="shared" ca="1" si="43"/>
        <v>17226.348438746474</v>
      </c>
      <c r="E77" s="41">
        <f t="shared" ca="1" si="36"/>
        <v>300.22744505993717</v>
      </c>
      <c r="F77" s="41">
        <f t="shared" ca="1" si="37"/>
        <v>300.22744505993717</v>
      </c>
      <c r="G77" s="41"/>
      <c r="H77" s="5">
        <v>0</v>
      </c>
      <c r="I77" s="5">
        <v>15</v>
      </c>
      <c r="J77" s="41">
        <f t="shared" si="38"/>
        <v>0.46208667679702847</v>
      </c>
      <c r="K77" s="41">
        <f t="shared" si="44"/>
        <v>520</v>
      </c>
      <c r="L77" s="6">
        <f t="shared" si="39"/>
        <v>76.689999999999969</v>
      </c>
      <c r="M77" s="41">
        <f t="shared" si="0"/>
        <v>308.09168</v>
      </c>
      <c r="N77" s="41">
        <f t="shared" si="1"/>
        <v>305.45599528946065</v>
      </c>
      <c r="O77" s="41">
        <f t="shared" si="2"/>
        <v>3022819.8241317044</v>
      </c>
      <c r="P77" s="41">
        <f t="shared" si="3"/>
        <v>19408627.358554646</v>
      </c>
      <c r="Q77" s="41">
        <f t="shared" si="4"/>
        <v>2.6541999300737128E-3</v>
      </c>
      <c r="R77" s="41">
        <f t="shared" si="5"/>
        <v>2.1203890573100015E-2</v>
      </c>
      <c r="S77" s="24">
        <f t="shared" ca="1" si="40"/>
        <v>15.288052076441398</v>
      </c>
      <c r="T77" s="41">
        <f t="shared" ca="1" si="6"/>
        <v>0.23652093583794651</v>
      </c>
      <c r="U77" s="41">
        <f t="shared" ca="1" si="7"/>
        <v>2.4737013664934387E-2</v>
      </c>
      <c r="V77" s="41">
        <f t="shared" ca="1" si="8"/>
        <v>9.5614183280831302</v>
      </c>
      <c r="W77" s="20">
        <f t="shared" ca="1" si="9"/>
        <v>1737.89589978765</v>
      </c>
      <c r="X77" s="41">
        <f t="shared" si="10"/>
        <v>0.57942600367427699</v>
      </c>
      <c r="Y77" s="41">
        <f t="shared" ca="1" si="11"/>
        <v>174.51328377680093</v>
      </c>
      <c r="Z77" s="14">
        <f t="shared" ca="1" si="12"/>
        <v>1801.651998443625</v>
      </c>
      <c r="AA77" s="14">
        <f t="shared" si="13"/>
        <v>6280</v>
      </c>
      <c r="AB77" s="25">
        <f t="shared" ca="1" si="14"/>
        <v>936859.03919068503</v>
      </c>
      <c r="AC77" s="41">
        <f t="shared" si="15"/>
        <v>3265600</v>
      </c>
      <c r="AD77" s="5">
        <v>100</v>
      </c>
      <c r="AE77" s="41">
        <f t="shared" si="16"/>
        <v>6280</v>
      </c>
      <c r="AF77" s="41">
        <f t="shared" ca="1" si="17"/>
        <v>4478.3480015563746</v>
      </c>
      <c r="AG77" s="41">
        <f t="shared" ca="1" si="18"/>
        <v>2328740.9608093151</v>
      </c>
      <c r="AH77" s="41">
        <f t="shared" si="19"/>
        <v>4427.3999999999996</v>
      </c>
      <c r="AI77" s="13">
        <f t="shared" ca="1" si="20"/>
        <v>137.10939033358437</v>
      </c>
      <c r="AJ77" s="10">
        <f t="shared" ca="1" si="21"/>
        <v>15.288052076441398</v>
      </c>
      <c r="AK77" s="11">
        <f t="shared" ca="1" si="41"/>
        <v>8226.5634200150616</v>
      </c>
      <c r="AL77" s="6">
        <v>10000</v>
      </c>
      <c r="AM77" s="41">
        <f t="shared" ca="1" si="22"/>
        <v>72.934464777869721</v>
      </c>
      <c r="AN77" s="41">
        <f t="shared" ca="1" si="23"/>
        <v>89.697235932650102</v>
      </c>
      <c r="AO77" s="41">
        <f t="shared" ca="1" si="24"/>
        <v>6.0209236592503634</v>
      </c>
      <c r="AP77" s="67">
        <f t="shared" si="42"/>
        <v>0.70499999999999996</v>
      </c>
      <c r="AQ77" s="11">
        <f t="shared" si="25"/>
        <v>1.0520562207183759</v>
      </c>
      <c r="AR77" s="11">
        <f t="shared" si="26"/>
        <v>1</v>
      </c>
      <c r="AS77" s="11">
        <f t="shared" si="27"/>
        <v>0.95051954477981193</v>
      </c>
      <c r="AT77" s="11">
        <f t="shared" si="28"/>
        <v>545.66999999999996</v>
      </c>
      <c r="AU77" s="11">
        <f t="shared" si="29"/>
        <v>2116.2199999999998</v>
      </c>
      <c r="AV77" s="11">
        <f t="shared" si="30"/>
        <v>2.259289905987135E-3</v>
      </c>
      <c r="AW77" s="11">
        <f t="shared" si="31"/>
        <v>3.8865391239478742E-7</v>
      </c>
      <c r="AX77" s="41">
        <f t="shared" ca="1" si="32"/>
        <v>135.18482858336824</v>
      </c>
      <c r="AY77" s="11">
        <f t="shared" ca="1" si="33"/>
        <v>625.40528948827841</v>
      </c>
      <c r="AZ77" s="11"/>
      <c r="BA77" s="11"/>
    </row>
    <row r="78" spans="1:53" ht="14.5">
      <c r="A78" s="41">
        <f t="shared" ca="1" si="34"/>
        <v>5250.2641063464916</v>
      </c>
      <c r="B78" s="41">
        <f t="shared" ca="1" si="47"/>
        <v>87.504401772441526</v>
      </c>
      <c r="C78" s="41">
        <f t="shared" ca="1" si="47"/>
        <v>1.4584066962073587</v>
      </c>
      <c r="D78" s="41">
        <f t="shared" ca="1" si="43"/>
        <v>17226.348438746474</v>
      </c>
      <c r="E78" s="41">
        <f t="shared" ca="1" si="36"/>
        <v>306.24836871918751</v>
      </c>
      <c r="F78" s="41">
        <f t="shared" ca="1" si="37"/>
        <v>306.24836871918751</v>
      </c>
      <c r="G78" s="41"/>
      <c r="H78" s="5">
        <v>0</v>
      </c>
      <c r="I78" s="5">
        <v>15</v>
      </c>
      <c r="J78" s="41">
        <f t="shared" si="38"/>
        <v>0.46652981792007681</v>
      </c>
      <c r="K78" s="41">
        <f t="shared" si="44"/>
        <v>525</v>
      </c>
      <c r="L78" s="6">
        <f t="shared" si="39"/>
        <v>77.924999999999969</v>
      </c>
      <c r="M78" s="41">
        <f t="shared" si="0"/>
        <v>311.05410000000001</v>
      </c>
      <c r="N78" s="41">
        <f t="shared" si="1"/>
        <v>311.35839016885205</v>
      </c>
      <c r="O78" s="41">
        <f t="shared" si="2"/>
        <v>3051885.3993637403</v>
      </c>
      <c r="P78" s="41">
        <f t="shared" si="3"/>
        <v>19595248.775463827</v>
      </c>
      <c r="Q78" s="41">
        <f t="shared" si="4"/>
        <v>2.6493064341294591E-3</v>
      </c>
      <c r="R78" s="41">
        <f t="shared" si="5"/>
        <v>2.117401578036035E-2</v>
      </c>
      <c r="S78" s="24">
        <f t="shared" ca="1" si="40"/>
        <v>15.211804025345797</v>
      </c>
      <c r="T78" s="41">
        <f t="shared" ca="1" si="6"/>
        <v>0.23212142909627595</v>
      </c>
      <c r="U78" s="41">
        <f t="shared" ca="1" si="7"/>
        <v>2.4576922640163104E-2</v>
      </c>
      <c r="V78" s="41">
        <f t="shared" ca="1" si="8"/>
        <v>9.4446905536068968</v>
      </c>
      <c r="W78" s="20">
        <f t="shared" ca="1" si="9"/>
        <v>1760.0131457654873</v>
      </c>
      <c r="X78" s="41">
        <f t="shared" si="10"/>
        <v>0.57901767452278607</v>
      </c>
      <c r="Y78" s="41">
        <f t="shared" ca="1" si="11"/>
        <v>174.54494426618669</v>
      </c>
      <c r="Z78" s="14">
        <f t="shared" ca="1" si="12"/>
        <v>1823.9187764778367</v>
      </c>
      <c r="AA78" s="14">
        <f t="shared" si="13"/>
        <v>6280</v>
      </c>
      <c r="AB78" s="25">
        <f t="shared" ca="1" si="14"/>
        <v>957557.35765086429</v>
      </c>
      <c r="AC78" s="41">
        <f t="shared" si="15"/>
        <v>3297000</v>
      </c>
      <c r="AD78" s="5">
        <v>100</v>
      </c>
      <c r="AE78" s="41">
        <f t="shared" si="16"/>
        <v>6280</v>
      </c>
      <c r="AF78" s="41">
        <f t="shared" ca="1" si="17"/>
        <v>4456.0812235221638</v>
      </c>
      <c r="AG78" s="41">
        <f t="shared" ca="1" si="18"/>
        <v>2339442.6423491356</v>
      </c>
      <c r="AH78" s="41">
        <f t="shared" si="19"/>
        <v>4427.3999999999996</v>
      </c>
      <c r="AI78" s="13">
        <f t="shared" ca="1" si="20"/>
        <v>137.75369207879538</v>
      </c>
      <c r="AJ78" s="10">
        <f t="shared" ca="1" si="21"/>
        <v>15.211804025345797</v>
      </c>
      <c r="AK78" s="11">
        <f t="shared" ca="1" si="41"/>
        <v>8265.2215247277236</v>
      </c>
      <c r="AL78" s="6">
        <v>10000</v>
      </c>
      <c r="AM78" s="41">
        <f t="shared" ca="1" si="22"/>
        <v>72.593335605698172</v>
      </c>
      <c r="AN78" s="41">
        <f t="shared" ca="1" si="23"/>
        <v>89.27770390574112</v>
      </c>
      <c r="AO78" s="41">
        <f t="shared" ca="1" si="24"/>
        <v>6.0525808455932859</v>
      </c>
      <c r="AP78" s="67">
        <f t="shared" si="42"/>
        <v>0.70499999999999996</v>
      </c>
      <c r="AQ78" s="11">
        <f t="shared" si="25"/>
        <v>1.0520562207183759</v>
      </c>
      <c r="AR78" s="11">
        <f t="shared" si="26"/>
        <v>1</v>
      </c>
      <c r="AS78" s="11">
        <f t="shared" si="27"/>
        <v>0.95051954477981193</v>
      </c>
      <c r="AT78" s="11">
        <f t="shared" si="28"/>
        <v>545.66999999999996</v>
      </c>
      <c r="AU78" s="11">
        <f t="shared" si="29"/>
        <v>2116.2199999999998</v>
      </c>
      <c r="AV78" s="11">
        <f t="shared" si="30"/>
        <v>2.259289905987135E-3</v>
      </c>
      <c r="AW78" s="11">
        <f t="shared" si="31"/>
        <v>3.8865391239478742E-7</v>
      </c>
      <c r="AX78" s="41">
        <f t="shared" ca="1" si="32"/>
        <v>135.80606770307335</v>
      </c>
      <c r="AY78" s="11">
        <f t="shared" ca="1" si="33"/>
        <v>625.83410198620368</v>
      </c>
      <c r="AZ78" s="11"/>
      <c r="BA78" s="11"/>
    </row>
    <row r="79" spans="1:53" ht="14.5">
      <c r="A79" s="41">
        <f t="shared" ca="1" si="34"/>
        <v>5322.8574419521901</v>
      </c>
      <c r="B79" s="41">
        <f t="shared" ca="1" si="47"/>
        <v>88.714290699203175</v>
      </c>
      <c r="C79" s="41">
        <f t="shared" ca="1" si="47"/>
        <v>1.4785715116533862</v>
      </c>
      <c r="D79" s="41">
        <f t="shared" ca="1" si="43"/>
        <v>17226.348438746474</v>
      </c>
      <c r="E79" s="41">
        <f t="shared" ca="1" si="36"/>
        <v>312.30094956478081</v>
      </c>
      <c r="F79" s="41">
        <f t="shared" ca="1" si="37"/>
        <v>312.30094956478081</v>
      </c>
      <c r="G79" s="41"/>
      <c r="H79" s="5">
        <v>0</v>
      </c>
      <c r="I79" s="5">
        <v>15</v>
      </c>
      <c r="J79" s="41">
        <f t="shared" si="38"/>
        <v>0.47097295904312514</v>
      </c>
      <c r="K79" s="41">
        <f t="shared" si="44"/>
        <v>530</v>
      </c>
      <c r="L79" s="6">
        <f t="shared" si="39"/>
        <v>79.159999999999968</v>
      </c>
      <c r="M79" s="41">
        <f t="shared" si="0"/>
        <v>314.01652000000001</v>
      </c>
      <c r="N79" s="41">
        <f t="shared" si="1"/>
        <v>317.31726729589309</v>
      </c>
      <c r="O79" s="41">
        <f t="shared" si="2"/>
        <v>3080950.9745957763</v>
      </c>
      <c r="P79" s="41">
        <f t="shared" si="3"/>
        <v>19781870.192373008</v>
      </c>
      <c r="Q79" s="41">
        <f t="shared" si="4"/>
        <v>2.6444521127540373E-3</v>
      </c>
      <c r="R79" s="41">
        <f t="shared" si="5"/>
        <v>2.1144380148363395E-2</v>
      </c>
      <c r="S79" s="24">
        <f t="shared" ca="1" si="40"/>
        <v>15.134416475050601</v>
      </c>
      <c r="T79" s="41">
        <f t="shared" ca="1" si="6"/>
        <v>0.22784588008001355</v>
      </c>
      <c r="U79" s="41">
        <f t="shared" ca="1" si="7"/>
        <v>2.4423082188924205E-2</v>
      </c>
      <c r="V79" s="41">
        <f t="shared" ca="1" si="8"/>
        <v>9.3291206374984466</v>
      </c>
      <c r="W79" s="20">
        <f t="shared" ca="1" si="9"/>
        <v>1782.4691108004581</v>
      </c>
      <c r="X79" s="41">
        <f t="shared" si="10"/>
        <v>0.57861232951570762</v>
      </c>
      <c r="Y79" s="41">
        <f t="shared" ca="1" si="11"/>
        <v>174.57691402833063</v>
      </c>
      <c r="Z79" s="14">
        <f t="shared" ca="1" si="12"/>
        <v>1846.5136327538826</v>
      </c>
      <c r="AA79" s="14">
        <f t="shared" si="13"/>
        <v>6280</v>
      </c>
      <c r="AB79" s="25">
        <f t="shared" ca="1" si="14"/>
        <v>978652.22535955778</v>
      </c>
      <c r="AC79" s="41">
        <f t="shared" si="15"/>
        <v>3328400</v>
      </c>
      <c r="AD79" s="5">
        <v>100</v>
      </c>
      <c r="AE79" s="41">
        <f t="shared" si="16"/>
        <v>6280</v>
      </c>
      <c r="AF79" s="41">
        <f t="shared" ca="1" si="17"/>
        <v>4433.4863672461179</v>
      </c>
      <c r="AG79" s="41">
        <f t="shared" ca="1" si="18"/>
        <v>2349747.7746404423</v>
      </c>
      <c r="AH79" s="41">
        <f t="shared" si="19"/>
        <v>4427.3999999999996</v>
      </c>
      <c r="AI79" s="13">
        <f t="shared" ca="1" si="20"/>
        <v>138.37473331923465</v>
      </c>
      <c r="AJ79" s="10">
        <f t="shared" ca="1" si="21"/>
        <v>15.134416475050601</v>
      </c>
      <c r="AK79" s="11">
        <f t="shared" ca="1" si="41"/>
        <v>8302.4839991540794</v>
      </c>
      <c r="AL79" s="6">
        <v>10000</v>
      </c>
      <c r="AM79" s="41">
        <f t="shared" ca="1" si="22"/>
        <v>72.267528616873292</v>
      </c>
      <c r="AN79" s="41">
        <f t="shared" ca="1" si="23"/>
        <v>88.877015610651327</v>
      </c>
      <c r="AO79" s="41">
        <f t="shared" ca="1" si="24"/>
        <v>6.0850295670369423</v>
      </c>
      <c r="AP79" s="67">
        <f t="shared" si="42"/>
        <v>0.70499999999999996</v>
      </c>
      <c r="AQ79" s="11">
        <f t="shared" si="25"/>
        <v>1.0520562207183759</v>
      </c>
      <c r="AR79" s="11">
        <f t="shared" si="26"/>
        <v>1</v>
      </c>
      <c r="AS79" s="11">
        <f t="shared" si="27"/>
        <v>0.95051954477981193</v>
      </c>
      <c r="AT79" s="11">
        <f t="shared" si="28"/>
        <v>545.66999999999996</v>
      </c>
      <c r="AU79" s="11">
        <f t="shared" si="29"/>
        <v>2116.2199999999998</v>
      </c>
      <c r="AV79" s="11">
        <f t="shared" si="30"/>
        <v>2.259289905987135E-3</v>
      </c>
      <c r="AW79" s="11">
        <f t="shared" si="31"/>
        <v>3.8865391239478742E-7</v>
      </c>
      <c r="AX79" s="41">
        <f t="shared" ca="1" si="32"/>
        <v>136.40428689781157</v>
      </c>
      <c r="AY79" s="11">
        <f t="shared" ca="1" si="33"/>
        <v>626.26038663246538</v>
      </c>
      <c r="AZ79" s="11"/>
      <c r="BA79" s="11"/>
    </row>
    <row r="80" spans="1:53" ht="14.5">
      <c r="A80" s="41">
        <f t="shared" ca="1" si="34"/>
        <v>5395.1249705690634</v>
      </c>
      <c r="B80" s="41">
        <f t="shared" ca="1" si="47"/>
        <v>89.918749509484385</v>
      </c>
      <c r="C80" s="41">
        <f t="shared" ca="1" si="47"/>
        <v>1.498645825158073</v>
      </c>
      <c r="D80" s="41">
        <f t="shared" ca="1" si="43"/>
        <v>17226.348438746474</v>
      </c>
      <c r="E80" s="41">
        <f t="shared" ca="1" si="36"/>
        <v>318.38597913181775</v>
      </c>
      <c r="F80" s="41">
        <f t="shared" ca="1" si="37"/>
        <v>318.38597913181775</v>
      </c>
      <c r="G80" s="41"/>
      <c r="H80" s="5">
        <v>0</v>
      </c>
      <c r="I80" s="5">
        <v>15</v>
      </c>
      <c r="J80" s="41">
        <f t="shared" si="38"/>
        <v>0.47541610016617353</v>
      </c>
      <c r="K80" s="41">
        <f t="shared" si="44"/>
        <v>535</v>
      </c>
      <c r="L80" s="6">
        <f t="shared" si="39"/>
        <v>80.394999999999968</v>
      </c>
      <c r="M80" s="41">
        <f t="shared" si="0"/>
        <v>316.97894000000002</v>
      </c>
      <c r="N80" s="41">
        <f t="shared" si="1"/>
        <v>323.33262667058386</v>
      </c>
      <c r="O80" s="41">
        <f t="shared" si="2"/>
        <v>3110016.5498278113</v>
      </c>
      <c r="P80" s="41">
        <f t="shared" si="3"/>
        <v>19968491.609282184</v>
      </c>
      <c r="Q80" s="41">
        <f t="shared" si="4"/>
        <v>2.6396360445294343E-3</v>
      </c>
      <c r="R80" s="41">
        <f t="shared" si="5"/>
        <v>2.1114978051852196E-2</v>
      </c>
      <c r="S80" s="24">
        <f t="shared" ca="1" si="40"/>
        <v>15.055909216557621</v>
      </c>
      <c r="T80" s="41">
        <f t="shared" ca="1" si="6"/>
        <v>0.22368963703916661</v>
      </c>
      <c r="U80" s="41">
        <f t="shared" ca="1" si="7"/>
        <v>2.4275154415776028E-2</v>
      </c>
      <c r="V80" s="41">
        <f t="shared" ca="1" si="8"/>
        <v>9.2147565040325485</v>
      </c>
      <c r="W80" s="20">
        <f t="shared" ca="1" si="9"/>
        <v>1805.2583712199837</v>
      </c>
      <c r="X80" s="41">
        <f t="shared" si="10"/>
        <v>0.57820989790834543</v>
      </c>
      <c r="Y80" s="41">
        <f t="shared" ca="1" si="11"/>
        <v>174.60917769139314</v>
      </c>
      <c r="Z80" s="14">
        <f t="shared" ca="1" si="12"/>
        <v>1869.4306714678683</v>
      </c>
      <c r="AA80" s="14">
        <f t="shared" si="13"/>
        <v>6280</v>
      </c>
      <c r="AB80" s="25">
        <f t="shared" ca="1" si="14"/>
        <v>1000145.4092353095</v>
      </c>
      <c r="AC80" s="41">
        <f t="shared" si="15"/>
        <v>3359800</v>
      </c>
      <c r="AD80" s="5">
        <v>100</v>
      </c>
      <c r="AE80" s="41">
        <f t="shared" si="16"/>
        <v>6280</v>
      </c>
      <c r="AF80" s="41">
        <f t="shared" ca="1" si="17"/>
        <v>4410.5693285321322</v>
      </c>
      <c r="AG80" s="41">
        <f t="shared" ca="1" si="18"/>
        <v>2359654.5907646907</v>
      </c>
      <c r="AH80" s="41">
        <f t="shared" si="19"/>
        <v>4427.3999999999996</v>
      </c>
      <c r="AI80" s="13">
        <f t="shared" ca="1" si="20"/>
        <v>138.97238755560164</v>
      </c>
      <c r="AJ80" s="10">
        <f t="shared" ca="1" si="21"/>
        <v>15.055909216557621</v>
      </c>
      <c r="AK80" s="11">
        <f t="shared" ca="1" si="41"/>
        <v>8338.3432533360992</v>
      </c>
      <c r="AL80" s="6">
        <v>10000</v>
      </c>
      <c r="AM80" s="41">
        <f t="shared" ca="1" si="22"/>
        <v>71.956740298493372</v>
      </c>
      <c r="AN80" s="41">
        <f t="shared" ca="1" si="23"/>
        <v>88.494797777097091</v>
      </c>
      <c r="AO80" s="41">
        <f t="shared" ca="1" si="24"/>
        <v>6.1182806278699067</v>
      </c>
      <c r="AP80" s="67">
        <f t="shared" si="42"/>
        <v>0.70499999999999996</v>
      </c>
      <c r="AQ80" s="11">
        <f t="shared" si="25"/>
        <v>1.0520562207183759</v>
      </c>
      <c r="AR80" s="11">
        <f t="shared" si="26"/>
        <v>1</v>
      </c>
      <c r="AS80" s="11">
        <f t="shared" si="27"/>
        <v>0.95051954477981193</v>
      </c>
      <c r="AT80" s="11">
        <f t="shared" si="28"/>
        <v>545.66999999999996</v>
      </c>
      <c r="AU80" s="11">
        <f t="shared" si="29"/>
        <v>2116.2199999999998</v>
      </c>
      <c r="AV80" s="11">
        <f t="shared" si="30"/>
        <v>2.259289905987135E-3</v>
      </c>
      <c r="AW80" s="11">
        <f t="shared" si="31"/>
        <v>3.8865391239478742E-7</v>
      </c>
      <c r="AX80" s="41">
        <f t="shared" ca="1" si="32"/>
        <v>136.97938359688712</v>
      </c>
      <c r="AY80" s="11">
        <f t="shared" ca="1" si="33"/>
        <v>626.68420590720427</v>
      </c>
      <c r="AZ80" s="11"/>
      <c r="BA80" s="11"/>
    </row>
    <row r="81" spans="1:53" ht="14.5">
      <c r="A81" s="41">
        <f t="shared" ca="1" si="34"/>
        <v>5467.0817108675565</v>
      </c>
      <c r="B81" s="41">
        <f t="shared" ca="1" si="47"/>
        <v>91.118028514459269</v>
      </c>
      <c r="C81" s="41">
        <f t="shared" ca="1" si="47"/>
        <v>1.5186338085743212</v>
      </c>
      <c r="D81" s="41">
        <f t="shared" ca="1" si="43"/>
        <v>17226.348438746474</v>
      </c>
      <c r="E81" s="41">
        <f t="shared" ca="1" si="36"/>
        <v>324.50425975968767</v>
      </c>
      <c r="F81" s="41">
        <f t="shared" ca="1" si="37"/>
        <v>324.50425975968767</v>
      </c>
      <c r="G81" s="41"/>
      <c r="H81" s="5">
        <v>0</v>
      </c>
      <c r="I81" s="5">
        <v>15</v>
      </c>
      <c r="J81" s="41">
        <f t="shared" si="38"/>
        <v>0.47985924128922186</v>
      </c>
      <c r="K81" s="41">
        <f t="shared" si="44"/>
        <v>540</v>
      </c>
      <c r="L81" s="6">
        <f t="shared" si="39"/>
        <v>81.629999999999967</v>
      </c>
      <c r="M81" s="41">
        <f t="shared" si="0"/>
        <v>319.94136000000003</v>
      </c>
      <c r="N81" s="41">
        <f t="shared" si="1"/>
        <v>329.40446829292426</v>
      </c>
      <c r="O81" s="41">
        <f t="shared" si="2"/>
        <v>3139082.1250598468</v>
      </c>
      <c r="P81" s="41">
        <f t="shared" si="3"/>
        <v>20155113.026191361</v>
      </c>
      <c r="Q81" s="41">
        <f t="shared" si="4"/>
        <v>2.6348573366481985E-3</v>
      </c>
      <c r="R81" s="41">
        <f t="shared" si="5"/>
        <v>2.1085804040237251E-2</v>
      </c>
      <c r="S81" s="24">
        <f t="shared" ca="1" si="40"/>
        <v>14.976301234015558</v>
      </c>
      <c r="T81" s="41">
        <f t="shared" ca="1" si="6"/>
        <v>0.21964826465041157</v>
      </c>
      <c r="U81" s="41">
        <f t="shared" ca="1" si="7"/>
        <v>2.4132822909816387E-2</v>
      </c>
      <c r="V81" s="41">
        <f t="shared" ca="1" si="8"/>
        <v>9.1016399312765994</v>
      </c>
      <c r="W81" s="20">
        <f t="shared" ca="1" si="9"/>
        <v>1828.3757307735345</v>
      </c>
      <c r="X81" s="41">
        <f t="shared" si="10"/>
        <v>0.5778103111073134</v>
      </c>
      <c r="Y81" s="41">
        <f t="shared" ca="1" si="11"/>
        <v>174.64172028151151</v>
      </c>
      <c r="Z81" s="14">
        <f t="shared" ca="1" si="12"/>
        <v>1892.6642416989462</v>
      </c>
      <c r="AA81" s="14">
        <f t="shared" si="13"/>
        <v>6280</v>
      </c>
      <c r="AB81" s="25">
        <f t="shared" ca="1" si="14"/>
        <v>1022038.6905174309</v>
      </c>
      <c r="AC81" s="41">
        <f t="shared" si="15"/>
        <v>3391200</v>
      </c>
      <c r="AD81" s="5">
        <v>100</v>
      </c>
      <c r="AE81" s="41">
        <f t="shared" si="16"/>
        <v>6280</v>
      </c>
      <c r="AF81" s="41">
        <f t="shared" ca="1" si="17"/>
        <v>4387.3357583010538</v>
      </c>
      <c r="AG81" s="41">
        <f t="shared" ca="1" si="18"/>
        <v>2369161.3094825689</v>
      </c>
      <c r="AH81" s="41">
        <f t="shared" si="19"/>
        <v>4427.3999999999996</v>
      </c>
      <c r="AI81" s="13">
        <f t="shared" ca="1" si="20"/>
        <v>139.54652745647221</v>
      </c>
      <c r="AJ81" s="10">
        <f t="shared" ca="1" si="21"/>
        <v>14.976301234015558</v>
      </c>
      <c r="AK81" s="11">
        <f t="shared" ca="1" si="41"/>
        <v>8372.7916473883324</v>
      </c>
      <c r="AL81" s="6">
        <v>10000</v>
      </c>
      <c r="AM81" s="41">
        <f t="shared" ca="1" si="22"/>
        <v>71.660686813716893</v>
      </c>
      <c r="AN81" s="41">
        <f t="shared" ca="1" si="23"/>
        <v>88.130701333069496</v>
      </c>
      <c r="AO81" s="41">
        <f t="shared" ca="1" si="24"/>
        <v>6.152345593971976</v>
      </c>
      <c r="AP81" s="67">
        <f t="shared" si="42"/>
        <v>0.70499999999999996</v>
      </c>
      <c r="AQ81" s="11">
        <f t="shared" si="25"/>
        <v>1.0520562207183759</v>
      </c>
      <c r="AR81" s="11">
        <f t="shared" si="26"/>
        <v>1</v>
      </c>
      <c r="AS81" s="11">
        <f t="shared" si="27"/>
        <v>0.95051954477981193</v>
      </c>
      <c r="AT81" s="11">
        <f t="shared" si="28"/>
        <v>545.66999999999996</v>
      </c>
      <c r="AU81" s="11">
        <f t="shared" si="29"/>
        <v>2116.2199999999998</v>
      </c>
      <c r="AV81" s="11">
        <f t="shared" si="30"/>
        <v>2.259289905987135E-3</v>
      </c>
      <c r="AW81" s="11">
        <f t="shared" si="31"/>
        <v>3.8865391239478742E-7</v>
      </c>
      <c r="AX81" s="41">
        <f t="shared" ca="1" si="32"/>
        <v>137.53125439827502</v>
      </c>
      <c r="AY81" s="11">
        <f t="shared" ca="1" si="33"/>
        <v>627.1056204837771</v>
      </c>
      <c r="AZ81" s="11"/>
      <c r="BA81" s="11"/>
    </row>
    <row r="82" spans="1:53" ht="14.5">
      <c r="A82" s="41">
        <f t="shared" ca="1" si="34"/>
        <v>5538.7423976812734</v>
      </c>
      <c r="B82" s="41">
        <f t="shared" ca="1" si="47"/>
        <v>92.312373294687887</v>
      </c>
      <c r="C82" s="41">
        <f t="shared" ca="1" si="47"/>
        <v>1.5385395549114649</v>
      </c>
      <c r="D82" s="41">
        <f t="shared" ca="1" si="43"/>
        <v>17226.348438746474</v>
      </c>
      <c r="E82" s="41">
        <f t="shared" ca="1" si="36"/>
        <v>330.65660535365964</v>
      </c>
      <c r="F82" s="41">
        <f t="shared" ca="1" si="37"/>
        <v>330.65660535365964</v>
      </c>
      <c r="G82" s="41"/>
      <c r="H82" s="5">
        <v>0</v>
      </c>
      <c r="I82" s="5">
        <v>15</v>
      </c>
      <c r="J82" s="41">
        <f t="shared" si="38"/>
        <v>0.48430238241227019</v>
      </c>
      <c r="K82" s="41">
        <f t="shared" si="44"/>
        <v>545</v>
      </c>
      <c r="L82" s="6">
        <f t="shared" si="39"/>
        <v>82.864999999999966</v>
      </c>
      <c r="M82" s="41">
        <f t="shared" si="0"/>
        <v>322.90377999999998</v>
      </c>
      <c r="N82" s="41">
        <f t="shared" si="1"/>
        <v>335.5327921629144</v>
      </c>
      <c r="O82" s="41">
        <f t="shared" si="2"/>
        <v>3168147.7002918823</v>
      </c>
      <c r="P82" s="41">
        <f t="shared" si="3"/>
        <v>20341734.443100542</v>
      </c>
      <c r="Q82" s="41">
        <f t="shared" si="4"/>
        <v>2.630115123798819E-3</v>
      </c>
      <c r="R82" s="41">
        <f t="shared" si="5"/>
        <v>2.105685283079179E-2</v>
      </c>
      <c r="S82" s="24">
        <f t="shared" ca="1" si="40"/>
        <v>14.895610748910094</v>
      </c>
      <c r="T82" s="41">
        <f t="shared" ca="1" si="6"/>
        <v>0.21571753203190058</v>
      </c>
      <c r="U82" s="41">
        <f t="shared" ca="1" si="7"/>
        <v>2.3995791186613515E-2</v>
      </c>
      <c r="V82" s="41">
        <f t="shared" ca="1" si="8"/>
        <v>8.9898070188343073</v>
      </c>
      <c r="W82" s="20">
        <f t="shared" ca="1" si="9"/>
        <v>1851.8162079106175</v>
      </c>
      <c r="X82" s="41">
        <f t="shared" si="10"/>
        <v>0.57741350258815571</v>
      </c>
      <c r="Y82" s="41">
        <f t="shared" ca="1" si="11"/>
        <v>174.67452720195442</v>
      </c>
      <c r="Z82" s="14">
        <f t="shared" ca="1" si="12"/>
        <v>1916.2089244692356</v>
      </c>
      <c r="AA82" s="14">
        <f t="shared" si="13"/>
        <v>6280</v>
      </c>
      <c r="AB82" s="25">
        <f t="shared" ca="1" si="14"/>
        <v>1044333.8638357334</v>
      </c>
      <c r="AC82" s="41">
        <f t="shared" si="15"/>
        <v>3422600</v>
      </c>
      <c r="AD82" s="5">
        <v>100</v>
      </c>
      <c r="AE82" s="41">
        <f t="shared" si="16"/>
        <v>6280</v>
      </c>
      <c r="AF82" s="41">
        <f t="shared" ca="1" si="17"/>
        <v>4363.7910755307639</v>
      </c>
      <c r="AG82" s="41">
        <f t="shared" ca="1" si="18"/>
        <v>2378266.1361642666</v>
      </c>
      <c r="AH82" s="41">
        <f t="shared" si="19"/>
        <v>4427.3999999999996</v>
      </c>
      <c r="AI82" s="13">
        <f t="shared" ca="1" si="20"/>
        <v>140.09702493074204</v>
      </c>
      <c r="AJ82" s="10">
        <f t="shared" ca="1" si="21"/>
        <v>14.895610748910094</v>
      </c>
      <c r="AK82" s="11">
        <f t="shared" ca="1" si="41"/>
        <v>8405.8214958445224</v>
      </c>
      <c r="AL82" s="6">
        <v>10000</v>
      </c>
      <c r="AM82" s="41">
        <f t="shared" ca="1" si="22"/>
        <v>71.379103196114059</v>
      </c>
      <c r="AN82" s="41">
        <f t="shared" ca="1" si="23"/>
        <v>87.784400414020936</v>
      </c>
      <c r="AO82" s="41">
        <f t="shared" ca="1" si="24"/>
        <v>6.18723680085919</v>
      </c>
      <c r="AP82" s="67">
        <f t="shared" si="42"/>
        <v>0.70499999999999996</v>
      </c>
      <c r="AQ82" s="11">
        <f t="shared" si="25"/>
        <v>1.0520562207183759</v>
      </c>
      <c r="AR82" s="11">
        <f t="shared" si="26"/>
        <v>1</v>
      </c>
      <c r="AS82" s="11">
        <f t="shared" si="27"/>
        <v>0.95051954477981193</v>
      </c>
      <c r="AT82" s="11">
        <f t="shared" si="28"/>
        <v>545.66999999999996</v>
      </c>
      <c r="AU82" s="11">
        <f t="shared" si="29"/>
        <v>2116.2199999999998</v>
      </c>
      <c r="AV82" s="11">
        <f t="shared" si="30"/>
        <v>2.259289905987135E-3</v>
      </c>
      <c r="AW82" s="11">
        <f t="shared" si="31"/>
        <v>3.8865391239478742E-7</v>
      </c>
      <c r="AX82" s="41">
        <f t="shared" ca="1" si="32"/>
        <v>138.05979512262368</v>
      </c>
      <c r="AY82" s="11">
        <f t="shared" ca="1" si="33"/>
        <v>627.52468929542829</v>
      </c>
      <c r="AZ82" s="11"/>
      <c r="BA82" s="11"/>
    </row>
    <row r="83" spans="1:53" ht="14.5">
      <c r="A83" s="41">
        <f t="shared" ca="1" si="34"/>
        <v>5610.121500877387</v>
      </c>
      <c r="B83" s="41">
        <f t="shared" ca="1" si="47"/>
        <v>93.502025014623115</v>
      </c>
      <c r="C83" s="41">
        <f t="shared" ca="1" si="47"/>
        <v>1.558367083577052</v>
      </c>
      <c r="D83" s="41">
        <f t="shared" ca="1" si="43"/>
        <v>17226.348438746474</v>
      </c>
      <c r="E83" s="41">
        <f t="shared" ca="1" si="36"/>
        <v>336.84384215451882</v>
      </c>
      <c r="F83" s="41">
        <f t="shared" ca="1" si="37"/>
        <v>336.84384215451882</v>
      </c>
      <c r="G83" s="41"/>
      <c r="H83" s="5">
        <v>0</v>
      </c>
      <c r="I83" s="5">
        <v>15</v>
      </c>
      <c r="J83" s="41">
        <f t="shared" si="38"/>
        <v>0.48874552353531858</v>
      </c>
      <c r="K83" s="41">
        <f t="shared" si="44"/>
        <v>550</v>
      </c>
      <c r="L83" s="6">
        <f t="shared" si="39"/>
        <v>84.099999999999966</v>
      </c>
      <c r="M83" s="41">
        <f t="shared" si="0"/>
        <v>325.86619999999999</v>
      </c>
      <c r="N83" s="41">
        <f t="shared" si="1"/>
        <v>341.71759828055417</v>
      </c>
      <c r="O83" s="41">
        <f t="shared" si="2"/>
        <v>3197213.2755239182</v>
      </c>
      <c r="P83" s="41">
        <f t="shared" si="3"/>
        <v>20528355.860009722</v>
      </c>
      <c r="Q83" s="41">
        <f t="shared" si="4"/>
        <v>2.6254085671043067E-3</v>
      </c>
      <c r="R83" s="41">
        <f t="shared" si="5"/>
        <v>2.1028119302171792E-2</v>
      </c>
      <c r="S83" s="24">
        <f t="shared" ca="1" si="40"/>
        <v>14.813855261397356</v>
      </c>
      <c r="T83" s="41">
        <f t="shared" ca="1" si="6"/>
        <v>0.21189340152612179</v>
      </c>
      <c r="U83" s="41">
        <f t="shared" ca="1" si="7"/>
        <v>2.3863781256553758E-2</v>
      </c>
      <c r="V83" s="41">
        <f t="shared" ca="1" si="8"/>
        <v>8.8792886277370258</v>
      </c>
      <c r="W83" s="20">
        <f t="shared" ca="1" si="9"/>
        <v>1875.5750238828725</v>
      </c>
      <c r="X83" s="41">
        <f t="shared" si="10"/>
        <v>0.57701940781684602</v>
      </c>
      <c r="Y83" s="41">
        <f t="shared" ca="1" si="11"/>
        <v>174.70758421356231</v>
      </c>
      <c r="Z83" s="14">
        <f t="shared" ca="1" si="12"/>
        <v>1940.0595206394116</v>
      </c>
      <c r="AA83" s="14">
        <f t="shared" si="13"/>
        <v>6280</v>
      </c>
      <c r="AB83" s="25">
        <f t="shared" ca="1" si="14"/>
        <v>1067032.7363516763</v>
      </c>
      <c r="AC83" s="41">
        <f t="shared" si="15"/>
        <v>3454000</v>
      </c>
      <c r="AD83" s="5">
        <v>100</v>
      </c>
      <c r="AE83" s="41">
        <f t="shared" si="16"/>
        <v>6280</v>
      </c>
      <c r="AF83" s="41">
        <f t="shared" ca="1" si="17"/>
        <v>4339.9404793605881</v>
      </c>
      <c r="AG83" s="41">
        <f t="shared" ca="1" si="18"/>
        <v>2386967.2636483237</v>
      </c>
      <c r="AH83" s="41">
        <f t="shared" si="19"/>
        <v>4427.3999999999996</v>
      </c>
      <c r="AI83" s="13">
        <f t="shared" ca="1" si="20"/>
        <v>140.62375119591485</v>
      </c>
      <c r="AJ83" s="10">
        <f t="shared" ca="1" si="21"/>
        <v>14.813855261397356</v>
      </c>
      <c r="AK83" s="11">
        <f t="shared" ca="1" si="41"/>
        <v>8437.4250717548912</v>
      </c>
      <c r="AL83" s="6">
        <v>10000</v>
      </c>
      <c r="AM83" s="41">
        <f t="shared" ca="1" si="22"/>
        <v>71.111742610735462</v>
      </c>
      <c r="AN83" s="41">
        <f t="shared" ca="1" si="23"/>
        <v>87.45559145410283</v>
      </c>
      <c r="AO83" s="41">
        <f t="shared" ca="1" si="24"/>
        <v>6.2229673638320824</v>
      </c>
      <c r="AP83" s="67">
        <f t="shared" si="42"/>
        <v>0.70499999999999996</v>
      </c>
      <c r="AQ83" s="11">
        <f t="shared" si="25"/>
        <v>1.0520562207183759</v>
      </c>
      <c r="AR83" s="11">
        <f t="shared" si="26"/>
        <v>1</v>
      </c>
      <c r="AS83" s="11">
        <f t="shared" si="27"/>
        <v>0.95051954477981193</v>
      </c>
      <c r="AT83" s="11">
        <f t="shared" si="28"/>
        <v>545.66999999999996</v>
      </c>
      <c r="AU83" s="11">
        <f t="shared" si="29"/>
        <v>2116.2199999999998</v>
      </c>
      <c r="AV83" s="11">
        <f t="shared" si="30"/>
        <v>2.259289905987135E-3</v>
      </c>
      <c r="AW83" s="11">
        <f t="shared" si="31"/>
        <v>3.8865391239478742E-7</v>
      </c>
      <c r="AX83" s="41">
        <f t="shared" ca="1" si="32"/>
        <v>138.56490086311166</v>
      </c>
      <c r="AY83" s="11">
        <f t="shared" ca="1" si="33"/>
        <v>627.94146959890986</v>
      </c>
      <c r="AZ83" s="11"/>
      <c r="BA83" s="11"/>
    </row>
    <row r="84" spans="1:53" ht="14.5">
      <c r="A84" s="41">
        <f t="shared" ca="1" si="34"/>
        <v>5681.2332434881228</v>
      </c>
      <c r="B84" s="41">
        <f t="shared" ca="1" si="47"/>
        <v>94.687220724802046</v>
      </c>
      <c r="C84" s="41">
        <f t="shared" ca="1" si="47"/>
        <v>1.5781203454133674</v>
      </c>
      <c r="D84" s="41">
        <f t="shared" ca="1" si="43"/>
        <v>17226.348438746474</v>
      </c>
      <c r="E84" s="41">
        <f t="shared" ca="1" si="36"/>
        <v>343.06680951835091</v>
      </c>
      <c r="F84" s="41">
        <f t="shared" ca="1" si="37"/>
        <v>343.06680951835091</v>
      </c>
      <c r="G84" s="41"/>
      <c r="H84" s="5">
        <v>0</v>
      </c>
      <c r="I84" s="5">
        <v>15</v>
      </c>
      <c r="J84" s="41">
        <f t="shared" si="38"/>
        <v>0.49318866465836692</v>
      </c>
      <c r="K84" s="41">
        <f t="shared" si="44"/>
        <v>555</v>
      </c>
      <c r="L84" s="6">
        <f t="shared" si="39"/>
        <v>85.334999999999965</v>
      </c>
      <c r="M84" s="41">
        <f t="shared" si="0"/>
        <v>328.82862</v>
      </c>
      <c r="N84" s="41">
        <f t="shared" si="1"/>
        <v>347.95888664584362</v>
      </c>
      <c r="O84" s="41">
        <f t="shared" si="2"/>
        <v>3226278.8507559542</v>
      </c>
      <c r="P84" s="41">
        <f t="shared" si="3"/>
        <v>20714977.276918903</v>
      </c>
      <c r="Q84" s="41">
        <f t="shared" si="4"/>
        <v>2.6207368531110235E-3</v>
      </c>
      <c r="R84" s="41">
        <f t="shared" si="5"/>
        <v>2.0999598488242798E-2</v>
      </c>
      <c r="S84" s="24">
        <f t="shared" ca="1" si="40"/>
        <v>14.731051588989137</v>
      </c>
      <c r="T84" s="41">
        <f t="shared" ca="1" si="6"/>
        <v>0.20817201819502035</v>
      </c>
      <c r="U84" s="41">
        <f t="shared" ca="1" si="7"/>
        <v>2.3736532308288882E-2</v>
      </c>
      <c r="V84" s="41">
        <f t="shared" ca="1" si="8"/>
        <v>8.7701107934087723</v>
      </c>
      <c r="W84" s="20">
        <f t="shared" ca="1" si="9"/>
        <v>1899.6475916098182</v>
      </c>
      <c r="X84" s="41">
        <f t="shared" si="10"/>
        <v>0.5766279641749561</v>
      </c>
      <c r="Y84" s="41">
        <f t="shared" ca="1" si="11"/>
        <v>174.74087741638519</v>
      </c>
      <c r="Z84" s="14">
        <f t="shared" ca="1" si="12"/>
        <v>1964.2110395792304</v>
      </c>
      <c r="AA84" s="14">
        <f t="shared" si="13"/>
        <v>6280</v>
      </c>
      <c r="AB84" s="25">
        <f t="shared" ca="1" si="14"/>
        <v>1090137.1269664729</v>
      </c>
      <c r="AC84" s="41">
        <f t="shared" si="15"/>
        <v>3485400</v>
      </c>
      <c r="AD84" s="5">
        <v>100</v>
      </c>
      <c r="AE84" s="41">
        <f t="shared" si="16"/>
        <v>6280</v>
      </c>
      <c r="AF84" s="41">
        <f t="shared" ca="1" si="17"/>
        <v>4315.7889604207694</v>
      </c>
      <c r="AG84" s="41">
        <f t="shared" ca="1" si="18"/>
        <v>2395262.8730335273</v>
      </c>
      <c r="AH84" s="41">
        <f t="shared" si="19"/>
        <v>4427.3999999999996</v>
      </c>
      <c r="AI84" s="13">
        <f t="shared" ca="1" si="20"/>
        <v>141.12657684250681</v>
      </c>
      <c r="AJ84" s="10">
        <f t="shared" ca="1" si="21"/>
        <v>14.731051588989137</v>
      </c>
      <c r="AK84" s="11">
        <f t="shared" ca="1" si="41"/>
        <v>8467.5946105504081</v>
      </c>
      <c r="AL84" s="6">
        <v>10000</v>
      </c>
      <c r="AM84" s="41">
        <f t="shared" ca="1" si="22"/>
        <v>70.858375677599781</v>
      </c>
      <c r="AN84" s="41">
        <f t="shared" ca="1" si="23"/>
        <v>87.14399235416812</v>
      </c>
      <c r="AO84" s="41">
        <f t="shared" ca="1" si="24"/>
        <v>6.2595511902157943</v>
      </c>
      <c r="AP84" s="67">
        <f t="shared" si="42"/>
        <v>0.70499999999999996</v>
      </c>
      <c r="AQ84" s="11">
        <f t="shared" si="25"/>
        <v>1.0520562207183759</v>
      </c>
      <c r="AR84" s="11">
        <f t="shared" si="26"/>
        <v>1</v>
      </c>
      <c r="AS84" s="11">
        <f t="shared" si="27"/>
        <v>0.95051954477981193</v>
      </c>
      <c r="AT84" s="11">
        <f t="shared" si="28"/>
        <v>545.66999999999996</v>
      </c>
      <c r="AU84" s="11">
        <f t="shared" si="29"/>
        <v>2116.2199999999998</v>
      </c>
      <c r="AV84" s="11">
        <f t="shared" si="30"/>
        <v>2.259289905987135E-3</v>
      </c>
      <c r="AW84" s="11">
        <f t="shared" si="31"/>
        <v>3.8865391239478742E-7</v>
      </c>
      <c r="AX84" s="41">
        <f t="shared" ca="1" si="32"/>
        <v>139.04646603141771</v>
      </c>
      <c r="AY84" s="11">
        <f t="shared" ca="1" si="33"/>
        <v>628.35601703520911</v>
      </c>
      <c r="AZ84" s="11"/>
      <c r="BA84" s="11"/>
    </row>
    <row r="85" spans="1:53" ht="14.5">
      <c r="A85" s="41">
        <f t="shared" ca="1" si="34"/>
        <v>5752.0916191657225</v>
      </c>
      <c r="B85" s="41">
        <f t="shared" ca="1" si="47"/>
        <v>95.868193652762045</v>
      </c>
      <c r="C85" s="41">
        <f t="shared" ca="1" si="47"/>
        <v>1.5978032275460341</v>
      </c>
      <c r="D85" s="41">
        <f t="shared" ca="1" si="43"/>
        <v>17226.348438746474</v>
      </c>
      <c r="E85" s="41">
        <f t="shared" ca="1" si="36"/>
        <v>349.32636070856671</v>
      </c>
      <c r="F85" s="41">
        <f t="shared" ca="1" si="37"/>
        <v>349.32636070856671</v>
      </c>
      <c r="G85" s="41"/>
      <c r="H85" s="5">
        <v>0</v>
      </c>
      <c r="I85" s="5">
        <v>15</v>
      </c>
      <c r="J85" s="41">
        <f t="shared" si="38"/>
        <v>0.49763180578141525</v>
      </c>
      <c r="K85" s="41">
        <f t="shared" si="44"/>
        <v>560</v>
      </c>
      <c r="L85" s="6">
        <f t="shared" si="39"/>
        <v>86.569999999999965</v>
      </c>
      <c r="M85" s="41">
        <f t="shared" si="0"/>
        <v>331.79104000000001</v>
      </c>
      <c r="N85" s="41">
        <f t="shared" si="1"/>
        <v>354.25665725878275</v>
      </c>
      <c r="O85" s="41">
        <f t="shared" si="2"/>
        <v>3255344.4259879892</v>
      </c>
      <c r="P85" s="41">
        <f t="shared" si="3"/>
        <v>20901598.69382808</v>
      </c>
      <c r="Q85" s="41">
        <f t="shared" si="4"/>
        <v>2.6160991928249077E-3</v>
      </c>
      <c r="R85" s="41">
        <f t="shared" si="5"/>
        <v>2.0971285572196061E-2</v>
      </c>
      <c r="S85" s="24">
        <f t="shared" ca="1" si="40"/>
        <v>14.647215902781733</v>
      </c>
      <c r="T85" s="41">
        <f t="shared" ca="1" si="6"/>
        <v>0.20454969997611352</v>
      </c>
      <c r="U85" s="41">
        <f t="shared" ca="1" si="7"/>
        <v>2.3613799497071191E-2</v>
      </c>
      <c r="V85" s="41">
        <f t="shared" ca="1" si="8"/>
        <v>8.6622951127150767</v>
      </c>
      <c r="W85" s="20">
        <f t="shared" ca="1" si="9"/>
        <v>1924.0295052526601</v>
      </c>
      <c r="X85" s="41">
        <f t="shared" si="10"/>
        <v>0.57623911088828539</v>
      </c>
      <c r="Y85" s="41">
        <f t="shared" ca="1" si="11"/>
        <v>174.7743932324363</v>
      </c>
      <c r="Z85" s="14">
        <f t="shared" ca="1" si="12"/>
        <v>1988.6586885570923</v>
      </c>
      <c r="AA85" s="14">
        <f t="shared" si="13"/>
        <v>6280</v>
      </c>
      <c r="AB85" s="25">
        <f t="shared" ca="1" si="14"/>
        <v>1113648.8655919717</v>
      </c>
      <c r="AC85" s="41">
        <f t="shared" si="15"/>
        <v>3516800</v>
      </c>
      <c r="AD85" s="5">
        <v>100</v>
      </c>
      <c r="AE85" s="41">
        <f t="shared" si="16"/>
        <v>6280</v>
      </c>
      <c r="AF85" s="41">
        <f t="shared" ca="1" si="17"/>
        <v>4291.3413114429077</v>
      </c>
      <c r="AG85" s="41">
        <f t="shared" ca="1" si="18"/>
        <v>2403151.1344080283</v>
      </c>
      <c r="AH85" s="41">
        <f t="shared" si="19"/>
        <v>4427.3999999999996</v>
      </c>
      <c r="AI85" s="13">
        <f t="shared" ca="1" si="20"/>
        <v>141.60537189482372</v>
      </c>
      <c r="AJ85" s="10">
        <f t="shared" ca="1" si="21"/>
        <v>14.647215902781733</v>
      </c>
      <c r="AK85" s="11">
        <f t="shared" ca="1" si="41"/>
        <v>8496.322313689423</v>
      </c>
      <c r="AL85" s="6">
        <v>10000</v>
      </c>
      <c r="AM85" s="41">
        <f t="shared" ca="1" si="22"/>
        <v>70.61878985373113</v>
      </c>
      <c r="AN85" s="41">
        <f t="shared" ca="1" si="23"/>
        <v>86.849341721780334</v>
      </c>
      <c r="AO85" s="41">
        <f t="shared" ca="1" si="24"/>
        <v>6.2970029936922201</v>
      </c>
      <c r="AP85" s="67">
        <f t="shared" si="42"/>
        <v>0.70499999999999996</v>
      </c>
      <c r="AQ85" s="11">
        <f t="shared" si="25"/>
        <v>1.0520562207183759</v>
      </c>
      <c r="AR85" s="11">
        <f t="shared" si="26"/>
        <v>1</v>
      </c>
      <c r="AS85" s="11">
        <f t="shared" si="27"/>
        <v>0.95051954477981193</v>
      </c>
      <c r="AT85" s="11">
        <f t="shared" si="28"/>
        <v>545.66999999999996</v>
      </c>
      <c r="AU85" s="11">
        <f t="shared" si="29"/>
        <v>2116.2199999999998</v>
      </c>
      <c r="AV85" s="11">
        <f t="shared" si="30"/>
        <v>2.259289905987135E-3</v>
      </c>
      <c r="AW85" s="11">
        <f t="shared" si="31"/>
        <v>3.8865391239478742E-7</v>
      </c>
      <c r="AX85" s="41">
        <f t="shared" ca="1" si="32"/>
        <v>139.50438440004646</v>
      </c>
      <c r="AY85" s="11">
        <f t="shared" ca="1" si="33"/>
        <v>628.76838568754431</v>
      </c>
      <c r="AZ85" s="11"/>
      <c r="BA85" s="11"/>
    </row>
    <row r="86" spans="1:53" ht="14.5">
      <c r="A86" s="41">
        <f t="shared" ca="1" si="34"/>
        <v>5822.7104090194534</v>
      </c>
      <c r="B86" s="41">
        <f t="shared" ca="1" si="47"/>
        <v>97.045173483657564</v>
      </c>
      <c r="C86" s="41">
        <f t="shared" ca="1" si="47"/>
        <v>1.6174195580609594</v>
      </c>
      <c r="D86" s="41">
        <f t="shared" ca="1" si="43"/>
        <v>17226.348438746474</v>
      </c>
      <c r="E86" s="41">
        <f t="shared" ca="1" si="36"/>
        <v>355.62336370225893</v>
      </c>
      <c r="F86" s="41">
        <f t="shared" ca="1" si="37"/>
        <v>355.62336370225893</v>
      </c>
      <c r="G86" s="41"/>
      <c r="H86" s="5">
        <v>0</v>
      </c>
      <c r="I86" s="5">
        <v>15</v>
      </c>
      <c r="J86" s="41">
        <f t="shared" si="38"/>
        <v>0.50207494690446364</v>
      </c>
      <c r="K86" s="41">
        <f t="shared" si="44"/>
        <v>565</v>
      </c>
      <c r="L86" s="6">
        <f t="shared" si="39"/>
        <v>87.804999999999964</v>
      </c>
      <c r="M86" s="41">
        <f t="shared" si="0"/>
        <v>334.75346000000002</v>
      </c>
      <c r="N86" s="41">
        <f t="shared" si="1"/>
        <v>360.61091011937157</v>
      </c>
      <c r="O86" s="41">
        <f t="shared" si="2"/>
        <v>3284410.0012200251</v>
      </c>
      <c r="P86" s="41">
        <f t="shared" si="3"/>
        <v>21088220.11073726</v>
      </c>
      <c r="Q86" s="41">
        <f t="shared" si="4"/>
        <v>2.6114948207924867E-3</v>
      </c>
      <c r="R86" s="41">
        <f t="shared" si="5"/>
        <v>2.0943175880938129E-2</v>
      </c>
      <c r="S86" s="24">
        <f t="shared" ca="1" si="40"/>
        <v>14.562363761404457</v>
      </c>
      <c r="T86" s="41">
        <f t="shared" ca="1" si="6"/>
        <v>0.20102292845244696</v>
      </c>
      <c r="U86" s="41">
        <f t="shared" ca="1" si="7"/>
        <v>2.3495352828754191E-2</v>
      </c>
      <c r="V86" s="41">
        <f t="shared" ca="1" si="8"/>
        <v>8.5558591061646094</v>
      </c>
      <c r="W86" s="20">
        <f t="shared" ca="1" si="9"/>
        <v>1948.7165304451441</v>
      </c>
      <c r="X86" s="41">
        <f t="shared" si="10"/>
        <v>0.57585278895876379</v>
      </c>
      <c r="Y86" s="41">
        <f t="shared" ca="1" si="11"/>
        <v>174.80811838948603</v>
      </c>
      <c r="Z86" s="14">
        <f t="shared" ca="1" si="12"/>
        <v>2013.3978627972804</v>
      </c>
      <c r="AA86" s="14">
        <f t="shared" si="13"/>
        <v>6280</v>
      </c>
      <c r="AB86" s="25">
        <f t="shared" ca="1" si="14"/>
        <v>1137569.7924804634</v>
      </c>
      <c r="AC86" s="41">
        <f t="shared" si="15"/>
        <v>3548200</v>
      </c>
      <c r="AD86" s="5">
        <v>100</v>
      </c>
      <c r="AE86" s="41">
        <f t="shared" si="16"/>
        <v>6280</v>
      </c>
      <c r="AF86" s="41">
        <f t="shared" ca="1" si="17"/>
        <v>4266.6021372027199</v>
      </c>
      <c r="AG86" s="41">
        <f t="shared" ca="1" si="18"/>
        <v>2410630.2075195368</v>
      </c>
      <c r="AH86" s="41">
        <f t="shared" si="19"/>
        <v>4427.3999999999996</v>
      </c>
      <c r="AI86" s="13">
        <f t="shared" ca="1" si="20"/>
        <v>142.06000586834577</v>
      </c>
      <c r="AJ86" s="10">
        <f t="shared" ca="1" si="21"/>
        <v>14.562363761404457</v>
      </c>
      <c r="AK86" s="11">
        <f t="shared" ca="1" si="41"/>
        <v>8523.600352100746</v>
      </c>
      <c r="AL86" s="6">
        <v>10000</v>
      </c>
      <c r="AM86" s="41">
        <f t="shared" ca="1" si="22"/>
        <v>70.392788870271545</v>
      </c>
      <c r="AN86" s="41">
        <f t="shared" ca="1" si="23"/>
        <v>86.571398178955604</v>
      </c>
      <c r="AO86" s="41">
        <f t="shared" ca="1" si="24"/>
        <v>6.3353383107357422</v>
      </c>
      <c r="AP86" s="67">
        <f t="shared" si="42"/>
        <v>0.70499999999999996</v>
      </c>
      <c r="AQ86" s="11">
        <f t="shared" si="25"/>
        <v>1.0520562207183759</v>
      </c>
      <c r="AR86" s="11">
        <f t="shared" si="26"/>
        <v>1</v>
      </c>
      <c r="AS86" s="11">
        <f t="shared" si="27"/>
        <v>0.95051954477981193</v>
      </c>
      <c r="AT86" s="11">
        <f t="shared" si="28"/>
        <v>545.66999999999996</v>
      </c>
      <c r="AU86" s="11">
        <f t="shared" si="29"/>
        <v>2116.2199999999998</v>
      </c>
      <c r="AV86" s="11">
        <f t="shared" si="30"/>
        <v>2.259289905987135E-3</v>
      </c>
      <c r="AW86" s="11">
        <f t="shared" si="31"/>
        <v>3.8865391239478742E-7</v>
      </c>
      <c r="AX86" s="41">
        <f t="shared" ca="1" si="32"/>
        <v>139.93854914123364</v>
      </c>
      <c r="AY86" s="11">
        <f t="shared" ca="1" si="33"/>
        <v>629.17862813677391</v>
      </c>
      <c r="AZ86" s="11"/>
      <c r="BA86" s="11"/>
    </row>
    <row r="87" spans="1:53" ht="14.5">
      <c r="A87" s="41">
        <f t="shared" ca="1" si="34"/>
        <v>5893.1031978897254</v>
      </c>
      <c r="B87" s="41">
        <f t="shared" ca="1" si="47"/>
        <v>98.21838663149542</v>
      </c>
      <c r="C87" s="41">
        <f t="shared" ca="1" si="47"/>
        <v>1.6369731105249237</v>
      </c>
      <c r="D87" s="41">
        <f t="shared" ca="1" si="43"/>
        <v>17226.348438746474</v>
      </c>
      <c r="E87" s="41">
        <f t="shared" ca="1" si="36"/>
        <v>361.95870201299465</v>
      </c>
      <c r="F87" s="41">
        <f t="shared" ca="1" si="37"/>
        <v>361.95870201299465</v>
      </c>
      <c r="G87" s="41"/>
      <c r="H87" s="5">
        <v>0</v>
      </c>
      <c r="I87" s="5">
        <v>15</v>
      </c>
      <c r="J87" s="41">
        <f t="shared" si="38"/>
        <v>0.50651808802751197</v>
      </c>
      <c r="K87" s="41">
        <f t="shared" si="44"/>
        <v>570</v>
      </c>
      <c r="L87" s="6">
        <f t="shared" si="39"/>
        <v>89.039999999999964</v>
      </c>
      <c r="M87" s="41">
        <f t="shared" si="0"/>
        <v>337.71588000000003</v>
      </c>
      <c r="N87" s="41">
        <f t="shared" si="1"/>
        <v>367.02164522761007</v>
      </c>
      <c r="O87" s="41">
        <f t="shared" si="2"/>
        <v>3313475.5764520601</v>
      </c>
      <c r="P87" s="41">
        <f t="shared" si="3"/>
        <v>21274841.527646437</v>
      </c>
      <c r="Q87" s="41">
        <f t="shared" si="4"/>
        <v>2.6069229942242192E-3</v>
      </c>
      <c r="R87" s="41">
        <f t="shared" si="5"/>
        <v>2.0915264879738858E-2</v>
      </c>
      <c r="S87" s="24">
        <f t="shared" ca="1" si="40"/>
        <v>14.476510142849969</v>
      </c>
      <c r="T87" s="41">
        <f t="shared" ca="1" si="6"/>
        <v>0.19758834019299484</v>
      </c>
      <c r="U87" s="41">
        <f t="shared" ca="1" si="7"/>
        <v>2.3380976131121937E-2</v>
      </c>
      <c r="V87" s="41">
        <f t="shared" ca="1" si="8"/>
        <v>8.4508165563707607</v>
      </c>
      <c r="W87" s="20">
        <f t="shared" ca="1" si="9"/>
        <v>1973.7045951345267</v>
      </c>
      <c r="X87" s="41">
        <f t="shared" si="10"/>
        <v>0.57546894109945146</v>
      </c>
      <c r="Y87" s="41">
        <f t="shared" ca="1" si="11"/>
        <v>174.84203990582608</v>
      </c>
      <c r="Z87" s="14">
        <f t="shared" ca="1" si="12"/>
        <v>2038.4241361576073</v>
      </c>
      <c r="AA87" s="14">
        <f t="shared" si="13"/>
        <v>6280</v>
      </c>
      <c r="AB87" s="25">
        <f t="shared" ca="1" si="14"/>
        <v>1161901.7576098363</v>
      </c>
      <c r="AC87" s="41">
        <f t="shared" si="15"/>
        <v>3579600</v>
      </c>
      <c r="AD87" s="5">
        <v>100</v>
      </c>
      <c r="AE87" s="41">
        <f t="shared" si="16"/>
        <v>6280</v>
      </c>
      <c r="AF87" s="41">
        <f t="shared" ca="1" si="17"/>
        <v>4241.5758638423922</v>
      </c>
      <c r="AG87" s="41">
        <f t="shared" ca="1" si="18"/>
        <v>2417698.2423901637</v>
      </c>
      <c r="AH87" s="41">
        <f t="shared" si="19"/>
        <v>4427.3999999999996</v>
      </c>
      <c r="AI87" s="13">
        <f t="shared" ca="1" si="20"/>
        <v>142.49034782393701</v>
      </c>
      <c r="AJ87" s="10">
        <f t="shared" ca="1" si="21"/>
        <v>14.476510142849969</v>
      </c>
      <c r="AK87" s="11">
        <f t="shared" ca="1" si="41"/>
        <v>8549.4208694362205</v>
      </c>
      <c r="AL87" s="6">
        <v>10000</v>
      </c>
      <c r="AM87" s="41">
        <f t="shared" ca="1" si="22"/>
        <v>70.18019222155408</v>
      </c>
      <c r="AN87" s="41">
        <f t="shared" ca="1" si="23"/>
        <v>86.309939733807923</v>
      </c>
      <c r="AO87" s="41">
        <f t="shared" ca="1" si="24"/>
        <v>6.374573519175299</v>
      </c>
      <c r="AP87" s="67">
        <f t="shared" si="42"/>
        <v>0.70499999999999996</v>
      </c>
      <c r="AQ87" s="11">
        <f t="shared" si="25"/>
        <v>1.0520562207183759</v>
      </c>
      <c r="AR87" s="11">
        <f t="shared" si="26"/>
        <v>1</v>
      </c>
      <c r="AS87" s="11">
        <f t="shared" si="27"/>
        <v>0.95051954477981193</v>
      </c>
      <c r="AT87" s="11">
        <f t="shared" si="28"/>
        <v>545.66999999999996</v>
      </c>
      <c r="AU87" s="11">
        <f t="shared" si="29"/>
        <v>2116.2199999999998</v>
      </c>
      <c r="AV87" s="11">
        <f t="shared" si="30"/>
        <v>2.259289905987135E-3</v>
      </c>
      <c r="AW87" s="11">
        <f t="shared" si="31"/>
        <v>3.8865391239478742E-7</v>
      </c>
      <c r="AX87" s="41">
        <f t="shared" ca="1" si="32"/>
        <v>140.34885286263807</v>
      </c>
      <c r="AY87" s="11">
        <f t="shared" ca="1" si="33"/>
        <v>629.58679551435489</v>
      </c>
      <c r="AZ87" s="11"/>
      <c r="BA87" s="11"/>
    </row>
    <row r="88" spans="1:53" ht="14.5">
      <c r="A88" s="41">
        <f t="shared" ref="A88:A107" ca="1" si="48">A87+AM87</f>
        <v>5963.283390111279</v>
      </c>
      <c r="B88" s="41">
        <f t="shared" ref="B88:C103" ca="1" si="49">A88/60</f>
        <v>99.388056501854649</v>
      </c>
      <c r="C88" s="41">
        <f t="shared" ca="1" si="49"/>
        <v>1.6564676083642442</v>
      </c>
      <c r="D88" s="41">
        <f t="shared" ca="1" si="43"/>
        <v>17226.348438746474</v>
      </c>
      <c r="E88" s="41">
        <f t="shared" ref="E88:E107" ca="1" si="50">E87+AO87</f>
        <v>368.33327553216992</v>
      </c>
      <c r="F88" s="41">
        <f t="shared" ref="F88:F107" ca="1" si="51">F87+AO87</f>
        <v>368.33327553216992</v>
      </c>
      <c r="G88" s="41"/>
      <c r="H88" s="5">
        <v>0</v>
      </c>
      <c r="I88" s="5">
        <v>15</v>
      </c>
      <c r="J88" s="41">
        <f t="shared" ref="J88:J146" si="52">K88/1125.33</f>
        <v>0.5109612291505603</v>
      </c>
      <c r="K88" s="41">
        <f t="shared" si="44"/>
        <v>575</v>
      </c>
      <c r="L88" s="6">
        <f t="shared" ref="L88:L146" si="53">L87+1.235</f>
        <v>90.274999999999963</v>
      </c>
      <c r="M88" s="41">
        <f t="shared" si="0"/>
        <v>340.67829999999998</v>
      </c>
      <c r="N88" s="41">
        <f t="shared" si="1"/>
        <v>373.48886258349825</v>
      </c>
      <c r="O88" s="41">
        <f t="shared" si="2"/>
        <v>3342541.1516840961</v>
      </c>
      <c r="P88" s="41">
        <f t="shared" si="3"/>
        <v>21461462.944555618</v>
      </c>
      <c r="Q88" s="41">
        <f t="shared" si="4"/>
        <v>2.6023829921578549E-3</v>
      </c>
      <c r="R88" s="41">
        <f t="shared" si="5"/>
        <v>2.0887548167123703E-2</v>
      </c>
      <c r="S88" s="24">
        <f t="shared" ref="S88:S107" ca="1" si="54">AJ88</f>
        <v>14.389669474335566</v>
      </c>
      <c r="T88" s="41">
        <f t="shared" ca="1" si="6"/>
        <v>0.19424271862352921</v>
      </c>
      <c r="U88" s="41">
        <f t="shared" ca="1" si="7"/>
        <v>2.3270466105003308E-2</v>
      </c>
      <c r="V88" s="41">
        <f t="shared" ca="1" si="8"/>
        <v>8.3471778239012462</v>
      </c>
      <c r="W88" s="20">
        <f t="shared" ca="1" si="9"/>
        <v>1998.9897809894728</v>
      </c>
      <c r="X88" s="41">
        <f t="shared" si="10"/>
        <v>0.57508751167246486</v>
      </c>
      <c r="Y88" s="41">
        <f t="shared" ca="1" si="11"/>
        <v>174.87614507593969</v>
      </c>
      <c r="Z88" s="14">
        <f t="shared" ca="1" si="12"/>
        <v>2063.7332523838991</v>
      </c>
      <c r="AA88" s="14">
        <f t="shared" si="13"/>
        <v>6280</v>
      </c>
      <c r="AB88" s="25">
        <f t="shared" ca="1" si="14"/>
        <v>1186646.6201207419</v>
      </c>
      <c r="AC88" s="41">
        <f t="shared" si="15"/>
        <v>3611000</v>
      </c>
      <c r="AD88" s="5">
        <v>100</v>
      </c>
      <c r="AE88" s="41">
        <f t="shared" si="16"/>
        <v>6280</v>
      </c>
      <c r="AF88" s="41">
        <f t="shared" ca="1" si="17"/>
        <v>4216.2667476161005</v>
      </c>
      <c r="AG88" s="41">
        <f t="shared" ca="1" si="18"/>
        <v>2424353.3798792581</v>
      </c>
      <c r="AH88" s="41">
        <f t="shared" si="19"/>
        <v>4427.3999999999996</v>
      </c>
      <c r="AI88" s="13">
        <f t="shared" ca="1" si="20"/>
        <v>142.896266419082</v>
      </c>
      <c r="AJ88" s="10">
        <f t="shared" ca="1" si="21"/>
        <v>14.389669474335566</v>
      </c>
      <c r="AK88" s="11">
        <f t="shared" ref="AK88:AK106" ca="1" si="55">AI88*60</f>
        <v>8573.7759851449191</v>
      </c>
      <c r="AL88" s="6">
        <v>10000</v>
      </c>
      <c r="AM88" s="41">
        <f t="shared" ca="1" si="22"/>
        <v>69.980834703352514</v>
      </c>
      <c r="AN88" s="41">
        <f t="shared" ca="1" si="23"/>
        <v>86.064763212673029</v>
      </c>
      <c r="AO88" s="41">
        <f t="shared" ca="1" si="24"/>
        <v>6.4147258589164045</v>
      </c>
      <c r="AP88" s="67">
        <f t="shared" ref="AP88:AP146" si="56">0.705 + 0.302*AZ88 + -0.0327*AZ88^2</f>
        <v>0.70499999999999996</v>
      </c>
      <c r="AQ88" s="11">
        <f t="shared" si="25"/>
        <v>1.0520562207183759</v>
      </c>
      <c r="AR88" s="11">
        <f t="shared" si="26"/>
        <v>1</v>
      </c>
      <c r="AS88" s="11">
        <f t="shared" si="27"/>
        <v>0.95051954477981193</v>
      </c>
      <c r="AT88" s="11">
        <f t="shared" si="28"/>
        <v>545.66999999999996</v>
      </c>
      <c r="AU88" s="11">
        <f t="shared" si="29"/>
        <v>2116.2199999999998</v>
      </c>
      <c r="AV88" s="11">
        <f t="shared" si="30"/>
        <v>2.259289905987135E-3</v>
      </c>
      <c r="AW88" s="11">
        <f t="shared" si="31"/>
        <v>3.8865391239478742E-7</v>
      </c>
      <c r="AX88" s="41">
        <f t="shared" ca="1" si="32"/>
        <v>140.73518764001463</v>
      </c>
      <c r="AY88" s="11">
        <f t="shared" ca="1" si="33"/>
        <v>629.99293755298118</v>
      </c>
      <c r="AZ88" s="11"/>
      <c r="BA88" s="11"/>
    </row>
    <row r="89" spans="1:53" ht="14.5">
      <c r="A89" s="41">
        <f t="shared" ca="1" si="48"/>
        <v>6033.2642248146312</v>
      </c>
      <c r="B89" s="41">
        <f t="shared" ca="1" si="49"/>
        <v>100.55440374691052</v>
      </c>
      <c r="C89" s="41">
        <f t="shared" ca="1" si="49"/>
        <v>1.6759067291151755</v>
      </c>
      <c r="D89" s="41">
        <f t="shared" ref="D89:D146" ca="1" si="57">D88</f>
        <v>17226.348438746474</v>
      </c>
      <c r="E89" s="41">
        <f t="shared" ca="1" si="50"/>
        <v>374.74800139108635</v>
      </c>
      <c r="F89" s="41">
        <f t="shared" ca="1" si="51"/>
        <v>374.74800139108635</v>
      </c>
      <c r="G89" s="41"/>
      <c r="H89" s="5">
        <v>0</v>
      </c>
      <c r="I89" s="5">
        <v>15</v>
      </c>
      <c r="J89" s="41">
        <f t="shared" si="52"/>
        <v>0.51540437027360864</v>
      </c>
      <c r="K89" s="41">
        <f t="shared" ref="K89:K107" si="58">K88+5</f>
        <v>580</v>
      </c>
      <c r="L89" s="6">
        <f t="shared" si="53"/>
        <v>91.509999999999962</v>
      </c>
      <c r="M89" s="41">
        <f t="shared" si="0"/>
        <v>343.64071999999999</v>
      </c>
      <c r="N89" s="41">
        <f t="shared" si="1"/>
        <v>380.01256218703611</v>
      </c>
      <c r="O89" s="41">
        <f t="shared" si="2"/>
        <v>3371606.726916132</v>
      </c>
      <c r="P89" s="41">
        <f t="shared" si="3"/>
        <v>21648084.361464798</v>
      </c>
      <c r="Q89" s="41">
        <f t="shared" si="4"/>
        <v>2.5978741146596607E-3</v>
      </c>
      <c r="R89" s="41">
        <f t="shared" si="5"/>
        <v>2.0860021469997228E-2</v>
      </c>
      <c r="S89" s="24">
        <f t="shared" ca="1" si="54"/>
        <v>14.301855660333045</v>
      </c>
      <c r="T89" s="41">
        <f t="shared" ca="1" si="6"/>
        <v>0.19098298639111067</v>
      </c>
      <c r="U89" s="41">
        <f t="shared" ca="1" si="7"/>
        <v>2.3163631448339387E-2</v>
      </c>
      <c r="V89" s="41">
        <f t="shared" ca="1" si="8"/>
        <v>8.2449501416498467</v>
      </c>
      <c r="W89" s="20">
        <f t="shared" ca="1" si="9"/>
        <v>2024.568315335121</v>
      </c>
      <c r="X89" s="41">
        <f t="shared" si="10"/>
        <v>0.57470844662967846</v>
      </c>
      <c r="Y89" s="41">
        <f t="shared" ca="1" si="11"/>
        <v>174.91042145701681</v>
      </c>
      <c r="Z89" s="14">
        <f t="shared" ca="1" si="12"/>
        <v>2089.3211169011888</v>
      </c>
      <c r="AA89" s="14">
        <f t="shared" si="13"/>
        <v>6280</v>
      </c>
      <c r="AB89" s="25">
        <f t="shared" ca="1" si="14"/>
        <v>1211806.2478026894</v>
      </c>
      <c r="AC89" s="41">
        <f t="shared" si="15"/>
        <v>3642400</v>
      </c>
      <c r="AD89" s="5">
        <v>100</v>
      </c>
      <c r="AE89" s="41">
        <f t="shared" si="16"/>
        <v>6280</v>
      </c>
      <c r="AF89" s="41">
        <f t="shared" ca="1" si="17"/>
        <v>4190.6788830988116</v>
      </c>
      <c r="AG89" s="41">
        <f t="shared" ca="1" si="18"/>
        <v>2430593.7521973103</v>
      </c>
      <c r="AH89" s="41">
        <f t="shared" si="19"/>
        <v>4427.3999999999996</v>
      </c>
      <c r="AI89" s="13">
        <f t="shared" ca="1" si="20"/>
        <v>143.27762995633634</v>
      </c>
      <c r="AJ89" s="10">
        <f t="shared" ca="1" si="21"/>
        <v>14.301855660333045</v>
      </c>
      <c r="AK89" s="11">
        <f t="shared" ca="1" si="55"/>
        <v>8596.6577973801795</v>
      </c>
      <c r="AL89" s="6">
        <v>10000</v>
      </c>
      <c r="AM89" s="41">
        <f t="shared" ca="1" si="22"/>
        <v>69.794565997828741</v>
      </c>
      <c r="AN89" s="41">
        <f t="shared" ca="1" si="23"/>
        <v>85.835683749663048</v>
      </c>
      <c r="AO89" s="41">
        <f t="shared" ca="1" si="24"/>
        <v>6.4558134548678021</v>
      </c>
      <c r="AP89" s="67">
        <f t="shared" si="56"/>
        <v>0.70499999999999996</v>
      </c>
      <c r="AQ89" s="11">
        <f t="shared" si="25"/>
        <v>1.0520562207183759</v>
      </c>
      <c r="AR89" s="11">
        <f t="shared" si="26"/>
        <v>1</v>
      </c>
      <c r="AS89" s="11">
        <f t="shared" si="27"/>
        <v>0.95051954477981193</v>
      </c>
      <c r="AT89" s="11">
        <f t="shared" si="28"/>
        <v>545.66999999999996</v>
      </c>
      <c r="AU89" s="11">
        <f t="shared" si="29"/>
        <v>2116.2199999999998</v>
      </c>
      <c r="AV89" s="11">
        <f t="shared" si="30"/>
        <v>2.259289905987135E-3</v>
      </c>
      <c r="AW89" s="11">
        <f t="shared" si="31"/>
        <v>3.8865391239478742E-7</v>
      </c>
      <c r="AX89" s="41">
        <f t="shared" ca="1" si="32"/>
        <v>141.09744504704676</v>
      </c>
      <c r="AY89" s="11">
        <f t="shared" ca="1" si="33"/>
        <v>630.39710263502081</v>
      </c>
      <c r="AZ89" s="11"/>
      <c r="BA89" s="11"/>
    </row>
    <row r="90" spans="1:53" ht="14.5">
      <c r="A90" s="41">
        <f t="shared" ca="1" si="48"/>
        <v>6103.0587908124598</v>
      </c>
      <c r="B90" s="41">
        <f t="shared" ca="1" si="49"/>
        <v>101.717646513541</v>
      </c>
      <c r="C90" s="41">
        <f t="shared" ca="1" si="49"/>
        <v>1.6952941085590167</v>
      </c>
      <c r="D90" s="41">
        <f t="shared" ca="1" si="57"/>
        <v>17226.348438746474</v>
      </c>
      <c r="E90" s="41">
        <f t="shared" ca="1" si="50"/>
        <v>381.20381484595413</v>
      </c>
      <c r="F90" s="41">
        <f t="shared" ca="1" si="51"/>
        <v>381.20381484595413</v>
      </c>
      <c r="G90" s="41"/>
      <c r="H90" s="5">
        <v>0</v>
      </c>
      <c r="I90" s="5">
        <v>15</v>
      </c>
      <c r="J90" s="41">
        <f t="shared" si="52"/>
        <v>0.51984751139665697</v>
      </c>
      <c r="K90" s="41">
        <f t="shared" si="58"/>
        <v>585</v>
      </c>
      <c r="L90" s="6">
        <f t="shared" si="53"/>
        <v>92.744999999999962</v>
      </c>
      <c r="M90" s="41">
        <f t="shared" si="0"/>
        <v>346.60314</v>
      </c>
      <c r="N90" s="41">
        <f t="shared" si="1"/>
        <v>386.59274403822366</v>
      </c>
      <c r="O90" s="41">
        <f t="shared" si="2"/>
        <v>3400672.302148168</v>
      </c>
      <c r="P90" s="41">
        <f t="shared" si="3"/>
        <v>21834705.778373979</v>
      </c>
      <c r="Q90" s="41">
        <f t="shared" si="4"/>
        <v>2.5933956820614582E-3</v>
      </c>
      <c r="R90" s="41">
        <f t="shared" si="5"/>
        <v>2.0832680638985204E-2</v>
      </c>
      <c r="S90" s="24">
        <f t="shared" ca="1" si="54"/>
        <v>14.213082108893918</v>
      </c>
      <c r="T90" s="41">
        <f t="shared" ca="1" si="6"/>
        <v>0.18780619818820918</v>
      </c>
      <c r="U90" s="41">
        <f t="shared" ca="1" si="7"/>
        <v>2.3060292047010707E-2</v>
      </c>
      <c r="V90" s="41">
        <f t="shared" ca="1" si="8"/>
        <v>8.1441378888588005</v>
      </c>
      <c r="W90" s="20">
        <f t="shared" ca="1" si="9"/>
        <v>2050.4365635786398</v>
      </c>
      <c r="X90" s="41">
        <f t="shared" si="10"/>
        <v>0.57433169345604795</v>
      </c>
      <c r="Y90" s="41">
        <f t="shared" ca="1" si="11"/>
        <v>174.94485685625938</v>
      </c>
      <c r="Z90" s="14">
        <f t="shared" ca="1" si="12"/>
        <v>2115.183789104573</v>
      </c>
      <c r="AA90" s="14">
        <f t="shared" si="13"/>
        <v>6280</v>
      </c>
      <c r="AB90" s="25">
        <f t="shared" ca="1" si="14"/>
        <v>1237382.5166261753</v>
      </c>
      <c r="AC90" s="41">
        <f t="shared" si="15"/>
        <v>3673800</v>
      </c>
      <c r="AD90" s="5">
        <v>100</v>
      </c>
      <c r="AE90" s="41">
        <f t="shared" si="16"/>
        <v>6280</v>
      </c>
      <c r="AF90" s="41">
        <f t="shared" ca="1" si="17"/>
        <v>4164.8162108954275</v>
      </c>
      <c r="AG90" s="41">
        <f t="shared" ca="1" si="18"/>
        <v>2436417.4833738245</v>
      </c>
      <c r="AH90" s="41">
        <f t="shared" si="19"/>
        <v>4427.3999999999996</v>
      </c>
      <c r="AI90" s="13">
        <f t="shared" ca="1" si="20"/>
        <v>143.63430642916597</v>
      </c>
      <c r="AJ90" s="10">
        <f t="shared" ca="1" si="21"/>
        <v>14.213082108893918</v>
      </c>
      <c r="AK90" s="11">
        <f t="shared" ca="1" si="55"/>
        <v>8618.0583857499587</v>
      </c>
      <c r="AL90" s="6">
        <v>10000</v>
      </c>
      <c r="AM90" s="41">
        <f t="shared" ca="1" si="22"/>
        <v>69.621250302980741</v>
      </c>
      <c r="AN90" s="41">
        <f t="shared" ca="1" si="23"/>
        <v>85.622534330949151</v>
      </c>
      <c r="AO90" s="41">
        <f t="shared" ca="1" si="24"/>
        <v>6.4978553421282967</v>
      </c>
      <c r="AP90" s="67">
        <f t="shared" si="56"/>
        <v>0.70499999999999996</v>
      </c>
      <c r="AQ90" s="11">
        <f t="shared" si="25"/>
        <v>1.0520562207183759</v>
      </c>
      <c r="AR90" s="11">
        <f t="shared" si="26"/>
        <v>1</v>
      </c>
      <c r="AS90" s="11">
        <f t="shared" si="27"/>
        <v>0.95051954477981193</v>
      </c>
      <c r="AT90" s="11">
        <f t="shared" si="28"/>
        <v>545.66999999999996</v>
      </c>
      <c r="AU90" s="11">
        <f t="shared" si="29"/>
        <v>2116.2199999999998</v>
      </c>
      <c r="AV90" s="11">
        <f t="shared" si="30"/>
        <v>2.259289905987135E-3</v>
      </c>
      <c r="AW90" s="11">
        <f t="shared" si="31"/>
        <v>3.8865391239478742E-7</v>
      </c>
      <c r="AX90" s="41">
        <f t="shared" ca="1" si="32"/>
        <v>141.4355161825066</v>
      </c>
      <c r="AY90" s="11">
        <f t="shared" ca="1" si="33"/>
        <v>630.79933783886997</v>
      </c>
      <c r="AZ90" s="11"/>
      <c r="BA90" s="11"/>
    </row>
    <row r="91" spans="1:53" ht="14.5">
      <c r="A91" s="41">
        <f t="shared" ca="1" si="48"/>
        <v>6172.6800411154409</v>
      </c>
      <c r="B91" s="41">
        <f t="shared" ca="1" si="49"/>
        <v>102.87800068525735</v>
      </c>
      <c r="C91" s="41">
        <f t="shared" ca="1" si="49"/>
        <v>1.7146333447542892</v>
      </c>
      <c r="D91" s="41">
        <f t="shared" ca="1" si="57"/>
        <v>17226.348438746474</v>
      </c>
      <c r="E91" s="41">
        <f t="shared" ca="1" si="50"/>
        <v>387.7016701880824</v>
      </c>
      <c r="F91" s="41">
        <f t="shared" ca="1" si="51"/>
        <v>387.7016701880824</v>
      </c>
      <c r="G91" s="41"/>
      <c r="H91" s="5">
        <v>0</v>
      </c>
      <c r="I91" s="5">
        <v>15</v>
      </c>
      <c r="J91" s="41">
        <f t="shared" si="52"/>
        <v>0.52429065251970541</v>
      </c>
      <c r="K91" s="41">
        <f t="shared" si="58"/>
        <v>590</v>
      </c>
      <c r="L91" s="6">
        <f t="shared" si="53"/>
        <v>93.979999999999961</v>
      </c>
      <c r="M91" s="41">
        <f t="shared" si="0"/>
        <v>349.56556</v>
      </c>
      <c r="N91" s="41">
        <f t="shared" si="1"/>
        <v>393.22940813706083</v>
      </c>
      <c r="O91" s="41">
        <f t="shared" si="2"/>
        <v>3429737.8773802035</v>
      </c>
      <c r="P91" s="41">
        <f t="shared" si="3"/>
        <v>22021327.19528316</v>
      </c>
      <c r="Q91" s="41">
        <f t="shared" si="4"/>
        <v>2.588947034231617E-3</v>
      </c>
      <c r="R91" s="41">
        <f t="shared" si="5"/>
        <v>2.0805521643984023E-2</v>
      </c>
      <c r="S91" s="24">
        <f t="shared" ca="1" si="54"/>
        <v>14.123361756386879</v>
      </c>
      <c r="T91" s="41">
        <f t="shared" ca="1" si="6"/>
        <v>0.18470953400507653</v>
      </c>
      <c r="U91" s="41">
        <f t="shared" ca="1" si="7"/>
        <v>2.2960278226805932E-2</v>
      </c>
      <c r="V91" s="41">
        <f t="shared" ca="1" si="8"/>
        <v>8.0447428459046151</v>
      </c>
      <c r="W91" s="20">
        <f t="shared" ca="1" si="9"/>
        <v>2076.5910220915025</v>
      </c>
      <c r="X91" s="41">
        <f t="shared" si="10"/>
        <v>0.57395720111542459</v>
      </c>
      <c r="Y91" s="41">
        <f t="shared" ca="1" si="11"/>
        <v>174.97943931892482</v>
      </c>
      <c r="Z91" s="14">
        <f t="shared" ca="1" si="12"/>
        <v>2141.3174751155648</v>
      </c>
      <c r="AA91" s="14">
        <f t="shared" si="13"/>
        <v>6280</v>
      </c>
      <c r="AB91" s="25">
        <f t="shared" ca="1" si="14"/>
        <v>1263377.3103181832</v>
      </c>
      <c r="AC91" s="41">
        <f t="shared" si="15"/>
        <v>3705200</v>
      </c>
      <c r="AD91" s="5">
        <v>100</v>
      </c>
      <c r="AE91" s="41">
        <f t="shared" si="16"/>
        <v>6280</v>
      </c>
      <c r="AF91" s="41">
        <f t="shared" ca="1" si="17"/>
        <v>4138.6825248844352</v>
      </c>
      <c r="AG91" s="41">
        <f t="shared" ca="1" si="18"/>
        <v>2441822.6896818168</v>
      </c>
      <c r="AH91" s="41">
        <f t="shared" si="19"/>
        <v>4427.3999999999996</v>
      </c>
      <c r="AI91" s="13">
        <f t="shared" ca="1" si="20"/>
        <v>143.96616356533417</v>
      </c>
      <c r="AJ91" s="10">
        <f t="shared" ca="1" si="21"/>
        <v>14.123361756386879</v>
      </c>
      <c r="AK91" s="11">
        <f t="shared" ca="1" si="55"/>
        <v>8637.96981392005</v>
      </c>
      <c r="AL91" s="6">
        <v>10000</v>
      </c>
      <c r="AM91" s="41">
        <f t="shared" ca="1" si="22"/>
        <v>69.460766004658026</v>
      </c>
      <c r="AN91" s="41">
        <f t="shared" ca="1" si="23"/>
        <v>85.425165391395254</v>
      </c>
      <c r="AO91" s="41">
        <f t="shared" ca="1" si="24"/>
        <v>6.5408714935007239</v>
      </c>
      <c r="AP91" s="67">
        <f t="shared" si="56"/>
        <v>0.70499999999999996</v>
      </c>
      <c r="AQ91" s="11">
        <f t="shared" si="25"/>
        <v>1.0520562207183759</v>
      </c>
      <c r="AR91" s="11">
        <f t="shared" si="26"/>
        <v>1</v>
      </c>
      <c r="AS91" s="11">
        <f t="shared" si="27"/>
        <v>0.95051954477981193</v>
      </c>
      <c r="AT91" s="11">
        <f t="shared" si="28"/>
        <v>545.66999999999996</v>
      </c>
      <c r="AU91" s="11">
        <f t="shared" si="29"/>
        <v>2116.2199999999998</v>
      </c>
      <c r="AV91" s="11">
        <f t="shared" si="30"/>
        <v>2.259289905987135E-3</v>
      </c>
      <c r="AW91" s="11">
        <f t="shared" si="31"/>
        <v>3.8865391239478742E-7</v>
      </c>
      <c r="AX91" s="41">
        <f t="shared" ca="1" si="32"/>
        <v>141.74929169489755</v>
      </c>
      <c r="AY91" s="11">
        <f t="shared" ca="1" si="33"/>
        <v>631.19968898332525</v>
      </c>
      <c r="AZ91" s="11"/>
      <c r="BA91" s="11"/>
    </row>
    <row r="92" spans="1:53" ht="14.5">
      <c r="A92" s="41">
        <f t="shared" ca="1" si="48"/>
        <v>6242.1408071200985</v>
      </c>
      <c r="B92" s="41">
        <f t="shared" ca="1" si="49"/>
        <v>104.03568011866831</v>
      </c>
      <c r="C92" s="41">
        <f t="shared" ca="1" si="49"/>
        <v>1.7339280019778052</v>
      </c>
      <c r="D92" s="41">
        <f t="shared" ca="1" si="57"/>
        <v>17226.348438746474</v>
      </c>
      <c r="E92" s="41">
        <f t="shared" ca="1" si="50"/>
        <v>394.24254168158313</v>
      </c>
      <c r="F92" s="41">
        <f t="shared" ca="1" si="51"/>
        <v>394.24254168158313</v>
      </c>
      <c r="G92" s="41"/>
      <c r="H92" s="5">
        <v>0</v>
      </c>
      <c r="I92" s="5">
        <v>15</v>
      </c>
      <c r="J92" s="41">
        <f t="shared" si="52"/>
        <v>0.52873379364275375</v>
      </c>
      <c r="K92" s="41">
        <f t="shared" si="58"/>
        <v>595</v>
      </c>
      <c r="L92" s="6">
        <f t="shared" si="53"/>
        <v>95.214999999999961</v>
      </c>
      <c r="M92" s="41">
        <f t="shared" si="0"/>
        <v>352.52798000000001</v>
      </c>
      <c r="N92" s="41">
        <f t="shared" si="1"/>
        <v>399.92255448354774</v>
      </c>
      <c r="O92" s="41">
        <f t="shared" si="2"/>
        <v>3458803.4526122385</v>
      </c>
      <c r="P92" s="41">
        <f t="shared" si="3"/>
        <v>22207948.612192333</v>
      </c>
      <c r="Q92" s="41">
        <f t="shared" si="4"/>
        <v>2.5845275298781805E-3</v>
      </c>
      <c r="R92" s="41">
        <f t="shared" si="5"/>
        <v>2.0778540569906294E-2</v>
      </c>
      <c r="S92" s="24">
        <f t="shared" ca="1" si="54"/>
        <v>14.032707090755695</v>
      </c>
      <c r="T92" s="41">
        <f t="shared" ca="1" si="6"/>
        <v>0.18169029278138277</v>
      </c>
      <c r="U92" s="41">
        <f t="shared" ca="1" si="7"/>
        <v>2.2863430061429539E-2</v>
      </c>
      <c r="V92" s="41">
        <f t="shared" ca="1" si="8"/>
        <v>7.9467644309369456</v>
      </c>
      <c r="W92" s="20">
        <f t="shared" ca="1" si="9"/>
        <v>2103.0283115172529</v>
      </c>
      <c r="X92" s="41">
        <f t="shared" si="10"/>
        <v>0.57358491999872596</v>
      </c>
      <c r="Y92" s="41">
        <f t="shared" ca="1" si="11"/>
        <v>175.01415711705945</v>
      </c>
      <c r="Z92" s="14">
        <f t="shared" ca="1" si="12"/>
        <v>2167.7185209723702</v>
      </c>
      <c r="AA92" s="14">
        <f t="shared" si="13"/>
        <v>6280</v>
      </c>
      <c r="AB92" s="25">
        <f t="shared" ca="1" si="14"/>
        <v>1289792.5199785603</v>
      </c>
      <c r="AC92" s="41">
        <f t="shared" si="15"/>
        <v>3736600</v>
      </c>
      <c r="AD92" s="5">
        <v>100</v>
      </c>
      <c r="AE92" s="41">
        <f t="shared" si="16"/>
        <v>6280</v>
      </c>
      <c r="AF92" s="41">
        <f t="shared" ca="1" si="17"/>
        <v>4112.2814790276298</v>
      </c>
      <c r="AG92" s="41">
        <f t="shared" ca="1" si="18"/>
        <v>2446807.4800214395</v>
      </c>
      <c r="AH92" s="41">
        <f t="shared" si="19"/>
        <v>4427.3999999999996</v>
      </c>
      <c r="AI92" s="13">
        <f t="shared" ca="1" si="20"/>
        <v>144.2730688679884</v>
      </c>
      <c r="AJ92" s="10">
        <f t="shared" ca="1" si="21"/>
        <v>14.032707090755695</v>
      </c>
      <c r="AK92" s="11">
        <f t="shared" ca="1" si="55"/>
        <v>8656.3841320793035</v>
      </c>
      <c r="AL92" s="6">
        <v>10000</v>
      </c>
      <c r="AM92" s="41">
        <f t="shared" ca="1" si="22"/>
        <v>69.313005389454361</v>
      </c>
      <c r="AN92" s="41">
        <f t="shared" ca="1" si="23"/>
        <v>85.243444461463938</v>
      </c>
      <c r="AO92" s="41">
        <f t="shared" ca="1" si="24"/>
        <v>6.5848828494111435</v>
      </c>
      <c r="AP92" s="67">
        <f t="shared" si="56"/>
        <v>0.70499999999999996</v>
      </c>
      <c r="AQ92" s="11">
        <f t="shared" si="25"/>
        <v>1.0520562207183759</v>
      </c>
      <c r="AR92" s="11">
        <f t="shared" si="26"/>
        <v>1</v>
      </c>
      <c r="AS92" s="11">
        <f t="shared" si="27"/>
        <v>0.95051954477981193</v>
      </c>
      <c r="AT92" s="11">
        <f t="shared" si="28"/>
        <v>545.66999999999996</v>
      </c>
      <c r="AU92" s="11">
        <f t="shared" si="29"/>
        <v>2116.2199999999998</v>
      </c>
      <c r="AV92" s="11">
        <f t="shared" si="30"/>
        <v>2.259289905987135E-3</v>
      </c>
      <c r="AW92" s="11">
        <f t="shared" si="31"/>
        <v>3.8865391239478742E-7</v>
      </c>
      <c r="AX92" s="41">
        <f t="shared" ca="1" si="32"/>
        <v>142.03866180472363</v>
      </c>
      <c r="AY92" s="11">
        <f t="shared" ca="1" si="33"/>
        <v>631.59820067007831</v>
      </c>
      <c r="AZ92" s="11"/>
      <c r="BA92" s="11"/>
    </row>
    <row r="93" spans="1:53" ht="14.5">
      <c r="A93" s="41">
        <f t="shared" ca="1" si="48"/>
        <v>6311.4538125095532</v>
      </c>
      <c r="B93" s="41">
        <f t="shared" ca="1" si="49"/>
        <v>105.19089687515923</v>
      </c>
      <c r="C93" s="41">
        <f t="shared" ca="1" si="49"/>
        <v>1.7531816145859871</v>
      </c>
      <c r="D93" s="41">
        <f t="shared" ca="1" si="57"/>
        <v>17226.348438746474</v>
      </c>
      <c r="E93" s="41">
        <f t="shared" ca="1" si="50"/>
        <v>400.82742453099428</v>
      </c>
      <c r="F93" s="41">
        <f t="shared" ca="1" si="51"/>
        <v>400.82742453099428</v>
      </c>
      <c r="G93" s="41"/>
      <c r="H93" s="5">
        <v>0</v>
      </c>
      <c r="I93" s="5">
        <v>15</v>
      </c>
      <c r="J93" s="41">
        <f t="shared" si="52"/>
        <v>0.53317693476580208</v>
      </c>
      <c r="K93" s="41">
        <f t="shared" si="58"/>
        <v>600</v>
      </c>
      <c r="L93" s="6">
        <f t="shared" si="53"/>
        <v>96.44999999999996</v>
      </c>
      <c r="M93" s="41">
        <f t="shared" si="0"/>
        <v>355.49040000000002</v>
      </c>
      <c r="N93" s="41">
        <f t="shared" si="1"/>
        <v>406.67218307768428</v>
      </c>
      <c r="O93" s="41">
        <f t="shared" si="2"/>
        <v>3487869.027844274</v>
      </c>
      <c r="P93" s="41">
        <f t="shared" si="3"/>
        <v>22394570.029101513</v>
      </c>
      <c r="Q93" s="41">
        <f t="shared" si="4"/>
        <v>2.5801365458824506E-3</v>
      </c>
      <c r="R93" s="41">
        <f t="shared" si="5"/>
        <v>2.0751733612612362E-2</v>
      </c>
      <c r="S93" s="24">
        <f t="shared" ca="1" si="54"/>
        <v>13.941130173397307</v>
      </c>
      <c r="T93" s="41">
        <f t="shared" ca="1" si="6"/>
        <v>0.17874588643032097</v>
      </c>
      <c r="U93" s="41">
        <f t="shared" ca="1" si="7"/>
        <v>2.2769596731911486E-2</v>
      </c>
      <c r="V93" s="41">
        <f t="shared" ca="1" si="8"/>
        <v>7.8501999194306951</v>
      </c>
      <c r="W93" s="20">
        <f t="shared" ca="1" si="9"/>
        <v>2129.7451704759383</v>
      </c>
      <c r="X93" s="41">
        <f t="shared" si="10"/>
        <v>0.57321480187434293</v>
      </c>
      <c r="Y93" s="41">
        <f t="shared" ca="1" si="11"/>
        <v>175.04899873887766</v>
      </c>
      <c r="Z93" s="14">
        <f t="shared" ca="1" si="12"/>
        <v>2194.3834062248629</v>
      </c>
      <c r="AA93" s="14">
        <f t="shared" si="13"/>
        <v>6280</v>
      </c>
      <c r="AB93" s="25">
        <f t="shared" ca="1" si="14"/>
        <v>1316630.0437349176</v>
      </c>
      <c r="AC93" s="41">
        <f t="shared" si="15"/>
        <v>3768000</v>
      </c>
      <c r="AD93" s="5">
        <v>100</v>
      </c>
      <c r="AE93" s="41">
        <f t="shared" si="16"/>
        <v>6280</v>
      </c>
      <c r="AF93" s="41">
        <f t="shared" ca="1" si="17"/>
        <v>4085.6165937751371</v>
      </c>
      <c r="AG93" s="41">
        <f t="shared" ca="1" si="18"/>
        <v>2451369.9562650826</v>
      </c>
      <c r="AH93" s="41">
        <f t="shared" si="19"/>
        <v>4427.3999999999996</v>
      </c>
      <c r="AI93" s="13">
        <f t="shared" ca="1" si="20"/>
        <v>144.55488965458542</v>
      </c>
      <c r="AJ93" s="10">
        <f t="shared" ca="1" si="21"/>
        <v>13.941130173397307</v>
      </c>
      <c r="AK93" s="11">
        <f t="shared" ca="1" si="55"/>
        <v>8673.2933792751246</v>
      </c>
      <c r="AL93" s="6">
        <v>10000</v>
      </c>
      <c r="AM93" s="41">
        <f t="shared" ca="1" si="22"/>
        <v>69.17787439702002</v>
      </c>
      <c r="AN93" s="41">
        <f t="shared" ca="1" si="23"/>
        <v>85.077255862601774</v>
      </c>
      <c r="AO93" s="41">
        <f t="shared" ca="1" si="24"/>
        <v>6.6299113503232983</v>
      </c>
      <c r="AP93" s="67">
        <f t="shared" si="56"/>
        <v>0.70499999999999996</v>
      </c>
      <c r="AQ93" s="11">
        <f t="shared" si="25"/>
        <v>1.0520562207183759</v>
      </c>
      <c r="AR93" s="11">
        <f t="shared" si="26"/>
        <v>1</v>
      </c>
      <c r="AS93" s="11">
        <f t="shared" si="27"/>
        <v>0.95051954477981193</v>
      </c>
      <c r="AT93" s="11">
        <f t="shared" si="28"/>
        <v>545.66999999999996</v>
      </c>
      <c r="AU93" s="11">
        <f t="shared" si="29"/>
        <v>2116.2199999999998</v>
      </c>
      <c r="AV93" s="11">
        <f t="shared" si="30"/>
        <v>2.259289905987135E-3</v>
      </c>
      <c r="AW93" s="11">
        <f t="shared" si="31"/>
        <v>3.8865391239478742E-7</v>
      </c>
      <c r="AX93" s="41">
        <f t="shared" ca="1" si="32"/>
        <v>142.30351632452314</v>
      </c>
      <c r="AY93" s="11">
        <f t="shared" ca="1" si="33"/>
        <v>631.99491632442823</v>
      </c>
      <c r="AZ93" s="11"/>
      <c r="BA93" s="11"/>
    </row>
    <row r="94" spans="1:53" ht="14.5">
      <c r="A94" s="41">
        <f t="shared" ca="1" si="48"/>
        <v>6380.6316869065731</v>
      </c>
      <c r="B94" s="41">
        <f t="shared" ca="1" si="49"/>
        <v>106.34386144844288</v>
      </c>
      <c r="C94" s="41">
        <f t="shared" ca="1" si="49"/>
        <v>1.7723976908073813</v>
      </c>
      <c r="D94" s="41">
        <f t="shared" ca="1" si="57"/>
        <v>17226.348438746474</v>
      </c>
      <c r="E94" s="41">
        <f t="shared" ca="1" si="50"/>
        <v>407.45733588131759</v>
      </c>
      <c r="F94" s="41">
        <f t="shared" ca="1" si="51"/>
        <v>407.45733588131759</v>
      </c>
      <c r="G94" s="41"/>
      <c r="H94" s="5">
        <v>0</v>
      </c>
      <c r="I94" s="5">
        <v>15</v>
      </c>
      <c r="J94" s="41">
        <f t="shared" si="52"/>
        <v>0.53762007588885041</v>
      </c>
      <c r="K94" s="41">
        <f t="shared" si="58"/>
        <v>605</v>
      </c>
      <c r="L94" s="6">
        <f t="shared" si="53"/>
        <v>97.68499999999996</v>
      </c>
      <c r="M94" s="41">
        <f t="shared" si="0"/>
        <v>358.45282000000003</v>
      </c>
      <c r="N94" s="41">
        <f t="shared" si="1"/>
        <v>413.47829391947056</v>
      </c>
      <c r="O94" s="41">
        <f t="shared" si="2"/>
        <v>3516934.6030763099</v>
      </c>
      <c r="P94" s="41">
        <f t="shared" si="3"/>
        <v>22581191.446010694</v>
      </c>
      <c r="Q94" s="41">
        <f t="shared" si="4"/>
        <v>2.5757734766614841E-3</v>
      </c>
      <c r="R94" s="41">
        <f t="shared" si="5"/>
        <v>2.0725097075018361E-2</v>
      </c>
      <c r="S94" s="24">
        <f t="shared" ca="1" si="54"/>
        <v>13.848642659752452</v>
      </c>
      <c r="T94" s="41">
        <f t="shared" ca="1" si="6"/>
        <v>0.17587383421038943</v>
      </c>
      <c r="U94" s="41">
        <f t="shared" ca="1" si="7"/>
        <v>2.2678635933201314E-2</v>
      </c>
      <c r="V94" s="41">
        <f t="shared" ca="1" si="8"/>
        <v>7.7550446476770576</v>
      </c>
      <c r="W94" s="20">
        <f t="shared" ca="1" si="9"/>
        <v>2156.7384496386021</v>
      </c>
      <c r="X94" s="41">
        <f t="shared" si="10"/>
        <v>0.57284679984067077</v>
      </c>
      <c r="Y94" s="41">
        <f t="shared" ca="1" si="11"/>
        <v>175.0839528787449</v>
      </c>
      <c r="Z94" s="14">
        <f t="shared" ca="1" si="12"/>
        <v>2221.308737907324</v>
      </c>
      <c r="AA94" s="14">
        <f t="shared" si="13"/>
        <v>6280</v>
      </c>
      <c r="AB94" s="25">
        <f t="shared" ca="1" si="14"/>
        <v>1343891.786433931</v>
      </c>
      <c r="AC94" s="41">
        <f t="shared" si="15"/>
        <v>3799400</v>
      </c>
      <c r="AD94" s="5">
        <v>100</v>
      </c>
      <c r="AE94" s="41">
        <f t="shared" si="16"/>
        <v>6280</v>
      </c>
      <c r="AF94" s="41">
        <f t="shared" ca="1" si="17"/>
        <v>4058.691262092676</v>
      </c>
      <c r="AG94" s="41">
        <f t="shared" ca="1" si="18"/>
        <v>2455508.213566069</v>
      </c>
      <c r="AH94" s="41">
        <f t="shared" si="19"/>
        <v>4427.3999999999996</v>
      </c>
      <c r="AI94" s="13">
        <f t="shared" ca="1" si="20"/>
        <v>144.81149309378364</v>
      </c>
      <c r="AJ94" s="10">
        <f t="shared" ca="1" si="21"/>
        <v>13.848642659752452</v>
      </c>
      <c r="AK94" s="11">
        <f t="shared" ca="1" si="55"/>
        <v>8688.6895856270185</v>
      </c>
      <c r="AL94" s="6">
        <v>10000</v>
      </c>
      <c r="AM94" s="41">
        <f t="shared" ca="1" si="22"/>
        <v>69.055292410552966</v>
      </c>
      <c r="AN94" s="41">
        <f t="shared" ca="1" si="23"/>
        <v>84.926500449578384</v>
      </c>
      <c r="AO94" s="41">
        <f t="shared" ca="1" si="24"/>
        <v>6.6759799717505484</v>
      </c>
      <c r="AP94" s="67">
        <f t="shared" si="56"/>
        <v>0.70499999999999996</v>
      </c>
      <c r="AQ94" s="11">
        <f t="shared" si="25"/>
        <v>1.0520562207183759</v>
      </c>
      <c r="AR94" s="11">
        <f t="shared" si="26"/>
        <v>1</v>
      </c>
      <c r="AS94" s="11">
        <f t="shared" si="27"/>
        <v>0.95051954477981193</v>
      </c>
      <c r="AT94" s="11">
        <f t="shared" si="28"/>
        <v>545.66999999999996</v>
      </c>
      <c r="AU94" s="11">
        <f t="shared" si="29"/>
        <v>2116.2199999999998</v>
      </c>
      <c r="AV94" s="11">
        <f t="shared" si="30"/>
        <v>2.259289905987135E-3</v>
      </c>
      <c r="AW94" s="11">
        <f t="shared" si="31"/>
        <v>3.8865391239478742E-7</v>
      </c>
      <c r="AX94" s="41">
        <f t="shared" ca="1" si="32"/>
        <v>142.54374467678835</v>
      </c>
      <c r="AY94" s="11">
        <f t="shared" ca="1" si="33"/>
        <v>632.38987823429682</v>
      </c>
      <c r="AZ94" s="11"/>
      <c r="BA94" s="11"/>
    </row>
    <row r="95" spans="1:53" ht="14.5">
      <c r="A95" s="41">
        <f t="shared" ca="1" si="48"/>
        <v>6449.6869793171263</v>
      </c>
      <c r="B95" s="41">
        <f t="shared" ca="1" si="49"/>
        <v>107.49478298861877</v>
      </c>
      <c r="C95" s="41">
        <f t="shared" ca="1" si="49"/>
        <v>1.7915797164769793</v>
      </c>
      <c r="D95" s="41">
        <f t="shared" ca="1" si="57"/>
        <v>17226.348438746474</v>
      </c>
      <c r="E95" s="41">
        <f t="shared" ca="1" si="50"/>
        <v>414.13331585306815</v>
      </c>
      <c r="F95" s="41">
        <f t="shared" ca="1" si="51"/>
        <v>414.13331585306815</v>
      </c>
      <c r="G95" s="41"/>
      <c r="H95" s="5">
        <v>0</v>
      </c>
      <c r="I95" s="5">
        <v>15</v>
      </c>
      <c r="J95" s="41">
        <f t="shared" si="52"/>
        <v>0.54206321701189875</v>
      </c>
      <c r="K95" s="41">
        <f t="shared" si="58"/>
        <v>610</v>
      </c>
      <c r="L95" s="6">
        <f t="shared" si="53"/>
        <v>98.919999999999959</v>
      </c>
      <c r="M95" s="41">
        <f t="shared" si="0"/>
        <v>361.41523999999998</v>
      </c>
      <c r="N95" s="41">
        <f t="shared" si="1"/>
        <v>420.34088700890646</v>
      </c>
      <c r="O95" s="41">
        <f t="shared" si="2"/>
        <v>3546000.1783083458</v>
      </c>
      <c r="P95" s="41">
        <f t="shared" si="3"/>
        <v>22767812.862919874</v>
      </c>
      <c r="Q95" s="41">
        <f t="shared" si="4"/>
        <v>2.5714377335579845E-3</v>
      </c>
      <c r="R95" s="41">
        <f t="shared" si="5"/>
        <v>2.0698627363371493E-2</v>
      </c>
      <c r="S95" s="24">
        <f t="shared" ca="1" si="54"/>
        <v>13.755255818694268</v>
      </c>
      <c r="T95" s="41">
        <f t="shared" ca="1" si="6"/>
        <v>0.1730717574219067</v>
      </c>
      <c r="U95" s="41">
        <f t="shared" ca="1" si="7"/>
        <v>2.2590413324106749E-2</v>
      </c>
      <c r="V95" s="41">
        <f t="shared" ca="1" si="8"/>
        <v>7.661292201201908</v>
      </c>
      <c r="W95" s="20">
        <f t="shared" ca="1" si="9"/>
        <v>2184.0051061471554</v>
      </c>
      <c r="X95" s="41">
        <f t="shared" si="10"/>
        <v>0.57248086828065192</v>
      </c>
      <c r="Y95" s="41">
        <f t="shared" ca="1" si="11"/>
        <v>175.11900842772673</v>
      </c>
      <c r="Z95" s="14">
        <f t="shared" ca="1" si="12"/>
        <v>2248.4912448638879</v>
      </c>
      <c r="AA95" s="14">
        <f t="shared" si="13"/>
        <v>6280</v>
      </c>
      <c r="AB95" s="25">
        <f t="shared" ca="1" si="14"/>
        <v>1371579.6593669716</v>
      </c>
      <c r="AC95" s="41">
        <f t="shared" si="15"/>
        <v>3830800</v>
      </c>
      <c r="AD95" s="5">
        <v>100</v>
      </c>
      <c r="AE95" s="41">
        <f t="shared" si="16"/>
        <v>6280</v>
      </c>
      <c r="AF95" s="41">
        <f t="shared" ca="1" si="17"/>
        <v>4031.5087551361121</v>
      </c>
      <c r="AG95" s="41">
        <f t="shared" ca="1" si="18"/>
        <v>2459220.3406330282</v>
      </c>
      <c r="AH95" s="41">
        <f t="shared" si="19"/>
        <v>4427.3999999999996</v>
      </c>
      <c r="AI95" s="13">
        <f t="shared" ca="1" si="20"/>
        <v>145.04274624042435</v>
      </c>
      <c r="AJ95" s="10">
        <f t="shared" ca="1" si="21"/>
        <v>13.755255818694268</v>
      </c>
      <c r="AK95" s="11">
        <f t="shared" ca="1" si="55"/>
        <v>8702.5647744254602</v>
      </c>
      <c r="AL95" s="6">
        <v>10000</v>
      </c>
      <c r="AM95" s="41">
        <f t="shared" ca="1" si="22"/>
        <v>68.945192084434865</v>
      </c>
      <c r="AN95" s="41">
        <f t="shared" ca="1" si="23"/>
        <v>84.79109539850748</v>
      </c>
      <c r="AO95" s="41">
        <f t="shared" ca="1" si="24"/>
        <v>6.7231127619801185</v>
      </c>
      <c r="AP95" s="67">
        <f t="shared" si="56"/>
        <v>0.70499999999999996</v>
      </c>
      <c r="AQ95" s="11">
        <f t="shared" si="25"/>
        <v>1.0520562207183759</v>
      </c>
      <c r="AR95" s="11">
        <f t="shared" si="26"/>
        <v>1</v>
      </c>
      <c r="AS95" s="11">
        <f t="shared" si="27"/>
        <v>0.95051954477981193</v>
      </c>
      <c r="AT95" s="11">
        <f t="shared" si="28"/>
        <v>545.66999999999996</v>
      </c>
      <c r="AU95" s="11">
        <f t="shared" si="29"/>
        <v>2116.2199999999998</v>
      </c>
      <c r="AV95" s="11">
        <f t="shared" si="30"/>
        <v>2.259289905987135E-3</v>
      </c>
      <c r="AW95" s="11">
        <f t="shared" si="31"/>
        <v>3.8865391239478742E-7</v>
      </c>
      <c r="AX95" s="41">
        <f t="shared" ca="1" si="32"/>
        <v>142.75923590989319</v>
      </c>
      <c r="AY95" s="11">
        <f t="shared" ca="1" si="33"/>
        <v>632.78312758763536</v>
      </c>
      <c r="AZ95" s="11"/>
      <c r="BA95" s="11"/>
    </row>
    <row r="96" spans="1:53" ht="14.5">
      <c r="A96" s="41">
        <f t="shared" ca="1" si="48"/>
        <v>6518.6321714015612</v>
      </c>
      <c r="B96" s="41">
        <f t="shared" ca="1" si="49"/>
        <v>108.64386952335936</v>
      </c>
      <c r="C96" s="41">
        <f t="shared" ca="1" si="49"/>
        <v>1.810731158722656</v>
      </c>
      <c r="D96" s="41">
        <f t="shared" ca="1" si="57"/>
        <v>17226.348438746474</v>
      </c>
      <c r="E96" s="41">
        <f t="shared" ca="1" si="50"/>
        <v>420.85642861504829</v>
      </c>
      <c r="F96" s="41">
        <f t="shared" ca="1" si="51"/>
        <v>420.85642861504829</v>
      </c>
      <c r="G96" s="41"/>
      <c r="H96" s="5">
        <v>0</v>
      </c>
      <c r="I96" s="5">
        <v>15</v>
      </c>
      <c r="J96" s="41">
        <f t="shared" si="52"/>
        <v>0.54650635813494708</v>
      </c>
      <c r="K96" s="41">
        <f t="shared" si="58"/>
        <v>615</v>
      </c>
      <c r="L96" s="6">
        <f t="shared" si="53"/>
        <v>100.15499999999996</v>
      </c>
      <c r="M96" s="41">
        <f t="shared" si="0"/>
        <v>364.37765999999999</v>
      </c>
      <c r="N96" s="41">
        <f t="shared" si="1"/>
        <v>427.25996234599205</v>
      </c>
      <c r="O96" s="41">
        <f t="shared" si="2"/>
        <v>3575065.7535403809</v>
      </c>
      <c r="P96" s="41">
        <f t="shared" si="3"/>
        <v>22954434.279829051</v>
      </c>
      <c r="Q96" s="41">
        <f t="shared" si="4"/>
        <v>2.5671287442562128E-3</v>
      </c>
      <c r="R96" s="41">
        <f t="shared" si="5"/>
        <v>2.067232098368418E-2</v>
      </c>
      <c r="S96" s="24">
        <f t="shared" ca="1" si="54"/>
        <v>13.660980550793996</v>
      </c>
      <c r="T96" s="41">
        <f t="shared" ca="1" si="6"/>
        <v>0.17033737440700158</v>
      </c>
      <c r="U96" s="41">
        <f t="shared" ca="1" si="7"/>
        <v>2.2504802017078863E-2</v>
      </c>
      <c r="V96" s="41">
        <f t="shared" ca="1" si="8"/>
        <v>7.5689345890593831</v>
      </c>
      <c r="W96" s="20">
        <f t="shared" ca="1" si="9"/>
        <v>2211.5421983568576</v>
      </c>
      <c r="X96" s="41">
        <f t="shared" si="10"/>
        <v>0.57211696281823476</v>
      </c>
      <c r="Y96" s="41">
        <f t="shared" ca="1" si="11"/>
        <v>175.1541544646671</v>
      </c>
      <c r="Z96" s="14">
        <f t="shared" ca="1" si="12"/>
        <v>2275.9277724035992</v>
      </c>
      <c r="AA96" s="14">
        <f t="shared" si="13"/>
        <v>6280</v>
      </c>
      <c r="AB96" s="25">
        <f t="shared" ca="1" si="14"/>
        <v>1399695.5800282136</v>
      </c>
      <c r="AC96" s="41">
        <f t="shared" si="15"/>
        <v>3862200</v>
      </c>
      <c r="AD96" s="5">
        <v>100</v>
      </c>
      <c r="AE96" s="41">
        <f t="shared" si="16"/>
        <v>6280</v>
      </c>
      <c r="AF96" s="41">
        <f t="shared" ca="1" si="17"/>
        <v>4004.0722275964008</v>
      </c>
      <c r="AG96" s="41">
        <f t="shared" ca="1" si="18"/>
        <v>2462504.4199717864</v>
      </c>
      <c r="AH96" s="41">
        <f t="shared" si="19"/>
        <v>4427.3999999999996</v>
      </c>
      <c r="AI96" s="13">
        <f t="shared" ca="1" si="20"/>
        <v>145.24851606871394</v>
      </c>
      <c r="AJ96" s="10">
        <f t="shared" ca="1" si="21"/>
        <v>13.660980550793996</v>
      </c>
      <c r="AK96" s="11">
        <f t="shared" ca="1" si="55"/>
        <v>8714.910964122837</v>
      </c>
      <c r="AL96" s="6">
        <v>10000</v>
      </c>
      <c r="AM96" s="41">
        <f t="shared" ca="1" si="22"/>
        <v>68.847519208177076</v>
      </c>
      <c r="AN96" s="41">
        <f t="shared" ca="1" si="23"/>
        <v>84.670974039523102</v>
      </c>
      <c r="AO96" s="41">
        <f t="shared" ca="1" si="24"/>
        <v>6.7713348826379613</v>
      </c>
      <c r="AP96" s="67">
        <f t="shared" si="56"/>
        <v>0.70499999999999996</v>
      </c>
      <c r="AQ96" s="11">
        <f t="shared" si="25"/>
        <v>1.0520562207183759</v>
      </c>
      <c r="AR96" s="11">
        <f t="shared" si="26"/>
        <v>1</v>
      </c>
      <c r="AS96" s="11">
        <f t="shared" si="27"/>
        <v>0.95051954477981193</v>
      </c>
      <c r="AT96" s="11">
        <f t="shared" si="28"/>
        <v>545.66999999999996</v>
      </c>
      <c r="AU96" s="11">
        <f t="shared" si="29"/>
        <v>2116.2199999999998</v>
      </c>
      <c r="AV96" s="11">
        <f t="shared" si="30"/>
        <v>2.259289905987135E-3</v>
      </c>
      <c r="AW96" s="11">
        <f t="shared" si="31"/>
        <v>3.8865391239478742E-7</v>
      </c>
      <c r="AX96" s="41">
        <f t="shared" ca="1" si="32"/>
        <v>142.9498787121351</v>
      </c>
      <c r="AY96" s="11">
        <f t="shared" ca="1" si="33"/>
        <v>633.17470450829865</v>
      </c>
      <c r="AZ96" s="11"/>
      <c r="BA96" s="11"/>
    </row>
    <row r="97" spans="1:53" ht="14.5">
      <c r="A97" s="41">
        <f t="shared" ca="1" si="48"/>
        <v>6587.4796906097381</v>
      </c>
      <c r="B97" s="41">
        <f t="shared" ca="1" si="49"/>
        <v>109.79132817682897</v>
      </c>
      <c r="C97" s="41">
        <f t="shared" ca="1" si="49"/>
        <v>1.8298554696138161</v>
      </c>
      <c r="D97" s="41">
        <f t="shared" ca="1" si="57"/>
        <v>17226.348438746474</v>
      </c>
      <c r="E97" s="41">
        <f t="shared" ca="1" si="50"/>
        <v>427.62776349768626</v>
      </c>
      <c r="F97" s="41">
        <f t="shared" ca="1" si="51"/>
        <v>427.62776349768626</v>
      </c>
      <c r="G97" s="41"/>
      <c r="H97" s="5">
        <v>0</v>
      </c>
      <c r="I97" s="5">
        <v>15</v>
      </c>
      <c r="J97" s="41">
        <f t="shared" si="52"/>
        <v>0.55094949925799552</v>
      </c>
      <c r="K97" s="41">
        <f t="shared" si="58"/>
        <v>620</v>
      </c>
      <c r="L97" s="6">
        <f t="shared" si="53"/>
        <v>101.38999999999996</v>
      </c>
      <c r="M97" s="41">
        <f t="shared" si="0"/>
        <v>367.34008</v>
      </c>
      <c r="N97" s="41">
        <f t="shared" si="1"/>
        <v>434.23551993072732</v>
      </c>
      <c r="O97" s="41">
        <f t="shared" si="2"/>
        <v>3604131.3287724168</v>
      </c>
      <c r="P97" s="41">
        <f t="shared" si="3"/>
        <v>23141055.696738232</v>
      </c>
      <c r="Q97" s="41">
        <f t="shared" si="4"/>
        <v>2.5628459522225814E-3</v>
      </c>
      <c r="R97" s="41">
        <f t="shared" si="5"/>
        <v>2.0646174538318861E-2</v>
      </c>
      <c r="S97" s="24">
        <f t="shared" ca="1" si="54"/>
        <v>13.565827405537092</v>
      </c>
      <c r="T97" s="41">
        <f t="shared" ca="1" si="6"/>
        <v>0.1676684958333774</v>
      </c>
      <c r="U97" s="41">
        <f t="shared" ca="1" si="7"/>
        <v>2.242168210465386E-2</v>
      </c>
      <c r="V97" s="41">
        <f t="shared" ca="1" si="8"/>
        <v>7.4779624049069895</v>
      </c>
      <c r="W97" s="20">
        <f t="shared" ca="1" si="9"/>
        <v>2239.3468808802463</v>
      </c>
      <c r="X97" s="41">
        <f t="shared" si="10"/>
        <v>0.57175504027664548</v>
      </c>
      <c r="Y97" s="41">
        <f t="shared" ca="1" si="11"/>
        <v>175.18938024776318</v>
      </c>
      <c r="Z97" s="14">
        <f t="shared" ca="1" si="12"/>
        <v>2303.6152772635842</v>
      </c>
      <c r="AA97" s="14">
        <f t="shared" si="13"/>
        <v>6280</v>
      </c>
      <c r="AB97" s="25">
        <f t="shared" ca="1" si="14"/>
        <v>1428241.4719034221</v>
      </c>
      <c r="AC97" s="41">
        <f t="shared" si="15"/>
        <v>3893600</v>
      </c>
      <c r="AD97" s="5">
        <v>100</v>
      </c>
      <c r="AE97" s="41">
        <f t="shared" si="16"/>
        <v>6280</v>
      </c>
      <c r="AF97" s="41">
        <f t="shared" ca="1" si="17"/>
        <v>3976.3847227364158</v>
      </c>
      <c r="AG97" s="41">
        <f t="shared" ca="1" si="18"/>
        <v>2465358.5280965781</v>
      </c>
      <c r="AH97" s="41">
        <f t="shared" si="19"/>
        <v>4427.3999999999996</v>
      </c>
      <c r="AI97" s="13">
        <f t="shared" ca="1" si="20"/>
        <v>145.42866950371209</v>
      </c>
      <c r="AJ97" s="10">
        <f t="shared" ca="1" si="21"/>
        <v>13.565827405537092</v>
      </c>
      <c r="AK97" s="11">
        <f t="shared" ca="1" si="55"/>
        <v>8725.7201702227248</v>
      </c>
      <c r="AL97" s="6">
        <v>10000</v>
      </c>
      <c r="AM97" s="41">
        <f t="shared" ca="1" si="22"/>
        <v>68.762232606031986</v>
      </c>
      <c r="AN97" s="41">
        <f t="shared" ca="1" si="23"/>
        <v>84.566085733318332</v>
      </c>
      <c r="AO97" s="41">
        <f t="shared" ca="1" si="24"/>
        <v>6.8206726522365404</v>
      </c>
      <c r="AP97" s="67">
        <f t="shared" si="56"/>
        <v>0.70499999999999996</v>
      </c>
      <c r="AQ97" s="11">
        <f t="shared" si="25"/>
        <v>1.0520562207183759</v>
      </c>
      <c r="AR97" s="11">
        <f t="shared" si="26"/>
        <v>1</v>
      </c>
      <c r="AS97" s="11">
        <f t="shared" si="27"/>
        <v>0.95051954477981193</v>
      </c>
      <c r="AT97" s="11">
        <f t="shared" si="28"/>
        <v>545.66999999999996</v>
      </c>
      <c r="AU97" s="11">
        <f t="shared" si="29"/>
        <v>2116.2199999999998</v>
      </c>
      <c r="AV97" s="11">
        <f t="shared" si="30"/>
        <v>2.259289905987135E-3</v>
      </c>
      <c r="AW97" s="11">
        <f t="shared" si="31"/>
        <v>3.8865391239478742E-7</v>
      </c>
      <c r="AX97" s="41">
        <f t="shared" ca="1" si="32"/>
        <v>143.11556142399596</v>
      </c>
      <c r="AY97" s="11">
        <f t="shared" ca="1" si="33"/>
        <v>633.56464809046452</v>
      </c>
      <c r="AZ97" s="11"/>
      <c r="BA97" s="11"/>
    </row>
    <row r="98" spans="1:53" ht="14.5">
      <c r="A98" s="41">
        <f t="shared" ca="1" si="48"/>
        <v>6656.2419232157699</v>
      </c>
      <c r="B98" s="41">
        <f t="shared" ca="1" si="49"/>
        <v>110.9373653869295</v>
      </c>
      <c r="C98" s="41">
        <f t="shared" ca="1" si="49"/>
        <v>1.8489560897821584</v>
      </c>
      <c r="D98" s="41">
        <f t="shared" ca="1" si="57"/>
        <v>17226.348438746474</v>
      </c>
      <c r="E98" s="41">
        <f t="shared" ca="1" si="50"/>
        <v>434.44843614992283</v>
      </c>
      <c r="F98" s="41">
        <f t="shared" ca="1" si="51"/>
        <v>434.44843614992283</v>
      </c>
      <c r="G98" s="41"/>
      <c r="H98" s="5">
        <v>0</v>
      </c>
      <c r="I98" s="5">
        <v>15</v>
      </c>
      <c r="J98" s="41">
        <f t="shared" si="52"/>
        <v>0.55539264038104386</v>
      </c>
      <c r="K98" s="41">
        <f t="shared" si="58"/>
        <v>625</v>
      </c>
      <c r="L98" s="6">
        <f t="shared" si="53"/>
        <v>102.62499999999996</v>
      </c>
      <c r="M98" s="41">
        <f t="shared" si="0"/>
        <v>370.30250000000001</v>
      </c>
      <c r="N98" s="41">
        <f t="shared" si="1"/>
        <v>441.26755976311227</v>
      </c>
      <c r="O98" s="41">
        <f t="shared" si="2"/>
        <v>3633196.9040044518</v>
      </c>
      <c r="P98" s="41">
        <f t="shared" si="3"/>
        <v>23327677.113647409</v>
      </c>
      <c r="Q98" s="41">
        <f t="shared" si="4"/>
        <v>2.5585888161697443E-3</v>
      </c>
      <c r="R98" s="41">
        <f t="shared" si="5"/>
        <v>2.0620184722716286E-2</v>
      </c>
      <c r="S98" s="24">
        <f t="shared" ca="1" si="54"/>
        <v>13.469806597557637</v>
      </c>
      <c r="T98" s="41">
        <f t="shared" ca="1" si="6"/>
        <v>0.16506302024357628</v>
      </c>
      <c r="U98" s="41">
        <f t="shared" ca="1" si="7"/>
        <v>2.2340940219641385E-2</v>
      </c>
      <c r="V98" s="41">
        <f t="shared" ca="1" si="8"/>
        <v>7.3883649757255316</v>
      </c>
      <c r="W98" s="20">
        <f t="shared" ca="1" si="9"/>
        <v>2267.4163999129864</v>
      </c>
      <c r="X98" s="41">
        <f t="shared" si="10"/>
        <v>0.57139505863839235</v>
      </c>
      <c r="Y98" s="41">
        <f t="shared" ca="1" si="11"/>
        <v>175.2246752066057</v>
      </c>
      <c r="Z98" s="14">
        <f t="shared" ca="1" si="12"/>
        <v>2331.5508228604881</v>
      </c>
      <c r="AA98" s="14">
        <f t="shared" si="13"/>
        <v>6280</v>
      </c>
      <c r="AB98" s="25">
        <f t="shared" ca="1" si="14"/>
        <v>1457219.264287805</v>
      </c>
      <c r="AC98" s="41">
        <f t="shared" si="15"/>
        <v>3925000</v>
      </c>
      <c r="AD98" s="5">
        <v>100</v>
      </c>
      <c r="AE98" s="41">
        <f t="shared" si="16"/>
        <v>6280</v>
      </c>
      <c r="AF98" s="41">
        <f t="shared" ca="1" si="17"/>
        <v>3948.4491771395119</v>
      </c>
      <c r="AG98" s="41">
        <f t="shared" ca="1" si="18"/>
        <v>2467780.7357121948</v>
      </c>
      <c r="AH98" s="41">
        <f t="shared" si="19"/>
        <v>4427.3999999999996</v>
      </c>
      <c r="AI98" s="13">
        <f t="shared" ca="1" si="20"/>
        <v>145.58307345122267</v>
      </c>
      <c r="AJ98" s="10">
        <f t="shared" ca="1" si="21"/>
        <v>13.469806597557637</v>
      </c>
      <c r="AK98" s="11">
        <f t="shared" ca="1" si="55"/>
        <v>8734.9844070733598</v>
      </c>
      <c r="AL98" s="6">
        <v>10000</v>
      </c>
      <c r="AM98" s="41">
        <f t="shared" ca="1" si="22"/>
        <v>68.689304071812174</v>
      </c>
      <c r="AN98" s="41">
        <f t="shared" ca="1" si="23"/>
        <v>84.476395790983659</v>
      </c>
      <c r="AO98" s="41">
        <f t="shared" ca="1" si="24"/>
        <v>6.871153592862929</v>
      </c>
      <c r="AP98" s="67">
        <f t="shared" si="56"/>
        <v>0.70499999999999996</v>
      </c>
      <c r="AQ98" s="11">
        <f t="shared" si="25"/>
        <v>1.0520562207183759</v>
      </c>
      <c r="AR98" s="11">
        <f t="shared" si="26"/>
        <v>1</v>
      </c>
      <c r="AS98" s="11">
        <f t="shared" si="27"/>
        <v>0.95051954477981193</v>
      </c>
      <c r="AT98" s="11">
        <f t="shared" si="28"/>
        <v>545.66999999999996</v>
      </c>
      <c r="AU98" s="11">
        <f t="shared" si="29"/>
        <v>2116.2199999999998</v>
      </c>
      <c r="AV98" s="11">
        <f t="shared" si="30"/>
        <v>2.259289905987135E-3</v>
      </c>
      <c r="AW98" s="11">
        <f t="shared" si="31"/>
        <v>3.8865391239478742E-7</v>
      </c>
      <c r="AX98" s="41">
        <f t="shared" ca="1" si="32"/>
        <v>143.25617204871597</v>
      </c>
      <c r="AY98" s="11">
        <f t="shared" ca="1" si="33"/>
        <v>633.95299643166425</v>
      </c>
      <c r="AZ98" s="11"/>
      <c r="BA98" s="11"/>
    </row>
    <row r="99" spans="1:53" ht="14.5">
      <c r="A99" s="41">
        <f t="shared" ca="1" si="48"/>
        <v>6724.9312272875823</v>
      </c>
      <c r="B99" s="41">
        <f t="shared" ca="1" si="49"/>
        <v>112.08218712145971</v>
      </c>
      <c r="C99" s="41">
        <f t="shared" ca="1" si="49"/>
        <v>1.8680364520243284</v>
      </c>
      <c r="D99" s="41">
        <f t="shared" ca="1" si="57"/>
        <v>17226.348438746474</v>
      </c>
      <c r="E99" s="41">
        <f t="shared" ca="1" si="50"/>
        <v>441.31958974278575</v>
      </c>
      <c r="F99" s="41">
        <f t="shared" ca="1" si="51"/>
        <v>441.31958974278575</v>
      </c>
      <c r="G99" s="41"/>
      <c r="H99" s="5">
        <v>0</v>
      </c>
      <c r="I99" s="5">
        <v>15</v>
      </c>
      <c r="J99" s="41">
        <f t="shared" si="52"/>
        <v>0.55983578150409219</v>
      </c>
      <c r="K99" s="41">
        <f t="shared" si="58"/>
        <v>630</v>
      </c>
      <c r="L99" s="6">
        <f t="shared" si="53"/>
        <v>103.85999999999996</v>
      </c>
      <c r="M99" s="41">
        <f t="shared" si="0"/>
        <v>373.26492000000002</v>
      </c>
      <c r="N99" s="41">
        <f t="shared" si="1"/>
        <v>448.35608184314691</v>
      </c>
      <c r="O99" s="41">
        <f t="shared" si="2"/>
        <v>3662262.4792364878</v>
      </c>
      <c r="P99" s="41">
        <f t="shared" si="3"/>
        <v>23514298.530556589</v>
      </c>
      <c r="Q99" s="41">
        <f t="shared" si="4"/>
        <v>2.5543568095429477E-3</v>
      </c>
      <c r="R99" s="41">
        <f t="shared" si="5"/>
        <v>2.0594348322259697E-2</v>
      </c>
      <c r="S99" s="24">
        <f t="shared" ca="1" si="54"/>
        <v>13.372928021954241</v>
      </c>
      <c r="T99" s="41">
        <f t="shared" ca="1" si="6"/>
        <v>0.16251892985278363</v>
      </c>
      <c r="U99" s="41">
        <f t="shared" ca="1" si="7"/>
        <v>2.2262469126400831E-2</v>
      </c>
      <c r="V99" s="41">
        <f t="shared" ca="1" si="8"/>
        <v>7.3001304990044487</v>
      </c>
      <c r="W99" s="20">
        <f t="shared" ca="1" si="9"/>
        <v>2295.7480888234336</v>
      </c>
      <c r="X99" s="41">
        <f t="shared" si="10"/>
        <v>0.57103697700690881</v>
      </c>
      <c r="Y99" s="41">
        <f t="shared" ca="1" si="11"/>
        <v>175.26002893465497</v>
      </c>
      <c r="Z99" s="14">
        <f t="shared" ca="1" si="12"/>
        <v>2359.7315748116707</v>
      </c>
      <c r="AA99" s="14">
        <f t="shared" si="13"/>
        <v>6280</v>
      </c>
      <c r="AB99" s="25">
        <f t="shared" ca="1" si="14"/>
        <v>1486630.8921313526</v>
      </c>
      <c r="AC99" s="41">
        <f t="shared" si="15"/>
        <v>3956400</v>
      </c>
      <c r="AD99" s="5">
        <v>100</v>
      </c>
      <c r="AE99" s="41">
        <f t="shared" si="16"/>
        <v>6280</v>
      </c>
      <c r="AF99" s="41">
        <f t="shared" ca="1" si="17"/>
        <v>3920.2684251883293</v>
      </c>
      <c r="AG99" s="41">
        <f t="shared" ca="1" si="18"/>
        <v>2469769.1078686472</v>
      </c>
      <c r="AH99" s="41">
        <f t="shared" si="19"/>
        <v>4427.3999999999996</v>
      </c>
      <c r="AI99" s="13">
        <f t="shared" ca="1" si="20"/>
        <v>145.71159482618071</v>
      </c>
      <c r="AJ99" s="10">
        <f t="shared" ca="1" si="21"/>
        <v>13.372928021954241</v>
      </c>
      <c r="AK99" s="11">
        <f t="shared" ca="1" si="55"/>
        <v>8742.6956895708427</v>
      </c>
      <c r="AL99" s="6">
        <v>10000</v>
      </c>
      <c r="AM99" s="41">
        <f t="shared" ca="1" si="22"/>
        <v>68.62871833864007</v>
      </c>
      <c r="AN99" s="41">
        <f t="shared" ca="1" si="23"/>
        <v>84.401885436804164</v>
      </c>
      <c r="AO99" s="41">
        <f t="shared" ca="1" si="24"/>
        <v>6.9228064801803226</v>
      </c>
      <c r="AP99" s="67">
        <f t="shared" si="56"/>
        <v>0.70499999999999996</v>
      </c>
      <c r="AQ99" s="11">
        <f t="shared" si="25"/>
        <v>1.0520562207183759</v>
      </c>
      <c r="AR99" s="11">
        <f t="shared" si="26"/>
        <v>1</v>
      </c>
      <c r="AS99" s="11">
        <f t="shared" si="27"/>
        <v>0.95051954477981193</v>
      </c>
      <c r="AT99" s="11">
        <f t="shared" si="28"/>
        <v>545.66999999999996</v>
      </c>
      <c r="AU99" s="11">
        <f t="shared" si="29"/>
        <v>2116.2199999999998</v>
      </c>
      <c r="AV99" s="11">
        <f t="shared" si="30"/>
        <v>2.259289905987135E-3</v>
      </c>
      <c r="AW99" s="11">
        <f t="shared" si="31"/>
        <v>3.8865391239478742E-7</v>
      </c>
      <c r="AX99" s="41">
        <f t="shared" ca="1" si="32"/>
        <v>143.37159826127186</v>
      </c>
      <c r="AY99" s="11">
        <f t="shared" ca="1" si="33"/>
        <v>634.3397866644957</v>
      </c>
      <c r="AZ99" s="11"/>
      <c r="BA99" s="11"/>
    </row>
    <row r="100" spans="1:53" ht="14.5">
      <c r="A100" s="41">
        <f t="shared" ca="1" si="48"/>
        <v>6793.5599456262225</v>
      </c>
      <c r="B100" s="41">
        <f t="shared" ca="1" si="49"/>
        <v>113.22599909377037</v>
      </c>
      <c r="C100" s="41">
        <f t="shared" ca="1" si="49"/>
        <v>1.8870999848961729</v>
      </c>
      <c r="D100" s="41">
        <f t="shared" ca="1" si="57"/>
        <v>17226.348438746474</v>
      </c>
      <c r="E100" s="41">
        <f t="shared" ca="1" si="50"/>
        <v>448.24239622296608</v>
      </c>
      <c r="F100" s="41">
        <f t="shared" ca="1" si="51"/>
        <v>448.24239622296608</v>
      </c>
      <c r="G100" s="41"/>
      <c r="H100" s="5">
        <v>0</v>
      </c>
      <c r="I100" s="5">
        <v>15</v>
      </c>
      <c r="J100" s="41">
        <f t="shared" si="52"/>
        <v>0.56427892262714052</v>
      </c>
      <c r="K100" s="41">
        <f t="shared" si="58"/>
        <v>635</v>
      </c>
      <c r="L100" s="6">
        <f t="shared" si="53"/>
        <v>105.09499999999996</v>
      </c>
      <c r="M100" s="41">
        <f t="shared" si="0"/>
        <v>376.22734000000003</v>
      </c>
      <c r="N100" s="41">
        <f t="shared" si="1"/>
        <v>455.50108617083123</v>
      </c>
      <c r="O100" s="41">
        <f t="shared" si="2"/>
        <v>3691328.0544685242</v>
      </c>
      <c r="P100" s="41">
        <f t="shared" si="3"/>
        <v>23700919.947465774</v>
      </c>
      <c r="Q100" s="41">
        <f t="shared" si="4"/>
        <v>2.5501494200276006E-3</v>
      </c>
      <c r="R100" s="41">
        <f t="shared" si="5"/>
        <v>2.0568662209268503E-2</v>
      </c>
      <c r="S100" s="24">
        <f t="shared" ca="1" si="54"/>
        <v>13.275201268745839</v>
      </c>
      <c r="T100" s="41">
        <f t="shared" ca="1" si="6"/>
        <v>0.16003428657942423</v>
      </c>
      <c r="U100" s="41">
        <f t="shared" ca="1" si="7"/>
        <v>2.2186167340776951E-2</v>
      </c>
      <c r="V100" s="41">
        <f t="shared" ca="1" si="8"/>
        <v>7.2132461691700147</v>
      </c>
      <c r="W100" s="20">
        <f t="shared" ca="1" si="9"/>
        <v>2324.3393639890965</v>
      </c>
      <c r="X100" s="41">
        <f t="shared" si="10"/>
        <v>0.57068075556975983</v>
      </c>
      <c r="Y100" s="41">
        <f t="shared" ca="1" si="11"/>
        <v>175.29543118212686</v>
      </c>
      <c r="Z100" s="14">
        <f t="shared" ca="1" si="12"/>
        <v>2388.1547967090396</v>
      </c>
      <c r="AA100" s="14">
        <f t="shared" si="13"/>
        <v>6280</v>
      </c>
      <c r="AB100" s="25">
        <f t="shared" ca="1" si="14"/>
        <v>1516478.2959102402</v>
      </c>
      <c r="AC100" s="41">
        <f t="shared" si="15"/>
        <v>3987800</v>
      </c>
      <c r="AD100" s="5">
        <v>100</v>
      </c>
      <c r="AE100" s="41">
        <f t="shared" si="16"/>
        <v>6280</v>
      </c>
      <c r="AF100" s="41">
        <f t="shared" ca="1" si="17"/>
        <v>3891.8452032909604</v>
      </c>
      <c r="AG100" s="41">
        <f t="shared" ca="1" si="18"/>
        <v>2471321.7040897598</v>
      </c>
      <c r="AH100" s="41">
        <f t="shared" si="19"/>
        <v>4427.3999999999996</v>
      </c>
      <c r="AI100" s="13">
        <f t="shared" ca="1" si="20"/>
        <v>145.81410057961799</v>
      </c>
      <c r="AJ100" s="10">
        <f t="shared" ca="1" si="21"/>
        <v>13.275201268745839</v>
      </c>
      <c r="AK100" s="11">
        <f t="shared" ca="1" si="55"/>
        <v>8748.8460347770797</v>
      </c>
      <c r="AL100" s="6">
        <v>10000</v>
      </c>
      <c r="AM100" s="41">
        <f t="shared" ca="1" si="22"/>
        <v>68.580473083532553</v>
      </c>
      <c r="AN100" s="41">
        <f t="shared" ca="1" si="23"/>
        <v>84.342551813897771</v>
      </c>
      <c r="AO100" s="41">
        <f t="shared" ca="1" si="24"/>
        <v>6.9756613969333632</v>
      </c>
      <c r="AP100" s="67">
        <f t="shared" si="56"/>
        <v>0.70499999999999996</v>
      </c>
      <c r="AQ100" s="11">
        <f t="shared" si="25"/>
        <v>1.0520562207183759</v>
      </c>
      <c r="AR100" s="11">
        <f t="shared" si="26"/>
        <v>1</v>
      </c>
      <c r="AS100" s="11">
        <f t="shared" si="27"/>
        <v>0.95051954477981193</v>
      </c>
      <c r="AT100" s="11">
        <f t="shared" si="28"/>
        <v>545.66999999999996</v>
      </c>
      <c r="AU100" s="11">
        <f t="shared" si="29"/>
        <v>2116.2199999999998</v>
      </c>
      <c r="AV100" s="11">
        <f t="shared" si="30"/>
        <v>2.259289905987135E-3</v>
      </c>
      <c r="AW100" s="11">
        <f t="shared" si="31"/>
        <v>3.8865391239478742E-7</v>
      </c>
      <c r="AX100" s="41">
        <f t="shared" ca="1" si="32"/>
        <v>143.46172741584186</v>
      </c>
      <c r="AY100" s="11">
        <f t="shared" ca="1" si="33"/>
        <v>634.72505498707972</v>
      </c>
      <c r="AZ100" s="11"/>
      <c r="BA100" s="11"/>
    </row>
    <row r="101" spans="1:53" ht="14.5">
      <c r="A101" s="41">
        <f t="shared" ca="1" si="48"/>
        <v>6862.1404187097551</v>
      </c>
      <c r="B101" s="41">
        <f t="shared" ca="1" si="49"/>
        <v>114.36900697849592</v>
      </c>
      <c r="C101" s="41">
        <f t="shared" ca="1" si="49"/>
        <v>1.9061501163082653</v>
      </c>
      <c r="D101" s="41">
        <f t="shared" ca="1" si="57"/>
        <v>17226.348438746474</v>
      </c>
      <c r="E101" s="41">
        <f t="shared" ca="1" si="50"/>
        <v>455.21805761989947</v>
      </c>
      <c r="F101" s="41">
        <f t="shared" ca="1" si="51"/>
        <v>455.21805761989947</v>
      </c>
      <c r="G101" s="41"/>
      <c r="H101" s="5">
        <v>0</v>
      </c>
      <c r="I101" s="5">
        <v>15</v>
      </c>
      <c r="J101" s="41">
        <f t="shared" si="52"/>
        <v>0.56872206375018886</v>
      </c>
      <c r="K101" s="41">
        <f t="shared" si="58"/>
        <v>640</v>
      </c>
      <c r="L101" s="6">
        <f t="shared" si="53"/>
        <v>106.32999999999996</v>
      </c>
      <c r="M101" s="41">
        <f t="shared" si="0"/>
        <v>379.18975999999998</v>
      </c>
      <c r="N101" s="41">
        <f t="shared" si="1"/>
        <v>462.70257274616523</v>
      </c>
      <c r="O101" s="41">
        <f t="shared" si="2"/>
        <v>3720393.6297005597</v>
      </c>
      <c r="P101" s="41">
        <f t="shared" si="3"/>
        <v>23887541.364374951</v>
      </c>
      <c r="Q101" s="41">
        <f t="shared" si="4"/>
        <v>2.5459661490770044E-3</v>
      </c>
      <c r="R101" s="41">
        <f t="shared" si="5"/>
        <v>2.0543123340115113E-2</v>
      </c>
      <c r="S101" s="24">
        <f t="shared" ca="1" si="54"/>
        <v>13.176635636521832</v>
      </c>
      <c r="T101" s="41">
        <f t="shared" ca="1" si="6"/>
        <v>0.15760722829391402</v>
      </c>
      <c r="U101" s="41">
        <f t="shared" ca="1" si="7"/>
        <v>2.2111938776473057E-2</v>
      </c>
      <c r="V101" s="41">
        <f t="shared" ca="1" si="8"/>
        <v>7.1276982939916138</v>
      </c>
      <c r="W101" s="20">
        <f t="shared" ca="1" si="9"/>
        <v>2353.1877208643486</v>
      </c>
      <c r="X101" s="41">
        <f t="shared" si="10"/>
        <v>0.57032635556333622</v>
      </c>
      <c r="Y101" s="41">
        <f t="shared" ca="1" si="11"/>
        <v>175.33087184926237</v>
      </c>
      <c r="Z101" s="14">
        <f t="shared" ca="1" si="12"/>
        <v>2416.8178461296052</v>
      </c>
      <c r="AA101" s="14">
        <f t="shared" si="13"/>
        <v>6280</v>
      </c>
      <c r="AB101" s="25">
        <f t="shared" ca="1" si="14"/>
        <v>1546763.4215229473</v>
      </c>
      <c r="AC101" s="41">
        <f t="shared" si="15"/>
        <v>4019200</v>
      </c>
      <c r="AD101" s="5">
        <v>100</v>
      </c>
      <c r="AE101" s="41">
        <f t="shared" si="16"/>
        <v>6280</v>
      </c>
      <c r="AF101" s="41">
        <f t="shared" ca="1" si="17"/>
        <v>3863.1821538703948</v>
      </c>
      <c r="AG101" s="41">
        <f t="shared" ca="1" si="18"/>
        <v>2472436.578477053</v>
      </c>
      <c r="AH101" s="41">
        <f t="shared" si="19"/>
        <v>4427.3999999999996</v>
      </c>
      <c r="AI101" s="13">
        <f t="shared" ca="1" si="20"/>
        <v>145.89045772428915</v>
      </c>
      <c r="AJ101" s="10">
        <f t="shared" ca="1" si="21"/>
        <v>13.176635636521832</v>
      </c>
      <c r="AK101" s="11">
        <f t="shared" ca="1" si="55"/>
        <v>8753.4274634573485</v>
      </c>
      <c r="AL101" s="6">
        <v>10000</v>
      </c>
      <c r="AM101" s="41">
        <f t="shared" ca="1" si="22"/>
        <v>68.544578966901895</v>
      </c>
      <c r="AN101" s="41">
        <f t="shared" ca="1" si="23"/>
        <v>84.298408032794853</v>
      </c>
      <c r="AO101" s="41">
        <f t="shared" ca="1" si="24"/>
        <v>7.0297497901656829</v>
      </c>
      <c r="AP101" s="67">
        <f t="shared" si="56"/>
        <v>0.70499999999999996</v>
      </c>
      <c r="AQ101" s="11">
        <f t="shared" si="25"/>
        <v>1.0520562207183759</v>
      </c>
      <c r="AR101" s="11">
        <f t="shared" si="26"/>
        <v>1</v>
      </c>
      <c r="AS101" s="11">
        <f t="shared" si="27"/>
        <v>0.95051954477981193</v>
      </c>
      <c r="AT101" s="11">
        <f t="shared" si="28"/>
        <v>545.66999999999996</v>
      </c>
      <c r="AU101" s="11">
        <f t="shared" si="29"/>
        <v>2116.2199999999998</v>
      </c>
      <c r="AV101" s="11">
        <f t="shared" si="30"/>
        <v>2.259289905987135E-3</v>
      </c>
      <c r="AW101" s="11">
        <f t="shared" si="31"/>
        <v>3.8865391239478742E-7</v>
      </c>
      <c r="AX101" s="41">
        <f t="shared" ca="1" si="32"/>
        <v>143.52644655183622</v>
      </c>
      <c r="AY101" s="11">
        <f t="shared" ca="1" si="33"/>
        <v>635.10883669231725</v>
      </c>
      <c r="AZ101" s="11"/>
      <c r="BA101" s="11"/>
    </row>
    <row r="102" spans="1:53" ht="14.5">
      <c r="A102" s="41">
        <f t="shared" ca="1" si="48"/>
        <v>6930.6849976766571</v>
      </c>
      <c r="B102" s="41">
        <f t="shared" ca="1" si="49"/>
        <v>115.51141662794429</v>
      </c>
      <c r="C102" s="41">
        <f t="shared" ca="1" si="49"/>
        <v>1.9251902771324048</v>
      </c>
      <c r="D102" s="41">
        <f t="shared" ca="1" si="57"/>
        <v>17226.348438746474</v>
      </c>
      <c r="E102" s="41">
        <f t="shared" ca="1" si="50"/>
        <v>462.24780741006515</v>
      </c>
      <c r="F102" s="41">
        <f t="shared" ca="1" si="51"/>
        <v>462.24780741006515</v>
      </c>
      <c r="G102" s="41"/>
      <c r="H102" s="5">
        <v>0</v>
      </c>
      <c r="I102" s="5">
        <v>15</v>
      </c>
      <c r="J102" s="41">
        <f t="shared" si="52"/>
        <v>0.57316520487323719</v>
      </c>
      <c r="K102" s="41">
        <f t="shared" si="58"/>
        <v>645</v>
      </c>
      <c r="L102" s="6">
        <f t="shared" si="53"/>
        <v>107.56499999999996</v>
      </c>
      <c r="M102" s="41">
        <f t="shared" si="0"/>
        <v>382.15217999999999</v>
      </c>
      <c r="N102" s="41">
        <f t="shared" si="1"/>
        <v>469.96054156914892</v>
      </c>
      <c r="O102" s="41">
        <f t="shared" si="2"/>
        <v>3749459.2049325951</v>
      </c>
      <c r="P102" s="41">
        <f t="shared" si="3"/>
        <v>24074162.781284131</v>
      </c>
      <c r="Q102" s="41">
        <f t="shared" si="4"/>
        <v>2.541806511459264E-3</v>
      </c>
      <c r="R102" s="41">
        <f t="shared" si="5"/>
        <v>2.051772875245881E-2</v>
      </c>
      <c r="S102" s="24">
        <f t="shared" ca="1" si="54"/>
        <v>13.077240145337088</v>
      </c>
      <c r="T102" s="41">
        <f t="shared" ca="1" si="6"/>
        <v>0.15523596527196173</v>
      </c>
      <c r="U102" s="41">
        <f t="shared" ca="1" si="7"/>
        <v>2.2039692415828416E-2</v>
      </c>
      <c r="V102" s="41">
        <f t="shared" ca="1" si="8"/>
        <v>7.0434724016599581</v>
      </c>
      <c r="W102" s="20">
        <f t="shared" ca="1" si="9"/>
        <v>2382.2907302648432</v>
      </c>
      <c r="X102" s="41">
        <f t="shared" si="10"/>
        <v>0.56997373923896377</v>
      </c>
      <c r="Y102" s="41">
        <f t="shared" ca="1" si="11"/>
        <v>175.36634097995827</v>
      </c>
      <c r="Z102" s="14">
        <f t="shared" ca="1" si="12"/>
        <v>2445.7181708679209</v>
      </c>
      <c r="AA102" s="14">
        <f t="shared" si="13"/>
        <v>6280</v>
      </c>
      <c r="AB102" s="25">
        <f t="shared" ca="1" si="14"/>
        <v>1577488.220209809</v>
      </c>
      <c r="AC102" s="41">
        <f t="shared" si="15"/>
        <v>4050600</v>
      </c>
      <c r="AD102" s="5">
        <v>100</v>
      </c>
      <c r="AE102" s="41">
        <f t="shared" si="16"/>
        <v>6280</v>
      </c>
      <c r="AF102" s="41">
        <f t="shared" ca="1" si="17"/>
        <v>3834.2818291320791</v>
      </c>
      <c r="AG102" s="41">
        <f t="shared" ca="1" si="18"/>
        <v>2473111.779790191</v>
      </c>
      <c r="AH102" s="41">
        <f t="shared" si="19"/>
        <v>4427.3999999999996</v>
      </c>
      <c r="AI102" s="13">
        <f t="shared" ca="1" si="20"/>
        <v>145.94053335903126</v>
      </c>
      <c r="AJ102" s="10">
        <f t="shared" ca="1" si="21"/>
        <v>13.077240145337088</v>
      </c>
      <c r="AK102" s="11">
        <f t="shared" ca="1" si="55"/>
        <v>8756.4320015418762</v>
      </c>
      <c r="AL102" s="6">
        <v>10000</v>
      </c>
      <c r="AM102" s="41">
        <f t="shared" ca="1" si="22"/>
        <v>68.521059707235665</v>
      </c>
      <c r="AN102" s="41">
        <f t="shared" ca="1" si="23"/>
        <v>84.269483263281984</v>
      </c>
      <c r="AO102" s="41">
        <f t="shared" ca="1" si="24"/>
        <v>7.0851045323779429</v>
      </c>
      <c r="AP102" s="67">
        <f t="shared" si="56"/>
        <v>0.70499999999999996</v>
      </c>
      <c r="AQ102" s="11">
        <f t="shared" si="25"/>
        <v>1.0520562207183759</v>
      </c>
      <c r="AR102" s="11">
        <f t="shared" si="26"/>
        <v>1</v>
      </c>
      <c r="AS102" s="11">
        <f t="shared" si="27"/>
        <v>0.95051954477981193</v>
      </c>
      <c r="AT102" s="11">
        <f t="shared" si="28"/>
        <v>545.66999999999996</v>
      </c>
      <c r="AU102" s="11">
        <f t="shared" si="29"/>
        <v>2116.2199999999998</v>
      </c>
      <c r="AV102" s="11">
        <f t="shared" si="30"/>
        <v>2.259289905987135E-3</v>
      </c>
      <c r="AW102" s="11">
        <f t="shared" si="31"/>
        <v>3.8865391239478742E-7</v>
      </c>
      <c r="AX102" s="41">
        <f t="shared" ca="1" si="32"/>
        <v>143.56564239856709</v>
      </c>
      <c r="AY102" s="11">
        <f t="shared" ca="1" si="33"/>
        <v>635.49116619600659</v>
      </c>
      <c r="AZ102" s="11"/>
      <c r="BA102" s="11"/>
    </row>
    <row r="103" spans="1:53" ht="14.5">
      <c r="A103" s="41">
        <f t="shared" ca="1" si="48"/>
        <v>6999.2060573838926</v>
      </c>
      <c r="B103" s="41">
        <f t="shared" ca="1" si="49"/>
        <v>116.65343428973155</v>
      </c>
      <c r="C103" s="41">
        <f t="shared" ca="1" si="49"/>
        <v>1.9442239048288592</v>
      </c>
      <c r="D103" s="41">
        <f t="shared" ca="1" si="57"/>
        <v>17226.348438746474</v>
      </c>
      <c r="E103" s="41">
        <f t="shared" ca="1" si="50"/>
        <v>469.3329119424431</v>
      </c>
      <c r="F103" s="41">
        <f t="shared" ca="1" si="51"/>
        <v>469.3329119424431</v>
      </c>
      <c r="G103" s="41"/>
      <c r="H103" s="5">
        <v>0</v>
      </c>
      <c r="I103" s="5">
        <v>15</v>
      </c>
      <c r="J103" s="41">
        <f t="shared" si="52"/>
        <v>0.57760834599628552</v>
      </c>
      <c r="K103" s="41">
        <f t="shared" si="58"/>
        <v>650</v>
      </c>
      <c r="L103" s="6">
        <f t="shared" si="53"/>
        <v>108.79999999999995</v>
      </c>
      <c r="M103" s="41">
        <f t="shared" si="0"/>
        <v>385.1146</v>
      </c>
      <c r="N103" s="41">
        <f t="shared" si="1"/>
        <v>477.27499263978228</v>
      </c>
      <c r="O103" s="41">
        <f t="shared" si="2"/>
        <v>3778524.7801646306</v>
      </c>
      <c r="P103" s="41">
        <f t="shared" si="3"/>
        <v>24260784.198193308</v>
      </c>
      <c r="Q103" s="41">
        <f t="shared" si="4"/>
        <v>2.5376700348224558E-3</v>
      </c>
      <c r="R103" s="41">
        <f t="shared" si="5"/>
        <v>2.0492475562591091E-2</v>
      </c>
      <c r="S103" s="24">
        <f t="shared" ca="1" si="54"/>
        <v>12.977023548898851</v>
      </c>
      <c r="T103" s="41">
        <f t="shared" ca="1" si="6"/>
        <v>0.15291877683976005</v>
      </c>
      <c r="U103" s="41">
        <f t="shared" ca="1" si="7"/>
        <v>2.1969342003137542E-2</v>
      </c>
      <c r="V103" s="41">
        <f t="shared" ca="1" si="8"/>
        <v>6.9605533391906329</v>
      </c>
      <c r="W103" s="20">
        <f t="shared" ca="1" si="9"/>
        <v>2411.6460348551159</v>
      </c>
      <c r="X103" s="41">
        <f t="shared" si="10"/>
        <v>0.56962286983035959</v>
      </c>
      <c r="Y103" s="41">
        <f t="shared" ca="1" si="11"/>
        <v>175.40182875573583</v>
      </c>
      <c r="Z103" s="14">
        <f t="shared" ca="1" si="12"/>
        <v>2474.8533053766582</v>
      </c>
      <c r="AA103" s="14">
        <f t="shared" si="13"/>
        <v>6280</v>
      </c>
      <c r="AB103" s="25">
        <f t="shared" ca="1" si="14"/>
        <v>1608654.6484948278</v>
      </c>
      <c r="AC103" s="41">
        <f t="shared" si="15"/>
        <v>4082000</v>
      </c>
      <c r="AD103" s="5">
        <v>100</v>
      </c>
      <c r="AE103" s="41">
        <f t="shared" si="16"/>
        <v>6280</v>
      </c>
      <c r="AF103" s="41">
        <f t="shared" ca="1" si="17"/>
        <v>3805.1466946233418</v>
      </c>
      <c r="AG103" s="41">
        <f t="shared" ca="1" si="18"/>
        <v>2473345.3515051724</v>
      </c>
      <c r="AH103" s="41">
        <f t="shared" si="19"/>
        <v>4427.3999999999996</v>
      </c>
      <c r="AI103" s="13">
        <f t="shared" ca="1" si="20"/>
        <v>145.96419469192767</v>
      </c>
      <c r="AJ103" s="10">
        <f t="shared" ca="1" si="21"/>
        <v>12.977023548898851</v>
      </c>
      <c r="AK103" s="11">
        <f t="shared" ca="1" si="55"/>
        <v>8757.8516815156599</v>
      </c>
      <c r="AL103" s="6">
        <v>10000</v>
      </c>
      <c r="AM103" s="41">
        <f t="shared" ca="1" si="22"/>
        <v>68.509952191398853</v>
      </c>
      <c r="AN103" s="41">
        <f t="shared" ca="1" si="23"/>
        <v>84.255822870055354</v>
      </c>
      <c r="AO103" s="41">
        <f t="shared" ca="1" si="24"/>
        <v>7.1417599868757353</v>
      </c>
      <c r="AP103" s="67">
        <f t="shared" si="56"/>
        <v>0.70499999999999996</v>
      </c>
      <c r="AQ103" s="11">
        <f t="shared" si="25"/>
        <v>1.0520562207183759</v>
      </c>
      <c r="AR103" s="11">
        <f t="shared" si="26"/>
        <v>1</v>
      </c>
      <c r="AS103" s="11">
        <f t="shared" si="27"/>
        <v>0.95051954477981193</v>
      </c>
      <c r="AT103" s="11">
        <f t="shared" si="28"/>
        <v>545.66999999999996</v>
      </c>
      <c r="AU103" s="11">
        <f t="shared" si="29"/>
        <v>2116.2199999999998</v>
      </c>
      <c r="AV103" s="11">
        <f t="shared" si="30"/>
        <v>2.259289905987135E-3</v>
      </c>
      <c r="AW103" s="11">
        <f t="shared" si="31"/>
        <v>3.8865391239478742E-7</v>
      </c>
      <c r="AX103" s="41">
        <f t="shared" ca="1" si="32"/>
        <v>143.57920137862675</v>
      </c>
      <c r="AY103" s="11">
        <f t="shared" ca="1" si="33"/>
        <v>635.87207706387301</v>
      </c>
      <c r="AZ103" s="11"/>
      <c r="BA103" s="11"/>
    </row>
    <row r="104" spans="1:53" ht="14.5">
      <c r="A104" s="41">
        <f t="shared" ca="1" si="48"/>
        <v>7067.7160095752915</v>
      </c>
      <c r="B104" s="41">
        <f t="shared" ref="B104:C107" ca="1" si="59">A104/60</f>
        <v>117.79526682625486</v>
      </c>
      <c r="C104" s="41">
        <f t="shared" ca="1" si="59"/>
        <v>1.9632544471042477</v>
      </c>
      <c r="D104" s="41">
        <f t="shared" ca="1" si="57"/>
        <v>17226.348438746474</v>
      </c>
      <c r="E104" s="41">
        <f t="shared" ca="1" si="50"/>
        <v>476.47467192931884</v>
      </c>
      <c r="F104" s="41">
        <f t="shared" ca="1" si="51"/>
        <v>476.47467192931884</v>
      </c>
      <c r="G104" s="41"/>
      <c r="H104" s="5">
        <v>0</v>
      </c>
      <c r="I104" s="5">
        <v>15</v>
      </c>
      <c r="J104" s="41">
        <f t="shared" si="52"/>
        <v>0.58205148711933397</v>
      </c>
      <c r="K104" s="41">
        <f t="shared" si="58"/>
        <v>655</v>
      </c>
      <c r="L104" s="6">
        <f t="shared" si="53"/>
        <v>110.03499999999995</v>
      </c>
      <c r="M104" s="41">
        <f t="shared" si="0"/>
        <v>388.07702</v>
      </c>
      <c r="N104" s="41">
        <f t="shared" si="1"/>
        <v>484.64592595806528</v>
      </c>
      <c r="O104" s="41">
        <f t="shared" si="2"/>
        <v>3807590.3553966666</v>
      </c>
      <c r="P104" s="41">
        <f t="shared" si="3"/>
        <v>24447405.615102489</v>
      </c>
      <c r="Q104" s="41">
        <f t="shared" si="4"/>
        <v>2.5335562592771793E-3</v>
      </c>
      <c r="R104" s="41">
        <f t="shared" si="5"/>
        <v>2.046736096288718E-2</v>
      </c>
      <c r="S104" s="24">
        <f t="shared" ca="1" si="54"/>
        <v>12.875994346089234</v>
      </c>
      <c r="T104" s="41">
        <f t="shared" ca="1" si="6"/>
        <v>0.15065400819928379</v>
      </c>
      <c r="U104" s="41">
        <f t="shared" ca="1" si="7"/>
        <v>2.1900805758804549E-2</v>
      </c>
      <c r="V104" s="41">
        <f t="shared" ca="1" si="8"/>
        <v>6.878925362767438</v>
      </c>
      <c r="W104" s="20">
        <f t="shared" ca="1" si="9"/>
        <v>2441.2513458268186</v>
      </c>
      <c r="X104" s="41">
        <f t="shared" si="10"/>
        <v>0.56927371152237438</v>
      </c>
      <c r="Y104" s="41">
        <f t="shared" ca="1" si="11"/>
        <v>175.43732549002834</v>
      </c>
      <c r="Z104" s="14">
        <f t="shared" ca="1" si="12"/>
        <v>2504.2208674024919</v>
      </c>
      <c r="AA104" s="14">
        <f t="shared" si="13"/>
        <v>6280</v>
      </c>
      <c r="AB104" s="25">
        <f t="shared" ca="1" si="14"/>
        <v>1640264.6681486322</v>
      </c>
      <c r="AC104" s="41">
        <f t="shared" si="15"/>
        <v>4113400</v>
      </c>
      <c r="AD104" s="5">
        <v>100</v>
      </c>
      <c r="AE104" s="41">
        <f t="shared" si="16"/>
        <v>6280</v>
      </c>
      <c r="AF104" s="41">
        <f t="shared" ca="1" si="17"/>
        <v>3775.7791325975081</v>
      </c>
      <c r="AG104" s="41">
        <f t="shared" ca="1" si="18"/>
        <v>2473135.3318513678</v>
      </c>
      <c r="AH104" s="41">
        <f t="shared" si="19"/>
        <v>4427.3999999999996</v>
      </c>
      <c r="AI104" s="13">
        <f t="shared" ca="1" si="20"/>
        <v>145.96130906234012</v>
      </c>
      <c r="AJ104" s="10">
        <f t="shared" ca="1" si="21"/>
        <v>12.875994346089234</v>
      </c>
      <c r="AK104" s="11">
        <f t="shared" ca="1" si="55"/>
        <v>8757.6785437404069</v>
      </c>
      <c r="AL104" s="6">
        <v>10000</v>
      </c>
      <c r="AM104" s="41">
        <f t="shared" ca="1" si="22"/>
        <v>68.511306621188197</v>
      </c>
      <c r="AN104" s="41">
        <f t="shared" ca="1" si="23"/>
        <v>84.257488592957955</v>
      </c>
      <c r="AO104" s="41">
        <f t="shared" ca="1" si="24"/>
        <v>7.1997520775798023</v>
      </c>
      <c r="AP104" s="67">
        <f t="shared" si="56"/>
        <v>0.70499999999999996</v>
      </c>
      <c r="AQ104" s="11">
        <f t="shared" si="25"/>
        <v>1.0520562207183759</v>
      </c>
      <c r="AR104" s="11">
        <f t="shared" si="26"/>
        <v>1</v>
      </c>
      <c r="AS104" s="11">
        <f t="shared" si="27"/>
        <v>0.95051954477981193</v>
      </c>
      <c r="AT104" s="11">
        <f t="shared" si="28"/>
        <v>545.66999999999996</v>
      </c>
      <c r="AU104" s="11">
        <f t="shared" si="29"/>
        <v>2116.2199999999998</v>
      </c>
      <c r="AV104" s="11">
        <f t="shared" si="30"/>
        <v>2.259289905987135E-3</v>
      </c>
      <c r="AW104" s="11">
        <f t="shared" si="31"/>
        <v>3.8865391239478742E-7</v>
      </c>
      <c r="AX104" s="41">
        <f t="shared" ca="1" si="32"/>
        <v>143.56700961003739</v>
      </c>
      <c r="AY104" s="11">
        <f t="shared" ca="1" si="33"/>
        <v>636.25160203755968</v>
      </c>
      <c r="AZ104" s="11"/>
      <c r="BA104" s="11"/>
    </row>
    <row r="105" spans="1:53" ht="14.5">
      <c r="A105" s="41">
        <f t="shared" ca="1" si="48"/>
        <v>7136.2273161964795</v>
      </c>
      <c r="B105" s="41">
        <f t="shared" ca="1" si="59"/>
        <v>118.93712193660799</v>
      </c>
      <c r="C105" s="41">
        <f t="shared" ca="1" si="59"/>
        <v>1.9822853656101331</v>
      </c>
      <c r="D105" s="41">
        <f t="shared" ca="1" si="57"/>
        <v>17226.348438746474</v>
      </c>
      <c r="E105" s="41">
        <f t="shared" ca="1" si="50"/>
        <v>483.67442400689868</v>
      </c>
      <c r="F105" s="41">
        <f t="shared" ca="1" si="51"/>
        <v>483.67442400689868</v>
      </c>
      <c r="G105" s="41"/>
      <c r="H105" s="5">
        <v>0</v>
      </c>
      <c r="I105" s="5">
        <v>15</v>
      </c>
      <c r="J105" s="41">
        <f t="shared" si="52"/>
        <v>0.5864946282423823</v>
      </c>
      <c r="K105" s="41">
        <f t="shared" si="58"/>
        <v>660</v>
      </c>
      <c r="L105" s="6">
        <f t="shared" si="53"/>
        <v>111.26999999999995</v>
      </c>
      <c r="M105" s="41">
        <f t="shared" si="0"/>
        <v>391.03944000000001</v>
      </c>
      <c r="N105" s="41">
        <f t="shared" si="1"/>
        <v>492.07334152399801</v>
      </c>
      <c r="O105" s="41">
        <f t="shared" si="2"/>
        <v>3836655.9306287016</v>
      </c>
      <c r="P105" s="41">
        <f t="shared" si="3"/>
        <v>24634027.032011665</v>
      </c>
      <c r="Q105" s="41">
        <f t="shared" si="4"/>
        <v>2.5294647369956866E-3</v>
      </c>
      <c r="R105" s="41">
        <f t="shared" si="5"/>
        <v>2.0442382219358665E-2</v>
      </c>
      <c r="S105" s="24">
        <f t="shared" ca="1" si="54"/>
        <v>12.774160791864061</v>
      </c>
      <c r="T105" s="41">
        <f t="shared" ca="1" si="6"/>
        <v>0.14844006742271873</v>
      </c>
      <c r="U105" s="41">
        <f t="shared" ca="1" si="7"/>
        <v>2.1834006112766959E-2</v>
      </c>
      <c r="V105" s="41">
        <f t="shared" ca="1" si="8"/>
        <v>6.7985722206023222</v>
      </c>
      <c r="W105" s="20">
        <f t="shared" ca="1" si="9"/>
        <v>2471.1044397558662</v>
      </c>
      <c r="X105" s="41">
        <f t="shared" si="10"/>
        <v>0.56892622942095705</v>
      </c>
      <c r="Y105" s="41">
        <f t="shared" ca="1" si="11"/>
        <v>175.47282162276687</v>
      </c>
      <c r="Z105" s="14">
        <f t="shared" ca="1" si="12"/>
        <v>2533.8185548053643</v>
      </c>
      <c r="AA105" s="14">
        <f t="shared" si="13"/>
        <v>6280</v>
      </c>
      <c r="AB105" s="25">
        <f t="shared" ca="1" si="14"/>
        <v>1672320.2461715403</v>
      </c>
      <c r="AC105" s="41">
        <f t="shared" si="15"/>
        <v>4144800</v>
      </c>
      <c r="AD105" s="5">
        <v>100</v>
      </c>
      <c r="AE105" s="41">
        <f t="shared" si="16"/>
        <v>6280</v>
      </c>
      <c r="AF105" s="41">
        <f t="shared" ca="1" si="17"/>
        <v>3746.1814451946357</v>
      </c>
      <c r="AG105" s="41">
        <f t="shared" ca="1" si="18"/>
        <v>2472479.7538284594</v>
      </c>
      <c r="AH105" s="41">
        <f t="shared" si="19"/>
        <v>4427.3999999999996</v>
      </c>
      <c r="AI105" s="13">
        <f t="shared" ca="1" si="20"/>
        <v>145.93174396187112</v>
      </c>
      <c r="AJ105" s="10">
        <f t="shared" ca="1" si="21"/>
        <v>12.774160791864061</v>
      </c>
      <c r="AK105" s="11">
        <f t="shared" ca="1" si="55"/>
        <v>8755.9046377122668</v>
      </c>
      <c r="AL105" s="6">
        <v>10000</v>
      </c>
      <c r="AM105" s="41">
        <f t="shared" ca="1" si="22"/>
        <v>68.525186696958741</v>
      </c>
      <c r="AN105" s="41">
        <f t="shared" ca="1" si="23"/>
        <v>84.274558772809741</v>
      </c>
      <c r="AO105" s="41">
        <f t="shared" ca="1" si="24"/>
        <v>7.259118363595876</v>
      </c>
      <c r="AP105" s="67">
        <f t="shared" si="56"/>
        <v>0.70499999999999996</v>
      </c>
      <c r="AQ105" s="11">
        <f t="shared" si="25"/>
        <v>1.0520562207183759</v>
      </c>
      <c r="AR105" s="11">
        <f t="shared" si="26"/>
        <v>1</v>
      </c>
      <c r="AS105" s="11">
        <f t="shared" si="27"/>
        <v>0.95051954477981193</v>
      </c>
      <c r="AT105" s="11">
        <f t="shared" si="28"/>
        <v>545.66999999999996</v>
      </c>
      <c r="AU105" s="11">
        <f t="shared" si="29"/>
        <v>2116.2199999999998</v>
      </c>
      <c r="AV105" s="11">
        <f t="shared" si="30"/>
        <v>2.259289905987135E-3</v>
      </c>
      <c r="AW105" s="11">
        <f t="shared" si="31"/>
        <v>3.8865391239478742E-7</v>
      </c>
      <c r="AX105" s="41">
        <f t="shared" ca="1" si="32"/>
        <v>143.52895290723475</v>
      </c>
      <c r="AY105" s="11">
        <f t="shared" ca="1" si="33"/>
        <v>636.62977305962829</v>
      </c>
      <c r="AZ105" s="11"/>
      <c r="BA105" s="11"/>
    </row>
    <row r="106" spans="1:53" ht="14.5">
      <c r="A106" s="41">
        <f t="shared" ca="1" si="48"/>
        <v>7204.7525028934378</v>
      </c>
      <c r="B106" s="41">
        <f t="shared" ca="1" si="59"/>
        <v>120.07920838155729</v>
      </c>
      <c r="C106" s="41">
        <f t="shared" ca="1" si="59"/>
        <v>2.0013201396926217</v>
      </c>
      <c r="D106" s="41">
        <f t="shared" ca="1" si="57"/>
        <v>17226.348438746474</v>
      </c>
      <c r="E106" s="41">
        <f t="shared" ca="1" si="50"/>
        <v>490.93354237049454</v>
      </c>
      <c r="F106" s="41">
        <f t="shared" ca="1" si="51"/>
        <v>490.93354237049454</v>
      </c>
      <c r="G106" s="41"/>
      <c r="H106" s="5">
        <v>0</v>
      </c>
      <c r="I106" s="5">
        <v>15</v>
      </c>
      <c r="J106" s="41">
        <f t="shared" si="52"/>
        <v>0.59093776936543063</v>
      </c>
      <c r="K106" s="41">
        <f t="shared" si="58"/>
        <v>665</v>
      </c>
      <c r="L106" s="6">
        <f t="shared" si="53"/>
        <v>112.50499999999995</v>
      </c>
      <c r="M106" s="41">
        <f t="shared" si="0"/>
        <v>394.00186000000002</v>
      </c>
      <c r="N106" s="41">
        <f t="shared" si="1"/>
        <v>499.55723933758037</v>
      </c>
      <c r="O106" s="41">
        <f t="shared" si="2"/>
        <v>3865721.5058607375</v>
      </c>
      <c r="P106" s="41">
        <f t="shared" si="3"/>
        <v>24820648.448920846</v>
      </c>
      <c r="Q106" s="41">
        <f t="shared" si="4"/>
        <v>2.5253950318267901E-3</v>
      </c>
      <c r="R106" s="41">
        <f t="shared" si="5"/>
        <v>2.0417536669302551E-2</v>
      </c>
      <c r="S106" s="24">
        <f t="shared" ca="1" si="54"/>
        <v>12.671530907565986</v>
      </c>
      <c r="T106" s="41">
        <f t="shared" ca="1" si="6"/>
        <v>0.1462754226057944</v>
      </c>
      <c r="U106" s="41">
        <f t="shared" ca="1" si="7"/>
        <v>2.1768869455752134E-2</v>
      </c>
      <c r="V106" s="41">
        <f t="shared" ca="1" si="8"/>
        <v>6.7194772288527398</v>
      </c>
      <c r="W106" s="20">
        <f t="shared" ca="1" si="9"/>
        <v>2501.2031556276138</v>
      </c>
      <c r="X106" s="41">
        <f t="shared" si="10"/>
        <v>0.56858038952428946</v>
      </c>
      <c r="Y106" s="41">
        <f t="shared" ca="1" si="11"/>
        <v>175.50830771524807</v>
      </c>
      <c r="Z106" s="14">
        <f t="shared" ca="1" si="12"/>
        <v>2563.6441425500061</v>
      </c>
      <c r="AA106" s="14">
        <f t="shared" si="13"/>
        <v>6280</v>
      </c>
      <c r="AB106" s="25">
        <f t="shared" ca="1" si="14"/>
        <v>1704823.354795754</v>
      </c>
      <c r="AC106" s="41">
        <f t="shared" si="15"/>
        <v>4176200</v>
      </c>
      <c r="AD106" s="5">
        <v>100</v>
      </c>
      <c r="AE106" s="41">
        <f t="shared" si="16"/>
        <v>6280</v>
      </c>
      <c r="AF106" s="41">
        <f t="shared" ca="1" si="17"/>
        <v>3716.3558574499939</v>
      </c>
      <c r="AG106" s="41">
        <f t="shared" ca="1" si="18"/>
        <v>2471376.645204246</v>
      </c>
      <c r="AH106" s="41">
        <f t="shared" si="19"/>
        <v>4427.3999999999996</v>
      </c>
      <c r="AI106" s="13">
        <f t="shared" ca="1" si="20"/>
        <v>145.87536705431319</v>
      </c>
      <c r="AJ106" s="10">
        <f t="shared" ca="1" si="21"/>
        <v>12.671530907565986</v>
      </c>
      <c r="AK106" s="11">
        <f t="shared" ca="1" si="55"/>
        <v>8752.5220232587908</v>
      </c>
      <c r="AL106" s="6">
        <v>10000</v>
      </c>
      <c r="AM106" s="41">
        <f t="shared" ca="1" si="22"/>
        <v>68.551669839341287</v>
      </c>
      <c r="AN106" s="41">
        <f t="shared" ca="1" si="23"/>
        <v>84.307128624083219</v>
      </c>
      <c r="AO106" s="41">
        <f t="shared" ca="1" si="24"/>
        <v>7.319898118868629</v>
      </c>
      <c r="AP106" s="67">
        <f t="shared" si="56"/>
        <v>0.70499999999999996</v>
      </c>
      <c r="AQ106" s="11">
        <f t="shared" si="25"/>
        <v>1.0520562207183759</v>
      </c>
      <c r="AR106" s="11">
        <f t="shared" si="26"/>
        <v>1</v>
      </c>
      <c r="AS106" s="11">
        <f t="shared" si="27"/>
        <v>0.95051954477981193</v>
      </c>
      <c r="AT106" s="11">
        <f t="shared" si="28"/>
        <v>545.66999999999996</v>
      </c>
      <c r="AU106" s="11">
        <f t="shared" si="29"/>
        <v>2116.2199999999998</v>
      </c>
      <c r="AV106" s="11">
        <f t="shared" si="30"/>
        <v>2.259289905987135E-3</v>
      </c>
      <c r="AW106" s="11">
        <f t="shared" si="31"/>
        <v>3.8865391239478742E-7</v>
      </c>
      <c r="AX106" s="41">
        <f t="shared" ca="1" si="32"/>
        <v>143.46491678094043</v>
      </c>
      <c r="AY106" s="11">
        <f t="shared" ca="1" si="33"/>
        <v>637.00662129761383</v>
      </c>
      <c r="AZ106" s="11"/>
      <c r="BA106" s="11"/>
    </row>
    <row r="107" spans="1:53" ht="14.5">
      <c r="A107" s="41">
        <f t="shared" ca="1" si="48"/>
        <v>7273.3041727327791</v>
      </c>
      <c r="B107" s="41">
        <f t="shared" ca="1" si="59"/>
        <v>121.22173621221299</v>
      </c>
      <c r="C107" s="41">
        <f t="shared" ca="1" si="59"/>
        <v>2.0203622702035497</v>
      </c>
      <c r="D107" s="41">
        <f t="shared" ca="1" si="57"/>
        <v>17226.348438746474</v>
      </c>
      <c r="E107" s="41">
        <f t="shared" ca="1" si="50"/>
        <v>498.25344048936319</v>
      </c>
      <c r="F107" s="41">
        <f t="shared" ca="1" si="51"/>
        <v>498.25344048936319</v>
      </c>
      <c r="G107" s="41"/>
      <c r="H107" s="5">
        <v>0</v>
      </c>
      <c r="I107" s="5">
        <v>15</v>
      </c>
      <c r="J107" s="41">
        <f t="shared" si="52"/>
        <v>0.59538091048847896</v>
      </c>
      <c r="K107" s="41">
        <f t="shared" si="58"/>
        <v>670</v>
      </c>
      <c r="L107" s="6">
        <f t="shared" si="53"/>
        <v>113.73999999999995</v>
      </c>
      <c r="M107" s="41">
        <f t="shared" si="0"/>
        <v>396.96428000000003</v>
      </c>
      <c r="N107" s="41">
        <f t="shared" si="1"/>
        <v>507.09761939881247</v>
      </c>
      <c r="O107" s="41">
        <f t="shared" si="2"/>
        <v>3894787.0810927725</v>
      </c>
      <c r="P107" s="41">
        <f t="shared" si="3"/>
        <v>25007269.865830023</v>
      </c>
      <c r="Q107" s="41">
        <f t="shared" si="4"/>
        <v>2.521346718925795E-3</v>
      </c>
      <c r="R107" s="41">
        <f t="shared" si="5"/>
        <v>2.0392821719041981E-2</v>
      </c>
      <c r="S107" s="24">
        <f t="shared" ca="1" si="54"/>
        <v>12.568112490687325</v>
      </c>
      <c r="T107" s="41">
        <f t="shared" ca="1" si="6"/>
        <v>0.14415859917048199</v>
      </c>
      <c r="U107" s="41">
        <f t="shared" ca="1" si="7"/>
        <v>2.1705325907046366E-2</v>
      </c>
      <c r="V107" s="41">
        <f t="shared" ca="1" si="8"/>
        <v>6.641623341102779</v>
      </c>
      <c r="W107" s="20">
        <f t="shared" ca="1" si="9"/>
        <v>2531.5453920198738</v>
      </c>
      <c r="X107" s="41">
        <f t="shared" si="10"/>
        <v>0.5682361586950303</v>
      </c>
      <c r="Y107" s="41">
        <f t="shared" ca="1" si="11"/>
        <v>175.54377444526529</v>
      </c>
      <c r="Z107" s="14">
        <f t="shared" ca="1" si="12"/>
        <v>2593.6954798593265</v>
      </c>
      <c r="AA107" s="14">
        <f t="shared" si="13"/>
        <v>6280</v>
      </c>
      <c r="AB107" s="25">
        <f t="shared" ca="1" si="14"/>
        <v>1737775.9715057488</v>
      </c>
      <c r="AC107" s="41">
        <f t="shared" si="15"/>
        <v>4207600</v>
      </c>
      <c r="AD107" s="5">
        <v>100</v>
      </c>
      <c r="AE107" s="41">
        <f t="shared" si="16"/>
        <v>6280</v>
      </c>
      <c r="AF107" s="41">
        <f t="shared" ca="1" si="17"/>
        <v>3686.3045201406735</v>
      </c>
      <c r="AG107" s="41">
        <f t="shared" ca="1" si="18"/>
        <v>2469824.028494251</v>
      </c>
      <c r="AH107" s="41">
        <f t="shared" si="19"/>
        <v>4427.3999999999996</v>
      </c>
      <c r="AI107" s="13">
        <f t="shared" ca="1" si="20"/>
        <v>145.79204619463965</v>
      </c>
      <c r="AJ107" s="10">
        <f t="shared" ca="1" si="21"/>
        <v>12.568112490687325</v>
      </c>
      <c r="AK107" s="11">
        <f t="shared" ref="AK107:AK146" ca="1" si="60">AI107*60</f>
        <v>8747.5227716783793</v>
      </c>
      <c r="AL107" s="6">
        <v>10000</v>
      </c>
      <c r="AM107" s="41">
        <f t="shared" ca="1" si="22"/>
        <v>68.590847450275177</v>
      </c>
      <c r="AN107" s="41">
        <f t="shared" ca="1" si="23"/>
        <v>84.355310555930075</v>
      </c>
      <c r="AO107" s="41">
        <f t="shared" ca="1" si="24"/>
        <v>7.3821324172736071</v>
      </c>
      <c r="AP107" s="67">
        <f t="shared" si="56"/>
        <v>0.70499999999999996</v>
      </c>
      <c r="AQ107" s="11">
        <f t="shared" si="25"/>
        <v>1.0520562207183759</v>
      </c>
      <c r="AR107" s="11">
        <f t="shared" si="26"/>
        <v>1</v>
      </c>
      <c r="AS107" s="11">
        <f t="shared" si="27"/>
        <v>0.95051954477981193</v>
      </c>
      <c r="AT107" s="11">
        <f t="shared" si="28"/>
        <v>545.66999999999996</v>
      </c>
      <c r="AU107" s="11">
        <f t="shared" si="29"/>
        <v>2116.2199999999998</v>
      </c>
      <c r="AV107" s="11">
        <f t="shared" si="30"/>
        <v>2.259289905987135E-3</v>
      </c>
      <c r="AW107" s="11">
        <f t="shared" si="31"/>
        <v>3.8865391239478742E-7</v>
      </c>
      <c r="AX107" s="41">
        <f t="shared" ca="1" si="32"/>
        <v>143.37478643697833</v>
      </c>
      <c r="AY107" s="11">
        <f t="shared" ca="1" si="33"/>
        <v>637.38217716717907</v>
      </c>
      <c r="AZ107" s="11"/>
      <c r="BA107" s="11"/>
    </row>
    <row r="108" spans="1:53" ht="14.5">
      <c r="A108" s="41">
        <f t="shared" ref="A108:A117" ca="1" si="61">A107+AM107</f>
        <v>7341.8950201830539</v>
      </c>
      <c r="B108" s="41">
        <f t="shared" ref="B108:B117" ca="1" si="62">A108/60</f>
        <v>122.36491700305091</v>
      </c>
      <c r="C108" s="41">
        <f t="shared" ref="C108:C117" ca="1" si="63">B108/60</f>
        <v>2.0394152833841819</v>
      </c>
      <c r="D108" s="41">
        <f t="shared" ca="1" si="57"/>
        <v>17226.348438746474</v>
      </c>
      <c r="E108" s="41">
        <f t="shared" ref="E108:E117" ca="1" si="64">E107+AO107</f>
        <v>505.63557290663681</v>
      </c>
      <c r="F108" s="41">
        <f t="shared" ref="F108:F117" ca="1" si="65">F107+AO107</f>
        <v>505.63557290663681</v>
      </c>
      <c r="G108" s="41"/>
      <c r="H108" s="5">
        <v>0</v>
      </c>
      <c r="I108" s="5">
        <v>15</v>
      </c>
      <c r="J108" s="41">
        <f t="shared" si="52"/>
        <v>0.5998240516115273</v>
      </c>
      <c r="K108" s="41">
        <f t="shared" ref="K108:K117" si="66">K107+5</f>
        <v>675</v>
      </c>
      <c r="L108" s="6">
        <f t="shared" si="53"/>
        <v>114.97499999999995</v>
      </c>
      <c r="M108" s="41">
        <f t="shared" ref="M108:M117" si="67">K108*0.592484</f>
        <v>399.92669999999998</v>
      </c>
      <c r="N108" s="41">
        <f t="shared" ref="N108:N117" si="68">0.5*AV108*K108^2</f>
        <v>514.69448170769419</v>
      </c>
      <c r="O108" s="41">
        <f t="shared" ref="O108:O117" si="69">P108/$B$7</f>
        <v>3923852.6563248085</v>
      </c>
      <c r="P108" s="41">
        <f t="shared" ref="P108:P117" si="70">(AV108*K108*$B$7)/(AW108)</f>
        <v>25193891.282739203</v>
      </c>
      <c r="Q108" s="41">
        <f t="shared" ref="Q108:Q117" si="71">0.455/(LOG10(P108)^2.58 * (1+0.144*J108*J108)^0.65)</f>
        <v>2.5173193843988162E-3</v>
      </c>
      <c r="R108" s="41">
        <f t="shared" ref="R108:R117" si="72">(((Q108*$B$4)+$B$17)+(0.1*(Q108*$B$4)))</f>
        <v>2.0368234841754772E-2</v>
      </c>
      <c r="S108" s="24">
        <f t="shared" ref="S108:S117" ca="1" si="73">AJ108</f>
        <v>12.463913124115447</v>
      </c>
      <c r="T108" s="41">
        <f t="shared" ref="T108:T117" ca="1" si="74">(D108*COS(RADIANS(S108)))/(N108*$B$3)</f>
        <v>0.14208817730816178</v>
      </c>
      <c r="U108" s="41">
        <f t="shared" ref="U108:U117" ca="1" si="75">(W108)/(N108*$B$3)</f>
        <v>2.164330909756423E-2</v>
      </c>
      <c r="V108" s="41">
        <f t="shared" ref="V108:V117" ca="1" si="76">T108/U108</f>
        <v>6.5649932118814771</v>
      </c>
      <c r="W108" s="20">
        <f t="shared" ref="W108:W117" ca="1" si="77">(N108*$B$3*R108)+((N108*$B$3)*((T108^2)/(PI()*$B$6*$B$5)))</f>
        <v>2562.1291044343561</v>
      </c>
      <c r="X108" s="41">
        <f t="shared" ref="X108:X117" si="78">SQRT(PI()*$B$6*$B$5*R108)</f>
        <v>0.5678935046336242</v>
      </c>
      <c r="Y108" s="41">
        <f t="shared" ref="Y108:Y117" ca="1" si="79">SQRT((2*((T108*N108*$B$3)/(D108))*D108)/(AV108*$B$3*$B$18))</f>
        <v>175.57921260248918</v>
      </c>
      <c r="Z108" s="14">
        <f t="shared" ref="Z108:Z117" ca="1" si="80">(D108/(V108))</f>
        <v>2623.9704875200523</v>
      </c>
      <c r="AA108" s="14">
        <f t="shared" ref="AA108:AA117" si="81">$B$15*AR108</f>
        <v>6280</v>
      </c>
      <c r="AB108" s="25">
        <f t="shared" ref="AB108:AB117" ca="1" si="82">Z108*K108</f>
        <v>1771180.0790760354</v>
      </c>
      <c r="AC108" s="41">
        <f t="shared" ref="AC108:AC117" si="83">AA108*K108</f>
        <v>4239000</v>
      </c>
      <c r="AD108" s="5">
        <v>100</v>
      </c>
      <c r="AE108" s="41">
        <f t="shared" ref="AE108:AE117" si="84">AA108*(AD108/100)</f>
        <v>6280</v>
      </c>
      <c r="AF108" s="41">
        <f t="shared" ref="AF108:AF117" ca="1" si="85">AA108-Z108</f>
        <v>3656.0295124799477</v>
      </c>
      <c r="AG108" s="41">
        <f t="shared" ref="AG108:AG117" ca="1" si="86">AC108-AB108</f>
        <v>2467819.9209239646</v>
      </c>
      <c r="AH108" s="41">
        <f t="shared" ref="AH108:AH117" si="87">(AP108*AE108)</f>
        <v>4427.3999999999996</v>
      </c>
      <c r="AI108" s="13">
        <f t="shared" ref="AI108:AI117" ca="1" si="88">K108*SIN(RADIANS(AJ108))</f>
        <v>145.68164944708533</v>
      </c>
      <c r="AJ108" s="10">
        <f t="shared" ref="AJ108:AJ117" ca="1" si="89">DEGREES(ASIN(((AE108-W108)/(D108))))</f>
        <v>12.463913124115447</v>
      </c>
      <c r="AK108" s="11">
        <f t="shared" ca="1" si="60"/>
        <v>8740.8989668251197</v>
      </c>
      <c r="AL108" s="6">
        <v>10000</v>
      </c>
      <c r="AM108" s="41">
        <f t="shared" ref="AM108:AM117" ca="1" si="90">AL108/AI108</f>
        <v>68.6428252147997</v>
      </c>
      <c r="AN108" s="41">
        <f t="shared" ref="AN108:AN117" ca="1" si="91">AH108*(AM108/3600)</f>
        <v>84.419234543334497</v>
      </c>
      <c r="AO108" s="41">
        <f t="shared" ref="AO108:AO117" ca="1" si="92">M108*COS(RADIANS(AJ108))*(AM108/3600)</f>
        <v>7.4458642235335084</v>
      </c>
      <c r="AP108" s="67">
        <f t="shared" si="56"/>
        <v>0.70499999999999996</v>
      </c>
      <c r="AQ108" s="11">
        <f t="shared" ref="AQ108:AQ117" si="93">IF(H108 &lt;= 36089, ((1 - 6.87535*10^(-6)*H108) + ((I108*1.8)/518.67)), 0.75187 + ((I108*1.8)/518.67))</f>
        <v>1.0520562207183759</v>
      </c>
      <c r="AR108" s="11">
        <f t="shared" ref="AR108:AR117" si="94">IF(H108 &lt;= 36089, (1 - 6.87535*10^(-6)*H108)^5.2561, 0.22336*EXP((36089 - H108)/(20806.7)))</f>
        <v>1</v>
      </c>
      <c r="AS108" s="11">
        <f t="shared" ref="AS108:AS117" si="95">(AR108/AQ108)</f>
        <v>0.95051954477981193</v>
      </c>
      <c r="AT108" s="11">
        <f t="shared" ref="AT108:AT117" si="96">(518.67*AQ108)</f>
        <v>545.66999999999996</v>
      </c>
      <c r="AU108" s="11">
        <f t="shared" ref="AU108:AU117" si="97">2116.22*AR108</f>
        <v>2116.2199999999998</v>
      </c>
      <c r="AV108" s="11">
        <f t="shared" ref="AV108:AV117" si="98">(0.0023769*AS108)</f>
        <v>2.259289905987135E-3</v>
      </c>
      <c r="AW108" s="11">
        <f t="shared" ref="AW108:AW117" si="99">((2.2697*10^-8)*(AT108^1.5))/(AT108+198.72)</f>
        <v>3.8865391239478742E-7</v>
      </c>
      <c r="AX108" s="41">
        <f t="shared" ref="AX108:AX117" ca="1" si="100">AG108/D108</f>
        <v>143.2584467740827</v>
      </c>
      <c r="AY108" s="11">
        <f t="shared" ref="AY108:AY117" ca="1" si="101">SQRT(((D108/$B$3)/(3*AV108*R108))*((AE108/D108)+SQRT((AE108/D108)^2+12*R108*$B$8)))</f>
        <v>637.75647035440409</v>
      </c>
      <c r="AZ108" s="11"/>
      <c r="BA108" s="11"/>
    </row>
    <row r="109" spans="1:53" ht="14.5">
      <c r="A109" s="41">
        <f t="shared" ca="1" si="61"/>
        <v>7410.5378453978537</v>
      </c>
      <c r="B109" s="41">
        <f t="shared" ca="1" si="62"/>
        <v>123.50896408996422</v>
      </c>
      <c r="C109" s="41">
        <f t="shared" ca="1" si="63"/>
        <v>2.058482734832737</v>
      </c>
      <c r="D109" s="41">
        <f t="shared" ca="1" si="57"/>
        <v>17226.348438746474</v>
      </c>
      <c r="E109" s="41">
        <f t="shared" ca="1" si="64"/>
        <v>513.08143713017034</v>
      </c>
      <c r="F109" s="41">
        <f t="shared" ca="1" si="65"/>
        <v>513.08143713017034</v>
      </c>
      <c r="G109" s="41"/>
      <c r="H109" s="5">
        <v>0</v>
      </c>
      <c r="I109" s="5">
        <v>15</v>
      </c>
      <c r="J109" s="41">
        <f t="shared" si="52"/>
        <v>0.60426719273457563</v>
      </c>
      <c r="K109" s="41">
        <f t="shared" si="66"/>
        <v>680</v>
      </c>
      <c r="L109" s="6">
        <f t="shared" si="53"/>
        <v>116.20999999999995</v>
      </c>
      <c r="M109" s="41">
        <f t="shared" si="67"/>
        <v>402.88911999999999</v>
      </c>
      <c r="N109" s="41">
        <f t="shared" si="68"/>
        <v>522.34782626422566</v>
      </c>
      <c r="O109" s="41">
        <f t="shared" si="69"/>
        <v>3952918.231556844</v>
      </c>
      <c r="P109" s="41">
        <f t="shared" si="70"/>
        <v>25380512.69964838</v>
      </c>
      <c r="Q109" s="41">
        <f t="shared" si="71"/>
        <v>2.5133126249607669E-3</v>
      </c>
      <c r="R109" s="41">
        <f t="shared" si="72"/>
        <v>2.0343773575385481E-2</v>
      </c>
      <c r="S109" s="24">
        <f t="shared" ca="1" si="73"/>
        <v>12.358940184891617</v>
      </c>
      <c r="T109" s="41">
        <f t="shared" ca="1" si="74"/>
        <v>0.14006278955495416</v>
      </c>
      <c r="U109" s="41">
        <f t="shared" ca="1" si="75"/>
        <v>2.1582755967102442E-2</v>
      </c>
      <c r="V109" s="41">
        <f t="shared" ca="1" si="76"/>
        <v>6.4895692546607648</v>
      </c>
      <c r="W109" s="20">
        <f t="shared" ca="1" si="77"/>
        <v>2592.9523027676573</v>
      </c>
      <c r="X109" s="41">
        <f t="shared" si="78"/>
        <v>0.56755239585262518</v>
      </c>
      <c r="Y109" s="41">
        <f t="shared" ca="1" si="79"/>
        <v>175.61461308408195</v>
      </c>
      <c r="Z109" s="14">
        <f t="shared" ca="1" si="80"/>
        <v>2654.4671553315543</v>
      </c>
      <c r="AA109" s="14">
        <f t="shared" si="81"/>
        <v>6280</v>
      </c>
      <c r="AB109" s="25">
        <f t="shared" ca="1" si="82"/>
        <v>1805037.665625457</v>
      </c>
      <c r="AC109" s="41">
        <f t="shared" si="83"/>
        <v>4270400</v>
      </c>
      <c r="AD109" s="5">
        <v>100</v>
      </c>
      <c r="AE109" s="41">
        <f t="shared" si="84"/>
        <v>6280</v>
      </c>
      <c r="AF109" s="41">
        <f t="shared" ca="1" si="85"/>
        <v>3625.5328446684457</v>
      </c>
      <c r="AG109" s="41">
        <f t="shared" ca="1" si="86"/>
        <v>2465362.3343745433</v>
      </c>
      <c r="AH109" s="41">
        <f t="shared" si="87"/>
        <v>4427.3999999999996</v>
      </c>
      <c r="AI109" s="13">
        <f t="shared" ca="1" si="88"/>
        <v>145.54404510236623</v>
      </c>
      <c r="AJ109" s="10">
        <f t="shared" ca="1" si="89"/>
        <v>12.358940184891617</v>
      </c>
      <c r="AK109" s="11">
        <f t="shared" ca="1" si="60"/>
        <v>8732.6427061419745</v>
      </c>
      <c r="AL109" s="6">
        <v>10000</v>
      </c>
      <c r="AM109" s="41">
        <f t="shared" ca="1" si="90"/>
        <v>68.707723445274937</v>
      </c>
      <c r="AN109" s="41">
        <f t="shared" ca="1" si="91"/>
        <v>84.499048550447284</v>
      </c>
      <c r="AO109" s="41">
        <f t="shared" ca="1" si="92"/>
        <v>7.5111384903800911</v>
      </c>
      <c r="AP109" s="67">
        <f t="shared" si="56"/>
        <v>0.70499999999999996</v>
      </c>
      <c r="AQ109" s="11">
        <f t="shared" si="93"/>
        <v>1.0520562207183759</v>
      </c>
      <c r="AR109" s="11">
        <f t="shared" si="94"/>
        <v>1</v>
      </c>
      <c r="AS109" s="11">
        <f t="shared" si="95"/>
        <v>0.95051954477981193</v>
      </c>
      <c r="AT109" s="11">
        <f t="shared" si="96"/>
        <v>545.66999999999996</v>
      </c>
      <c r="AU109" s="11">
        <f t="shared" si="97"/>
        <v>2116.2199999999998</v>
      </c>
      <c r="AV109" s="11">
        <f t="shared" si="98"/>
        <v>2.259289905987135E-3</v>
      </c>
      <c r="AW109" s="11">
        <f t="shared" si="99"/>
        <v>3.8865391239478742E-7</v>
      </c>
      <c r="AX109" s="41">
        <f t="shared" ca="1" si="100"/>
        <v>143.11578238074597</v>
      </c>
      <c r="AY109" s="11">
        <f t="shared" ca="1" si="101"/>
        <v>638.12952983725302</v>
      </c>
      <c r="AZ109" s="11"/>
      <c r="BA109" s="11"/>
    </row>
    <row r="110" spans="1:53" ht="14.5">
      <c r="A110" s="41">
        <f t="shared" ca="1" si="61"/>
        <v>7479.2455688431282</v>
      </c>
      <c r="B110" s="41">
        <f t="shared" ca="1" si="62"/>
        <v>124.65409281405213</v>
      </c>
      <c r="C110" s="41">
        <f t="shared" ca="1" si="63"/>
        <v>2.0775682135675355</v>
      </c>
      <c r="D110" s="41">
        <f t="shared" ca="1" si="57"/>
        <v>17226.348438746474</v>
      </c>
      <c r="E110" s="41">
        <f t="shared" ca="1" si="64"/>
        <v>520.59257562055041</v>
      </c>
      <c r="F110" s="41">
        <f t="shared" ca="1" si="65"/>
        <v>520.59257562055041</v>
      </c>
      <c r="G110" s="41"/>
      <c r="H110" s="5">
        <v>0</v>
      </c>
      <c r="I110" s="5">
        <v>15</v>
      </c>
      <c r="J110" s="41">
        <f t="shared" si="52"/>
        <v>0.60871033385762408</v>
      </c>
      <c r="K110" s="41">
        <f t="shared" si="66"/>
        <v>685</v>
      </c>
      <c r="L110" s="6">
        <f t="shared" si="53"/>
        <v>117.44499999999995</v>
      </c>
      <c r="M110" s="41">
        <f t="shared" si="67"/>
        <v>405.85154</v>
      </c>
      <c r="N110" s="41">
        <f t="shared" si="68"/>
        <v>530.05765306840669</v>
      </c>
      <c r="O110" s="41">
        <f t="shared" si="69"/>
        <v>3981983.8067888794</v>
      </c>
      <c r="P110" s="41">
        <f t="shared" si="70"/>
        <v>25567134.116557561</v>
      </c>
      <c r="Q110" s="41">
        <f t="shared" si="71"/>
        <v>2.5093260476064042E-3</v>
      </c>
      <c r="R110" s="41">
        <f t="shared" si="72"/>
        <v>2.03194355206371E-2</v>
      </c>
      <c r="S110" s="24">
        <f t="shared" ca="1" si="73"/>
        <v>12.253200852512045</v>
      </c>
      <c r="T110" s="41">
        <f t="shared" ca="1" si="74"/>
        <v>0.13808111849145779</v>
      </c>
      <c r="U110" s="41">
        <f t="shared" ca="1" si="75"/>
        <v>2.1523606574751799E-2</v>
      </c>
      <c r="V110" s="41">
        <f t="shared" ca="1" si="76"/>
        <v>6.4153336947458159</v>
      </c>
      <c r="W110" s="20">
        <f t="shared" ca="1" si="77"/>
        <v>2624.0130489135536</v>
      </c>
      <c r="X110" s="41">
        <f t="shared" si="78"/>
        <v>0.56721280165198495</v>
      </c>
      <c r="Y110" s="41">
        <f t="shared" ca="1" si="79"/>
        <v>175.64996689053172</v>
      </c>
      <c r="Z110" s="14">
        <f t="shared" ca="1" si="80"/>
        <v>2685.1835396894353</v>
      </c>
      <c r="AA110" s="14">
        <f t="shared" si="81"/>
        <v>6280</v>
      </c>
      <c r="AB110" s="25">
        <f t="shared" ca="1" si="82"/>
        <v>1839350.7246872631</v>
      </c>
      <c r="AC110" s="41">
        <f t="shared" si="83"/>
        <v>4301800</v>
      </c>
      <c r="AD110" s="5">
        <v>100</v>
      </c>
      <c r="AE110" s="41">
        <f t="shared" si="84"/>
        <v>6280</v>
      </c>
      <c r="AF110" s="41">
        <f t="shared" ca="1" si="85"/>
        <v>3594.8164603105647</v>
      </c>
      <c r="AG110" s="41">
        <f t="shared" ca="1" si="86"/>
        <v>2462449.2753127366</v>
      </c>
      <c r="AH110" s="41">
        <f t="shared" si="87"/>
        <v>4427.3999999999996</v>
      </c>
      <c r="AI110" s="13">
        <f t="shared" ca="1" si="88"/>
        <v>145.3791016940821</v>
      </c>
      <c r="AJ110" s="10">
        <f t="shared" ca="1" si="89"/>
        <v>12.253200852512045</v>
      </c>
      <c r="AK110" s="11">
        <f t="shared" ca="1" si="60"/>
        <v>8722.7461016449251</v>
      </c>
      <c r="AL110" s="6">
        <v>10000</v>
      </c>
      <c r="AM110" s="41">
        <f t="shared" ca="1" si="90"/>
        <v>68.785677469948681</v>
      </c>
      <c r="AN110" s="41">
        <f t="shared" ca="1" si="91"/>
        <v>84.594919008458533</v>
      </c>
      <c r="AO110" s="41">
        <f t="shared" ca="1" si="92"/>
        <v>7.5780022624217773</v>
      </c>
      <c r="AP110" s="67">
        <f t="shared" si="56"/>
        <v>0.70499999999999996</v>
      </c>
      <c r="AQ110" s="11">
        <f t="shared" si="93"/>
        <v>1.0520562207183759</v>
      </c>
      <c r="AR110" s="11">
        <f t="shared" si="94"/>
        <v>1</v>
      </c>
      <c r="AS110" s="11">
        <f t="shared" si="95"/>
        <v>0.95051954477981193</v>
      </c>
      <c r="AT110" s="11">
        <f t="shared" si="96"/>
        <v>545.66999999999996</v>
      </c>
      <c r="AU110" s="11">
        <f t="shared" si="97"/>
        <v>2116.2199999999998</v>
      </c>
      <c r="AV110" s="11">
        <f t="shared" si="98"/>
        <v>2.259289905987135E-3</v>
      </c>
      <c r="AW110" s="11">
        <f t="shared" si="99"/>
        <v>3.8865391239478742E-7</v>
      </c>
      <c r="AX110" s="41">
        <f t="shared" ca="1" si="100"/>
        <v>142.94667753115087</v>
      </c>
      <c r="AY110" s="11">
        <f t="shared" ca="1" si="101"/>
        <v>638.5013839062533</v>
      </c>
      <c r="AZ110" s="11"/>
      <c r="BA110" s="11"/>
    </row>
    <row r="111" spans="1:53" ht="14.5">
      <c r="A111" s="41">
        <f t="shared" ca="1" si="61"/>
        <v>7548.0312463130767</v>
      </c>
      <c r="B111" s="41">
        <f t="shared" ca="1" si="62"/>
        <v>125.80052077188461</v>
      </c>
      <c r="C111" s="41">
        <f t="shared" ca="1" si="63"/>
        <v>2.0966753461980767</v>
      </c>
      <c r="D111" s="41">
        <f t="shared" ca="1" si="57"/>
        <v>17226.348438746474</v>
      </c>
      <c r="E111" s="41">
        <f t="shared" ca="1" si="64"/>
        <v>528.17057788297222</v>
      </c>
      <c r="F111" s="41">
        <f t="shared" ca="1" si="65"/>
        <v>528.17057788297222</v>
      </c>
      <c r="G111" s="41"/>
      <c r="H111" s="5">
        <v>0</v>
      </c>
      <c r="I111" s="5">
        <v>15</v>
      </c>
      <c r="J111" s="41">
        <f t="shared" si="52"/>
        <v>0.61315347498067241</v>
      </c>
      <c r="K111" s="41">
        <f t="shared" si="66"/>
        <v>690</v>
      </c>
      <c r="L111" s="6">
        <f t="shared" si="53"/>
        <v>118.67999999999995</v>
      </c>
      <c r="M111" s="41">
        <f t="shared" si="67"/>
        <v>408.81396000000001</v>
      </c>
      <c r="N111" s="41">
        <f t="shared" si="68"/>
        <v>537.82396212023752</v>
      </c>
      <c r="O111" s="41">
        <f t="shared" si="69"/>
        <v>4011049.3820209159</v>
      </c>
      <c r="P111" s="41">
        <f t="shared" si="70"/>
        <v>25753755.533466745</v>
      </c>
      <c r="Q111" s="41">
        <f t="shared" si="71"/>
        <v>2.5053592692938606E-3</v>
      </c>
      <c r="R111" s="41">
        <f t="shared" si="72"/>
        <v>2.0295218339039019E-2</v>
      </c>
      <c r="S111" s="24">
        <f t="shared" ca="1" si="73"/>
        <v>12.14670211679787</v>
      </c>
      <c r="T111" s="41">
        <f t="shared" ca="1" si="74"/>
        <v>0.13614189455964767</v>
      </c>
      <c r="U111" s="41">
        <f t="shared" ca="1" si="75"/>
        <v>2.1465803921522243E-2</v>
      </c>
      <c r="V111" s="41">
        <f t="shared" ca="1" si="76"/>
        <v>6.3422686174426399</v>
      </c>
      <c r="W111" s="20">
        <f t="shared" ca="1" si="77"/>
        <v>2655.3094544889218</v>
      </c>
      <c r="X111" s="41">
        <f t="shared" si="78"/>
        <v>0.56687469209526908</v>
      </c>
      <c r="Y111" s="41">
        <f t="shared" ca="1" si="79"/>
        <v>175.68526512169458</v>
      </c>
      <c r="Z111" s="14">
        <f t="shared" ca="1" si="80"/>
        <v>2716.1177612960464</v>
      </c>
      <c r="AA111" s="14">
        <f t="shared" si="81"/>
        <v>6280</v>
      </c>
      <c r="AB111" s="25">
        <f t="shared" ca="1" si="82"/>
        <v>1874121.255294272</v>
      </c>
      <c r="AC111" s="41">
        <f t="shared" si="83"/>
        <v>4333200</v>
      </c>
      <c r="AD111" s="5">
        <v>100</v>
      </c>
      <c r="AE111" s="41">
        <f t="shared" si="84"/>
        <v>6280</v>
      </c>
      <c r="AF111" s="41">
        <f t="shared" ca="1" si="85"/>
        <v>3563.8822387039536</v>
      </c>
      <c r="AG111" s="41">
        <f t="shared" ca="1" si="86"/>
        <v>2459078.7447057283</v>
      </c>
      <c r="AH111" s="41">
        <f t="shared" si="87"/>
        <v>4427.3999999999996</v>
      </c>
      <c r="AI111" s="13">
        <f t="shared" ca="1" si="88"/>
        <v>145.18668801434271</v>
      </c>
      <c r="AJ111" s="10">
        <f t="shared" ca="1" si="89"/>
        <v>12.14670211679787</v>
      </c>
      <c r="AK111" s="11">
        <f t="shared" ca="1" si="60"/>
        <v>8711.2012808605632</v>
      </c>
      <c r="AL111" s="6">
        <v>10000</v>
      </c>
      <c r="AM111" s="41">
        <f t="shared" ca="1" si="90"/>
        <v>68.876838068047391</v>
      </c>
      <c r="AN111" s="41">
        <f t="shared" ca="1" si="91"/>
        <v>84.707031350686947</v>
      </c>
      <c r="AO111" s="41">
        <f t="shared" ca="1" si="92"/>
        <v>7.6465047872193477</v>
      </c>
      <c r="AP111" s="67">
        <f t="shared" si="56"/>
        <v>0.70499999999999996</v>
      </c>
      <c r="AQ111" s="11">
        <f t="shared" si="93"/>
        <v>1.0520562207183759</v>
      </c>
      <c r="AR111" s="11">
        <f t="shared" si="94"/>
        <v>1</v>
      </c>
      <c r="AS111" s="11">
        <f t="shared" si="95"/>
        <v>0.95051954477981193</v>
      </c>
      <c r="AT111" s="11">
        <f t="shared" si="96"/>
        <v>545.66999999999996</v>
      </c>
      <c r="AU111" s="11">
        <f t="shared" si="97"/>
        <v>2116.2199999999998</v>
      </c>
      <c r="AV111" s="11">
        <f t="shared" si="98"/>
        <v>2.259289905987135E-3</v>
      </c>
      <c r="AW111" s="11">
        <f t="shared" si="99"/>
        <v>3.8865391239478742E-7</v>
      </c>
      <c r="AX111" s="41">
        <f t="shared" ca="1" si="100"/>
        <v>142.75101618022714</v>
      </c>
      <c r="AY111" s="11">
        <f t="shared" ca="1" si="101"/>
        <v>638.87206018442282</v>
      </c>
      <c r="AZ111" s="11"/>
      <c r="BA111" s="11"/>
    </row>
    <row r="112" spans="1:53" ht="14.5">
      <c r="A112" s="41">
        <f t="shared" ca="1" si="61"/>
        <v>7616.9080843811244</v>
      </c>
      <c r="B112" s="41">
        <f t="shared" ca="1" si="62"/>
        <v>126.94846807301874</v>
      </c>
      <c r="C112" s="41">
        <f t="shared" ca="1" si="63"/>
        <v>2.1158078012169792</v>
      </c>
      <c r="D112" s="41">
        <f t="shared" ca="1" si="57"/>
        <v>17226.348438746474</v>
      </c>
      <c r="E112" s="41">
        <f t="shared" ca="1" si="64"/>
        <v>535.81708267019155</v>
      </c>
      <c r="F112" s="41">
        <f t="shared" ca="1" si="65"/>
        <v>535.81708267019155</v>
      </c>
      <c r="G112" s="41"/>
      <c r="H112" s="5">
        <v>0</v>
      </c>
      <c r="I112" s="5">
        <v>15</v>
      </c>
      <c r="J112" s="41">
        <f t="shared" si="52"/>
        <v>0.61759661610372074</v>
      </c>
      <c r="K112" s="41">
        <f t="shared" si="66"/>
        <v>695</v>
      </c>
      <c r="L112" s="6">
        <f t="shared" si="53"/>
        <v>119.91499999999995</v>
      </c>
      <c r="M112" s="41">
        <f t="shared" si="67"/>
        <v>411.77638000000002</v>
      </c>
      <c r="N112" s="41">
        <f t="shared" si="68"/>
        <v>545.64675341971792</v>
      </c>
      <c r="O112" s="41">
        <f t="shared" si="69"/>
        <v>4040114.9572529513</v>
      </c>
      <c r="P112" s="41">
        <f t="shared" si="70"/>
        <v>25940376.950375922</v>
      </c>
      <c r="Q112" s="41">
        <f t="shared" si="71"/>
        <v>2.5014119166400796E-3</v>
      </c>
      <c r="R112" s="41">
        <f t="shared" si="72"/>
        <v>2.0271119751087686E-2</v>
      </c>
      <c r="S112" s="24">
        <f t="shared" ca="1" si="73"/>
        <v>12.039450785359293</v>
      </c>
      <c r="T112" s="41">
        <f t="shared" ca="1" si="74"/>
        <v>0.13424389399015715</v>
      </c>
      <c r="U112" s="41">
        <f t="shared" ca="1" si="75"/>
        <v>2.1409293784309998E-2</v>
      </c>
      <c r="V112" s="41">
        <f t="shared" ca="1" si="76"/>
        <v>6.2703560118614963</v>
      </c>
      <c r="W112" s="20">
        <f t="shared" ca="1" si="77"/>
        <v>2686.8396786760704</v>
      </c>
      <c r="X112" s="41">
        <f t="shared" si="78"/>
        <v>0.5665380379867555</v>
      </c>
      <c r="Y112" s="41">
        <f t="shared" ca="1" si="79"/>
        <v>175.72049897303177</v>
      </c>
      <c r="Z112" s="14">
        <f t="shared" ca="1" si="80"/>
        <v>2747.2680029905423</v>
      </c>
      <c r="AA112" s="14">
        <f t="shared" si="81"/>
        <v>6280</v>
      </c>
      <c r="AB112" s="25">
        <f t="shared" ca="1" si="82"/>
        <v>1909351.262078427</v>
      </c>
      <c r="AC112" s="41">
        <f t="shared" si="83"/>
        <v>4364600</v>
      </c>
      <c r="AD112" s="5">
        <v>100</v>
      </c>
      <c r="AE112" s="41">
        <f t="shared" si="84"/>
        <v>6280</v>
      </c>
      <c r="AF112" s="41">
        <f t="shared" ca="1" si="85"/>
        <v>3532.7319970094577</v>
      </c>
      <c r="AG112" s="41">
        <f t="shared" ca="1" si="86"/>
        <v>2455248.7379215732</v>
      </c>
      <c r="AH112" s="41">
        <f t="shared" si="87"/>
        <v>4427.3999999999996</v>
      </c>
      <c r="AI112" s="13">
        <f t="shared" ca="1" si="88"/>
        <v>144.96667312865816</v>
      </c>
      <c r="AJ112" s="10">
        <f t="shared" ca="1" si="89"/>
        <v>12.039450785359293</v>
      </c>
      <c r="AK112" s="11">
        <f t="shared" ca="1" si="60"/>
        <v>8698.0003877194904</v>
      </c>
      <c r="AL112" s="6">
        <v>10000</v>
      </c>
      <c r="AM112" s="41">
        <f t="shared" ca="1" si="90"/>
        <v>68.981371953848893</v>
      </c>
      <c r="AN112" s="41">
        <f t="shared" ca="1" si="91"/>
        <v>84.835590607908486</v>
      </c>
      <c r="AO112" s="41">
        <f t="shared" ca="1" si="92"/>
        <v>7.7166976341184244</v>
      </c>
      <c r="AP112" s="67">
        <f t="shared" si="56"/>
        <v>0.70499999999999996</v>
      </c>
      <c r="AQ112" s="11">
        <f t="shared" si="93"/>
        <v>1.0520562207183759</v>
      </c>
      <c r="AR112" s="11">
        <f t="shared" si="94"/>
        <v>1</v>
      </c>
      <c r="AS112" s="11">
        <f t="shared" si="95"/>
        <v>0.95051954477981193</v>
      </c>
      <c r="AT112" s="11">
        <f t="shared" si="96"/>
        <v>545.66999999999996</v>
      </c>
      <c r="AU112" s="11">
        <f t="shared" si="97"/>
        <v>2116.2199999999998</v>
      </c>
      <c r="AV112" s="11">
        <f t="shared" si="98"/>
        <v>2.259289905987135E-3</v>
      </c>
      <c r="AW112" s="11">
        <f t="shared" si="99"/>
        <v>3.8865391239478742E-7</v>
      </c>
      <c r="AX112" s="41">
        <f t="shared" ca="1" si="100"/>
        <v>142.52868195787156</v>
      </c>
      <c r="AY112" s="11">
        <f t="shared" ca="1" si="101"/>
        <v>639.24158564647496</v>
      </c>
      <c r="AZ112" s="11"/>
      <c r="BA112" s="11"/>
    </row>
    <row r="113" spans="1:53" ht="14.5">
      <c r="A113" s="41">
        <f t="shared" ca="1" si="61"/>
        <v>7685.8894563349731</v>
      </c>
      <c r="B113" s="41">
        <f t="shared" ca="1" si="62"/>
        <v>128.09815760558288</v>
      </c>
      <c r="C113" s="41">
        <f t="shared" ca="1" si="63"/>
        <v>2.1349692934263813</v>
      </c>
      <c r="D113" s="41">
        <f t="shared" ca="1" si="57"/>
        <v>17226.348438746474</v>
      </c>
      <c r="E113" s="41">
        <f t="shared" ca="1" si="64"/>
        <v>543.53378030430997</v>
      </c>
      <c r="F113" s="41">
        <f t="shared" ca="1" si="65"/>
        <v>543.53378030430997</v>
      </c>
      <c r="G113" s="41"/>
      <c r="H113" s="5">
        <v>0</v>
      </c>
      <c r="I113" s="5">
        <v>15</v>
      </c>
      <c r="J113" s="41">
        <f t="shared" si="52"/>
        <v>0.62203975722676907</v>
      </c>
      <c r="K113" s="41">
        <f t="shared" si="66"/>
        <v>700</v>
      </c>
      <c r="L113" s="6">
        <f t="shared" si="53"/>
        <v>121.14999999999995</v>
      </c>
      <c r="M113" s="41">
        <f t="shared" si="67"/>
        <v>414.73880000000003</v>
      </c>
      <c r="N113" s="41">
        <f t="shared" si="68"/>
        <v>553.52602696684812</v>
      </c>
      <c r="O113" s="41">
        <f t="shared" si="69"/>
        <v>4069180.5324849868</v>
      </c>
      <c r="P113" s="41">
        <f t="shared" si="70"/>
        <v>26126998.367285103</v>
      </c>
      <c r="Q113" s="41">
        <f t="shared" si="71"/>
        <v>2.4974836256276239E-3</v>
      </c>
      <c r="R113" s="41">
        <f t="shared" si="72"/>
        <v>2.0247137534456644E-2</v>
      </c>
      <c r="S113" s="24">
        <f t="shared" ca="1" si="73"/>
        <v>11.93145349067724</v>
      </c>
      <c r="T113" s="41">
        <f t="shared" ca="1" si="74"/>
        <v>0.132385936833606</v>
      </c>
      <c r="U113" s="41">
        <f t="shared" ca="1" si="75"/>
        <v>2.1354024560403896E-2</v>
      </c>
      <c r="V113" s="41">
        <f t="shared" ca="1" si="76"/>
        <v>6.1995778106898465</v>
      </c>
      <c r="W113" s="20">
        <f t="shared" ca="1" si="77"/>
        <v>2718.6019261747588</v>
      </c>
      <c r="X113" s="41">
        <f t="shared" si="78"/>
        <v>0.56620281084937629</v>
      </c>
      <c r="Y113" s="41">
        <f t="shared" ca="1" si="79"/>
        <v>175.75565973203081</v>
      </c>
      <c r="Z113" s="14">
        <f t="shared" ca="1" si="80"/>
        <v>2778.6325076916237</v>
      </c>
      <c r="AA113" s="14">
        <f t="shared" si="81"/>
        <v>6280</v>
      </c>
      <c r="AB113" s="25">
        <f t="shared" ca="1" si="82"/>
        <v>1945042.7553841367</v>
      </c>
      <c r="AC113" s="41">
        <f t="shared" si="83"/>
        <v>4396000</v>
      </c>
      <c r="AD113" s="5">
        <v>100</v>
      </c>
      <c r="AE113" s="41">
        <f t="shared" si="84"/>
        <v>6280</v>
      </c>
      <c r="AF113" s="41">
        <f t="shared" ca="1" si="85"/>
        <v>3501.3674923083763</v>
      </c>
      <c r="AG113" s="41">
        <f t="shared" ca="1" si="86"/>
        <v>2450957.2446158631</v>
      </c>
      <c r="AH113" s="41">
        <f t="shared" si="87"/>
        <v>4427.3999999999996</v>
      </c>
      <c r="AI113" s="13">
        <f t="shared" ca="1" si="88"/>
        <v>144.71892639012924</v>
      </c>
      <c r="AJ113" s="10">
        <f t="shared" ca="1" si="89"/>
        <v>11.93145349067724</v>
      </c>
      <c r="AK113" s="11">
        <f t="shared" ca="1" si="60"/>
        <v>8683.1355834077549</v>
      </c>
      <c r="AL113" s="6">
        <v>10000</v>
      </c>
      <c r="AM113" s="41">
        <f t="shared" ca="1" si="90"/>
        <v>69.099462312498645</v>
      </c>
      <c r="AN113" s="41">
        <f t="shared" ca="1" si="91"/>
        <v>84.980822067321242</v>
      </c>
      <c r="AO113" s="41">
        <f t="shared" ca="1" si="92"/>
        <v>7.7886348214387793</v>
      </c>
      <c r="AP113" s="67">
        <f t="shared" si="56"/>
        <v>0.70499999999999996</v>
      </c>
      <c r="AQ113" s="11">
        <f t="shared" si="93"/>
        <v>1.0520562207183759</v>
      </c>
      <c r="AR113" s="11">
        <f t="shared" si="94"/>
        <v>1</v>
      </c>
      <c r="AS113" s="11">
        <f t="shared" si="95"/>
        <v>0.95051954477981193</v>
      </c>
      <c r="AT113" s="11">
        <f t="shared" si="96"/>
        <v>545.66999999999996</v>
      </c>
      <c r="AU113" s="11">
        <f t="shared" si="97"/>
        <v>2116.2199999999998</v>
      </c>
      <c r="AV113" s="11">
        <f t="shared" si="98"/>
        <v>2.259289905987135E-3</v>
      </c>
      <c r="AW113" s="11">
        <f t="shared" si="99"/>
        <v>3.8865391239478742E-7</v>
      </c>
      <c r="AX113" s="41">
        <f t="shared" ca="1" si="100"/>
        <v>142.27955816236897</v>
      </c>
      <c r="AY113" s="11">
        <f t="shared" ca="1" si="101"/>
        <v>639.60998663733608</v>
      </c>
      <c r="AZ113" s="11"/>
      <c r="BA113" s="11"/>
    </row>
    <row r="114" spans="1:53" ht="14.5">
      <c r="A114" s="41">
        <f t="shared" ca="1" si="61"/>
        <v>7754.988918647472</v>
      </c>
      <c r="B114" s="41">
        <f t="shared" ca="1" si="62"/>
        <v>129.24981531079121</v>
      </c>
      <c r="C114" s="41">
        <f t="shared" ca="1" si="63"/>
        <v>2.1541635885131867</v>
      </c>
      <c r="D114" s="41">
        <f t="shared" ca="1" si="57"/>
        <v>17226.348438746474</v>
      </c>
      <c r="E114" s="41">
        <f t="shared" ca="1" si="64"/>
        <v>551.32241512574876</v>
      </c>
      <c r="F114" s="41">
        <f t="shared" ca="1" si="65"/>
        <v>551.32241512574876</v>
      </c>
      <c r="G114" s="41"/>
      <c r="H114" s="5">
        <v>0</v>
      </c>
      <c r="I114" s="5">
        <v>15</v>
      </c>
      <c r="J114" s="41">
        <f t="shared" si="52"/>
        <v>0.62648289834981741</v>
      </c>
      <c r="K114" s="41">
        <f t="shared" si="66"/>
        <v>705</v>
      </c>
      <c r="L114" s="6">
        <f t="shared" si="53"/>
        <v>122.38499999999995</v>
      </c>
      <c r="M114" s="41">
        <f t="shared" si="67"/>
        <v>417.70122000000003</v>
      </c>
      <c r="N114" s="41">
        <f t="shared" si="68"/>
        <v>561.46178276162789</v>
      </c>
      <c r="O114" s="41">
        <f t="shared" si="69"/>
        <v>4098246.1077170223</v>
      </c>
      <c r="P114" s="41">
        <f t="shared" si="70"/>
        <v>26313619.784194279</v>
      </c>
      <c r="Q114" s="41">
        <f t="shared" si="71"/>
        <v>2.493574041322374E-3</v>
      </c>
      <c r="R114" s="41">
        <f t="shared" si="72"/>
        <v>2.0223269522273095E-2</v>
      </c>
      <c r="S114" s="24">
        <f t="shared" ca="1" si="73"/>
        <v>11.82271669682455</v>
      </c>
      <c r="T114" s="41">
        <f t="shared" ca="1" si="74"/>
        <v>0.13056688509004383</v>
      </c>
      <c r="U114" s="41">
        <f t="shared" ca="1" si="75"/>
        <v>2.1299947121790293E-2</v>
      </c>
      <c r="V114" s="41">
        <f t="shared" ca="1" si="76"/>
        <v>6.1299159262452427</v>
      </c>
      <c r="W114" s="20">
        <f t="shared" ca="1" si="77"/>
        <v>2750.59444525762</v>
      </c>
      <c r="X114" s="41">
        <f t="shared" si="78"/>
        <v>0.56586898290346954</v>
      </c>
      <c r="Y114" s="41">
        <f t="shared" ca="1" si="79"/>
        <v>175.7907387748001</v>
      </c>
      <c r="Z114" s="14">
        <f t="shared" ca="1" si="80"/>
        <v>2810.2095764465289</v>
      </c>
      <c r="AA114" s="14">
        <f t="shared" si="81"/>
        <v>6280</v>
      </c>
      <c r="AB114" s="25">
        <f t="shared" ca="1" si="82"/>
        <v>1981197.7513948029</v>
      </c>
      <c r="AC114" s="41">
        <f t="shared" si="83"/>
        <v>4427400</v>
      </c>
      <c r="AD114" s="5">
        <v>100</v>
      </c>
      <c r="AE114" s="41">
        <f t="shared" si="84"/>
        <v>6280</v>
      </c>
      <c r="AF114" s="41">
        <f t="shared" ca="1" si="85"/>
        <v>3469.7904235534711</v>
      </c>
      <c r="AG114" s="41">
        <f t="shared" ca="1" si="86"/>
        <v>2446202.2486051973</v>
      </c>
      <c r="AH114" s="41">
        <f t="shared" si="87"/>
        <v>4427.3999999999996</v>
      </c>
      <c r="AI114" s="13">
        <f t="shared" ca="1" si="88"/>
        <v>144.44331745297271</v>
      </c>
      <c r="AJ114" s="10">
        <f t="shared" ca="1" si="89"/>
        <v>11.82271669682455</v>
      </c>
      <c r="AK114" s="11">
        <f t="shared" ca="1" si="60"/>
        <v>8666.5990471783625</v>
      </c>
      <c r="AL114" s="6">
        <v>10000</v>
      </c>
      <c r="AM114" s="41">
        <f t="shared" ca="1" si="90"/>
        <v>69.23130939065949</v>
      </c>
      <c r="AN114" s="41">
        <f t="shared" ca="1" si="91"/>
        <v>85.142971998946052</v>
      </c>
      <c r="AO114" s="41">
        <f t="shared" ca="1" si="92"/>
        <v>7.8623729526766724</v>
      </c>
      <c r="AP114" s="67">
        <f t="shared" si="56"/>
        <v>0.70499999999999996</v>
      </c>
      <c r="AQ114" s="11">
        <f t="shared" si="93"/>
        <v>1.0520562207183759</v>
      </c>
      <c r="AR114" s="11">
        <f t="shared" si="94"/>
        <v>1</v>
      </c>
      <c r="AS114" s="11">
        <f t="shared" si="95"/>
        <v>0.95051954477981193</v>
      </c>
      <c r="AT114" s="11">
        <f t="shared" si="96"/>
        <v>545.66999999999996</v>
      </c>
      <c r="AU114" s="11">
        <f t="shared" si="97"/>
        <v>2116.2199999999998</v>
      </c>
      <c r="AV114" s="11">
        <f t="shared" si="98"/>
        <v>2.259289905987135E-3</v>
      </c>
      <c r="AW114" s="11">
        <f t="shared" si="99"/>
        <v>3.8865391239478742E-7</v>
      </c>
      <c r="AX114" s="41">
        <f t="shared" ca="1" si="100"/>
        <v>142.00352775304725</v>
      </c>
      <c r="AY114" s="11">
        <f t="shared" ca="1" si="101"/>
        <v>639.97728889000257</v>
      </c>
      <c r="AZ114" s="11"/>
      <c r="BA114" s="11"/>
    </row>
    <row r="115" spans="1:53" ht="14.5">
      <c r="A115" s="41">
        <f t="shared" ca="1" si="61"/>
        <v>7824.2202280381316</v>
      </c>
      <c r="B115" s="41">
        <f t="shared" ca="1" si="62"/>
        <v>130.40367046730219</v>
      </c>
      <c r="C115" s="41">
        <f t="shared" ca="1" si="63"/>
        <v>2.1733945077883701</v>
      </c>
      <c r="D115" s="41">
        <f t="shared" ca="1" si="57"/>
        <v>17226.348438746474</v>
      </c>
      <c r="E115" s="41">
        <f t="shared" ca="1" si="64"/>
        <v>559.18478807842541</v>
      </c>
      <c r="F115" s="41">
        <f t="shared" ca="1" si="65"/>
        <v>559.18478807842541</v>
      </c>
      <c r="G115" s="41"/>
      <c r="H115" s="5">
        <v>0</v>
      </c>
      <c r="I115" s="5">
        <v>15</v>
      </c>
      <c r="J115" s="41">
        <f t="shared" si="52"/>
        <v>0.63092603947286574</v>
      </c>
      <c r="K115" s="41">
        <f t="shared" si="66"/>
        <v>710</v>
      </c>
      <c r="L115" s="6">
        <f t="shared" si="53"/>
        <v>123.61999999999995</v>
      </c>
      <c r="M115" s="41">
        <f t="shared" si="67"/>
        <v>420.66363999999999</v>
      </c>
      <c r="N115" s="41">
        <f t="shared" si="68"/>
        <v>569.45402080405734</v>
      </c>
      <c r="O115" s="41">
        <f t="shared" si="69"/>
        <v>4127311.6829490582</v>
      </c>
      <c r="P115" s="41">
        <f t="shared" si="70"/>
        <v>26500241.20110346</v>
      </c>
      <c r="Q115" s="41">
        <f t="shared" si="71"/>
        <v>2.4896828176016045E-3</v>
      </c>
      <c r="R115" s="41">
        <f t="shared" si="72"/>
        <v>2.0199513601457796E-2</v>
      </c>
      <c r="S115" s="24">
        <f t="shared" ca="1" si="73"/>
        <v>11.713246705847189</v>
      </c>
      <c r="T115" s="41">
        <f t="shared" ca="1" si="74"/>
        <v>0.12878564093095538</v>
      </c>
      <c r="U115" s="41">
        <f t="shared" ca="1" si="75"/>
        <v>2.1247014678572661E-2</v>
      </c>
      <c r="V115" s="41">
        <f t="shared" ca="1" si="76"/>
        <v>6.0613522830966939</v>
      </c>
      <c r="W115" s="20">
        <f t="shared" ca="1" si="77"/>
        <v>2782.8155259230866</v>
      </c>
      <c r="X115" s="41">
        <f t="shared" si="78"/>
        <v>0.56553652704630109</v>
      </c>
      <c r="Y115" s="41">
        <f t="shared" ca="1" si="79"/>
        <v>175.8257275628269</v>
      </c>
      <c r="Z115" s="14">
        <f t="shared" ca="1" si="80"/>
        <v>2841.9975665802544</v>
      </c>
      <c r="AA115" s="14">
        <f t="shared" si="81"/>
        <v>6280</v>
      </c>
      <c r="AB115" s="25">
        <f t="shared" ca="1" si="82"/>
        <v>2017818.2722719808</v>
      </c>
      <c r="AC115" s="41">
        <f t="shared" si="83"/>
        <v>4458800</v>
      </c>
      <c r="AD115" s="5">
        <v>100</v>
      </c>
      <c r="AE115" s="41">
        <f t="shared" si="84"/>
        <v>6280</v>
      </c>
      <c r="AF115" s="41">
        <f t="shared" ca="1" si="85"/>
        <v>3438.0024334197456</v>
      </c>
      <c r="AG115" s="41">
        <f t="shared" ca="1" si="86"/>
        <v>2440981.7277280195</v>
      </c>
      <c r="AH115" s="41">
        <f t="shared" si="87"/>
        <v>4427.3999999999996</v>
      </c>
      <c r="AI115" s="13">
        <f t="shared" ca="1" si="88"/>
        <v>144.13971628541447</v>
      </c>
      <c r="AJ115" s="10">
        <f t="shared" ca="1" si="89"/>
        <v>11.713246705847189</v>
      </c>
      <c r="AK115" s="11">
        <f t="shared" ca="1" si="60"/>
        <v>8648.3829771248675</v>
      </c>
      <c r="AL115" s="6">
        <v>10000</v>
      </c>
      <c r="AM115" s="41">
        <f t="shared" ca="1" si="90"/>
        <v>69.377131145441993</v>
      </c>
      <c r="AN115" s="41">
        <f t="shared" ca="1" si="91"/>
        <v>85.322308453702746</v>
      </c>
      <c r="AO115" s="41">
        <f t="shared" ca="1" si="92"/>
        <v>7.9379713624385779</v>
      </c>
      <c r="AP115" s="67">
        <f t="shared" si="56"/>
        <v>0.70499999999999996</v>
      </c>
      <c r="AQ115" s="11">
        <f t="shared" si="93"/>
        <v>1.0520562207183759</v>
      </c>
      <c r="AR115" s="11">
        <f t="shared" si="94"/>
        <v>1</v>
      </c>
      <c r="AS115" s="11">
        <f t="shared" si="95"/>
        <v>0.95051954477981193</v>
      </c>
      <c r="AT115" s="11">
        <f t="shared" si="96"/>
        <v>545.66999999999996</v>
      </c>
      <c r="AU115" s="11">
        <f t="shared" si="97"/>
        <v>2116.2199999999998</v>
      </c>
      <c r="AV115" s="11">
        <f t="shared" si="98"/>
        <v>2.259289905987135E-3</v>
      </c>
      <c r="AW115" s="11">
        <f t="shared" si="99"/>
        <v>3.8865391239478742E-7</v>
      </c>
      <c r="AX115" s="41">
        <f t="shared" ca="1" si="100"/>
        <v>141.70047334219862</v>
      </c>
      <c r="AY115" s="11">
        <f t="shared" ca="1" si="101"/>
        <v>640.3435175427669</v>
      </c>
      <c r="AZ115" s="11"/>
      <c r="BA115" s="11"/>
    </row>
    <row r="116" spans="1:53" ht="14.5">
      <c r="A116" s="41">
        <f t="shared" ca="1" si="61"/>
        <v>7893.5973591835736</v>
      </c>
      <c r="B116" s="41">
        <f t="shared" ca="1" si="62"/>
        <v>131.55995598639291</v>
      </c>
      <c r="C116" s="41">
        <f t="shared" ca="1" si="63"/>
        <v>2.1926659331065483</v>
      </c>
      <c r="D116" s="41">
        <f t="shared" ca="1" si="57"/>
        <v>17226.348438746474</v>
      </c>
      <c r="E116" s="41">
        <f t="shared" ca="1" si="64"/>
        <v>567.122759440864</v>
      </c>
      <c r="F116" s="41">
        <f t="shared" ca="1" si="65"/>
        <v>567.122759440864</v>
      </c>
      <c r="G116" s="41"/>
      <c r="H116" s="5">
        <v>0</v>
      </c>
      <c r="I116" s="5">
        <v>15</v>
      </c>
      <c r="J116" s="41">
        <f t="shared" si="52"/>
        <v>0.63536918059591407</v>
      </c>
      <c r="K116" s="41">
        <f t="shared" si="66"/>
        <v>715</v>
      </c>
      <c r="L116" s="6">
        <f t="shared" si="53"/>
        <v>124.85499999999995</v>
      </c>
      <c r="M116" s="41">
        <f t="shared" si="67"/>
        <v>423.62606</v>
      </c>
      <c r="N116" s="41">
        <f t="shared" si="68"/>
        <v>577.50274109413658</v>
      </c>
      <c r="O116" s="41">
        <f t="shared" si="69"/>
        <v>4156377.2581810933</v>
      </c>
      <c r="P116" s="41">
        <f t="shared" si="70"/>
        <v>26686862.618012637</v>
      </c>
      <c r="Q116" s="41">
        <f t="shared" si="71"/>
        <v>2.485809616891997E-3</v>
      </c>
      <c r="R116" s="41">
        <f t="shared" si="72"/>
        <v>2.0175867711125641E-2</v>
      </c>
      <c r="S116" s="24">
        <f t="shared" ca="1" si="73"/>
        <v>11.603049663824791</v>
      </c>
      <c r="T116" s="41">
        <f t="shared" ca="1" si="74"/>
        <v>0.12704114500862623</v>
      </c>
      <c r="U116" s="41">
        <f t="shared" ca="1" si="75"/>
        <v>2.1195182650874483E-2</v>
      </c>
      <c r="V116" s="41">
        <f t="shared" ca="1" si="76"/>
        <v>5.9938688475225144</v>
      </c>
      <c r="W116" s="20">
        <f t="shared" ca="1" si="77"/>
        <v>2815.2634981403071</v>
      </c>
      <c r="X116" s="41">
        <f t="shared" si="78"/>
        <v>0.56520541683232473</v>
      </c>
      <c r="Y116" s="41">
        <f t="shared" ca="1" si="79"/>
        <v>175.8606176398892</v>
      </c>
      <c r="Z116" s="14">
        <f t="shared" ca="1" si="80"/>
        <v>2873.994889939368</v>
      </c>
      <c r="AA116" s="14">
        <f t="shared" si="81"/>
        <v>6280</v>
      </c>
      <c r="AB116" s="25">
        <f t="shared" ca="1" si="82"/>
        <v>2054906.3463066481</v>
      </c>
      <c r="AC116" s="41">
        <f t="shared" si="83"/>
        <v>4490200</v>
      </c>
      <c r="AD116" s="5">
        <v>100</v>
      </c>
      <c r="AE116" s="41">
        <f t="shared" si="84"/>
        <v>6280</v>
      </c>
      <c r="AF116" s="41">
        <f t="shared" ca="1" si="85"/>
        <v>3406.005110060632</v>
      </c>
      <c r="AG116" s="41">
        <f t="shared" ca="1" si="86"/>
        <v>2435293.6536933519</v>
      </c>
      <c r="AH116" s="41">
        <f t="shared" si="87"/>
        <v>4427.3999999999996</v>
      </c>
      <c r="AI116" s="13">
        <f t="shared" ca="1" si="88"/>
        <v>143.80799318198092</v>
      </c>
      <c r="AJ116" s="10">
        <f t="shared" ca="1" si="89"/>
        <v>11.603049663824791</v>
      </c>
      <c r="AK116" s="11">
        <f t="shared" ca="1" si="60"/>
        <v>8628.4795909188542</v>
      </c>
      <c r="AL116" s="6">
        <v>10000</v>
      </c>
      <c r="AM116" s="41">
        <f t="shared" ca="1" si="90"/>
        <v>69.537163955452485</v>
      </c>
      <c r="AN116" s="41">
        <f t="shared" ca="1" si="91"/>
        <v>85.519122137880629</v>
      </c>
      <c r="AO116" s="41">
        <f t="shared" ca="1" si="92"/>
        <v>8.0154922728932938</v>
      </c>
      <c r="AP116" s="67">
        <f t="shared" si="56"/>
        <v>0.70499999999999996</v>
      </c>
      <c r="AQ116" s="11">
        <f t="shared" si="93"/>
        <v>1.0520562207183759</v>
      </c>
      <c r="AR116" s="11">
        <f t="shared" si="94"/>
        <v>1</v>
      </c>
      <c r="AS116" s="11">
        <f t="shared" si="95"/>
        <v>0.95051954477981193</v>
      </c>
      <c r="AT116" s="11">
        <f t="shared" si="96"/>
        <v>545.66999999999996</v>
      </c>
      <c r="AU116" s="11">
        <f t="shared" si="97"/>
        <v>2116.2199999999998</v>
      </c>
      <c r="AV116" s="11">
        <f t="shared" si="98"/>
        <v>2.259289905987135E-3</v>
      </c>
      <c r="AW116" s="11">
        <f t="shared" si="99"/>
        <v>3.8865391239478742E-7</v>
      </c>
      <c r="AX116" s="41">
        <f t="shared" ca="1" si="100"/>
        <v>141.37027718629864</v>
      </c>
      <c r="AY116" s="11">
        <f t="shared" ca="1" si="101"/>
        <v>640.70869715583967</v>
      </c>
      <c r="AZ116" s="11"/>
      <c r="BA116" s="11"/>
    </row>
    <row r="117" spans="1:53" ht="14.5">
      <c r="A117" s="41">
        <f t="shared" ca="1" si="61"/>
        <v>7963.134523139026</v>
      </c>
      <c r="B117" s="41">
        <f t="shared" ca="1" si="62"/>
        <v>132.71890871898376</v>
      </c>
      <c r="C117" s="41">
        <f t="shared" ca="1" si="63"/>
        <v>2.2119818119830628</v>
      </c>
      <c r="D117" s="41">
        <f t="shared" ca="1" si="57"/>
        <v>17226.348438746474</v>
      </c>
      <c r="E117" s="41">
        <f t="shared" ca="1" si="64"/>
        <v>575.13825171375731</v>
      </c>
      <c r="F117" s="41">
        <f t="shared" ca="1" si="65"/>
        <v>575.13825171375731</v>
      </c>
      <c r="G117" s="41"/>
      <c r="H117" s="5">
        <v>0</v>
      </c>
      <c r="I117" s="5">
        <v>15</v>
      </c>
      <c r="J117" s="41">
        <f t="shared" si="52"/>
        <v>0.63981232171896252</v>
      </c>
      <c r="K117" s="41">
        <f t="shared" si="66"/>
        <v>720</v>
      </c>
      <c r="L117" s="6">
        <f t="shared" si="53"/>
        <v>126.08999999999995</v>
      </c>
      <c r="M117" s="41">
        <f t="shared" si="67"/>
        <v>426.58848</v>
      </c>
      <c r="N117" s="41">
        <f t="shared" si="68"/>
        <v>585.6079436318654</v>
      </c>
      <c r="O117" s="41">
        <f t="shared" si="69"/>
        <v>4185442.8334131292</v>
      </c>
      <c r="P117" s="41">
        <f t="shared" si="70"/>
        <v>26873484.034921817</v>
      </c>
      <c r="Q117" s="41">
        <f t="shared" si="71"/>
        <v>2.4819541099171975E-3</v>
      </c>
      <c r="R117" s="41">
        <f t="shared" si="72"/>
        <v>2.0152329841044491E-2</v>
      </c>
      <c r="S117" s="24">
        <f t="shared" ca="1" si="73"/>
        <v>11.492131566628446</v>
      </c>
      <c r="T117" s="41">
        <f t="shared" ca="1" si="74"/>
        <v>0.12533237484799398</v>
      </c>
      <c r="U117" s="41">
        <f t="shared" ca="1" si="75"/>
        <v>2.1144408548641955E-2</v>
      </c>
      <c r="V117" s="41">
        <f t="shared" ca="1" si="76"/>
        <v>5.9274476540533794</v>
      </c>
      <c r="W117" s="20">
        <f t="shared" ca="1" si="77"/>
        <v>2847.9367301809175</v>
      </c>
      <c r="X117" s="41">
        <f t="shared" si="78"/>
        <v>0.56487562645415357</v>
      </c>
      <c r="Y117" s="41">
        <f t="shared" ca="1" si="79"/>
        <v>175.89540062911317</v>
      </c>
      <c r="Z117" s="14">
        <f t="shared" ca="1" si="80"/>
        <v>2906.200011225159</v>
      </c>
      <c r="AA117" s="14">
        <f t="shared" si="81"/>
        <v>6280</v>
      </c>
      <c r="AB117" s="25">
        <f t="shared" ca="1" si="82"/>
        <v>2092464.0080821144</v>
      </c>
      <c r="AC117" s="41">
        <f t="shared" si="83"/>
        <v>4521600</v>
      </c>
      <c r="AD117" s="5">
        <v>100</v>
      </c>
      <c r="AE117" s="41">
        <f t="shared" si="84"/>
        <v>6280</v>
      </c>
      <c r="AF117" s="41">
        <f t="shared" ca="1" si="85"/>
        <v>3373.799988774841</v>
      </c>
      <c r="AG117" s="41">
        <f t="shared" ca="1" si="86"/>
        <v>2429135.9919178858</v>
      </c>
      <c r="AH117" s="41">
        <f t="shared" si="87"/>
        <v>4427.3999999999996</v>
      </c>
      <c r="AI117" s="13">
        <f t="shared" ca="1" si="88"/>
        <v>143.44801877521726</v>
      </c>
      <c r="AJ117" s="10">
        <f t="shared" ca="1" si="89"/>
        <v>11.492131566628446</v>
      </c>
      <c r="AK117" s="11">
        <f t="shared" ca="1" si="60"/>
        <v>8606.8811265130353</v>
      </c>
      <c r="AL117" s="6">
        <v>10000</v>
      </c>
      <c r="AM117" s="41">
        <f t="shared" ca="1" si="90"/>
        <v>69.711663398223564</v>
      </c>
      <c r="AN117" s="41">
        <f t="shared" ca="1" si="91"/>
        <v>85.733727369248598</v>
      </c>
      <c r="AO117" s="41">
        <f t="shared" ca="1" si="92"/>
        <v>8.0950009616052849</v>
      </c>
      <c r="AP117" s="67">
        <f t="shared" si="56"/>
        <v>0.70499999999999996</v>
      </c>
      <c r="AQ117" s="11">
        <f t="shared" si="93"/>
        <v>1.0520562207183759</v>
      </c>
      <c r="AR117" s="11">
        <f t="shared" si="94"/>
        <v>1</v>
      </c>
      <c r="AS117" s="11">
        <f t="shared" si="95"/>
        <v>0.95051954477981193</v>
      </c>
      <c r="AT117" s="11">
        <f t="shared" si="96"/>
        <v>545.66999999999996</v>
      </c>
      <c r="AU117" s="11">
        <f t="shared" si="97"/>
        <v>2116.2199999999998</v>
      </c>
      <c r="AV117" s="11">
        <f t="shared" si="98"/>
        <v>2.259289905987135E-3</v>
      </c>
      <c r="AW117" s="11">
        <f t="shared" si="99"/>
        <v>3.8865391239478742E-7</v>
      </c>
      <c r="AX117" s="41">
        <f t="shared" ca="1" si="100"/>
        <v>141.01282117654929</v>
      </c>
      <c r="AY117" s="11">
        <f t="shared" ca="1" si="101"/>
        <v>641.07285172738864</v>
      </c>
      <c r="AZ117" s="11"/>
      <c r="BA117" s="11"/>
    </row>
    <row r="118" spans="1:53" ht="14.5">
      <c r="A118" s="41">
        <f t="shared" ref="A118:A146" ca="1" si="102">A117+AM117</f>
        <v>8032.8461865372492</v>
      </c>
      <c r="B118" s="41">
        <f t="shared" ref="B118:B146" ca="1" si="103">A118/60</f>
        <v>133.88076977562082</v>
      </c>
      <c r="C118" s="41">
        <f t="shared" ref="C118:C146" ca="1" si="104">B118/60</f>
        <v>2.2313461629270135</v>
      </c>
      <c r="D118" s="41">
        <f t="shared" ca="1" si="57"/>
        <v>17226.348438746474</v>
      </c>
      <c r="E118" s="41">
        <f t="shared" ref="E118:E146" ca="1" si="105">E117+AO117</f>
        <v>583.23325267536256</v>
      </c>
      <c r="F118" s="41">
        <f t="shared" ref="F118:F146" ca="1" si="106">F117+AO117</f>
        <v>583.23325267536256</v>
      </c>
      <c r="G118" s="41"/>
      <c r="H118" s="5">
        <v>0</v>
      </c>
      <c r="I118" s="5">
        <v>15</v>
      </c>
      <c r="J118" s="41">
        <f t="shared" si="52"/>
        <v>0.64425546284201085</v>
      </c>
      <c r="K118" s="41">
        <f t="shared" ref="K118:K146" si="107">K117+5</f>
        <v>725</v>
      </c>
      <c r="L118" s="6">
        <f t="shared" si="53"/>
        <v>127.32499999999995</v>
      </c>
      <c r="M118" s="41">
        <f t="shared" ref="M118:M146" si="108">K118*0.592484</f>
        <v>429.55090000000001</v>
      </c>
      <c r="N118" s="41">
        <f t="shared" ref="N118:N146" si="109">0.5*AV118*K118^2</f>
        <v>593.76962841724389</v>
      </c>
      <c r="O118" s="41">
        <f t="shared" ref="O118:O146" si="110">P118/$B$7</f>
        <v>4214508.4086451642</v>
      </c>
      <c r="P118" s="41">
        <f t="shared" ref="P118:P146" si="111">(AV118*K118*$B$7)/(AW118)</f>
        <v>27060105.451830994</v>
      </c>
      <c r="Q118" s="41">
        <f t="shared" ref="Q118:Q146" si="112">0.455/(LOG10(P118)^2.58 * (1+0.144*J118*J118)^0.65)</f>
        <v>2.4781159754544181E-3</v>
      </c>
      <c r="R118" s="41">
        <f t="shared" ref="R118:R146" si="113">(((Q118*$B$4)+$B$17)+(0.1*(Q118*$B$4)))</f>
        <v>2.0128898030149223E-2</v>
      </c>
      <c r="S118" s="24">
        <f t="shared" ref="S118:S146" ca="1" si="114">AJ118</f>
        <v>11.3804982653928</v>
      </c>
      <c r="T118" s="41">
        <f t="shared" ref="T118:T146" ca="1" si="115">(D118*COS(RADIANS(S118)))/(N118*$B$3)</f>
        <v>0.12365834331641327</v>
      </c>
      <c r="U118" s="41">
        <f t="shared" ref="U118:U146" ca="1" si="116">(W118)/(N118*$B$3)</f>
        <v>2.1094651858806431E-2</v>
      </c>
      <c r="V118" s="41">
        <f t="shared" ref="V118:V146" ca="1" si="117">T118/U118</f>
        <v>5.862070829331528</v>
      </c>
      <c r="W118" s="20">
        <f t="shared" ref="W118:W146" ca="1" si="118">(N118*$B$3*R118)+((N118*$B$3)*((T118^2)/(PI()*$B$6*$B$5)))</f>
        <v>2880.8336270327623</v>
      </c>
      <c r="X118" s="41">
        <f t="shared" ref="X118:X146" si="119">SQRT(PI()*$B$6*$B$5*R118)</f>
        <v>0.56454713072420204</v>
      </c>
      <c r="Y118" s="41">
        <f t="shared" ref="Y118:Y146" ca="1" si="120">SQRT((2*((T118*N118*$B$3)/(D118))*D118)/(AV118*$B$3*$B$18))</f>
        <v>175.93006823016722</v>
      </c>
      <c r="Z118" s="14">
        <f t="shared" ref="Z118:Z146" ca="1" si="121">(D118/(V118))</f>
        <v>2938.6114464111402</v>
      </c>
      <c r="AA118" s="14">
        <f t="shared" ref="AA118:AA146" si="122">$B$15*AR118</f>
        <v>6280</v>
      </c>
      <c r="AB118" s="25">
        <f t="shared" ref="AB118:AB146" ca="1" si="123">Z118*K118</f>
        <v>2130493.2986480766</v>
      </c>
      <c r="AC118" s="41">
        <f t="shared" ref="AC118:AC146" si="124">AA118*K118</f>
        <v>4553000</v>
      </c>
      <c r="AD118" s="5">
        <v>100</v>
      </c>
      <c r="AE118" s="41">
        <f t="shared" ref="AE118:AE146" si="125">AA118*(AD118/100)</f>
        <v>6280</v>
      </c>
      <c r="AF118" s="41">
        <f t="shared" ref="AF118:AF146" ca="1" si="126">AA118-Z118</f>
        <v>3341.3885535888598</v>
      </c>
      <c r="AG118" s="41">
        <f t="shared" ref="AG118:AG146" ca="1" si="127">AC118-AB118</f>
        <v>2422506.7013519234</v>
      </c>
      <c r="AH118" s="41">
        <f t="shared" ref="AH118:AH146" si="128">(AP118*AE118)</f>
        <v>4427.3999999999996</v>
      </c>
      <c r="AI118" s="13">
        <f t="shared" ref="AI118:AI146" ca="1" si="129">K118*SIN(RADIANS(AJ118))</f>
        <v>143.05966404686149</v>
      </c>
      <c r="AJ118" s="10">
        <f t="shared" ref="AJ118:AJ146" ca="1" si="130">DEGREES(ASIN(((AE118-W118)/(D118))))</f>
        <v>11.3804982653928</v>
      </c>
      <c r="AK118" s="11">
        <f t="shared" ca="1" si="60"/>
        <v>8583.5798428116886</v>
      </c>
      <c r="AL118" s="6">
        <v>10000</v>
      </c>
      <c r="AM118" s="41">
        <f t="shared" ref="AM118:AM146" ca="1" si="131">AL118/AI118</f>
        <v>69.900905098758926</v>
      </c>
      <c r="AN118" s="41">
        <f t="shared" ref="AN118:AN146" ca="1" si="132">AH118*(AM118/3600)</f>
        <v>85.966463120623672</v>
      </c>
      <c r="AO118" s="41">
        <f t="shared" ref="AO118:AO146" ca="1" si="133">M118*COS(RADIANS(AJ118))*(AM118/3600)</f>
        <v>8.1765659416960403</v>
      </c>
      <c r="AP118" s="67">
        <f t="shared" si="56"/>
        <v>0.70499999999999996</v>
      </c>
      <c r="AQ118" s="11">
        <f t="shared" ref="AQ118:AQ146" si="134">IF(H118 &lt;= 36089, ((1 - 6.87535*10^(-6)*H118) + ((I118*1.8)/518.67)), 0.75187 + ((I118*1.8)/518.67))</f>
        <v>1.0520562207183759</v>
      </c>
      <c r="AR118" s="11">
        <f t="shared" ref="AR118:AR146" si="135">IF(H118 &lt;= 36089, (1 - 6.87535*10^(-6)*H118)^5.2561, 0.22336*EXP((36089 - H118)/(20806.7)))</f>
        <v>1</v>
      </c>
      <c r="AS118" s="11">
        <f t="shared" ref="AS118:AS146" si="136">(AR118/AQ118)</f>
        <v>0.95051954477981193</v>
      </c>
      <c r="AT118" s="11">
        <f t="shared" ref="AT118:AT146" si="137">(518.67*AQ118)</f>
        <v>545.66999999999996</v>
      </c>
      <c r="AU118" s="11">
        <f t="shared" ref="AU118:AU146" si="138">2116.22*AR118</f>
        <v>2116.2199999999998</v>
      </c>
      <c r="AV118" s="11">
        <f t="shared" ref="AV118:AV146" si="139">(0.0023769*AS118)</f>
        <v>2.259289905987135E-3</v>
      </c>
      <c r="AW118" s="11">
        <f t="shared" ref="AW118:AW146" si="140">((2.2697*10^-8)*(AT118^1.5))/(AT118+198.72)</f>
        <v>3.8865391239478742E-7</v>
      </c>
      <c r="AX118" s="41">
        <f t="shared" ref="AX118:AX146" ca="1" si="141">AG118/D118</f>
        <v>140.62798682877474</v>
      </c>
      <c r="AY118" s="11">
        <f t="shared" ref="AY118:AY146" ca="1" si="142">SQRT(((D118/$B$3)/(3*AV118*R118))*((AE118/D118)+SQRT((AE118/D118)^2+12*R118*$B$8)))</f>
        <v>641.43600470902823</v>
      </c>
      <c r="AZ118" s="11"/>
      <c r="BA118" s="11"/>
    </row>
    <row r="119" spans="1:53" ht="14.5">
      <c r="A119" s="41">
        <f t="shared" ca="1" si="102"/>
        <v>8102.747091636008</v>
      </c>
      <c r="B119" s="41">
        <f t="shared" ca="1" si="103"/>
        <v>135.04578486060012</v>
      </c>
      <c r="C119" s="41">
        <f t="shared" ca="1" si="104"/>
        <v>2.2507630810100019</v>
      </c>
      <c r="D119" s="41">
        <f t="shared" ca="1" si="57"/>
        <v>17226.348438746474</v>
      </c>
      <c r="E119" s="41">
        <f t="shared" ca="1" si="105"/>
        <v>591.40981861705859</v>
      </c>
      <c r="F119" s="41">
        <f t="shared" ca="1" si="106"/>
        <v>591.40981861705859</v>
      </c>
      <c r="G119" s="41"/>
      <c r="H119" s="5">
        <v>0</v>
      </c>
      <c r="I119" s="5">
        <v>15</v>
      </c>
      <c r="J119" s="41">
        <f t="shared" si="52"/>
        <v>0.64869860396505918</v>
      </c>
      <c r="K119" s="41">
        <f t="shared" si="107"/>
        <v>730</v>
      </c>
      <c r="L119" s="6">
        <f t="shared" si="53"/>
        <v>128.55999999999995</v>
      </c>
      <c r="M119" s="41">
        <f t="shared" si="108"/>
        <v>432.51332000000002</v>
      </c>
      <c r="N119" s="41">
        <f t="shared" si="109"/>
        <v>601.98779545027207</v>
      </c>
      <c r="O119" s="41">
        <f t="shared" si="110"/>
        <v>4243573.9838772006</v>
      </c>
      <c r="P119" s="41">
        <f t="shared" si="111"/>
        <v>27246726.868740175</v>
      </c>
      <c r="Q119" s="41">
        <f t="shared" si="112"/>
        <v>2.47429490009979E-3</v>
      </c>
      <c r="R119" s="41">
        <f t="shared" si="113"/>
        <v>2.010557036510922E-2</v>
      </c>
      <c r="S119" s="24">
        <f t="shared" ca="1" si="114"/>
        <v>11.268155471718087</v>
      </c>
      <c r="T119" s="41">
        <f t="shared" ca="1" si="115"/>
        <v>0.12201809716704831</v>
      </c>
      <c r="U119" s="41">
        <f t="shared" ca="1" si="116"/>
        <v>2.1045873939307864E-2</v>
      </c>
      <c r="V119" s="41">
        <f t="shared" ca="1" si="117"/>
        <v>5.7977206135000312</v>
      </c>
      <c r="W119" s="20">
        <f t="shared" ca="1" si="118"/>
        <v>2913.9526288911029</v>
      </c>
      <c r="X119" s="41">
        <f t="shared" si="119"/>
        <v>0.56421990505698161</v>
      </c>
      <c r="Y119" s="41">
        <f t="shared" ca="1" si="120"/>
        <v>175.96461221658561</v>
      </c>
      <c r="Z119" s="14">
        <f t="shared" ca="1" si="121"/>
        <v>2971.2277612403063</v>
      </c>
      <c r="AA119" s="14">
        <f t="shared" si="122"/>
        <v>6280</v>
      </c>
      <c r="AB119" s="25">
        <f t="shared" ca="1" si="123"/>
        <v>2168996.2657054234</v>
      </c>
      <c r="AC119" s="41">
        <f t="shared" si="124"/>
        <v>4584400</v>
      </c>
      <c r="AD119" s="5">
        <v>100</v>
      </c>
      <c r="AE119" s="41">
        <f t="shared" si="125"/>
        <v>6280</v>
      </c>
      <c r="AF119" s="41">
        <f t="shared" ca="1" si="126"/>
        <v>3308.7722387596937</v>
      </c>
      <c r="AG119" s="41">
        <f t="shared" ca="1" si="127"/>
        <v>2415403.7342945766</v>
      </c>
      <c r="AH119" s="41">
        <f t="shared" si="128"/>
        <v>4427.3999999999996</v>
      </c>
      <c r="AI119" s="13">
        <f t="shared" ca="1" si="129"/>
        <v>142.64280033849712</v>
      </c>
      <c r="AJ119" s="10">
        <f t="shared" ca="1" si="130"/>
        <v>11.268155471718087</v>
      </c>
      <c r="AK119" s="11">
        <f t="shared" ca="1" si="60"/>
        <v>8558.5680203098273</v>
      </c>
      <c r="AL119" s="6">
        <v>10000</v>
      </c>
      <c r="AM119" s="41">
        <f t="shared" ca="1" si="131"/>
        <v>70.105185654443105</v>
      </c>
      <c r="AN119" s="41">
        <f t="shared" ca="1" si="132"/>
        <v>86.217694157355936</v>
      </c>
      <c r="AO119" s="41">
        <f t="shared" ca="1" si="133"/>
        <v>8.2602591553736548</v>
      </c>
      <c r="AP119" s="67">
        <f t="shared" si="56"/>
        <v>0.70499999999999996</v>
      </c>
      <c r="AQ119" s="11">
        <f t="shared" si="134"/>
        <v>1.0520562207183759</v>
      </c>
      <c r="AR119" s="11">
        <f t="shared" si="135"/>
        <v>1</v>
      </c>
      <c r="AS119" s="11">
        <f t="shared" si="136"/>
        <v>0.95051954477981193</v>
      </c>
      <c r="AT119" s="11">
        <f t="shared" si="137"/>
        <v>545.66999999999996</v>
      </c>
      <c r="AU119" s="11">
        <f t="shared" si="138"/>
        <v>2116.2199999999998</v>
      </c>
      <c r="AV119" s="11">
        <f t="shared" si="139"/>
        <v>2.259289905987135E-3</v>
      </c>
      <c r="AW119" s="11">
        <f t="shared" si="140"/>
        <v>3.8865391239478742E-7</v>
      </c>
      <c r="AX119" s="41">
        <f t="shared" ca="1" si="141"/>
        <v>140.21565527269345</v>
      </c>
      <c r="AY119" s="11">
        <f t="shared" ca="1" si="142"/>
        <v>641.79817902077195</v>
      </c>
      <c r="AZ119" s="11"/>
      <c r="BA119" s="11"/>
    </row>
    <row r="120" spans="1:53" ht="14.5">
      <c r="A120" s="41">
        <f t="shared" ca="1" si="102"/>
        <v>8172.8522772904507</v>
      </c>
      <c r="B120" s="41">
        <f t="shared" ca="1" si="103"/>
        <v>136.21420462150752</v>
      </c>
      <c r="C120" s="41">
        <f t="shared" ca="1" si="104"/>
        <v>2.2702367436917918</v>
      </c>
      <c r="D120" s="41">
        <f t="shared" ca="1" si="57"/>
        <v>17226.348438746474</v>
      </c>
      <c r="E120" s="41">
        <f t="shared" ca="1" si="105"/>
        <v>599.67007777243225</v>
      </c>
      <c r="F120" s="41">
        <f t="shared" ca="1" si="106"/>
        <v>599.67007777243225</v>
      </c>
      <c r="G120" s="41"/>
      <c r="H120" s="5">
        <v>0</v>
      </c>
      <c r="I120" s="5">
        <v>15</v>
      </c>
      <c r="J120" s="41">
        <f t="shared" si="52"/>
        <v>0.65314174508810752</v>
      </c>
      <c r="K120" s="41">
        <f t="shared" si="107"/>
        <v>735</v>
      </c>
      <c r="L120" s="6">
        <f t="shared" si="53"/>
        <v>129.79499999999996</v>
      </c>
      <c r="M120" s="41">
        <f t="shared" si="108"/>
        <v>435.47574000000003</v>
      </c>
      <c r="N120" s="41">
        <f t="shared" si="109"/>
        <v>610.26244473094994</v>
      </c>
      <c r="O120" s="41">
        <f t="shared" si="110"/>
        <v>4272639.5591092352</v>
      </c>
      <c r="P120" s="41">
        <f t="shared" si="111"/>
        <v>27433348.285649352</v>
      </c>
      <c r="Q120" s="41">
        <f t="shared" si="112"/>
        <v>2.4704905780420371E-3</v>
      </c>
      <c r="R120" s="41">
        <f t="shared" si="113"/>
        <v>2.0082344978946634E-2</v>
      </c>
      <c r="S120" s="24">
        <f t="shared" ca="1" si="114"/>
        <v>11.155108762617148</v>
      </c>
      <c r="T120" s="41">
        <f t="shared" ca="1" si="115"/>
        <v>0.12041071565186771</v>
      </c>
      <c r="U120" s="41">
        <f t="shared" ca="1" si="116"/>
        <v>2.0998037919516613E-2</v>
      </c>
      <c r="V120" s="41">
        <f t="shared" ca="1" si="117"/>
        <v>5.7343793793205817</v>
      </c>
      <c r="W120" s="20">
        <f t="shared" ca="1" si="118"/>
        <v>2947.2922097230016</v>
      </c>
      <c r="X120" s="41">
        <f t="shared" si="119"/>
        <v>0.56389392545201411</v>
      </c>
      <c r="Y120" s="41">
        <f t="shared" ca="1" si="120"/>
        <v>175.99902443321372</v>
      </c>
      <c r="Z120" s="14">
        <f t="shared" ca="1" si="121"/>
        <v>3004.0475697977763</v>
      </c>
      <c r="AA120" s="14">
        <f t="shared" si="122"/>
        <v>6280</v>
      </c>
      <c r="AB120" s="25">
        <f t="shared" ca="1" si="123"/>
        <v>2207974.9638013658</v>
      </c>
      <c r="AC120" s="41">
        <f t="shared" si="124"/>
        <v>4615800</v>
      </c>
      <c r="AD120" s="5">
        <v>100</v>
      </c>
      <c r="AE120" s="41">
        <f t="shared" si="125"/>
        <v>6280</v>
      </c>
      <c r="AF120" s="41">
        <f t="shared" ca="1" si="126"/>
        <v>3275.9524302022237</v>
      </c>
      <c r="AG120" s="41">
        <f t="shared" ca="1" si="127"/>
        <v>2407825.0361986342</v>
      </c>
      <c r="AH120" s="41">
        <f t="shared" si="128"/>
        <v>4427.3999999999996</v>
      </c>
      <c r="AI120" s="13">
        <f t="shared" ca="1" si="129"/>
        <v>142.19729936171211</v>
      </c>
      <c r="AJ120" s="10">
        <f t="shared" ca="1" si="130"/>
        <v>11.155108762617148</v>
      </c>
      <c r="AK120" s="11">
        <f t="shared" ca="1" si="60"/>
        <v>8531.8379617027276</v>
      </c>
      <c r="AL120" s="6">
        <v>10000</v>
      </c>
      <c r="AM120" s="41">
        <f t="shared" ca="1" si="131"/>
        <v>70.324823642133026</v>
      </c>
      <c r="AN120" s="41">
        <f t="shared" ca="1" si="132"/>
        <v>86.487812275883257</v>
      </c>
      <c r="AO120" s="41">
        <f t="shared" ca="1" si="133"/>
        <v>8.3461561819739298</v>
      </c>
      <c r="AP120" s="67">
        <f t="shared" si="56"/>
        <v>0.70499999999999996</v>
      </c>
      <c r="AQ120" s="11">
        <f t="shared" si="134"/>
        <v>1.0520562207183759</v>
      </c>
      <c r="AR120" s="11">
        <f t="shared" si="135"/>
        <v>1</v>
      </c>
      <c r="AS120" s="11">
        <f t="shared" si="136"/>
        <v>0.95051954477981193</v>
      </c>
      <c r="AT120" s="11">
        <f t="shared" si="137"/>
        <v>545.66999999999996</v>
      </c>
      <c r="AU120" s="11">
        <f t="shared" si="138"/>
        <v>2116.2199999999998</v>
      </c>
      <c r="AV120" s="11">
        <f t="shared" si="139"/>
        <v>2.259289905987135E-3</v>
      </c>
      <c r="AW120" s="11">
        <f t="shared" si="140"/>
        <v>3.8865391239478742E-7</v>
      </c>
      <c r="AX120" s="41">
        <f t="shared" ca="1" si="141"/>
        <v>139.77570724059072</v>
      </c>
      <c r="AY120" s="11">
        <f t="shared" ca="1" si="142"/>
        <v>642.15939706547704</v>
      </c>
      <c r="AZ120" s="11"/>
      <c r="BA120" s="11"/>
    </row>
    <row r="121" spans="1:53" ht="14.5">
      <c r="A121" s="41">
        <f t="shared" ca="1" si="102"/>
        <v>8243.1771009325839</v>
      </c>
      <c r="B121" s="41">
        <f t="shared" ca="1" si="103"/>
        <v>137.38628501554305</v>
      </c>
      <c r="C121" s="41">
        <f t="shared" ca="1" si="104"/>
        <v>2.2897714169257175</v>
      </c>
      <c r="D121" s="41">
        <f t="shared" ca="1" si="57"/>
        <v>17226.348438746474</v>
      </c>
      <c r="E121" s="41">
        <f t="shared" ca="1" si="105"/>
        <v>608.01623395440618</v>
      </c>
      <c r="F121" s="41">
        <f t="shared" ca="1" si="106"/>
        <v>608.01623395440618</v>
      </c>
      <c r="G121" s="41"/>
      <c r="H121" s="5">
        <v>0</v>
      </c>
      <c r="I121" s="5">
        <v>15</v>
      </c>
      <c r="J121" s="41">
        <f t="shared" si="52"/>
        <v>0.65758488621115585</v>
      </c>
      <c r="K121" s="41">
        <f t="shared" si="107"/>
        <v>740</v>
      </c>
      <c r="L121" s="6">
        <f t="shared" si="53"/>
        <v>131.02999999999997</v>
      </c>
      <c r="M121" s="41">
        <f t="shared" si="108"/>
        <v>438.43815999999998</v>
      </c>
      <c r="N121" s="41">
        <f t="shared" si="109"/>
        <v>618.5935762592776</v>
      </c>
      <c r="O121" s="41">
        <f t="shared" si="110"/>
        <v>4301705.1343412716</v>
      </c>
      <c r="P121" s="41">
        <f t="shared" si="111"/>
        <v>27619969.702558536</v>
      </c>
      <c r="Q121" s="41">
        <f t="shared" si="112"/>
        <v>2.4667027108441382E-3</v>
      </c>
      <c r="R121" s="41">
        <f t="shared" si="113"/>
        <v>2.0059220049703463E-2</v>
      </c>
      <c r="S121" s="24">
        <f t="shared" ca="1" si="114"/>
        <v>11.041363585221291</v>
      </c>
      <c r="T121" s="41">
        <f t="shared" ca="1" si="115"/>
        <v>0.11883530920046462</v>
      </c>
      <c r="U121" s="41">
        <f t="shared" ca="1" si="116"/>
        <v>2.0951108606625801E-2</v>
      </c>
      <c r="V121" s="41">
        <f t="shared" ca="1" si="117"/>
        <v>5.6720296492035214</v>
      </c>
      <c r="W121" s="20">
        <f t="shared" ca="1" si="118"/>
        <v>2980.8508759009123</v>
      </c>
      <c r="X121" s="41">
        <f t="shared" si="119"/>
        <v>0.56356916847734229</v>
      </c>
      <c r="Y121" s="41">
        <f t="shared" ca="1" si="120"/>
        <v>176.0332967937687</v>
      </c>
      <c r="Z121" s="14">
        <f t="shared" ca="1" si="121"/>
        <v>3037.0695331547563</v>
      </c>
      <c r="AA121" s="14">
        <f t="shared" si="122"/>
        <v>6280</v>
      </c>
      <c r="AB121" s="25">
        <f t="shared" ca="1" si="123"/>
        <v>2247431.4545345195</v>
      </c>
      <c r="AC121" s="41">
        <f t="shared" si="124"/>
        <v>4647200</v>
      </c>
      <c r="AD121" s="5">
        <v>100</v>
      </c>
      <c r="AE121" s="41">
        <f t="shared" si="125"/>
        <v>6280</v>
      </c>
      <c r="AF121" s="41">
        <f t="shared" ca="1" si="126"/>
        <v>3242.9304668452437</v>
      </c>
      <c r="AG121" s="41">
        <f t="shared" ca="1" si="127"/>
        <v>2399768.5454654805</v>
      </c>
      <c r="AH121" s="41">
        <f t="shared" si="128"/>
        <v>4427.3999999999996</v>
      </c>
      <c r="AI121" s="13">
        <f t="shared" ca="1" si="129"/>
        <v>141.72303320778403</v>
      </c>
      <c r="AJ121" s="10">
        <f t="shared" ca="1" si="130"/>
        <v>11.041363585221291</v>
      </c>
      <c r="AK121" s="11">
        <f t="shared" ca="1" si="60"/>
        <v>8503.3819924670424</v>
      </c>
      <c r="AL121" s="6">
        <v>10000</v>
      </c>
      <c r="AM121" s="41">
        <f t="shared" ca="1" si="131"/>
        <v>70.560160713881459</v>
      </c>
      <c r="AN121" s="41">
        <f t="shared" ca="1" si="132"/>
        <v>86.777237651288544</v>
      </c>
      <c r="AO121" s="41">
        <f t="shared" ca="1" si="133"/>
        <v>8.4343364617717498</v>
      </c>
      <c r="AP121" s="67">
        <f t="shared" si="56"/>
        <v>0.70499999999999996</v>
      </c>
      <c r="AQ121" s="11">
        <f t="shared" si="134"/>
        <v>1.0520562207183759</v>
      </c>
      <c r="AR121" s="11">
        <f t="shared" si="135"/>
        <v>1</v>
      </c>
      <c r="AS121" s="11">
        <f t="shared" si="136"/>
        <v>0.95051954477981193</v>
      </c>
      <c r="AT121" s="11">
        <f t="shared" si="137"/>
        <v>545.66999999999996</v>
      </c>
      <c r="AU121" s="11">
        <f t="shared" si="138"/>
        <v>2116.2199999999998</v>
      </c>
      <c r="AV121" s="11">
        <f t="shared" si="139"/>
        <v>2.259289905987135E-3</v>
      </c>
      <c r="AW121" s="11">
        <f t="shared" si="140"/>
        <v>3.8865391239478742E-7</v>
      </c>
      <c r="AX121" s="41">
        <f t="shared" ca="1" si="141"/>
        <v>139.30802305541351</v>
      </c>
      <c r="AY121" s="11">
        <f t="shared" ca="1" si="142"/>
        <v>642.51968074279773</v>
      </c>
      <c r="AZ121" s="11"/>
      <c r="BA121" s="11"/>
    </row>
    <row r="122" spans="1:53" ht="14.5">
      <c r="A122" s="41">
        <f t="shared" ca="1" si="102"/>
        <v>8313.7372616464654</v>
      </c>
      <c r="B122" s="41">
        <f t="shared" ca="1" si="103"/>
        <v>138.56228769410777</v>
      </c>
      <c r="C122" s="41">
        <f t="shared" ca="1" si="104"/>
        <v>2.3093714615684626</v>
      </c>
      <c r="D122" s="41">
        <f t="shared" ca="1" si="57"/>
        <v>17226.348438746474</v>
      </c>
      <c r="E122" s="41">
        <f t="shared" ca="1" si="105"/>
        <v>616.45057041617792</v>
      </c>
      <c r="F122" s="41">
        <f t="shared" ca="1" si="106"/>
        <v>616.45057041617792</v>
      </c>
      <c r="G122" s="41"/>
      <c r="H122" s="5">
        <v>0</v>
      </c>
      <c r="I122" s="5">
        <v>15</v>
      </c>
      <c r="J122" s="41">
        <f t="shared" si="52"/>
        <v>0.66202802733420418</v>
      </c>
      <c r="K122" s="41">
        <f t="shared" si="107"/>
        <v>745</v>
      </c>
      <c r="L122" s="6">
        <f t="shared" si="53"/>
        <v>132.26499999999999</v>
      </c>
      <c r="M122" s="41">
        <f t="shared" si="108"/>
        <v>441.40057999999999</v>
      </c>
      <c r="N122" s="41">
        <f t="shared" si="109"/>
        <v>626.98119003525483</v>
      </c>
      <c r="O122" s="41">
        <f t="shared" si="110"/>
        <v>4330770.709573308</v>
      </c>
      <c r="P122" s="41">
        <f t="shared" si="111"/>
        <v>27806591.119467717</v>
      </c>
      <c r="Q122" s="41">
        <f t="shared" si="112"/>
        <v>2.4629310072326396E-3</v>
      </c>
      <c r="R122" s="41">
        <f t="shared" si="113"/>
        <v>2.0036193799155267E-2</v>
      </c>
      <c r="S122" s="24">
        <f t="shared" ca="1" si="114"/>
        <v>10.926925261258123</v>
      </c>
      <c r="T122" s="41">
        <f t="shared" ca="1" si="115"/>
        <v>0.11729101816115288</v>
      </c>
      <c r="U122" s="41">
        <f t="shared" ca="1" si="116"/>
        <v>2.0905052397617249E-2</v>
      </c>
      <c r="V122" s="41">
        <f t="shared" ca="1" si="117"/>
        <v>5.6106541103203202</v>
      </c>
      <c r="W122" s="20">
        <f t="shared" ca="1" si="118"/>
        <v>3014.6271649017062</v>
      </c>
      <c r="X122" s="41">
        <f t="shared" si="119"/>
        <v>0.56324561125360828</v>
      </c>
      <c r="Y122" s="41">
        <f t="shared" ca="1" si="120"/>
        <v>176.06742127850839</v>
      </c>
      <c r="Z122" s="14">
        <f t="shared" ca="1" si="121"/>
        <v>3070.2923580799738</v>
      </c>
      <c r="AA122" s="14">
        <f t="shared" si="122"/>
        <v>6280</v>
      </c>
      <c r="AB122" s="25">
        <f t="shared" ca="1" si="123"/>
        <v>2287367.8067695806</v>
      </c>
      <c r="AC122" s="41">
        <f t="shared" si="124"/>
        <v>4678600</v>
      </c>
      <c r="AD122" s="5">
        <v>100</v>
      </c>
      <c r="AE122" s="41">
        <f t="shared" si="125"/>
        <v>6280</v>
      </c>
      <c r="AF122" s="41">
        <f t="shared" ca="1" si="126"/>
        <v>3209.7076419200262</v>
      </c>
      <c r="AG122" s="41">
        <f t="shared" ca="1" si="127"/>
        <v>2391232.1932304194</v>
      </c>
      <c r="AH122" s="41">
        <f t="shared" si="128"/>
        <v>4427.3999999999996</v>
      </c>
      <c r="AI122" s="13">
        <f t="shared" ca="1" si="129"/>
        <v>141.21987435691577</v>
      </c>
      <c r="AJ122" s="10">
        <f t="shared" ca="1" si="130"/>
        <v>10.926925261258123</v>
      </c>
      <c r="AK122" s="11">
        <f t="shared" ca="1" si="60"/>
        <v>8473.1924614149466</v>
      </c>
      <c r="AL122" s="6">
        <v>10000</v>
      </c>
      <c r="AM122" s="41">
        <f t="shared" ca="1" si="131"/>
        <v>70.811562788437527</v>
      </c>
      <c r="AN122" s="41">
        <f t="shared" ca="1" si="132"/>
        <v>87.086420302646744</v>
      </c>
      <c r="AO122" s="41">
        <f t="shared" ca="1" si="133"/>
        <v>8.5248835369491367</v>
      </c>
      <c r="AP122" s="67">
        <f t="shared" si="56"/>
        <v>0.70499999999999996</v>
      </c>
      <c r="AQ122" s="11">
        <f t="shared" si="134"/>
        <v>1.0520562207183759</v>
      </c>
      <c r="AR122" s="11">
        <f t="shared" si="135"/>
        <v>1</v>
      </c>
      <c r="AS122" s="11">
        <f t="shared" si="136"/>
        <v>0.95051954477981193</v>
      </c>
      <c r="AT122" s="11">
        <f t="shared" si="137"/>
        <v>545.66999999999996</v>
      </c>
      <c r="AU122" s="11">
        <f t="shared" si="138"/>
        <v>2116.2199999999998</v>
      </c>
      <c r="AV122" s="11">
        <f t="shared" si="139"/>
        <v>2.259289905987135E-3</v>
      </c>
      <c r="AW122" s="11">
        <f t="shared" si="140"/>
        <v>3.8865391239478742E-7</v>
      </c>
      <c r="AX122" s="41">
        <f t="shared" ca="1" si="141"/>
        <v>138.81248261830842</v>
      </c>
      <c r="AY122" s="11">
        <f t="shared" ca="1" si="142"/>
        <v>642.87905146267144</v>
      </c>
      <c r="AZ122" s="11"/>
      <c r="BA122" s="11"/>
    </row>
    <row r="123" spans="1:53" ht="14.5">
      <c r="A123" s="41">
        <f t="shared" ca="1" si="102"/>
        <v>8384.5488244349035</v>
      </c>
      <c r="B123" s="41">
        <f t="shared" ca="1" si="103"/>
        <v>139.74248040724839</v>
      </c>
      <c r="C123" s="41">
        <f t="shared" ca="1" si="104"/>
        <v>2.3290413401208068</v>
      </c>
      <c r="D123" s="41">
        <f t="shared" ca="1" si="57"/>
        <v>17226.348438746474</v>
      </c>
      <c r="E123" s="41">
        <f t="shared" ca="1" si="105"/>
        <v>624.97545395312704</v>
      </c>
      <c r="F123" s="41">
        <f t="shared" ca="1" si="106"/>
        <v>624.97545395312704</v>
      </c>
      <c r="G123" s="41"/>
      <c r="H123" s="5">
        <v>0</v>
      </c>
      <c r="I123" s="5">
        <v>15</v>
      </c>
      <c r="J123" s="41">
        <f t="shared" si="52"/>
        <v>0.66647116845725263</v>
      </c>
      <c r="K123" s="41">
        <f t="shared" si="107"/>
        <v>750</v>
      </c>
      <c r="L123" s="6">
        <f t="shared" si="53"/>
        <v>133.5</v>
      </c>
      <c r="M123" s="41">
        <f t="shared" si="108"/>
        <v>444.363</v>
      </c>
      <c r="N123" s="41">
        <f t="shared" si="109"/>
        <v>635.42528605888174</v>
      </c>
      <c r="O123" s="41">
        <f t="shared" si="110"/>
        <v>4359836.2848053426</v>
      </c>
      <c r="P123" s="41">
        <f t="shared" si="111"/>
        <v>27993212.536376894</v>
      </c>
      <c r="Q123" s="41">
        <f t="shared" si="112"/>
        <v>2.4591751828942979E-3</v>
      </c>
      <c r="R123" s="41">
        <f t="shared" si="113"/>
        <v>2.0013264491569691E-2</v>
      </c>
      <c r="S123" s="24">
        <f t="shared" ca="1" si="114"/>
        <v>10.811798991313641</v>
      </c>
      <c r="T123" s="41">
        <f t="shared" ca="1" si="115"/>
        <v>0.11577701160100462</v>
      </c>
      <c r="U123" s="41">
        <f t="shared" ca="1" si="116"/>
        <v>2.0859837196433313E-2</v>
      </c>
      <c r="V123" s="41">
        <f t="shared" ca="1" si="117"/>
        <v>5.5502356279559351</v>
      </c>
      <c r="W123" s="20">
        <f t="shared" ca="1" si="118"/>
        <v>3048.6196440676281</v>
      </c>
      <c r="X123" s="41">
        <f t="shared" si="119"/>
        <v>0.56292323143868084</v>
      </c>
      <c r="Y123" s="41">
        <f t="shared" ca="1" si="120"/>
        <v>176.10138993200303</v>
      </c>
      <c r="Z123" s="14">
        <f t="shared" ca="1" si="121"/>
        <v>3103.7147958150144</v>
      </c>
      <c r="AA123" s="14">
        <f t="shared" si="122"/>
        <v>6280</v>
      </c>
      <c r="AB123" s="25">
        <f t="shared" ca="1" si="123"/>
        <v>2327786.0968612609</v>
      </c>
      <c r="AC123" s="41">
        <f t="shared" si="124"/>
        <v>4710000</v>
      </c>
      <c r="AD123" s="5">
        <v>100</v>
      </c>
      <c r="AE123" s="41">
        <f t="shared" si="125"/>
        <v>6280</v>
      </c>
      <c r="AF123" s="41">
        <f t="shared" ca="1" si="126"/>
        <v>3176.2852041849856</v>
      </c>
      <c r="AG123" s="41">
        <f t="shared" ca="1" si="127"/>
        <v>2382213.9031387391</v>
      </c>
      <c r="AH123" s="41">
        <f t="shared" si="128"/>
        <v>4427.3999999999996</v>
      </c>
      <c r="AI123" s="13">
        <f t="shared" ca="1" si="129"/>
        <v>140.68769568703991</v>
      </c>
      <c r="AJ123" s="10">
        <f t="shared" ca="1" si="130"/>
        <v>10.811798991313641</v>
      </c>
      <c r="AK123" s="11">
        <f t="shared" ca="1" si="60"/>
        <v>8441.2617412223935</v>
      </c>
      <c r="AL123" s="6">
        <v>10000</v>
      </c>
      <c r="AM123" s="41">
        <f t="shared" ca="1" si="131"/>
        <v>71.079421346448257</v>
      </c>
      <c r="AN123" s="41">
        <f t="shared" ca="1" si="132"/>
        <v>87.41584168590694</v>
      </c>
      <c r="AO123" s="41">
        <f t="shared" ca="1" si="133"/>
        <v>8.6178853112495997</v>
      </c>
      <c r="AP123" s="67">
        <f t="shared" si="56"/>
        <v>0.70499999999999996</v>
      </c>
      <c r="AQ123" s="11">
        <f t="shared" si="134"/>
        <v>1.0520562207183759</v>
      </c>
      <c r="AR123" s="11">
        <f t="shared" si="135"/>
        <v>1</v>
      </c>
      <c r="AS123" s="11">
        <f t="shared" si="136"/>
        <v>0.95051954477981193</v>
      </c>
      <c r="AT123" s="11">
        <f t="shared" si="137"/>
        <v>545.66999999999996</v>
      </c>
      <c r="AU123" s="11">
        <f t="shared" si="138"/>
        <v>2116.2199999999998</v>
      </c>
      <c r="AV123" s="11">
        <f t="shared" si="139"/>
        <v>2.259289905987135E-3</v>
      </c>
      <c r="AW123" s="11">
        <f t="shared" si="140"/>
        <v>3.8865391239478742E-7</v>
      </c>
      <c r="AX123" s="41">
        <f t="shared" ca="1" si="141"/>
        <v>138.28896539562206</v>
      </c>
      <c r="AY123" s="11">
        <f t="shared" ca="1" si="142"/>
        <v>643.23753015835211</v>
      </c>
      <c r="AZ123" s="11"/>
      <c r="BA123" s="11"/>
    </row>
    <row r="124" spans="1:53" ht="14.5">
      <c r="A124" s="41">
        <f t="shared" ca="1" si="102"/>
        <v>8455.6282457813522</v>
      </c>
      <c r="B124" s="41">
        <f t="shared" ca="1" si="103"/>
        <v>140.9271374296892</v>
      </c>
      <c r="C124" s="41">
        <f t="shared" ca="1" si="104"/>
        <v>2.3487856238281535</v>
      </c>
      <c r="D124" s="41">
        <f t="shared" ca="1" si="57"/>
        <v>17226.348438746474</v>
      </c>
      <c r="E124" s="41">
        <f t="shared" ca="1" si="105"/>
        <v>633.5933392643766</v>
      </c>
      <c r="F124" s="41">
        <f t="shared" ca="1" si="106"/>
        <v>633.5933392643766</v>
      </c>
      <c r="G124" s="41"/>
      <c r="H124" s="5">
        <v>0</v>
      </c>
      <c r="I124" s="5">
        <v>15</v>
      </c>
      <c r="J124" s="41">
        <f t="shared" si="52"/>
        <v>0.67091430958030096</v>
      </c>
      <c r="K124" s="41">
        <f t="shared" si="107"/>
        <v>755</v>
      </c>
      <c r="L124" s="6">
        <f t="shared" si="53"/>
        <v>134.73500000000001</v>
      </c>
      <c r="M124" s="41">
        <f t="shared" si="108"/>
        <v>447.32542000000001</v>
      </c>
      <c r="N124" s="41">
        <f t="shared" si="109"/>
        <v>643.92586433015833</v>
      </c>
      <c r="O124" s="41">
        <f t="shared" si="110"/>
        <v>4388901.860037379</v>
      </c>
      <c r="P124" s="41">
        <f t="shared" si="111"/>
        <v>28179833.953286074</v>
      </c>
      <c r="Q124" s="41">
        <f t="shared" si="112"/>
        <v>2.4554349602797605E-3</v>
      </c>
      <c r="R124" s="41">
        <f t="shared" si="113"/>
        <v>1.9990430432507939E-2</v>
      </c>
      <c r="S124" s="24">
        <f t="shared" ca="1" si="114"/>
        <v>10.695989858890147</v>
      </c>
      <c r="T124" s="41">
        <f t="shared" ca="1" si="115"/>
        <v>0.11429248616169427</v>
      </c>
      <c r="U124" s="41">
        <f t="shared" ca="1" si="116"/>
        <v>2.0815432336013358E-2</v>
      </c>
      <c r="V124" s="41">
        <f t="shared" ca="1" si="117"/>
        <v>5.490757257246762</v>
      </c>
      <c r="W124" s="20">
        <f t="shared" ca="1" si="118"/>
        <v>3082.8269094258653</v>
      </c>
      <c r="X124" s="41">
        <f t="shared" si="119"/>
        <v>0.56260200721280618</v>
      </c>
      <c r="Y124" s="41">
        <f t="shared" ca="1" si="120"/>
        <v>176.13519486100358</v>
      </c>
      <c r="Z124" s="14">
        <f t="shared" ca="1" si="121"/>
        <v>3137.3356409101766</v>
      </c>
      <c r="AA124" s="14">
        <f t="shared" si="122"/>
        <v>6280</v>
      </c>
      <c r="AB124" s="25">
        <f t="shared" ca="1" si="123"/>
        <v>2368688.4088871833</v>
      </c>
      <c r="AC124" s="41">
        <f t="shared" si="124"/>
        <v>4741400</v>
      </c>
      <c r="AD124" s="5">
        <v>100</v>
      </c>
      <c r="AE124" s="41">
        <f t="shared" si="125"/>
        <v>6280</v>
      </c>
      <c r="AF124" s="41">
        <f t="shared" ca="1" si="126"/>
        <v>3142.6643590898234</v>
      </c>
      <c r="AG124" s="41">
        <f t="shared" ca="1" si="127"/>
        <v>2372711.5911128167</v>
      </c>
      <c r="AH124" s="41">
        <f t="shared" si="128"/>
        <v>4427.3999999999996</v>
      </c>
      <c r="AI124" s="13">
        <f t="shared" ca="1" si="129"/>
        <v>140.12637048221254</v>
      </c>
      <c r="AJ124" s="10">
        <f t="shared" ca="1" si="130"/>
        <v>10.695989858890147</v>
      </c>
      <c r="AK124" s="11">
        <f t="shared" ca="1" si="60"/>
        <v>8407.5822289327516</v>
      </c>
      <c r="AL124" s="6">
        <v>10000</v>
      </c>
      <c r="AM124" s="41">
        <f t="shared" ca="1" si="131"/>
        <v>71.364154838145808</v>
      </c>
      <c r="AN124" s="41">
        <f t="shared" ca="1" si="132"/>
        <v>87.76601642511298</v>
      </c>
      <c r="AO124" s="41">
        <f t="shared" ca="1" si="133"/>
        <v>8.713434330007507</v>
      </c>
      <c r="AP124" s="67">
        <f t="shared" si="56"/>
        <v>0.70499999999999996</v>
      </c>
      <c r="AQ124" s="11">
        <f t="shared" si="134"/>
        <v>1.0520562207183759</v>
      </c>
      <c r="AR124" s="11">
        <f t="shared" si="135"/>
        <v>1</v>
      </c>
      <c r="AS124" s="11">
        <f t="shared" si="136"/>
        <v>0.95051954477981193</v>
      </c>
      <c r="AT124" s="11">
        <f t="shared" si="137"/>
        <v>545.66999999999996</v>
      </c>
      <c r="AU124" s="11">
        <f t="shared" si="138"/>
        <v>2116.2199999999998</v>
      </c>
      <c r="AV124" s="11">
        <f t="shared" si="139"/>
        <v>2.259289905987135E-3</v>
      </c>
      <c r="AW124" s="11">
        <f t="shared" si="140"/>
        <v>3.8865391239478742E-7</v>
      </c>
      <c r="AX124" s="41">
        <f t="shared" ca="1" si="141"/>
        <v>137.73735040538133</v>
      </c>
      <c r="AY124" s="11">
        <f t="shared" ca="1" si="142"/>
        <v>643.59513729901141</v>
      </c>
      <c r="AZ124" s="11"/>
      <c r="BA124" s="11"/>
    </row>
    <row r="125" spans="1:53" ht="14.5">
      <c r="A125" s="41">
        <f t="shared" ca="1" si="102"/>
        <v>8526.9924006194979</v>
      </c>
      <c r="B125" s="41">
        <f t="shared" ca="1" si="103"/>
        <v>142.11654001032497</v>
      </c>
      <c r="C125" s="41">
        <f t="shared" ca="1" si="104"/>
        <v>2.368609000172083</v>
      </c>
      <c r="D125" s="41">
        <f t="shared" ca="1" si="57"/>
        <v>17226.348438746474</v>
      </c>
      <c r="E125" s="41">
        <f t="shared" ca="1" si="105"/>
        <v>642.30677359438414</v>
      </c>
      <c r="F125" s="41">
        <f t="shared" ca="1" si="106"/>
        <v>642.30677359438414</v>
      </c>
      <c r="G125" s="41"/>
      <c r="H125" s="5">
        <v>0</v>
      </c>
      <c r="I125" s="5">
        <v>15</v>
      </c>
      <c r="J125" s="41">
        <f t="shared" si="52"/>
        <v>0.67535745070334929</v>
      </c>
      <c r="K125" s="41">
        <f t="shared" si="107"/>
        <v>760</v>
      </c>
      <c r="L125" s="6">
        <f t="shared" si="53"/>
        <v>135.97000000000003</v>
      </c>
      <c r="M125" s="41">
        <f t="shared" si="108"/>
        <v>450.28784000000002</v>
      </c>
      <c r="N125" s="41">
        <f t="shared" si="109"/>
        <v>652.48292484908461</v>
      </c>
      <c r="O125" s="41">
        <f t="shared" si="110"/>
        <v>4417967.4352694135</v>
      </c>
      <c r="P125" s="41">
        <f t="shared" si="111"/>
        <v>28366455.370195251</v>
      </c>
      <c r="Q125" s="41">
        <f t="shared" si="112"/>
        <v>2.4517100684139747E-3</v>
      </c>
      <c r="R125" s="41">
        <f t="shared" si="113"/>
        <v>1.9967689967667315E-2</v>
      </c>
      <c r="S125" s="24">
        <f t="shared" ca="1" si="114"/>
        <v>10.579502834270867</v>
      </c>
      <c r="T125" s="41">
        <f t="shared" ca="1" si="115"/>
        <v>0.11283666496820043</v>
      </c>
      <c r="U125" s="41">
        <f t="shared" ca="1" si="116"/>
        <v>2.0771808504877934E-2</v>
      </c>
      <c r="V125" s="41">
        <f t="shared" ca="1" si="117"/>
        <v>5.432202253438958</v>
      </c>
      <c r="W125" s="20">
        <f t="shared" ca="1" si="118"/>
        <v>3117.2475845636045</v>
      </c>
      <c r="X125" s="41">
        <f t="shared" si="119"/>
        <v>0.56228191726426213</v>
      </c>
      <c r="Y125" s="41">
        <f t="shared" ca="1" si="120"/>
        <v>176.16882823240155</v>
      </c>
      <c r="Z125" s="14">
        <f t="shared" ca="1" si="121"/>
        <v>3171.1537301176536</v>
      </c>
      <c r="AA125" s="14">
        <f t="shared" si="122"/>
        <v>6280</v>
      </c>
      <c r="AB125" s="25">
        <f t="shared" ca="1" si="123"/>
        <v>2410076.8348894166</v>
      </c>
      <c r="AC125" s="41">
        <f t="shared" si="124"/>
        <v>4772800</v>
      </c>
      <c r="AD125" s="5">
        <v>100</v>
      </c>
      <c r="AE125" s="41">
        <f t="shared" si="125"/>
        <v>6280</v>
      </c>
      <c r="AF125" s="41">
        <f t="shared" ca="1" si="126"/>
        <v>3108.8462698823464</v>
      </c>
      <c r="AG125" s="41">
        <f t="shared" ca="1" si="127"/>
        <v>2362723.1651105834</v>
      </c>
      <c r="AH125" s="41">
        <f t="shared" si="128"/>
        <v>4427.3999999999996</v>
      </c>
      <c r="AI125" s="13">
        <f t="shared" ca="1" si="129"/>
        <v>139.53577244061441</v>
      </c>
      <c r="AJ125" s="10">
        <f t="shared" ca="1" si="130"/>
        <v>10.579502834270867</v>
      </c>
      <c r="AK125" s="11">
        <f t="shared" ca="1" si="60"/>
        <v>8372.1463464368644</v>
      </c>
      <c r="AL125" s="6">
        <v>10000</v>
      </c>
      <c r="AM125" s="41">
        <f t="shared" ca="1" si="131"/>
        <v>71.666210213269437</v>
      </c>
      <c r="AN125" s="41">
        <f t="shared" ca="1" si="132"/>
        <v>88.13749419395252</v>
      </c>
      <c r="AO125" s="41">
        <f t="shared" ca="1" si="133"/>
        <v>8.8116280824197002</v>
      </c>
      <c r="AP125" s="67">
        <f t="shared" si="56"/>
        <v>0.70499999999999996</v>
      </c>
      <c r="AQ125" s="11">
        <f t="shared" si="134"/>
        <v>1.0520562207183759</v>
      </c>
      <c r="AR125" s="11">
        <f t="shared" si="135"/>
        <v>1</v>
      </c>
      <c r="AS125" s="11">
        <f t="shared" si="136"/>
        <v>0.95051954477981193</v>
      </c>
      <c r="AT125" s="11">
        <f t="shared" si="137"/>
        <v>545.66999999999996</v>
      </c>
      <c r="AU125" s="11">
        <f t="shared" si="138"/>
        <v>2116.2199999999998</v>
      </c>
      <c r="AV125" s="11">
        <f t="shared" si="139"/>
        <v>2.259289905987135E-3</v>
      </c>
      <c r="AW125" s="11">
        <f t="shared" si="140"/>
        <v>3.8865391239478742E-7</v>
      </c>
      <c r="AX125" s="41">
        <f t="shared" ca="1" si="141"/>
        <v>137.15751620327225</v>
      </c>
      <c r="AY125" s="11">
        <f t="shared" ca="1" si="142"/>
        <v>643.95189290192423</v>
      </c>
      <c r="AZ125" s="11"/>
      <c r="BA125" s="11"/>
    </row>
    <row r="126" spans="1:53" ht="14.5">
      <c r="A126" s="41">
        <f t="shared" ca="1" si="102"/>
        <v>8598.6586108327665</v>
      </c>
      <c r="B126" s="41">
        <f t="shared" ca="1" si="103"/>
        <v>143.31097684721277</v>
      </c>
      <c r="C126" s="41">
        <f t="shared" ca="1" si="104"/>
        <v>2.3885162807868796</v>
      </c>
      <c r="D126" s="41">
        <f t="shared" ca="1" si="57"/>
        <v>17226.348438746474</v>
      </c>
      <c r="E126" s="41">
        <f t="shared" ca="1" si="105"/>
        <v>651.11840167680384</v>
      </c>
      <c r="F126" s="41">
        <f t="shared" ca="1" si="106"/>
        <v>651.11840167680384</v>
      </c>
      <c r="G126" s="41"/>
      <c r="H126" s="5">
        <v>0</v>
      </c>
      <c r="I126" s="5">
        <v>15</v>
      </c>
      <c r="J126" s="41">
        <f t="shared" si="52"/>
        <v>0.67980059182639763</v>
      </c>
      <c r="K126" s="41">
        <f t="shared" si="107"/>
        <v>765</v>
      </c>
      <c r="L126" s="6">
        <f t="shared" si="53"/>
        <v>137.20500000000004</v>
      </c>
      <c r="M126" s="41">
        <f t="shared" si="108"/>
        <v>453.25026000000003</v>
      </c>
      <c r="N126" s="41">
        <f t="shared" si="109"/>
        <v>661.09646761566057</v>
      </c>
      <c r="O126" s="41">
        <f t="shared" si="110"/>
        <v>4447033.0105014499</v>
      </c>
      <c r="P126" s="41">
        <f t="shared" si="111"/>
        <v>28553076.787104432</v>
      </c>
      <c r="Q126" s="41">
        <f t="shared" si="112"/>
        <v>2.448000242713062E-3</v>
      </c>
      <c r="R126" s="41">
        <f t="shared" si="113"/>
        <v>1.9945041481763244E-2</v>
      </c>
      <c r="S126" s="24">
        <f t="shared" ca="1" si="114"/>
        <v>10.46234277820154</v>
      </c>
      <c r="T126" s="41">
        <f t="shared" ca="1" si="115"/>
        <v>0.1114087965875909</v>
      </c>
      <c r="U126" s="41">
        <f t="shared" ca="1" si="116"/>
        <v>2.0728937677966675E-2</v>
      </c>
      <c r="V126" s="41">
        <f t="shared" ca="1" si="117"/>
        <v>5.3745540807916168</v>
      </c>
      <c r="W126" s="20">
        <f t="shared" ca="1" si="118"/>
        <v>3151.880319555657</v>
      </c>
      <c r="X126" s="41">
        <f t="shared" si="119"/>
        <v>0.56196294077549414</v>
      </c>
      <c r="Y126" s="41">
        <f t="shared" ca="1" si="120"/>
        <v>176.20228227127515</v>
      </c>
      <c r="Z126" s="14">
        <f t="shared" ca="1" si="121"/>
        <v>3205.1679413390907</v>
      </c>
      <c r="AA126" s="14">
        <f t="shared" si="122"/>
        <v>6280</v>
      </c>
      <c r="AB126" s="25">
        <f t="shared" ca="1" si="123"/>
        <v>2451953.4751244043</v>
      </c>
      <c r="AC126" s="41">
        <f t="shared" si="124"/>
        <v>4804200</v>
      </c>
      <c r="AD126" s="5">
        <v>100</v>
      </c>
      <c r="AE126" s="41">
        <f t="shared" si="125"/>
        <v>6280</v>
      </c>
      <c r="AF126" s="41">
        <f t="shared" ca="1" si="126"/>
        <v>3074.8320586609093</v>
      </c>
      <c r="AG126" s="41">
        <f t="shared" ca="1" si="127"/>
        <v>2352246.5248755957</v>
      </c>
      <c r="AH126" s="41">
        <f t="shared" si="128"/>
        <v>4427.3999999999996</v>
      </c>
      <c r="AI126" s="13">
        <f t="shared" ca="1" si="129"/>
        <v>138.91577568217684</v>
      </c>
      <c r="AJ126" s="10">
        <f t="shared" ca="1" si="130"/>
        <v>10.46234277820154</v>
      </c>
      <c r="AK126" s="11">
        <f t="shared" ca="1" si="60"/>
        <v>8334.9465409306104</v>
      </c>
      <c r="AL126" s="6">
        <v>10000</v>
      </c>
      <c r="AM126" s="41">
        <f t="shared" ca="1" si="131"/>
        <v>71.986064584045792</v>
      </c>
      <c r="AN126" s="41">
        <f t="shared" ca="1" si="132"/>
        <v>88.530861760945641</v>
      </c>
      <c r="AO126" s="41">
        <f t="shared" ca="1" si="133"/>
        <v>8.9125693281259899</v>
      </c>
      <c r="AP126" s="67">
        <f t="shared" si="56"/>
        <v>0.70499999999999996</v>
      </c>
      <c r="AQ126" s="11">
        <f t="shared" si="134"/>
        <v>1.0520562207183759</v>
      </c>
      <c r="AR126" s="11">
        <f t="shared" si="135"/>
        <v>1</v>
      </c>
      <c r="AS126" s="11">
        <f t="shared" si="136"/>
        <v>0.95051954477981193</v>
      </c>
      <c r="AT126" s="11">
        <f t="shared" si="137"/>
        <v>545.66999999999996</v>
      </c>
      <c r="AU126" s="11">
        <f t="shared" si="138"/>
        <v>2116.2199999999998</v>
      </c>
      <c r="AV126" s="11">
        <f t="shared" si="139"/>
        <v>2.259289905987135E-3</v>
      </c>
      <c r="AW126" s="11">
        <f t="shared" si="140"/>
        <v>3.8865391239478742E-7</v>
      </c>
      <c r="AX126" s="41">
        <f t="shared" ca="1" si="141"/>
        <v>136.54934086813142</v>
      </c>
      <c r="AY126" s="11">
        <f t="shared" ca="1" si="142"/>
        <v>644.30781654425687</v>
      </c>
      <c r="AZ126" s="11"/>
      <c r="BA126" s="11"/>
    </row>
    <row r="127" spans="1:53" ht="14.5">
      <c r="A127" s="41">
        <f t="shared" ca="1" si="102"/>
        <v>8670.6446754168119</v>
      </c>
      <c r="B127" s="41">
        <f t="shared" ca="1" si="103"/>
        <v>144.51074459028021</v>
      </c>
      <c r="C127" s="41">
        <f t="shared" ca="1" si="104"/>
        <v>2.4085124098380035</v>
      </c>
      <c r="D127" s="41">
        <f t="shared" ca="1" si="57"/>
        <v>17226.348438746474</v>
      </c>
      <c r="E127" s="41">
        <f t="shared" ca="1" si="105"/>
        <v>660.03097100492982</v>
      </c>
      <c r="F127" s="41">
        <f t="shared" ca="1" si="106"/>
        <v>660.03097100492982</v>
      </c>
      <c r="G127" s="41"/>
      <c r="H127" s="5">
        <v>0</v>
      </c>
      <c r="I127" s="5">
        <v>15</v>
      </c>
      <c r="J127" s="41">
        <f t="shared" si="52"/>
        <v>0.68424373294944596</v>
      </c>
      <c r="K127" s="41">
        <f t="shared" si="107"/>
        <v>770</v>
      </c>
      <c r="L127" s="6">
        <f t="shared" si="53"/>
        <v>138.44000000000005</v>
      </c>
      <c r="M127" s="41">
        <f t="shared" si="108"/>
        <v>456.21268000000003</v>
      </c>
      <c r="N127" s="41">
        <f t="shared" si="109"/>
        <v>669.76649262988622</v>
      </c>
      <c r="O127" s="41">
        <f t="shared" si="110"/>
        <v>4476098.5857334863</v>
      </c>
      <c r="P127" s="41">
        <f t="shared" si="111"/>
        <v>28739698.204013616</v>
      </c>
      <c r="Q127" s="41">
        <f t="shared" si="112"/>
        <v>2.4443052248074118E-3</v>
      </c>
      <c r="R127" s="41">
        <f t="shared" si="113"/>
        <v>1.9922483397449248E-2</v>
      </c>
      <c r="S127" s="24">
        <f t="shared" ca="1" si="114"/>
        <v>10.344514445398492</v>
      </c>
      <c r="T127" s="41">
        <f t="shared" ca="1" si="115"/>
        <v>0.11000815403527983</v>
      </c>
      <c r="U127" s="41">
        <f t="shared" ca="1" si="116"/>
        <v>2.0686793051456581E-2</v>
      </c>
      <c r="V127" s="41">
        <f t="shared" ca="1" si="117"/>
        <v>5.3177964202399188</v>
      </c>
      <c r="W127" s="20">
        <f t="shared" ca="1" si="118"/>
        <v>3186.7237899419065</v>
      </c>
      <c r="X127" s="41">
        <f t="shared" si="119"/>
        <v>0.56164505740971638</v>
      </c>
      <c r="Y127" s="41">
        <f t="shared" ca="1" si="120"/>
        <v>176.23554925901681</v>
      </c>
      <c r="Z127" s="14">
        <f t="shared" ca="1" si="121"/>
        <v>3239.3771926247014</v>
      </c>
      <c r="AA127" s="14">
        <f t="shared" si="122"/>
        <v>6280</v>
      </c>
      <c r="AB127" s="25">
        <f t="shared" ca="1" si="123"/>
        <v>2494320.43832102</v>
      </c>
      <c r="AC127" s="41">
        <f t="shared" si="124"/>
        <v>4835600</v>
      </c>
      <c r="AD127" s="5">
        <v>100</v>
      </c>
      <c r="AE127" s="41">
        <f t="shared" si="125"/>
        <v>6280</v>
      </c>
      <c r="AF127" s="41">
        <f t="shared" ca="1" si="126"/>
        <v>3040.6228073752986</v>
      </c>
      <c r="AG127" s="41">
        <f t="shared" ca="1" si="127"/>
        <v>2341279.56167898</v>
      </c>
      <c r="AH127" s="41">
        <f t="shared" si="128"/>
        <v>4427.3999999999996</v>
      </c>
      <c r="AI127" s="13">
        <f t="shared" ca="1" si="129"/>
        <v>138.26625475584842</v>
      </c>
      <c r="AJ127" s="10">
        <f t="shared" ca="1" si="130"/>
        <v>10.344514445398492</v>
      </c>
      <c r="AK127" s="11">
        <f t="shared" ca="1" si="60"/>
        <v>8295.9752853509053</v>
      </c>
      <c r="AL127" s="6">
        <v>10000</v>
      </c>
      <c r="AM127" s="41">
        <f t="shared" ca="1" si="131"/>
        <v>72.324227033256051</v>
      </c>
      <c r="AN127" s="41">
        <f t="shared" ca="1" si="132"/>
        <v>88.946745213066052</v>
      </c>
      <c r="AO127" s="41">
        <f t="shared" ca="1" si="133"/>
        <v>9.0163664503891834</v>
      </c>
      <c r="AP127" s="67">
        <f t="shared" si="56"/>
        <v>0.70499999999999996</v>
      </c>
      <c r="AQ127" s="11">
        <f t="shared" si="134"/>
        <v>1.0520562207183759</v>
      </c>
      <c r="AR127" s="11">
        <f t="shared" si="135"/>
        <v>1</v>
      </c>
      <c r="AS127" s="11">
        <f t="shared" si="136"/>
        <v>0.95051954477981193</v>
      </c>
      <c r="AT127" s="11">
        <f t="shared" si="137"/>
        <v>545.66999999999996</v>
      </c>
      <c r="AU127" s="11">
        <f t="shared" si="138"/>
        <v>2116.2199999999998</v>
      </c>
      <c r="AV127" s="11">
        <f t="shared" si="139"/>
        <v>2.259289905987135E-3</v>
      </c>
      <c r="AW127" s="11">
        <f t="shared" si="140"/>
        <v>3.8865391239478742E-7</v>
      </c>
      <c r="AX127" s="41">
        <f t="shared" ca="1" si="141"/>
        <v>135.91270198696563</v>
      </c>
      <c r="AY127" s="11">
        <f t="shared" ca="1" si="142"/>
        <v>644.6629273744685</v>
      </c>
      <c r="AZ127" s="11"/>
      <c r="BA127" s="11"/>
    </row>
    <row r="128" spans="1:53" ht="14.5">
      <c r="A128" s="41">
        <f t="shared" ca="1" si="102"/>
        <v>8742.9689024500676</v>
      </c>
      <c r="B128" s="41">
        <f t="shared" ca="1" si="103"/>
        <v>145.7161483741678</v>
      </c>
      <c r="C128" s="41">
        <f t="shared" ca="1" si="104"/>
        <v>2.4286024729027966</v>
      </c>
      <c r="D128" s="41">
        <f t="shared" ca="1" si="57"/>
        <v>17226.348438746474</v>
      </c>
      <c r="E128" s="41">
        <f t="shared" ca="1" si="105"/>
        <v>669.04733745531905</v>
      </c>
      <c r="F128" s="41">
        <f t="shared" ca="1" si="106"/>
        <v>669.04733745531905</v>
      </c>
      <c r="G128" s="41"/>
      <c r="H128" s="5">
        <v>0</v>
      </c>
      <c r="I128" s="5">
        <v>15</v>
      </c>
      <c r="J128" s="41">
        <f t="shared" si="52"/>
        <v>0.68868687407249429</v>
      </c>
      <c r="K128" s="41">
        <f t="shared" si="107"/>
        <v>775</v>
      </c>
      <c r="L128" s="6">
        <f t="shared" si="53"/>
        <v>139.67500000000007</v>
      </c>
      <c r="M128" s="41">
        <f t="shared" si="108"/>
        <v>459.17509999999999</v>
      </c>
      <c r="N128" s="41">
        <f t="shared" si="109"/>
        <v>678.49299989176143</v>
      </c>
      <c r="O128" s="41">
        <f t="shared" si="110"/>
        <v>4505164.1609655218</v>
      </c>
      <c r="P128" s="41">
        <f t="shared" si="111"/>
        <v>28926319.620922793</v>
      </c>
      <c r="Q128" s="41">
        <f t="shared" si="112"/>
        <v>2.4406247623706941E-3</v>
      </c>
      <c r="R128" s="41">
        <f t="shared" si="113"/>
        <v>1.9900014174273086E-2</v>
      </c>
      <c r="S128" s="24">
        <f t="shared" ca="1" si="114"/>
        <v>10.22602248789239</v>
      </c>
      <c r="T128" s="41">
        <f t="shared" ca="1" si="115"/>
        <v>0.1086340338262973</v>
      </c>
      <c r="U128" s="41">
        <f t="shared" ca="1" si="116"/>
        <v>2.0645348981306426E-2</v>
      </c>
      <c r="V128" s="41">
        <f t="shared" ca="1" si="117"/>
        <v>5.2619131759245761</v>
      </c>
      <c r="W128" s="20">
        <f t="shared" ca="1" si="118"/>
        <v>3221.7766957519507</v>
      </c>
      <c r="X128" s="41">
        <f t="shared" si="119"/>
        <v>0.56132824729795538</v>
      </c>
      <c r="Y128" s="41">
        <f t="shared" ca="1" si="120"/>
        <v>176.26862153153769</v>
      </c>
      <c r="Z128" s="14">
        <f t="shared" ca="1" si="121"/>
        <v>3273.780441221289</v>
      </c>
      <c r="AA128" s="14">
        <f t="shared" si="122"/>
        <v>6280</v>
      </c>
      <c r="AB128" s="25">
        <f t="shared" ca="1" si="123"/>
        <v>2537179.841946499</v>
      </c>
      <c r="AC128" s="41">
        <f t="shared" si="124"/>
        <v>4867000</v>
      </c>
      <c r="AD128" s="5">
        <v>100</v>
      </c>
      <c r="AE128" s="41">
        <f t="shared" si="125"/>
        <v>6280</v>
      </c>
      <c r="AF128" s="41">
        <f t="shared" ca="1" si="126"/>
        <v>3006.219558778711</v>
      </c>
      <c r="AG128" s="41">
        <f t="shared" ca="1" si="127"/>
        <v>2329820.158053501</v>
      </c>
      <c r="AH128" s="41">
        <f t="shared" si="128"/>
        <v>4427.3999999999996</v>
      </c>
      <c r="AI128" s="13">
        <f t="shared" ca="1" si="129"/>
        <v>137.5870846465188</v>
      </c>
      <c r="AJ128" s="10">
        <f t="shared" ca="1" si="130"/>
        <v>10.22602248789239</v>
      </c>
      <c r="AK128" s="11">
        <f t="shared" ca="1" si="60"/>
        <v>8255.2250787911289</v>
      </c>
      <c r="AL128" s="6">
        <v>10000</v>
      </c>
      <c r="AM128" s="41">
        <f t="shared" ca="1" si="131"/>
        <v>72.681240580767096</v>
      </c>
      <c r="AN128" s="41">
        <f t="shared" ca="1" si="132"/>
        <v>89.385812374246726</v>
      </c>
      <c r="AO128" s="41">
        <f t="shared" ca="1" si="133"/>
        <v>9.1231338384165088</v>
      </c>
      <c r="AP128" s="67">
        <f t="shared" si="56"/>
        <v>0.70499999999999996</v>
      </c>
      <c r="AQ128" s="11">
        <f t="shared" si="134"/>
        <v>1.0520562207183759</v>
      </c>
      <c r="AR128" s="11">
        <f t="shared" si="135"/>
        <v>1</v>
      </c>
      <c r="AS128" s="11">
        <f t="shared" si="136"/>
        <v>0.95051954477981193</v>
      </c>
      <c r="AT128" s="11">
        <f t="shared" si="137"/>
        <v>545.66999999999996</v>
      </c>
      <c r="AU128" s="11">
        <f t="shared" si="138"/>
        <v>2116.2199999999998</v>
      </c>
      <c r="AV128" s="11">
        <f t="shared" si="139"/>
        <v>2.259289905987135E-3</v>
      </c>
      <c r="AW128" s="11">
        <f t="shared" si="140"/>
        <v>3.8865391239478742E-7</v>
      </c>
      <c r="AX128" s="41">
        <f t="shared" ca="1" si="141"/>
        <v>135.2474766395145</v>
      </c>
      <c r="AY128" s="11">
        <f t="shared" ca="1" si="142"/>
        <v>645.01724412334784</v>
      </c>
      <c r="AZ128" s="11"/>
      <c r="BA128" s="11"/>
    </row>
    <row r="129" spans="1:53" ht="14.5">
      <c r="A129" s="41">
        <f t="shared" ca="1" si="102"/>
        <v>8815.6501430308344</v>
      </c>
      <c r="B129" s="41">
        <f t="shared" ca="1" si="103"/>
        <v>146.92750238384724</v>
      </c>
      <c r="C129" s="41">
        <f t="shared" ca="1" si="104"/>
        <v>2.4487917063974538</v>
      </c>
      <c r="D129" s="41">
        <f t="shared" ca="1" si="57"/>
        <v>17226.348438746474</v>
      </c>
      <c r="E129" s="41">
        <f t="shared" ca="1" si="105"/>
        <v>678.17047129373555</v>
      </c>
      <c r="F129" s="41">
        <f t="shared" ca="1" si="106"/>
        <v>678.17047129373555</v>
      </c>
      <c r="G129" s="41"/>
      <c r="H129" s="5">
        <v>0</v>
      </c>
      <c r="I129" s="5">
        <v>15</v>
      </c>
      <c r="J129" s="41">
        <f t="shared" si="52"/>
        <v>0.69313001519554274</v>
      </c>
      <c r="K129" s="41">
        <f t="shared" si="107"/>
        <v>780</v>
      </c>
      <c r="L129" s="6">
        <f t="shared" si="53"/>
        <v>140.91000000000008</v>
      </c>
      <c r="M129" s="41">
        <f t="shared" si="108"/>
        <v>462.13751999999999</v>
      </c>
      <c r="N129" s="41">
        <f t="shared" si="109"/>
        <v>687.27598940128644</v>
      </c>
      <c r="O129" s="41">
        <f t="shared" si="110"/>
        <v>4534229.7361975573</v>
      </c>
      <c r="P129" s="41">
        <f t="shared" si="111"/>
        <v>29112941.037831973</v>
      </c>
      <c r="Q129" s="41">
        <f t="shared" si="112"/>
        <v>2.4369586089546262E-3</v>
      </c>
      <c r="R129" s="41">
        <f t="shared" si="113"/>
        <v>1.9877632307667994E-2</v>
      </c>
      <c r="S129" s="24">
        <f t="shared" ca="1" si="114"/>
        <v>10.106871458216055</v>
      </c>
      <c r="T129" s="41">
        <f t="shared" ca="1" si="115"/>
        <v>0.10728575506925489</v>
      </c>
      <c r="U129" s="41">
        <f t="shared" ca="1" si="116"/>
        <v>2.060458092529133E-2</v>
      </c>
      <c r="V129" s="41">
        <f t="shared" ca="1" si="117"/>
        <v>5.2068884806856595</v>
      </c>
      <c r="W129" s="20">
        <f t="shared" ca="1" si="118"/>
        <v>3257.0377605745489</v>
      </c>
      <c r="X129" s="41">
        <f t="shared" si="119"/>
        <v>0.56101249102652395</v>
      </c>
      <c r="Y129" s="41">
        <f t="shared" ca="1" si="120"/>
        <v>176.30149147754531</v>
      </c>
      <c r="Z129" s="14">
        <f t="shared" ca="1" si="121"/>
        <v>3308.3766826667379</v>
      </c>
      <c r="AA129" s="14">
        <f t="shared" si="122"/>
        <v>6280</v>
      </c>
      <c r="AB129" s="25">
        <f t="shared" ca="1" si="123"/>
        <v>2580533.8124800557</v>
      </c>
      <c r="AC129" s="41">
        <f t="shared" si="124"/>
        <v>4898400</v>
      </c>
      <c r="AD129" s="5">
        <v>100</v>
      </c>
      <c r="AE129" s="41">
        <f t="shared" si="125"/>
        <v>6280</v>
      </c>
      <c r="AF129" s="41">
        <f t="shared" ca="1" si="126"/>
        <v>2971.6233173332621</v>
      </c>
      <c r="AG129" s="41">
        <f t="shared" ca="1" si="127"/>
        <v>2317866.1875199443</v>
      </c>
      <c r="AH129" s="41">
        <f t="shared" si="128"/>
        <v>4427.3999999999996</v>
      </c>
      <c r="AI129" s="13">
        <f t="shared" ca="1" si="129"/>
        <v>136.87814078161259</v>
      </c>
      <c r="AJ129" s="10">
        <f t="shared" ca="1" si="130"/>
        <v>10.106871458216055</v>
      </c>
      <c r="AK129" s="11">
        <f t="shared" ca="1" si="60"/>
        <v>8212.6884468967546</v>
      </c>
      <c r="AL129" s="6">
        <v>10000</v>
      </c>
      <c r="AM129" s="41">
        <f t="shared" ca="1" si="131"/>
        <v>73.057684323422237</v>
      </c>
      <c r="AN129" s="41">
        <f t="shared" ca="1" si="132"/>
        <v>89.848775437088776</v>
      </c>
      <c r="AO129" s="41">
        <f t="shared" ca="1" si="133"/>
        <v>9.2329923016472133</v>
      </c>
      <c r="AP129" s="67">
        <f t="shared" si="56"/>
        <v>0.70499999999999996</v>
      </c>
      <c r="AQ129" s="11">
        <f t="shared" si="134"/>
        <v>1.0520562207183759</v>
      </c>
      <c r="AR129" s="11">
        <f t="shared" si="135"/>
        <v>1</v>
      </c>
      <c r="AS129" s="11">
        <f t="shared" si="136"/>
        <v>0.95051954477981193</v>
      </c>
      <c r="AT129" s="11">
        <f t="shared" si="137"/>
        <v>545.66999999999996</v>
      </c>
      <c r="AU129" s="11">
        <f t="shared" si="138"/>
        <v>2116.2199999999998</v>
      </c>
      <c r="AV129" s="11">
        <f t="shared" si="139"/>
        <v>2.259289905987135E-3</v>
      </c>
      <c r="AW129" s="11">
        <f t="shared" si="140"/>
        <v>3.8865391239478742E-7</v>
      </c>
      <c r="AX129" s="41">
        <f t="shared" ca="1" si="141"/>
        <v>134.55354138236686</v>
      </c>
      <c r="AY129" s="11">
        <f t="shared" ca="1" si="142"/>
        <v>645.37078511469258</v>
      </c>
      <c r="AZ129" s="11"/>
      <c r="BA129" s="11"/>
    </row>
    <row r="130" spans="1:53" ht="14.5">
      <c r="A130" s="41">
        <f t="shared" ca="1" si="102"/>
        <v>8888.7078273542575</v>
      </c>
      <c r="B130" s="41">
        <f t="shared" ca="1" si="103"/>
        <v>148.14513045590428</v>
      </c>
      <c r="C130" s="41">
        <f t="shared" ca="1" si="104"/>
        <v>2.4690855075984048</v>
      </c>
      <c r="D130" s="41">
        <f t="shared" ca="1" si="57"/>
        <v>17226.348438746474</v>
      </c>
      <c r="E130" s="41">
        <f t="shared" ca="1" si="105"/>
        <v>687.40346359538273</v>
      </c>
      <c r="F130" s="41">
        <f t="shared" ca="1" si="106"/>
        <v>687.40346359538273</v>
      </c>
      <c r="G130" s="41"/>
      <c r="H130" s="5">
        <v>0</v>
      </c>
      <c r="I130" s="5">
        <v>15</v>
      </c>
      <c r="J130" s="41">
        <f t="shared" si="52"/>
        <v>0.69757315631859107</v>
      </c>
      <c r="K130" s="41">
        <f t="shared" si="107"/>
        <v>785</v>
      </c>
      <c r="L130" s="6">
        <f t="shared" si="53"/>
        <v>142.1450000000001</v>
      </c>
      <c r="M130" s="41">
        <f t="shared" si="108"/>
        <v>465.09994</v>
      </c>
      <c r="N130" s="41">
        <f t="shared" si="109"/>
        <v>696.11546115846113</v>
      </c>
      <c r="O130" s="41">
        <f t="shared" si="110"/>
        <v>4563295.3114295918</v>
      </c>
      <c r="P130" s="41">
        <f t="shared" si="111"/>
        <v>29299562.454741146</v>
      </c>
      <c r="Q130" s="41">
        <f t="shared" si="112"/>
        <v>2.4333065238291789E-3</v>
      </c>
      <c r="R130" s="41">
        <f t="shared" si="113"/>
        <v>1.985533632797714E-2</v>
      </c>
      <c r="S130" s="24">
        <f t="shared" ca="1" si="114"/>
        <v>9.9870658124445857</v>
      </c>
      <c r="T130" s="41">
        <f t="shared" ca="1" si="115"/>
        <v>0.10596265860082391</v>
      </c>
      <c r="U130" s="41">
        <f t="shared" ca="1" si="116"/>
        <v>2.0564465388307189E-2</v>
      </c>
      <c r="V130" s="41">
        <f t="shared" ca="1" si="117"/>
        <v>5.1527067006115086</v>
      </c>
      <c r="W130" s="20">
        <f t="shared" ca="1" si="118"/>
        <v>3292.5057306694944</v>
      </c>
      <c r="X130" s="41">
        <f t="shared" si="119"/>
        <v>0.56069776962490114</v>
      </c>
      <c r="Y130" s="41">
        <f t="shared" ca="1" si="120"/>
        <v>176.33415153688924</v>
      </c>
      <c r="Z130" s="14">
        <f t="shared" ca="1" si="121"/>
        <v>3343.1649499285686</v>
      </c>
      <c r="AA130" s="14">
        <f t="shared" si="122"/>
        <v>6280</v>
      </c>
      <c r="AB130" s="25">
        <f t="shared" ca="1" si="123"/>
        <v>2624384.4856939265</v>
      </c>
      <c r="AC130" s="41">
        <f t="shared" si="124"/>
        <v>4929800</v>
      </c>
      <c r="AD130" s="5">
        <v>100</v>
      </c>
      <c r="AE130" s="41">
        <f t="shared" si="125"/>
        <v>6280</v>
      </c>
      <c r="AF130" s="41">
        <f t="shared" ca="1" si="126"/>
        <v>2936.8350500714314</v>
      </c>
      <c r="AG130" s="41">
        <f t="shared" ca="1" si="127"/>
        <v>2305415.5143060735</v>
      </c>
      <c r="AH130" s="41">
        <f t="shared" si="128"/>
        <v>4427.3999999999996</v>
      </c>
      <c r="AI130" s="13">
        <f t="shared" ca="1" si="129"/>
        <v>136.13929903737053</v>
      </c>
      <c r="AJ130" s="10">
        <f t="shared" ca="1" si="130"/>
        <v>9.9870658124445857</v>
      </c>
      <c r="AK130" s="11">
        <f t="shared" ca="1" si="60"/>
        <v>8168.3579422422317</v>
      </c>
      <c r="AL130" s="6">
        <v>10000</v>
      </c>
      <c r="AM130" s="41">
        <f t="shared" ca="1" si="131"/>
        <v>73.454175764890479</v>
      </c>
      <c r="AN130" s="41">
        <f t="shared" ca="1" si="132"/>
        <v>90.336393828187795</v>
      </c>
      <c r="AO130" s="41">
        <f t="shared" ca="1" si="133"/>
        <v>9.3460695191493812</v>
      </c>
      <c r="AP130" s="67">
        <f t="shared" si="56"/>
        <v>0.70499999999999996</v>
      </c>
      <c r="AQ130" s="11">
        <f t="shared" si="134"/>
        <v>1.0520562207183759</v>
      </c>
      <c r="AR130" s="11">
        <f t="shared" si="135"/>
        <v>1</v>
      </c>
      <c r="AS130" s="11">
        <f t="shared" si="136"/>
        <v>0.95051954477981193</v>
      </c>
      <c r="AT130" s="11">
        <f t="shared" si="137"/>
        <v>545.66999999999996</v>
      </c>
      <c r="AU130" s="11">
        <f t="shared" si="138"/>
        <v>2116.2199999999998</v>
      </c>
      <c r="AV130" s="11">
        <f t="shared" si="139"/>
        <v>2.259289905987135E-3</v>
      </c>
      <c r="AW130" s="11">
        <f t="shared" si="140"/>
        <v>3.8865391239478742E-7</v>
      </c>
      <c r="AX130" s="41">
        <f t="shared" ca="1" si="141"/>
        <v>133.83077223264584</v>
      </c>
      <c r="AY130" s="11">
        <f t="shared" ca="1" si="142"/>
        <v>645.72356827565159</v>
      </c>
      <c r="AZ130" s="11"/>
      <c r="BA130" s="11"/>
    </row>
    <row r="131" spans="1:53" ht="14.5">
      <c r="A131" s="41">
        <f t="shared" ca="1" si="102"/>
        <v>8962.1620031191487</v>
      </c>
      <c r="B131" s="41">
        <f t="shared" ca="1" si="103"/>
        <v>149.36936671865249</v>
      </c>
      <c r="C131" s="41">
        <f t="shared" ca="1" si="104"/>
        <v>2.4894894453108747</v>
      </c>
      <c r="D131" s="41">
        <f t="shared" ca="1" si="57"/>
        <v>17226.348438746474</v>
      </c>
      <c r="E131" s="41">
        <f t="shared" ca="1" si="105"/>
        <v>696.74953311453214</v>
      </c>
      <c r="F131" s="41">
        <f t="shared" ca="1" si="106"/>
        <v>696.74953311453214</v>
      </c>
      <c r="G131" s="41"/>
      <c r="H131" s="5">
        <v>0</v>
      </c>
      <c r="I131" s="5">
        <v>15</v>
      </c>
      <c r="J131" s="41">
        <f t="shared" si="52"/>
        <v>0.7020162974416394</v>
      </c>
      <c r="K131" s="41">
        <f t="shared" si="107"/>
        <v>790</v>
      </c>
      <c r="L131" s="6">
        <f t="shared" si="53"/>
        <v>143.38000000000011</v>
      </c>
      <c r="M131" s="41">
        <f t="shared" si="108"/>
        <v>468.06236000000001</v>
      </c>
      <c r="N131" s="41">
        <f t="shared" si="109"/>
        <v>705.01141516328551</v>
      </c>
      <c r="O131" s="41">
        <f t="shared" si="110"/>
        <v>4592360.8866616273</v>
      </c>
      <c r="P131" s="41">
        <f t="shared" si="111"/>
        <v>29486183.871650323</v>
      </c>
      <c r="Q131" s="41">
        <f t="shared" si="112"/>
        <v>2.429668271828108E-3</v>
      </c>
      <c r="R131" s="41">
        <f t="shared" si="113"/>
        <v>1.9833124799510601E-2</v>
      </c>
      <c r="S131" s="24">
        <f t="shared" ca="1" si="114"/>
        <v>9.8666099130950329</v>
      </c>
      <c r="T131" s="41">
        <f t="shared" ca="1" si="115"/>
        <v>0.10466410615866763</v>
      </c>
      <c r="U131" s="41">
        <f t="shared" ca="1" si="116"/>
        <v>2.0524979870740777E-2</v>
      </c>
      <c r="V131" s="41">
        <f t="shared" ca="1" si="117"/>
        <v>5.0993524387261751</v>
      </c>
      <c r="W131" s="20">
        <f t="shared" ca="1" si="118"/>
        <v>3328.179374119848</v>
      </c>
      <c r="X131" s="41">
        <f t="shared" si="119"/>
        <v>0.56038406455401202</v>
      </c>
      <c r="Y131" s="41">
        <f t="shared" ca="1" si="120"/>
        <v>176.36659419897234</v>
      </c>
      <c r="Z131" s="14">
        <f t="shared" ca="1" si="121"/>
        <v>3378.1443125844503</v>
      </c>
      <c r="AA131" s="14">
        <f t="shared" si="122"/>
        <v>6280</v>
      </c>
      <c r="AB131" s="25">
        <f t="shared" ca="1" si="123"/>
        <v>2668734.0069417157</v>
      </c>
      <c r="AC131" s="41">
        <f t="shared" si="124"/>
        <v>4961200</v>
      </c>
      <c r="AD131" s="5">
        <v>100</v>
      </c>
      <c r="AE131" s="41">
        <f t="shared" si="125"/>
        <v>6280</v>
      </c>
      <c r="AF131" s="41">
        <f t="shared" ca="1" si="126"/>
        <v>2901.8556874155497</v>
      </c>
      <c r="AG131" s="41">
        <f t="shared" ca="1" si="127"/>
        <v>2292465.9930582843</v>
      </c>
      <c r="AH131" s="41">
        <f t="shared" si="128"/>
        <v>4427.3999999999996</v>
      </c>
      <c r="AI131" s="13">
        <f t="shared" ca="1" si="129"/>
        <v>135.37043574482641</v>
      </c>
      <c r="AJ131" s="10">
        <f t="shared" ca="1" si="130"/>
        <v>9.8666099130950329</v>
      </c>
      <c r="AK131" s="11">
        <f t="shared" ca="1" si="60"/>
        <v>8122.2261446895845</v>
      </c>
      <c r="AL131" s="6">
        <v>10000</v>
      </c>
      <c r="AM131" s="41">
        <f t="shared" ca="1" si="131"/>
        <v>73.871373354001932</v>
      </c>
      <c r="AN131" s="41">
        <f t="shared" ca="1" si="132"/>
        <v>90.849477329863376</v>
      </c>
      <c r="AO131" s="41">
        <f t="shared" ca="1" si="133"/>
        <v>9.4625005276289187</v>
      </c>
      <c r="AP131" s="67">
        <f t="shared" si="56"/>
        <v>0.70499999999999996</v>
      </c>
      <c r="AQ131" s="11">
        <f t="shared" si="134"/>
        <v>1.0520562207183759</v>
      </c>
      <c r="AR131" s="11">
        <f t="shared" si="135"/>
        <v>1</v>
      </c>
      <c r="AS131" s="11">
        <f t="shared" si="136"/>
        <v>0.95051954477981193</v>
      </c>
      <c r="AT131" s="11">
        <f t="shared" si="137"/>
        <v>545.66999999999996</v>
      </c>
      <c r="AU131" s="11">
        <f t="shared" si="138"/>
        <v>2116.2199999999998</v>
      </c>
      <c r="AV131" s="11">
        <f t="shared" si="139"/>
        <v>2.259289905987135E-3</v>
      </c>
      <c r="AW131" s="11">
        <f t="shared" si="140"/>
        <v>3.8865391239478742E-7</v>
      </c>
      <c r="AX131" s="41">
        <f t="shared" ca="1" si="141"/>
        <v>133.07904465127041</v>
      </c>
      <c r="AY131" s="11">
        <f t="shared" ca="1" si="142"/>
        <v>646.0756111467349</v>
      </c>
      <c r="AZ131" s="11"/>
      <c r="BA131" s="11"/>
    </row>
    <row r="132" spans="1:53" ht="14.5">
      <c r="A132" s="41">
        <f t="shared" ca="1" si="102"/>
        <v>9036.0333764731513</v>
      </c>
      <c r="B132" s="41">
        <f t="shared" ca="1" si="103"/>
        <v>150.60055627455253</v>
      </c>
      <c r="C132" s="41">
        <f t="shared" ca="1" si="104"/>
        <v>2.5100092712425424</v>
      </c>
      <c r="D132" s="41">
        <f t="shared" ca="1" si="57"/>
        <v>17226.348438746474</v>
      </c>
      <c r="E132" s="41">
        <f t="shared" ca="1" si="105"/>
        <v>706.21203364216103</v>
      </c>
      <c r="F132" s="41">
        <f t="shared" ca="1" si="106"/>
        <v>706.21203364216103</v>
      </c>
      <c r="G132" s="41"/>
      <c r="H132" s="5">
        <v>0</v>
      </c>
      <c r="I132" s="5">
        <v>15</v>
      </c>
      <c r="J132" s="41">
        <f t="shared" si="52"/>
        <v>0.70645943856468774</v>
      </c>
      <c r="K132" s="41">
        <f t="shared" si="107"/>
        <v>795</v>
      </c>
      <c r="L132" s="6">
        <f t="shared" si="53"/>
        <v>144.61500000000012</v>
      </c>
      <c r="M132" s="41">
        <f t="shared" si="108"/>
        <v>471.02478000000002</v>
      </c>
      <c r="N132" s="41">
        <f t="shared" si="109"/>
        <v>713.96385141575945</v>
      </c>
      <c r="O132" s="41">
        <f t="shared" si="110"/>
        <v>4621426.4618936637</v>
      </c>
      <c r="P132" s="41">
        <f t="shared" si="111"/>
        <v>29672805.288559508</v>
      </c>
      <c r="Q132" s="41">
        <f t="shared" si="112"/>
        <v>2.4260436231994891E-3</v>
      </c>
      <c r="R132" s="41">
        <f t="shared" si="113"/>
        <v>1.981099631963288E-2</v>
      </c>
      <c r="S132" s="24">
        <f t="shared" ca="1" si="114"/>
        <v>9.7455080318931682</v>
      </c>
      <c r="T132" s="41">
        <f t="shared" ca="1" si="115"/>
        <v>0.10338947959088594</v>
      </c>
      <c r="U132" s="41">
        <f t="shared" ca="1" si="116"/>
        <v>2.0486102819714289E-2</v>
      </c>
      <c r="V132" s="41">
        <f t="shared" ca="1" si="117"/>
        <v>5.046810537892628</v>
      </c>
      <c r="W132" s="20">
        <f t="shared" ca="1" si="118"/>
        <v>3364.0574800223667</v>
      </c>
      <c r="X132" s="41">
        <f t="shared" si="119"/>
        <v>0.56007135769488114</v>
      </c>
      <c r="Y132" s="41">
        <f t="shared" ca="1" si="120"/>
        <v>176.39881200122269</v>
      </c>
      <c r="Z132" s="14">
        <f t="shared" ca="1" si="121"/>
        <v>3413.3138760425109</v>
      </c>
      <c r="AA132" s="14">
        <f t="shared" si="122"/>
        <v>6280</v>
      </c>
      <c r="AB132" s="25">
        <f t="shared" ca="1" si="123"/>
        <v>2713584.5314537962</v>
      </c>
      <c r="AC132" s="41">
        <f t="shared" si="124"/>
        <v>4992600</v>
      </c>
      <c r="AD132" s="5">
        <v>100</v>
      </c>
      <c r="AE132" s="41">
        <f t="shared" si="125"/>
        <v>6280</v>
      </c>
      <c r="AF132" s="41">
        <f t="shared" ca="1" si="126"/>
        <v>2866.6861239574891</v>
      </c>
      <c r="AG132" s="41">
        <f t="shared" ca="1" si="127"/>
        <v>2279015.4685462038</v>
      </c>
      <c r="AH132" s="41">
        <f t="shared" si="128"/>
        <v>4427.3999999999996</v>
      </c>
      <c r="AI132" s="13">
        <f t="shared" ca="1" si="129"/>
        <v>134.57142769549756</v>
      </c>
      <c r="AJ132" s="10">
        <f t="shared" ca="1" si="130"/>
        <v>9.7455080318931682</v>
      </c>
      <c r="AK132" s="11">
        <f t="shared" ca="1" si="60"/>
        <v>8074.2856617298539</v>
      </c>
      <c r="AL132" s="6">
        <v>10000</v>
      </c>
      <c r="AM132" s="41">
        <f t="shared" ca="1" si="131"/>
        <v>74.309979252264228</v>
      </c>
      <c r="AN132" s="41">
        <f t="shared" ca="1" si="132"/>
        <v>91.388889483742958</v>
      </c>
      <c r="AO132" s="41">
        <f t="shared" ca="1" si="133"/>
        <v>9.5824282519592892</v>
      </c>
      <c r="AP132" s="67">
        <f t="shared" si="56"/>
        <v>0.70499999999999996</v>
      </c>
      <c r="AQ132" s="11">
        <f t="shared" si="134"/>
        <v>1.0520562207183759</v>
      </c>
      <c r="AR132" s="11">
        <f t="shared" si="135"/>
        <v>1</v>
      </c>
      <c r="AS132" s="11">
        <f t="shared" si="136"/>
        <v>0.95051954477981193</v>
      </c>
      <c r="AT132" s="11">
        <f t="shared" si="137"/>
        <v>545.66999999999996</v>
      </c>
      <c r="AU132" s="11">
        <f t="shared" si="138"/>
        <v>2116.2199999999998</v>
      </c>
      <c r="AV132" s="11">
        <f t="shared" si="139"/>
        <v>2.259289905987135E-3</v>
      </c>
      <c r="AW132" s="11">
        <f t="shared" si="140"/>
        <v>3.8865391239478742E-7</v>
      </c>
      <c r="AX132" s="41">
        <f t="shared" ca="1" si="141"/>
        <v>132.29823352580712</v>
      </c>
      <c r="AY132" s="11">
        <f t="shared" ca="1" si="142"/>
        <v>646.42693089151408</v>
      </c>
      <c r="AZ132" s="11"/>
      <c r="BA132" s="11"/>
    </row>
    <row r="133" spans="1:53" ht="14.5">
      <c r="A133" s="41">
        <f t="shared" ca="1" si="102"/>
        <v>9110.3433557254157</v>
      </c>
      <c r="B133" s="41">
        <f t="shared" ca="1" si="103"/>
        <v>151.83905592875692</v>
      </c>
      <c r="C133" s="41">
        <f t="shared" ca="1" si="104"/>
        <v>2.5306509321459485</v>
      </c>
      <c r="D133" s="41">
        <f t="shared" ca="1" si="57"/>
        <v>17226.348438746474</v>
      </c>
      <c r="E133" s="41">
        <f t="shared" ca="1" si="105"/>
        <v>715.79446189412033</v>
      </c>
      <c r="F133" s="41">
        <f t="shared" ca="1" si="106"/>
        <v>715.79446189412033</v>
      </c>
      <c r="G133" s="41"/>
      <c r="H133" s="5">
        <v>0</v>
      </c>
      <c r="I133" s="5">
        <v>15</v>
      </c>
      <c r="J133" s="41">
        <f t="shared" si="52"/>
        <v>0.71090257968773607</v>
      </c>
      <c r="K133" s="41">
        <f t="shared" si="107"/>
        <v>800</v>
      </c>
      <c r="L133" s="6">
        <f t="shared" si="53"/>
        <v>145.85000000000014</v>
      </c>
      <c r="M133" s="41">
        <f t="shared" si="108"/>
        <v>473.98720000000003</v>
      </c>
      <c r="N133" s="41">
        <f t="shared" si="109"/>
        <v>722.97276991588319</v>
      </c>
      <c r="O133" s="41">
        <f t="shared" si="110"/>
        <v>4650492.0371256992</v>
      </c>
      <c r="P133" s="41">
        <f t="shared" si="111"/>
        <v>29859426.705468688</v>
      </c>
      <c r="Q133" s="41">
        <f t="shared" si="112"/>
        <v>2.4224323534611627E-3</v>
      </c>
      <c r="R133" s="41">
        <f t="shared" si="113"/>
        <v>1.9788949517880398E-2</v>
      </c>
      <c r="S133" s="24">
        <f t="shared" ca="1" si="114"/>
        <v>9.6237643524137066</v>
      </c>
      <c r="T133" s="41">
        <f t="shared" ca="1" si="115"/>
        <v>0.10213818010014099</v>
      </c>
      <c r="U133" s="41">
        <f t="shared" ca="1" si="116"/>
        <v>2.0447813583027212E-2</v>
      </c>
      <c r="V133" s="41">
        <f t="shared" ca="1" si="117"/>
        <v>4.9950660830026923</v>
      </c>
      <c r="W133" s="20">
        <f t="shared" ca="1" si="118"/>
        <v>3400.1388577143048</v>
      </c>
      <c r="X133" s="41">
        <f t="shared" si="119"/>
        <v>0.55975963133765461</v>
      </c>
      <c r="Y133" s="41">
        <f t="shared" ca="1" si="120"/>
        <v>176.43079752762395</v>
      </c>
      <c r="Z133" s="14">
        <f t="shared" ca="1" si="121"/>
        <v>3448.6727807995626</v>
      </c>
      <c r="AA133" s="14">
        <f t="shared" si="122"/>
        <v>6280</v>
      </c>
      <c r="AB133" s="25">
        <f t="shared" ca="1" si="123"/>
        <v>2758938.22463965</v>
      </c>
      <c r="AC133" s="41">
        <f t="shared" si="124"/>
        <v>5024000</v>
      </c>
      <c r="AD133" s="5">
        <v>100</v>
      </c>
      <c r="AE133" s="41">
        <f t="shared" si="125"/>
        <v>6280</v>
      </c>
      <c r="AF133" s="41">
        <f t="shared" ca="1" si="126"/>
        <v>2831.3272192004374</v>
      </c>
      <c r="AG133" s="41">
        <f t="shared" ca="1" si="127"/>
        <v>2265061.77536035</v>
      </c>
      <c r="AH133" s="41">
        <f t="shared" si="128"/>
        <v>4427.3999999999996</v>
      </c>
      <c r="AI133" s="13">
        <f t="shared" ca="1" si="129"/>
        <v>133.7421521467962</v>
      </c>
      <c r="AJ133" s="10">
        <f t="shared" ca="1" si="130"/>
        <v>9.6237643524137066</v>
      </c>
      <c r="AK133" s="11">
        <f t="shared" ca="1" si="60"/>
        <v>8024.5291288077724</v>
      </c>
      <c r="AL133" s="6">
        <v>10000</v>
      </c>
      <c r="AM133" s="41">
        <f t="shared" ca="1" si="131"/>
        <v>74.770742353719115</v>
      </c>
      <c r="AN133" s="41">
        <f t="shared" ca="1" si="132"/>
        <v>91.955551304682217</v>
      </c>
      <c r="AO133" s="41">
        <f t="shared" ca="1" si="133"/>
        <v>9.7060040826012361</v>
      </c>
      <c r="AP133" s="67">
        <f t="shared" si="56"/>
        <v>0.70499999999999996</v>
      </c>
      <c r="AQ133" s="11">
        <f t="shared" si="134"/>
        <v>1.0520562207183759</v>
      </c>
      <c r="AR133" s="11">
        <f t="shared" si="135"/>
        <v>1</v>
      </c>
      <c r="AS133" s="11">
        <f t="shared" si="136"/>
        <v>0.95051954477981193</v>
      </c>
      <c r="AT133" s="11">
        <f t="shared" si="137"/>
        <v>545.66999999999996</v>
      </c>
      <c r="AU133" s="11">
        <f t="shared" si="138"/>
        <v>2116.2199999999998</v>
      </c>
      <c r="AV133" s="11">
        <f t="shared" si="139"/>
        <v>2.259289905987135E-3</v>
      </c>
      <c r="AW133" s="11">
        <f t="shared" si="140"/>
        <v>3.8865391239478742E-7</v>
      </c>
      <c r="AX133" s="41">
        <f t="shared" ca="1" si="141"/>
        <v>131.488213152919</v>
      </c>
      <c r="AY133" s="11">
        <f t="shared" ca="1" si="142"/>
        <v>646.77754430601499</v>
      </c>
      <c r="AZ133" s="11"/>
      <c r="BA133" s="11"/>
    </row>
    <row r="134" spans="1:53" ht="14.5">
      <c r="A134" s="41">
        <f t="shared" ca="1" si="102"/>
        <v>9185.1140980791351</v>
      </c>
      <c r="B134" s="41">
        <f t="shared" ca="1" si="103"/>
        <v>153.0852349679856</v>
      </c>
      <c r="C134" s="41">
        <f t="shared" ca="1" si="104"/>
        <v>2.5514205827997598</v>
      </c>
      <c r="D134" s="41">
        <f t="shared" ca="1" si="57"/>
        <v>17226.348438746474</v>
      </c>
      <c r="E134" s="41">
        <f t="shared" ca="1" si="105"/>
        <v>725.50046597672156</v>
      </c>
      <c r="F134" s="41">
        <f t="shared" ca="1" si="106"/>
        <v>725.50046597672156</v>
      </c>
      <c r="G134" s="41"/>
      <c r="H134" s="5">
        <v>0</v>
      </c>
      <c r="I134" s="5">
        <v>15</v>
      </c>
      <c r="J134" s="41">
        <f t="shared" si="52"/>
        <v>0.7153457208107844</v>
      </c>
      <c r="K134" s="41">
        <f t="shared" si="107"/>
        <v>805</v>
      </c>
      <c r="L134" s="6">
        <f t="shared" si="53"/>
        <v>147.08500000000015</v>
      </c>
      <c r="M134" s="41">
        <f t="shared" si="108"/>
        <v>476.94961999999998</v>
      </c>
      <c r="N134" s="41">
        <f t="shared" si="109"/>
        <v>732.03817066365662</v>
      </c>
      <c r="O134" s="41">
        <f t="shared" si="110"/>
        <v>4679557.6123577347</v>
      </c>
      <c r="P134" s="41">
        <f t="shared" si="111"/>
        <v>30046048.122377865</v>
      </c>
      <c r="Q134" s="41">
        <f t="shared" si="112"/>
        <v>2.4188342432608341E-3</v>
      </c>
      <c r="R134" s="41">
        <f t="shared" si="113"/>
        <v>1.9766983055107393E-2</v>
      </c>
      <c r="S134" s="24">
        <f t="shared" ca="1" si="114"/>
        <v>9.5013829726006023</v>
      </c>
      <c r="T134" s="41">
        <f t="shared" ca="1" si="115"/>
        <v>0.10090962752073444</v>
      </c>
      <c r="U134" s="41">
        <f t="shared" ca="1" si="116"/>
        <v>2.0410092365629531E-2</v>
      </c>
      <c r="V134" s="41">
        <f t="shared" ca="1" si="117"/>
        <v>4.9441044025192964</v>
      </c>
      <c r="W134" s="20">
        <f t="shared" ca="1" si="118"/>
        <v>3436.4223360346923</v>
      </c>
      <c r="X134" s="41">
        <f t="shared" si="119"/>
        <v>0.55944886817096962</v>
      </c>
      <c r="Y134" s="41">
        <f t="shared" ca="1" si="120"/>
        <v>176.46254340730016</v>
      </c>
      <c r="Z134" s="14">
        <f t="shared" ca="1" si="121"/>
        <v>3484.220201735362</v>
      </c>
      <c r="AA134" s="14">
        <f t="shared" si="122"/>
        <v>6280</v>
      </c>
      <c r="AB134" s="25">
        <f t="shared" ca="1" si="123"/>
        <v>2804797.2623969666</v>
      </c>
      <c r="AC134" s="41">
        <f t="shared" si="124"/>
        <v>5055400</v>
      </c>
      <c r="AD134" s="5">
        <v>100</v>
      </c>
      <c r="AE134" s="41">
        <f t="shared" si="125"/>
        <v>6280</v>
      </c>
      <c r="AF134" s="41">
        <f t="shared" ca="1" si="126"/>
        <v>2795.779798264638</v>
      </c>
      <c r="AG134" s="41">
        <f t="shared" ca="1" si="127"/>
        <v>2250602.7376030334</v>
      </c>
      <c r="AH134" s="41">
        <f t="shared" si="128"/>
        <v>4427.3999999999996</v>
      </c>
      <c r="AI134" s="13">
        <f t="shared" ca="1" si="129"/>
        <v>132.882486827176</v>
      </c>
      <c r="AJ134" s="10">
        <f t="shared" ca="1" si="130"/>
        <v>9.5013829726006023</v>
      </c>
      <c r="AK134" s="11">
        <f t="shared" ca="1" si="60"/>
        <v>7972.9492096305594</v>
      </c>
      <c r="AL134" s="6">
        <v>10000</v>
      </c>
      <c r="AM134" s="41">
        <f t="shared" ca="1" si="131"/>
        <v>75.254461583081124</v>
      </c>
      <c r="AN134" s="41">
        <f t="shared" ca="1" si="132"/>
        <v>92.550445336925918</v>
      </c>
      <c r="AO134" s="41">
        <f t="shared" ca="1" si="133"/>
        <v>9.8333885048029011</v>
      </c>
      <c r="AP134" s="67">
        <f t="shared" si="56"/>
        <v>0.70499999999999996</v>
      </c>
      <c r="AQ134" s="11">
        <f t="shared" si="134"/>
        <v>1.0520562207183759</v>
      </c>
      <c r="AR134" s="11">
        <f t="shared" si="135"/>
        <v>1</v>
      </c>
      <c r="AS134" s="11">
        <f t="shared" si="136"/>
        <v>0.95051954477981193</v>
      </c>
      <c r="AT134" s="11">
        <f t="shared" si="137"/>
        <v>545.66999999999996</v>
      </c>
      <c r="AU134" s="11">
        <f t="shared" si="138"/>
        <v>2116.2199999999998</v>
      </c>
      <c r="AV134" s="11">
        <f t="shared" si="139"/>
        <v>2.259289905987135E-3</v>
      </c>
      <c r="AW134" s="11">
        <f t="shared" si="140"/>
        <v>3.8865391239478742E-7</v>
      </c>
      <c r="AX134" s="41">
        <f t="shared" ca="1" si="141"/>
        <v>130.64885722042234</v>
      </c>
      <c r="AY134" s="11">
        <f t="shared" ca="1" si="142"/>
        <v>647.12746782782176</v>
      </c>
      <c r="AZ134" s="11"/>
      <c r="BA134" s="11"/>
    </row>
    <row r="135" spans="1:53" ht="14.5">
      <c r="A135" s="41">
        <f t="shared" ca="1" si="102"/>
        <v>9260.3685596622163</v>
      </c>
      <c r="B135" s="41">
        <f t="shared" ca="1" si="103"/>
        <v>154.33947599437028</v>
      </c>
      <c r="C135" s="41">
        <f t="shared" ca="1" si="104"/>
        <v>2.5723245999061715</v>
      </c>
      <c r="D135" s="41">
        <f t="shared" ca="1" si="57"/>
        <v>17226.348438746474</v>
      </c>
      <c r="E135" s="41">
        <f t="shared" ca="1" si="105"/>
        <v>735.33385448152444</v>
      </c>
      <c r="F135" s="41">
        <f t="shared" ca="1" si="106"/>
        <v>735.33385448152444</v>
      </c>
      <c r="G135" s="41"/>
      <c r="H135" s="5">
        <v>0</v>
      </c>
      <c r="I135" s="5">
        <v>15</v>
      </c>
      <c r="J135" s="41">
        <f t="shared" si="52"/>
        <v>0.71978886193383274</v>
      </c>
      <c r="K135" s="41">
        <f t="shared" si="107"/>
        <v>810</v>
      </c>
      <c r="L135" s="6">
        <f t="shared" si="53"/>
        <v>148.32000000000016</v>
      </c>
      <c r="M135" s="41">
        <f t="shared" si="108"/>
        <v>479.91203999999999</v>
      </c>
      <c r="N135" s="41">
        <f t="shared" si="109"/>
        <v>741.16005365907961</v>
      </c>
      <c r="O135" s="41">
        <f t="shared" si="110"/>
        <v>4708623.1875897702</v>
      </c>
      <c r="P135" s="41">
        <f t="shared" si="111"/>
        <v>30232669.539287046</v>
      </c>
      <c r="Q135" s="41">
        <f t="shared" si="112"/>
        <v>2.4152490782406752E-3</v>
      </c>
      <c r="R135" s="41">
        <f t="shared" si="113"/>
        <v>1.9745095622659324E-2</v>
      </c>
      <c r="S135" s="24">
        <f t="shared" ca="1" si="114"/>
        <v>9.3783679071732546</v>
      </c>
      <c r="T135" s="41">
        <f t="shared" ca="1" si="115"/>
        <v>9.9703259627004076E-2</v>
      </c>
      <c r="U135" s="41">
        <f t="shared" ca="1" si="116"/>
        <v>2.0372920188472015E-2</v>
      </c>
      <c r="V135" s="41">
        <f t="shared" ca="1" si="117"/>
        <v>4.893911069431323</v>
      </c>
      <c r="W135" s="20">
        <f t="shared" ca="1" si="118"/>
        <v>3472.9067626184151</v>
      </c>
      <c r="X135" s="41">
        <f t="shared" si="119"/>
        <v>0.55913905127166308</v>
      </c>
      <c r="Y135" s="41">
        <f t="shared" ca="1" si="120"/>
        <v>176.49404231315242</v>
      </c>
      <c r="Z135" s="14">
        <f t="shared" ca="1" si="121"/>
        <v>3519.9553474412014</v>
      </c>
      <c r="AA135" s="14">
        <f t="shared" si="122"/>
        <v>6280</v>
      </c>
      <c r="AB135" s="25">
        <f t="shared" ca="1" si="123"/>
        <v>2851163.831427373</v>
      </c>
      <c r="AC135" s="41">
        <f t="shared" si="124"/>
        <v>5086800</v>
      </c>
      <c r="AD135" s="5">
        <v>100</v>
      </c>
      <c r="AE135" s="41">
        <f t="shared" si="125"/>
        <v>6280</v>
      </c>
      <c r="AF135" s="41">
        <f t="shared" ca="1" si="126"/>
        <v>2760.0446525587986</v>
      </c>
      <c r="AG135" s="41">
        <f t="shared" ca="1" si="127"/>
        <v>2235636.168572627</v>
      </c>
      <c r="AH135" s="41">
        <f t="shared" si="128"/>
        <v>4427.3999999999996</v>
      </c>
      <c r="AI135" s="13">
        <f t="shared" ca="1" si="129"/>
        <v>131.99230994102308</v>
      </c>
      <c r="AJ135" s="10">
        <f t="shared" ca="1" si="130"/>
        <v>9.3783679071732546</v>
      </c>
      <c r="AK135" s="11">
        <f t="shared" ca="1" si="60"/>
        <v>7919.5385964613852</v>
      </c>
      <c r="AL135" s="6">
        <v>10000</v>
      </c>
      <c r="AM135" s="41">
        <f t="shared" ca="1" si="131"/>
        <v>75.761989501268744</v>
      </c>
      <c r="AN135" s="41">
        <f t="shared" ca="1" si="132"/>
        <v>93.174620088310334</v>
      </c>
      <c r="AO135" s="41">
        <f t="shared" ca="1" si="133"/>
        <v>9.9647517850638874</v>
      </c>
      <c r="AP135" s="67">
        <f t="shared" si="56"/>
        <v>0.70499999999999996</v>
      </c>
      <c r="AQ135" s="11">
        <f t="shared" si="134"/>
        <v>1.0520562207183759</v>
      </c>
      <c r="AR135" s="11">
        <f t="shared" si="135"/>
        <v>1</v>
      </c>
      <c r="AS135" s="11">
        <f t="shared" si="136"/>
        <v>0.95051954477981193</v>
      </c>
      <c r="AT135" s="11">
        <f t="shared" si="137"/>
        <v>545.66999999999996</v>
      </c>
      <c r="AU135" s="11">
        <f t="shared" si="138"/>
        <v>2116.2199999999998</v>
      </c>
      <c r="AV135" s="11">
        <f t="shared" si="139"/>
        <v>2.259289905987135E-3</v>
      </c>
      <c r="AW135" s="11">
        <f t="shared" si="140"/>
        <v>3.8865391239478742E-7</v>
      </c>
      <c r="AX135" s="41">
        <f t="shared" ca="1" si="141"/>
        <v>129.78003878895819</v>
      </c>
      <c r="AY135" s="11">
        <f t="shared" ca="1" si="142"/>
        <v>647.47671754489738</v>
      </c>
      <c r="AZ135" s="11"/>
      <c r="BA135" s="11"/>
    </row>
    <row r="136" spans="1:53" ht="14.5">
      <c r="A136" s="41">
        <f t="shared" ca="1" si="102"/>
        <v>9336.1305491634848</v>
      </c>
      <c r="B136" s="41">
        <f t="shared" ca="1" si="103"/>
        <v>155.60217581939142</v>
      </c>
      <c r="C136" s="41">
        <f t="shared" ca="1" si="104"/>
        <v>2.5933695969898571</v>
      </c>
      <c r="D136" s="41">
        <f t="shared" ca="1" si="57"/>
        <v>17226.348438746474</v>
      </c>
      <c r="E136" s="41">
        <f t="shared" ca="1" si="105"/>
        <v>745.29860626658831</v>
      </c>
      <c r="F136" s="41">
        <f t="shared" ca="1" si="106"/>
        <v>745.29860626658831</v>
      </c>
      <c r="G136" s="41"/>
      <c r="H136" s="5">
        <v>0</v>
      </c>
      <c r="I136" s="5">
        <v>15</v>
      </c>
      <c r="J136" s="41">
        <f t="shared" si="52"/>
        <v>0.72423200305688118</v>
      </c>
      <c r="K136" s="41">
        <f t="shared" si="107"/>
        <v>815</v>
      </c>
      <c r="L136" s="6">
        <f t="shared" si="53"/>
        <v>149.55500000000018</v>
      </c>
      <c r="M136" s="41">
        <f t="shared" si="108"/>
        <v>482.87446</v>
      </c>
      <c r="N136" s="41">
        <f t="shared" si="109"/>
        <v>750.3384189021524</v>
      </c>
      <c r="O136" s="41">
        <f t="shared" si="110"/>
        <v>4737688.7628218057</v>
      </c>
      <c r="P136" s="41">
        <f t="shared" si="111"/>
        <v>30419290.956196222</v>
      </c>
      <c r="Q136" s="41">
        <f t="shared" si="112"/>
        <v>2.4116766489062475E-3</v>
      </c>
      <c r="R136" s="41">
        <f t="shared" si="113"/>
        <v>1.9723285941572643E-2</v>
      </c>
      <c r="S136" s="24">
        <f t="shared" ca="1" si="114"/>
        <v>9.2547230899243278</v>
      </c>
      <c r="T136" s="41">
        <f t="shared" ca="1" si="115"/>
        <v>9.8518531471496917E-2</v>
      </c>
      <c r="U136" s="41">
        <f t="shared" ca="1" si="116"/>
        <v>2.0336278849589322E-2</v>
      </c>
      <c r="V136" s="41">
        <f t="shared" ca="1" si="117"/>
        <v>4.8444719016766644</v>
      </c>
      <c r="W136" s="20">
        <f t="shared" ca="1" si="118"/>
        <v>3509.591003221451</v>
      </c>
      <c r="X136" s="41">
        <f t="shared" si="119"/>
        <v>0.55883016409480357</v>
      </c>
      <c r="Y136" s="41">
        <f t="shared" ca="1" si="120"/>
        <v>176.52528696054398</v>
      </c>
      <c r="Z136" s="14">
        <f t="shared" ca="1" si="121"/>
        <v>3555.8774595811901</v>
      </c>
      <c r="AA136" s="14">
        <f t="shared" si="122"/>
        <v>6280</v>
      </c>
      <c r="AB136" s="25">
        <f t="shared" ca="1" si="123"/>
        <v>2898040.1295586699</v>
      </c>
      <c r="AC136" s="41">
        <f t="shared" si="124"/>
        <v>5118200</v>
      </c>
      <c r="AD136" s="5">
        <v>100</v>
      </c>
      <c r="AE136" s="41">
        <f t="shared" si="125"/>
        <v>6280</v>
      </c>
      <c r="AF136" s="41">
        <f t="shared" ca="1" si="126"/>
        <v>2724.1225404188099</v>
      </c>
      <c r="AG136" s="41">
        <f t="shared" ca="1" si="127"/>
        <v>2220159.8704413301</v>
      </c>
      <c r="AH136" s="41">
        <f t="shared" si="128"/>
        <v>4427.3999999999996</v>
      </c>
      <c r="AI136" s="13">
        <f t="shared" ca="1" si="129"/>
        <v>131.0715001733019</v>
      </c>
      <c r="AJ136" s="10">
        <f t="shared" ca="1" si="130"/>
        <v>9.2547230899243278</v>
      </c>
      <c r="AK136" s="11">
        <f t="shared" ca="1" si="60"/>
        <v>7864.2900103981137</v>
      </c>
      <c r="AL136" s="6">
        <v>10000</v>
      </c>
      <c r="AM136" s="41">
        <f t="shared" ca="1" si="131"/>
        <v>76.294236251039038</v>
      </c>
      <c r="AN136" s="41">
        <f t="shared" ca="1" si="132"/>
        <v>93.829194882736161</v>
      </c>
      <c r="AO136" s="41">
        <f t="shared" ca="1" si="133"/>
        <v>10.100274721021423</v>
      </c>
      <c r="AP136" s="67">
        <f t="shared" si="56"/>
        <v>0.70499999999999996</v>
      </c>
      <c r="AQ136" s="11">
        <f t="shared" si="134"/>
        <v>1.0520562207183759</v>
      </c>
      <c r="AR136" s="11">
        <f t="shared" si="135"/>
        <v>1</v>
      </c>
      <c r="AS136" s="11">
        <f t="shared" si="136"/>
        <v>0.95051954477981193</v>
      </c>
      <c r="AT136" s="11">
        <f t="shared" si="137"/>
        <v>545.66999999999996</v>
      </c>
      <c r="AU136" s="11">
        <f t="shared" si="138"/>
        <v>2116.2199999999998</v>
      </c>
      <c r="AV136" s="11">
        <f t="shared" si="139"/>
        <v>2.259289905987135E-3</v>
      </c>
      <c r="AW136" s="11">
        <f t="shared" si="140"/>
        <v>3.8865391239478742E-7</v>
      </c>
      <c r="AX136" s="41">
        <f t="shared" ca="1" si="141"/>
        <v>128.88163027328656</v>
      </c>
      <c r="AY136" s="11">
        <f t="shared" ca="1" si="142"/>
        <v>647.82530920413592</v>
      </c>
      <c r="AZ136" s="11"/>
      <c r="BA136" s="11"/>
    </row>
    <row r="137" spans="1:53" ht="14.5">
      <c r="A137" s="41">
        <f t="shared" ca="1" si="102"/>
        <v>9412.4247854145233</v>
      </c>
      <c r="B137" s="41">
        <f t="shared" ca="1" si="103"/>
        <v>156.8737464235754</v>
      </c>
      <c r="C137" s="41">
        <f t="shared" ca="1" si="104"/>
        <v>2.6145624403929233</v>
      </c>
      <c r="D137" s="41">
        <f t="shared" ca="1" si="57"/>
        <v>17226.348438746474</v>
      </c>
      <c r="E137" s="41">
        <f t="shared" ca="1" si="105"/>
        <v>755.39888098760969</v>
      </c>
      <c r="F137" s="41">
        <f t="shared" ca="1" si="106"/>
        <v>755.39888098760969</v>
      </c>
      <c r="G137" s="41"/>
      <c r="H137" s="5">
        <v>0</v>
      </c>
      <c r="I137" s="5">
        <v>15</v>
      </c>
      <c r="J137" s="41">
        <f t="shared" si="52"/>
        <v>0.72867514417992951</v>
      </c>
      <c r="K137" s="41">
        <f t="shared" si="107"/>
        <v>820</v>
      </c>
      <c r="L137" s="6">
        <f t="shared" si="53"/>
        <v>150.79000000000019</v>
      </c>
      <c r="M137" s="41">
        <f t="shared" si="108"/>
        <v>485.83688000000001</v>
      </c>
      <c r="N137" s="41">
        <f t="shared" si="109"/>
        <v>759.57326639287476</v>
      </c>
      <c r="O137" s="41">
        <f t="shared" si="110"/>
        <v>4766754.3380538411</v>
      </c>
      <c r="P137" s="41">
        <f t="shared" si="111"/>
        <v>30605912.373105403</v>
      </c>
      <c r="Q137" s="41">
        <f t="shared" si="112"/>
        <v>2.4081167504995719E-3</v>
      </c>
      <c r="R137" s="41">
        <f t="shared" si="113"/>
        <v>1.9701552761799888E-2</v>
      </c>
      <c r="S137" s="24">
        <f t="shared" ca="1" si="114"/>
        <v>9.1304523759146594</v>
      </c>
      <c r="T137" s="41">
        <f t="shared" ca="1" si="115"/>
        <v>9.7354914751463018E-2</v>
      </c>
      <c r="U137" s="41">
        <f t="shared" ca="1" si="116"/>
        <v>2.0300150887281355E-2</v>
      </c>
      <c r="V137" s="41">
        <f t="shared" ca="1" si="117"/>
        <v>4.7957729620846683</v>
      </c>
      <c r="W137" s="20">
        <f t="shared" ca="1" si="118"/>
        <v>3546.4739410757184</v>
      </c>
      <c r="X137" s="41">
        <f t="shared" si="119"/>
        <v>0.55852219046403373</v>
      </c>
      <c r="Y137" s="41">
        <f t="shared" ca="1" si="120"/>
        <v>176.55627010603206</v>
      </c>
      <c r="Z137" s="14">
        <f t="shared" ca="1" si="121"/>
        <v>3591.9858122846531</v>
      </c>
      <c r="AA137" s="14">
        <f t="shared" si="122"/>
        <v>6280</v>
      </c>
      <c r="AB137" s="25">
        <f t="shared" ca="1" si="123"/>
        <v>2945428.3660734156</v>
      </c>
      <c r="AC137" s="41">
        <f t="shared" si="124"/>
        <v>5149600</v>
      </c>
      <c r="AD137" s="5">
        <v>100</v>
      </c>
      <c r="AE137" s="41">
        <f t="shared" si="125"/>
        <v>6280</v>
      </c>
      <c r="AF137" s="41">
        <f t="shared" ca="1" si="126"/>
        <v>2688.0141877153469</v>
      </c>
      <c r="AG137" s="41">
        <f t="shared" ca="1" si="127"/>
        <v>2204171.6339265844</v>
      </c>
      <c r="AH137" s="41">
        <f t="shared" si="128"/>
        <v>4427.3999999999996</v>
      </c>
      <c r="AI137" s="13">
        <f t="shared" ca="1" si="129"/>
        <v>130.11993669396716</v>
      </c>
      <c r="AJ137" s="10">
        <f t="shared" ca="1" si="130"/>
        <v>9.1304523759146594</v>
      </c>
      <c r="AK137" s="11">
        <f t="shared" ca="1" si="60"/>
        <v>7807.1962016380294</v>
      </c>
      <c r="AL137" s="6">
        <v>10000</v>
      </c>
      <c r="AM137" s="41">
        <f t="shared" ca="1" si="131"/>
        <v>76.852173879543827</v>
      </c>
      <c r="AN137" s="41">
        <f t="shared" ca="1" si="132"/>
        <v>94.515365176192304</v>
      </c>
      <c r="AO137" s="41">
        <f t="shared" ca="1" si="133"/>
        <v>10.240149461686434</v>
      </c>
      <c r="AP137" s="67">
        <f t="shared" si="56"/>
        <v>0.70499999999999996</v>
      </c>
      <c r="AQ137" s="11">
        <f t="shared" si="134"/>
        <v>1.0520562207183759</v>
      </c>
      <c r="AR137" s="11">
        <f t="shared" si="135"/>
        <v>1</v>
      </c>
      <c r="AS137" s="11">
        <f t="shared" si="136"/>
        <v>0.95051954477981193</v>
      </c>
      <c r="AT137" s="11">
        <f t="shared" si="137"/>
        <v>545.66999999999996</v>
      </c>
      <c r="AU137" s="11">
        <f t="shared" si="138"/>
        <v>2116.2199999999998</v>
      </c>
      <c r="AV137" s="11">
        <f t="shared" si="139"/>
        <v>2.259289905987135E-3</v>
      </c>
      <c r="AW137" s="11">
        <f t="shared" si="140"/>
        <v>3.8865391239478742E-7</v>
      </c>
      <c r="AX137" s="41">
        <f t="shared" ca="1" si="141"/>
        <v>127.9535034232117</v>
      </c>
      <c r="AY137" s="11">
        <f t="shared" ca="1" si="142"/>
        <v>648.17325821965426</v>
      </c>
      <c r="AZ137" s="11"/>
      <c r="BA137" s="11"/>
    </row>
    <row r="138" spans="1:53" ht="14.5">
      <c r="A138" s="41">
        <f t="shared" ca="1" si="102"/>
        <v>9489.2769592940676</v>
      </c>
      <c r="B138" s="41">
        <f t="shared" ca="1" si="103"/>
        <v>158.15461598823447</v>
      </c>
      <c r="C138" s="41">
        <f t="shared" ca="1" si="104"/>
        <v>2.6359102664705745</v>
      </c>
      <c r="D138" s="41">
        <f t="shared" ca="1" si="57"/>
        <v>17226.348438746474</v>
      </c>
      <c r="E138" s="41">
        <f t="shared" ca="1" si="105"/>
        <v>765.63903044929611</v>
      </c>
      <c r="F138" s="41">
        <f t="shared" ca="1" si="106"/>
        <v>765.63903044929611</v>
      </c>
      <c r="G138" s="41"/>
      <c r="H138" s="5">
        <v>0</v>
      </c>
      <c r="I138" s="5">
        <v>15</v>
      </c>
      <c r="J138" s="41">
        <f t="shared" si="52"/>
        <v>0.73311828530297785</v>
      </c>
      <c r="K138" s="41">
        <f t="shared" si="107"/>
        <v>825</v>
      </c>
      <c r="L138" s="6">
        <f t="shared" si="53"/>
        <v>152.0250000000002</v>
      </c>
      <c r="M138" s="41">
        <f t="shared" si="108"/>
        <v>488.79930000000002</v>
      </c>
      <c r="N138" s="41">
        <f t="shared" si="109"/>
        <v>768.86459613124691</v>
      </c>
      <c r="O138" s="41">
        <f t="shared" si="110"/>
        <v>4795819.9132858776</v>
      </c>
      <c r="P138" s="41">
        <f t="shared" si="111"/>
        <v>30792533.790014587</v>
      </c>
      <c r="Q138" s="41">
        <f t="shared" si="112"/>
        <v>2.404569182876239E-3</v>
      </c>
      <c r="R138" s="41">
        <f t="shared" si="113"/>
        <v>1.9679894861459438E-2</v>
      </c>
      <c r="S138" s="24">
        <f t="shared" ca="1" si="114"/>
        <v>9.0055595435699463</v>
      </c>
      <c r="T138" s="41">
        <f t="shared" ca="1" si="115"/>
        <v>9.6211897202290952E-2</v>
      </c>
      <c r="U138" s="41">
        <f t="shared" ca="1" si="116"/>
        <v>2.0264519545267534E-2</v>
      </c>
      <c r="V138" s="41">
        <f t="shared" ca="1" si="117"/>
        <v>4.7478005578849141</v>
      </c>
      <c r="W138" s="20">
        <f t="shared" ca="1" si="118"/>
        <v>3583.5544762721529</v>
      </c>
      <c r="X138" s="41">
        <f t="shared" si="119"/>
        <v>0.55821511456221751</v>
      </c>
      <c r="Y138" s="41">
        <f t="shared" ca="1" si="120"/>
        <v>176.58698454614273</v>
      </c>
      <c r="Z138" s="14">
        <f t="shared" ca="1" si="121"/>
        <v>3628.2797115682965</v>
      </c>
      <c r="AA138" s="14">
        <f t="shared" si="122"/>
        <v>6280</v>
      </c>
      <c r="AB138" s="25">
        <f t="shared" ca="1" si="123"/>
        <v>2993330.7620438444</v>
      </c>
      <c r="AC138" s="41">
        <f t="shared" si="124"/>
        <v>5181000</v>
      </c>
      <c r="AD138" s="5">
        <v>100</v>
      </c>
      <c r="AE138" s="41">
        <f t="shared" si="125"/>
        <v>6280</v>
      </c>
      <c r="AF138" s="41">
        <f t="shared" ca="1" si="126"/>
        <v>2651.7202884317035</v>
      </c>
      <c r="AG138" s="41">
        <f t="shared" ca="1" si="127"/>
        <v>2187669.2379561556</v>
      </c>
      <c r="AH138" s="41">
        <f t="shared" si="128"/>
        <v>4427.3999999999996</v>
      </c>
      <c r="AI138" s="13">
        <f t="shared" ca="1" si="129"/>
        <v>129.1374991621469</v>
      </c>
      <c r="AJ138" s="10">
        <f t="shared" ca="1" si="130"/>
        <v>9.0055595435699463</v>
      </c>
      <c r="AK138" s="11">
        <f t="shared" ca="1" si="60"/>
        <v>7748.2499497288136</v>
      </c>
      <c r="AL138" s="6">
        <v>10000</v>
      </c>
      <c r="AM138" s="41">
        <f t="shared" ca="1" si="131"/>
        <v>77.436841079320089</v>
      </c>
      <c r="AN138" s="41">
        <f t="shared" ca="1" si="132"/>
        <v>95.234408387383823</v>
      </c>
      <c r="AO138" s="41">
        <f t="shared" ca="1" si="133"/>
        <v>10.384580405837076</v>
      </c>
      <c r="AP138" s="67">
        <f t="shared" si="56"/>
        <v>0.70499999999999996</v>
      </c>
      <c r="AQ138" s="11">
        <f t="shared" si="134"/>
        <v>1.0520562207183759</v>
      </c>
      <c r="AR138" s="11">
        <f t="shared" si="135"/>
        <v>1</v>
      </c>
      <c r="AS138" s="11">
        <f t="shared" si="136"/>
        <v>0.95051954477981193</v>
      </c>
      <c r="AT138" s="11">
        <f t="shared" si="137"/>
        <v>545.66999999999996</v>
      </c>
      <c r="AU138" s="11">
        <f t="shared" si="138"/>
        <v>2116.2199999999998</v>
      </c>
      <c r="AV138" s="11">
        <f t="shared" si="139"/>
        <v>2.259289905987135E-3</v>
      </c>
      <c r="AW138" s="11">
        <f t="shared" si="140"/>
        <v>3.8865391239478742E-7</v>
      </c>
      <c r="AX138" s="41">
        <f t="shared" ca="1" si="141"/>
        <v>126.99552930414008</v>
      </c>
      <c r="AY138" s="11">
        <f t="shared" ca="1" si="142"/>
        <v>648.52057968082943</v>
      </c>
      <c r="AZ138" s="11"/>
      <c r="BA138" s="11"/>
    </row>
    <row r="139" spans="1:53" ht="14.5">
      <c r="A139" s="41">
        <f t="shared" ca="1" si="102"/>
        <v>9566.7138003733871</v>
      </c>
      <c r="B139" s="41">
        <f t="shared" ca="1" si="103"/>
        <v>159.44523000622311</v>
      </c>
      <c r="C139" s="41">
        <f t="shared" ca="1" si="104"/>
        <v>2.6574205001037186</v>
      </c>
      <c r="D139" s="41">
        <f t="shared" ca="1" si="57"/>
        <v>17226.348438746474</v>
      </c>
      <c r="E139" s="41">
        <f t="shared" ca="1" si="105"/>
        <v>776.02361085513314</v>
      </c>
      <c r="F139" s="41">
        <f t="shared" ca="1" si="106"/>
        <v>776.02361085513314</v>
      </c>
      <c r="G139" s="41"/>
      <c r="H139" s="5">
        <v>0</v>
      </c>
      <c r="I139" s="5">
        <v>15</v>
      </c>
      <c r="J139" s="41">
        <f t="shared" si="52"/>
        <v>0.73756142642602618</v>
      </c>
      <c r="K139" s="41">
        <f t="shared" si="107"/>
        <v>830</v>
      </c>
      <c r="L139" s="6">
        <f t="shared" si="53"/>
        <v>153.26000000000022</v>
      </c>
      <c r="M139" s="41">
        <f t="shared" si="108"/>
        <v>491.76172000000003</v>
      </c>
      <c r="N139" s="41">
        <f t="shared" si="109"/>
        <v>778.21240811726864</v>
      </c>
      <c r="O139" s="41">
        <f t="shared" si="110"/>
        <v>4824885.488517913</v>
      </c>
      <c r="P139" s="41">
        <f t="shared" si="111"/>
        <v>30979155.206923764</v>
      </c>
      <c r="Q139" s="41">
        <f t="shared" si="112"/>
        <v>2.401033750386319E-3</v>
      </c>
      <c r="R139" s="41">
        <f t="shared" si="113"/>
        <v>1.9658311046108476E-2</v>
      </c>
      <c r="S139" s="24">
        <f t="shared" ca="1" si="114"/>
        <v>8.880048296684496</v>
      </c>
      <c r="T139" s="41">
        <f t="shared" ca="1" si="115"/>
        <v>9.5088982016584112E-2</v>
      </c>
      <c r="U139" s="41">
        <f t="shared" ca="1" si="116"/>
        <v>2.0229368739695983E-2</v>
      </c>
      <c r="V139" s="41">
        <f t="shared" ca="1" si="117"/>
        <v>4.7005412398258137</v>
      </c>
      <c r="W139" s="20">
        <f t="shared" ca="1" si="118"/>
        <v>3620.8315251705317</v>
      </c>
      <c r="X139" s="41">
        <f t="shared" si="119"/>
        <v>0.55790892092237132</v>
      </c>
      <c r="Y139" s="41">
        <f t="shared" ca="1" si="120"/>
        <v>176.61742311618713</v>
      </c>
      <c r="Z139" s="14">
        <f t="shared" ca="1" si="121"/>
        <v>3664.7584947866185</v>
      </c>
      <c r="AA139" s="14">
        <f t="shared" si="122"/>
        <v>6280</v>
      </c>
      <c r="AB139" s="25">
        <f t="shared" ca="1" si="123"/>
        <v>3041749.5506728934</v>
      </c>
      <c r="AC139" s="41">
        <f t="shared" si="124"/>
        <v>5212400</v>
      </c>
      <c r="AD139" s="5">
        <v>100</v>
      </c>
      <c r="AE139" s="41">
        <f t="shared" si="125"/>
        <v>6280</v>
      </c>
      <c r="AF139" s="41">
        <f t="shared" ca="1" si="126"/>
        <v>2615.2415052133815</v>
      </c>
      <c r="AG139" s="41">
        <f t="shared" ca="1" si="127"/>
        <v>2170650.4493271066</v>
      </c>
      <c r="AH139" s="41">
        <f t="shared" si="128"/>
        <v>4427.3999999999996</v>
      </c>
      <c r="AI139" s="13">
        <f t="shared" ca="1" si="129"/>
        <v>128.12406773011179</v>
      </c>
      <c r="AJ139" s="10">
        <f t="shared" ca="1" si="130"/>
        <v>8.880048296684496</v>
      </c>
      <c r="AK139" s="11">
        <f t="shared" ca="1" si="60"/>
        <v>7687.4440638067072</v>
      </c>
      <c r="AL139" s="6">
        <v>10000</v>
      </c>
      <c r="AM139" s="41">
        <f t="shared" ca="1" si="131"/>
        <v>78.049348394593579</v>
      </c>
      <c r="AN139" s="41">
        <f t="shared" ca="1" si="132"/>
        <v>95.987690300617658</v>
      </c>
      <c r="AO139" s="41">
        <f t="shared" ca="1" si="133"/>
        <v>10.533785187383653</v>
      </c>
      <c r="AP139" s="67">
        <f t="shared" si="56"/>
        <v>0.70499999999999996</v>
      </c>
      <c r="AQ139" s="11">
        <f t="shared" si="134"/>
        <v>1.0520562207183759</v>
      </c>
      <c r="AR139" s="11">
        <f t="shared" si="135"/>
        <v>1</v>
      </c>
      <c r="AS139" s="11">
        <f t="shared" si="136"/>
        <v>0.95051954477981193</v>
      </c>
      <c r="AT139" s="11">
        <f t="shared" si="137"/>
        <v>545.66999999999996</v>
      </c>
      <c r="AU139" s="11">
        <f t="shared" si="138"/>
        <v>2116.2199999999998</v>
      </c>
      <c r="AV139" s="11">
        <f t="shared" si="139"/>
        <v>2.259289905987135E-3</v>
      </c>
      <c r="AW139" s="11">
        <f t="shared" si="140"/>
        <v>3.8865391239478742E-7</v>
      </c>
      <c r="AX139" s="41">
        <f t="shared" ca="1" si="141"/>
        <v>126.00757827728349</v>
      </c>
      <c r="AY139" s="11">
        <f t="shared" ca="1" si="142"/>
        <v>648.86728836009934</v>
      </c>
      <c r="AZ139" s="11"/>
      <c r="BA139" s="11"/>
    </row>
    <row r="140" spans="1:53" ht="14.5">
      <c r="A140" s="41">
        <f t="shared" ca="1" si="102"/>
        <v>9644.763148767981</v>
      </c>
      <c r="B140" s="41">
        <f t="shared" ca="1" si="103"/>
        <v>160.74605247946636</v>
      </c>
      <c r="C140" s="41">
        <f t="shared" ca="1" si="104"/>
        <v>2.6791008746577725</v>
      </c>
      <c r="D140" s="41">
        <f t="shared" ca="1" si="57"/>
        <v>17226.348438746474</v>
      </c>
      <c r="E140" s="41">
        <f t="shared" ca="1" si="105"/>
        <v>786.55739604251676</v>
      </c>
      <c r="F140" s="41">
        <f t="shared" ca="1" si="106"/>
        <v>786.55739604251676</v>
      </c>
      <c r="G140" s="41"/>
      <c r="H140" s="5">
        <v>0</v>
      </c>
      <c r="I140" s="5">
        <v>15</v>
      </c>
      <c r="J140" s="41">
        <f t="shared" si="52"/>
        <v>0.74200456754907451</v>
      </c>
      <c r="K140" s="41">
        <f t="shared" si="107"/>
        <v>835</v>
      </c>
      <c r="L140" s="6">
        <f t="shared" si="53"/>
        <v>154.49500000000023</v>
      </c>
      <c r="M140" s="41">
        <f t="shared" si="108"/>
        <v>494.72414000000003</v>
      </c>
      <c r="N140" s="41">
        <f t="shared" si="109"/>
        <v>787.61670235094005</v>
      </c>
      <c r="O140" s="41">
        <f t="shared" si="110"/>
        <v>4853951.0637499485</v>
      </c>
      <c r="P140" s="41">
        <f t="shared" si="111"/>
        <v>31165776.623832945</v>
      </c>
      <c r="Q140" s="41">
        <f t="shared" si="112"/>
        <v>2.3975102617590244E-3</v>
      </c>
      <c r="R140" s="41">
        <f t="shared" si="113"/>
        <v>1.9636800148038844E-2</v>
      </c>
      <c r="S140" s="24">
        <f t="shared" ca="1" si="114"/>
        <v>8.7539222663360245</v>
      </c>
      <c r="T140" s="41">
        <f t="shared" ca="1" si="115"/>
        <v>9.3985687287644629E-2</v>
      </c>
      <c r="U140" s="41">
        <f t="shared" ca="1" si="116"/>
        <v>2.0194683027898543E-2</v>
      </c>
      <c r="V140" s="41">
        <f t="shared" ca="1" si="117"/>
        <v>4.6539818009426206</v>
      </c>
      <c r="W140" s="20">
        <f t="shared" ca="1" si="118"/>
        <v>3658.3040198348676</v>
      </c>
      <c r="X140" s="41">
        <f t="shared" si="119"/>
        <v>0.55760359441887797</v>
      </c>
      <c r="Y140" s="41">
        <f t="shared" ca="1" si="120"/>
        <v>176.64757868911656</v>
      </c>
      <c r="Z140" s="14">
        <f t="shared" ca="1" si="121"/>
        <v>3701.4215301094296</v>
      </c>
      <c r="AA140" s="14">
        <f t="shared" si="122"/>
        <v>6280</v>
      </c>
      <c r="AB140" s="25">
        <f t="shared" ca="1" si="123"/>
        <v>3090686.9776413739</v>
      </c>
      <c r="AC140" s="41">
        <f t="shared" si="124"/>
        <v>5243800</v>
      </c>
      <c r="AD140" s="5">
        <v>100</v>
      </c>
      <c r="AE140" s="41">
        <f t="shared" si="125"/>
        <v>6280</v>
      </c>
      <c r="AF140" s="41">
        <f t="shared" ca="1" si="126"/>
        <v>2578.5784698905704</v>
      </c>
      <c r="AG140" s="41">
        <f t="shared" ca="1" si="127"/>
        <v>2153113.0223586261</v>
      </c>
      <c r="AH140" s="41">
        <f t="shared" si="128"/>
        <v>4427.3999999999996</v>
      </c>
      <c r="AI140" s="13">
        <f t="shared" ca="1" si="129"/>
        <v>127.07952304703197</v>
      </c>
      <c r="AJ140" s="10">
        <f t="shared" ca="1" si="130"/>
        <v>8.7539222663360245</v>
      </c>
      <c r="AK140" s="11">
        <f t="shared" ca="1" si="60"/>
        <v>7624.7713828219185</v>
      </c>
      <c r="AL140" s="6">
        <v>10000</v>
      </c>
      <c r="AM140" s="41">
        <f t="shared" ca="1" si="131"/>
        <v>78.690883945944719</v>
      </c>
      <c r="AN140" s="41">
        <f t="shared" ca="1" si="132"/>
        <v>96.776672106187675</v>
      </c>
      <c r="AO140" s="41">
        <f t="shared" ca="1" si="133"/>
        <v>10.687995757675379</v>
      </c>
      <c r="AP140" s="67">
        <f t="shared" si="56"/>
        <v>0.70499999999999996</v>
      </c>
      <c r="AQ140" s="11">
        <f t="shared" si="134"/>
        <v>1.0520562207183759</v>
      </c>
      <c r="AR140" s="11">
        <f t="shared" si="135"/>
        <v>1</v>
      </c>
      <c r="AS140" s="11">
        <f t="shared" si="136"/>
        <v>0.95051954477981193</v>
      </c>
      <c r="AT140" s="11">
        <f t="shared" si="137"/>
        <v>545.66999999999996</v>
      </c>
      <c r="AU140" s="11">
        <f t="shared" si="138"/>
        <v>2116.2199999999998</v>
      </c>
      <c r="AV140" s="11">
        <f t="shared" si="139"/>
        <v>2.259289905987135E-3</v>
      </c>
      <c r="AW140" s="11">
        <f t="shared" si="140"/>
        <v>3.8865391239478742E-7</v>
      </c>
      <c r="AX140" s="41">
        <f t="shared" ca="1" si="141"/>
        <v>124.98951997950552</v>
      </c>
      <c r="AY140" s="11">
        <f t="shared" ca="1" si="142"/>
        <v>649.21339872052533</v>
      </c>
      <c r="AZ140" s="11"/>
      <c r="BA140" s="11"/>
    </row>
    <row r="141" spans="1:53" ht="14.5">
      <c r="A141" s="41">
        <f t="shared" ca="1" si="102"/>
        <v>9723.4540327139257</v>
      </c>
      <c r="B141" s="41">
        <f t="shared" ca="1" si="103"/>
        <v>162.05756721189877</v>
      </c>
      <c r="C141" s="41">
        <f t="shared" ca="1" si="104"/>
        <v>2.7009594535316461</v>
      </c>
      <c r="D141" s="41">
        <f t="shared" ca="1" si="57"/>
        <v>17226.348438746474</v>
      </c>
      <c r="E141" s="41">
        <f t="shared" ca="1" si="105"/>
        <v>797.24539180019212</v>
      </c>
      <c r="F141" s="41">
        <f t="shared" ca="1" si="106"/>
        <v>797.24539180019212</v>
      </c>
      <c r="G141" s="41"/>
      <c r="H141" s="5">
        <v>0</v>
      </c>
      <c r="I141" s="5">
        <v>15</v>
      </c>
      <c r="J141" s="41">
        <f t="shared" si="52"/>
        <v>0.74644770867212284</v>
      </c>
      <c r="K141" s="41">
        <f t="shared" si="107"/>
        <v>840</v>
      </c>
      <c r="L141" s="6">
        <f t="shared" si="53"/>
        <v>155.73000000000025</v>
      </c>
      <c r="M141" s="41">
        <f t="shared" si="108"/>
        <v>497.68655999999999</v>
      </c>
      <c r="N141" s="41">
        <f t="shared" si="109"/>
        <v>797.07747883226125</v>
      </c>
      <c r="O141" s="41">
        <f t="shared" si="110"/>
        <v>4883016.638981984</v>
      </c>
      <c r="P141" s="41">
        <f t="shared" si="111"/>
        <v>31352398.040742122</v>
      </c>
      <c r="Q141" s="41">
        <f t="shared" si="112"/>
        <v>2.3939985299908984E-3</v>
      </c>
      <c r="R141" s="41">
        <f t="shared" si="113"/>
        <v>1.9615361025594434E-2</v>
      </c>
      <c r="S141" s="24">
        <f t="shared" ca="1" si="114"/>
        <v>8.6271850127162573</v>
      </c>
      <c r="T141" s="41">
        <f t="shared" ca="1" si="115"/>
        <v>9.2901545476199776E-2</v>
      </c>
      <c r="U141" s="41">
        <f t="shared" ca="1" si="116"/>
        <v>2.0160447578788356E-2</v>
      </c>
      <c r="V141" s="41">
        <f t="shared" ca="1" si="117"/>
        <v>4.6081092750115999</v>
      </c>
      <c r="W141" s="20">
        <f t="shared" ca="1" si="118"/>
        <v>3695.9709074930356</v>
      </c>
      <c r="X141" s="41">
        <f t="shared" si="119"/>
        <v>0.55729912025896455</v>
      </c>
      <c r="Y141" s="41">
        <f t="shared" ca="1" si="120"/>
        <v>176.67744417441386</v>
      </c>
      <c r="Z141" s="14">
        <f t="shared" ca="1" si="121"/>
        <v>3738.2682160251311</v>
      </c>
      <c r="AA141" s="14">
        <f t="shared" si="122"/>
        <v>6280</v>
      </c>
      <c r="AB141" s="25">
        <f t="shared" ca="1" si="123"/>
        <v>3140145.3014611099</v>
      </c>
      <c r="AC141" s="41">
        <f t="shared" si="124"/>
        <v>5275200</v>
      </c>
      <c r="AD141" s="5">
        <v>100</v>
      </c>
      <c r="AE141" s="41">
        <f t="shared" si="125"/>
        <v>6280</v>
      </c>
      <c r="AF141" s="41">
        <f t="shared" ca="1" si="126"/>
        <v>2541.7317839748689</v>
      </c>
      <c r="AG141" s="41">
        <f t="shared" ca="1" si="127"/>
        <v>2135054.6985388901</v>
      </c>
      <c r="AH141" s="41">
        <f t="shared" si="128"/>
        <v>4427.3999999999996</v>
      </c>
      <c r="AI141" s="13">
        <f t="shared" ca="1" si="129"/>
        <v>126.00374626253638</v>
      </c>
      <c r="AJ141" s="10">
        <f t="shared" ca="1" si="130"/>
        <v>8.6271850127162573</v>
      </c>
      <c r="AK141" s="11">
        <f t="shared" ca="1" si="60"/>
        <v>7560.2247757521827</v>
      </c>
      <c r="AL141" s="6">
        <v>10000</v>
      </c>
      <c r="AM141" s="41">
        <f t="shared" ca="1" si="131"/>
        <v>79.362719733462512</v>
      </c>
      <c r="AN141" s="41">
        <f t="shared" ca="1" si="132"/>
        <v>97.602918152203301</v>
      </c>
      <c r="AO141" s="41">
        <f t="shared" ca="1" si="133"/>
        <v>10.847459576046935</v>
      </c>
      <c r="AP141" s="67">
        <f t="shared" si="56"/>
        <v>0.70499999999999996</v>
      </c>
      <c r="AQ141" s="11">
        <f t="shared" si="134"/>
        <v>1.0520562207183759</v>
      </c>
      <c r="AR141" s="11">
        <f t="shared" si="135"/>
        <v>1</v>
      </c>
      <c r="AS141" s="11">
        <f t="shared" si="136"/>
        <v>0.95051954477981193</v>
      </c>
      <c r="AT141" s="11">
        <f t="shared" si="137"/>
        <v>545.66999999999996</v>
      </c>
      <c r="AU141" s="11">
        <f t="shared" si="138"/>
        <v>2116.2199999999998</v>
      </c>
      <c r="AV141" s="11">
        <f t="shared" si="139"/>
        <v>2.259289905987135E-3</v>
      </c>
      <c r="AW141" s="11">
        <f t="shared" si="140"/>
        <v>3.8865391239478742E-7</v>
      </c>
      <c r="AX141" s="41">
        <f t="shared" ca="1" si="141"/>
        <v>123.94122330282167</v>
      </c>
      <c r="AY141" s="11">
        <f t="shared" ca="1" si="142"/>
        <v>649.55892492313558</v>
      </c>
      <c r="AZ141" s="11"/>
      <c r="BA141" s="11"/>
    </row>
    <row r="142" spans="1:53" ht="14.5">
      <c r="A142" s="41">
        <f t="shared" ca="1" si="102"/>
        <v>9802.8167524473884</v>
      </c>
      <c r="B142" s="41">
        <f t="shared" ca="1" si="103"/>
        <v>163.38027920745648</v>
      </c>
      <c r="C142" s="41">
        <f t="shared" ca="1" si="104"/>
        <v>2.723004653457608</v>
      </c>
      <c r="D142" s="41">
        <f t="shared" ca="1" si="57"/>
        <v>17226.348438746474</v>
      </c>
      <c r="E142" s="41">
        <f t="shared" ca="1" si="105"/>
        <v>808.09285137623908</v>
      </c>
      <c r="F142" s="41">
        <f t="shared" ca="1" si="106"/>
        <v>808.09285137623908</v>
      </c>
      <c r="G142" s="41"/>
      <c r="H142" s="5">
        <v>0</v>
      </c>
      <c r="I142" s="5">
        <v>15</v>
      </c>
      <c r="J142" s="41">
        <f t="shared" si="52"/>
        <v>0.75089084979517129</v>
      </c>
      <c r="K142" s="41">
        <f t="shared" si="107"/>
        <v>845</v>
      </c>
      <c r="L142" s="6">
        <f t="shared" si="53"/>
        <v>156.96500000000026</v>
      </c>
      <c r="M142" s="41">
        <f t="shared" si="108"/>
        <v>500.64897999999999</v>
      </c>
      <c r="N142" s="41">
        <f t="shared" si="109"/>
        <v>806.59473756123202</v>
      </c>
      <c r="O142" s="41">
        <f t="shared" si="110"/>
        <v>4912082.2142140185</v>
      </c>
      <c r="P142" s="41">
        <f t="shared" si="111"/>
        <v>31539019.457651295</v>
      </c>
      <c r="Q142" s="41">
        <f t="shared" si="112"/>
        <v>2.3904983722374947E-3</v>
      </c>
      <c r="R142" s="41">
        <f t="shared" si="113"/>
        <v>1.9593992562509908E-2</v>
      </c>
      <c r="S142" s="24">
        <f t="shared" ca="1" si="114"/>
        <v>8.4998400268808645</v>
      </c>
      <c r="T142" s="41">
        <f t="shared" ca="1" si="115"/>
        <v>9.1836102899267691E-2</v>
      </c>
      <c r="U142" s="41">
        <f t="shared" ca="1" si="116"/>
        <v>2.0126648144804766E-2</v>
      </c>
      <c r="V142" s="41">
        <f t="shared" ca="1" si="117"/>
        <v>4.5629109347237771</v>
      </c>
      <c r="W142" s="20">
        <f t="shared" ca="1" si="118"/>
        <v>3733.8311500195937</v>
      </c>
      <c r="X142" s="41">
        <f t="shared" si="119"/>
        <v>0.55699548397444465</v>
      </c>
      <c r="Y142" s="41">
        <f t="shared" ca="1" si="120"/>
        <v>176.70701251702008</v>
      </c>
      <c r="Z142" s="14">
        <f t="shared" ca="1" si="121"/>
        <v>3775.2979808687187</v>
      </c>
      <c r="AA142" s="14">
        <f t="shared" si="122"/>
        <v>6280</v>
      </c>
      <c r="AB142" s="25">
        <f t="shared" ca="1" si="123"/>
        <v>3190126.7938340674</v>
      </c>
      <c r="AC142" s="41">
        <f t="shared" si="124"/>
        <v>5306600</v>
      </c>
      <c r="AD142" s="5">
        <v>100</v>
      </c>
      <c r="AE142" s="41">
        <f t="shared" si="125"/>
        <v>6280</v>
      </c>
      <c r="AF142" s="41">
        <f t="shared" ca="1" si="126"/>
        <v>2504.7020191312813</v>
      </c>
      <c r="AG142" s="41">
        <f t="shared" ca="1" si="127"/>
        <v>2116473.2061659326</v>
      </c>
      <c r="AH142" s="41">
        <f t="shared" si="128"/>
        <v>4427.3999999999996</v>
      </c>
      <c r="AI142" s="13">
        <f t="shared" ca="1" si="129"/>
        <v>124.89661903007485</v>
      </c>
      <c r="AJ142" s="10">
        <f t="shared" ca="1" si="130"/>
        <v>8.4998400268808645</v>
      </c>
      <c r="AK142" s="11">
        <f t="shared" ca="1" si="60"/>
        <v>7493.7971418044908</v>
      </c>
      <c r="AL142" s="6">
        <v>10000</v>
      </c>
      <c r="AM142" s="41">
        <f t="shared" ca="1" si="131"/>
        <v>80.066218586685849</v>
      </c>
      <c r="AN142" s="41">
        <f t="shared" ca="1" si="132"/>
        <v>98.468104491859137</v>
      </c>
      <c r="AO142" s="41">
        <f t="shared" ca="1" si="133"/>
        <v>11.012440921435394</v>
      </c>
      <c r="AP142" s="67">
        <f t="shared" si="56"/>
        <v>0.70499999999999996</v>
      </c>
      <c r="AQ142" s="11">
        <f t="shared" si="134"/>
        <v>1.0520562207183759</v>
      </c>
      <c r="AR142" s="11">
        <f t="shared" si="135"/>
        <v>1</v>
      </c>
      <c r="AS142" s="11">
        <f t="shared" si="136"/>
        <v>0.95051954477981193</v>
      </c>
      <c r="AT142" s="11">
        <f t="shared" si="137"/>
        <v>545.66999999999996</v>
      </c>
      <c r="AU142" s="11">
        <f t="shared" si="138"/>
        <v>2116.2199999999998</v>
      </c>
      <c r="AV142" s="11">
        <f t="shared" si="139"/>
        <v>2.259289905987135E-3</v>
      </c>
      <c r="AW142" s="11">
        <f t="shared" si="140"/>
        <v>3.8865391239478742E-7</v>
      </c>
      <c r="AX142" s="41">
        <f t="shared" ca="1" si="141"/>
        <v>122.86255637355168</v>
      </c>
      <c r="AY142" s="11">
        <f t="shared" ca="1" si="142"/>
        <v>649.90388083404446</v>
      </c>
      <c r="AZ142" s="11"/>
      <c r="BA142" s="11"/>
    </row>
    <row r="143" spans="1:53" ht="14.5">
      <c r="A143" s="41">
        <f t="shared" ca="1" si="102"/>
        <v>9882.8829710340742</v>
      </c>
      <c r="B143" s="41">
        <f t="shared" ca="1" si="103"/>
        <v>164.71471618390123</v>
      </c>
      <c r="C143" s="41">
        <f t="shared" ca="1" si="104"/>
        <v>2.7452452697316874</v>
      </c>
      <c r="D143" s="41">
        <f t="shared" ca="1" si="57"/>
        <v>17226.348438746474</v>
      </c>
      <c r="E143" s="41">
        <f t="shared" ca="1" si="105"/>
        <v>819.10529229767451</v>
      </c>
      <c r="F143" s="41">
        <f t="shared" ca="1" si="106"/>
        <v>819.10529229767451</v>
      </c>
      <c r="G143" s="41"/>
      <c r="H143" s="5">
        <v>0</v>
      </c>
      <c r="I143" s="5">
        <v>15</v>
      </c>
      <c r="J143" s="41">
        <f t="shared" si="52"/>
        <v>0.75533399091821962</v>
      </c>
      <c r="K143" s="41">
        <f t="shared" si="107"/>
        <v>850</v>
      </c>
      <c r="L143" s="6">
        <f t="shared" si="53"/>
        <v>158.20000000000027</v>
      </c>
      <c r="M143" s="41">
        <f t="shared" si="108"/>
        <v>503.6114</v>
      </c>
      <c r="N143" s="41">
        <f t="shared" si="109"/>
        <v>816.16847853785248</v>
      </c>
      <c r="O143" s="41">
        <f t="shared" si="110"/>
        <v>4941147.789446055</v>
      </c>
      <c r="P143" s="41">
        <f t="shared" si="111"/>
        <v>31725640.874560479</v>
      </c>
      <c r="Q143" s="41">
        <f t="shared" si="112"/>
        <v>2.3870096097083158E-3</v>
      </c>
      <c r="R143" s="41">
        <f t="shared" si="113"/>
        <v>1.9572693667269266E-2</v>
      </c>
      <c r="S143" s="24">
        <f t="shared" ca="1" si="114"/>
        <v>8.3718907324230596</v>
      </c>
      <c r="T143" s="41">
        <f t="shared" ca="1" si="115"/>
        <v>9.0788919240116533E-2</v>
      </c>
      <c r="U143" s="41">
        <f t="shared" ca="1" si="116"/>
        <v>2.0093271035314834E-2</v>
      </c>
      <c r="V143" s="41">
        <f t="shared" ca="1" si="117"/>
        <v>4.5183742896092376</v>
      </c>
      <c r="W143" s="20">
        <f t="shared" ca="1" si="118"/>
        <v>3771.8837234405696</v>
      </c>
      <c r="X143" s="41">
        <f t="shared" si="119"/>
        <v>0.55669267141370304</v>
      </c>
      <c r="Y143" s="41">
        <f t="shared" ca="1" si="120"/>
        <v>176.73627669629306</v>
      </c>
      <c r="Z143" s="14">
        <f t="shared" ca="1" si="121"/>
        <v>3812.5102823733223</v>
      </c>
      <c r="AA143" s="14">
        <f t="shared" si="122"/>
        <v>6280</v>
      </c>
      <c r="AB143" s="25">
        <f t="shared" ca="1" si="123"/>
        <v>3240633.7400173238</v>
      </c>
      <c r="AC143" s="41">
        <f t="shared" si="124"/>
        <v>5338000</v>
      </c>
      <c r="AD143" s="5">
        <v>100</v>
      </c>
      <c r="AE143" s="41">
        <f t="shared" si="125"/>
        <v>6280</v>
      </c>
      <c r="AF143" s="41">
        <f t="shared" ca="1" si="126"/>
        <v>2467.4897176266777</v>
      </c>
      <c r="AG143" s="41">
        <f t="shared" ca="1" si="127"/>
        <v>2097366.2599826762</v>
      </c>
      <c r="AH143" s="41">
        <f t="shared" si="128"/>
        <v>4427.3999999999996</v>
      </c>
      <c r="AI143" s="13">
        <f t="shared" ca="1" si="129"/>
        <v>123.75802351009742</v>
      </c>
      <c r="AJ143" s="10">
        <f t="shared" ca="1" si="130"/>
        <v>8.3718907324230596</v>
      </c>
      <c r="AK143" s="11">
        <f t="shared" ca="1" si="60"/>
        <v>7425.4814106058448</v>
      </c>
      <c r="AL143" s="6">
        <v>10000</v>
      </c>
      <c r="AM143" s="41">
        <f t="shared" ca="1" si="131"/>
        <v>80.802841839051354</v>
      </c>
      <c r="AN143" s="41">
        <f t="shared" ca="1" si="132"/>
        <v>99.374028321726655</v>
      </c>
      <c r="AO143" s="41">
        <f t="shared" ca="1" si="133"/>
        <v>11.18322233966539</v>
      </c>
      <c r="AP143" s="67">
        <f t="shared" si="56"/>
        <v>0.70499999999999996</v>
      </c>
      <c r="AQ143" s="11">
        <f t="shared" si="134"/>
        <v>1.0520562207183759</v>
      </c>
      <c r="AR143" s="11">
        <f t="shared" si="135"/>
        <v>1</v>
      </c>
      <c r="AS143" s="11">
        <f t="shared" si="136"/>
        <v>0.95051954477981193</v>
      </c>
      <c r="AT143" s="11">
        <f t="shared" si="137"/>
        <v>545.66999999999996</v>
      </c>
      <c r="AU143" s="11">
        <f t="shared" si="138"/>
        <v>2116.2199999999998</v>
      </c>
      <c r="AV143" s="11">
        <f t="shared" si="139"/>
        <v>2.259289905987135E-3</v>
      </c>
      <c r="AW143" s="11">
        <f t="shared" si="140"/>
        <v>3.8865391239478742E-7</v>
      </c>
      <c r="AX143" s="41">
        <f t="shared" ca="1" si="141"/>
        <v>121.75338653113285</v>
      </c>
      <c r="AY143" s="11">
        <f t="shared" ca="1" si="142"/>
        <v>650.24828003137077</v>
      </c>
      <c r="AZ143" s="11"/>
      <c r="BA143" s="11"/>
    </row>
    <row r="144" spans="1:53" ht="14.5">
      <c r="A144" s="41">
        <f t="shared" ca="1" si="102"/>
        <v>9963.6858128731255</v>
      </c>
      <c r="B144" s="41">
        <f t="shared" ca="1" si="103"/>
        <v>166.0614302145521</v>
      </c>
      <c r="C144" s="41">
        <f t="shared" ca="1" si="104"/>
        <v>2.7676905035758685</v>
      </c>
      <c r="D144" s="41">
        <f t="shared" ca="1" si="57"/>
        <v>17226.348438746474</v>
      </c>
      <c r="E144" s="41">
        <f t="shared" ca="1" si="105"/>
        <v>830.28851463733986</v>
      </c>
      <c r="F144" s="41">
        <f t="shared" ca="1" si="106"/>
        <v>830.28851463733986</v>
      </c>
      <c r="G144" s="41"/>
      <c r="H144" s="5">
        <v>0</v>
      </c>
      <c r="I144" s="5">
        <v>15</v>
      </c>
      <c r="J144" s="41">
        <f t="shared" si="52"/>
        <v>0.75977713204126796</v>
      </c>
      <c r="K144" s="41">
        <f t="shared" si="107"/>
        <v>855</v>
      </c>
      <c r="L144" s="6">
        <f t="shared" si="53"/>
        <v>159.43500000000029</v>
      </c>
      <c r="M144" s="41">
        <f t="shared" si="108"/>
        <v>506.57382000000001</v>
      </c>
      <c r="N144" s="41">
        <f t="shared" si="109"/>
        <v>825.79870176212262</v>
      </c>
      <c r="O144" s="41">
        <f t="shared" si="110"/>
        <v>4970213.3646780914</v>
      </c>
      <c r="P144" s="41">
        <f t="shared" si="111"/>
        <v>31912262.29146966</v>
      </c>
      <c r="Q144" s="41">
        <f t="shared" si="112"/>
        <v>2.3835320675649686E-3</v>
      </c>
      <c r="R144" s="41">
        <f t="shared" si="113"/>
        <v>1.9551463272484134E-2</v>
      </c>
      <c r="S144" s="24">
        <f t="shared" ca="1" si="114"/>
        <v>8.2433404870740663</v>
      </c>
      <c r="T144" s="41">
        <f t="shared" ca="1" si="115"/>
        <v>8.9759567078328661E-2</v>
      </c>
      <c r="U144" s="41">
        <f t="shared" ca="1" si="116"/>
        <v>2.006030309138802E-2</v>
      </c>
      <c r="V144" s="41">
        <f t="shared" ca="1" si="117"/>
        <v>4.4744870837401685</v>
      </c>
      <c r="W144" s="20">
        <f t="shared" ca="1" si="118"/>
        <v>3810.1276174592726</v>
      </c>
      <c r="X144" s="41">
        <f t="shared" si="119"/>
        <v>0.5563906687339254</v>
      </c>
      <c r="Y144" s="41">
        <f t="shared" ca="1" si="120"/>
        <v>176.76522972499723</v>
      </c>
      <c r="Z144" s="14">
        <f t="shared" ca="1" si="121"/>
        <v>3849.9046072443198</v>
      </c>
      <c r="AA144" s="14">
        <f t="shared" si="122"/>
        <v>6280</v>
      </c>
      <c r="AB144" s="25">
        <f t="shared" ca="1" si="123"/>
        <v>3291668.4391938932</v>
      </c>
      <c r="AC144" s="41">
        <f t="shared" si="124"/>
        <v>5369400</v>
      </c>
      <c r="AD144" s="5">
        <v>100</v>
      </c>
      <c r="AE144" s="41">
        <f t="shared" si="125"/>
        <v>6280</v>
      </c>
      <c r="AF144" s="41">
        <f t="shared" ca="1" si="126"/>
        <v>2430.0953927556802</v>
      </c>
      <c r="AG144" s="41">
        <f t="shared" ca="1" si="127"/>
        <v>2077731.5608061068</v>
      </c>
      <c r="AH144" s="41">
        <f t="shared" si="128"/>
        <v>4427.3999999999996</v>
      </c>
      <c r="AI144" s="13">
        <f t="shared" ca="1" si="129"/>
        <v>122.58784237305193</v>
      </c>
      <c r="AJ144" s="10">
        <f t="shared" ca="1" si="130"/>
        <v>8.2433404870740663</v>
      </c>
      <c r="AK144" s="11">
        <f t="shared" ca="1" si="60"/>
        <v>7355.2705423831158</v>
      </c>
      <c r="AL144" s="6">
        <v>10000</v>
      </c>
      <c r="AM144" s="41">
        <f t="shared" ca="1" si="131"/>
        <v>81.574157815492043</v>
      </c>
      <c r="AN144" s="41">
        <f t="shared" ca="1" si="132"/>
        <v>100.32261842008596</v>
      </c>
      <c r="AO144" s="41">
        <f t="shared" ca="1" si="133"/>
        <v>11.360106243049382</v>
      </c>
      <c r="AP144" s="67">
        <f t="shared" si="56"/>
        <v>0.70499999999999996</v>
      </c>
      <c r="AQ144" s="11">
        <f t="shared" si="134"/>
        <v>1.0520562207183759</v>
      </c>
      <c r="AR144" s="11">
        <f t="shared" si="135"/>
        <v>1</v>
      </c>
      <c r="AS144" s="11">
        <f t="shared" si="136"/>
        <v>0.95051954477981193</v>
      </c>
      <c r="AT144" s="11">
        <f t="shared" si="137"/>
        <v>545.66999999999996</v>
      </c>
      <c r="AU144" s="11">
        <f t="shared" si="138"/>
        <v>2116.2199999999998</v>
      </c>
      <c r="AV144" s="11">
        <f t="shared" si="139"/>
        <v>2.259289905987135E-3</v>
      </c>
      <c r="AW144" s="11">
        <f t="shared" si="140"/>
        <v>3.8865391239478742E-7</v>
      </c>
      <c r="AX144" s="41">
        <f t="shared" ca="1" si="141"/>
        <v>120.61358030659335</v>
      </c>
      <c r="AY144" s="11">
        <f t="shared" ca="1" si="142"/>
        <v>650.59213581194865</v>
      </c>
      <c r="AZ144" s="11"/>
      <c r="BA144" s="11"/>
    </row>
    <row r="145" spans="1:53" ht="14.5">
      <c r="A145" s="41">
        <f t="shared" ca="1" si="102"/>
        <v>10045.259970688618</v>
      </c>
      <c r="B145" s="41">
        <f t="shared" ca="1" si="103"/>
        <v>167.42099951147696</v>
      </c>
      <c r="C145" s="41">
        <f t="shared" ca="1" si="104"/>
        <v>2.7903499918579495</v>
      </c>
      <c r="D145" s="41">
        <f t="shared" ca="1" si="57"/>
        <v>17226.348438746474</v>
      </c>
      <c r="E145" s="41">
        <f t="shared" ca="1" si="105"/>
        <v>841.64862088038922</v>
      </c>
      <c r="F145" s="41">
        <f t="shared" ca="1" si="106"/>
        <v>841.64862088038922</v>
      </c>
      <c r="G145" s="41"/>
      <c r="H145" s="5">
        <v>0</v>
      </c>
      <c r="I145" s="5">
        <v>15</v>
      </c>
      <c r="J145" s="41">
        <f t="shared" si="52"/>
        <v>0.76422027316431629</v>
      </c>
      <c r="K145" s="41">
        <f t="shared" si="107"/>
        <v>860</v>
      </c>
      <c r="L145" s="6">
        <f t="shared" si="53"/>
        <v>160.6700000000003</v>
      </c>
      <c r="M145" s="41">
        <f t="shared" si="108"/>
        <v>509.53624000000002</v>
      </c>
      <c r="N145" s="41">
        <f t="shared" si="109"/>
        <v>835.48540723404255</v>
      </c>
      <c r="O145" s="41">
        <f t="shared" si="110"/>
        <v>4999278.9399101259</v>
      </c>
      <c r="P145" s="41">
        <f t="shared" si="111"/>
        <v>32098883.708378837</v>
      </c>
      <c r="Q145" s="41">
        <f t="shared" si="112"/>
        <v>2.3800655748224108E-3</v>
      </c>
      <c r="R145" s="41">
        <f t="shared" si="113"/>
        <v>1.9530300334290818E-2</v>
      </c>
      <c r="S145" s="24">
        <f t="shared" ca="1" si="114"/>
        <v>8.1141925842340505</v>
      </c>
      <c r="T145" s="41">
        <f t="shared" ca="1" si="115"/>
        <v>8.8747631439031471E-2</v>
      </c>
      <c r="U145" s="41">
        <f t="shared" ca="1" si="116"/>
        <v>2.0027731661865059E-2</v>
      </c>
      <c r="V145" s="41">
        <f t="shared" ca="1" si="117"/>
        <v>4.4312372932385768</v>
      </c>
      <c r="W145" s="20">
        <f t="shared" ca="1" si="118"/>
        <v>3848.5618350021145</v>
      </c>
      <c r="X145" s="41">
        <f t="shared" si="119"/>
        <v>0.55608946239355761</v>
      </c>
      <c r="Y145" s="41">
        <f t="shared" ca="1" si="120"/>
        <v>176.79386464832245</v>
      </c>
      <c r="Z145" s="14">
        <f t="shared" ca="1" si="121"/>
        <v>3887.4804707550584</v>
      </c>
      <c r="AA145" s="14">
        <f t="shared" si="122"/>
        <v>6280</v>
      </c>
      <c r="AB145" s="25">
        <f t="shared" ca="1" si="123"/>
        <v>3343233.2048493503</v>
      </c>
      <c r="AC145" s="41">
        <f t="shared" si="124"/>
        <v>5400800</v>
      </c>
      <c r="AD145" s="5">
        <v>100</v>
      </c>
      <c r="AE145" s="41">
        <f t="shared" si="125"/>
        <v>6280</v>
      </c>
      <c r="AF145" s="41">
        <f t="shared" ca="1" si="126"/>
        <v>2392.5195292449416</v>
      </c>
      <c r="AG145" s="41">
        <f t="shared" ca="1" si="127"/>
        <v>2057566.7951506497</v>
      </c>
      <c r="AH145" s="41">
        <f t="shared" si="128"/>
        <v>4427.3999999999996</v>
      </c>
      <c r="AI145" s="13">
        <f t="shared" ca="1" si="129"/>
        <v>121.38595880220927</v>
      </c>
      <c r="AJ145" s="10">
        <f t="shared" ca="1" si="130"/>
        <v>8.1141925842340505</v>
      </c>
      <c r="AK145" s="11">
        <f t="shared" ca="1" si="60"/>
        <v>7283.1575281325568</v>
      </c>
      <c r="AL145" s="6">
        <v>10000</v>
      </c>
      <c r="AM145" s="41">
        <f t="shared" ca="1" si="131"/>
        <v>82.381851234493823</v>
      </c>
      <c r="AN145" s="41">
        <f t="shared" ca="1" si="132"/>
        <v>101.31594670988831</v>
      </c>
      <c r="AO145" s="41">
        <f t="shared" ca="1" si="133"/>
        <v>11.543416681325741</v>
      </c>
      <c r="AP145" s="67">
        <f t="shared" si="56"/>
        <v>0.70499999999999996</v>
      </c>
      <c r="AQ145" s="11">
        <f t="shared" si="134"/>
        <v>1.0520562207183759</v>
      </c>
      <c r="AR145" s="11">
        <f t="shared" si="135"/>
        <v>1</v>
      </c>
      <c r="AS145" s="11">
        <f t="shared" si="136"/>
        <v>0.95051954477981193</v>
      </c>
      <c r="AT145" s="11">
        <f t="shared" si="137"/>
        <v>545.66999999999996</v>
      </c>
      <c r="AU145" s="11">
        <f t="shared" si="138"/>
        <v>2116.2199999999998</v>
      </c>
      <c r="AV145" s="11">
        <f t="shared" si="139"/>
        <v>2.259289905987135E-3</v>
      </c>
      <c r="AW145" s="11">
        <f t="shared" si="140"/>
        <v>3.8865391239478742E-7</v>
      </c>
      <c r="AX145" s="41">
        <f t="shared" ca="1" si="141"/>
        <v>119.44300340068905</v>
      </c>
      <c r="AY145" s="11">
        <f t="shared" ca="1" si="142"/>
        <v>650.93546119784639</v>
      </c>
      <c r="AZ145" s="11"/>
      <c r="BA145" s="11"/>
    </row>
    <row r="146" spans="1:53" ht="14.5">
      <c r="A146" s="41">
        <f t="shared" ca="1" si="102"/>
        <v>10127.641821923111</v>
      </c>
      <c r="B146" s="41">
        <f t="shared" ca="1" si="103"/>
        <v>168.79403036538517</v>
      </c>
      <c r="C146" s="41">
        <f t="shared" ca="1" si="104"/>
        <v>2.813233839423086</v>
      </c>
      <c r="D146" s="41">
        <f t="shared" ca="1" si="57"/>
        <v>17226.348438746474</v>
      </c>
      <c r="E146" s="41">
        <f t="shared" ca="1" si="105"/>
        <v>853.19203756171498</v>
      </c>
      <c r="F146" s="41">
        <f t="shared" ca="1" si="106"/>
        <v>853.19203756171498</v>
      </c>
      <c r="G146" s="41"/>
      <c r="H146" s="5">
        <v>0</v>
      </c>
      <c r="I146" s="5">
        <v>15</v>
      </c>
      <c r="J146" s="41">
        <f t="shared" si="52"/>
        <v>0.76866341428736462</v>
      </c>
      <c r="K146" s="41">
        <f t="shared" si="107"/>
        <v>865</v>
      </c>
      <c r="L146" s="6">
        <f t="shared" si="53"/>
        <v>161.90500000000031</v>
      </c>
      <c r="M146" s="41">
        <f t="shared" si="108"/>
        <v>512.49865999999997</v>
      </c>
      <c r="N146" s="41">
        <f t="shared" si="109"/>
        <v>845.22859495361206</v>
      </c>
      <c r="O146" s="41">
        <f t="shared" si="110"/>
        <v>5028344.5151421623</v>
      </c>
      <c r="P146" s="41">
        <f t="shared" si="111"/>
        <v>32285505.125288017</v>
      </c>
      <c r="Q146" s="41">
        <f t="shared" si="112"/>
        <v>2.3766099642531157E-3</v>
      </c>
      <c r="R146" s="41">
        <f t="shared" si="113"/>
        <v>1.9509203831765271E-2</v>
      </c>
      <c r="S146" s="24">
        <f t="shared" ca="1" si="114"/>
        <v>7.9844502544368465</v>
      </c>
      <c r="T146" s="41">
        <f t="shared" ca="1" si="115"/>
        <v>8.7752709360405995E-2</v>
      </c>
      <c r="U146" s="41">
        <f t="shared" ca="1" si="116"/>
        <v>1.9995544580646857E-2</v>
      </c>
      <c r="V146" s="41">
        <f t="shared" ca="1" si="117"/>
        <v>4.3886131236125197</v>
      </c>
      <c r="W146" s="20">
        <f t="shared" ca="1" si="118"/>
        <v>3887.1853917834651</v>
      </c>
      <c r="X146" s="41">
        <f t="shared" si="119"/>
        <v>0.55578903914498745</v>
      </c>
      <c r="Y146" s="41">
        <f t="shared" ca="1" si="120"/>
        <v>176.8221745429299</v>
      </c>
      <c r="Z146" s="14">
        <f t="shared" ca="1" si="121"/>
        <v>3925.237416363208</v>
      </c>
      <c r="AA146" s="14">
        <f t="shared" si="122"/>
        <v>6280</v>
      </c>
      <c r="AB146" s="25">
        <f t="shared" ca="1" si="123"/>
        <v>3395330.3651541751</v>
      </c>
      <c r="AC146" s="41">
        <f t="shared" si="124"/>
        <v>5432200</v>
      </c>
      <c r="AD146" s="5">
        <v>100</v>
      </c>
      <c r="AE146" s="41">
        <f t="shared" si="125"/>
        <v>6280</v>
      </c>
      <c r="AF146" s="41">
        <f t="shared" ca="1" si="126"/>
        <v>2354.762583636792</v>
      </c>
      <c r="AG146" s="41">
        <f t="shared" ca="1" si="127"/>
        <v>2036869.6348458249</v>
      </c>
      <c r="AH146" s="41">
        <f t="shared" si="128"/>
        <v>4427.3999999999996</v>
      </c>
      <c r="AI146" s="13">
        <f t="shared" ca="1" si="129"/>
        <v>120.15225649632316</v>
      </c>
      <c r="AJ146" s="10">
        <f t="shared" ca="1" si="130"/>
        <v>7.9844502544368465</v>
      </c>
      <c r="AK146" s="11">
        <f t="shared" ca="1" si="60"/>
        <v>7209.1353897793897</v>
      </c>
      <c r="AL146" s="6">
        <v>10000</v>
      </c>
      <c r="AM146" s="41">
        <f t="shared" ca="1" si="131"/>
        <v>83.227733640657974</v>
      </c>
      <c r="AN146" s="41">
        <f t="shared" ca="1" si="132"/>
        <v>102.35624108906919</v>
      </c>
      <c r="AO146" s="41">
        <f t="shared" ca="1" si="133"/>
        <v>11.733501305722797</v>
      </c>
      <c r="AP146" s="67">
        <f t="shared" si="56"/>
        <v>0.70499999999999996</v>
      </c>
      <c r="AQ146" s="11">
        <f t="shared" si="134"/>
        <v>1.0520562207183759</v>
      </c>
      <c r="AR146" s="11">
        <f t="shared" si="135"/>
        <v>1</v>
      </c>
      <c r="AS146" s="11">
        <f t="shared" si="136"/>
        <v>0.95051954477981193</v>
      </c>
      <c r="AT146" s="11">
        <f t="shared" si="137"/>
        <v>545.66999999999996</v>
      </c>
      <c r="AU146" s="11">
        <f t="shared" si="138"/>
        <v>2116.2199999999998</v>
      </c>
      <c r="AV146" s="11">
        <f t="shared" si="139"/>
        <v>2.259289905987135E-3</v>
      </c>
      <c r="AW146" s="11">
        <f t="shared" si="140"/>
        <v>3.8865391239478742E-7</v>
      </c>
      <c r="AX146" s="41">
        <f t="shared" ca="1" si="141"/>
        <v>118.24152066170814</v>
      </c>
      <c r="AY146" s="11">
        <f t="shared" ca="1" si="142"/>
        <v>651.27826894269754</v>
      </c>
      <c r="AZ146" s="11"/>
      <c r="BA146" s="11"/>
    </row>
    <row r="147" spans="1:53" ht="14.5">
      <c r="A147" s="46"/>
      <c r="C147" s="47"/>
    </row>
    <row r="148" spans="1:53" ht="14.5">
      <c r="A148" s="46"/>
      <c r="C148" s="47"/>
    </row>
    <row r="153" spans="1:53" ht="14.5">
      <c r="A153" s="22"/>
      <c r="B153" s="41"/>
      <c r="C153" s="7"/>
      <c r="D153" s="41"/>
      <c r="E153" s="41"/>
      <c r="F153" s="41"/>
      <c r="G153" s="41"/>
      <c r="H153" s="5"/>
      <c r="I153" s="5"/>
      <c r="J153" s="41"/>
      <c r="K153" s="41"/>
      <c r="L153" s="6"/>
      <c r="M153" s="41"/>
      <c r="N153" s="41"/>
      <c r="O153" s="41"/>
      <c r="P153" s="41"/>
      <c r="Q153" s="7"/>
      <c r="R153" s="41"/>
      <c r="S153" s="24"/>
      <c r="T153" s="7"/>
      <c r="U153" s="7"/>
      <c r="V153" s="7"/>
      <c r="W153" s="7"/>
      <c r="X153" s="41"/>
      <c r="Y153" s="41"/>
      <c r="Z153" s="9"/>
      <c r="AA153" s="9"/>
      <c r="AB153" s="7"/>
      <c r="AC153" s="7"/>
      <c r="AD153" s="5"/>
      <c r="AE153" s="7"/>
      <c r="AF153" s="41"/>
      <c r="AG153" s="41"/>
      <c r="AH153" s="41"/>
      <c r="AI153" s="7"/>
      <c r="AJ153" s="10"/>
      <c r="AK153" s="11"/>
      <c r="AL153" s="5"/>
      <c r="AM153" s="41"/>
      <c r="AN153" s="41"/>
      <c r="AO153" s="4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</row>
    <row r="154" spans="1:53" ht="14.5">
      <c r="A154" s="41"/>
      <c r="B154" s="41"/>
      <c r="C154" s="41"/>
      <c r="D154" s="23"/>
      <c r="E154" s="41"/>
      <c r="F154" s="41"/>
      <c r="G154" s="41"/>
      <c r="H154" s="5"/>
      <c r="I154" s="5"/>
      <c r="J154" s="41"/>
      <c r="K154" s="41"/>
      <c r="L154" s="12"/>
      <c r="M154" s="13"/>
      <c r="N154" s="41"/>
      <c r="O154" s="41"/>
      <c r="P154" s="41"/>
      <c r="Q154" s="41"/>
      <c r="R154" s="41"/>
      <c r="S154" s="24"/>
      <c r="T154" s="41"/>
      <c r="U154" s="41"/>
      <c r="V154" s="41"/>
      <c r="W154" s="41"/>
      <c r="X154" s="41"/>
      <c r="Y154" s="7"/>
      <c r="Z154" s="35"/>
      <c r="AA154" s="9"/>
      <c r="AB154" s="7"/>
      <c r="AC154" s="7"/>
      <c r="AD154" s="5"/>
      <c r="AE154" s="7"/>
      <c r="AF154" s="7"/>
      <c r="AG154" s="7"/>
      <c r="AH154" s="41"/>
      <c r="AI154" s="41"/>
      <c r="AJ154" s="10"/>
      <c r="AK154" s="36"/>
      <c r="AL154" s="5"/>
      <c r="AM154" s="41"/>
      <c r="AN154" s="41"/>
      <c r="AO154" s="41"/>
      <c r="AP154" s="36"/>
      <c r="AQ154" s="15"/>
      <c r="AR154" s="16"/>
      <c r="AS154" s="16"/>
      <c r="AT154" s="17"/>
      <c r="AU154" s="18"/>
      <c r="AV154" s="18"/>
      <c r="AW154" s="19"/>
      <c r="AX154" s="19"/>
      <c r="AY154" s="19"/>
      <c r="AZ154" s="19"/>
      <c r="BA154" s="19"/>
    </row>
    <row r="155" spans="1:53" ht="14.5">
      <c r="A155" s="41"/>
      <c r="B155" s="41"/>
      <c r="C155" s="41"/>
      <c r="D155" s="23"/>
      <c r="E155" s="41"/>
      <c r="F155" s="41"/>
      <c r="G155" s="41"/>
      <c r="H155" s="5"/>
      <c r="I155" s="5"/>
      <c r="J155" s="41"/>
      <c r="K155" s="41"/>
      <c r="L155" s="5"/>
      <c r="M155" s="41"/>
      <c r="N155" s="41"/>
      <c r="O155" s="41"/>
      <c r="P155" s="41"/>
      <c r="Q155" s="41"/>
      <c r="R155" s="41"/>
      <c r="S155" s="24"/>
      <c r="T155" s="41"/>
      <c r="U155" s="41"/>
      <c r="V155" s="41"/>
      <c r="W155" s="41"/>
      <c r="X155" s="41"/>
      <c r="Y155" s="41"/>
      <c r="Z155" s="9"/>
      <c r="AA155" s="9"/>
      <c r="AB155" s="7"/>
      <c r="AC155" s="7"/>
      <c r="AD155" s="5"/>
      <c r="AE155" s="7"/>
      <c r="AF155" s="7"/>
      <c r="AG155" s="7"/>
      <c r="AH155" s="41"/>
      <c r="AI155" s="41"/>
      <c r="AJ155" s="10"/>
      <c r="AK155" s="11"/>
      <c r="AL155" s="5"/>
      <c r="AM155" s="41"/>
      <c r="AN155" s="41"/>
      <c r="AO155" s="4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</row>
    <row r="156" spans="1:53" ht="14.5">
      <c r="A156" s="41"/>
      <c r="B156" s="41"/>
      <c r="C156" s="41"/>
      <c r="D156" s="23"/>
      <c r="E156" s="7"/>
      <c r="F156" s="7"/>
      <c r="G156" s="41"/>
      <c r="H156" s="5"/>
      <c r="I156" s="5"/>
      <c r="J156" s="41"/>
      <c r="K156" s="41"/>
      <c r="L156" s="6"/>
      <c r="M156" s="41"/>
      <c r="N156" s="41"/>
      <c r="O156" s="41"/>
      <c r="P156" s="41"/>
      <c r="Q156" s="41"/>
      <c r="R156" s="41"/>
      <c r="S156" s="24"/>
      <c r="T156" s="41"/>
      <c r="U156" s="41"/>
      <c r="V156" s="41"/>
      <c r="W156" s="20"/>
      <c r="X156" s="41"/>
      <c r="Y156" s="41"/>
      <c r="Z156" s="14"/>
      <c r="AA156" s="14"/>
      <c r="AB156" s="25"/>
      <c r="AC156" s="41"/>
      <c r="AD156" s="5"/>
      <c r="AE156" s="41"/>
      <c r="AF156" s="41"/>
      <c r="AG156" s="41"/>
      <c r="AH156" s="41"/>
      <c r="AI156" s="13"/>
      <c r="AJ156" s="10"/>
      <c r="AK156" s="11"/>
      <c r="AL156" s="6"/>
      <c r="AM156" s="41"/>
      <c r="AN156" s="41"/>
      <c r="AO156" s="4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</row>
    <row r="157" spans="1:53" ht="14.5">
      <c r="A157" s="41"/>
      <c r="B157" s="41"/>
      <c r="C157" s="41"/>
      <c r="D157" s="41"/>
      <c r="E157" s="41"/>
      <c r="F157" s="41"/>
      <c r="G157" s="41"/>
      <c r="H157" s="5"/>
      <c r="I157" s="5"/>
      <c r="J157" s="41"/>
      <c r="K157" s="41"/>
      <c r="L157" s="6"/>
      <c r="M157" s="41"/>
      <c r="N157" s="41"/>
      <c r="O157" s="41"/>
      <c r="P157" s="41"/>
      <c r="Q157" s="41"/>
      <c r="R157" s="41"/>
      <c r="S157" s="24"/>
      <c r="T157" s="41"/>
      <c r="U157" s="41"/>
      <c r="V157" s="41"/>
      <c r="W157" s="20"/>
      <c r="X157" s="41"/>
      <c r="Y157" s="41"/>
      <c r="Z157" s="14"/>
      <c r="AA157" s="14"/>
      <c r="AB157" s="25"/>
      <c r="AC157" s="41"/>
      <c r="AD157" s="5"/>
      <c r="AE157" s="41"/>
      <c r="AF157" s="41"/>
      <c r="AG157" s="41"/>
      <c r="AH157" s="41"/>
      <c r="AI157" s="13"/>
      <c r="AJ157" s="10"/>
      <c r="AK157" s="11"/>
      <c r="AL157" s="6"/>
      <c r="AM157" s="41"/>
      <c r="AN157" s="41"/>
      <c r="AO157" s="4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</row>
    <row r="158" spans="1:53" ht="14.5">
      <c r="A158" s="41"/>
      <c r="B158" s="41"/>
      <c r="C158" s="41"/>
      <c r="D158" s="41"/>
      <c r="E158" s="41"/>
      <c r="F158" s="41"/>
      <c r="G158" s="41"/>
      <c r="H158" s="5"/>
      <c r="I158" s="5"/>
      <c r="J158" s="41"/>
      <c r="K158" s="41"/>
      <c r="L158" s="6"/>
      <c r="M158" s="41"/>
      <c r="N158" s="41"/>
      <c r="O158" s="41"/>
      <c r="P158" s="41"/>
      <c r="Q158" s="41"/>
      <c r="R158" s="41"/>
      <c r="S158" s="24"/>
      <c r="T158" s="41"/>
      <c r="U158" s="41"/>
      <c r="V158" s="41"/>
      <c r="W158" s="20"/>
      <c r="X158" s="41"/>
      <c r="Y158" s="41"/>
      <c r="Z158" s="14"/>
      <c r="AA158" s="14"/>
      <c r="AB158" s="25"/>
      <c r="AC158" s="41"/>
      <c r="AD158" s="5"/>
      <c r="AE158" s="41"/>
      <c r="AF158" s="41"/>
      <c r="AG158" s="41"/>
      <c r="AH158" s="41"/>
      <c r="AI158" s="13"/>
      <c r="AJ158" s="10"/>
      <c r="AK158" s="11"/>
      <c r="AL158" s="6"/>
      <c r="AM158" s="41"/>
      <c r="AN158" s="41"/>
      <c r="AO158" s="4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</row>
    <row r="159" spans="1:53" ht="14.5">
      <c r="A159" s="41"/>
      <c r="B159" s="41"/>
      <c r="C159" s="41"/>
      <c r="D159" s="41"/>
      <c r="E159" s="41"/>
      <c r="F159" s="41"/>
      <c r="G159" s="41"/>
      <c r="H159" s="5"/>
      <c r="I159" s="5"/>
      <c r="J159" s="41"/>
      <c r="K159" s="41"/>
      <c r="L159" s="6"/>
      <c r="M159" s="41"/>
      <c r="N159" s="41"/>
      <c r="O159" s="41"/>
      <c r="P159" s="41"/>
      <c r="Q159" s="41"/>
      <c r="R159" s="41"/>
      <c r="S159" s="24"/>
      <c r="T159" s="41"/>
      <c r="U159" s="41"/>
      <c r="V159" s="41"/>
      <c r="W159" s="20"/>
      <c r="X159" s="41"/>
      <c r="Y159" s="41"/>
      <c r="Z159" s="14"/>
      <c r="AA159" s="14"/>
      <c r="AB159" s="25"/>
      <c r="AC159" s="41"/>
      <c r="AD159" s="5"/>
      <c r="AE159" s="41"/>
      <c r="AF159" s="41"/>
      <c r="AG159" s="41"/>
      <c r="AH159" s="41"/>
      <c r="AI159" s="13"/>
      <c r="AJ159" s="10"/>
      <c r="AK159" s="11"/>
      <c r="AL159" s="6"/>
      <c r="AM159" s="41"/>
      <c r="AN159" s="41"/>
      <c r="AO159" s="4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</row>
    <row r="160" spans="1:53" ht="14.5">
      <c r="A160" s="41"/>
      <c r="B160" s="41"/>
      <c r="C160" s="41"/>
      <c r="D160" s="41"/>
      <c r="E160" s="41"/>
      <c r="F160" s="41"/>
      <c r="G160" s="41"/>
      <c r="H160" s="5"/>
      <c r="I160" s="5"/>
      <c r="J160" s="41"/>
      <c r="K160" s="41"/>
      <c r="L160" s="6"/>
      <c r="M160" s="41"/>
      <c r="N160" s="41"/>
      <c r="O160" s="41"/>
      <c r="P160" s="41"/>
      <c r="Q160" s="41"/>
      <c r="R160" s="41"/>
      <c r="S160" s="24"/>
      <c r="T160" s="41"/>
      <c r="U160" s="41"/>
      <c r="V160" s="41"/>
      <c r="W160" s="20"/>
      <c r="X160" s="41"/>
      <c r="Y160" s="41"/>
      <c r="Z160" s="14"/>
      <c r="AA160" s="14"/>
      <c r="AB160" s="25"/>
      <c r="AC160" s="41"/>
      <c r="AD160" s="5"/>
      <c r="AE160" s="41"/>
      <c r="AF160" s="41"/>
      <c r="AG160" s="41"/>
      <c r="AH160" s="41"/>
      <c r="AI160" s="13"/>
      <c r="AJ160" s="10"/>
      <c r="AK160" s="11"/>
      <c r="AL160" s="6"/>
      <c r="AM160" s="41"/>
      <c r="AN160" s="41"/>
      <c r="AO160" s="4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</row>
    <row r="161" spans="1:53" ht="14.5">
      <c r="A161" s="41"/>
      <c r="B161" s="41"/>
      <c r="C161" s="41"/>
      <c r="D161" s="41"/>
      <c r="E161" s="41"/>
      <c r="F161" s="41"/>
      <c r="G161" s="41"/>
      <c r="H161" s="5"/>
      <c r="I161" s="5"/>
      <c r="J161" s="41"/>
      <c r="K161" s="41"/>
      <c r="L161" s="6"/>
      <c r="M161" s="41"/>
      <c r="N161" s="41"/>
      <c r="O161" s="41"/>
      <c r="P161" s="41"/>
      <c r="Q161" s="41"/>
      <c r="R161" s="41"/>
      <c r="S161" s="24"/>
      <c r="T161" s="41"/>
      <c r="U161" s="41"/>
      <c r="V161" s="41"/>
      <c r="W161" s="20"/>
      <c r="X161" s="41"/>
      <c r="Y161" s="41"/>
      <c r="Z161" s="14"/>
      <c r="AA161" s="14"/>
      <c r="AB161" s="25"/>
      <c r="AC161" s="41"/>
      <c r="AD161" s="5"/>
      <c r="AE161" s="41"/>
      <c r="AF161" s="41"/>
      <c r="AG161" s="41"/>
      <c r="AH161" s="41"/>
      <c r="AI161" s="13"/>
      <c r="AJ161" s="10"/>
      <c r="AK161" s="11"/>
      <c r="AL161" s="6"/>
      <c r="AM161" s="41"/>
      <c r="AN161" s="41"/>
      <c r="AO161" s="4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</row>
    <row r="162" spans="1:53" ht="14.5">
      <c r="A162" s="41"/>
      <c r="B162" s="41"/>
      <c r="C162" s="41"/>
      <c r="D162" s="41"/>
      <c r="E162" s="41"/>
      <c r="F162" s="41"/>
      <c r="G162" s="41"/>
      <c r="H162" s="5"/>
      <c r="I162" s="5"/>
      <c r="J162" s="41"/>
      <c r="K162" s="41"/>
      <c r="L162" s="6"/>
      <c r="M162" s="41"/>
      <c r="N162" s="41"/>
      <c r="O162" s="41"/>
      <c r="P162" s="41"/>
      <c r="Q162" s="41"/>
      <c r="R162" s="41"/>
      <c r="S162" s="24"/>
      <c r="T162" s="41"/>
      <c r="U162" s="41"/>
      <c r="V162" s="41"/>
      <c r="W162" s="20"/>
      <c r="X162" s="41"/>
      <c r="Y162" s="41"/>
      <c r="Z162" s="14"/>
      <c r="AA162" s="14"/>
      <c r="AB162" s="25"/>
      <c r="AC162" s="41"/>
      <c r="AD162" s="5"/>
      <c r="AE162" s="41"/>
      <c r="AF162" s="41"/>
      <c r="AG162" s="41"/>
      <c r="AH162" s="41"/>
      <c r="AI162" s="13"/>
      <c r="AJ162" s="10"/>
      <c r="AK162" s="11"/>
      <c r="AL162" s="6"/>
      <c r="AM162" s="41"/>
      <c r="AN162" s="41"/>
      <c r="AO162" s="4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</row>
    <row r="163" spans="1:53" ht="14.5">
      <c r="A163" s="41"/>
      <c r="B163" s="41"/>
      <c r="C163" s="41"/>
      <c r="D163" s="41"/>
      <c r="E163" s="41"/>
      <c r="F163" s="41"/>
      <c r="G163" s="41"/>
      <c r="H163" s="5"/>
      <c r="I163" s="5"/>
      <c r="J163" s="41"/>
      <c r="K163" s="41"/>
      <c r="L163" s="6"/>
      <c r="M163" s="41"/>
      <c r="N163" s="41"/>
      <c r="O163" s="41"/>
      <c r="P163" s="41"/>
      <c r="Q163" s="41"/>
      <c r="R163" s="41"/>
      <c r="S163" s="24"/>
      <c r="T163" s="41"/>
      <c r="U163" s="41"/>
      <c r="V163" s="41"/>
      <c r="W163" s="20"/>
      <c r="X163" s="41"/>
      <c r="Y163" s="41"/>
      <c r="Z163" s="14"/>
      <c r="AA163" s="14"/>
      <c r="AB163" s="25"/>
      <c r="AC163" s="41"/>
      <c r="AD163" s="5"/>
      <c r="AE163" s="41"/>
      <c r="AF163" s="41"/>
      <c r="AG163" s="41"/>
      <c r="AH163" s="41"/>
      <c r="AI163" s="13"/>
      <c r="AJ163" s="10"/>
      <c r="AK163" s="11"/>
      <c r="AL163" s="6"/>
      <c r="AM163" s="41"/>
      <c r="AN163" s="41"/>
      <c r="AO163" s="4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</row>
    <row r="164" spans="1:53" ht="14.5">
      <c r="A164" s="41"/>
      <c r="B164" s="41"/>
      <c r="C164" s="41"/>
      <c r="D164" s="41"/>
      <c r="E164" s="41"/>
      <c r="F164" s="41"/>
      <c r="G164" s="41"/>
      <c r="H164" s="5"/>
      <c r="I164" s="5"/>
      <c r="J164" s="41"/>
      <c r="K164" s="41"/>
      <c r="L164" s="6"/>
      <c r="M164" s="41"/>
      <c r="N164" s="41"/>
      <c r="O164" s="41"/>
      <c r="P164" s="41"/>
      <c r="Q164" s="41"/>
      <c r="R164" s="41"/>
      <c r="S164" s="24"/>
      <c r="T164" s="41"/>
      <c r="U164" s="41"/>
      <c r="V164" s="41"/>
      <c r="W164" s="20"/>
      <c r="X164" s="41"/>
      <c r="Y164" s="41"/>
      <c r="Z164" s="14"/>
      <c r="AA164" s="14"/>
      <c r="AB164" s="25"/>
      <c r="AC164" s="41"/>
      <c r="AD164" s="5"/>
      <c r="AE164" s="41"/>
      <c r="AF164" s="41"/>
      <c r="AG164" s="41"/>
      <c r="AH164" s="41"/>
      <c r="AI164" s="13"/>
      <c r="AJ164" s="10"/>
      <c r="AK164" s="11"/>
      <c r="AL164" s="6"/>
      <c r="AM164" s="41"/>
      <c r="AN164" s="41"/>
      <c r="AO164" s="4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</row>
    <row r="165" spans="1:53" ht="14.5">
      <c r="A165" s="41"/>
      <c r="B165" s="41"/>
      <c r="C165" s="41"/>
      <c r="D165" s="41"/>
      <c r="E165" s="41"/>
      <c r="F165" s="41"/>
      <c r="G165" s="41"/>
      <c r="H165" s="5"/>
      <c r="I165" s="5"/>
      <c r="J165" s="41"/>
      <c r="K165" s="41"/>
      <c r="L165" s="6"/>
      <c r="M165" s="41"/>
      <c r="N165" s="41"/>
      <c r="O165" s="41"/>
      <c r="P165" s="41"/>
      <c r="Q165" s="41"/>
      <c r="R165" s="41"/>
      <c r="S165" s="24"/>
      <c r="T165" s="41"/>
      <c r="U165" s="41"/>
      <c r="V165" s="41"/>
      <c r="W165" s="20"/>
      <c r="X165" s="41"/>
      <c r="Y165" s="41"/>
      <c r="Z165" s="14"/>
      <c r="AA165" s="14"/>
      <c r="AB165" s="25"/>
      <c r="AC165" s="41"/>
      <c r="AD165" s="5"/>
      <c r="AE165" s="41"/>
      <c r="AF165" s="41"/>
      <c r="AG165" s="41"/>
      <c r="AH165" s="41"/>
      <c r="AI165" s="13"/>
      <c r="AJ165" s="10"/>
      <c r="AK165" s="11"/>
      <c r="AL165" s="6"/>
      <c r="AM165" s="41"/>
      <c r="AN165" s="41"/>
      <c r="AO165" s="4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</row>
    <row r="166" spans="1:53" ht="14.5">
      <c r="A166" s="41"/>
      <c r="B166" s="41"/>
      <c r="C166" s="41"/>
      <c r="D166" s="41"/>
      <c r="E166" s="41"/>
      <c r="F166" s="41"/>
      <c r="G166" s="41"/>
      <c r="H166" s="5"/>
      <c r="I166" s="5"/>
      <c r="J166" s="41"/>
      <c r="K166" s="41"/>
      <c r="L166" s="6"/>
      <c r="M166" s="41"/>
      <c r="N166" s="41"/>
      <c r="O166" s="41"/>
      <c r="P166" s="41"/>
      <c r="Q166" s="41"/>
      <c r="R166" s="41"/>
      <c r="S166" s="24"/>
      <c r="T166" s="41"/>
      <c r="U166" s="41"/>
      <c r="V166" s="41"/>
      <c r="W166" s="20"/>
      <c r="X166" s="41"/>
      <c r="Y166" s="41"/>
      <c r="Z166" s="14"/>
      <c r="AA166" s="14"/>
      <c r="AB166" s="25"/>
      <c r="AC166" s="41"/>
      <c r="AD166" s="5"/>
      <c r="AE166" s="41"/>
      <c r="AF166" s="41"/>
      <c r="AG166" s="41"/>
      <c r="AH166" s="41"/>
      <c r="AI166" s="13"/>
      <c r="AJ166" s="10"/>
      <c r="AK166" s="11"/>
      <c r="AL166" s="6"/>
      <c r="AM166" s="41"/>
      <c r="AN166" s="41"/>
      <c r="AO166" s="4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</row>
    <row r="167" spans="1:53" ht="14.5">
      <c r="A167" s="41"/>
      <c r="B167" s="41"/>
      <c r="C167" s="41"/>
      <c r="D167" s="41"/>
      <c r="E167" s="41"/>
      <c r="F167" s="41"/>
      <c r="G167" s="41"/>
      <c r="H167" s="5"/>
      <c r="I167" s="5"/>
      <c r="J167" s="41"/>
      <c r="K167" s="41"/>
      <c r="L167" s="6"/>
      <c r="M167" s="41"/>
      <c r="N167" s="41"/>
      <c r="O167" s="41"/>
      <c r="P167" s="41"/>
      <c r="Q167" s="41"/>
      <c r="R167" s="41"/>
      <c r="S167" s="24"/>
      <c r="T167" s="41"/>
      <c r="U167" s="41"/>
      <c r="V167" s="41"/>
      <c r="W167" s="20"/>
      <c r="X167" s="41"/>
      <c r="Y167" s="41"/>
      <c r="Z167" s="14"/>
      <c r="AA167" s="14"/>
      <c r="AB167" s="25"/>
      <c r="AC167" s="41"/>
      <c r="AD167" s="5"/>
      <c r="AE167" s="41"/>
      <c r="AF167" s="41"/>
      <c r="AG167" s="41"/>
      <c r="AH167" s="41"/>
      <c r="AI167" s="13"/>
      <c r="AJ167" s="10"/>
      <c r="AK167" s="11"/>
      <c r="AL167" s="6"/>
      <c r="AM167" s="41"/>
      <c r="AN167" s="41"/>
      <c r="AO167" s="4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</row>
    <row r="168" spans="1:53" ht="14.5">
      <c r="A168" s="41"/>
      <c r="B168" s="41"/>
      <c r="C168" s="41"/>
      <c r="D168" s="41"/>
      <c r="E168" s="41"/>
      <c r="F168" s="41"/>
      <c r="G168" s="41"/>
      <c r="H168" s="5"/>
      <c r="I168" s="5"/>
      <c r="J168" s="41"/>
      <c r="K168" s="41"/>
      <c r="L168" s="6"/>
      <c r="M168" s="41"/>
      <c r="N168" s="41"/>
      <c r="O168" s="41"/>
      <c r="P168" s="41"/>
      <c r="Q168" s="41"/>
      <c r="R168" s="41"/>
      <c r="S168" s="24"/>
      <c r="T168" s="41"/>
      <c r="U168" s="41"/>
      <c r="V168" s="41"/>
      <c r="W168" s="20"/>
      <c r="X168" s="41"/>
      <c r="Y168" s="41"/>
      <c r="Z168" s="14"/>
      <c r="AA168" s="14"/>
      <c r="AB168" s="25"/>
      <c r="AC168" s="41"/>
      <c r="AD168" s="5"/>
      <c r="AE168" s="41"/>
      <c r="AF168" s="41"/>
      <c r="AG168" s="41"/>
      <c r="AH168" s="41"/>
      <c r="AI168" s="13"/>
      <c r="AJ168" s="10"/>
      <c r="AK168" s="11"/>
      <c r="AL168" s="6"/>
      <c r="AM168" s="41"/>
      <c r="AN168" s="41"/>
      <c r="AO168" s="4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</row>
    <row r="169" spans="1:53" ht="14.5">
      <c r="A169" s="41"/>
      <c r="B169" s="41"/>
      <c r="C169" s="41"/>
      <c r="D169" s="41"/>
      <c r="E169" s="41"/>
      <c r="F169" s="41"/>
      <c r="G169" s="41"/>
      <c r="H169" s="5"/>
      <c r="I169" s="5"/>
      <c r="J169" s="41"/>
      <c r="K169" s="41"/>
      <c r="L169" s="6"/>
      <c r="M169" s="41"/>
      <c r="N169" s="41"/>
      <c r="O169" s="41"/>
      <c r="P169" s="41"/>
      <c r="Q169" s="41"/>
      <c r="R169" s="41"/>
      <c r="S169" s="24"/>
      <c r="T169" s="41"/>
      <c r="U169" s="41"/>
      <c r="V169" s="41"/>
      <c r="W169" s="20"/>
      <c r="X169" s="41"/>
      <c r="Y169" s="41"/>
      <c r="Z169" s="14"/>
      <c r="AA169" s="14"/>
      <c r="AB169" s="25"/>
      <c r="AC169" s="41"/>
      <c r="AD169" s="5"/>
      <c r="AE169" s="41"/>
      <c r="AF169" s="41"/>
      <c r="AG169" s="41"/>
      <c r="AH169" s="41"/>
      <c r="AI169" s="13"/>
      <c r="AJ169" s="10"/>
      <c r="AK169" s="11"/>
      <c r="AL169" s="6"/>
      <c r="AM169" s="41"/>
      <c r="AN169" s="41"/>
      <c r="AO169" s="4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</row>
    <row r="170" spans="1:53" ht="14.5">
      <c r="A170" s="41"/>
      <c r="B170" s="41"/>
      <c r="C170" s="41"/>
      <c r="D170" s="41"/>
      <c r="E170" s="41"/>
      <c r="F170" s="41"/>
      <c r="G170" s="41"/>
      <c r="H170" s="5"/>
      <c r="I170" s="5"/>
      <c r="J170" s="41"/>
      <c r="K170" s="41"/>
      <c r="L170" s="6"/>
      <c r="M170" s="41"/>
      <c r="N170" s="41"/>
      <c r="O170" s="41"/>
      <c r="P170" s="41"/>
      <c r="Q170" s="41"/>
      <c r="R170" s="41"/>
      <c r="S170" s="24"/>
      <c r="T170" s="41"/>
      <c r="U170" s="41"/>
      <c r="V170" s="41"/>
      <c r="W170" s="20"/>
      <c r="X170" s="41"/>
      <c r="Y170" s="41"/>
      <c r="Z170" s="14"/>
      <c r="AA170" s="14"/>
      <c r="AB170" s="25"/>
      <c r="AC170" s="41"/>
      <c r="AD170" s="5"/>
      <c r="AE170" s="41"/>
      <c r="AF170" s="41"/>
      <c r="AG170" s="41"/>
      <c r="AH170" s="41"/>
      <c r="AI170" s="13"/>
      <c r="AJ170" s="10"/>
      <c r="AK170" s="11"/>
      <c r="AL170" s="6"/>
      <c r="AM170" s="41"/>
      <c r="AN170" s="41"/>
      <c r="AO170" s="4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</row>
    <row r="171" spans="1:53" ht="14.5">
      <c r="A171" s="41"/>
      <c r="B171" s="41"/>
      <c r="C171" s="41"/>
      <c r="D171" s="41"/>
      <c r="E171" s="41"/>
      <c r="F171" s="41"/>
      <c r="G171" s="41"/>
      <c r="H171" s="5"/>
      <c r="I171" s="5"/>
      <c r="J171" s="41"/>
      <c r="K171" s="41"/>
      <c r="L171" s="6"/>
      <c r="M171" s="41"/>
      <c r="N171" s="41"/>
      <c r="O171" s="41"/>
      <c r="P171" s="41"/>
      <c r="Q171" s="41"/>
      <c r="R171" s="41"/>
      <c r="S171" s="24"/>
      <c r="T171" s="41"/>
      <c r="U171" s="41"/>
      <c r="V171" s="41"/>
      <c r="W171" s="20"/>
      <c r="X171" s="41"/>
      <c r="Y171" s="41"/>
      <c r="Z171" s="14"/>
      <c r="AA171" s="14"/>
      <c r="AB171" s="25"/>
      <c r="AC171" s="41"/>
      <c r="AD171" s="5"/>
      <c r="AE171" s="41"/>
      <c r="AF171" s="41"/>
      <c r="AG171" s="41"/>
      <c r="AH171" s="41"/>
      <c r="AI171" s="13"/>
      <c r="AJ171" s="10"/>
      <c r="AK171" s="11"/>
      <c r="AL171" s="6"/>
      <c r="AM171" s="41"/>
      <c r="AN171" s="41"/>
      <c r="AO171" s="4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</row>
    <row r="172" spans="1:53" ht="14.5">
      <c r="A172" s="41"/>
      <c r="B172" s="41"/>
      <c r="C172" s="41"/>
      <c r="D172" s="41"/>
      <c r="E172" s="41"/>
      <c r="F172" s="41"/>
      <c r="G172" s="41"/>
      <c r="H172" s="5"/>
      <c r="I172" s="5"/>
      <c r="J172" s="41"/>
      <c r="K172" s="41"/>
      <c r="L172" s="6"/>
      <c r="M172" s="41"/>
      <c r="N172" s="41"/>
      <c r="O172" s="41"/>
      <c r="P172" s="41"/>
      <c r="Q172" s="41"/>
      <c r="R172" s="41"/>
      <c r="S172" s="24"/>
      <c r="T172" s="41"/>
      <c r="U172" s="41"/>
      <c r="V172" s="41"/>
      <c r="W172" s="20"/>
      <c r="X172" s="41"/>
      <c r="Y172" s="41"/>
      <c r="Z172" s="14"/>
      <c r="AA172" s="14"/>
      <c r="AB172" s="25"/>
      <c r="AC172" s="41"/>
      <c r="AD172" s="5"/>
      <c r="AE172" s="41"/>
      <c r="AF172" s="41"/>
      <c r="AG172" s="41"/>
      <c r="AH172" s="41"/>
      <c r="AI172" s="13"/>
      <c r="AJ172" s="10"/>
      <c r="AK172" s="11"/>
      <c r="AL172" s="6"/>
      <c r="AM172" s="41"/>
      <c r="AN172" s="41"/>
      <c r="AO172" s="4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</row>
    <row r="173" spans="1:53" ht="14.5">
      <c r="A173" s="41"/>
      <c r="B173" s="41"/>
      <c r="C173" s="41"/>
      <c r="D173" s="41"/>
      <c r="E173" s="41"/>
      <c r="F173" s="41"/>
      <c r="G173" s="41"/>
      <c r="H173" s="5"/>
      <c r="I173" s="5"/>
      <c r="J173" s="41"/>
      <c r="K173" s="41"/>
      <c r="L173" s="6"/>
      <c r="M173" s="41"/>
      <c r="N173" s="41"/>
      <c r="O173" s="41"/>
      <c r="P173" s="41"/>
      <c r="Q173" s="41"/>
      <c r="R173" s="41"/>
      <c r="S173" s="24"/>
      <c r="T173" s="41"/>
      <c r="U173" s="41"/>
      <c r="V173" s="41"/>
      <c r="W173" s="20"/>
      <c r="X173" s="41"/>
      <c r="Y173" s="41"/>
      <c r="Z173" s="14"/>
      <c r="AA173" s="14"/>
      <c r="AB173" s="25"/>
      <c r="AC173" s="41"/>
      <c r="AD173" s="5"/>
      <c r="AE173" s="41"/>
      <c r="AF173" s="41"/>
      <c r="AG173" s="41"/>
      <c r="AH173" s="41"/>
      <c r="AI173" s="13"/>
      <c r="AJ173" s="10"/>
      <c r="AK173" s="11"/>
      <c r="AL173" s="6"/>
      <c r="AM173" s="41"/>
      <c r="AN173" s="41"/>
      <c r="AO173" s="4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</row>
    <row r="174" spans="1:53" ht="14.5">
      <c r="A174" s="41"/>
      <c r="B174" s="41"/>
      <c r="C174" s="41"/>
      <c r="D174" s="41"/>
      <c r="E174" s="41"/>
      <c r="F174" s="41"/>
      <c r="G174" s="41"/>
      <c r="H174" s="5"/>
      <c r="I174" s="5"/>
      <c r="J174" s="41"/>
      <c r="K174" s="41"/>
      <c r="L174" s="6"/>
      <c r="M174" s="41"/>
      <c r="N174" s="41"/>
      <c r="O174" s="41"/>
      <c r="P174" s="41"/>
      <c r="Q174" s="41"/>
      <c r="R174" s="41"/>
      <c r="S174" s="24"/>
      <c r="T174" s="41"/>
      <c r="U174" s="41"/>
      <c r="V174" s="41"/>
      <c r="W174" s="20"/>
      <c r="X174" s="41"/>
      <c r="Y174" s="41"/>
      <c r="Z174" s="14"/>
      <c r="AA174" s="14"/>
      <c r="AB174" s="25"/>
      <c r="AC174" s="41"/>
      <c r="AD174" s="5"/>
      <c r="AE174" s="41"/>
      <c r="AF174" s="41"/>
      <c r="AG174" s="41"/>
      <c r="AH174" s="41"/>
      <c r="AI174" s="13"/>
      <c r="AJ174" s="10"/>
      <c r="AK174" s="11"/>
      <c r="AL174" s="6"/>
      <c r="AM174" s="41"/>
      <c r="AN174" s="41"/>
      <c r="AO174" s="4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</row>
    <row r="175" spans="1:53" ht="14.5">
      <c r="A175" s="41"/>
      <c r="B175" s="41"/>
      <c r="C175" s="41"/>
      <c r="D175" s="41"/>
      <c r="E175" s="41"/>
      <c r="F175" s="41"/>
      <c r="G175" s="41"/>
      <c r="H175" s="5"/>
      <c r="I175" s="5"/>
      <c r="J175" s="41"/>
      <c r="K175" s="41"/>
      <c r="L175" s="6"/>
      <c r="M175" s="41"/>
      <c r="N175" s="41"/>
      <c r="O175" s="41"/>
      <c r="P175" s="41"/>
      <c r="Q175" s="41"/>
      <c r="R175" s="41"/>
      <c r="S175" s="24"/>
      <c r="T175" s="41"/>
      <c r="U175" s="41"/>
      <c r="V175" s="41"/>
      <c r="W175" s="20"/>
      <c r="X175" s="41"/>
      <c r="Y175" s="41"/>
      <c r="Z175" s="14"/>
      <c r="AA175" s="14"/>
      <c r="AB175" s="25"/>
      <c r="AC175" s="41"/>
      <c r="AD175" s="5"/>
      <c r="AE175" s="41"/>
      <c r="AF175" s="41"/>
      <c r="AG175" s="41"/>
      <c r="AH175" s="41"/>
      <c r="AI175" s="13"/>
      <c r="AJ175" s="10"/>
      <c r="AK175" s="11"/>
      <c r="AL175" s="6"/>
      <c r="AM175" s="41"/>
      <c r="AN175" s="41"/>
      <c r="AO175" s="4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</row>
    <row r="176" spans="1:53" ht="14.5">
      <c r="A176" s="41"/>
      <c r="B176" s="41"/>
      <c r="C176" s="41"/>
      <c r="D176" s="41"/>
      <c r="E176" s="41"/>
      <c r="F176" s="41"/>
      <c r="G176" s="41"/>
      <c r="H176" s="5"/>
      <c r="I176" s="5"/>
      <c r="J176" s="41"/>
      <c r="K176" s="41"/>
      <c r="L176" s="6"/>
      <c r="M176" s="41"/>
      <c r="N176" s="41"/>
      <c r="O176" s="41"/>
      <c r="P176" s="41"/>
      <c r="Q176" s="41"/>
      <c r="R176" s="41"/>
      <c r="S176" s="24"/>
      <c r="T176" s="41"/>
      <c r="U176" s="41"/>
      <c r="V176" s="41"/>
      <c r="W176" s="20"/>
      <c r="X176" s="41"/>
      <c r="Y176" s="41"/>
      <c r="Z176" s="14"/>
      <c r="AA176" s="14"/>
      <c r="AB176" s="25"/>
      <c r="AC176" s="41"/>
      <c r="AD176" s="5"/>
      <c r="AE176" s="41"/>
      <c r="AF176" s="41"/>
      <c r="AG176" s="41"/>
      <c r="AH176" s="41"/>
      <c r="AI176" s="13"/>
      <c r="AJ176" s="10"/>
      <c r="AK176" s="11"/>
      <c r="AL176" s="6"/>
      <c r="AM176" s="41"/>
      <c r="AN176" s="41"/>
      <c r="AO176" s="4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</row>
    <row r="177" spans="1:53" ht="14.5">
      <c r="A177" s="41"/>
      <c r="B177" s="41"/>
      <c r="C177" s="41"/>
      <c r="D177" s="41"/>
      <c r="E177" s="41"/>
      <c r="F177" s="41"/>
      <c r="G177" s="41"/>
      <c r="H177" s="5"/>
      <c r="I177" s="5"/>
      <c r="J177" s="41"/>
      <c r="K177" s="41"/>
      <c r="L177" s="6"/>
      <c r="M177" s="41"/>
      <c r="N177" s="41"/>
      <c r="O177" s="41"/>
      <c r="P177" s="41"/>
      <c r="Q177" s="41"/>
      <c r="R177" s="41"/>
      <c r="S177" s="24"/>
      <c r="T177" s="41"/>
      <c r="U177" s="41"/>
      <c r="V177" s="41"/>
      <c r="W177" s="20"/>
      <c r="X177" s="41"/>
      <c r="Y177" s="41"/>
      <c r="Z177" s="14"/>
      <c r="AA177" s="14"/>
      <c r="AB177" s="25"/>
      <c r="AC177" s="41"/>
      <c r="AD177" s="5"/>
      <c r="AE177" s="41"/>
      <c r="AF177" s="41"/>
      <c r="AG177" s="41"/>
      <c r="AH177" s="41"/>
      <c r="AI177" s="13"/>
      <c r="AJ177" s="10"/>
      <c r="AK177" s="11"/>
      <c r="AL177" s="6"/>
      <c r="AM177" s="41"/>
      <c r="AN177" s="41"/>
      <c r="AO177" s="4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</row>
    <row r="178" spans="1:53" ht="14.5">
      <c r="A178" s="41"/>
      <c r="B178" s="41"/>
      <c r="C178" s="41"/>
      <c r="D178" s="41"/>
      <c r="E178" s="41"/>
      <c r="F178" s="41"/>
      <c r="G178" s="41"/>
      <c r="H178" s="5"/>
      <c r="I178" s="5"/>
      <c r="J178" s="41"/>
      <c r="K178" s="41"/>
      <c r="L178" s="6"/>
      <c r="M178" s="41"/>
      <c r="N178" s="41"/>
      <c r="O178" s="41"/>
      <c r="P178" s="41"/>
      <c r="Q178" s="41"/>
      <c r="R178" s="41"/>
      <c r="S178" s="24"/>
      <c r="T178" s="41"/>
      <c r="U178" s="41"/>
      <c r="V178" s="41"/>
      <c r="W178" s="20"/>
      <c r="X178" s="41"/>
      <c r="Y178" s="41"/>
      <c r="Z178" s="14"/>
      <c r="AA178" s="14"/>
      <c r="AB178" s="25"/>
      <c r="AC178" s="41"/>
      <c r="AD178" s="5"/>
      <c r="AE178" s="41"/>
      <c r="AF178" s="41"/>
      <c r="AG178" s="41"/>
      <c r="AH178" s="41"/>
      <c r="AI178" s="13"/>
      <c r="AJ178" s="10"/>
      <c r="AK178" s="11"/>
      <c r="AL178" s="6"/>
      <c r="AM178" s="41"/>
      <c r="AN178" s="41"/>
      <c r="AO178" s="4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</row>
    <row r="179" spans="1:53" ht="14.5">
      <c r="A179" s="41"/>
      <c r="B179" s="41"/>
      <c r="C179" s="41"/>
      <c r="D179" s="41"/>
      <c r="E179" s="41"/>
      <c r="F179" s="41"/>
      <c r="G179" s="41"/>
      <c r="H179" s="5"/>
      <c r="I179" s="5"/>
      <c r="J179" s="41"/>
      <c r="K179" s="41"/>
      <c r="L179" s="6"/>
      <c r="M179" s="41"/>
      <c r="N179" s="41"/>
      <c r="O179" s="41"/>
      <c r="P179" s="41"/>
      <c r="Q179" s="41"/>
      <c r="R179" s="41"/>
      <c r="S179" s="24"/>
      <c r="T179" s="41"/>
      <c r="U179" s="41"/>
      <c r="V179" s="41"/>
      <c r="W179" s="20"/>
      <c r="X179" s="41"/>
      <c r="Y179" s="41"/>
      <c r="Z179" s="14"/>
      <c r="AA179" s="14"/>
      <c r="AB179" s="25"/>
      <c r="AC179" s="41"/>
      <c r="AD179" s="5"/>
      <c r="AE179" s="41"/>
      <c r="AF179" s="41"/>
      <c r="AG179" s="41"/>
      <c r="AH179" s="41"/>
      <c r="AI179" s="13"/>
      <c r="AJ179" s="10"/>
      <c r="AK179" s="11"/>
      <c r="AL179" s="6"/>
      <c r="AM179" s="41"/>
      <c r="AN179" s="41"/>
      <c r="AO179" s="4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</row>
    <row r="180" spans="1:53" ht="14.5">
      <c r="A180" s="41"/>
      <c r="B180" s="41"/>
      <c r="C180" s="41"/>
      <c r="D180" s="41"/>
      <c r="E180" s="41"/>
      <c r="F180" s="41"/>
      <c r="G180" s="41"/>
      <c r="H180" s="5"/>
      <c r="I180" s="5"/>
      <c r="J180" s="41"/>
      <c r="K180" s="41"/>
      <c r="L180" s="6"/>
      <c r="M180" s="41"/>
      <c r="N180" s="41"/>
      <c r="O180" s="41"/>
      <c r="P180" s="41"/>
      <c r="Q180" s="41"/>
      <c r="R180" s="41"/>
      <c r="S180" s="24"/>
      <c r="T180" s="41"/>
      <c r="U180" s="41"/>
      <c r="V180" s="41"/>
      <c r="W180" s="20"/>
      <c r="X180" s="41"/>
      <c r="Y180" s="41"/>
      <c r="Z180" s="14"/>
      <c r="AA180" s="14"/>
      <c r="AB180" s="25"/>
      <c r="AC180" s="41"/>
      <c r="AD180" s="5"/>
      <c r="AE180" s="41"/>
      <c r="AF180" s="41"/>
      <c r="AG180" s="41"/>
      <c r="AH180" s="41"/>
      <c r="AI180" s="13"/>
      <c r="AJ180" s="10"/>
      <c r="AK180" s="11"/>
      <c r="AL180" s="6"/>
      <c r="AM180" s="41"/>
      <c r="AN180" s="41"/>
      <c r="AO180" s="4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</row>
    <row r="181" spans="1:53" ht="14.5">
      <c r="A181" s="41"/>
      <c r="B181" s="41"/>
      <c r="C181" s="41"/>
      <c r="D181" s="41"/>
      <c r="E181" s="41"/>
      <c r="F181" s="41"/>
      <c r="G181" s="41"/>
      <c r="H181" s="5"/>
      <c r="I181" s="5"/>
      <c r="J181" s="41"/>
      <c r="K181" s="41"/>
      <c r="L181" s="6"/>
      <c r="M181" s="41"/>
      <c r="N181" s="41"/>
      <c r="O181" s="41"/>
      <c r="P181" s="41"/>
      <c r="Q181" s="41"/>
      <c r="R181" s="41"/>
      <c r="S181" s="24"/>
      <c r="T181" s="41"/>
      <c r="U181" s="41"/>
      <c r="V181" s="41"/>
      <c r="W181" s="20"/>
      <c r="X181" s="41"/>
      <c r="Y181" s="41"/>
      <c r="Z181" s="14"/>
      <c r="AA181" s="14"/>
      <c r="AB181" s="25"/>
      <c r="AC181" s="41"/>
      <c r="AD181" s="5"/>
      <c r="AE181" s="41"/>
      <c r="AF181" s="41"/>
      <c r="AG181" s="41"/>
      <c r="AH181" s="41"/>
      <c r="AI181" s="13"/>
      <c r="AJ181" s="10"/>
      <c r="AK181" s="11"/>
      <c r="AL181" s="6"/>
      <c r="AM181" s="41"/>
      <c r="AN181" s="41"/>
      <c r="AO181" s="4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</row>
    <row r="182" spans="1:53" ht="14.5">
      <c r="A182" s="41"/>
      <c r="B182" s="41"/>
      <c r="C182" s="41"/>
      <c r="D182" s="41"/>
      <c r="E182" s="41"/>
      <c r="F182" s="41"/>
      <c r="G182" s="41"/>
      <c r="H182" s="5"/>
      <c r="I182" s="5"/>
      <c r="J182" s="41"/>
      <c r="K182" s="41"/>
      <c r="L182" s="6"/>
      <c r="M182" s="41"/>
      <c r="N182" s="41"/>
      <c r="O182" s="41"/>
      <c r="P182" s="41"/>
      <c r="Q182" s="41"/>
      <c r="R182" s="41"/>
      <c r="S182" s="24"/>
      <c r="T182" s="41"/>
      <c r="U182" s="41"/>
      <c r="V182" s="41"/>
      <c r="W182" s="20"/>
      <c r="X182" s="41"/>
      <c r="Y182" s="41"/>
      <c r="Z182" s="14"/>
      <c r="AA182" s="14"/>
      <c r="AB182" s="25"/>
      <c r="AC182" s="41"/>
      <c r="AD182" s="5"/>
      <c r="AE182" s="41"/>
      <c r="AF182" s="41"/>
      <c r="AG182" s="41"/>
      <c r="AH182" s="41"/>
      <c r="AI182" s="13"/>
      <c r="AJ182" s="10"/>
      <c r="AK182" s="11"/>
      <c r="AL182" s="6"/>
      <c r="AM182" s="41"/>
      <c r="AN182" s="41"/>
      <c r="AO182" s="4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</row>
    <row r="183" spans="1:53" ht="14.5">
      <c r="A183" s="41"/>
      <c r="B183" s="41"/>
      <c r="C183" s="41"/>
      <c r="D183" s="41"/>
      <c r="E183" s="41"/>
      <c r="F183" s="41"/>
      <c r="G183" s="41"/>
      <c r="H183" s="5"/>
      <c r="I183" s="5"/>
      <c r="J183" s="41"/>
      <c r="K183" s="41"/>
      <c r="L183" s="6"/>
      <c r="M183" s="41"/>
      <c r="N183" s="41"/>
      <c r="O183" s="41"/>
      <c r="P183" s="41"/>
      <c r="Q183" s="41"/>
      <c r="R183" s="41"/>
      <c r="S183" s="24"/>
      <c r="T183" s="41"/>
      <c r="U183" s="41"/>
      <c r="V183" s="41"/>
      <c r="W183" s="20"/>
      <c r="X183" s="41"/>
      <c r="Y183" s="41"/>
      <c r="Z183" s="14"/>
      <c r="AA183" s="14"/>
      <c r="AB183" s="25"/>
      <c r="AC183" s="41"/>
      <c r="AD183" s="5"/>
      <c r="AE183" s="41"/>
      <c r="AF183" s="41"/>
      <c r="AG183" s="41"/>
      <c r="AH183" s="41"/>
      <c r="AI183" s="13"/>
      <c r="AJ183" s="10"/>
      <c r="AK183" s="11"/>
      <c r="AL183" s="6"/>
      <c r="AM183" s="41"/>
      <c r="AN183" s="41"/>
      <c r="AO183" s="4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</row>
    <row r="184" spans="1:53" ht="14.5">
      <c r="A184" s="41"/>
      <c r="B184" s="41"/>
      <c r="C184" s="41"/>
      <c r="D184" s="41"/>
      <c r="E184" s="41"/>
      <c r="F184" s="41"/>
      <c r="G184" s="41"/>
      <c r="H184" s="5"/>
      <c r="I184" s="5"/>
      <c r="J184" s="41"/>
      <c r="K184" s="41"/>
      <c r="L184" s="6"/>
      <c r="M184" s="41"/>
      <c r="N184" s="41"/>
      <c r="O184" s="41"/>
      <c r="P184" s="41"/>
      <c r="Q184" s="41"/>
      <c r="R184" s="41"/>
      <c r="S184" s="24"/>
      <c r="T184" s="41"/>
      <c r="U184" s="41"/>
      <c r="V184" s="41"/>
      <c r="W184" s="20"/>
      <c r="X184" s="41"/>
      <c r="Y184" s="41"/>
      <c r="Z184" s="14"/>
      <c r="AA184" s="14"/>
      <c r="AB184" s="25"/>
      <c r="AC184" s="41"/>
      <c r="AD184" s="5"/>
      <c r="AE184" s="41"/>
      <c r="AF184" s="41"/>
      <c r="AG184" s="41"/>
      <c r="AH184" s="41"/>
      <c r="AI184" s="13"/>
      <c r="AJ184" s="10"/>
      <c r="AK184" s="11"/>
      <c r="AL184" s="6"/>
      <c r="AM184" s="41"/>
      <c r="AN184" s="41"/>
      <c r="AO184" s="4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</row>
    <row r="185" spans="1:53" ht="14.5">
      <c r="A185" s="41"/>
      <c r="B185" s="41"/>
      <c r="C185" s="41"/>
      <c r="D185" s="41"/>
      <c r="E185" s="41"/>
      <c r="F185" s="41"/>
      <c r="G185" s="41"/>
      <c r="H185" s="5"/>
      <c r="I185" s="5"/>
      <c r="J185" s="41"/>
      <c r="K185" s="41"/>
      <c r="L185" s="6"/>
      <c r="M185" s="41"/>
      <c r="N185" s="41"/>
      <c r="O185" s="41"/>
      <c r="P185" s="41"/>
      <c r="Q185" s="41"/>
      <c r="R185" s="41"/>
      <c r="S185" s="24"/>
      <c r="T185" s="41"/>
      <c r="U185" s="41"/>
      <c r="V185" s="41"/>
      <c r="W185" s="20"/>
      <c r="X185" s="41"/>
      <c r="Y185" s="41"/>
      <c r="Z185" s="14"/>
      <c r="AA185" s="14"/>
      <c r="AB185" s="25"/>
      <c r="AC185" s="41"/>
      <c r="AD185" s="5"/>
      <c r="AE185" s="41"/>
      <c r="AF185" s="41"/>
      <c r="AG185" s="41"/>
      <c r="AH185" s="41"/>
      <c r="AI185" s="13"/>
      <c r="AJ185" s="10"/>
      <c r="AK185" s="11"/>
      <c r="AL185" s="6"/>
      <c r="AM185" s="41"/>
      <c r="AN185" s="41"/>
      <c r="AO185" s="4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</row>
    <row r="186" spans="1:53" ht="14.5">
      <c r="A186" s="41"/>
      <c r="B186" s="41"/>
      <c r="C186" s="41"/>
      <c r="D186" s="41"/>
      <c r="E186" s="41"/>
      <c r="F186" s="41"/>
      <c r="G186" s="41"/>
      <c r="H186" s="5"/>
      <c r="I186" s="5"/>
      <c r="J186" s="41"/>
      <c r="K186" s="41"/>
      <c r="L186" s="6"/>
      <c r="M186" s="41"/>
      <c r="N186" s="41"/>
      <c r="O186" s="41"/>
      <c r="P186" s="41"/>
      <c r="Q186" s="41"/>
      <c r="R186" s="41"/>
      <c r="S186" s="24"/>
      <c r="T186" s="41"/>
      <c r="U186" s="41"/>
      <c r="V186" s="41"/>
      <c r="W186" s="20"/>
      <c r="X186" s="41"/>
      <c r="Y186" s="41"/>
      <c r="Z186" s="14"/>
      <c r="AA186" s="14"/>
      <c r="AB186" s="25"/>
      <c r="AC186" s="41"/>
      <c r="AD186" s="5"/>
      <c r="AE186" s="41"/>
      <c r="AF186" s="41"/>
      <c r="AG186" s="41"/>
      <c r="AH186" s="41"/>
      <c r="AI186" s="13"/>
      <c r="AJ186" s="10"/>
      <c r="AK186" s="11"/>
      <c r="AL186" s="6"/>
      <c r="AM186" s="41"/>
      <c r="AN186" s="41"/>
      <c r="AO186" s="4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</row>
    <row r="187" spans="1:53" ht="14.5">
      <c r="AB187" s="38"/>
      <c r="AI187" s="2"/>
    </row>
    <row r="188" spans="1:53" ht="14.5">
      <c r="A188" s="39"/>
      <c r="B188" s="7"/>
      <c r="C188" s="7"/>
      <c r="D188" s="7"/>
      <c r="E188" s="41"/>
      <c r="F188" s="41"/>
      <c r="G188" s="41"/>
      <c r="H188" s="5"/>
      <c r="I188" s="5"/>
      <c r="J188" s="41"/>
      <c r="K188" s="41"/>
      <c r="L188" s="6"/>
      <c r="M188" s="41"/>
      <c r="N188" s="41"/>
      <c r="O188" s="41"/>
      <c r="P188" s="41"/>
      <c r="Q188" s="7"/>
      <c r="R188" s="41"/>
      <c r="S188" s="24"/>
      <c r="T188" s="7"/>
      <c r="U188" s="7"/>
      <c r="V188" s="7"/>
      <c r="W188" s="7"/>
      <c r="X188" s="41"/>
      <c r="Y188" s="41"/>
      <c r="Z188" s="9"/>
      <c r="AA188" s="9"/>
      <c r="AB188" s="7"/>
      <c r="AC188" s="7"/>
      <c r="AD188" s="5"/>
      <c r="AE188" s="7"/>
      <c r="AF188" s="41"/>
      <c r="AG188" s="41"/>
      <c r="AH188" s="41"/>
      <c r="AI188" s="7"/>
      <c r="AJ188" s="10"/>
      <c r="AK188" s="11"/>
      <c r="AL188" s="5"/>
      <c r="AM188" s="5"/>
      <c r="AN188" s="41"/>
      <c r="AO188" s="5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</row>
    <row r="189" spans="1:53" ht="14.5">
      <c r="A189" s="41"/>
      <c r="B189" s="41"/>
      <c r="C189" s="41"/>
      <c r="D189" s="23"/>
      <c r="E189" s="41"/>
      <c r="F189" s="41"/>
      <c r="G189" s="41"/>
      <c r="H189" s="5"/>
      <c r="I189" s="5"/>
      <c r="J189" s="41"/>
      <c r="K189" s="41"/>
      <c r="L189" s="12"/>
      <c r="M189" s="13"/>
      <c r="N189" s="41"/>
      <c r="O189" s="41"/>
      <c r="P189" s="41"/>
      <c r="Q189" s="41"/>
      <c r="R189" s="41"/>
      <c r="S189" s="24"/>
      <c r="T189" s="41"/>
      <c r="U189" s="41"/>
      <c r="V189" s="41"/>
      <c r="W189" s="41"/>
      <c r="X189" s="41"/>
      <c r="Y189" s="7"/>
      <c r="Z189" s="35"/>
      <c r="AA189" s="9"/>
      <c r="AB189" s="7"/>
      <c r="AC189" s="7"/>
      <c r="AD189" s="5"/>
      <c r="AE189" s="7"/>
      <c r="AF189" s="7"/>
      <c r="AG189" s="7"/>
      <c r="AH189" s="41"/>
      <c r="AI189" s="41"/>
      <c r="AJ189" s="10"/>
      <c r="AK189" s="36"/>
      <c r="AL189" s="5"/>
      <c r="AM189" s="5"/>
      <c r="AN189" s="41"/>
      <c r="AO189" s="5"/>
      <c r="AP189" s="36"/>
      <c r="AQ189" s="15"/>
      <c r="AR189" s="16"/>
      <c r="AS189" s="16"/>
      <c r="AT189" s="17"/>
      <c r="AU189" s="18"/>
      <c r="AV189" s="18"/>
      <c r="AW189" s="19"/>
      <c r="AY189" s="19"/>
      <c r="AZ189" s="19"/>
      <c r="BA189" s="19"/>
    </row>
    <row r="190" spans="1:53" ht="14.5">
      <c r="A190" s="41"/>
      <c r="B190" s="41"/>
      <c r="C190" s="41"/>
      <c r="D190" s="23"/>
      <c r="E190" s="41"/>
      <c r="F190" s="41"/>
      <c r="G190" s="41"/>
      <c r="H190" s="5"/>
      <c r="I190" s="5"/>
      <c r="J190" s="41"/>
      <c r="K190" s="41"/>
      <c r="L190" s="5"/>
      <c r="M190" s="41"/>
      <c r="N190" s="41"/>
      <c r="O190" s="41"/>
      <c r="P190" s="41"/>
      <c r="Q190" s="41"/>
      <c r="R190" s="41"/>
      <c r="S190" s="24"/>
      <c r="T190" s="41"/>
      <c r="U190" s="41"/>
      <c r="V190" s="41"/>
      <c r="W190" s="41"/>
      <c r="X190" s="41"/>
      <c r="Y190" s="41"/>
      <c r="Z190" s="9"/>
      <c r="AA190" s="9"/>
      <c r="AB190" s="7"/>
      <c r="AC190" s="7"/>
      <c r="AD190" s="5"/>
      <c r="AE190" s="7"/>
      <c r="AF190" s="7"/>
      <c r="AG190" s="7"/>
      <c r="AH190" s="41"/>
      <c r="AI190" s="41"/>
      <c r="AJ190" s="10"/>
      <c r="AK190" s="36"/>
      <c r="AL190" s="5"/>
      <c r="AM190" s="5"/>
      <c r="AN190" s="41"/>
      <c r="AO190" s="5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</row>
    <row r="191" spans="1:53" ht="14.5">
      <c r="A191" s="41"/>
      <c r="B191" s="41"/>
      <c r="C191" s="41"/>
      <c r="D191" s="23"/>
      <c r="E191" s="41"/>
      <c r="F191" s="7"/>
      <c r="G191" s="41"/>
      <c r="H191" s="6"/>
      <c r="I191" s="5"/>
      <c r="J191" s="41"/>
      <c r="K191" s="41"/>
      <c r="L191" s="6"/>
      <c r="M191" s="41"/>
      <c r="N191" s="41"/>
      <c r="O191" s="41"/>
      <c r="P191" s="41"/>
      <c r="Q191" s="41"/>
      <c r="R191" s="41"/>
      <c r="S191" s="27"/>
      <c r="T191" s="41"/>
      <c r="U191" s="41"/>
      <c r="V191" s="41"/>
      <c r="W191" s="20"/>
      <c r="X191" s="41"/>
      <c r="Y191" s="41"/>
      <c r="Z191" s="14"/>
      <c r="AA191" s="14"/>
      <c r="AB191" s="25"/>
      <c r="AC191" s="41"/>
      <c r="AD191" s="5"/>
      <c r="AE191" s="7"/>
      <c r="AF191" s="41"/>
      <c r="AG191" s="41"/>
      <c r="AH191" s="41"/>
      <c r="AI191" s="13"/>
      <c r="AJ191" s="10"/>
      <c r="AK191" s="11"/>
      <c r="AL191" s="6"/>
      <c r="AM191" s="6"/>
      <c r="AN191" s="41"/>
      <c r="AO191" s="6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</row>
    <row r="192" spans="1:53" ht="14.5">
      <c r="A192" s="41"/>
      <c r="B192" s="41"/>
      <c r="C192" s="41"/>
      <c r="D192" s="41"/>
      <c r="E192" s="41"/>
      <c r="F192" s="41"/>
      <c r="G192" s="41"/>
      <c r="H192" s="6"/>
      <c r="I192" s="5"/>
      <c r="J192" s="41"/>
      <c r="K192" s="41"/>
      <c r="L192" s="6"/>
      <c r="M192" s="41"/>
      <c r="N192" s="41"/>
      <c r="O192" s="41"/>
      <c r="P192" s="41"/>
      <c r="Q192" s="41"/>
      <c r="R192" s="41"/>
      <c r="S192" s="27"/>
      <c r="T192" s="41"/>
      <c r="U192" s="41"/>
      <c r="V192" s="41"/>
      <c r="W192" s="20"/>
      <c r="X192" s="41"/>
      <c r="Y192" s="41"/>
      <c r="Z192" s="14"/>
      <c r="AA192" s="14"/>
      <c r="AB192" s="25"/>
      <c r="AC192" s="41"/>
      <c r="AD192" s="5"/>
      <c r="AE192" s="7"/>
      <c r="AF192" s="41"/>
      <c r="AG192" s="41"/>
      <c r="AH192" s="41"/>
      <c r="AI192" s="13"/>
      <c r="AJ192" s="10"/>
      <c r="AK192" s="11"/>
      <c r="AL192" s="6"/>
      <c r="AM192" s="6"/>
      <c r="AN192" s="41"/>
      <c r="AO192" s="6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</row>
    <row r="193" spans="1:53" ht="14.5">
      <c r="A193" s="41"/>
      <c r="B193" s="41"/>
      <c r="C193" s="41"/>
      <c r="D193" s="41"/>
      <c r="E193" s="41"/>
      <c r="F193" s="41"/>
      <c r="G193" s="41"/>
      <c r="H193" s="6"/>
      <c r="I193" s="5"/>
      <c r="J193" s="41"/>
      <c r="K193" s="41"/>
      <c r="L193" s="6"/>
      <c r="M193" s="41"/>
      <c r="N193" s="41"/>
      <c r="O193" s="41"/>
      <c r="P193" s="41"/>
      <c r="Q193" s="41"/>
      <c r="R193" s="41"/>
      <c r="S193" s="27"/>
      <c r="T193" s="41"/>
      <c r="U193" s="41"/>
      <c r="V193" s="41"/>
      <c r="W193" s="20"/>
      <c r="X193" s="41"/>
      <c r="Y193" s="41"/>
      <c r="Z193" s="14"/>
      <c r="AA193" s="14"/>
      <c r="AB193" s="25"/>
      <c r="AC193" s="41"/>
      <c r="AD193" s="5"/>
      <c r="AE193" s="7"/>
      <c r="AF193" s="41"/>
      <c r="AG193" s="41"/>
      <c r="AH193" s="41"/>
      <c r="AI193" s="13"/>
      <c r="AJ193" s="10"/>
      <c r="AK193" s="11"/>
      <c r="AL193" s="6"/>
      <c r="AM193" s="6"/>
      <c r="AN193" s="41"/>
      <c r="AO193" s="6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</row>
    <row r="194" spans="1:53" ht="14.5">
      <c r="A194" s="41"/>
      <c r="B194" s="41"/>
      <c r="C194" s="41"/>
      <c r="D194" s="41"/>
      <c r="E194" s="41"/>
      <c r="F194" s="41"/>
      <c r="G194" s="41"/>
      <c r="H194" s="6"/>
      <c r="I194" s="5"/>
      <c r="J194" s="41"/>
      <c r="K194" s="41"/>
      <c r="L194" s="6"/>
      <c r="M194" s="41"/>
      <c r="N194" s="41"/>
      <c r="O194" s="41"/>
      <c r="P194" s="41"/>
      <c r="Q194" s="41"/>
      <c r="R194" s="41"/>
      <c r="S194" s="27"/>
      <c r="T194" s="41"/>
      <c r="U194" s="41"/>
      <c r="V194" s="41"/>
      <c r="W194" s="20"/>
      <c r="X194" s="41"/>
      <c r="Y194" s="41"/>
      <c r="Z194" s="14"/>
      <c r="AA194" s="14"/>
      <c r="AB194" s="25"/>
      <c r="AC194" s="41"/>
      <c r="AD194" s="5"/>
      <c r="AE194" s="7"/>
      <c r="AF194" s="41"/>
      <c r="AG194" s="41"/>
      <c r="AH194" s="41"/>
      <c r="AI194" s="13"/>
      <c r="AJ194" s="10"/>
      <c r="AK194" s="11"/>
      <c r="AL194" s="6"/>
      <c r="AM194" s="6"/>
      <c r="AN194" s="41"/>
      <c r="AO194" s="6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</row>
    <row r="195" spans="1:53" ht="14.5">
      <c r="A195" s="41"/>
      <c r="B195" s="41"/>
      <c r="C195" s="41"/>
      <c r="D195" s="41"/>
      <c r="E195" s="41"/>
      <c r="F195" s="41"/>
      <c r="G195" s="41"/>
      <c r="H195" s="6"/>
      <c r="I195" s="5"/>
      <c r="J195" s="41"/>
      <c r="K195" s="41"/>
      <c r="L195" s="6"/>
      <c r="M195" s="41"/>
      <c r="N195" s="41"/>
      <c r="O195" s="41"/>
      <c r="P195" s="41"/>
      <c r="Q195" s="41"/>
      <c r="R195" s="41"/>
      <c r="S195" s="27"/>
      <c r="T195" s="41"/>
      <c r="U195" s="41"/>
      <c r="V195" s="41"/>
      <c r="W195" s="20"/>
      <c r="X195" s="41"/>
      <c r="Y195" s="41"/>
      <c r="Z195" s="14"/>
      <c r="AA195" s="14"/>
      <c r="AB195" s="25"/>
      <c r="AC195" s="41"/>
      <c r="AD195" s="5"/>
      <c r="AE195" s="7"/>
      <c r="AF195" s="41"/>
      <c r="AG195" s="41"/>
      <c r="AH195" s="41"/>
      <c r="AI195" s="13"/>
      <c r="AJ195" s="10"/>
      <c r="AK195" s="11"/>
      <c r="AL195" s="6"/>
      <c r="AM195" s="6"/>
      <c r="AN195" s="41"/>
      <c r="AO195" s="6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</row>
    <row r="196" spans="1:53" ht="14.5">
      <c r="A196" s="41"/>
      <c r="B196" s="41"/>
      <c r="C196" s="41"/>
      <c r="D196" s="41"/>
      <c r="E196" s="41"/>
      <c r="F196" s="41"/>
      <c r="G196" s="41"/>
      <c r="H196" s="6"/>
      <c r="I196" s="5"/>
      <c r="J196" s="41"/>
      <c r="K196" s="41"/>
      <c r="L196" s="6"/>
      <c r="M196" s="41"/>
      <c r="N196" s="41"/>
      <c r="O196" s="41"/>
      <c r="P196" s="41"/>
      <c r="Q196" s="41"/>
      <c r="R196" s="41"/>
      <c r="S196" s="27"/>
      <c r="T196" s="41"/>
      <c r="U196" s="41"/>
      <c r="V196" s="41"/>
      <c r="W196" s="20"/>
      <c r="X196" s="41"/>
      <c r="Y196" s="41"/>
      <c r="Z196" s="14"/>
      <c r="AA196" s="14"/>
      <c r="AB196" s="25"/>
      <c r="AC196" s="41"/>
      <c r="AD196" s="5"/>
      <c r="AE196" s="7"/>
      <c r="AF196" s="41"/>
      <c r="AG196" s="41"/>
      <c r="AH196" s="41"/>
      <c r="AI196" s="13"/>
      <c r="AJ196" s="10"/>
      <c r="AK196" s="11"/>
      <c r="AL196" s="6"/>
      <c r="AM196" s="6"/>
      <c r="AN196" s="41"/>
      <c r="AO196" s="6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</row>
    <row r="197" spans="1:53" ht="14.5">
      <c r="A197" s="41"/>
      <c r="B197" s="41"/>
      <c r="C197" s="41"/>
      <c r="D197" s="41"/>
      <c r="E197" s="41"/>
      <c r="F197" s="41"/>
      <c r="G197" s="41"/>
      <c r="H197" s="6"/>
      <c r="I197" s="5"/>
      <c r="J197" s="41"/>
      <c r="K197" s="41"/>
      <c r="L197" s="6"/>
      <c r="M197" s="41"/>
      <c r="N197" s="41"/>
      <c r="O197" s="41"/>
      <c r="P197" s="41"/>
      <c r="Q197" s="41"/>
      <c r="R197" s="41"/>
      <c r="S197" s="27"/>
      <c r="T197" s="41"/>
      <c r="U197" s="41"/>
      <c r="V197" s="41"/>
      <c r="W197" s="20"/>
      <c r="X197" s="41"/>
      <c r="Y197" s="41"/>
      <c r="Z197" s="14"/>
      <c r="AA197" s="14"/>
      <c r="AB197" s="25"/>
      <c r="AC197" s="41"/>
      <c r="AD197" s="5"/>
      <c r="AE197" s="7"/>
      <c r="AF197" s="41"/>
      <c r="AG197" s="41"/>
      <c r="AH197" s="41"/>
      <c r="AI197" s="13"/>
      <c r="AJ197" s="10"/>
      <c r="AK197" s="11"/>
      <c r="AL197" s="6"/>
      <c r="AM197" s="6"/>
      <c r="AN197" s="41"/>
      <c r="AO197" s="6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</row>
    <row r="198" spans="1:53" ht="14.5">
      <c r="A198" s="41"/>
      <c r="B198" s="41"/>
      <c r="C198" s="41"/>
      <c r="D198" s="41"/>
      <c r="E198" s="41"/>
      <c r="F198" s="41"/>
      <c r="G198" s="41"/>
      <c r="H198" s="6"/>
      <c r="I198" s="5"/>
      <c r="J198" s="41"/>
      <c r="K198" s="41"/>
      <c r="L198" s="6"/>
      <c r="M198" s="41"/>
      <c r="N198" s="41"/>
      <c r="O198" s="41"/>
      <c r="P198" s="41"/>
      <c r="Q198" s="41"/>
      <c r="R198" s="41"/>
      <c r="S198" s="27"/>
      <c r="T198" s="41"/>
      <c r="U198" s="41"/>
      <c r="V198" s="41"/>
      <c r="W198" s="20"/>
      <c r="X198" s="41"/>
      <c r="Y198" s="41"/>
      <c r="Z198" s="14"/>
      <c r="AA198" s="14"/>
      <c r="AB198" s="25"/>
      <c r="AC198" s="41"/>
      <c r="AD198" s="5"/>
      <c r="AE198" s="7"/>
      <c r="AF198" s="41"/>
      <c r="AG198" s="41"/>
      <c r="AH198" s="41"/>
      <c r="AI198" s="13"/>
      <c r="AJ198" s="10"/>
      <c r="AK198" s="11"/>
      <c r="AL198" s="6"/>
      <c r="AM198" s="6"/>
      <c r="AN198" s="41"/>
      <c r="AO198" s="6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</row>
    <row r="199" spans="1:53" ht="14.5">
      <c r="A199" s="41"/>
      <c r="B199" s="41"/>
      <c r="C199" s="41"/>
      <c r="D199" s="41"/>
      <c r="E199" s="41"/>
      <c r="F199" s="41"/>
      <c r="G199" s="41"/>
      <c r="H199" s="6"/>
      <c r="I199" s="5"/>
      <c r="J199" s="41"/>
      <c r="K199" s="41"/>
      <c r="L199" s="6"/>
      <c r="M199" s="41"/>
      <c r="N199" s="41"/>
      <c r="O199" s="41"/>
      <c r="P199" s="41"/>
      <c r="Q199" s="41"/>
      <c r="R199" s="41"/>
      <c r="S199" s="27"/>
      <c r="T199" s="41"/>
      <c r="U199" s="41"/>
      <c r="V199" s="41"/>
      <c r="W199" s="20"/>
      <c r="X199" s="41"/>
      <c r="Y199" s="41"/>
      <c r="Z199" s="14"/>
      <c r="AA199" s="14"/>
      <c r="AB199" s="25"/>
      <c r="AC199" s="41"/>
      <c r="AD199" s="5"/>
      <c r="AE199" s="7"/>
      <c r="AF199" s="41"/>
      <c r="AG199" s="41"/>
      <c r="AH199" s="41"/>
      <c r="AI199" s="13"/>
      <c r="AJ199" s="10"/>
      <c r="AK199" s="11"/>
      <c r="AL199" s="6"/>
      <c r="AM199" s="6"/>
      <c r="AN199" s="41"/>
      <c r="AO199" s="6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</row>
    <row r="200" spans="1:53" ht="14.5">
      <c r="A200" s="41"/>
      <c r="B200" s="41"/>
      <c r="C200" s="41"/>
      <c r="D200" s="41"/>
      <c r="E200" s="41"/>
      <c r="F200" s="41"/>
      <c r="G200" s="41"/>
      <c r="H200" s="6"/>
      <c r="I200" s="5"/>
      <c r="J200" s="41"/>
      <c r="K200" s="41"/>
      <c r="L200" s="6"/>
      <c r="M200" s="41"/>
      <c r="N200" s="41"/>
      <c r="O200" s="41"/>
      <c r="P200" s="41"/>
      <c r="Q200" s="41"/>
      <c r="R200" s="41"/>
      <c r="S200" s="27"/>
      <c r="T200" s="41"/>
      <c r="U200" s="41"/>
      <c r="V200" s="41"/>
      <c r="W200" s="20"/>
      <c r="X200" s="41"/>
      <c r="Y200" s="41"/>
      <c r="Z200" s="14"/>
      <c r="AA200" s="14"/>
      <c r="AB200" s="25"/>
      <c r="AC200" s="41"/>
      <c r="AD200" s="5"/>
      <c r="AE200" s="7"/>
      <c r="AF200" s="41"/>
      <c r="AG200" s="41"/>
      <c r="AH200" s="41"/>
      <c r="AI200" s="13"/>
      <c r="AJ200" s="10"/>
      <c r="AK200" s="11"/>
      <c r="AL200" s="6"/>
      <c r="AM200" s="6"/>
      <c r="AN200" s="41"/>
      <c r="AO200" s="6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</row>
    <row r="201" spans="1:53" ht="14.5">
      <c r="A201" s="41"/>
      <c r="B201" s="41"/>
      <c r="C201" s="41"/>
      <c r="D201" s="41"/>
      <c r="E201" s="41"/>
      <c r="F201" s="41"/>
      <c r="G201" s="41"/>
      <c r="H201" s="6"/>
      <c r="I201" s="5"/>
      <c r="J201" s="41"/>
      <c r="K201" s="41"/>
      <c r="L201" s="6"/>
      <c r="M201" s="41"/>
      <c r="N201" s="41"/>
      <c r="O201" s="41"/>
      <c r="P201" s="41"/>
      <c r="Q201" s="41"/>
      <c r="R201" s="41"/>
      <c r="S201" s="27"/>
      <c r="T201" s="41"/>
      <c r="U201" s="41"/>
      <c r="V201" s="41"/>
      <c r="W201" s="20"/>
      <c r="X201" s="41"/>
      <c r="Y201" s="41"/>
      <c r="Z201" s="14"/>
      <c r="AA201" s="14"/>
      <c r="AB201" s="25"/>
      <c r="AC201" s="41"/>
      <c r="AD201" s="5"/>
      <c r="AE201" s="7"/>
      <c r="AF201" s="41"/>
      <c r="AG201" s="41"/>
      <c r="AH201" s="41"/>
      <c r="AI201" s="13"/>
      <c r="AJ201" s="10"/>
      <c r="AK201" s="11"/>
      <c r="AL201" s="6"/>
      <c r="AM201" s="6"/>
      <c r="AN201" s="41"/>
      <c r="AO201" s="6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</row>
    <row r="202" spans="1:53" ht="14.5">
      <c r="A202" s="41"/>
      <c r="B202" s="41"/>
      <c r="C202" s="41"/>
      <c r="D202" s="41"/>
      <c r="E202" s="41"/>
      <c r="F202" s="41"/>
      <c r="G202" s="41"/>
      <c r="H202" s="6"/>
      <c r="I202" s="5"/>
      <c r="J202" s="41"/>
      <c r="K202" s="41"/>
      <c r="L202" s="6"/>
      <c r="M202" s="41"/>
      <c r="N202" s="41"/>
      <c r="O202" s="41"/>
      <c r="P202" s="41"/>
      <c r="Q202" s="41"/>
      <c r="R202" s="41"/>
      <c r="S202" s="27"/>
      <c r="T202" s="41"/>
      <c r="U202" s="41"/>
      <c r="V202" s="41"/>
      <c r="W202" s="20"/>
      <c r="X202" s="41"/>
      <c r="Y202" s="41"/>
      <c r="Z202" s="14"/>
      <c r="AA202" s="14"/>
      <c r="AB202" s="25"/>
      <c r="AC202" s="41"/>
      <c r="AD202" s="5"/>
      <c r="AE202" s="7"/>
      <c r="AF202" s="41"/>
      <c r="AG202" s="41"/>
      <c r="AH202" s="41"/>
      <c r="AI202" s="13"/>
      <c r="AJ202" s="10"/>
      <c r="AK202" s="11"/>
      <c r="AL202" s="6"/>
      <c r="AM202" s="6"/>
      <c r="AN202" s="41"/>
      <c r="AO202" s="6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</row>
    <row r="203" spans="1:53" ht="14.5">
      <c r="A203" s="41"/>
      <c r="B203" s="41"/>
      <c r="C203" s="41"/>
      <c r="D203" s="41"/>
      <c r="E203" s="41"/>
      <c r="F203" s="41"/>
      <c r="G203" s="41"/>
      <c r="H203" s="6"/>
      <c r="I203" s="5"/>
      <c r="J203" s="41"/>
      <c r="K203" s="41"/>
      <c r="L203" s="6"/>
      <c r="M203" s="41"/>
      <c r="N203" s="41"/>
      <c r="O203" s="41"/>
      <c r="P203" s="41"/>
      <c r="Q203" s="41"/>
      <c r="R203" s="41"/>
      <c r="S203" s="27"/>
      <c r="T203" s="41"/>
      <c r="U203" s="41"/>
      <c r="V203" s="41"/>
      <c r="W203" s="20"/>
      <c r="X203" s="41"/>
      <c r="Y203" s="41"/>
      <c r="Z203" s="14"/>
      <c r="AA203" s="14"/>
      <c r="AB203" s="25"/>
      <c r="AC203" s="41"/>
      <c r="AD203" s="5"/>
      <c r="AE203" s="7"/>
      <c r="AF203" s="41"/>
      <c r="AG203" s="41"/>
      <c r="AH203" s="41"/>
      <c r="AI203" s="13"/>
      <c r="AJ203" s="10"/>
      <c r="AK203" s="11"/>
      <c r="AL203" s="6"/>
      <c r="AM203" s="6"/>
      <c r="AN203" s="41"/>
      <c r="AO203" s="6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</row>
    <row r="204" spans="1:53" ht="14.5">
      <c r="A204" s="41"/>
      <c r="B204" s="41"/>
      <c r="C204" s="41"/>
      <c r="D204" s="41"/>
      <c r="E204" s="41"/>
      <c r="F204" s="41"/>
      <c r="G204" s="41"/>
      <c r="H204" s="6"/>
      <c r="I204" s="5"/>
      <c r="J204" s="41"/>
      <c r="K204" s="41"/>
      <c r="L204" s="6"/>
      <c r="M204" s="41"/>
      <c r="N204" s="41"/>
      <c r="O204" s="41"/>
      <c r="P204" s="41"/>
      <c r="Q204" s="41"/>
      <c r="R204" s="41"/>
      <c r="S204" s="27"/>
      <c r="T204" s="41"/>
      <c r="U204" s="41"/>
      <c r="V204" s="41"/>
      <c r="W204" s="20"/>
      <c r="X204" s="41"/>
      <c r="Y204" s="41"/>
      <c r="Z204" s="14"/>
      <c r="AA204" s="14"/>
      <c r="AB204" s="25"/>
      <c r="AC204" s="41"/>
      <c r="AD204" s="5"/>
      <c r="AE204" s="7"/>
      <c r="AF204" s="41"/>
      <c r="AG204" s="41"/>
      <c r="AH204" s="41"/>
      <c r="AI204" s="13"/>
      <c r="AJ204" s="10"/>
      <c r="AK204" s="11"/>
      <c r="AL204" s="6"/>
      <c r="AM204" s="6"/>
      <c r="AN204" s="41"/>
      <c r="AO204" s="6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</row>
    <row r="205" spans="1:53" ht="14.5">
      <c r="A205" s="41"/>
      <c r="B205" s="41"/>
      <c r="C205" s="41"/>
      <c r="D205" s="41"/>
      <c r="E205" s="41"/>
      <c r="F205" s="41"/>
      <c r="G205" s="41"/>
      <c r="H205" s="6"/>
      <c r="I205" s="5"/>
      <c r="J205" s="41"/>
      <c r="K205" s="41"/>
      <c r="L205" s="6"/>
      <c r="M205" s="41"/>
      <c r="N205" s="41"/>
      <c r="O205" s="41"/>
      <c r="P205" s="41"/>
      <c r="Q205" s="41"/>
      <c r="R205" s="41"/>
      <c r="S205" s="27"/>
      <c r="T205" s="41"/>
      <c r="U205" s="41"/>
      <c r="V205" s="41"/>
      <c r="W205" s="20"/>
      <c r="X205" s="41"/>
      <c r="Y205" s="41"/>
      <c r="Z205" s="14"/>
      <c r="AA205" s="14"/>
      <c r="AB205" s="25"/>
      <c r="AC205" s="41"/>
      <c r="AD205" s="5"/>
      <c r="AE205" s="7"/>
      <c r="AF205" s="41"/>
      <c r="AG205" s="41"/>
      <c r="AH205" s="41"/>
      <c r="AI205" s="13"/>
      <c r="AJ205" s="10"/>
      <c r="AK205" s="11"/>
      <c r="AL205" s="6"/>
      <c r="AM205" s="6"/>
      <c r="AN205" s="41"/>
      <c r="AO205" s="6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</row>
    <row r="206" spans="1:53" ht="14.5">
      <c r="A206" s="41"/>
      <c r="B206" s="41"/>
      <c r="C206" s="41"/>
      <c r="D206" s="41"/>
      <c r="E206" s="41"/>
      <c r="F206" s="41"/>
      <c r="G206" s="41"/>
      <c r="H206" s="6"/>
      <c r="I206" s="5"/>
      <c r="J206" s="41"/>
      <c r="K206" s="41"/>
      <c r="L206" s="6"/>
      <c r="M206" s="41"/>
      <c r="N206" s="41"/>
      <c r="O206" s="41"/>
      <c r="P206" s="41"/>
      <c r="Q206" s="41"/>
      <c r="R206" s="41"/>
      <c r="S206" s="27"/>
      <c r="T206" s="41"/>
      <c r="U206" s="41"/>
      <c r="V206" s="41"/>
      <c r="W206" s="20"/>
      <c r="X206" s="41"/>
      <c r="Y206" s="41"/>
      <c r="Z206" s="14"/>
      <c r="AA206" s="14"/>
      <c r="AB206" s="25"/>
      <c r="AC206" s="41"/>
      <c r="AD206" s="5"/>
      <c r="AE206" s="7"/>
      <c r="AF206" s="41"/>
      <c r="AG206" s="41"/>
      <c r="AH206" s="41"/>
      <c r="AI206" s="13"/>
      <c r="AJ206" s="10"/>
      <c r="AK206" s="11"/>
      <c r="AL206" s="6"/>
      <c r="AM206" s="6"/>
      <c r="AN206" s="41"/>
      <c r="AO206" s="6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</row>
    <row r="207" spans="1:53" ht="14.5">
      <c r="A207" s="41"/>
      <c r="B207" s="41"/>
      <c r="C207" s="41"/>
      <c r="D207" s="41"/>
      <c r="E207" s="41"/>
      <c r="F207" s="41"/>
      <c r="G207" s="41"/>
      <c r="H207" s="6"/>
      <c r="I207" s="5"/>
      <c r="J207" s="41"/>
      <c r="K207" s="41"/>
      <c r="L207" s="6"/>
      <c r="M207" s="41"/>
      <c r="N207" s="41"/>
      <c r="O207" s="41"/>
      <c r="P207" s="41"/>
      <c r="Q207" s="41"/>
      <c r="R207" s="41"/>
      <c r="S207" s="27"/>
      <c r="T207" s="41"/>
      <c r="U207" s="41"/>
      <c r="V207" s="41"/>
      <c r="W207" s="20"/>
      <c r="X207" s="41"/>
      <c r="Y207" s="41"/>
      <c r="Z207" s="14"/>
      <c r="AA207" s="14"/>
      <c r="AB207" s="25"/>
      <c r="AC207" s="41"/>
      <c r="AD207" s="5"/>
      <c r="AE207" s="7"/>
      <c r="AF207" s="41"/>
      <c r="AG207" s="41"/>
      <c r="AH207" s="41"/>
      <c r="AI207" s="13"/>
      <c r="AJ207" s="10"/>
      <c r="AK207" s="11"/>
      <c r="AL207" s="6"/>
      <c r="AM207" s="6"/>
      <c r="AN207" s="41"/>
      <c r="AO207" s="6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</row>
    <row r="208" spans="1:53" ht="14.5">
      <c r="A208" s="41"/>
      <c r="B208" s="41"/>
      <c r="C208" s="41"/>
      <c r="D208" s="41"/>
      <c r="E208" s="41"/>
      <c r="F208" s="41"/>
      <c r="G208" s="41"/>
      <c r="H208" s="6"/>
      <c r="I208" s="5"/>
      <c r="J208" s="41"/>
      <c r="K208" s="41"/>
      <c r="L208" s="6"/>
      <c r="M208" s="41"/>
      <c r="N208" s="41"/>
      <c r="O208" s="41"/>
      <c r="P208" s="41"/>
      <c r="Q208" s="41"/>
      <c r="R208" s="41"/>
      <c r="S208" s="27"/>
      <c r="T208" s="41"/>
      <c r="U208" s="41"/>
      <c r="V208" s="41"/>
      <c r="W208" s="20"/>
      <c r="X208" s="41"/>
      <c r="Y208" s="41"/>
      <c r="Z208" s="14"/>
      <c r="AA208" s="14"/>
      <c r="AB208" s="25"/>
      <c r="AC208" s="41"/>
      <c r="AD208" s="5"/>
      <c r="AE208" s="7"/>
      <c r="AF208" s="41"/>
      <c r="AG208" s="41"/>
      <c r="AH208" s="41"/>
      <c r="AI208" s="13"/>
      <c r="AJ208" s="10"/>
      <c r="AK208" s="11"/>
      <c r="AL208" s="6"/>
      <c r="AM208" s="6"/>
      <c r="AN208" s="41"/>
      <c r="AO208" s="6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</row>
    <row r="209" spans="1:53" ht="14.5">
      <c r="A209" s="41"/>
      <c r="B209" s="41"/>
      <c r="C209" s="41"/>
      <c r="D209" s="41"/>
      <c r="E209" s="41"/>
      <c r="F209" s="41"/>
      <c r="G209" s="41"/>
      <c r="H209" s="6"/>
      <c r="I209" s="5"/>
      <c r="J209" s="41"/>
      <c r="K209" s="41"/>
      <c r="L209" s="6"/>
      <c r="M209" s="41"/>
      <c r="N209" s="41"/>
      <c r="O209" s="41"/>
      <c r="P209" s="41"/>
      <c r="Q209" s="41"/>
      <c r="R209" s="41"/>
      <c r="S209" s="27"/>
      <c r="T209" s="41"/>
      <c r="U209" s="41"/>
      <c r="V209" s="41"/>
      <c r="W209" s="20"/>
      <c r="X209" s="41"/>
      <c r="Y209" s="41"/>
      <c r="Z209" s="14"/>
      <c r="AA209" s="14"/>
      <c r="AB209" s="25"/>
      <c r="AC209" s="41"/>
      <c r="AD209" s="5"/>
      <c r="AE209" s="7"/>
      <c r="AF209" s="41"/>
      <c r="AG209" s="41"/>
      <c r="AH209" s="41"/>
      <c r="AI209" s="13"/>
      <c r="AJ209" s="10"/>
      <c r="AK209" s="11"/>
      <c r="AL209" s="6"/>
      <c r="AM209" s="6"/>
      <c r="AN209" s="41"/>
      <c r="AO209" s="6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</row>
    <row r="210" spans="1:53" ht="14.5">
      <c r="A210" s="41"/>
      <c r="B210" s="41"/>
      <c r="C210" s="41"/>
      <c r="D210" s="41"/>
      <c r="E210" s="41"/>
      <c r="F210" s="41"/>
      <c r="G210" s="41"/>
      <c r="H210" s="6"/>
      <c r="I210" s="5"/>
      <c r="J210" s="41"/>
      <c r="K210" s="41"/>
      <c r="L210" s="6"/>
      <c r="M210" s="41"/>
      <c r="N210" s="41"/>
      <c r="O210" s="41"/>
      <c r="P210" s="41"/>
      <c r="Q210" s="41"/>
      <c r="R210" s="41"/>
      <c r="S210" s="27"/>
      <c r="T210" s="41"/>
      <c r="U210" s="41"/>
      <c r="V210" s="41"/>
      <c r="W210" s="20"/>
      <c r="X210" s="41"/>
      <c r="Y210" s="41"/>
      <c r="Z210" s="14"/>
      <c r="AA210" s="14"/>
      <c r="AB210" s="25"/>
      <c r="AC210" s="41"/>
      <c r="AD210" s="5"/>
      <c r="AE210" s="7"/>
      <c r="AF210" s="41"/>
      <c r="AG210" s="41"/>
      <c r="AH210" s="41"/>
      <c r="AI210" s="13"/>
      <c r="AJ210" s="10"/>
      <c r="AK210" s="11"/>
      <c r="AL210" s="6"/>
      <c r="AM210" s="6"/>
      <c r="AN210" s="41"/>
      <c r="AO210" s="6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</row>
    <row r="211" spans="1:53" ht="14.5">
      <c r="A211" s="41"/>
      <c r="B211" s="41"/>
      <c r="C211" s="41"/>
      <c r="D211" s="41"/>
      <c r="E211" s="41"/>
      <c r="F211" s="41"/>
      <c r="G211" s="41"/>
      <c r="H211" s="6"/>
      <c r="I211" s="5"/>
      <c r="J211" s="41"/>
      <c r="K211" s="41"/>
      <c r="L211" s="6"/>
      <c r="M211" s="41"/>
      <c r="N211" s="41"/>
      <c r="O211" s="41"/>
      <c r="P211" s="41"/>
      <c r="Q211" s="41"/>
      <c r="R211" s="41"/>
      <c r="S211" s="27"/>
      <c r="T211" s="41"/>
      <c r="U211" s="41"/>
      <c r="V211" s="41"/>
      <c r="W211" s="20"/>
      <c r="X211" s="41"/>
      <c r="Y211" s="41"/>
      <c r="Z211" s="14"/>
      <c r="AA211" s="14"/>
      <c r="AB211" s="25"/>
      <c r="AC211" s="41"/>
      <c r="AD211" s="5"/>
      <c r="AE211" s="7"/>
      <c r="AF211" s="41"/>
      <c r="AG211" s="41"/>
      <c r="AH211" s="41"/>
      <c r="AI211" s="13"/>
      <c r="AJ211" s="10"/>
      <c r="AK211" s="11"/>
      <c r="AL211" s="6"/>
      <c r="AM211" s="6"/>
      <c r="AN211" s="41"/>
      <c r="AO211" s="6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</row>
    <row r="212" spans="1:53" ht="14.5">
      <c r="A212" s="41"/>
      <c r="B212" s="41"/>
      <c r="C212" s="41"/>
      <c r="D212" s="41"/>
      <c r="E212" s="41"/>
      <c r="F212" s="41"/>
      <c r="G212" s="41"/>
      <c r="H212" s="6"/>
      <c r="I212" s="5"/>
      <c r="J212" s="41"/>
      <c r="K212" s="41"/>
      <c r="L212" s="6"/>
      <c r="M212" s="41"/>
      <c r="N212" s="41"/>
      <c r="O212" s="41"/>
      <c r="P212" s="41"/>
      <c r="Q212" s="41"/>
      <c r="R212" s="41"/>
      <c r="S212" s="27"/>
      <c r="T212" s="41"/>
      <c r="U212" s="41"/>
      <c r="V212" s="41"/>
      <c r="W212" s="20"/>
      <c r="X212" s="41"/>
      <c r="Y212" s="41"/>
      <c r="Z212" s="14"/>
      <c r="AA212" s="14"/>
      <c r="AB212" s="25"/>
      <c r="AC212" s="41"/>
      <c r="AD212" s="5"/>
      <c r="AE212" s="7"/>
      <c r="AF212" s="41"/>
      <c r="AG212" s="41"/>
      <c r="AH212" s="41"/>
      <c r="AI212" s="13"/>
      <c r="AJ212" s="10"/>
      <c r="AK212" s="11"/>
      <c r="AL212" s="6"/>
      <c r="AM212" s="6"/>
      <c r="AN212" s="41"/>
      <c r="AO212" s="6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</row>
    <row r="213" spans="1:53" ht="14.5">
      <c r="A213" s="41"/>
      <c r="B213" s="41"/>
      <c r="C213" s="41"/>
      <c r="D213" s="41"/>
      <c r="E213" s="41"/>
      <c r="F213" s="41"/>
      <c r="G213" s="41"/>
      <c r="H213" s="6"/>
      <c r="I213" s="5"/>
      <c r="J213" s="41"/>
      <c r="K213" s="41"/>
      <c r="L213" s="6"/>
      <c r="M213" s="41"/>
      <c r="N213" s="41"/>
      <c r="O213" s="41"/>
      <c r="P213" s="41"/>
      <c r="Q213" s="41"/>
      <c r="R213" s="41"/>
      <c r="S213" s="27"/>
      <c r="T213" s="41"/>
      <c r="U213" s="41"/>
      <c r="V213" s="41"/>
      <c r="W213" s="20"/>
      <c r="X213" s="41"/>
      <c r="Y213" s="41"/>
      <c r="Z213" s="14"/>
      <c r="AA213" s="14"/>
      <c r="AB213" s="25"/>
      <c r="AC213" s="41"/>
      <c r="AD213" s="5"/>
      <c r="AE213" s="7"/>
      <c r="AF213" s="41"/>
      <c r="AG213" s="41"/>
      <c r="AH213" s="41"/>
      <c r="AI213" s="13"/>
      <c r="AJ213" s="10"/>
      <c r="AK213" s="11"/>
      <c r="AL213" s="6"/>
      <c r="AM213" s="6"/>
      <c r="AN213" s="41"/>
      <c r="AO213" s="6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</row>
    <row r="214" spans="1:53" ht="14.5">
      <c r="A214" s="41"/>
      <c r="B214" s="41"/>
      <c r="C214" s="41"/>
      <c r="D214" s="41"/>
      <c r="E214" s="41"/>
      <c r="F214" s="41"/>
      <c r="G214" s="41"/>
      <c r="H214" s="6"/>
      <c r="I214" s="5"/>
      <c r="J214" s="41"/>
      <c r="K214" s="41"/>
      <c r="L214" s="6"/>
      <c r="M214" s="41"/>
      <c r="N214" s="41"/>
      <c r="O214" s="41"/>
      <c r="P214" s="41"/>
      <c r="Q214" s="41"/>
      <c r="R214" s="41"/>
      <c r="S214" s="27"/>
      <c r="T214" s="41"/>
      <c r="U214" s="41"/>
      <c r="V214" s="41"/>
      <c r="W214" s="20"/>
      <c r="X214" s="41"/>
      <c r="Y214" s="41"/>
      <c r="Z214" s="14"/>
      <c r="AA214" s="14"/>
      <c r="AB214" s="25"/>
      <c r="AC214" s="41"/>
      <c r="AD214" s="5"/>
      <c r="AE214" s="7"/>
      <c r="AF214" s="41"/>
      <c r="AG214" s="41"/>
      <c r="AH214" s="41"/>
      <c r="AI214" s="13"/>
      <c r="AJ214" s="10"/>
      <c r="AK214" s="11"/>
      <c r="AL214" s="6"/>
      <c r="AM214" s="6"/>
      <c r="AN214" s="41"/>
      <c r="AO214" s="6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</row>
    <row r="215" spans="1:53" ht="14.5">
      <c r="A215" s="41"/>
      <c r="B215" s="41"/>
      <c r="C215" s="41"/>
      <c r="D215" s="41"/>
      <c r="E215" s="41"/>
      <c r="F215" s="41"/>
      <c r="G215" s="41"/>
      <c r="H215" s="6"/>
      <c r="I215" s="5"/>
      <c r="J215" s="41"/>
      <c r="K215" s="41"/>
      <c r="L215" s="6"/>
      <c r="M215" s="41"/>
      <c r="N215" s="41"/>
      <c r="O215" s="41"/>
      <c r="P215" s="41"/>
      <c r="Q215" s="41"/>
      <c r="R215" s="41"/>
      <c r="S215" s="27"/>
      <c r="T215" s="41"/>
      <c r="U215" s="41"/>
      <c r="V215" s="41"/>
      <c r="W215" s="20"/>
      <c r="X215" s="41"/>
      <c r="Y215" s="41"/>
      <c r="Z215" s="14"/>
      <c r="AA215" s="14"/>
      <c r="AB215" s="25"/>
      <c r="AC215" s="41"/>
      <c r="AD215" s="5"/>
      <c r="AE215" s="7"/>
      <c r="AF215" s="41"/>
      <c r="AG215" s="41"/>
      <c r="AH215" s="41"/>
      <c r="AI215" s="13"/>
      <c r="AJ215" s="10"/>
      <c r="AK215" s="11"/>
      <c r="AL215" s="6"/>
      <c r="AM215" s="6"/>
      <c r="AN215" s="41"/>
      <c r="AO215" s="6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</row>
    <row r="216" spans="1:53" ht="14.5">
      <c r="A216" s="41"/>
      <c r="B216" s="41"/>
      <c r="C216" s="41"/>
      <c r="D216" s="41"/>
      <c r="E216" s="41"/>
      <c r="F216" s="41"/>
      <c r="G216" s="41"/>
      <c r="H216" s="6"/>
      <c r="I216" s="5"/>
      <c r="J216" s="41"/>
      <c r="K216" s="41"/>
      <c r="L216" s="6"/>
      <c r="M216" s="41"/>
      <c r="N216" s="41"/>
      <c r="O216" s="41"/>
      <c r="P216" s="41"/>
      <c r="Q216" s="41"/>
      <c r="R216" s="41"/>
      <c r="S216" s="27"/>
      <c r="T216" s="41"/>
      <c r="U216" s="41"/>
      <c r="V216" s="41"/>
      <c r="W216" s="20"/>
      <c r="X216" s="41"/>
      <c r="Y216" s="41"/>
      <c r="Z216" s="14"/>
      <c r="AA216" s="14"/>
      <c r="AB216" s="25"/>
      <c r="AC216" s="41"/>
      <c r="AD216" s="5"/>
      <c r="AE216" s="7"/>
      <c r="AF216" s="41"/>
      <c r="AG216" s="41"/>
      <c r="AH216" s="41"/>
      <c r="AI216" s="13"/>
      <c r="AJ216" s="10"/>
      <c r="AK216" s="11"/>
      <c r="AL216" s="6"/>
      <c r="AM216" s="6"/>
      <c r="AN216" s="41"/>
      <c r="AO216" s="6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</row>
    <row r="217" spans="1:53" ht="14.5">
      <c r="A217" s="41"/>
      <c r="B217" s="41"/>
      <c r="C217" s="41"/>
      <c r="D217" s="41"/>
      <c r="E217" s="41"/>
      <c r="F217" s="41"/>
      <c r="G217" s="41"/>
      <c r="H217" s="6"/>
      <c r="I217" s="5"/>
      <c r="J217" s="41"/>
      <c r="K217" s="41"/>
      <c r="L217" s="6"/>
      <c r="M217" s="41"/>
      <c r="N217" s="41"/>
      <c r="O217" s="41"/>
      <c r="P217" s="41"/>
      <c r="Q217" s="41"/>
      <c r="R217" s="41"/>
      <c r="S217" s="27"/>
      <c r="T217" s="41"/>
      <c r="U217" s="41"/>
      <c r="V217" s="41"/>
      <c r="W217" s="20"/>
      <c r="X217" s="41"/>
      <c r="Y217" s="41"/>
      <c r="Z217" s="14"/>
      <c r="AA217" s="14"/>
      <c r="AB217" s="25"/>
      <c r="AC217" s="41"/>
      <c r="AD217" s="5"/>
      <c r="AE217" s="7"/>
      <c r="AF217" s="41"/>
      <c r="AG217" s="41"/>
      <c r="AH217" s="41"/>
      <c r="AI217" s="13"/>
      <c r="AJ217" s="10"/>
      <c r="AK217" s="11"/>
      <c r="AL217" s="6"/>
      <c r="AM217" s="6"/>
      <c r="AN217" s="41"/>
      <c r="AO217" s="6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</row>
    <row r="218" spans="1:53" ht="14.5">
      <c r="A218" s="41"/>
      <c r="B218" s="41"/>
      <c r="C218" s="41"/>
      <c r="D218" s="41"/>
      <c r="E218" s="41"/>
      <c r="F218" s="41"/>
      <c r="G218" s="41"/>
      <c r="H218" s="6"/>
      <c r="I218" s="5"/>
      <c r="J218" s="41"/>
      <c r="K218" s="41"/>
      <c r="L218" s="6"/>
      <c r="M218" s="41"/>
      <c r="N218" s="41"/>
      <c r="O218" s="41"/>
      <c r="P218" s="41"/>
      <c r="Q218" s="41"/>
      <c r="R218" s="41"/>
      <c r="S218" s="27"/>
      <c r="T218" s="41"/>
      <c r="U218" s="41"/>
      <c r="V218" s="41"/>
      <c r="W218" s="20"/>
      <c r="X218" s="41"/>
      <c r="Y218" s="41"/>
      <c r="Z218" s="14"/>
      <c r="AA218" s="14"/>
      <c r="AB218" s="25"/>
      <c r="AC218" s="41"/>
      <c r="AD218" s="5"/>
      <c r="AE218" s="7"/>
      <c r="AF218" s="41"/>
      <c r="AG218" s="41"/>
      <c r="AH218" s="41"/>
      <c r="AI218" s="13"/>
      <c r="AJ218" s="10"/>
      <c r="AK218" s="11"/>
      <c r="AL218" s="6"/>
      <c r="AM218" s="6"/>
      <c r="AN218" s="41"/>
      <c r="AO218" s="6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</row>
    <row r="219" spans="1:53" ht="14.5">
      <c r="A219" s="41"/>
      <c r="B219" s="41"/>
      <c r="C219" s="41"/>
      <c r="D219" s="41"/>
      <c r="E219" s="41"/>
      <c r="F219" s="41"/>
      <c r="G219" s="41"/>
      <c r="H219" s="6"/>
      <c r="I219" s="5"/>
      <c r="J219" s="41"/>
      <c r="K219" s="41"/>
      <c r="L219" s="6"/>
      <c r="M219" s="41"/>
      <c r="N219" s="41"/>
      <c r="O219" s="41"/>
      <c r="P219" s="41"/>
      <c r="Q219" s="41"/>
      <c r="R219" s="41"/>
      <c r="S219" s="27"/>
      <c r="T219" s="41"/>
      <c r="U219" s="41"/>
      <c r="V219" s="41"/>
      <c r="W219" s="20"/>
      <c r="X219" s="41"/>
      <c r="Y219" s="41"/>
      <c r="Z219" s="14"/>
      <c r="AA219" s="14"/>
      <c r="AB219" s="25"/>
      <c r="AC219" s="41"/>
      <c r="AD219" s="5"/>
      <c r="AE219" s="7"/>
      <c r="AF219" s="41"/>
      <c r="AG219" s="41"/>
      <c r="AH219" s="41"/>
      <c r="AI219" s="13"/>
      <c r="AJ219" s="10"/>
      <c r="AK219" s="11"/>
      <c r="AL219" s="6"/>
      <c r="AM219" s="6"/>
      <c r="AN219" s="41"/>
      <c r="AO219" s="6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</row>
    <row r="220" spans="1:53" ht="14.5">
      <c r="A220" s="41"/>
      <c r="B220" s="41"/>
      <c r="C220" s="41"/>
      <c r="D220" s="41"/>
      <c r="E220" s="41"/>
      <c r="F220" s="41"/>
      <c r="G220" s="41"/>
      <c r="H220" s="6"/>
      <c r="I220" s="5"/>
      <c r="J220" s="41"/>
      <c r="K220" s="41"/>
      <c r="L220" s="6"/>
      <c r="M220" s="41"/>
      <c r="N220" s="41"/>
      <c r="O220" s="41"/>
      <c r="P220" s="41"/>
      <c r="Q220" s="41"/>
      <c r="R220" s="41"/>
      <c r="S220" s="27"/>
      <c r="T220" s="41"/>
      <c r="U220" s="41"/>
      <c r="V220" s="41"/>
      <c r="W220" s="20"/>
      <c r="X220" s="41"/>
      <c r="Y220" s="41"/>
      <c r="Z220" s="14"/>
      <c r="AA220" s="14"/>
      <c r="AB220" s="25"/>
      <c r="AC220" s="41"/>
      <c r="AD220" s="5"/>
      <c r="AE220" s="7"/>
      <c r="AF220" s="41"/>
      <c r="AG220" s="41"/>
      <c r="AH220" s="41"/>
      <c r="AI220" s="13"/>
      <c r="AJ220" s="10"/>
      <c r="AK220" s="11"/>
      <c r="AL220" s="6"/>
      <c r="AM220" s="6"/>
      <c r="AN220" s="41"/>
      <c r="AO220" s="6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</row>
    <row r="221" spans="1:53" ht="14.5">
      <c r="A221" s="41"/>
      <c r="B221" s="41"/>
      <c r="C221" s="41"/>
      <c r="D221" s="41"/>
      <c r="E221" s="41"/>
      <c r="F221" s="41"/>
      <c r="G221" s="41"/>
      <c r="H221" s="6"/>
      <c r="I221" s="5"/>
      <c r="J221" s="41"/>
      <c r="K221" s="41"/>
      <c r="L221" s="6"/>
      <c r="M221" s="41"/>
      <c r="N221" s="41"/>
      <c r="O221" s="41"/>
      <c r="P221" s="41"/>
      <c r="Q221" s="41"/>
      <c r="R221" s="41"/>
      <c r="S221" s="27"/>
      <c r="T221" s="41"/>
      <c r="U221" s="41"/>
      <c r="V221" s="41"/>
      <c r="W221" s="20"/>
      <c r="X221" s="41"/>
      <c r="Y221" s="41"/>
      <c r="Z221" s="14"/>
      <c r="AA221" s="14"/>
      <c r="AB221" s="25"/>
      <c r="AC221" s="41"/>
      <c r="AD221" s="5"/>
      <c r="AE221" s="7"/>
      <c r="AF221" s="41"/>
      <c r="AG221" s="41"/>
      <c r="AH221" s="41"/>
      <c r="AI221" s="13"/>
      <c r="AJ221" s="10"/>
      <c r="AK221" s="11"/>
      <c r="AL221" s="6"/>
      <c r="AM221" s="6"/>
      <c r="AN221" s="41"/>
      <c r="AO221" s="6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</row>
    <row r="222" spans="1:53" ht="14.5">
      <c r="A222" s="41"/>
      <c r="B222" s="41"/>
      <c r="C222" s="41"/>
      <c r="D222" s="41"/>
      <c r="E222" s="41"/>
      <c r="F222" s="41"/>
      <c r="G222" s="41"/>
      <c r="H222" s="6"/>
      <c r="I222" s="5"/>
      <c r="J222" s="41"/>
      <c r="K222" s="41"/>
      <c r="L222" s="6"/>
      <c r="M222" s="41"/>
      <c r="N222" s="41"/>
      <c r="O222" s="41"/>
      <c r="P222" s="41"/>
      <c r="Q222" s="41"/>
      <c r="R222" s="41"/>
      <c r="S222" s="27"/>
      <c r="T222" s="41"/>
      <c r="U222" s="41"/>
      <c r="V222" s="41"/>
      <c r="W222" s="20"/>
      <c r="X222" s="41"/>
      <c r="Y222" s="41"/>
      <c r="Z222" s="14"/>
      <c r="AA222" s="14"/>
      <c r="AB222" s="25"/>
      <c r="AC222" s="41"/>
      <c r="AD222" s="5"/>
      <c r="AE222" s="7"/>
      <c r="AF222" s="41"/>
      <c r="AG222" s="41"/>
      <c r="AH222" s="41"/>
      <c r="AI222" s="13"/>
      <c r="AJ222" s="10"/>
      <c r="AK222" s="11"/>
      <c r="AL222" s="6"/>
      <c r="AM222" s="6"/>
      <c r="AN222" s="41"/>
      <c r="AO222" s="6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</row>
    <row r="223" spans="1:53" ht="14.5">
      <c r="A223" s="41"/>
      <c r="B223" s="41"/>
      <c r="C223" s="41"/>
      <c r="D223" s="41"/>
      <c r="E223" s="41"/>
      <c r="F223" s="41"/>
      <c r="G223" s="41"/>
      <c r="H223" s="6"/>
      <c r="I223" s="5"/>
      <c r="J223" s="41"/>
      <c r="K223" s="41"/>
      <c r="L223" s="6"/>
      <c r="M223" s="41"/>
      <c r="N223" s="41"/>
      <c r="O223" s="41"/>
      <c r="P223" s="41"/>
      <c r="Q223" s="41"/>
      <c r="R223" s="41"/>
      <c r="S223" s="27"/>
      <c r="T223" s="41"/>
      <c r="U223" s="41"/>
      <c r="V223" s="41"/>
      <c r="W223" s="20"/>
      <c r="X223" s="41"/>
      <c r="Y223" s="41"/>
      <c r="Z223" s="14"/>
      <c r="AA223" s="14"/>
      <c r="AB223" s="25"/>
      <c r="AC223" s="41"/>
      <c r="AD223" s="5"/>
      <c r="AE223" s="7"/>
      <c r="AF223" s="41"/>
      <c r="AG223" s="41"/>
      <c r="AH223" s="41"/>
      <c r="AI223" s="13"/>
      <c r="AJ223" s="10"/>
      <c r="AK223" s="11"/>
      <c r="AL223" s="6"/>
      <c r="AM223" s="6"/>
      <c r="AN223" s="41"/>
      <c r="AO223" s="6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</row>
    <row r="224" spans="1:53" ht="14.5">
      <c r="A224" s="41"/>
      <c r="B224" s="41"/>
      <c r="C224" s="41"/>
      <c r="D224" s="41"/>
      <c r="E224" s="41"/>
      <c r="F224" s="41"/>
      <c r="G224" s="41"/>
      <c r="H224" s="6"/>
      <c r="I224" s="5"/>
      <c r="J224" s="41"/>
      <c r="K224" s="41"/>
      <c r="L224" s="6"/>
      <c r="M224" s="41"/>
      <c r="N224" s="41"/>
      <c r="O224" s="41"/>
      <c r="P224" s="41"/>
      <c r="Q224" s="41"/>
      <c r="R224" s="41"/>
      <c r="S224" s="27"/>
      <c r="T224" s="41"/>
      <c r="U224" s="41"/>
      <c r="V224" s="41"/>
      <c r="W224" s="20"/>
      <c r="X224" s="41"/>
      <c r="Y224" s="41"/>
      <c r="Z224" s="14"/>
      <c r="AA224" s="14"/>
      <c r="AB224" s="25"/>
      <c r="AC224" s="41"/>
      <c r="AD224" s="5"/>
      <c r="AE224" s="7"/>
      <c r="AF224" s="41"/>
      <c r="AG224" s="41"/>
      <c r="AH224" s="41"/>
      <c r="AI224" s="13"/>
      <c r="AJ224" s="10"/>
      <c r="AK224" s="11"/>
      <c r="AL224" s="6"/>
      <c r="AM224" s="6"/>
      <c r="AN224" s="41"/>
      <c r="AO224" s="6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</row>
    <row r="225" spans="1:53" ht="14.5">
      <c r="A225" s="41"/>
      <c r="B225" s="41"/>
      <c r="C225" s="41"/>
      <c r="D225" s="41"/>
      <c r="E225" s="41"/>
      <c r="F225" s="41"/>
      <c r="G225" s="41"/>
      <c r="H225" s="6"/>
      <c r="I225" s="5"/>
      <c r="J225" s="41"/>
      <c r="K225" s="41"/>
      <c r="L225" s="6"/>
      <c r="M225" s="41"/>
      <c r="N225" s="41"/>
      <c r="O225" s="41"/>
      <c r="P225" s="41"/>
      <c r="Q225" s="41"/>
      <c r="R225" s="41"/>
      <c r="S225" s="27"/>
      <c r="T225" s="41"/>
      <c r="U225" s="41"/>
      <c r="V225" s="41"/>
      <c r="W225" s="20"/>
      <c r="X225" s="41"/>
      <c r="Y225" s="41"/>
      <c r="Z225" s="14"/>
      <c r="AA225" s="14"/>
      <c r="AB225" s="25"/>
      <c r="AC225" s="41"/>
      <c r="AD225" s="5"/>
      <c r="AE225" s="7"/>
      <c r="AF225" s="41"/>
      <c r="AG225" s="41"/>
      <c r="AH225" s="41"/>
      <c r="AI225" s="13"/>
      <c r="AJ225" s="10"/>
      <c r="AK225" s="11"/>
      <c r="AL225" s="6"/>
      <c r="AM225" s="6"/>
      <c r="AN225" s="41"/>
      <c r="AO225" s="6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</row>
    <row r="226" spans="1:53" ht="14.5">
      <c r="A226" s="41"/>
      <c r="B226" s="41"/>
      <c r="C226" s="41"/>
      <c r="D226" s="41"/>
      <c r="E226" s="41"/>
      <c r="F226" s="41"/>
      <c r="G226" s="41"/>
      <c r="H226" s="6"/>
      <c r="I226" s="5"/>
      <c r="J226" s="41"/>
      <c r="K226" s="41"/>
      <c r="L226" s="6"/>
      <c r="M226" s="41"/>
      <c r="N226" s="41"/>
      <c r="O226" s="41"/>
      <c r="P226" s="41"/>
      <c r="Q226" s="41"/>
      <c r="R226" s="41"/>
      <c r="S226" s="27"/>
      <c r="T226" s="41"/>
      <c r="U226" s="41"/>
      <c r="V226" s="41"/>
      <c r="W226" s="20"/>
      <c r="X226" s="41"/>
      <c r="Y226" s="41"/>
      <c r="Z226" s="14"/>
      <c r="AA226" s="14"/>
      <c r="AB226" s="25"/>
      <c r="AC226" s="41"/>
      <c r="AD226" s="5"/>
      <c r="AE226" s="7"/>
      <c r="AF226" s="41"/>
      <c r="AG226" s="41"/>
      <c r="AH226" s="41"/>
      <c r="AI226" s="13"/>
      <c r="AJ226" s="10"/>
      <c r="AK226" s="11"/>
      <c r="AL226" s="6"/>
      <c r="AM226" s="6"/>
      <c r="AN226" s="41"/>
      <c r="AO226" s="6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</row>
    <row r="227" spans="1:53" ht="14.5">
      <c r="A227" s="41"/>
      <c r="B227" s="41"/>
      <c r="C227" s="41"/>
      <c r="D227" s="41"/>
      <c r="E227" s="41"/>
      <c r="F227" s="41"/>
      <c r="G227" s="41"/>
      <c r="H227" s="6"/>
      <c r="I227" s="5"/>
      <c r="J227" s="41"/>
      <c r="K227" s="41"/>
      <c r="L227" s="6"/>
      <c r="M227" s="41"/>
      <c r="N227" s="41"/>
      <c r="O227" s="41"/>
      <c r="P227" s="41"/>
      <c r="Q227" s="41"/>
      <c r="R227" s="41"/>
      <c r="S227" s="27"/>
      <c r="T227" s="41"/>
      <c r="U227" s="41"/>
      <c r="V227" s="41"/>
      <c r="W227" s="20"/>
      <c r="X227" s="41"/>
      <c r="Y227" s="41"/>
      <c r="Z227" s="14"/>
      <c r="AA227" s="14"/>
      <c r="AB227" s="25"/>
      <c r="AC227" s="41"/>
      <c r="AD227" s="5"/>
      <c r="AE227" s="7"/>
      <c r="AF227" s="41"/>
      <c r="AG227" s="41"/>
      <c r="AH227" s="41"/>
      <c r="AI227" s="13"/>
      <c r="AJ227" s="10"/>
      <c r="AK227" s="11"/>
      <c r="AL227" s="6"/>
      <c r="AM227" s="6"/>
      <c r="AN227" s="41"/>
      <c r="AO227" s="6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</row>
    <row r="228" spans="1:53" ht="14.5">
      <c r="A228" s="41"/>
      <c r="B228" s="41"/>
      <c r="C228" s="41"/>
      <c r="D228" s="41"/>
      <c r="E228" s="41"/>
      <c r="F228" s="41"/>
      <c r="G228" s="41"/>
      <c r="H228" s="6"/>
      <c r="I228" s="5"/>
      <c r="J228" s="41"/>
      <c r="K228" s="41"/>
      <c r="L228" s="6"/>
      <c r="M228" s="41"/>
      <c r="N228" s="41"/>
      <c r="O228" s="41"/>
      <c r="P228" s="41"/>
      <c r="Q228" s="41"/>
      <c r="R228" s="41"/>
      <c r="S228" s="27"/>
      <c r="T228" s="41"/>
      <c r="U228" s="41"/>
      <c r="V228" s="41"/>
      <c r="W228" s="20"/>
      <c r="X228" s="41"/>
      <c r="Y228" s="41"/>
      <c r="Z228" s="14"/>
      <c r="AA228" s="14"/>
      <c r="AB228" s="25"/>
      <c r="AC228" s="41"/>
      <c r="AD228" s="5"/>
      <c r="AE228" s="7"/>
      <c r="AF228" s="41"/>
      <c r="AG228" s="41"/>
      <c r="AH228" s="41"/>
      <c r="AI228" s="13"/>
      <c r="AJ228" s="10"/>
      <c r="AK228" s="11"/>
      <c r="AL228" s="6"/>
      <c r="AM228" s="6"/>
      <c r="AN228" s="41"/>
      <c r="AO228" s="6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</row>
    <row r="229" spans="1:53" ht="14.5">
      <c r="A229" s="41"/>
      <c r="B229" s="41"/>
      <c r="C229" s="41"/>
      <c r="D229" s="41"/>
      <c r="E229" s="41"/>
      <c r="F229" s="41"/>
      <c r="G229" s="41"/>
      <c r="H229" s="6"/>
      <c r="I229" s="5"/>
      <c r="J229" s="41"/>
      <c r="K229" s="41"/>
      <c r="L229" s="6"/>
      <c r="M229" s="41"/>
      <c r="N229" s="41"/>
      <c r="O229" s="41"/>
      <c r="P229" s="41"/>
      <c r="Q229" s="41"/>
      <c r="R229" s="41"/>
      <c r="S229" s="27"/>
      <c r="T229" s="41"/>
      <c r="U229" s="41"/>
      <c r="V229" s="41"/>
      <c r="W229" s="20"/>
      <c r="X229" s="41"/>
      <c r="Y229" s="41"/>
      <c r="Z229" s="14"/>
      <c r="AA229" s="14"/>
      <c r="AB229" s="25"/>
      <c r="AC229" s="41"/>
      <c r="AD229" s="5"/>
      <c r="AE229" s="7"/>
      <c r="AF229" s="41"/>
      <c r="AG229" s="41"/>
      <c r="AH229" s="41"/>
      <c r="AI229" s="13"/>
      <c r="AJ229" s="10"/>
      <c r="AK229" s="11"/>
      <c r="AL229" s="6"/>
      <c r="AM229" s="6"/>
      <c r="AN229" s="41"/>
      <c r="AO229" s="6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</row>
    <row r="230" spans="1:53" ht="14.5">
      <c r="A230" s="41"/>
      <c r="B230" s="41"/>
      <c r="C230" s="41"/>
      <c r="D230" s="41"/>
      <c r="E230" s="41"/>
      <c r="F230" s="41"/>
      <c r="G230" s="41"/>
      <c r="H230" s="6"/>
      <c r="I230" s="5"/>
      <c r="J230" s="41"/>
      <c r="K230" s="41"/>
      <c r="L230" s="6"/>
      <c r="M230" s="41"/>
      <c r="N230" s="41"/>
      <c r="O230" s="41"/>
      <c r="P230" s="41"/>
      <c r="Q230" s="41"/>
      <c r="R230" s="41"/>
      <c r="S230" s="27"/>
      <c r="T230" s="41"/>
      <c r="U230" s="41"/>
      <c r="V230" s="41"/>
      <c r="W230" s="20"/>
      <c r="X230" s="41"/>
      <c r="Y230" s="41"/>
      <c r="Z230" s="14"/>
      <c r="AA230" s="14"/>
      <c r="AB230" s="25"/>
      <c r="AC230" s="41"/>
      <c r="AD230" s="5"/>
      <c r="AE230" s="7"/>
      <c r="AF230" s="41"/>
      <c r="AG230" s="41"/>
      <c r="AH230" s="41"/>
      <c r="AI230" s="13"/>
      <c r="AJ230" s="10"/>
      <c r="AK230" s="11"/>
      <c r="AL230" s="6"/>
      <c r="AM230" s="6"/>
      <c r="AN230" s="41"/>
      <c r="AO230" s="6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</row>
    <row r="231" spans="1:53" ht="14.5">
      <c r="A231" s="41"/>
      <c r="B231" s="41"/>
      <c r="C231" s="41"/>
      <c r="D231" s="41"/>
      <c r="E231" s="41"/>
      <c r="F231" s="41"/>
      <c r="G231" s="41"/>
      <c r="H231" s="6"/>
      <c r="I231" s="5"/>
      <c r="J231" s="41"/>
      <c r="K231" s="41"/>
      <c r="L231" s="6"/>
      <c r="M231" s="41"/>
      <c r="N231" s="41"/>
      <c r="O231" s="41"/>
      <c r="P231" s="41"/>
      <c r="Q231" s="41"/>
      <c r="R231" s="41"/>
      <c r="S231" s="27"/>
      <c r="T231" s="41"/>
      <c r="U231" s="41"/>
      <c r="V231" s="41"/>
      <c r="W231" s="20"/>
      <c r="X231" s="41"/>
      <c r="Y231" s="41"/>
      <c r="Z231" s="14"/>
      <c r="AA231" s="14"/>
      <c r="AB231" s="25"/>
      <c r="AC231" s="41"/>
      <c r="AD231" s="5"/>
      <c r="AE231" s="7"/>
      <c r="AF231" s="41"/>
      <c r="AG231" s="41"/>
      <c r="AH231" s="41"/>
      <c r="AI231" s="13"/>
      <c r="AJ231" s="10"/>
      <c r="AK231" s="11"/>
      <c r="AL231" s="6"/>
      <c r="AM231" s="6"/>
      <c r="AN231" s="41"/>
      <c r="AO231" s="6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</row>
    <row r="232" spans="1:53" ht="14.5">
      <c r="A232" s="41"/>
      <c r="B232" s="41"/>
      <c r="C232" s="41"/>
      <c r="D232" s="41"/>
      <c r="E232" s="41"/>
      <c r="F232" s="41"/>
      <c r="G232" s="41"/>
      <c r="H232" s="6"/>
      <c r="I232" s="5"/>
      <c r="J232" s="41"/>
      <c r="K232" s="41"/>
      <c r="L232" s="6"/>
      <c r="M232" s="41"/>
      <c r="N232" s="41"/>
      <c r="O232" s="41"/>
      <c r="P232" s="41"/>
      <c r="Q232" s="41"/>
      <c r="R232" s="41"/>
      <c r="S232" s="27"/>
      <c r="T232" s="41"/>
      <c r="U232" s="41"/>
      <c r="V232" s="41"/>
      <c r="W232" s="20"/>
      <c r="X232" s="41"/>
      <c r="Y232" s="41"/>
      <c r="Z232" s="14"/>
      <c r="AA232" s="14"/>
      <c r="AB232" s="25"/>
      <c r="AC232" s="41"/>
      <c r="AD232" s="5"/>
      <c r="AE232" s="7"/>
      <c r="AF232" s="41"/>
      <c r="AG232" s="41"/>
      <c r="AH232" s="41"/>
      <c r="AI232" s="13"/>
      <c r="AJ232" s="10"/>
      <c r="AK232" s="11"/>
      <c r="AL232" s="6"/>
      <c r="AM232" s="6"/>
      <c r="AN232" s="41"/>
      <c r="AO232" s="6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</row>
    <row r="233" spans="1:53" ht="14.5">
      <c r="A233" s="41"/>
      <c r="B233" s="41"/>
      <c r="C233" s="41"/>
      <c r="D233" s="41"/>
      <c r="E233" s="41"/>
      <c r="F233" s="41"/>
      <c r="G233" s="41"/>
      <c r="H233" s="6"/>
      <c r="I233" s="5"/>
      <c r="J233" s="41"/>
      <c r="K233" s="41"/>
      <c r="L233" s="6"/>
      <c r="M233" s="41"/>
      <c r="N233" s="41"/>
      <c r="O233" s="41"/>
      <c r="P233" s="41"/>
      <c r="Q233" s="41"/>
      <c r="R233" s="41"/>
      <c r="S233" s="27"/>
      <c r="T233" s="41"/>
      <c r="U233" s="41"/>
      <c r="V233" s="41"/>
      <c r="W233" s="20"/>
      <c r="X233" s="41"/>
      <c r="Y233" s="41"/>
      <c r="Z233" s="14"/>
      <c r="AA233" s="14"/>
      <c r="AB233" s="25"/>
      <c r="AC233" s="41"/>
      <c r="AD233" s="5"/>
      <c r="AE233" s="7"/>
      <c r="AF233" s="41"/>
      <c r="AG233" s="41"/>
      <c r="AH233" s="41"/>
      <c r="AI233" s="13"/>
      <c r="AJ233" s="10"/>
      <c r="AK233" s="11"/>
      <c r="AL233" s="6"/>
      <c r="AM233" s="6"/>
      <c r="AN233" s="41"/>
      <c r="AO233" s="6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</row>
    <row r="234" spans="1:53" ht="14.5">
      <c r="A234" s="41"/>
      <c r="B234" s="41"/>
      <c r="C234" s="41"/>
      <c r="D234" s="41"/>
      <c r="E234" s="41"/>
      <c r="F234" s="41"/>
      <c r="G234" s="41"/>
      <c r="H234" s="6"/>
      <c r="I234" s="5"/>
      <c r="J234" s="41"/>
      <c r="K234" s="41"/>
      <c r="L234" s="6"/>
      <c r="M234" s="41"/>
      <c r="N234" s="41"/>
      <c r="O234" s="41"/>
      <c r="P234" s="41"/>
      <c r="Q234" s="41"/>
      <c r="R234" s="41"/>
      <c r="S234" s="27"/>
      <c r="T234" s="41"/>
      <c r="U234" s="41"/>
      <c r="V234" s="41"/>
      <c r="W234" s="20"/>
      <c r="X234" s="41"/>
      <c r="Y234" s="41"/>
      <c r="Z234" s="14"/>
      <c r="AA234" s="14"/>
      <c r="AB234" s="25"/>
      <c r="AC234" s="41"/>
      <c r="AD234" s="5"/>
      <c r="AE234" s="7"/>
      <c r="AF234" s="41"/>
      <c r="AG234" s="41"/>
      <c r="AH234" s="41"/>
      <c r="AI234" s="13"/>
      <c r="AJ234" s="10"/>
      <c r="AK234" s="11"/>
      <c r="AL234" s="6"/>
      <c r="AM234" s="6"/>
      <c r="AN234" s="41"/>
      <c r="AO234" s="6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</row>
    <row r="235" spans="1:53" ht="14.5">
      <c r="A235" s="41"/>
      <c r="B235" s="41"/>
      <c r="C235" s="41"/>
      <c r="D235" s="41"/>
      <c r="E235" s="41"/>
      <c r="F235" s="41"/>
      <c r="G235" s="41"/>
      <c r="H235" s="6"/>
      <c r="I235" s="5"/>
      <c r="J235" s="41"/>
      <c r="K235" s="41"/>
      <c r="L235" s="6"/>
      <c r="M235" s="41"/>
      <c r="N235" s="41"/>
      <c r="O235" s="41"/>
      <c r="P235" s="41"/>
      <c r="Q235" s="41"/>
      <c r="R235" s="41"/>
      <c r="S235" s="27"/>
      <c r="T235" s="41"/>
      <c r="U235" s="41"/>
      <c r="V235" s="41"/>
      <c r="W235" s="20"/>
      <c r="X235" s="41"/>
      <c r="Y235" s="41"/>
      <c r="Z235" s="14"/>
      <c r="AA235" s="14"/>
      <c r="AB235" s="25"/>
      <c r="AC235" s="41"/>
      <c r="AD235" s="5"/>
      <c r="AE235" s="7"/>
      <c r="AF235" s="41"/>
      <c r="AG235" s="41"/>
      <c r="AH235" s="41"/>
      <c r="AI235" s="13"/>
      <c r="AJ235" s="10"/>
      <c r="AK235" s="11"/>
      <c r="AL235" s="6"/>
      <c r="AM235" s="6"/>
      <c r="AN235" s="41"/>
      <c r="AO235" s="6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</row>
    <row r="236" spans="1:53" ht="14.5">
      <c r="A236" s="41"/>
      <c r="B236" s="41"/>
      <c r="C236" s="41"/>
      <c r="D236" s="41"/>
      <c r="E236" s="41"/>
      <c r="F236" s="41"/>
      <c r="G236" s="41"/>
      <c r="H236" s="6"/>
      <c r="I236" s="5"/>
      <c r="J236" s="41"/>
      <c r="K236" s="41"/>
      <c r="L236" s="6"/>
      <c r="M236" s="41"/>
      <c r="N236" s="41"/>
      <c r="O236" s="41"/>
      <c r="P236" s="41"/>
      <c r="Q236" s="41"/>
      <c r="R236" s="41"/>
      <c r="S236" s="27"/>
      <c r="T236" s="41"/>
      <c r="U236" s="41"/>
      <c r="V236" s="41"/>
      <c r="W236" s="20"/>
      <c r="X236" s="41"/>
      <c r="Y236" s="41"/>
      <c r="Z236" s="14"/>
      <c r="AA236" s="14"/>
      <c r="AB236" s="25"/>
      <c r="AC236" s="41"/>
      <c r="AD236" s="5"/>
      <c r="AE236" s="7"/>
      <c r="AF236" s="41"/>
      <c r="AG236" s="41"/>
      <c r="AH236" s="41"/>
      <c r="AI236" s="13"/>
      <c r="AJ236" s="10"/>
      <c r="AK236" s="11"/>
      <c r="AL236" s="6"/>
      <c r="AM236" s="6"/>
      <c r="AN236" s="41"/>
      <c r="AO236" s="6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</row>
    <row r="237" spans="1:53" ht="14.5">
      <c r="A237" s="41"/>
      <c r="B237" s="41"/>
      <c r="C237" s="41"/>
      <c r="D237" s="41"/>
      <c r="E237" s="41"/>
      <c r="F237" s="41"/>
      <c r="G237" s="41"/>
      <c r="H237" s="6"/>
      <c r="I237" s="5"/>
      <c r="J237" s="41"/>
      <c r="K237" s="41"/>
      <c r="L237" s="6"/>
      <c r="M237" s="41"/>
      <c r="N237" s="41"/>
      <c r="O237" s="41"/>
      <c r="P237" s="41"/>
      <c r="Q237" s="41"/>
      <c r="R237" s="41"/>
      <c r="S237" s="27"/>
      <c r="T237" s="41"/>
      <c r="U237" s="41"/>
      <c r="V237" s="41"/>
      <c r="W237" s="20"/>
      <c r="X237" s="41"/>
      <c r="Y237" s="41"/>
      <c r="Z237" s="14"/>
      <c r="AA237" s="14"/>
      <c r="AB237" s="25"/>
      <c r="AC237" s="41"/>
      <c r="AD237" s="5"/>
      <c r="AE237" s="7"/>
      <c r="AF237" s="41"/>
      <c r="AG237" s="41"/>
      <c r="AH237" s="41"/>
      <c r="AI237" s="13"/>
      <c r="AJ237" s="10"/>
      <c r="AK237" s="11"/>
      <c r="AL237" s="6"/>
      <c r="AM237" s="6"/>
      <c r="AN237" s="41"/>
      <c r="AO237" s="6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</row>
    <row r="238" spans="1:53" ht="14.5">
      <c r="A238" s="41"/>
      <c r="B238" s="41"/>
      <c r="C238" s="41"/>
      <c r="D238" s="41"/>
      <c r="E238" s="41"/>
      <c r="F238" s="41"/>
      <c r="G238" s="41"/>
      <c r="H238" s="6"/>
      <c r="I238" s="5"/>
      <c r="J238" s="41"/>
      <c r="K238" s="41"/>
      <c r="L238" s="6"/>
      <c r="M238" s="41"/>
      <c r="N238" s="41"/>
      <c r="O238" s="41"/>
      <c r="P238" s="41"/>
      <c r="Q238" s="41"/>
      <c r="R238" s="41"/>
      <c r="S238" s="27"/>
      <c r="T238" s="41"/>
      <c r="U238" s="41"/>
      <c r="V238" s="41"/>
      <c r="W238" s="20"/>
      <c r="X238" s="41"/>
      <c r="Y238" s="41"/>
      <c r="Z238" s="14"/>
      <c r="AA238" s="14"/>
      <c r="AB238" s="25"/>
      <c r="AC238" s="41"/>
      <c r="AD238" s="5"/>
      <c r="AE238" s="7"/>
      <c r="AF238" s="41"/>
      <c r="AG238" s="41"/>
      <c r="AH238" s="41"/>
      <c r="AI238" s="13"/>
      <c r="AJ238" s="10"/>
      <c r="AK238" s="11"/>
      <c r="AL238" s="6"/>
      <c r="AM238" s="6"/>
      <c r="AN238" s="41"/>
      <c r="AO238" s="6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</row>
    <row r="239" spans="1:53" ht="14.5">
      <c r="A239" s="41"/>
      <c r="B239" s="41"/>
      <c r="C239" s="41"/>
      <c r="D239" s="41"/>
      <c r="E239" s="41"/>
      <c r="F239" s="41"/>
      <c r="G239" s="41"/>
      <c r="H239" s="6"/>
      <c r="I239" s="5"/>
      <c r="J239" s="41"/>
      <c r="K239" s="41"/>
      <c r="L239" s="6"/>
      <c r="M239" s="41"/>
      <c r="N239" s="41"/>
      <c r="O239" s="41"/>
      <c r="P239" s="41"/>
      <c r="Q239" s="41"/>
      <c r="R239" s="41"/>
      <c r="S239" s="27"/>
      <c r="T239" s="41"/>
      <c r="U239" s="41"/>
      <c r="V239" s="41"/>
      <c r="W239" s="20"/>
      <c r="X239" s="41"/>
      <c r="Y239" s="41"/>
      <c r="Z239" s="14"/>
      <c r="AA239" s="14"/>
      <c r="AB239" s="25"/>
      <c r="AC239" s="41"/>
      <c r="AD239" s="5"/>
      <c r="AE239" s="7"/>
      <c r="AF239" s="41"/>
      <c r="AG239" s="41"/>
      <c r="AH239" s="41"/>
      <c r="AI239" s="13"/>
      <c r="AJ239" s="10"/>
      <c r="AK239" s="11"/>
      <c r="AL239" s="6"/>
      <c r="AM239" s="6"/>
      <c r="AN239" s="41"/>
      <c r="AO239" s="6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</row>
    <row r="240" spans="1:53" ht="14.5">
      <c r="AB240" s="38"/>
      <c r="AI240" s="2"/>
    </row>
    <row r="241" spans="1:49" ht="14.5">
      <c r="AB241" s="38"/>
      <c r="AI241" s="2"/>
    </row>
    <row r="242" spans="1:49" ht="14.5">
      <c r="AB242" s="38"/>
      <c r="AI242" s="2"/>
    </row>
    <row r="243" spans="1:49" ht="14.5">
      <c r="AB243" s="38"/>
      <c r="AI243" s="2"/>
    </row>
    <row r="244" spans="1:49" ht="14.5">
      <c r="AB244" s="38"/>
      <c r="AI244" s="2"/>
    </row>
    <row r="245" spans="1:49" ht="14.5">
      <c r="AB245" s="38"/>
      <c r="AI245" s="2"/>
    </row>
    <row r="246" spans="1:49" ht="14.5">
      <c r="AB246" s="38"/>
      <c r="AI246" s="2"/>
    </row>
    <row r="247" spans="1:49" ht="14.5">
      <c r="AB247" s="38"/>
      <c r="AI247" s="2"/>
    </row>
    <row r="248" spans="1:49" ht="14.5">
      <c r="AB248" s="38"/>
      <c r="AI248" s="2"/>
    </row>
    <row r="249" spans="1:49" ht="14.5">
      <c r="AB249" s="38"/>
      <c r="AI249" s="2"/>
    </row>
    <row r="250" spans="1:49" ht="14.5">
      <c r="AB250" s="38"/>
      <c r="AI250" s="2"/>
    </row>
    <row r="251" spans="1:49" ht="14.5">
      <c r="AB251" s="38"/>
      <c r="AI251" s="2"/>
    </row>
    <row r="252" spans="1:49" ht="14.5">
      <c r="AB252" s="38"/>
      <c r="AI252" s="2"/>
    </row>
    <row r="253" spans="1:49" ht="14.5">
      <c r="AB253" s="38"/>
      <c r="AI253" s="2"/>
    </row>
    <row r="254" spans="1:49" ht="14.5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2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5"/>
      <c r="AC254" s="43"/>
      <c r="AD254" s="42"/>
      <c r="AE254" s="43"/>
      <c r="AF254" s="43"/>
      <c r="AG254" s="43"/>
      <c r="AH254" s="43"/>
      <c r="AI254" s="45"/>
      <c r="AJ254" s="43"/>
      <c r="AK254" s="43"/>
      <c r="AL254" s="42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</row>
    <row r="255" spans="1:49" ht="14.5">
      <c r="A255" s="26"/>
      <c r="B255" s="29"/>
      <c r="K255" s="26"/>
      <c r="L255" s="26"/>
      <c r="AB255" s="38"/>
      <c r="AI255" s="2"/>
      <c r="AN255" s="48"/>
    </row>
    <row r="256" spans="1:49" ht="14.5">
      <c r="D256" s="39"/>
      <c r="E256" s="39"/>
      <c r="F256" s="39"/>
      <c r="G256" s="39"/>
      <c r="H256" s="39"/>
      <c r="I256" s="7"/>
      <c r="K256" s="7"/>
    </row>
    <row r="257" spans="1:11" ht="14.5">
      <c r="A257" s="46"/>
      <c r="B257" s="46"/>
      <c r="C257" s="46"/>
    </row>
    <row r="258" spans="1:11" ht="14.5">
      <c r="A258" s="46"/>
      <c r="B258" s="46"/>
      <c r="C258" s="46"/>
    </row>
    <row r="259" spans="1:11" ht="14.5">
      <c r="A259" s="46"/>
      <c r="B259" s="46"/>
      <c r="C259" s="46"/>
      <c r="K259" s="7"/>
    </row>
    <row r="260" spans="1:11" ht="14.5">
      <c r="A260" s="47"/>
      <c r="B260" s="46"/>
    </row>
    <row r="261" spans="1:11" ht="14.5">
      <c r="A261" s="47"/>
      <c r="B261" s="46"/>
    </row>
    <row r="262" spans="1:11" ht="14.5">
      <c r="A262" s="47"/>
      <c r="B262" s="47"/>
    </row>
    <row r="263" spans="1:11" ht="14.5">
      <c r="A263" s="7"/>
    </row>
    <row r="279" spans="4:35" ht="14.5">
      <c r="D279" s="68"/>
      <c r="E279" s="68"/>
      <c r="F279" s="49"/>
      <c r="G279" s="68"/>
      <c r="H279" s="68"/>
      <c r="I279" s="68"/>
      <c r="J279" s="68"/>
    </row>
    <row r="280" spans="4:35" ht="14.5">
      <c r="D280" s="68"/>
      <c r="E280" s="68"/>
      <c r="F280" s="49"/>
      <c r="G280" s="68"/>
      <c r="H280" s="68"/>
      <c r="I280" s="68"/>
      <c r="J280" s="68"/>
    </row>
    <row r="281" spans="4:35" ht="14.5">
      <c r="D281" s="68"/>
      <c r="E281" s="68"/>
      <c r="F281" s="49"/>
      <c r="G281" s="68"/>
      <c r="H281" s="68"/>
      <c r="I281" s="68"/>
      <c r="J281" s="68"/>
      <c r="AB281" s="38"/>
      <c r="AI281" s="2"/>
    </row>
    <row r="282" spans="4:35" ht="14.5">
      <c r="D282" s="68"/>
      <c r="E282" s="68"/>
      <c r="F282" s="49"/>
      <c r="G282" s="68"/>
      <c r="H282" s="68"/>
      <c r="I282" s="68"/>
      <c r="J282" s="68"/>
      <c r="AB282" s="38"/>
      <c r="AI282" s="2"/>
    </row>
    <row r="283" spans="4:35" ht="14.5">
      <c r="D283" s="68"/>
      <c r="E283" s="68"/>
      <c r="F283" s="49"/>
      <c r="G283" s="68"/>
      <c r="H283" s="68"/>
      <c r="I283" s="68"/>
      <c r="J283" s="68"/>
      <c r="AB283" s="38"/>
      <c r="AI283" s="2"/>
    </row>
    <row r="284" spans="4:35" ht="14.5">
      <c r="AB284" s="38"/>
      <c r="AI284" s="2"/>
    </row>
    <row r="285" spans="4:35" ht="14.5">
      <c r="H285" s="34"/>
      <c r="AB285" s="38"/>
      <c r="AI285" s="2"/>
    </row>
    <row r="286" spans="4:35" ht="14.5">
      <c r="H286" s="7"/>
      <c r="AB286" s="38"/>
      <c r="AI286" s="2"/>
    </row>
    <row r="287" spans="4:35" ht="14.5">
      <c r="H287" s="7"/>
      <c r="AB287" s="38"/>
      <c r="AI287" s="2"/>
    </row>
    <row r="288" spans="4:35" ht="14.5">
      <c r="H288" s="7"/>
      <c r="I288" s="68"/>
      <c r="L288" s="49"/>
      <c r="AB288" s="38"/>
      <c r="AI288" s="2"/>
    </row>
    <row r="289" spans="1:49" ht="14.5">
      <c r="H289" s="6"/>
      <c r="I289" s="5"/>
      <c r="J289" s="6"/>
      <c r="K289" s="51"/>
      <c r="L289" s="51"/>
      <c r="M289" s="51"/>
      <c r="AB289" s="38"/>
      <c r="AI289" s="2"/>
    </row>
    <row r="290" spans="1:49" ht="14.5">
      <c r="AB290" s="38"/>
      <c r="AI290" s="2"/>
    </row>
    <row r="291" spans="1:49" ht="14.5">
      <c r="AB291" s="38"/>
      <c r="AI291" s="2"/>
    </row>
    <row r="292" spans="1:49" ht="14.5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2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5"/>
      <c r="AC292" s="43"/>
      <c r="AD292" s="42"/>
      <c r="AE292" s="43"/>
      <c r="AF292" s="43"/>
      <c r="AG292" s="43"/>
      <c r="AH292" s="43"/>
      <c r="AI292" s="45"/>
      <c r="AJ292" s="43"/>
      <c r="AK292" s="43"/>
      <c r="AL292" s="42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</row>
    <row r="293" spans="1:49" ht="14.5">
      <c r="A293" s="26"/>
      <c r="AB293" s="38"/>
      <c r="AI293" s="2"/>
    </row>
    <row r="294" spans="1:49" ht="14.5">
      <c r="D294" s="39"/>
      <c r="E294" s="39"/>
      <c r="F294" s="39"/>
      <c r="G294" s="39"/>
      <c r="H294" s="39"/>
      <c r="I294" s="6"/>
      <c r="AB294" s="38"/>
      <c r="AI294" s="2"/>
    </row>
    <row r="295" spans="1:49" ht="14.5">
      <c r="AB295" s="38"/>
      <c r="AI295" s="2"/>
    </row>
    <row r="296" spans="1:49" ht="14.5">
      <c r="AB296" s="38"/>
      <c r="AI296" s="2"/>
    </row>
    <row r="297" spans="1:49" ht="14.5">
      <c r="AB297" s="38"/>
      <c r="AI297" s="2"/>
    </row>
    <row r="298" spans="1:49" ht="14.5">
      <c r="AB298" s="38"/>
      <c r="AI298" s="2"/>
    </row>
    <row r="299" spans="1:49" ht="14.5">
      <c r="AB299" s="38"/>
      <c r="AI299" s="2"/>
    </row>
    <row r="300" spans="1:49" ht="14.5">
      <c r="AB300" s="38"/>
      <c r="AI300" s="2"/>
    </row>
    <row r="301" spans="1:49" ht="14.5">
      <c r="A301" s="6"/>
      <c r="AB301" s="38"/>
      <c r="AI301" s="2"/>
    </row>
    <row r="302" spans="1:49" ht="14.5">
      <c r="AB302" s="38"/>
      <c r="AI302" s="2"/>
    </row>
    <row r="303" spans="1:49" ht="14.5">
      <c r="AB303" s="38"/>
      <c r="AI303" s="2"/>
    </row>
    <row r="304" spans="1:49" ht="14.5">
      <c r="A304" s="46"/>
      <c r="B304" s="46"/>
      <c r="C304" s="46"/>
      <c r="AB304" s="38"/>
      <c r="AI304" s="2"/>
    </row>
    <row r="305" spans="1:53" ht="14.5">
      <c r="A305" s="46"/>
      <c r="B305" s="46"/>
      <c r="C305" s="46"/>
      <c r="AB305" s="38"/>
      <c r="AI305" s="2"/>
    </row>
    <row r="306" spans="1:53" ht="14.5">
      <c r="A306" s="46"/>
      <c r="B306" s="46"/>
      <c r="C306" s="46"/>
      <c r="AB306" s="38"/>
      <c r="AI306" s="2"/>
    </row>
    <row r="307" spans="1:53" ht="14.5">
      <c r="A307" s="47"/>
      <c r="B307" s="46"/>
      <c r="AB307" s="38"/>
      <c r="AI307" s="2"/>
    </row>
    <row r="308" spans="1:53" ht="14.5">
      <c r="A308" s="47"/>
      <c r="B308" s="46"/>
      <c r="AB308" s="38"/>
      <c r="AI308" s="2"/>
    </row>
    <row r="309" spans="1:53" ht="14.5">
      <c r="A309" s="47"/>
      <c r="B309" s="46"/>
      <c r="AB309" s="38"/>
      <c r="AI309" s="2"/>
    </row>
    <row r="310" spans="1:53" ht="14.5">
      <c r="A310" s="47"/>
      <c r="B310" s="47"/>
    </row>
    <row r="311" spans="1:53" ht="14.5">
      <c r="L311" s="2"/>
      <c r="M311" s="2"/>
      <c r="AQ311" s="15"/>
      <c r="AR311" s="16"/>
      <c r="AS311" s="16"/>
      <c r="AT311" s="17"/>
      <c r="AU311" s="18"/>
      <c r="AV311" s="18"/>
      <c r="AW311" s="19"/>
      <c r="AX311" s="19"/>
      <c r="AY311" s="19"/>
      <c r="AZ311" s="19"/>
      <c r="BA311" s="19"/>
    </row>
    <row r="313" spans="1:53" ht="14.5">
      <c r="AB313" s="38"/>
      <c r="AI313" s="2"/>
    </row>
    <row r="314" spans="1:53" ht="14.5">
      <c r="AB314" s="38"/>
      <c r="AI314" s="2"/>
    </row>
    <row r="315" spans="1:53" ht="14.5">
      <c r="AB315" s="38"/>
      <c r="AI315" s="2"/>
    </row>
    <row r="316" spans="1:53" ht="14.5">
      <c r="AB316" s="38"/>
      <c r="AI316" s="2"/>
    </row>
    <row r="317" spans="1:53" ht="14.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21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59"/>
      <c r="AC317" s="32"/>
      <c r="AD317" s="21"/>
      <c r="AE317" s="32"/>
      <c r="AF317" s="32"/>
      <c r="AG317" s="32"/>
      <c r="AH317" s="32"/>
      <c r="AI317" s="59"/>
      <c r="AJ317" s="32"/>
      <c r="AK317" s="32"/>
      <c r="AL317" s="21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</row>
  </sheetData>
  <mergeCells count="1">
    <mergeCell ref="A1:B1"/>
  </mergeCells>
  <conditionalFormatting sqref="AD147:AG152 AD253:AG253 AD255:AG291 AD293:AG316 AD342:AG1189 AD19:AG19 V1:Y18">
    <cfRule type="notContainsBlanks" dxfId="1" priority="1">
      <formula>LEN(TRIM(V1))&gt;0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A258C-0D90-4DE9-9021-20B029778476}">
  <sheetPr>
    <outlinePr summaryBelow="0" summaryRight="0"/>
  </sheetPr>
  <dimension ref="A1:BD1084"/>
  <sheetViews>
    <sheetView topLeftCell="L1" zoomScale="60" zoomScaleNormal="60" workbookViewId="0">
      <selection activeCell="Z6" sqref="Z6"/>
    </sheetView>
  </sheetViews>
  <sheetFormatPr defaultColWidth="12.6640625" defaultRowHeight="15" customHeight="1"/>
  <cols>
    <col min="1" max="1" width="14" style="179" customWidth="1"/>
    <col min="2" max="16384" width="12.6640625" style="179"/>
  </cols>
  <sheetData>
    <row r="1" spans="1:42" ht="14.5">
      <c r="A1" s="181" t="s">
        <v>70</v>
      </c>
      <c r="B1" s="182"/>
      <c r="C1" s="26"/>
      <c r="D1" s="70" t="s">
        <v>71</v>
      </c>
      <c r="E1" s="32" t="e">
        <f ca="1">1.1*Z23</f>
        <v>#NUM!</v>
      </c>
      <c r="G1" s="70" t="s">
        <v>72</v>
      </c>
      <c r="H1" s="32" t="e">
        <f ca="1">1.15*Z23</f>
        <v>#NUM!</v>
      </c>
      <c r="J1" s="70" t="s">
        <v>249</v>
      </c>
      <c r="K1" s="32" t="e">
        <f ca="1">1.2*Z23</f>
        <v>#NUM!</v>
      </c>
      <c r="AC1" s="3"/>
      <c r="AD1" s="3"/>
      <c r="AP1" s="145"/>
    </row>
    <row r="2" spans="1:42" ht="14.5">
      <c r="A2" s="26" t="s">
        <v>74</v>
      </c>
      <c r="M2" s="21"/>
      <c r="N2" s="61"/>
      <c r="AC2" s="3"/>
      <c r="AD2" s="3"/>
      <c r="AP2" s="145"/>
    </row>
    <row r="3" spans="1:42" thickBot="1">
      <c r="A3" s="21" t="s">
        <v>76</v>
      </c>
      <c r="B3" s="21">
        <v>230</v>
      </c>
      <c r="D3" s="26" t="s">
        <v>1</v>
      </c>
      <c r="E3" s="32" t="e">
        <f ca="1">E193</f>
        <v>#NUM!</v>
      </c>
      <c r="F3" s="21" t="s">
        <v>49</v>
      </c>
      <c r="G3" s="26" t="s">
        <v>199</v>
      </c>
      <c r="H3" s="21">
        <v>755</v>
      </c>
      <c r="M3" s="21"/>
      <c r="N3" s="61"/>
      <c r="S3" s="75" t="s">
        <v>284</v>
      </c>
      <c r="T3" s="131" t="s">
        <v>286</v>
      </c>
      <c r="U3" s="131" t="s">
        <v>83</v>
      </c>
      <c r="AC3" s="3"/>
      <c r="AD3" s="3"/>
      <c r="AP3" s="145"/>
    </row>
    <row r="4" spans="1:42" ht="19.5" thickBot="1">
      <c r="A4" s="21" t="s">
        <v>12</v>
      </c>
      <c r="B4" s="21">
        <f>U9/B3</f>
        <v>5.5269412880887687</v>
      </c>
      <c r="D4" s="26" t="s">
        <v>200</v>
      </c>
      <c r="E4" s="21">
        <f ca="1">B93-B48</f>
        <v>2.7024086687891038</v>
      </c>
      <c r="G4" s="26" t="s">
        <v>201</v>
      </c>
      <c r="H4" s="21">
        <v>1017</v>
      </c>
      <c r="M4" s="21"/>
      <c r="N4" s="21"/>
      <c r="S4" s="131" t="s">
        <v>285</v>
      </c>
      <c r="T4" s="150">
        <v>79254.356807799995</v>
      </c>
      <c r="U4" s="179">
        <f>T4/144</f>
        <v>550.37747783194436</v>
      </c>
      <c r="X4" s="158" t="s">
        <v>308</v>
      </c>
      <c r="Y4" s="158" t="s">
        <v>309</v>
      </c>
      <c r="Z4" s="158" t="s">
        <v>310</v>
      </c>
      <c r="AA4" s="158" t="s">
        <v>311</v>
      </c>
      <c r="AB4" s="158" t="s">
        <v>312</v>
      </c>
      <c r="AC4" s="158" t="s">
        <v>313</v>
      </c>
      <c r="AD4" s="158" t="s">
        <v>314</v>
      </c>
      <c r="AE4" s="158" t="s">
        <v>315</v>
      </c>
      <c r="AF4" s="158" t="s">
        <v>316</v>
      </c>
      <c r="AG4" s="158" t="s">
        <v>317</v>
      </c>
      <c r="AP4" s="145"/>
    </row>
    <row r="5" spans="1:42" ht="19.5" thickBot="1">
      <c r="A5" s="21" t="s">
        <v>11</v>
      </c>
      <c r="B5" s="21">
        <v>0.84</v>
      </c>
      <c r="M5" s="21"/>
      <c r="S5" s="131" t="s">
        <v>287</v>
      </c>
      <c r="T5" s="150">
        <v>14021.6390302</v>
      </c>
      <c r="U5" s="179">
        <f t="shared" ref="U5:U9" si="0">T5/144</f>
        <v>97.372493265277782</v>
      </c>
      <c r="X5" s="153">
        <v>0</v>
      </c>
      <c r="Y5" s="153">
        <v>0.71989999999999998</v>
      </c>
      <c r="Z5" s="153">
        <v>0.71209999999999996</v>
      </c>
      <c r="AA5" s="166">
        <v>0.70689999999999997</v>
      </c>
      <c r="AB5" s="153">
        <v>0.69389999999999996</v>
      </c>
      <c r="AC5" s="153">
        <v>0.67789999999999995</v>
      </c>
      <c r="AD5" s="153">
        <v>0.67390000000000005</v>
      </c>
      <c r="AE5" s="153">
        <v>0.67310000000000003</v>
      </c>
      <c r="AF5" s="153">
        <v>0.67190000000000005</v>
      </c>
      <c r="AG5" s="153">
        <v>0.66990000000000005</v>
      </c>
      <c r="AP5" s="145"/>
    </row>
    <row r="6" spans="1:42" ht="19.5" thickBot="1">
      <c r="A6" s="21" t="s">
        <v>10</v>
      </c>
      <c r="B6" s="30">
        <v>6</v>
      </c>
      <c r="D6" s="26" t="s">
        <v>86</v>
      </c>
      <c r="G6" s="26" t="s">
        <v>87</v>
      </c>
      <c r="J6" s="70" t="s">
        <v>90</v>
      </c>
      <c r="K6" s="78">
        <v>9120</v>
      </c>
      <c r="M6" s="75" t="s">
        <v>219</v>
      </c>
      <c r="N6" s="179">
        <v>50.8</v>
      </c>
      <c r="O6" s="179" t="s">
        <v>220</v>
      </c>
      <c r="P6" s="75" t="s">
        <v>266</v>
      </c>
      <c r="Q6" s="179" t="e">
        <f ca="1">H18/N6</f>
        <v>#NUM!</v>
      </c>
      <c r="S6" s="131" t="s">
        <v>288</v>
      </c>
      <c r="T6" s="150">
        <v>10100.623521699999</v>
      </c>
      <c r="U6" s="179">
        <f t="shared" si="0"/>
        <v>70.143218900694436</v>
      </c>
      <c r="X6" s="153">
        <v>0.1</v>
      </c>
      <c r="Y6" s="153">
        <v>0.74590000000000001</v>
      </c>
      <c r="Z6" s="153">
        <v>0.73870000000000002</v>
      </c>
      <c r="AA6" s="166">
        <v>0.7339</v>
      </c>
      <c r="AB6" s="153">
        <v>0.72189999999999999</v>
      </c>
      <c r="AC6" s="153">
        <v>0.70109999999999995</v>
      </c>
      <c r="AD6" s="153">
        <v>0.69589999999999996</v>
      </c>
      <c r="AE6" s="153">
        <v>0.69469999999999998</v>
      </c>
      <c r="AF6" s="153">
        <v>0.69289999999999996</v>
      </c>
      <c r="AG6" s="153">
        <v>0.68989999999999996</v>
      </c>
      <c r="AP6" s="145"/>
    </row>
    <row r="7" spans="1:42" ht="16" customHeight="1" thickBot="1">
      <c r="A7" s="76" t="s">
        <v>84</v>
      </c>
      <c r="B7" s="76">
        <f>77.04843221/12</f>
        <v>6.4207026841666668</v>
      </c>
      <c r="D7" s="21" t="s">
        <v>19</v>
      </c>
      <c r="E7" s="31">
        <v>0.2</v>
      </c>
      <c r="G7" s="62" t="s">
        <v>19</v>
      </c>
      <c r="H7" s="31">
        <v>0.2</v>
      </c>
      <c r="J7" s="70" t="s">
        <v>93</v>
      </c>
      <c r="K7" s="21">
        <v>3000</v>
      </c>
      <c r="M7" s="75" t="s">
        <v>221</v>
      </c>
      <c r="N7" s="179" t="e">
        <f ca="1">(H18/N6)*1.08</f>
        <v>#NUM!</v>
      </c>
      <c r="O7" s="131" t="s">
        <v>247</v>
      </c>
      <c r="P7" s="75" t="s">
        <v>267</v>
      </c>
      <c r="Q7" s="179">
        <f>N9*N6</f>
        <v>5907.4304000000002</v>
      </c>
      <c r="R7" s="131" t="s">
        <v>78</v>
      </c>
      <c r="S7" s="131" t="s">
        <v>289</v>
      </c>
      <c r="T7" s="150">
        <v>68456.873772699997</v>
      </c>
      <c r="U7" s="179">
        <f t="shared" si="0"/>
        <v>475.39495675486108</v>
      </c>
      <c r="X7" s="153">
        <v>0.2</v>
      </c>
      <c r="Y7" s="153">
        <v>0.77390000000000003</v>
      </c>
      <c r="Z7" s="153">
        <v>0.7661</v>
      </c>
      <c r="AA7" s="166">
        <v>0.76090000000000002</v>
      </c>
      <c r="AB7" s="153">
        <v>0.74790000000000001</v>
      </c>
      <c r="AC7" s="153">
        <v>0.72709999999999997</v>
      </c>
      <c r="AD7" s="153">
        <v>0.72189999999999999</v>
      </c>
      <c r="AE7" s="153">
        <v>0.71989999999999998</v>
      </c>
      <c r="AF7" s="153">
        <v>0.71689999999999998</v>
      </c>
      <c r="AG7" s="153">
        <v>0.71189999999999998</v>
      </c>
      <c r="AP7" s="145"/>
    </row>
    <row r="8" spans="1:42" ht="15" customHeight="1" thickBot="1">
      <c r="A8" s="76" t="s">
        <v>15</v>
      </c>
      <c r="B8" s="21">
        <f>1/(PI()*B6*B5)</f>
        <v>6.3156723449164814E-2</v>
      </c>
      <c r="D8" s="21" t="s">
        <v>92</v>
      </c>
      <c r="E8" s="21">
        <v>5</v>
      </c>
      <c r="F8" s="21" t="s">
        <v>21</v>
      </c>
      <c r="G8" s="62" t="s">
        <v>92</v>
      </c>
      <c r="H8" s="62">
        <v>5</v>
      </c>
      <c r="I8" s="21" t="s">
        <v>21</v>
      </c>
      <c r="J8" s="70" t="s">
        <v>95</v>
      </c>
      <c r="K8" s="32" t="e">
        <f ca="1">H17</f>
        <v>#NUM!</v>
      </c>
      <c r="M8" s="75" t="s">
        <v>248</v>
      </c>
      <c r="N8" s="179">
        <f>K6-700</f>
        <v>8420</v>
      </c>
      <c r="O8" s="131" t="s">
        <v>78</v>
      </c>
      <c r="S8" s="131" t="s">
        <v>290</v>
      </c>
      <c r="T8" s="150">
        <v>11218.802329100001</v>
      </c>
      <c r="U8" s="179">
        <f t="shared" si="0"/>
        <v>77.908349507638889</v>
      </c>
      <c r="X8" s="153">
        <v>0.3</v>
      </c>
      <c r="Y8" s="153">
        <v>0.80589999999999995</v>
      </c>
      <c r="Z8" s="153">
        <v>0.79690000000000005</v>
      </c>
      <c r="AA8" s="166">
        <v>0.79090000000000005</v>
      </c>
      <c r="AB8" s="153">
        <v>0.77590000000000003</v>
      </c>
      <c r="AC8" s="153">
        <v>0.75349999999999995</v>
      </c>
      <c r="AD8" s="153">
        <v>0.74790000000000001</v>
      </c>
      <c r="AE8" s="153">
        <v>0.74550000000000005</v>
      </c>
      <c r="AF8" s="153">
        <v>0.7419</v>
      </c>
      <c r="AG8" s="153">
        <v>0.7359</v>
      </c>
      <c r="AP8" s="145"/>
    </row>
    <row r="9" spans="1:42" thickBot="1">
      <c r="A9" s="26" t="s">
        <v>89</v>
      </c>
      <c r="D9" s="21" t="s">
        <v>14</v>
      </c>
      <c r="E9" s="32">
        <f>($B$15*$E$7*$B$14*(5/60))</f>
        <v>81.64</v>
      </c>
      <c r="F9" s="21" t="s">
        <v>78</v>
      </c>
      <c r="G9" s="62" t="s">
        <v>14</v>
      </c>
      <c r="H9" s="32">
        <f>($B$15*$E$7*$B$14*(5/60))</f>
        <v>81.64</v>
      </c>
      <c r="I9" s="62" t="s">
        <v>78</v>
      </c>
      <c r="J9" s="70" t="s">
        <v>195</v>
      </c>
      <c r="K9" s="32" t="e">
        <f ca="1">SUM(K6:K8)</f>
        <v>#NUM!</v>
      </c>
      <c r="M9" s="75" t="s">
        <v>250</v>
      </c>
      <c r="N9" s="179">
        <f>126.4*0.92</f>
        <v>116.28800000000001</v>
      </c>
      <c r="O9" s="131" t="s">
        <v>247</v>
      </c>
      <c r="P9" s="131" t="s">
        <v>319</v>
      </c>
      <c r="Q9" s="179" t="e">
        <f ca="1">N9-Q6</f>
        <v>#NUM!</v>
      </c>
      <c r="S9" s="131" t="s">
        <v>291</v>
      </c>
      <c r="T9" s="179">
        <f>SUM(T4:T8)</f>
        <v>183052.29546150001</v>
      </c>
      <c r="U9" s="179">
        <f t="shared" si="0"/>
        <v>1271.1964962604168</v>
      </c>
      <c r="X9" s="153">
        <v>0.4</v>
      </c>
      <c r="Y9" s="153">
        <v>0.83589999999999998</v>
      </c>
      <c r="Z9" s="153">
        <v>0.82689999999999997</v>
      </c>
      <c r="AA9" s="166">
        <v>0.82089999999999996</v>
      </c>
      <c r="AB9" s="153">
        <v>0.80589999999999995</v>
      </c>
      <c r="AC9" s="153">
        <v>0.78349999999999997</v>
      </c>
      <c r="AD9" s="153">
        <v>0.77790000000000004</v>
      </c>
      <c r="AE9" s="153">
        <v>0.77390000000000003</v>
      </c>
      <c r="AF9" s="153">
        <v>0.76790000000000003</v>
      </c>
      <c r="AG9" s="153">
        <v>0.75790000000000002</v>
      </c>
      <c r="AP9" s="145"/>
    </row>
    <row r="10" spans="1:42" thickBot="1">
      <c r="A10" s="21" t="s">
        <v>91</v>
      </c>
      <c r="B10" s="63">
        <v>17240</v>
      </c>
      <c r="Q10" s="179" t="e">
        <f ca="1">Q9*N6</f>
        <v>#NUM!</v>
      </c>
      <c r="X10" s="153">
        <v>0.5</v>
      </c>
      <c r="Y10" s="153">
        <v>0.8639</v>
      </c>
      <c r="Z10" s="153">
        <v>0.85550000000000004</v>
      </c>
      <c r="AA10" s="166">
        <v>0.84989999999999999</v>
      </c>
      <c r="AB10" s="153">
        <v>0.83589999999999998</v>
      </c>
      <c r="AC10" s="153">
        <v>0.81189999999999996</v>
      </c>
      <c r="AD10" s="153">
        <v>0.80589999999999995</v>
      </c>
      <c r="AE10" s="153">
        <v>0.80149999999999999</v>
      </c>
      <c r="AF10" s="153">
        <v>0.79490000000000005</v>
      </c>
      <c r="AG10" s="153">
        <v>0.78390000000000004</v>
      </c>
      <c r="AP10" s="145"/>
    </row>
    <row r="11" spans="1:42" thickBot="1">
      <c r="A11" s="21" t="s">
        <v>94</v>
      </c>
      <c r="B11" s="21">
        <v>0.99</v>
      </c>
      <c r="D11" s="26" t="s">
        <v>99</v>
      </c>
      <c r="G11" s="69" t="s">
        <v>86</v>
      </c>
      <c r="H11" s="32">
        <f>E9</f>
        <v>81.64</v>
      </c>
      <c r="J11" s="69" t="s">
        <v>202</v>
      </c>
      <c r="S11" s="131" t="s">
        <v>12</v>
      </c>
      <c r="T11" s="179">
        <f>U9/230</f>
        <v>5.5269412880887687</v>
      </c>
      <c r="X11" s="153">
        <v>0.6</v>
      </c>
      <c r="Y11" s="153">
        <v>0.89</v>
      </c>
      <c r="Z11" s="153">
        <v>0.88097000000000003</v>
      </c>
      <c r="AA11" s="166">
        <v>0.87495000000000001</v>
      </c>
      <c r="AB11" s="153">
        <v>0.8599</v>
      </c>
      <c r="AC11" s="153">
        <v>0.83750000000000002</v>
      </c>
      <c r="AD11" s="153">
        <v>0.83189999999999997</v>
      </c>
      <c r="AE11" s="153">
        <v>0.82669999999999999</v>
      </c>
      <c r="AF11" s="153">
        <v>0.81889999999999996</v>
      </c>
      <c r="AG11" s="153">
        <v>0.80589999999999995</v>
      </c>
      <c r="AP11" s="145"/>
    </row>
    <row r="12" spans="1:42" thickBot="1">
      <c r="A12" s="21" t="s">
        <v>96</v>
      </c>
      <c r="B12" s="32">
        <f>B10*B11</f>
        <v>17067.599999999999</v>
      </c>
      <c r="D12" s="21" t="s">
        <v>101</v>
      </c>
      <c r="E12" s="31">
        <v>1</v>
      </c>
      <c r="G12" s="69" t="s">
        <v>99</v>
      </c>
      <c r="H12" s="32" t="e">
        <f ca="1">E14</f>
        <v>#NUM!</v>
      </c>
      <c r="J12" s="62" t="s">
        <v>203</v>
      </c>
      <c r="K12" s="64">
        <v>0.05</v>
      </c>
      <c r="X12" s="153">
        <v>0.7</v>
      </c>
      <c r="Y12" s="153">
        <v>0.91600000000000004</v>
      </c>
      <c r="Z12" s="153">
        <v>0.90639999999999998</v>
      </c>
      <c r="AA12" s="166">
        <v>0.9</v>
      </c>
      <c r="AB12" s="153">
        <v>0.88400000000000001</v>
      </c>
      <c r="AC12" s="153">
        <v>0.86151999999999995</v>
      </c>
      <c r="AD12" s="153">
        <v>0.85589999999999999</v>
      </c>
      <c r="AE12" s="153">
        <v>0.84989999999999999</v>
      </c>
      <c r="AF12" s="153">
        <v>0.84089999999999998</v>
      </c>
      <c r="AG12" s="153">
        <v>0.82589999999999997</v>
      </c>
      <c r="AP12" s="145"/>
    </row>
    <row r="13" spans="1:42" thickBot="1">
      <c r="A13" s="26" t="s">
        <v>98</v>
      </c>
      <c r="D13" s="21" t="s">
        <v>17</v>
      </c>
      <c r="E13" s="32" t="e">
        <f ca="1">$L$289</f>
        <v>#NUM!</v>
      </c>
      <c r="F13" s="21" t="s">
        <v>18</v>
      </c>
      <c r="G13" s="69" t="s">
        <v>103</v>
      </c>
      <c r="H13" s="32" t="e">
        <f ca="1">SUM(AN23:AN43)+SUM(AN48:AN68)+SUM(AN73:AN93)+SUM(AN98:AN118)+SUM(AN123:AN143)+SUM(AN148:AN168)+SUM(AN173:AN193)</f>
        <v>#NUM!</v>
      </c>
      <c r="J13" s="62" t="s">
        <v>204</v>
      </c>
      <c r="K13" s="32" t="e">
        <f ca="1">$L$324</f>
        <v>#NUM!</v>
      </c>
      <c r="L13" s="21" t="s">
        <v>18</v>
      </c>
      <c r="M13" s="179" t="s">
        <v>283</v>
      </c>
      <c r="N13" s="179">
        <f>SQRT(B6*B3)</f>
        <v>37.148351242013419</v>
      </c>
      <c r="O13" s="179">
        <v>37.148351242013419</v>
      </c>
      <c r="X13" s="153">
        <v>0.8</v>
      </c>
      <c r="Y13" s="153">
        <v>0.94199999999999995</v>
      </c>
      <c r="Z13" s="153">
        <v>0.93240000000000001</v>
      </c>
      <c r="AA13" s="166">
        <v>0.92600000000000005</v>
      </c>
      <c r="AB13" s="153">
        <v>0.91</v>
      </c>
      <c r="AC13" s="153">
        <v>0.88431999999999999</v>
      </c>
      <c r="AD13" s="153">
        <v>0.87790000000000001</v>
      </c>
      <c r="AE13" s="153">
        <v>0.87150000000000005</v>
      </c>
      <c r="AF13" s="153">
        <v>0.8619</v>
      </c>
      <c r="AG13" s="153">
        <v>0.84589999999999999</v>
      </c>
      <c r="AP13" s="145"/>
    </row>
    <row r="14" spans="1:42" thickBot="1">
      <c r="A14" s="21" t="s">
        <v>100</v>
      </c>
      <c r="B14" s="21">
        <v>0.78</v>
      </c>
      <c r="C14" s="131" t="s">
        <v>56</v>
      </c>
      <c r="D14" s="21" t="s">
        <v>16</v>
      </c>
      <c r="E14" s="32" t="e">
        <f ca="1">B15*E12*B14*(E13/3600)</f>
        <v>#NUM!</v>
      </c>
      <c r="F14" s="21" t="s">
        <v>78</v>
      </c>
      <c r="G14" s="69" t="s">
        <v>87</v>
      </c>
      <c r="H14" s="32">
        <f>H9</f>
        <v>81.64</v>
      </c>
      <c r="J14" s="62" t="s">
        <v>206</v>
      </c>
      <c r="K14" s="32" t="e">
        <f ca="1">B15*B14*K12*(K13/3600)</f>
        <v>#NUM!</v>
      </c>
      <c r="L14" s="21" t="s">
        <v>78</v>
      </c>
      <c r="U14" s="179">
        <f>SUM(U4:U8)</f>
        <v>1271.1964962604166</v>
      </c>
      <c r="X14" s="153">
        <v>0.9</v>
      </c>
      <c r="Y14" s="153">
        <v>0.96599999999999997</v>
      </c>
      <c r="Z14" s="153">
        <v>0.95579999999999998</v>
      </c>
      <c r="AA14" s="166">
        <v>0.94899999999999995</v>
      </c>
      <c r="AB14" s="153">
        <v>0.93200000000000005</v>
      </c>
      <c r="AC14" s="153">
        <v>0.90639999999999998</v>
      </c>
      <c r="AD14" s="153">
        <v>0.9</v>
      </c>
      <c r="AE14" s="153">
        <v>0.89358000000000004</v>
      </c>
      <c r="AF14" s="153">
        <v>0.88395000000000001</v>
      </c>
      <c r="AG14" s="153">
        <v>0.8679</v>
      </c>
      <c r="AP14" s="145"/>
    </row>
    <row r="15" spans="1:42" ht="14.5">
      <c r="A15" s="21" t="s">
        <v>102</v>
      </c>
      <c r="B15" s="21">
        <v>6280</v>
      </c>
      <c r="G15" s="69" t="s">
        <v>202</v>
      </c>
      <c r="H15" s="32" t="e">
        <f ca="1">K14</f>
        <v>#NUM!</v>
      </c>
      <c r="W15" s="3"/>
      <c r="X15" s="3"/>
      <c r="AJ15" s="145"/>
    </row>
    <row r="16" spans="1:42" ht="14.5">
      <c r="A16" s="26" t="s">
        <v>104</v>
      </c>
      <c r="G16" s="26" t="s">
        <v>7</v>
      </c>
      <c r="H16" s="32">
        <f ca="1">C200</f>
        <v>590.59915937823882</v>
      </c>
      <c r="M16" s="131" t="s">
        <v>323</v>
      </c>
      <c r="N16" s="179">
        <v>5.2999999999999999E-2</v>
      </c>
      <c r="W16" s="3"/>
      <c r="X16" s="3"/>
      <c r="AJ16" s="145"/>
    </row>
    <row r="17" spans="1:56" ht="14.5">
      <c r="A17" s="6" t="s">
        <v>105</v>
      </c>
      <c r="B17" s="6">
        <v>5.0000000000000001E-3</v>
      </c>
      <c r="G17" s="34" t="s">
        <v>107</v>
      </c>
      <c r="H17" s="41" t="e">
        <f ca="1">SUM(H11:H16)</f>
        <v>#NUM!</v>
      </c>
      <c r="I17" s="179">
        <v>5273.6369917489565</v>
      </c>
      <c r="M17" s="131" t="s">
        <v>324</v>
      </c>
      <c r="N17" s="179">
        <f>0.5*AV23*K23*K23*230*N16</f>
        <v>455.00027812889493</v>
      </c>
      <c r="AC17" s="3"/>
      <c r="AD17" s="3"/>
      <c r="AP17" s="145"/>
    </row>
    <row r="18" spans="1:56" ht="14.5">
      <c r="A18" s="21" t="s">
        <v>205</v>
      </c>
      <c r="B18" s="21">
        <v>2.4</v>
      </c>
      <c r="G18" s="130" t="s">
        <v>223</v>
      </c>
      <c r="H18" s="129" t="e">
        <f ca="1">($H$17-$H$16)*1.02 +$H$16</f>
        <v>#NUM!</v>
      </c>
      <c r="AC18" s="3"/>
      <c r="AD18" s="3"/>
      <c r="AP18" s="145"/>
    </row>
    <row r="19" spans="1:56" ht="14.5">
      <c r="AC19" s="3"/>
      <c r="AD19" s="3"/>
      <c r="AP19" s="145"/>
    </row>
    <row r="20" spans="1:56" s="89" customFormat="1" thickBot="1">
      <c r="A20" s="124" t="s">
        <v>238</v>
      </c>
      <c r="B20" s="82" t="s">
        <v>22</v>
      </c>
      <c r="C20" s="125">
        <v>10000</v>
      </c>
      <c r="D20" s="82" t="s">
        <v>9</v>
      </c>
      <c r="E20" s="82"/>
      <c r="F20" s="82"/>
      <c r="G20" s="82"/>
      <c r="H20" s="82"/>
      <c r="I20" s="83"/>
      <c r="J20" s="82"/>
      <c r="K20" s="82"/>
      <c r="L20" s="84" t="s">
        <v>60</v>
      </c>
      <c r="M20" s="82"/>
      <c r="N20" s="82"/>
      <c r="O20" s="82"/>
      <c r="P20" s="82"/>
      <c r="Q20" s="81"/>
      <c r="R20" s="82"/>
      <c r="S20" s="85"/>
      <c r="T20" s="86"/>
      <c r="U20" s="81"/>
      <c r="V20" s="81"/>
      <c r="W20" s="81"/>
      <c r="X20" s="81"/>
      <c r="Y20" s="82"/>
      <c r="Z20" s="82"/>
      <c r="AA20" s="87"/>
      <c r="AB20" s="87"/>
      <c r="AC20" s="82"/>
      <c r="AD20" s="82"/>
      <c r="AE20" s="83"/>
      <c r="AF20" s="81"/>
      <c r="AG20" s="82"/>
      <c r="AH20" s="82"/>
      <c r="AI20" s="82"/>
      <c r="AJ20" s="81" t="s">
        <v>61</v>
      </c>
      <c r="AK20" s="88"/>
      <c r="AL20" s="83"/>
      <c r="AM20" s="82"/>
      <c r="AN20" s="82"/>
      <c r="AO20" s="82"/>
      <c r="AP20" s="53"/>
      <c r="AQ20" s="88"/>
      <c r="AR20" s="88"/>
      <c r="AS20" s="88"/>
      <c r="AT20" s="88"/>
      <c r="AU20" s="88"/>
      <c r="AV20" s="88"/>
      <c r="AW20" s="88"/>
      <c r="AX20" s="82"/>
      <c r="AY20" s="82"/>
      <c r="AZ20" s="82"/>
    </row>
    <row r="21" spans="1:56" ht="26.5" thickBot="1">
      <c r="A21" s="41" t="s">
        <v>2</v>
      </c>
      <c r="B21" s="41" t="s">
        <v>2</v>
      </c>
      <c r="C21" s="41" t="s">
        <v>2</v>
      </c>
      <c r="D21" s="41" t="s">
        <v>23</v>
      </c>
      <c r="E21" s="41" t="s">
        <v>24</v>
      </c>
      <c r="F21" s="41" t="s">
        <v>25</v>
      </c>
      <c r="G21" s="41"/>
      <c r="H21" s="41" t="s">
        <v>0</v>
      </c>
      <c r="I21" s="5" t="s">
        <v>26</v>
      </c>
      <c r="J21" s="41" t="s">
        <v>27</v>
      </c>
      <c r="K21" s="41" t="s">
        <v>28</v>
      </c>
      <c r="L21" s="12" t="s">
        <v>29</v>
      </c>
      <c r="M21" s="13" t="s">
        <v>30</v>
      </c>
      <c r="N21" s="41" t="s">
        <v>31</v>
      </c>
      <c r="O21" s="41" t="s">
        <v>32</v>
      </c>
      <c r="P21" s="41" t="s">
        <v>33</v>
      </c>
      <c r="Q21" s="41" t="s">
        <v>34</v>
      </c>
      <c r="R21" s="41" t="s">
        <v>13</v>
      </c>
      <c r="S21" s="24" t="s">
        <v>35</v>
      </c>
      <c r="T21" s="10" t="s">
        <v>35</v>
      </c>
      <c r="U21" s="41" t="s">
        <v>36</v>
      </c>
      <c r="V21" s="41" t="s">
        <v>37</v>
      </c>
      <c r="W21" s="41" t="s">
        <v>38</v>
      </c>
      <c r="X21" s="41" t="s">
        <v>39</v>
      </c>
      <c r="Y21" s="41" t="s">
        <v>40</v>
      </c>
      <c r="Z21" s="35" t="s">
        <v>108</v>
      </c>
      <c r="AA21" s="35" t="s">
        <v>109</v>
      </c>
      <c r="AB21" s="9" t="s">
        <v>110</v>
      </c>
      <c r="AC21" s="7" t="s">
        <v>111</v>
      </c>
      <c r="AD21" s="7" t="s">
        <v>112</v>
      </c>
      <c r="AE21" s="5" t="s">
        <v>41</v>
      </c>
      <c r="AF21" s="7" t="s">
        <v>113</v>
      </c>
      <c r="AG21" s="7" t="s">
        <v>114</v>
      </c>
      <c r="AH21" s="7" t="s">
        <v>115</v>
      </c>
      <c r="AI21" s="41" t="s">
        <v>42</v>
      </c>
      <c r="AJ21" s="41" t="s">
        <v>43</v>
      </c>
      <c r="AK21" s="36" t="s">
        <v>116</v>
      </c>
      <c r="AL21" s="5" t="s">
        <v>44</v>
      </c>
      <c r="AM21" s="41" t="s">
        <v>45</v>
      </c>
      <c r="AN21" s="41" t="s">
        <v>46</v>
      </c>
      <c r="AO21" s="41" t="s">
        <v>47</v>
      </c>
      <c r="AP21" s="67" t="s">
        <v>85</v>
      </c>
      <c r="AQ21" s="15" t="s">
        <v>62</v>
      </c>
      <c r="AR21" s="16" t="s">
        <v>63</v>
      </c>
      <c r="AS21" s="16" t="s">
        <v>64</v>
      </c>
      <c r="AT21" s="17" t="s">
        <v>65</v>
      </c>
      <c r="AU21" s="18" t="s">
        <v>66</v>
      </c>
      <c r="AV21" s="18" t="s">
        <v>67</v>
      </c>
      <c r="AW21" s="19" t="s">
        <v>68</v>
      </c>
      <c r="AX21" s="7" t="s">
        <v>207</v>
      </c>
      <c r="AY21" s="7" t="s">
        <v>208</v>
      </c>
      <c r="AZ21" s="7" t="s">
        <v>209</v>
      </c>
      <c r="BA21" s="152" t="s">
        <v>293</v>
      </c>
      <c r="BB21" s="152" t="s">
        <v>294</v>
      </c>
      <c r="BC21" s="152" t="s">
        <v>295</v>
      </c>
      <c r="BD21" s="152" t="s">
        <v>296</v>
      </c>
    </row>
    <row r="22" spans="1:56" thickBot="1">
      <c r="A22" s="41" t="s">
        <v>18</v>
      </c>
      <c r="B22" s="41" t="s">
        <v>21</v>
      </c>
      <c r="C22" s="41" t="s">
        <v>48</v>
      </c>
      <c r="D22" s="41" t="s">
        <v>8</v>
      </c>
      <c r="E22" s="41" t="s">
        <v>49</v>
      </c>
      <c r="F22" s="41" t="s">
        <v>49</v>
      </c>
      <c r="G22" s="41"/>
      <c r="H22" s="41" t="s">
        <v>9</v>
      </c>
      <c r="I22" s="5" t="s">
        <v>50</v>
      </c>
      <c r="J22" s="41"/>
      <c r="K22" s="41" t="s">
        <v>51</v>
      </c>
      <c r="L22" s="5" t="s">
        <v>52</v>
      </c>
      <c r="M22" s="41" t="s">
        <v>52</v>
      </c>
      <c r="N22" s="41" t="s">
        <v>53</v>
      </c>
      <c r="O22" s="41" t="s">
        <v>54</v>
      </c>
      <c r="P22" s="41"/>
      <c r="Q22" s="41"/>
      <c r="R22" s="41"/>
      <c r="S22" s="24" t="s">
        <v>55</v>
      </c>
      <c r="T22" s="10" t="s">
        <v>55</v>
      </c>
      <c r="U22" s="41"/>
      <c r="V22" s="41"/>
      <c r="W22" s="41"/>
      <c r="X22" s="41"/>
      <c r="Y22" s="41"/>
      <c r="Z22" s="41"/>
      <c r="AA22" s="9" t="s">
        <v>118</v>
      </c>
      <c r="AB22" s="9" t="s">
        <v>118</v>
      </c>
      <c r="AC22" s="7" t="s">
        <v>119</v>
      </c>
      <c r="AD22" s="7" t="s">
        <v>119</v>
      </c>
      <c r="AE22" s="5" t="s">
        <v>20</v>
      </c>
      <c r="AF22" s="7" t="s">
        <v>118</v>
      </c>
      <c r="AG22" s="7" t="s">
        <v>118</v>
      </c>
      <c r="AH22" s="7" t="s">
        <v>119</v>
      </c>
      <c r="AI22" s="41" t="s">
        <v>56</v>
      </c>
      <c r="AJ22" s="41" t="s">
        <v>57</v>
      </c>
      <c r="AK22" s="11"/>
      <c r="AL22" s="5" t="s">
        <v>9</v>
      </c>
      <c r="AM22" s="41" t="s">
        <v>18</v>
      </c>
      <c r="AN22" s="41" t="s">
        <v>8</v>
      </c>
      <c r="AO22" s="41" t="s">
        <v>49</v>
      </c>
      <c r="AP22" s="53"/>
      <c r="AQ22" s="11"/>
      <c r="AR22" s="11"/>
      <c r="AS22" s="11"/>
      <c r="AT22" s="11"/>
      <c r="AU22" s="11"/>
      <c r="AV22" s="11"/>
      <c r="AW22" s="11"/>
      <c r="AX22" s="41"/>
      <c r="AY22" s="41"/>
      <c r="AZ22" s="41"/>
      <c r="BA22" s="153"/>
      <c r="BB22" s="153"/>
      <c r="BC22" s="153"/>
    </row>
    <row r="23" spans="1:56" ht="14.5">
      <c r="A23" s="41" t="e">
        <f ca="1">H23/(K23*SIN(RADIANS(T23)))</f>
        <v>#NUM!</v>
      </c>
      <c r="B23" s="41">
        <v>0</v>
      </c>
      <c r="C23" s="41">
        <v>0</v>
      </c>
      <c r="D23" s="41">
        <f>$B$12</f>
        <v>17067.599999999999</v>
      </c>
      <c r="E23" s="7">
        <v>0</v>
      </c>
      <c r="F23" s="7">
        <v>0</v>
      </c>
      <c r="G23" s="41"/>
      <c r="H23" s="65">
        <v>0</v>
      </c>
      <c r="I23" s="6">
        <v>15</v>
      </c>
      <c r="J23" s="41">
        <f t="shared" ref="J23:J43" si="1">SQRT((((((((L23^2)*(0.2))/(661.477)^2) + 1)^(3.5) - 1)*(1/AR23) + 1)^(1/3.5) - 1)*(5))</f>
        <v>0.15873567788449167</v>
      </c>
      <c r="K23" s="41">
        <f t="shared" ref="K23:K43" si="2">SQRT((1.4*2116.22*AR23*(J23)^2)/AV23)</f>
        <v>181.77451522286458</v>
      </c>
      <c r="L23" s="120">
        <v>105</v>
      </c>
      <c r="M23" s="41">
        <f t="shared" ref="M23:M43" si="3">K23*0.592484</f>
        <v>107.6984918773037</v>
      </c>
      <c r="N23" s="41">
        <f t="shared" ref="N23:N43" si="4">0.5*AV23*K23^2</f>
        <v>37.325699600401549</v>
      </c>
      <c r="O23" s="41">
        <f t="shared" ref="O23:O43" si="5">P23/$B$7</f>
        <v>1056676.1694953949</v>
      </c>
      <c r="P23" s="41">
        <f t="shared" ref="P23:P43" si="6">(AV23*K23*$B$7)/(AW23)</f>
        <v>6784603.5177740334</v>
      </c>
      <c r="Q23" s="41">
        <f t="shared" ref="Q23:Q43" si="7">0.455/(LOG10(P23)^2.58 * (1+0.144*J23*J23)^0.65)</f>
        <v>3.191049279792382E-3</v>
      </c>
      <c r="R23" s="41">
        <f>(((Q23*$B$4)+$B$17)+(0.05*(Q23*$B$4)))</f>
        <v>2.351857911765097E-2</v>
      </c>
      <c r="S23" s="24" t="e">
        <f ca="1">T23</f>
        <v>#NUM!</v>
      </c>
      <c r="T23" s="10" t="e">
        <f t="shared" ref="T23:T43" ca="1" si="8">DEGREES(ASIN(((AF23-X23)/(D23))))</f>
        <v>#NUM!</v>
      </c>
      <c r="U23" s="41" t="e">
        <f t="shared" ref="U23:U43" ca="1" si="9">(D23*COS(RADIANS(S23)))/(N23*$B$3)</f>
        <v>#NUM!</v>
      </c>
      <c r="V23" s="41" t="e">
        <f t="shared" ref="V23:V43" ca="1" si="10">(X23)/(N23*$B$3)</f>
        <v>#NUM!</v>
      </c>
      <c r="W23" s="41" t="e">
        <f t="shared" ref="W23:W43" ca="1" si="11">U23/V23</f>
        <v>#NUM!</v>
      </c>
      <c r="X23" s="20" t="e">
        <f t="shared" ref="X23:X43" ca="1" si="12">(N23*$B$3*R23)+((N23*$B$3)*((U23^2)/(PI()*$B$6*$B$5)))</f>
        <v>#NUM!</v>
      </c>
      <c r="Y23" s="41">
        <f t="shared" ref="Y23:Y43" si="13">SQRT(PI()*$B$6*$B$5*R23)</f>
        <v>0.61023307736435284</v>
      </c>
      <c r="Z23" s="41" t="e">
        <f t="shared" ref="Z23:Z43" ca="1" si="14">SQRT((2*((U23*N23*$B$3)/(D23))*D23)/(AV23*$B$3*$B$18))</f>
        <v>#NUM!</v>
      </c>
      <c r="AA23" s="14" t="e">
        <f t="shared" ref="AA23:AA43" ca="1" si="15">D23/W23</f>
        <v>#NUM!</v>
      </c>
      <c r="AB23" s="9">
        <f>6280*0.93</f>
        <v>5840.4000000000005</v>
      </c>
      <c r="AC23" s="25" t="e">
        <f t="shared" ref="AC23:AC43" ca="1" si="16">AA23*K23</f>
        <v>#NUM!</v>
      </c>
      <c r="AD23" s="41">
        <f t="shared" ref="AD23:AD43" si="17">AB23*K23</f>
        <v>1061635.8787076185</v>
      </c>
      <c r="AE23" s="6">
        <v>100</v>
      </c>
      <c r="AF23" s="41">
        <f t="shared" ref="AF23:AF43" si="18">AB23*(AE23/100)</f>
        <v>5840.4000000000005</v>
      </c>
      <c r="AG23" s="41" t="e">
        <f t="shared" ref="AG23:AG43" ca="1" si="19">AB23-AA23</f>
        <v>#NUM!</v>
      </c>
      <c r="AH23" s="41" t="e">
        <f t="shared" ref="AH23:AH43" ca="1" si="20">AD23-AC23</f>
        <v>#NUM!</v>
      </c>
      <c r="AI23" s="41">
        <f t="shared" ref="AI23:AI43" si="21">(AP23*AF23)</f>
        <v>4323.3535482993548</v>
      </c>
      <c r="AJ23" s="13" t="e">
        <f t="shared" ref="AJ23:AJ43" ca="1" si="22">K23*SIN(RADIANS(T23))</f>
        <v>#NUM!</v>
      </c>
      <c r="AK23" s="11" t="e">
        <f t="shared" ref="AK23:AK43" ca="1" si="23">(AH23/D23)*60</f>
        <v>#NUM!</v>
      </c>
      <c r="AL23" s="6">
        <v>500</v>
      </c>
      <c r="AM23" s="41" t="e">
        <f t="shared" ref="AM23:AM43" ca="1" si="24">AL23/AJ23</f>
        <v>#NUM!</v>
      </c>
      <c r="AN23" s="41" t="e">
        <f t="shared" ref="AN23:AN43" ca="1" si="25">AI23*(AM23/3600)</f>
        <v>#NUM!</v>
      </c>
      <c r="AO23" s="41" t="e">
        <f t="shared" ref="AO23:AO43" ca="1" si="26">M23*COS(RADIANS(T23))*(AM23/3600)</f>
        <v>#NUM!</v>
      </c>
      <c r="AP23" s="67">
        <f>0.705 + 0.302*AZ23 + -0.0327*AZ23^2</f>
        <v>0.74024956309488288</v>
      </c>
      <c r="AQ23" s="11">
        <f t="shared" ref="AQ23:AQ43" si="27">IF(H23 &lt;= 36089, ((1 - 6.87535*10^(-6)*H23) + ((I23*1.8)/518.67)), 0.75187 + ((I23*1.8)/518.67))</f>
        <v>1.0520562207183759</v>
      </c>
      <c r="AR23" s="11">
        <f t="shared" ref="AR23:AR43" si="28">IF(H23 &lt;= 36089, (1 - 6.87535*10^(-6)*H23)^5.2561, 0.22336*EXP((36089 - H23)/(20806.7)))</f>
        <v>1</v>
      </c>
      <c r="AS23" s="11">
        <f t="shared" ref="AS23:AS43" si="29">(AR23/AQ23)</f>
        <v>0.95051954477981193</v>
      </c>
      <c r="AT23" s="11">
        <f t="shared" ref="AT23:AT43" si="30">(518.67*AQ23)</f>
        <v>545.66999999999996</v>
      </c>
      <c r="AU23" s="11">
        <f t="shared" ref="AU23:AU43" si="31">2116.22*AR23</f>
        <v>2116.2199999999998</v>
      </c>
      <c r="AV23" s="11">
        <f t="shared" ref="AV23:AV43" si="32">(0.0023769*AS23)</f>
        <v>2.259289905987135E-3</v>
      </c>
      <c r="AW23" s="11">
        <f t="shared" ref="AW23:AW43" si="33">((2.2697*10^-8)*(AT23^1.5))/(AT23+198.72)</f>
        <v>3.8865391239478742E-7</v>
      </c>
      <c r="AX23" s="41" t="e">
        <f t="shared" ref="AX23:AX43" ca="1" si="34">(1/U23)*(((1 + 0.2*(U23)^2)/1.2)^3)</f>
        <v>#NUM!</v>
      </c>
      <c r="AY23" s="41" t="e">
        <f t="shared" ref="AY23:AY43" ca="1" si="35">($H$4/$H$3)*AX23</f>
        <v>#NUM!</v>
      </c>
      <c r="AZ23" s="41">
        <f t="shared" ref="AZ23:AZ43" si="36">-6.6*10^(-3) + 0.825*J23 - 0.243*(J23^2)</f>
        <v>0.11823405950437749</v>
      </c>
      <c r="BA23" s="179">
        <f>2.12-0.00251*AF23+1.94*10^-6*AF23^2-7.84*10^-10*AF23^3+1.7*10^-13*AF23^4-1.89*10^-17*AF23^5+8.37*10^-22*AF23^6</f>
        <v>3.0839195580441014E-2</v>
      </c>
      <c r="BB23" s="156">
        <f>2.18-0.00461*AF23+6.03*10^-6*AF23^2-4.1*10^-9*AF23^3+1.5*10^-12*AF23^4-2.81*10^-16*AF23^5+2.1*10^-20*AF23^6</f>
        <v>33.357052269665814</v>
      </c>
    </row>
    <row r="24" spans="1:56" ht="14.5">
      <c r="A24" s="41" t="e">
        <f t="shared" ref="A24:A43" ca="1" si="37">A23+AM23</f>
        <v>#NUM!</v>
      </c>
      <c r="B24" s="41" t="e">
        <f t="shared" ref="B24:C39" ca="1" si="38">A24/60</f>
        <v>#NUM!</v>
      </c>
      <c r="C24" s="41" t="e">
        <f t="shared" ca="1" si="38"/>
        <v>#NUM!</v>
      </c>
      <c r="D24" s="41" t="e">
        <f t="shared" ref="D24:D43" ca="1" si="39">D23-AN23</f>
        <v>#NUM!</v>
      </c>
      <c r="E24" s="41" t="e">
        <f t="shared" ref="E24:E43" ca="1" si="40">E23+AO23</f>
        <v>#NUM!</v>
      </c>
      <c r="F24" s="41" t="e">
        <f t="shared" ref="F24:F43" ca="1" si="41">F23+AO23</f>
        <v>#NUM!</v>
      </c>
      <c r="G24" s="41"/>
      <c r="H24" s="7">
        <f t="shared" ref="H24:H43" si="42">H23+AL23</f>
        <v>500</v>
      </c>
      <c r="I24" s="6">
        <v>15</v>
      </c>
      <c r="J24" s="41">
        <f t="shared" si="1"/>
        <v>0.16055091603564883</v>
      </c>
      <c r="K24" s="41">
        <f t="shared" si="2"/>
        <v>183.55259329096739</v>
      </c>
      <c r="L24" s="6">
        <f>L23+($L$48-$L$23)/20</f>
        <v>105.25</v>
      </c>
      <c r="M24" s="41">
        <f t="shared" si="3"/>
        <v>108.75197468340552</v>
      </c>
      <c r="N24" s="41">
        <f t="shared" si="4"/>
        <v>37.499350599754777</v>
      </c>
      <c r="O24" s="41">
        <f t="shared" si="5"/>
        <v>1053951.9039598743</v>
      </c>
      <c r="P24" s="41">
        <f t="shared" si="6"/>
        <v>6767111.8187377332</v>
      </c>
      <c r="Q24" s="41">
        <f t="shared" si="7"/>
        <v>3.192228231960235E-3</v>
      </c>
      <c r="R24" s="41">
        <f t="shared" ref="R24:R43" si="43">(((Q24*$B$4)+$B$17)+(0.1*(Q24*$B$4)))</f>
        <v>2.4407583817845999E-2</v>
      </c>
      <c r="S24" s="24" t="e">
        <f t="shared" ref="S24:S43" ca="1" si="44">T24</f>
        <v>#NUM!</v>
      </c>
      <c r="T24" s="10" t="e">
        <f t="shared" ca="1" si="8"/>
        <v>#NUM!</v>
      </c>
      <c r="U24" s="41" t="e">
        <f t="shared" ca="1" si="9"/>
        <v>#NUM!</v>
      </c>
      <c r="V24" s="41" t="e">
        <f t="shared" ca="1" si="10"/>
        <v>#NUM!</v>
      </c>
      <c r="W24" s="41" t="e">
        <f t="shared" ca="1" si="11"/>
        <v>#NUM!</v>
      </c>
      <c r="X24" s="20" t="e">
        <f t="shared" ca="1" si="12"/>
        <v>#NUM!</v>
      </c>
      <c r="Y24" s="41">
        <f t="shared" si="13"/>
        <v>0.62165953504363736</v>
      </c>
      <c r="Z24" s="41" t="e">
        <f t="shared" ca="1" si="14"/>
        <v>#NUM!</v>
      </c>
      <c r="AA24" s="14" t="e">
        <f t="shared" ca="1" si="15"/>
        <v>#NUM!</v>
      </c>
      <c r="AB24" s="14">
        <f>$B$15*AR24*0.93</f>
        <v>5735.6403190585688</v>
      </c>
      <c r="AC24" s="25" t="e">
        <f t="shared" ca="1" si="16"/>
        <v>#NUM!</v>
      </c>
      <c r="AD24" s="41">
        <f t="shared" si="17"/>
        <v>1052791.6547474319</v>
      </c>
      <c r="AE24" s="6">
        <v>100</v>
      </c>
      <c r="AF24" s="41">
        <f t="shared" si="18"/>
        <v>5735.6403190585688</v>
      </c>
      <c r="AG24" s="41" t="e">
        <f t="shared" ca="1" si="19"/>
        <v>#NUM!</v>
      </c>
      <c r="AH24" s="41" t="e">
        <f t="shared" ca="1" si="20"/>
        <v>#NUM!</v>
      </c>
      <c r="AI24" s="41">
        <f t="shared" si="21"/>
        <v>4248.0948063314372</v>
      </c>
      <c r="AJ24" s="13" t="e">
        <f t="shared" ca="1" si="22"/>
        <v>#NUM!</v>
      </c>
      <c r="AK24" s="11" t="e">
        <f t="shared" ca="1" si="23"/>
        <v>#NUM!</v>
      </c>
      <c r="AL24" s="6">
        <f>AL23</f>
        <v>500</v>
      </c>
      <c r="AM24" s="41" t="e">
        <f t="shared" ca="1" si="24"/>
        <v>#NUM!</v>
      </c>
      <c r="AN24" s="41" t="e">
        <f t="shared" ca="1" si="25"/>
        <v>#NUM!</v>
      </c>
      <c r="AO24" s="41" t="e">
        <f t="shared" ca="1" si="26"/>
        <v>#NUM!</v>
      </c>
      <c r="AP24" s="67">
        <f t="shared" ref="AP24:AP43" si="45">0.705 + 0.302*AZ24 + -0.0327*AZ24^2</f>
        <v>0.74064874539216341</v>
      </c>
      <c r="AQ24" s="11">
        <f t="shared" si="27"/>
        <v>1.0486185457183759</v>
      </c>
      <c r="AR24" s="11">
        <f t="shared" si="28"/>
        <v>0.9820629270355743</v>
      </c>
      <c r="AS24" s="11">
        <f t="shared" si="29"/>
        <v>0.93653019112187608</v>
      </c>
      <c r="AT24" s="11">
        <f t="shared" si="30"/>
        <v>543.88698110774999</v>
      </c>
      <c r="AU24" s="11">
        <f t="shared" si="31"/>
        <v>2078.2612074512226</v>
      </c>
      <c r="AV24" s="11">
        <f t="shared" si="32"/>
        <v>2.2260386112775872E-3</v>
      </c>
      <c r="AW24" s="11">
        <f t="shared" si="33"/>
        <v>3.8767913253979071E-7</v>
      </c>
      <c r="AX24" s="41" t="e">
        <f t="shared" ca="1" si="34"/>
        <v>#NUM!</v>
      </c>
      <c r="AY24" s="41" t="e">
        <f t="shared" ca="1" si="35"/>
        <v>#NUM!</v>
      </c>
      <c r="AZ24" s="41">
        <f t="shared" si="36"/>
        <v>0.119590792745918</v>
      </c>
      <c r="BA24" s="179">
        <f t="shared" ref="BA24:BA42" si="46">2.12-0.00251*AF24+1.94*10^-6*AF24^2-7.84*10^-10*AF24^3+1.7*10^-13*AF24^4-1.89*10^-17*AF24^5+8.37*10^-22*AF24^6</f>
        <v>7.5696402158328624E-2</v>
      </c>
      <c r="BB24" s="156">
        <f t="shared" ref="BB24:BB43" si="47">2.18-0.00461*AF24+6.03*10^-6*AF24^2-4.1*10^-9*AF24^3+1.5*10^-12*AF24^4-2.81*10^-16*AF24^5+2.1*10^-20*AF24^6</f>
        <v>27.255541094860405</v>
      </c>
    </row>
    <row r="25" spans="1:56" ht="14.5">
      <c r="A25" s="41" t="e">
        <f t="shared" ca="1" si="37"/>
        <v>#NUM!</v>
      </c>
      <c r="B25" s="41" t="e">
        <f t="shared" ca="1" si="38"/>
        <v>#NUM!</v>
      </c>
      <c r="C25" s="41" t="e">
        <f t="shared" ca="1" si="38"/>
        <v>#NUM!</v>
      </c>
      <c r="D25" s="41" t="e">
        <f t="shared" ca="1" si="39"/>
        <v>#NUM!</v>
      </c>
      <c r="E25" s="41" t="e">
        <f t="shared" ca="1" si="40"/>
        <v>#NUM!</v>
      </c>
      <c r="F25" s="41" t="e">
        <f t="shared" ca="1" si="41"/>
        <v>#NUM!</v>
      </c>
      <c r="G25" s="41"/>
      <c r="H25" s="7">
        <f t="shared" si="42"/>
        <v>1000</v>
      </c>
      <c r="I25" s="6">
        <v>15</v>
      </c>
      <c r="J25" s="41">
        <f t="shared" si="1"/>
        <v>0.16239078493239653</v>
      </c>
      <c r="K25" s="41">
        <f t="shared" si="2"/>
        <v>185.35148806661249</v>
      </c>
      <c r="L25" s="6">
        <f t="shared" ref="L25:L43" si="48">L24+($L$48-$L$23)/20</f>
        <v>105.5</v>
      </c>
      <c r="M25" s="41">
        <f t="shared" si="3"/>
        <v>109.81779105565883</v>
      </c>
      <c r="N25" s="41">
        <f t="shared" si="4"/>
        <v>37.673249981143243</v>
      </c>
      <c r="O25" s="41">
        <f t="shared" si="5"/>
        <v>1051210.5173283252</v>
      </c>
      <c r="P25" s="41">
        <f t="shared" si="6"/>
        <v>6749510.1902342085</v>
      </c>
      <c r="Q25" s="41">
        <f t="shared" si="7"/>
        <v>3.1934155457643606E-3</v>
      </c>
      <c r="R25" s="41">
        <f t="shared" si="43"/>
        <v>2.4414802252900533E-2</v>
      </c>
      <c r="S25" s="24" t="e">
        <f t="shared" ca="1" si="44"/>
        <v>#NUM!</v>
      </c>
      <c r="T25" s="10" t="e">
        <f t="shared" ca="1" si="8"/>
        <v>#NUM!</v>
      </c>
      <c r="U25" s="41" t="e">
        <f t="shared" ca="1" si="9"/>
        <v>#NUM!</v>
      </c>
      <c r="V25" s="41" t="e">
        <f t="shared" ca="1" si="10"/>
        <v>#NUM!</v>
      </c>
      <c r="W25" s="41" t="e">
        <f t="shared" ca="1" si="11"/>
        <v>#NUM!</v>
      </c>
      <c r="X25" s="20" t="e">
        <f t="shared" ca="1" si="12"/>
        <v>#NUM!</v>
      </c>
      <c r="Y25" s="41">
        <f t="shared" si="13"/>
        <v>0.62175145477808225</v>
      </c>
      <c r="Z25" s="41" t="e">
        <f t="shared" ca="1" si="14"/>
        <v>#NUM!</v>
      </c>
      <c r="AA25" s="14" t="e">
        <f t="shared" ca="1" si="15"/>
        <v>#NUM!</v>
      </c>
      <c r="AB25" s="14">
        <f t="shared" ref="AB25:AB43" si="49">$B$15*AR25*0.93</f>
        <v>5632.4074348348286</v>
      </c>
      <c r="AC25" s="25" t="e">
        <f t="shared" ca="1" si="16"/>
        <v>#NUM!</v>
      </c>
      <c r="AD25" s="41">
        <f t="shared" si="17"/>
        <v>1043975.0994440872</v>
      </c>
      <c r="AE25" s="6">
        <v>100</v>
      </c>
      <c r="AF25" s="41">
        <f t="shared" si="18"/>
        <v>5632.4074348348286</v>
      </c>
      <c r="AG25" s="41" t="e">
        <f t="shared" ca="1" si="19"/>
        <v>#NUM!</v>
      </c>
      <c r="AH25" s="41" t="e">
        <f t="shared" ca="1" si="20"/>
        <v>#NUM!</v>
      </c>
      <c r="AI25" s="41">
        <f t="shared" si="21"/>
        <v>4173.9109664019006</v>
      </c>
      <c r="AJ25" s="13" t="e">
        <f t="shared" ca="1" si="22"/>
        <v>#NUM!</v>
      </c>
      <c r="AK25" s="11" t="e">
        <f t="shared" ca="1" si="23"/>
        <v>#NUM!</v>
      </c>
      <c r="AL25" s="6">
        <f t="shared" ref="AL25:AL42" si="50">AL24</f>
        <v>500</v>
      </c>
      <c r="AM25" s="41" t="e">
        <f t="shared" ca="1" si="24"/>
        <v>#NUM!</v>
      </c>
      <c r="AN25" s="41" t="e">
        <f t="shared" ca="1" si="25"/>
        <v>#NUM!</v>
      </c>
      <c r="AO25" s="41" t="e">
        <f t="shared" ca="1" si="26"/>
        <v>#NUM!</v>
      </c>
      <c r="AP25" s="67">
        <f t="shared" si="45"/>
        <v>0.74105274071393612</v>
      </c>
      <c r="AQ25" s="11">
        <f t="shared" si="27"/>
        <v>1.0451808707183758</v>
      </c>
      <c r="AR25" s="11">
        <f t="shared" si="28"/>
        <v>0.96438727395980217</v>
      </c>
      <c r="AS25" s="11">
        <f t="shared" si="29"/>
        <v>0.92269893276649573</v>
      </c>
      <c r="AT25" s="11">
        <f t="shared" si="30"/>
        <v>542.10396221549991</v>
      </c>
      <c r="AU25" s="11">
        <f t="shared" si="31"/>
        <v>2040.8556368992124</v>
      </c>
      <c r="AV25" s="11">
        <f t="shared" si="32"/>
        <v>2.1931630932926836E-3</v>
      </c>
      <c r="AW25" s="11">
        <f t="shared" si="33"/>
        <v>3.8670279284088386E-7</v>
      </c>
      <c r="AX25" s="41" t="e">
        <f t="shared" ca="1" si="34"/>
        <v>#NUM!</v>
      </c>
      <c r="AY25" s="41" t="e">
        <f t="shared" ca="1" si="35"/>
        <v>#NUM!</v>
      </c>
      <c r="AZ25" s="41">
        <f t="shared" si="36"/>
        <v>0.12096430118070389</v>
      </c>
      <c r="BA25" s="179">
        <f t="shared" si="46"/>
        <v>0.11842530174824617</v>
      </c>
      <c r="BB25" s="156">
        <f t="shared" si="47"/>
        <v>22.151653330124873</v>
      </c>
    </row>
    <row r="26" spans="1:56" ht="14.5">
      <c r="A26" s="41" t="e">
        <f t="shared" ca="1" si="37"/>
        <v>#NUM!</v>
      </c>
      <c r="B26" s="41" t="e">
        <f t="shared" ca="1" si="38"/>
        <v>#NUM!</v>
      </c>
      <c r="C26" s="41" t="e">
        <f t="shared" ca="1" si="38"/>
        <v>#NUM!</v>
      </c>
      <c r="D26" s="41" t="e">
        <f t="shared" ca="1" si="39"/>
        <v>#NUM!</v>
      </c>
      <c r="E26" s="41" t="e">
        <f t="shared" ca="1" si="40"/>
        <v>#NUM!</v>
      </c>
      <c r="F26" s="41" t="e">
        <f t="shared" ca="1" si="41"/>
        <v>#NUM!</v>
      </c>
      <c r="G26" s="41"/>
      <c r="H26" s="7">
        <f t="shared" si="42"/>
        <v>1500</v>
      </c>
      <c r="I26" s="6">
        <v>15</v>
      </c>
      <c r="J26" s="41">
        <f t="shared" si="1"/>
        <v>0.1642556868401312</v>
      </c>
      <c r="K26" s="41">
        <f t="shared" si="2"/>
        <v>187.17149990412798</v>
      </c>
      <c r="L26" s="6">
        <f t="shared" si="48"/>
        <v>105.75</v>
      </c>
      <c r="M26" s="41">
        <f t="shared" si="3"/>
        <v>110.89611894919737</v>
      </c>
      <c r="N26" s="41">
        <f t="shared" si="4"/>
        <v>37.847391935323429</v>
      </c>
      <c r="O26" s="41">
        <f t="shared" si="5"/>
        <v>1048452.0471689574</v>
      </c>
      <c r="P26" s="41">
        <f t="shared" si="6"/>
        <v>6731798.8734777616</v>
      </c>
      <c r="Q26" s="41">
        <f t="shared" si="7"/>
        <v>3.1946111833881675E-3</v>
      </c>
      <c r="R26" s="41">
        <f t="shared" si="43"/>
        <v>2.4422071293744005E-2</v>
      </c>
      <c r="S26" s="24" t="e">
        <f t="shared" ca="1" si="44"/>
        <v>#NUM!</v>
      </c>
      <c r="T26" s="10" t="e">
        <f t="shared" ca="1" si="8"/>
        <v>#NUM!</v>
      </c>
      <c r="U26" s="41" t="e">
        <f t="shared" ca="1" si="9"/>
        <v>#NUM!</v>
      </c>
      <c r="V26" s="41" t="e">
        <f t="shared" ca="1" si="10"/>
        <v>#NUM!</v>
      </c>
      <c r="W26" s="41" t="e">
        <f t="shared" ca="1" si="11"/>
        <v>#NUM!</v>
      </c>
      <c r="X26" s="20" t="e">
        <f t="shared" ca="1" si="12"/>
        <v>#NUM!</v>
      </c>
      <c r="Y26" s="41">
        <f t="shared" si="13"/>
        <v>0.62184400519731364</v>
      </c>
      <c r="Z26" s="41" t="e">
        <f t="shared" ca="1" si="14"/>
        <v>#NUM!</v>
      </c>
      <c r="AA26" s="14" t="e">
        <f t="shared" ca="1" si="15"/>
        <v>#NUM!</v>
      </c>
      <c r="AB26" s="14">
        <f t="shared" si="49"/>
        <v>5530.6842650198869</v>
      </c>
      <c r="AC26" s="25" t="e">
        <f t="shared" ca="1" si="16"/>
        <v>#NUM!</v>
      </c>
      <c r="AD26" s="41">
        <f t="shared" si="17"/>
        <v>1035186.4693799319</v>
      </c>
      <c r="AE26" s="6">
        <v>100</v>
      </c>
      <c r="AF26" s="41">
        <f t="shared" si="18"/>
        <v>5530.6842650198869</v>
      </c>
      <c r="AG26" s="41" t="e">
        <f t="shared" ca="1" si="19"/>
        <v>#NUM!</v>
      </c>
      <c r="AH26" s="41" t="e">
        <f t="shared" ca="1" si="20"/>
        <v>#NUM!</v>
      </c>
      <c r="AI26" s="41">
        <f t="shared" si="21"/>
        <v>4100.790077475217</v>
      </c>
      <c r="AJ26" s="13" t="e">
        <f t="shared" ca="1" si="22"/>
        <v>#NUM!</v>
      </c>
      <c r="AK26" s="11" t="e">
        <f t="shared" ca="1" si="23"/>
        <v>#NUM!</v>
      </c>
      <c r="AL26" s="6">
        <f t="shared" si="50"/>
        <v>500</v>
      </c>
      <c r="AM26" s="41" t="e">
        <f t="shared" ca="1" si="24"/>
        <v>#NUM!</v>
      </c>
      <c r="AN26" s="41" t="e">
        <f t="shared" ca="1" si="25"/>
        <v>#NUM!</v>
      </c>
      <c r="AO26" s="41" t="e">
        <f t="shared" ca="1" si="26"/>
        <v>#NUM!</v>
      </c>
      <c r="AP26" s="67">
        <f t="shared" si="45"/>
        <v>0.7414616132422579</v>
      </c>
      <c r="AQ26" s="11">
        <f t="shared" si="27"/>
        <v>1.0417431957183758</v>
      </c>
      <c r="AR26" s="11">
        <f t="shared" si="28"/>
        <v>0.94697011592012315</v>
      </c>
      <c r="AS26" s="11">
        <f t="shared" si="29"/>
        <v>0.9090245271696753</v>
      </c>
      <c r="AT26" s="11">
        <f t="shared" si="30"/>
        <v>540.32094332324994</v>
      </c>
      <c r="AU26" s="11">
        <f t="shared" si="31"/>
        <v>2003.9970987124827</v>
      </c>
      <c r="AV26" s="11">
        <f t="shared" si="32"/>
        <v>2.1606603986296011E-3</v>
      </c>
      <c r="AW26" s="11">
        <f t="shared" si="33"/>
        <v>3.8572488716766502E-7</v>
      </c>
      <c r="AX26" s="41" t="e">
        <f t="shared" ca="1" si="34"/>
        <v>#NUM!</v>
      </c>
      <c r="AY26" s="41" t="e">
        <f t="shared" ca="1" si="35"/>
        <v>#NUM!</v>
      </c>
      <c r="AZ26" s="41">
        <f t="shared" si="36"/>
        <v>0.12235481849289269</v>
      </c>
      <c r="BA26" s="179">
        <f t="shared" si="46"/>
        <v>0.15877849564702018</v>
      </c>
      <c r="BB26" s="156">
        <f t="shared" si="47"/>
        <v>17.899039412071716</v>
      </c>
    </row>
    <row r="27" spans="1:56" ht="14.5">
      <c r="A27" s="41" t="e">
        <f t="shared" ca="1" si="37"/>
        <v>#NUM!</v>
      </c>
      <c r="B27" s="41" t="e">
        <f t="shared" ca="1" si="38"/>
        <v>#NUM!</v>
      </c>
      <c r="C27" s="41" t="e">
        <f t="shared" ca="1" si="38"/>
        <v>#NUM!</v>
      </c>
      <c r="D27" s="41" t="e">
        <f t="shared" ca="1" si="39"/>
        <v>#NUM!</v>
      </c>
      <c r="E27" s="41" t="e">
        <f t="shared" ca="1" si="40"/>
        <v>#NUM!</v>
      </c>
      <c r="F27" s="41" t="e">
        <f t="shared" ca="1" si="41"/>
        <v>#NUM!</v>
      </c>
      <c r="G27" s="41"/>
      <c r="H27" s="7">
        <f t="shared" si="42"/>
        <v>2000</v>
      </c>
      <c r="I27" s="6">
        <v>15</v>
      </c>
      <c r="J27" s="41">
        <f t="shared" si="1"/>
        <v>0.16614603162756181</v>
      </c>
      <c r="K27" s="41">
        <f t="shared" si="2"/>
        <v>189.01293419045211</v>
      </c>
      <c r="L27" s="6">
        <f t="shared" si="48"/>
        <v>106</v>
      </c>
      <c r="M27" s="41">
        <f t="shared" si="3"/>
        <v>111.98713930089583</v>
      </c>
      <c r="N27" s="41">
        <f t="shared" si="4"/>
        <v>38.021770460757303</v>
      </c>
      <c r="O27" s="41">
        <f t="shared" si="5"/>
        <v>1045676.5302818327</v>
      </c>
      <c r="P27" s="41">
        <f t="shared" si="6"/>
        <v>6713978.10475065</v>
      </c>
      <c r="Q27" s="41">
        <f t="shared" si="7"/>
        <v>3.1958151049847434E-3</v>
      </c>
      <c r="R27" s="41">
        <f t="shared" si="43"/>
        <v>2.4429390698121712E-2</v>
      </c>
      <c r="S27" s="24" t="e">
        <f t="shared" ca="1" si="44"/>
        <v>#NUM!</v>
      </c>
      <c r="T27" s="10" t="e">
        <f t="shared" ca="1" si="8"/>
        <v>#NUM!</v>
      </c>
      <c r="U27" s="41" t="e">
        <f t="shared" ca="1" si="9"/>
        <v>#NUM!</v>
      </c>
      <c r="V27" s="41" t="e">
        <f t="shared" ca="1" si="10"/>
        <v>#NUM!</v>
      </c>
      <c r="W27" s="41" t="e">
        <f t="shared" ca="1" si="11"/>
        <v>#NUM!</v>
      </c>
      <c r="X27" s="20" t="e">
        <f t="shared" ca="1" si="12"/>
        <v>#NUM!</v>
      </c>
      <c r="Y27" s="41">
        <f t="shared" si="13"/>
        <v>0.62193718293604683</v>
      </c>
      <c r="Z27" s="41" t="e">
        <f t="shared" ca="1" si="14"/>
        <v>#NUM!</v>
      </c>
      <c r="AA27" s="14" t="e">
        <f t="shared" ca="1" si="15"/>
        <v>#NUM!</v>
      </c>
      <c r="AB27" s="14">
        <f t="shared" si="49"/>
        <v>5430.4538601880595</v>
      </c>
      <c r="AC27" s="25" t="e">
        <f t="shared" ca="1" si="16"/>
        <v>#NUM!</v>
      </c>
      <c r="AD27" s="41">
        <f t="shared" si="17"/>
        <v>1026426.0181000123</v>
      </c>
      <c r="AE27" s="6">
        <v>100</v>
      </c>
      <c r="AF27" s="41">
        <f t="shared" si="18"/>
        <v>5430.4538601880595</v>
      </c>
      <c r="AG27" s="41" t="e">
        <f t="shared" ca="1" si="19"/>
        <v>#NUM!</v>
      </c>
      <c r="AH27" s="41" t="e">
        <f t="shared" ca="1" si="20"/>
        <v>#NUM!</v>
      </c>
      <c r="AI27" s="41">
        <f t="shared" si="21"/>
        <v>4028.7202816895383</v>
      </c>
      <c r="AJ27" s="13" t="e">
        <f t="shared" ca="1" si="22"/>
        <v>#NUM!</v>
      </c>
      <c r="AK27" s="11" t="e">
        <f t="shared" ca="1" si="23"/>
        <v>#NUM!</v>
      </c>
      <c r="AL27" s="6">
        <f t="shared" si="50"/>
        <v>500</v>
      </c>
      <c r="AM27" s="41" t="e">
        <f t="shared" ca="1" si="24"/>
        <v>#NUM!</v>
      </c>
      <c r="AN27" s="41" t="e">
        <f t="shared" ca="1" si="25"/>
        <v>#NUM!</v>
      </c>
      <c r="AO27" s="41" t="e">
        <f t="shared" ca="1" si="26"/>
        <v>#NUM!</v>
      </c>
      <c r="AP27" s="67">
        <f t="shared" si="45"/>
        <v>0.74187542798679107</v>
      </c>
      <c r="AQ27" s="11">
        <f t="shared" si="27"/>
        <v>1.0383055207183758</v>
      </c>
      <c r="AR27" s="11">
        <f t="shared" si="28"/>
        <v>0.92980855081639258</v>
      </c>
      <c r="AS27" s="11">
        <f t="shared" si="29"/>
        <v>0.89550573724493243</v>
      </c>
      <c r="AT27" s="11">
        <f t="shared" si="30"/>
        <v>538.53792443099996</v>
      </c>
      <c r="AU27" s="11">
        <f t="shared" si="31"/>
        <v>1967.6794514086662</v>
      </c>
      <c r="AV27" s="11">
        <f t="shared" si="32"/>
        <v>2.12852758685748E-3</v>
      </c>
      <c r="AW27" s="11">
        <f t="shared" si="33"/>
        <v>3.8474540935600882E-7</v>
      </c>
      <c r="AX27" s="41" t="e">
        <f t="shared" ca="1" si="34"/>
        <v>#NUM!</v>
      </c>
      <c r="AY27" s="41" t="e">
        <f t="shared" ca="1" si="35"/>
        <v>#NUM!</v>
      </c>
      <c r="AZ27" s="41">
        <f t="shared" si="36"/>
        <v>0.1237625816631209</v>
      </c>
      <c r="BA27" s="179">
        <f t="shared" si="46"/>
        <v>0.19662596248233655</v>
      </c>
      <c r="BB27" s="156">
        <f t="shared" si="47"/>
        <v>14.370806906418352</v>
      </c>
    </row>
    <row r="28" spans="1:56" ht="14.5">
      <c r="A28" s="41" t="e">
        <f t="shared" ca="1" si="37"/>
        <v>#NUM!</v>
      </c>
      <c r="B28" s="41" t="e">
        <f t="shared" ca="1" si="38"/>
        <v>#NUM!</v>
      </c>
      <c r="C28" s="41" t="e">
        <f t="shared" ca="1" si="38"/>
        <v>#NUM!</v>
      </c>
      <c r="D28" s="41" t="e">
        <f t="shared" ca="1" si="39"/>
        <v>#NUM!</v>
      </c>
      <c r="E28" s="41" t="e">
        <f t="shared" ca="1" si="40"/>
        <v>#NUM!</v>
      </c>
      <c r="F28" s="41" t="e">
        <f t="shared" ca="1" si="41"/>
        <v>#NUM!</v>
      </c>
      <c r="G28" s="41"/>
      <c r="H28" s="7">
        <f t="shared" si="42"/>
        <v>2500</v>
      </c>
      <c r="I28" s="6">
        <v>15</v>
      </c>
      <c r="J28" s="41">
        <f t="shared" si="1"/>
        <v>0.1680622369248535</v>
      </c>
      <c r="K28" s="41">
        <f t="shared" si="2"/>
        <v>190.87610143537037</v>
      </c>
      <c r="L28" s="6">
        <f t="shared" si="48"/>
        <v>106.25</v>
      </c>
      <c r="M28" s="41">
        <f t="shared" si="3"/>
        <v>113.09103608283398</v>
      </c>
      <c r="N28" s="41">
        <f t="shared" si="4"/>
        <v>38.196379356995237</v>
      </c>
      <c r="O28" s="41">
        <f t="shared" si="5"/>
        <v>1042884.0026760864</v>
      </c>
      <c r="P28" s="41">
        <f t="shared" si="6"/>
        <v>6696048.1152568255</v>
      </c>
      <c r="Q28" s="41">
        <f t="shared" si="7"/>
        <v>3.1970272685914922E-3</v>
      </c>
      <c r="R28" s="41">
        <f t="shared" si="43"/>
        <v>2.443676021091638E-2</v>
      </c>
      <c r="S28" s="24" t="e">
        <f t="shared" ca="1" si="44"/>
        <v>#NUM!</v>
      </c>
      <c r="T28" s="10" t="e">
        <f t="shared" ca="1" si="8"/>
        <v>#NUM!</v>
      </c>
      <c r="U28" s="41" t="e">
        <f t="shared" ca="1" si="9"/>
        <v>#NUM!</v>
      </c>
      <c r="V28" s="41" t="e">
        <f t="shared" ca="1" si="10"/>
        <v>#NUM!</v>
      </c>
      <c r="W28" s="41" t="e">
        <f t="shared" ca="1" si="11"/>
        <v>#NUM!</v>
      </c>
      <c r="X28" s="20" t="e">
        <f t="shared" ca="1" si="12"/>
        <v>#NUM!</v>
      </c>
      <c r="Y28" s="41">
        <f t="shared" si="13"/>
        <v>0.62203098446540206</v>
      </c>
      <c r="Z28" s="41" t="e">
        <f t="shared" ca="1" si="14"/>
        <v>#NUM!</v>
      </c>
      <c r="AA28" s="14" t="e">
        <f t="shared" ca="1" si="15"/>
        <v>#NUM!</v>
      </c>
      <c r="AB28" s="14">
        <f t="shared" si="49"/>
        <v>5331.6994032193461</v>
      </c>
      <c r="AC28" s="25" t="e">
        <f t="shared" ca="1" si="16"/>
        <v>#NUM!</v>
      </c>
      <c r="AD28" s="41">
        <f t="shared" si="17"/>
        <v>1017693.9961117996</v>
      </c>
      <c r="AE28" s="6">
        <v>100</v>
      </c>
      <c r="AF28" s="41">
        <f t="shared" si="18"/>
        <v>5331.6994032193461</v>
      </c>
      <c r="AG28" s="41" t="e">
        <f t="shared" ca="1" si="19"/>
        <v>#NUM!</v>
      </c>
      <c r="AH28" s="41" t="e">
        <f t="shared" ca="1" si="20"/>
        <v>#NUM!</v>
      </c>
      <c r="AI28" s="41">
        <f t="shared" si="21"/>
        <v>3957.6898139517443</v>
      </c>
      <c r="AJ28" s="13" t="e">
        <f t="shared" ca="1" si="22"/>
        <v>#NUM!</v>
      </c>
      <c r="AK28" s="11" t="e">
        <f t="shared" ca="1" si="23"/>
        <v>#NUM!</v>
      </c>
      <c r="AL28" s="6">
        <f t="shared" si="50"/>
        <v>500</v>
      </c>
      <c r="AM28" s="41" t="e">
        <f t="shared" ca="1" si="24"/>
        <v>#NUM!</v>
      </c>
      <c r="AN28" s="41" t="e">
        <f t="shared" ca="1" si="25"/>
        <v>#NUM!</v>
      </c>
      <c r="AO28" s="41" t="e">
        <f t="shared" ca="1" si="26"/>
        <v>#NUM!</v>
      </c>
      <c r="AP28" s="67">
        <f t="shared" si="45"/>
        <v>0.74229425079029066</v>
      </c>
      <c r="AQ28" s="11">
        <f t="shared" si="27"/>
        <v>1.0348678457183758</v>
      </c>
      <c r="AR28" s="11">
        <f t="shared" si="28"/>
        <v>0.91289969920199743</v>
      </c>
      <c r="AS28" s="11">
        <f t="shared" si="29"/>
        <v>0.88214133135839046</v>
      </c>
      <c r="AT28" s="11">
        <f t="shared" si="30"/>
        <v>536.75490553874988</v>
      </c>
      <c r="AU28" s="11">
        <f t="shared" si="31"/>
        <v>1931.8966014452508</v>
      </c>
      <c r="AV28" s="11">
        <f t="shared" si="32"/>
        <v>2.0967617305057583E-3</v>
      </c>
      <c r="AW28" s="11">
        <f t="shared" si="33"/>
        <v>3.8376435320786708E-7</v>
      </c>
      <c r="AX28" s="41" t="e">
        <f t="shared" ca="1" si="34"/>
        <v>#NUM!</v>
      </c>
      <c r="AY28" s="41" t="e">
        <f t="shared" ca="1" si="35"/>
        <v>#NUM!</v>
      </c>
      <c r="AZ28" s="41">
        <f t="shared" si="36"/>
        <v>0.12518783100131906</v>
      </c>
      <c r="BA28" s="179">
        <f t="shared" si="46"/>
        <v>0.23192921831609681</v>
      </c>
      <c r="BB28" s="156">
        <f t="shared" si="47"/>
        <v>11.457160186431224</v>
      </c>
    </row>
    <row r="29" spans="1:56" ht="14.5">
      <c r="A29" s="41" t="e">
        <f t="shared" ca="1" si="37"/>
        <v>#NUM!</v>
      </c>
      <c r="B29" s="41" t="e">
        <f t="shared" ca="1" si="38"/>
        <v>#NUM!</v>
      </c>
      <c r="C29" s="41" t="e">
        <f t="shared" ca="1" si="38"/>
        <v>#NUM!</v>
      </c>
      <c r="D29" s="41" t="e">
        <f t="shared" ca="1" si="39"/>
        <v>#NUM!</v>
      </c>
      <c r="E29" s="41" t="e">
        <f t="shared" ca="1" si="40"/>
        <v>#NUM!</v>
      </c>
      <c r="F29" s="41" t="e">
        <f t="shared" ca="1" si="41"/>
        <v>#NUM!</v>
      </c>
      <c r="G29" s="41"/>
      <c r="H29" s="7">
        <f t="shared" si="42"/>
        <v>3000</v>
      </c>
      <c r="I29" s="6">
        <v>15</v>
      </c>
      <c r="J29" s="41">
        <f t="shared" si="1"/>
        <v>0.17000472828506552</v>
      </c>
      <c r="K29" s="41">
        <f t="shared" si="2"/>
        <v>192.7613173631473</v>
      </c>
      <c r="L29" s="6">
        <f t="shared" si="48"/>
        <v>106.5</v>
      </c>
      <c r="M29" s="41">
        <f t="shared" si="3"/>
        <v>114.20799635658696</v>
      </c>
      <c r="N29" s="41">
        <f t="shared" si="4"/>
        <v>38.371212217792838</v>
      </c>
      <c r="O29" s="41">
        <f t="shared" si="5"/>
        <v>1040074.4995460988</v>
      </c>
      <c r="P29" s="41">
        <f t="shared" si="6"/>
        <v>6678009.1309689386</v>
      </c>
      <c r="Q29" s="41">
        <f t="shared" si="7"/>
        <v>3.1982476300419834E-3</v>
      </c>
      <c r="R29" s="41">
        <f t="shared" si="43"/>
        <v>2.4444179563612202E-2</v>
      </c>
      <c r="S29" s="24" t="e">
        <f t="shared" ca="1" si="44"/>
        <v>#NUM!</v>
      </c>
      <c r="T29" s="10" t="e">
        <f t="shared" ca="1" si="8"/>
        <v>#NUM!</v>
      </c>
      <c r="U29" s="41" t="e">
        <f t="shared" ca="1" si="9"/>
        <v>#NUM!</v>
      </c>
      <c r="V29" s="41" t="e">
        <f t="shared" ca="1" si="10"/>
        <v>#NUM!</v>
      </c>
      <c r="W29" s="41" t="e">
        <f t="shared" ca="1" si="11"/>
        <v>#NUM!</v>
      </c>
      <c r="X29" s="20" t="e">
        <f t="shared" ca="1" si="12"/>
        <v>#NUM!</v>
      </c>
      <c r="Y29" s="41">
        <f t="shared" si="13"/>
        <v>0.62212540608624256</v>
      </c>
      <c r="Z29" s="41" t="e">
        <f t="shared" ca="1" si="14"/>
        <v>#NUM!</v>
      </c>
      <c r="AA29" s="14" t="e">
        <f t="shared" ca="1" si="15"/>
        <v>#NUM!</v>
      </c>
      <c r="AB29" s="14">
        <f t="shared" si="49"/>
        <v>5234.4042087224379</v>
      </c>
      <c r="AC29" s="25" t="e">
        <f t="shared" ca="1" si="16"/>
        <v>#NUM!</v>
      </c>
      <c r="AD29" s="41">
        <f t="shared" si="17"/>
        <v>1008990.6508845398</v>
      </c>
      <c r="AE29" s="6">
        <v>100</v>
      </c>
      <c r="AF29" s="41">
        <f t="shared" si="18"/>
        <v>5234.4042087224379</v>
      </c>
      <c r="AG29" s="41" t="e">
        <f t="shared" ca="1" si="19"/>
        <v>#NUM!</v>
      </c>
      <c r="AH29" s="41" t="e">
        <f t="shared" ca="1" si="20"/>
        <v>#NUM!</v>
      </c>
      <c r="AI29" s="41">
        <f t="shared" si="21"/>
        <v>3887.6870015328627</v>
      </c>
      <c r="AJ29" s="13" t="e">
        <f t="shared" ca="1" si="22"/>
        <v>#NUM!</v>
      </c>
      <c r="AK29" s="11" t="e">
        <f t="shared" ca="1" si="23"/>
        <v>#NUM!</v>
      </c>
      <c r="AL29" s="6">
        <f t="shared" si="50"/>
        <v>500</v>
      </c>
      <c r="AM29" s="41" t="e">
        <f t="shared" ca="1" si="24"/>
        <v>#NUM!</v>
      </c>
      <c r="AN29" s="41" t="e">
        <f t="shared" ca="1" si="25"/>
        <v>#NUM!</v>
      </c>
      <c r="AO29" s="41" t="e">
        <f t="shared" ca="1" si="26"/>
        <v>#NUM!</v>
      </c>
      <c r="AP29" s="67">
        <f t="shared" si="45"/>
        <v>0.74271814833377781</v>
      </c>
      <c r="AQ29" s="11">
        <f t="shared" si="27"/>
        <v>1.0314301707183759</v>
      </c>
      <c r="AR29" s="11">
        <f t="shared" si="28"/>
        <v>0.8962407041850623</v>
      </c>
      <c r="AS29" s="11">
        <f t="shared" si="29"/>
        <v>0.86893008332386068</v>
      </c>
      <c r="AT29" s="11">
        <f t="shared" si="30"/>
        <v>534.97188664650002</v>
      </c>
      <c r="AU29" s="11">
        <f t="shared" si="31"/>
        <v>1896.6425030105124</v>
      </c>
      <c r="AV29" s="11">
        <f t="shared" si="32"/>
        <v>2.0653599150524844E-3</v>
      </c>
      <c r="AW29" s="11">
        <f t="shared" si="33"/>
        <v>3.8278171249107636E-7</v>
      </c>
      <c r="AX29" s="41" t="e">
        <f t="shared" ca="1" si="34"/>
        <v>#NUM!</v>
      </c>
      <c r="AY29" s="41" t="e">
        <f t="shared" ca="1" si="35"/>
        <v>#NUM!</v>
      </c>
      <c r="AZ29" s="41">
        <f t="shared" si="36"/>
        <v>0.12663081017883426</v>
      </c>
      <c r="BA29" s="179">
        <f t="shared" si="46"/>
        <v>0.26471968006634228</v>
      </c>
      <c r="BB29" s="156">
        <f t="shared" si="47"/>
        <v>9.0633030010699827</v>
      </c>
    </row>
    <row r="30" spans="1:56" ht="14.5">
      <c r="A30" s="41" t="e">
        <f t="shared" ca="1" si="37"/>
        <v>#NUM!</v>
      </c>
      <c r="B30" s="41" t="e">
        <f t="shared" ca="1" si="38"/>
        <v>#NUM!</v>
      </c>
      <c r="C30" s="41" t="e">
        <f t="shared" ca="1" si="38"/>
        <v>#NUM!</v>
      </c>
      <c r="D30" s="41" t="e">
        <f t="shared" ca="1" si="39"/>
        <v>#NUM!</v>
      </c>
      <c r="E30" s="41" t="e">
        <f t="shared" ca="1" si="40"/>
        <v>#NUM!</v>
      </c>
      <c r="F30" s="41" t="e">
        <f t="shared" ca="1" si="41"/>
        <v>#NUM!</v>
      </c>
      <c r="G30" s="41"/>
      <c r="H30" s="7">
        <f t="shared" si="42"/>
        <v>3500</v>
      </c>
      <c r="I30" s="6">
        <v>15</v>
      </c>
      <c r="J30" s="41">
        <f t="shared" si="1"/>
        <v>0.17197393934905181</v>
      </c>
      <c r="K30" s="41">
        <f t="shared" si="2"/>
        <v>194.66890300568238</v>
      </c>
      <c r="L30" s="6">
        <f t="shared" si="48"/>
        <v>106.75</v>
      </c>
      <c r="M30" s="41">
        <f t="shared" si="3"/>
        <v>115.33821032841873</v>
      </c>
      <c r="N30" s="41">
        <f t="shared" si="4"/>
        <v>38.546262424002471</v>
      </c>
      <c r="O30" s="41">
        <f t="shared" si="5"/>
        <v>1037248.055247333</v>
      </c>
      <c r="P30" s="41">
        <f t="shared" si="6"/>
        <v>6659861.3724732064</v>
      </c>
      <c r="Q30" s="41">
        <f t="shared" si="7"/>
        <v>3.1994761428744151E-3</v>
      </c>
      <c r="R30" s="41">
        <f t="shared" si="43"/>
        <v>2.4451648473738367E-2</v>
      </c>
      <c r="S30" s="24" t="e">
        <f t="shared" ca="1" si="44"/>
        <v>#NUM!</v>
      </c>
      <c r="T30" s="10" t="e">
        <f t="shared" ca="1" si="8"/>
        <v>#NUM!</v>
      </c>
      <c r="U30" s="41" t="e">
        <f t="shared" ca="1" si="9"/>
        <v>#NUM!</v>
      </c>
      <c r="V30" s="41" t="e">
        <f t="shared" ca="1" si="10"/>
        <v>#NUM!</v>
      </c>
      <c r="W30" s="41" t="e">
        <f t="shared" ca="1" si="11"/>
        <v>#NUM!</v>
      </c>
      <c r="X30" s="20" t="e">
        <f t="shared" ca="1" si="12"/>
        <v>#NUM!</v>
      </c>
      <c r="Y30" s="41">
        <f t="shared" si="13"/>
        <v>0.62222044392225884</v>
      </c>
      <c r="Z30" s="41" t="e">
        <f t="shared" ca="1" si="14"/>
        <v>#NUM!</v>
      </c>
      <c r="AA30" s="14" t="e">
        <f t="shared" ca="1" si="15"/>
        <v>#NUM!</v>
      </c>
      <c r="AB30" s="14">
        <f t="shared" si="49"/>
        <v>5138.55172245822</v>
      </c>
      <c r="AC30" s="25" t="e">
        <f t="shared" ca="1" si="16"/>
        <v>#NUM!</v>
      </c>
      <c r="AD30" s="41">
        <f t="shared" si="17"/>
        <v>1000316.2268489014</v>
      </c>
      <c r="AE30" s="6">
        <v>100</v>
      </c>
      <c r="AF30" s="41">
        <f t="shared" si="18"/>
        <v>5138.55172245822</v>
      </c>
      <c r="AG30" s="41" t="e">
        <f t="shared" ca="1" si="19"/>
        <v>#NUM!</v>
      </c>
      <c r="AH30" s="41" t="e">
        <f t="shared" ca="1" si="20"/>
        <v>#NUM!</v>
      </c>
      <c r="AI30" s="41">
        <f t="shared" si="21"/>
        <v>3818.7002636639581</v>
      </c>
      <c r="AJ30" s="13" t="e">
        <f t="shared" ca="1" si="22"/>
        <v>#NUM!</v>
      </c>
      <c r="AK30" s="11" t="e">
        <f t="shared" ca="1" si="23"/>
        <v>#NUM!</v>
      </c>
      <c r="AL30" s="6">
        <f t="shared" si="50"/>
        <v>500</v>
      </c>
      <c r="AM30" s="41" t="e">
        <f t="shared" ca="1" si="24"/>
        <v>#NUM!</v>
      </c>
      <c r="AN30" s="41" t="e">
        <f t="shared" ca="1" si="25"/>
        <v>#NUM!</v>
      </c>
      <c r="AO30" s="41" t="e">
        <f t="shared" ca="1" si="26"/>
        <v>#NUM!</v>
      </c>
      <c r="AP30" s="67">
        <f t="shared" si="45"/>
        <v>0.74314718814139691</v>
      </c>
      <c r="AQ30" s="11">
        <f t="shared" si="27"/>
        <v>1.0279924957183759</v>
      </c>
      <c r="AR30" s="11">
        <f t="shared" si="28"/>
        <v>0.87982873132974104</v>
      </c>
      <c r="AS30" s="11">
        <f t="shared" si="29"/>
        <v>0.85587077239790943</v>
      </c>
      <c r="AT30" s="11">
        <f t="shared" si="30"/>
        <v>533.18886775424994</v>
      </c>
      <c r="AU30" s="11">
        <f t="shared" si="31"/>
        <v>1861.9111578146244</v>
      </c>
      <c r="AV30" s="11">
        <f t="shared" si="32"/>
        <v>2.0343192389125908E-3</v>
      </c>
      <c r="AW30" s="11">
        <f t="shared" si="33"/>
        <v>3.8179748093915456E-7</v>
      </c>
      <c r="AX30" s="41" t="e">
        <f t="shared" ca="1" si="34"/>
        <v>#NUM!</v>
      </c>
      <c r="AY30" s="41" t="e">
        <f t="shared" ca="1" si="35"/>
        <v>#NUM!</v>
      </c>
      <c r="AZ30" s="41">
        <f t="shared" si="36"/>
        <v>0.12809176625986651</v>
      </c>
      <c r="BA30" s="179">
        <f t="shared" si="46"/>
        <v>0.29508067237990332</v>
      </c>
      <c r="BB30" s="156">
        <f t="shared" si="47"/>
        <v>7.1075768870349521</v>
      </c>
    </row>
    <row r="31" spans="1:56" ht="14.5">
      <c r="A31" s="41" t="e">
        <f t="shared" ca="1" si="37"/>
        <v>#NUM!</v>
      </c>
      <c r="B31" s="41" t="e">
        <f t="shared" ca="1" si="38"/>
        <v>#NUM!</v>
      </c>
      <c r="C31" s="41" t="e">
        <f t="shared" ca="1" si="38"/>
        <v>#NUM!</v>
      </c>
      <c r="D31" s="41" t="e">
        <f t="shared" ca="1" si="39"/>
        <v>#NUM!</v>
      </c>
      <c r="E31" s="41" t="e">
        <f t="shared" ca="1" si="40"/>
        <v>#NUM!</v>
      </c>
      <c r="F31" s="41" t="e">
        <f t="shared" ca="1" si="41"/>
        <v>#NUM!</v>
      </c>
      <c r="G31" s="41"/>
      <c r="H31" s="7">
        <f t="shared" si="42"/>
        <v>4000</v>
      </c>
      <c r="I31" s="6">
        <v>15</v>
      </c>
      <c r="J31" s="41">
        <f t="shared" si="1"/>
        <v>0.17397031201379834</v>
      </c>
      <c r="K31" s="41">
        <f t="shared" si="2"/>
        <v>196.59918479709634</v>
      </c>
      <c r="L31" s="6">
        <f t="shared" si="48"/>
        <v>107</v>
      </c>
      <c r="M31" s="41">
        <f t="shared" si="3"/>
        <v>116.48187140532283</v>
      </c>
      <c r="N31" s="41">
        <f t="shared" si="4"/>
        <v>38.721523136190754</v>
      </c>
      <c r="O31" s="41">
        <f t="shared" si="5"/>
        <v>1034404.7032712325</v>
      </c>
      <c r="P31" s="41">
        <f t="shared" si="6"/>
        <v>6641605.0548082273</v>
      </c>
      <c r="Q31" s="41">
        <f t="shared" si="7"/>
        <v>3.2007127582369833E-3</v>
      </c>
      <c r="R31" s="41">
        <f t="shared" si="43"/>
        <v>2.4459166644293713E-2</v>
      </c>
      <c r="S31" s="24" t="e">
        <f t="shared" ca="1" si="44"/>
        <v>#NUM!</v>
      </c>
      <c r="T31" s="10" t="e">
        <f t="shared" ca="1" si="8"/>
        <v>#NUM!</v>
      </c>
      <c r="U31" s="41" t="e">
        <f t="shared" ca="1" si="9"/>
        <v>#NUM!</v>
      </c>
      <c r="V31" s="41" t="e">
        <f t="shared" ca="1" si="10"/>
        <v>#NUM!</v>
      </c>
      <c r="W31" s="41" t="e">
        <f t="shared" ca="1" si="11"/>
        <v>#NUM!</v>
      </c>
      <c r="X31" s="20" t="e">
        <f t="shared" ca="1" si="12"/>
        <v>#NUM!</v>
      </c>
      <c r="Y31" s="41">
        <f t="shared" si="13"/>
        <v>0.62231609391282328</v>
      </c>
      <c r="Z31" s="41" t="e">
        <f t="shared" ca="1" si="14"/>
        <v>#NUM!</v>
      </c>
      <c r="AA31" s="14" t="e">
        <f t="shared" ca="1" si="15"/>
        <v>#NUM!</v>
      </c>
      <c r="AB31" s="14">
        <f t="shared" si="49"/>
        <v>5044.1255207638187</v>
      </c>
      <c r="AC31" s="25" t="e">
        <f t="shared" ca="1" si="16"/>
        <v>#NUM!</v>
      </c>
      <c r="AD31" s="41">
        <f t="shared" si="17"/>
        <v>991670.96539639577</v>
      </c>
      <c r="AE31" s="6">
        <v>100</v>
      </c>
      <c r="AF31" s="41">
        <f t="shared" si="18"/>
        <v>5044.1255207638187</v>
      </c>
      <c r="AG31" s="41" t="e">
        <f t="shared" ca="1" si="19"/>
        <v>#NUM!</v>
      </c>
      <c r="AH31" s="41" t="e">
        <f t="shared" ca="1" si="20"/>
        <v>#NUM!</v>
      </c>
      <c r="AI31" s="41">
        <f t="shared" si="21"/>
        <v>3750.7181111324344</v>
      </c>
      <c r="AJ31" s="13" t="e">
        <f t="shared" ca="1" si="22"/>
        <v>#NUM!</v>
      </c>
      <c r="AK31" s="11" t="e">
        <f t="shared" ca="1" si="23"/>
        <v>#NUM!</v>
      </c>
      <c r="AL31" s="6">
        <f t="shared" si="50"/>
        <v>500</v>
      </c>
      <c r="AM31" s="41" t="e">
        <f t="shared" ca="1" si="24"/>
        <v>#NUM!</v>
      </c>
      <c r="AN31" s="41" t="e">
        <f t="shared" ca="1" si="25"/>
        <v>#NUM!</v>
      </c>
      <c r="AO31" s="41" t="e">
        <f t="shared" ca="1" si="26"/>
        <v>#NUM!</v>
      </c>
      <c r="AP31" s="67">
        <f t="shared" si="45"/>
        <v>0.7435814385849131</v>
      </c>
      <c r="AQ31" s="11">
        <f t="shared" si="27"/>
        <v>1.0245548207183759</v>
      </c>
      <c r="AR31" s="11">
        <f t="shared" si="28"/>
        <v>0.86366096855760188</v>
      </c>
      <c r="AS31" s="11">
        <f t="shared" si="29"/>
        <v>0.84296218327491557</v>
      </c>
      <c r="AT31" s="11">
        <f t="shared" si="30"/>
        <v>531.40584886199997</v>
      </c>
      <c r="AU31" s="11">
        <f t="shared" si="31"/>
        <v>1827.6966148809681</v>
      </c>
      <c r="AV31" s="11">
        <f t="shared" si="32"/>
        <v>2.0036368134261468E-3</v>
      </c>
      <c r="AW31" s="11">
        <f t="shared" si="33"/>
        <v>3.8081165225110524E-7</v>
      </c>
      <c r="AX31" s="41" t="e">
        <f t="shared" ca="1" si="34"/>
        <v>#NUM!</v>
      </c>
      <c r="AY31" s="41" t="e">
        <f t="shared" ca="1" si="35"/>
        <v>#NUM!</v>
      </c>
      <c r="AZ31" s="41">
        <f t="shared" si="36"/>
        <v>0.12957094973207428</v>
      </c>
      <c r="BA31" s="179">
        <f t="shared" si="46"/>
        <v>0.32313258223823382</v>
      </c>
      <c r="BB31" s="156">
        <f t="shared" si="47"/>
        <v>5.5198109632551677</v>
      </c>
    </row>
    <row r="32" spans="1:56" ht="14.5">
      <c r="A32" s="41" t="e">
        <f t="shared" ca="1" si="37"/>
        <v>#NUM!</v>
      </c>
      <c r="B32" s="41" t="e">
        <f t="shared" ca="1" si="38"/>
        <v>#NUM!</v>
      </c>
      <c r="C32" s="41" t="e">
        <f t="shared" ca="1" si="38"/>
        <v>#NUM!</v>
      </c>
      <c r="D32" s="41" t="e">
        <f t="shared" ca="1" si="39"/>
        <v>#NUM!</v>
      </c>
      <c r="E32" s="41" t="e">
        <f t="shared" ca="1" si="40"/>
        <v>#NUM!</v>
      </c>
      <c r="F32" s="41" t="e">
        <f t="shared" ca="1" si="41"/>
        <v>#NUM!</v>
      </c>
      <c r="G32" s="41"/>
      <c r="H32" s="7">
        <f t="shared" si="42"/>
        <v>4500</v>
      </c>
      <c r="I32" s="6">
        <v>15</v>
      </c>
      <c r="J32" s="41">
        <f t="shared" si="1"/>
        <v>0.17599429660433716</v>
      </c>
      <c r="K32" s="41">
        <f t="shared" si="2"/>
        <v>198.5524946698423</v>
      </c>
      <c r="L32" s="6">
        <f t="shared" si="48"/>
        <v>107.25</v>
      </c>
      <c r="M32" s="41">
        <f t="shared" si="3"/>
        <v>117.63917625196684</v>
      </c>
      <c r="N32" s="41">
        <f t="shared" si="4"/>
        <v>38.896987287008685</v>
      </c>
      <c r="O32" s="41">
        <f t="shared" si="5"/>
        <v>1031544.4762196572</v>
      </c>
      <c r="P32" s="41">
        <f t="shared" si="6"/>
        <v>6623240.3873008518</v>
      </c>
      <c r="Q32" s="41">
        <f t="shared" si="7"/>
        <v>3.2019574247897182E-3</v>
      </c>
      <c r="R32" s="41">
        <f t="shared" si="43"/>
        <v>2.446673376314995E-2</v>
      </c>
      <c r="S32" s="24" t="e">
        <f t="shared" ca="1" si="44"/>
        <v>#NUM!</v>
      </c>
      <c r="T32" s="10" t="e">
        <f t="shared" ca="1" si="8"/>
        <v>#NUM!</v>
      </c>
      <c r="U32" s="41" t="e">
        <f t="shared" ca="1" si="9"/>
        <v>#NUM!</v>
      </c>
      <c r="V32" s="41" t="e">
        <f t="shared" ca="1" si="10"/>
        <v>#NUM!</v>
      </c>
      <c r="W32" s="41" t="e">
        <f t="shared" ca="1" si="11"/>
        <v>#NUM!</v>
      </c>
      <c r="X32" s="20" t="e">
        <f t="shared" ca="1" si="12"/>
        <v>#NUM!</v>
      </c>
      <c r="Y32" s="41">
        <f t="shared" si="13"/>
        <v>0.6224123518055793</v>
      </c>
      <c r="Z32" s="41" t="e">
        <f t="shared" ca="1" si="14"/>
        <v>#NUM!</v>
      </c>
      <c r="AA32" s="14" t="e">
        <f t="shared" ca="1" si="15"/>
        <v>#NUM!</v>
      </c>
      <c r="AB32" s="14">
        <f t="shared" si="49"/>
        <v>4951.1093099771379</v>
      </c>
      <c r="AC32" s="25" t="e">
        <f t="shared" ca="1" si="16"/>
        <v>#NUM!</v>
      </c>
      <c r="AD32" s="41">
        <f t="shared" si="17"/>
        <v>983055.10487904225</v>
      </c>
      <c r="AE32" s="6">
        <v>100</v>
      </c>
      <c r="AF32" s="41">
        <f t="shared" si="18"/>
        <v>4951.1093099771379</v>
      </c>
      <c r="AG32" s="41" t="e">
        <f t="shared" ca="1" si="19"/>
        <v>#NUM!</v>
      </c>
      <c r="AH32" s="41" t="e">
        <f t="shared" ca="1" si="20"/>
        <v>#NUM!</v>
      </c>
      <c r="AI32" s="41">
        <f t="shared" si="21"/>
        <v>3683.7291458788027</v>
      </c>
      <c r="AJ32" s="13" t="e">
        <f t="shared" ca="1" si="22"/>
        <v>#NUM!</v>
      </c>
      <c r="AK32" s="11" t="e">
        <f t="shared" ca="1" si="23"/>
        <v>#NUM!</v>
      </c>
      <c r="AL32" s="6">
        <f t="shared" si="50"/>
        <v>500</v>
      </c>
      <c r="AM32" s="41" t="e">
        <f t="shared" ca="1" si="24"/>
        <v>#NUM!</v>
      </c>
      <c r="AN32" s="41" t="e">
        <f t="shared" ca="1" si="25"/>
        <v>#NUM!</v>
      </c>
      <c r="AO32" s="41" t="e">
        <f t="shared" ca="1" si="26"/>
        <v>#NUM!</v>
      </c>
      <c r="AP32" s="67">
        <f t="shared" si="45"/>
        <v>0.74402096888784153</v>
      </c>
      <c r="AQ32" s="11">
        <f t="shared" si="27"/>
        <v>1.0211171457183759</v>
      </c>
      <c r="AR32" s="11">
        <f t="shared" si="28"/>
        <v>0.84773462604909555</v>
      </c>
      <c r="AS32" s="11">
        <f t="shared" si="29"/>
        <v>0.83020310608211134</v>
      </c>
      <c r="AT32" s="11">
        <f t="shared" si="30"/>
        <v>529.62282996975</v>
      </c>
      <c r="AU32" s="11">
        <f t="shared" si="31"/>
        <v>1793.9929703376167</v>
      </c>
      <c r="AV32" s="11">
        <f t="shared" si="32"/>
        <v>1.9733097628465705E-3</v>
      </c>
      <c r="AW32" s="11">
        <f t="shared" si="33"/>
        <v>3.79824220091224E-7</v>
      </c>
      <c r="AX32" s="41" t="e">
        <f t="shared" ca="1" si="34"/>
        <v>#NUM!</v>
      </c>
      <c r="AY32" s="41" t="e">
        <f t="shared" ca="1" si="35"/>
        <v>#NUM!</v>
      </c>
      <c r="AZ32" s="41">
        <f t="shared" si="36"/>
        <v>0.1310686145363251</v>
      </c>
      <c r="BA32" s="179">
        <f t="shared" si="46"/>
        <v>0.34902072321268207</v>
      </c>
      <c r="BB32" s="156">
        <f t="shared" si="47"/>
        <v>4.2398610002570081</v>
      </c>
    </row>
    <row r="33" spans="1:55" ht="14.5">
      <c r="A33" s="41" t="e">
        <f t="shared" ca="1" si="37"/>
        <v>#NUM!</v>
      </c>
      <c r="B33" s="41" t="e">
        <f t="shared" ca="1" si="38"/>
        <v>#NUM!</v>
      </c>
      <c r="C33" s="41" t="e">
        <f t="shared" ca="1" si="38"/>
        <v>#NUM!</v>
      </c>
      <c r="D33" s="41" t="e">
        <f t="shared" ca="1" si="39"/>
        <v>#NUM!</v>
      </c>
      <c r="E33" s="41" t="e">
        <f t="shared" ca="1" si="40"/>
        <v>#NUM!</v>
      </c>
      <c r="F33" s="41" t="e">
        <f t="shared" ca="1" si="41"/>
        <v>#NUM!</v>
      </c>
      <c r="G33" s="41"/>
      <c r="H33" s="7">
        <f t="shared" si="42"/>
        <v>5000</v>
      </c>
      <c r="I33" s="6">
        <v>15</v>
      </c>
      <c r="J33" s="41">
        <f t="shared" si="1"/>
        <v>0.17804635204924521</v>
      </c>
      <c r="K33" s="41">
        <f t="shared" si="2"/>
        <v>200.52917015228331</v>
      </c>
      <c r="L33" s="6">
        <f t="shared" si="48"/>
        <v>107.5</v>
      </c>
      <c r="M33" s="41">
        <f t="shared" si="3"/>
        <v>118.81032484850543</v>
      </c>
      <c r="N33" s="41">
        <f t="shared" si="4"/>
        <v>39.072647573280534</v>
      </c>
      <c r="O33" s="41">
        <f t="shared" si="5"/>
        <v>1028667.4057785589</v>
      </c>
      <c r="P33" s="41">
        <f t="shared" si="6"/>
        <v>6604767.5733971549</v>
      </c>
      <c r="Q33" s="41">
        <f t="shared" si="7"/>
        <v>3.203210088602854E-3</v>
      </c>
      <c r="R33" s="41">
        <f t="shared" si="43"/>
        <v>2.4474349502433761E-2</v>
      </c>
      <c r="S33" s="24" t="e">
        <f t="shared" ca="1" si="44"/>
        <v>#NUM!</v>
      </c>
      <c r="T33" s="10" t="e">
        <f t="shared" ca="1" si="8"/>
        <v>#NUM!</v>
      </c>
      <c r="U33" s="41" t="e">
        <f t="shared" ca="1" si="9"/>
        <v>#NUM!</v>
      </c>
      <c r="V33" s="41" t="e">
        <f t="shared" ca="1" si="10"/>
        <v>#NUM!</v>
      </c>
      <c r="W33" s="41" t="e">
        <f t="shared" ca="1" si="11"/>
        <v>#NUM!</v>
      </c>
      <c r="X33" s="20" t="e">
        <f t="shared" ca="1" si="12"/>
        <v>#NUM!</v>
      </c>
      <c r="Y33" s="41">
        <f t="shared" si="13"/>
        <v>0.6225092131487725</v>
      </c>
      <c r="Z33" s="41" t="e">
        <f t="shared" ca="1" si="14"/>
        <v>#NUM!</v>
      </c>
      <c r="AA33" s="14" t="e">
        <f t="shared" ca="1" si="15"/>
        <v>#NUM!</v>
      </c>
      <c r="AB33" s="14">
        <f t="shared" si="49"/>
        <v>4859.4869258619374</v>
      </c>
      <c r="AC33" s="25" t="e">
        <f t="shared" ca="1" si="16"/>
        <v>#NUM!</v>
      </c>
      <c r="AD33" s="41">
        <f t="shared" si="17"/>
        <v>974468.8806089646</v>
      </c>
      <c r="AE33" s="6">
        <v>100</v>
      </c>
      <c r="AF33" s="41">
        <f t="shared" si="18"/>
        <v>4859.4869258619374</v>
      </c>
      <c r="AG33" s="41" t="e">
        <f t="shared" ca="1" si="19"/>
        <v>#NUM!</v>
      </c>
      <c r="AH33" s="41" t="e">
        <f t="shared" ca="1" si="20"/>
        <v>#NUM!</v>
      </c>
      <c r="AI33" s="41">
        <f t="shared" si="21"/>
        <v>3617.7220605938846</v>
      </c>
      <c r="AJ33" s="13" t="e">
        <f t="shared" ca="1" si="22"/>
        <v>#NUM!</v>
      </c>
      <c r="AK33" s="11" t="e">
        <f t="shared" ca="1" si="23"/>
        <v>#NUM!</v>
      </c>
      <c r="AL33" s="6">
        <f t="shared" si="50"/>
        <v>500</v>
      </c>
      <c r="AM33" s="41" t="e">
        <f t="shared" ca="1" si="24"/>
        <v>#NUM!</v>
      </c>
      <c r="AN33" s="41" t="e">
        <f t="shared" ca="1" si="25"/>
        <v>#NUM!</v>
      </c>
      <c r="AO33" s="41" t="e">
        <f t="shared" ca="1" si="26"/>
        <v>#NUM!</v>
      </c>
      <c r="AP33" s="67">
        <f t="shared" si="45"/>
        <v>0.74446584912916536</v>
      </c>
      <c r="AQ33" s="11">
        <f t="shared" si="27"/>
        <v>1.0176794707183758</v>
      </c>
      <c r="AR33" s="11">
        <f t="shared" si="28"/>
        <v>0.83204693614511627</v>
      </c>
      <c r="AS33" s="11">
        <f t="shared" si="29"/>
        <v>0.81759233637461282</v>
      </c>
      <c r="AT33" s="11">
        <f t="shared" si="30"/>
        <v>527.83981107749992</v>
      </c>
      <c r="AU33" s="11">
        <f t="shared" si="31"/>
        <v>1760.7943672090178</v>
      </c>
      <c r="AV33" s="11">
        <f t="shared" si="32"/>
        <v>1.9433352243288171E-3</v>
      </c>
      <c r="AW33" s="11">
        <f t="shared" si="33"/>
        <v>3.7883517808889214E-7</v>
      </c>
      <c r="AX33" s="41" t="e">
        <f t="shared" ca="1" si="34"/>
        <v>#NUM!</v>
      </c>
      <c r="AY33" s="41" t="e">
        <f t="shared" ca="1" si="35"/>
        <v>#NUM!</v>
      </c>
      <c r="AZ33" s="41">
        <f t="shared" si="36"/>
        <v>0.13258501809546266</v>
      </c>
      <c r="BA33" s="179">
        <f t="shared" si="46"/>
        <v>0.37290552300382096</v>
      </c>
      <c r="BB33" s="156">
        <f t="shared" si="47"/>
        <v>3.2163177995369097</v>
      </c>
    </row>
    <row r="34" spans="1:55" ht="14.5">
      <c r="A34" s="41" t="e">
        <f t="shared" ca="1" si="37"/>
        <v>#NUM!</v>
      </c>
      <c r="B34" s="41" t="e">
        <f t="shared" ca="1" si="38"/>
        <v>#NUM!</v>
      </c>
      <c r="C34" s="41" t="e">
        <f t="shared" ca="1" si="38"/>
        <v>#NUM!</v>
      </c>
      <c r="D34" s="41" t="e">
        <f t="shared" ca="1" si="39"/>
        <v>#NUM!</v>
      </c>
      <c r="E34" s="41" t="e">
        <f t="shared" ca="1" si="40"/>
        <v>#NUM!</v>
      </c>
      <c r="F34" s="41" t="e">
        <f t="shared" ca="1" si="41"/>
        <v>#NUM!</v>
      </c>
      <c r="G34" s="41"/>
      <c r="H34" s="7">
        <f t="shared" si="42"/>
        <v>5500</v>
      </c>
      <c r="I34" s="6">
        <v>15</v>
      </c>
      <c r="J34" s="41">
        <f t="shared" si="1"/>
        <v>0.18012694605981067</v>
      </c>
      <c r="K34" s="41">
        <f t="shared" si="2"/>
        <v>202.52955446776264</v>
      </c>
      <c r="L34" s="6">
        <f t="shared" si="48"/>
        <v>107.75</v>
      </c>
      <c r="M34" s="41">
        <f t="shared" si="3"/>
        <v>119.99552054927788</v>
      </c>
      <c r="N34" s="41">
        <f t="shared" si="4"/>
        <v>39.248496447811426</v>
      </c>
      <c r="O34" s="41">
        <f t="shared" si="5"/>
        <v>1025773.5226909309</v>
      </c>
      <c r="P34" s="41">
        <f t="shared" si="6"/>
        <v>6586186.8104887567</v>
      </c>
      <c r="Q34" s="41">
        <f t="shared" si="7"/>
        <v>3.2044706930515606E-3</v>
      </c>
      <c r="R34" s="41">
        <f t="shared" si="43"/>
        <v>2.4482013517886814E-2</v>
      </c>
      <c r="S34" s="24" t="e">
        <f t="shared" ca="1" si="44"/>
        <v>#NUM!</v>
      </c>
      <c r="T34" s="10" t="e">
        <f t="shared" ca="1" si="8"/>
        <v>#NUM!</v>
      </c>
      <c r="U34" s="41" t="e">
        <f t="shared" ca="1" si="9"/>
        <v>#NUM!</v>
      </c>
      <c r="V34" s="41" t="e">
        <f t="shared" ca="1" si="10"/>
        <v>#NUM!</v>
      </c>
      <c r="W34" s="41" t="e">
        <f t="shared" ca="1" si="11"/>
        <v>#NUM!</v>
      </c>
      <c r="X34" s="20" t="e">
        <f t="shared" ca="1" si="12"/>
        <v>#NUM!</v>
      </c>
      <c r="Y34" s="41">
        <f t="shared" si="13"/>
        <v>0.62260667328331076</v>
      </c>
      <c r="Z34" s="41" t="e">
        <f t="shared" ca="1" si="14"/>
        <v>#NUM!</v>
      </c>
      <c r="AA34" s="14" t="e">
        <f t="shared" ca="1" si="15"/>
        <v>#NUM!</v>
      </c>
      <c r="AB34" s="14">
        <f t="shared" si="49"/>
        <v>4769.2423330334022</v>
      </c>
      <c r="AC34" s="25" t="e">
        <f t="shared" ca="1" si="16"/>
        <v>#NUM!</v>
      </c>
      <c r="AD34" s="41">
        <f t="shared" si="17"/>
        <v>965912.52485804784</v>
      </c>
      <c r="AE34" s="6">
        <v>100</v>
      </c>
      <c r="AF34" s="41">
        <f t="shared" si="18"/>
        <v>4769.2423330334022</v>
      </c>
      <c r="AG34" s="41" t="e">
        <f t="shared" ca="1" si="19"/>
        <v>#NUM!</v>
      </c>
      <c r="AH34" s="41" t="e">
        <f t="shared" ca="1" si="20"/>
        <v>#NUM!</v>
      </c>
      <c r="AI34" s="41">
        <f t="shared" si="21"/>
        <v>3552.6856383164622</v>
      </c>
      <c r="AJ34" s="13" t="e">
        <f t="shared" ca="1" si="22"/>
        <v>#NUM!</v>
      </c>
      <c r="AK34" s="11" t="e">
        <f t="shared" ca="1" si="23"/>
        <v>#NUM!</v>
      </c>
      <c r="AL34" s="6">
        <f t="shared" si="50"/>
        <v>500</v>
      </c>
      <c r="AM34" s="41" t="e">
        <f t="shared" ca="1" si="24"/>
        <v>#NUM!</v>
      </c>
      <c r="AN34" s="41" t="e">
        <f t="shared" ca="1" si="25"/>
        <v>#NUM!</v>
      </c>
      <c r="AO34" s="41" t="e">
        <f t="shared" ca="1" si="26"/>
        <v>#NUM!</v>
      </c>
      <c r="AP34" s="67">
        <f t="shared" si="45"/>
        <v>0.7449161502466225</v>
      </c>
      <c r="AQ34" s="11">
        <f t="shared" si="27"/>
        <v>1.0142417957183758</v>
      </c>
      <c r="AR34" s="11">
        <f t="shared" si="28"/>
        <v>0.81659515324864762</v>
      </c>
      <c r="AS34" s="11">
        <f t="shared" si="29"/>
        <v>0.8051286751304334</v>
      </c>
      <c r="AT34" s="11">
        <f t="shared" si="30"/>
        <v>526.05679218524995</v>
      </c>
      <c r="AU34" s="11">
        <f t="shared" si="31"/>
        <v>1728.0949952078529</v>
      </c>
      <c r="AV34" s="11">
        <f t="shared" si="32"/>
        <v>1.9137103479175271E-3</v>
      </c>
      <c r="AW34" s="11">
        <f t="shared" si="33"/>
        <v>3.7784451983838536E-7</v>
      </c>
      <c r="AX34" s="41" t="e">
        <f t="shared" ca="1" si="34"/>
        <v>#NUM!</v>
      </c>
      <c r="AY34" s="41" t="e">
        <f t="shared" ca="1" si="35"/>
        <v>#NUM!</v>
      </c>
      <c r="AZ34" s="41">
        <f t="shared" si="36"/>
        <v>0.13412042134201313</v>
      </c>
      <c r="BA34" s="179">
        <f t="shared" si="46"/>
        <v>0.39495469424754681</v>
      </c>
      <c r="BB34" s="156">
        <f t="shared" si="47"/>
        <v>2.4053668673054744</v>
      </c>
    </row>
    <row r="35" spans="1:55" ht="14.5">
      <c r="A35" s="41" t="e">
        <f t="shared" ca="1" si="37"/>
        <v>#NUM!</v>
      </c>
      <c r="B35" s="41" t="e">
        <f t="shared" ca="1" si="38"/>
        <v>#NUM!</v>
      </c>
      <c r="C35" s="41" t="e">
        <f t="shared" ca="1" si="38"/>
        <v>#NUM!</v>
      </c>
      <c r="D35" s="41" t="e">
        <f t="shared" ca="1" si="39"/>
        <v>#NUM!</v>
      </c>
      <c r="E35" s="41" t="e">
        <f t="shared" ca="1" si="40"/>
        <v>#NUM!</v>
      </c>
      <c r="F35" s="41" t="e">
        <f t="shared" ca="1" si="41"/>
        <v>#NUM!</v>
      </c>
      <c r="G35" s="41"/>
      <c r="H35" s="7">
        <f t="shared" si="42"/>
        <v>6000</v>
      </c>
      <c r="I35" s="6">
        <v>15</v>
      </c>
      <c r="J35" s="41">
        <f t="shared" si="1"/>
        <v>0.18223655531291916</v>
      </c>
      <c r="K35" s="41">
        <f t="shared" si="2"/>
        <v>204.55399663515615</v>
      </c>
      <c r="L35" s="6">
        <f t="shared" si="48"/>
        <v>108</v>
      </c>
      <c r="M35" s="41">
        <f t="shared" si="3"/>
        <v>121.19497014238387</v>
      </c>
      <c r="N35" s="41">
        <f t="shared" si="4"/>
        <v>39.424526110899883</v>
      </c>
      <c r="O35" s="41">
        <f t="shared" si="5"/>
        <v>1022862.8567290505</v>
      </c>
      <c r="P35" s="41">
        <f t="shared" si="6"/>
        <v>6567498.2897345992</v>
      </c>
      <c r="Q35" s="41">
        <f t="shared" si="7"/>
        <v>3.2057391787068765E-3</v>
      </c>
      <c r="R35" s="41">
        <f t="shared" si="43"/>
        <v>2.4489725448202698E-2</v>
      </c>
      <c r="S35" s="24" t="e">
        <f t="shared" ca="1" si="44"/>
        <v>#NUM!</v>
      </c>
      <c r="T35" s="10" t="e">
        <f t="shared" ca="1" si="8"/>
        <v>#NUM!</v>
      </c>
      <c r="U35" s="41" t="e">
        <f t="shared" ca="1" si="9"/>
        <v>#NUM!</v>
      </c>
      <c r="V35" s="41" t="e">
        <f t="shared" ca="1" si="10"/>
        <v>#NUM!</v>
      </c>
      <c r="W35" s="41" t="e">
        <f t="shared" ca="1" si="11"/>
        <v>#NUM!</v>
      </c>
      <c r="X35" s="20" t="e">
        <f t="shared" ca="1" si="12"/>
        <v>#NUM!</v>
      </c>
      <c r="Y35" s="41">
        <f t="shared" si="13"/>
        <v>0.62270472733453952</v>
      </c>
      <c r="Z35" s="41" t="e">
        <f t="shared" ca="1" si="14"/>
        <v>#NUM!</v>
      </c>
      <c r="AA35" s="14" t="e">
        <f t="shared" ca="1" si="15"/>
        <v>#NUM!</v>
      </c>
      <c r="AB35" s="14">
        <f t="shared" si="49"/>
        <v>4680.3596243842703</v>
      </c>
      <c r="AC35" s="25" t="e">
        <f t="shared" ca="1" si="16"/>
        <v>#NUM!</v>
      </c>
      <c r="AD35" s="41">
        <f t="shared" si="17"/>
        <v>957386.26685762079</v>
      </c>
      <c r="AE35" s="6">
        <v>100</v>
      </c>
      <c r="AF35" s="41">
        <f t="shared" si="18"/>
        <v>4680.3596243842703</v>
      </c>
      <c r="AG35" s="41" t="e">
        <f t="shared" ca="1" si="19"/>
        <v>#NUM!</v>
      </c>
      <c r="AH35" s="41" t="e">
        <f t="shared" ca="1" si="20"/>
        <v>#NUM!</v>
      </c>
      <c r="AI35" s="41">
        <f t="shared" si="21"/>
        <v>3488.6087520314013</v>
      </c>
      <c r="AJ35" s="13" t="e">
        <f t="shared" ca="1" si="22"/>
        <v>#NUM!</v>
      </c>
      <c r="AK35" s="11" t="e">
        <f t="shared" ca="1" si="23"/>
        <v>#NUM!</v>
      </c>
      <c r="AL35" s="6">
        <f t="shared" si="50"/>
        <v>500</v>
      </c>
      <c r="AM35" s="41" t="e">
        <f t="shared" ca="1" si="24"/>
        <v>#NUM!</v>
      </c>
      <c r="AN35" s="41" t="e">
        <f t="shared" ca="1" si="25"/>
        <v>#NUM!</v>
      </c>
      <c r="AO35" s="41" t="e">
        <f t="shared" ca="1" si="26"/>
        <v>#NUM!</v>
      </c>
      <c r="AP35" s="67">
        <f t="shared" si="45"/>
        <v>0.74537194403952434</v>
      </c>
      <c r="AQ35" s="11">
        <f t="shared" si="27"/>
        <v>1.0108041207183758</v>
      </c>
      <c r="AR35" s="11">
        <f t="shared" si="28"/>
        <v>0.80137655372650329</v>
      </c>
      <c r="AS35" s="11">
        <f t="shared" si="29"/>
        <v>0.79281092874548942</v>
      </c>
      <c r="AT35" s="11">
        <f t="shared" si="30"/>
        <v>524.27377329299998</v>
      </c>
      <c r="AU35" s="11">
        <f t="shared" si="31"/>
        <v>1695.8890905271007</v>
      </c>
      <c r="AV35" s="11">
        <f t="shared" si="32"/>
        <v>1.8844322965351538E-3</v>
      </c>
      <c r="AW35" s="11">
        <f t="shared" si="33"/>
        <v>3.7685223889866925E-7</v>
      </c>
      <c r="AX35" s="41" t="e">
        <f t="shared" ca="1" si="34"/>
        <v>#NUM!</v>
      </c>
      <c r="AY35" s="41" t="e">
        <f t="shared" ca="1" si="35"/>
        <v>#NUM!</v>
      </c>
      <c r="AZ35" s="41">
        <f t="shared" si="36"/>
        <v>0.13567508874472486</v>
      </c>
      <c r="BA35" s="179">
        <f t="shared" si="46"/>
        <v>0.41533709005208053</v>
      </c>
      <c r="BB35" s="156">
        <f t="shared" si="47"/>
        <v>1.7697831390827048</v>
      </c>
    </row>
    <row r="36" spans="1:55" ht="14.5">
      <c r="A36" s="41" t="e">
        <f t="shared" ca="1" si="37"/>
        <v>#NUM!</v>
      </c>
      <c r="B36" s="41" t="e">
        <f t="shared" ca="1" si="38"/>
        <v>#NUM!</v>
      </c>
      <c r="C36" s="41" t="e">
        <f t="shared" ca="1" si="38"/>
        <v>#NUM!</v>
      </c>
      <c r="D36" s="41" t="e">
        <f t="shared" ca="1" si="39"/>
        <v>#NUM!</v>
      </c>
      <c r="E36" s="41" t="e">
        <f t="shared" ca="1" si="40"/>
        <v>#NUM!</v>
      </c>
      <c r="F36" s="41" t="e">
        <f t="shared" ca="1" si="41"/>
        <v>#NUM!</v>
      </c>
      <c r="G36" s="41"/>
      <c r="H36" s="7">
        <f t="shared" si="42"/>
        <v>6500</v>
      </c>
      <c r="I36" s="6">
        <v>15</v>
      </c>
      <c r="J36" s="41">
        <f t="shared" si="1"/>
        <v>0.18437566563771704</v>
      </c>
      <c r="K36" s="41">
        <f t="shared" si="2"/>
        <v>206.60285157090053</v>
      </c>
      <c r="L36" s="6">
        <f t="shared" si="48"/>
        <v>108.25</v>
      </c>
      <c r="M36" s="41">
        <f t="shared" si="3"/>
        <v>122.40888391013343</v>
      </c>
      <c r="N36" s="41">
        <f t="shared" si="4"/>
        <v>39.600728501543188</v>
      </c>
      <c r="O36" s="41">
        <f t="shared" si="5"/>
        <v>1019935.4366659094</v>
      </c>
      <c r="P36" s="41">
        <f t="shared" si="6"/>
        <v>6548702.1958775055</v>
      </c>
      <c r="Q36" s="41">
        <f t="shared" si="7"/>
        <v>3.2070154832228113E-3</v>
      </c>
      <c r="R36" s="41">
        <f t="shared" si="43"/>
        <v>2.449748491434052E-2</v>
      </c>
      <c r="S36" s="24" t="e">
        <f t="shared" ca="1" si="44"/>
        <v>#NUM!</v>
      </c>
      <c r="T36" s="10" t="e">
        <f t="shared" ca="1" si="8"/>
        <v>#NUM!</v>
      </c>
      <c r="U36" s="41" t="e">
        <f t="shared" ca="1" si="9"/>
        <v>#NUM!</v>
      </c>
      <c r="V36" s="41" t="e">
        <f t="shared" ca="1" si="10"/>
        <v>#NUM!</v>
      </c>
      <c r="W36" s="41" t="e">
        <f t="shared" ca="1" si="11"/>
        <v>#NUM!</v>
      </c>
      <c r="X36" s="20" t="e">
        <f t="shared" ca="1" si="12"/>
        <v>#NUM!</v>
      </c>
      <c r="Y36" s="41">
        <f t="shared" si="13"/>
        <v>0.62280337020373255</v>
      </c>
      <c r="Z36" s="41" t="e">
        <f t="shared" ca="1" si="14"/>
        <v>#NUM!</v>
      </c>
      <c r="AA36" s="14" t="e">
        <f t="shared" ca="1" si="15"/>
        <v>#NUM!</v>
      </c>
      <c r="AB36" s="14">
        <f t="shared" si="49"/>
        <v>4592.8230205114587</v>
      </c>
      <c r="AC36" s="25" t="e">
        <f t="shared" ca="1" si="16"/>
        <v>#NUM!</v>
      </c>
      <c r="AD36" s="41">
        <f t="shared" si="17"/>
        <v>948890.33279814397</v>
      </c>
      <c r="AE36" s="6">
        <v>100</v>
      </c>
      <c r="AF36" s="41">
        <f t="shared" si="18"/>
        <v>4592.8230205114587</v>
      </c>
      <c r="AG36" s="41" t="e">
        <f t="shared" ca="1" si="19"/>
        <v>#NUM!</v>
      </c>
      <c r="AH36" s="41" t="e">
        <f t="shared" ca="1" si="20"/>
        <v>#NUM!</v>
      </c>
      <c r="AI36" s="41">
        <f t="shared" si="21"/>
        <v>3425.4803642682086</v>
      </c>
      <c r="AJ36" s="13" t="e">
        <f t="shared" ca="1" si="22"/>
        <v>#NUM!</v>
      </c>
      <c r="AK36" s="11" t="e">
        <f t="shared" ca="1" si="23"/>
        <v>#NUM!</v>
      </c>
      <c r="AL36" s="6">
        <f t="shared" si="50"/>
        <v>500</v>
      </c>
      <c r="AM36" s="41" t="e">
        <f t="shared" ca="1" si="24"/>
        <v>#NUM!</v>
      </c>
      <c r="AN36" s="41" t="e">
        <f t="shared" ca="1" si="25"/>
        <v>#NUM!</v>
      </c>
      <c r="AO36" s="41" t="e">
        <f t="shared" ca="1" si="26"/>
        <v>#NUM!</v>
      </c>
      <c r="AP36" s="67">
        <f t="shared" si="45"/>
        <v>0.74583330317107355</v>
      </c>
      <c r="AQ36" s="11">
        <f t="shared" si="27"/>
        <v>1.0073664457183757</v>
      </c>
      <c r="AR36" s="11">
        <f t="shared" si="28"/>
        <v>0.78638843581115314</v>
      </c>
      <c r="AS36" s="11">
        <f t="shared" si="29"/>
        <v>0.78063790902858765</v>
      </c>
      <c r="AT36" s="11">
        <f t="shared" si="30"/>
        <v>522.49075440074989</v>
      </c>
      <c r="AU36" s="11">
        <f t="shared" si="31"/>
        <v>1664.1709356322783</v>
      </c>
      <c r="AV36" s="11">
        <f t="shared" si="32"/>
        <v>1.85549824597005E-3</v>
      </c>
      <c r="AW36" s="11">
        <f t="shared" si="33"/>
        <v>3.7585832879320501E-7</v>
      </c>
      <c r="AX36" s="41" t="e">
        <f t="shared" ca="1" si="34"/>
        <v>#NUM!</v>
      </c>
      <c r="AY36" s="41" t="e">
        <f t="shared" ca="1" si="35"/>
        <v>#NUM!</v>
      </c>
      <c r="AZ36" s="41">
        <f t="shared" si="36"/>
        <v>0.13724928833383421</v>
      </c>
      <c r="BA36" s="179">
        <f t="shared" si="46"/>
        <v>0.43421798280182067</v>
      </c>
      <c r="BB36" s="156">
        <f t="shared" si="47"/>
        <v>1.2780461216652554</v>
      </c>
    </row>
    <row r="37" spans="1:55" ht="14.5">
      <c r="A37" s="41" t="e">
        <f t="shared" ca="1" si="37"/>
        <v>#NUM!</v>
      </c>
      <c r="B37" s="41" t="e">
        <f t="shared" ca="1" si="38"/>
        <v>#NUM!</v>
      </c>
      <c r="C37" s="41" t="e">
        <f t="shared" ca="1" si="38"/>
        <v>#NUM!</v>
      </c>
      <c r="D37" s="41" t="e">
        <f t="shared" ca="1" si="39"/>
        <v>#NUM!</v>
      </c>
      <c r="E37" s="41" t="e">
        <f t="shared" ca="1" si="40"/>
        <v>#NUM!</v>
      </c>
      <c r="F37" s="41" t="e">
        <f t="shared" ca="1" si="41"/>
        <v>#NUM!</v>
      </c>
      <c r="G37" s="41"/>
      <c r="H37" s="7">
        <f t="shared" si="42"/>
        <v>7000</v>
      </c>
      <c r="I37" s="6">
        <v>15</v>
      </c>
      <c r="J37" s="41">
        <f t="shared" si="1"/>
        <v>0.18654477220614504</v>
      </c>
      <c r="K37" s="41">
        <f t="shared" si="2"/>
        <v>208.6764801925292</v>
      </c>
      <c r="L37" s="6">
        <f t="shared" si="48"/>
        <v>108.5</v>
      </c>
      <c r="M37" s="41">
        <f t="shared" si="3"/>
        <v>123.63747569039047</v>
      </c>
      <c r="N37" s="41">
        <f t="shared" si="4"/>
        <v>39.777095288338721</v>
      </c>
      <c r="O37" s="41">
        <f t="shared" si="5"/>
        <v>1016991.2902460548</v>
      </c>
      <c r="P37" s="41">
        <f t="shared" si="6"/>
        <v>6529798.7070569657</v>
      </c>
      <c r="Q37" s="41">
        <f t="shared" si="7"/>
        <v>3.2082995412192872E-3</v>
      </c>
      <c r="R37" s="41">
        <f t="shared" si="43"/>
        <v>2.4505291518813248E-2</v>
      </c>
      <c r="S37" s="24" t="e">
        <f t="shared" ca="1" si="44"/>
        <v>#NUM!</v>
      </c>
      <c r="T37" s="10" t="e">
        <f t="shared" ca="1" si="8"/>
        <v>#NUM!</v>
      </c>
      <c r="U37" s="41" t="e">
        <f t="shared" ca="1" si="9"/>
        <v>#NUM!</v>
      </c>
      <c r="V37" s="41" t="e">
        <f t="shared" ca="1" si="10"/>
        <v>#NUM!</v>
      </c>
      <c r="W37" s="41" t="e">
        <f t="shared" ca="1" si="11"/>
        <v>#NUM!</v>
      </c>
      <c r="X37" s="20" t="e">
        <f t="shared" ca="1" si="12"/>
        <v>#NUM!</v>
      </c>
      <c r="Y37" s="41">
        <f t="shared" si="13"/>
        <v>0.62290259655927183</v>
      </c>
      <c r="Z37" s="41" t="e">
        <f t="shared" ca="1" si="14"/>
        <v>#NUM!</v>
      </c>
      <c r="AA37" s="14" t="e">
        <f t="shared" ca="1" si="15"/>
        <v>#NUM!</v>
      </c>
      <c r="AB37" s="14">
        <f t="shared" si="49"/>
        <v>4506.6168691432204</v>
      </c>
      <c r="AC37" s="25" t="e">
        <f t="shared" ca="1" si="16"/>
        <v>#NUM!</v>
      </c>
      <c r="AD37" s="41">
        <f t="shared" si="17"/>
        <v>940424.94582908321</v>
      </c>
      <c r="AE37" s="6">
        <v>100</v>
      </c>
      <c r="AF37" s="41">
        <f t="shared" si="18"/>
        <v>4506.6168691432204</v>
      </c>
      <c r="AG37" s="41" t="e">
        <f t="shared" ca="1" si="19"/>
        <v>#NUM!</v>
      </c>
      <c r="AH37" s="41" t="e">
        <f t="shared" ca="1" si="20"/>
        <v>#NUM!</v>
      </c>
      <c r="AI37" s="41">
        <f t="shared" si="21"/>
        <v>3363.2895267000936</v>
      </c>
      <c r="AJ37" s="13" t="e">
        <f t="shared" ca="1" si="22"/>
        <v>#NUM!</v>
      </c>
      <c r="AK37" s="11" t="e">
        <f t="shared" ca="1" si="23"/>
        <v>#NUM!</v>
      </c>
      <c r="AL37" s="6">
        <f t="shared" si="50"/>
        <v>500</v>
      </c>
      <c r="AM37" s="41" t="e">
        <f t="shared" ca="1" si="24"/>
        <v>#NUM!</v>
      </c>
      <c r="AN37" s="41" t="e">
        <f t="shared" ca="1" si="25"/>
        <v>#NUM!</v>
      </c>
      <c r="AO37" s="41" t="e">
        <f t="shared" ca="1" si="26"/>
        <v>#NUM!</v>
      </c>
      <c r="AP37" s="67">
        <f t="shared" si="45"/>
        <v>0.74630030117015655</v>
      </c>
      <c r="AQ37" s="11">
        <f t="shared" si="27"/>
        <v>1.0039287707183759</v>
      </c>
      <c r="AR37" s="11">
        <f t="shared" si="28"/>
        <v>0.77162811950264032</v>
      </c>
      <c r="AS37" s="11">
        <f t="shared" si="29"/>
        <v>0.76860843319640149</v>
      </c>
      <c r="AT37" s="11">
        <f t="shared" si="30"/>
        <v>520.70773550850004</v>
      </c>
      <c r="AU37" s="11">
        <f t="shared" si="31"/>
        <v>1632.9348590538773</v>
      </c>
      <c r="AV37" s="11">
        <f t="shared" si="32"/>
        <v>1.8269053848645267E-3</v>
      </c>
      <c r="AW37" s="11">
        <f t="shared" si="33"/>
        <v>3.7486278300974495E-7</v>
      </c>
      <c r="AX37" s="41" t="e">
        <f t="shared" ca="1" si="34"/>
        <v>#NUM!</v>
      </c>
      <c r="AY37" s="41" t="e">
        <f t="shared" ca="1" si="35"/>
        <v>#NUM!</v>
      </c>
      <c r="AZ37" s="41">
        <f t="shared" si="36"/>
        <v>0.13884329172497112</v>
      </c>
      <c r="BA37" s="179">
        <f t="shared" si="46"/>
        <v>0.45175553784547073</v>
      </c>
      <c r="BB37" s="156">
        <f t="shared" si="47"/>
        <v>0.9035622807944037</v>
      </c>
    </row>
    <row r="38" spans="1:55" ht="14.5">
      <c r="A38" s="41" t="e">
        <f t="shared" ca="1" si="37"/>
        <v>#NUM!</v>
      </c>
      <c r="B38" s="41" t="e">
        <f t="shared" ca="1" si="38"/>
        <v>#NUM!</v>
      </c>
      <c r="C38" s="41" t="e">
        <f t="shared" ca="1" si="38"/>
        <v>#NUM!</v>
      </c>
      <c r="D38" s="41" t="e">
        <f t="shared" ca="1" si="39"/>
        <v>#NUM!</v>
      </c>
      <c r="E38" s="41" t="e">
        <f t="shared" ca="1" si="40"/>
        <v>#NUM!</v>
      </c>
      <c r="F38" s="41" t="e">
        <f t="shared" ca="1" si="41"/>
        <v>#NUM!</v>
      </c>
      <c r="G38" s="41"/>
      <c r="H38" s="7">
        <f t="shared" si="42"/>
        <v>7500</v>
      </c>
      <c r="I38" s="6">
        <v>15</v>
      </c>
      <c r="J38" s="41">
        <f t="shared" si="1"/>
        <v>0.18874437972735891</v>
      </c>
      <c r="K38" s="41">
        <f t="shared" si="2"/>
        <v>210.77524952366198</v>
      </c>
      <c r="L38" s="6">
        <f t="shared" si="48"/>
        <v>108.75</v>
      </c>
      <c r="M38" s="41">
        <f t="shared" si="3"/>
        <v>124.88096293877734</v>
      </c>
      <c r="N38" s="41">
        <f t="shared" si="4"/>
        <v>39.953617860051928</v>
      </c>
      <c r="O38" s="41">
        <f t="shared" si="5"/>
        <v>1014030.4441555268</v>
      </c>
      <c r="P38" s="41">
        <f t="shared" si="6"/>
        <v>6510787.994616108</v>
      </c>
      <c r="Q38" s="41">
        <f t="shared" si="7"/>
        <v>3.2095912841609898E-3</v>
      </c>
      <c r="R38" s="41">
        <f t="shared" si="43"/>
        <v>2.4513144844951148E-2</v>
      </c>
      <c r="S38" s="24" t="e">
        <f t="shared" ca="1" si="44"/>
        <v>#NUM!</v>
      </c>
      <c r="T38" s="10" t="e">
        <f t="shared" ca="1" si="8"/>
        <v>#NUM!</v>
      </c>
      <c r="U38" s="41" t="e">
        <f t="shared" ca="1" si="9"/>
        <v>#NUM!</v>
      </c>
      <c r="V38" s="41" t="e">
        <f t="shared" ca="1" si="10"/>
        <v>#NUM!</v>
      </c>
      <c r="W38" s="41" t="e">
        <f t="shared" ca="1" si="11"/>
        <v>#NUM!</v>
      </c>
      <c r="X38" s="20" t="e">
        <f t="shared" ca="1" si="12"/>
        <v>#NUM!</v>
      </c>
      <c r="Y38" s="41">
        <f t="shared" si="13"/>
        <v>0.62300240082752201</v>
      </c>
      <c r="Z38" s="41" t="e">
        <f t="shared" ca="1" si="14"/>
        <v>#NUM!</v>
      </c>
      <c r="AA38" s="14" t="e">
        <f t="shared" ca="1" si="15"/>
        <v>#NUM!</v>
      </c>
      <c r="AB38" s="14">
        <f t="shared" si="49"/>
        <v>4421.7256445668172</v>
      </c>
      <c r="AC38" s="25" t="e">
        <f t="shared" ca="1" si="16"/>
        <v>#NUM!</v>
      </c>
      <c r="AD38" s="41">
        <f t="shared" si="17"/>
        <v>931990.32605874597</v>
      </c>
      <c r="AE38" s="6">
        <v>100</v>
      </c>
      <c r="AF38" s="41">
        <f t="shared" si="18"/>
        <v>4421.7256445668172</v>
      </c>
      <c r="AG38" s="41" t="e">
        <f t="shared" ca="1" si="19"/>
        <v>#NUM!</v>
      </c>
      <c r="AH38" s="41" t="e">
        <f t="shared" ca="1" si="20"/>
        <v>#NUM!</v>
      </c>
      <c r="AI38" s="41">
        <f t="shared" si="21"/>
        <v>3302.0253797434671</v>
      </c>
      <c r="AJ38" s="13" t="e">
        <f t="shared" ca="1" si="22"/>
        <v>#NUM!</v>
      </c>
      <c r="AK38" s="11" t="e">
        <f t="shared" ca="1" si="23"/>
        <v>#NUM!</v>
      </c>
      <c r="AL38" s="6">
        <f t="shared" si="50"/>
        <v>500</v>
      </c>
      <c r="AM38" s="41" t="e">
        <f t="shared" ca="1" si="24"/>
        <v>#NUM!</v>
      </c>
      <c r="AN38" s="41" t="e">
        <f t="shared" ca="1" si="25"/>
        <v>#NUM!</v>
      </c>
      <c r="AO38" s="41" t="e">
        <f t="shared" ca="1" si="26"/>
        <v>#NUM!</v>
      </c>
      <c r="AP38" s="67">
        <f t="shared" si="45"/>
        <v>0.74677301243256045</v>
      </c>
      <c r="AQ38" s="11">
        <f t="shared" si="27"/>
        <v>1.0004910957183759</v>
      </c>
      <c r="AR38" s="11">
        <f t="shared" si="28"/>
        <v>0.75709294647058711</v>
      </c>
      <c r="AS38" s="11">
        <f t="shared" si="29"/>
        <v>0.75672132386843161</v>
      </c>
      <c r="AT38" s="11">
        <f t="shared" si="30"/>
        <v>518.92471661624995</v>
      </c>
      <c r="AU38" s="11">
        <f t="shared" si="31"/>
        <v>1602.1752351799857</v>
      </c>
      <c r="AV38" s="11">
        <f t="shared" si="32"/>
        <v>1.798650914702875E-3</v>
      </c>
      <c r="AW38" s="11">
        <f t="shared" si="33"/>
        <v>3.7386559500013913E-7</v>
      </c>
      <c r="AX38" s="41" t="e">
        <f t="shared" ca="1" si="34"/>
        <v>#NUM!</v>
      </c>
      <c r="AY38" s="41" t="e">
        <f t="shared" ca="1" si="35"/>
        <v>#NUM!</v>
      </c>
      <c r="AZ38" s="41">
        <f t="shared" si="36"/>
        <v>0.1404573741415554</v>
      </c>
      <c r="BA38" s="179">
        <f t="shared" si="46"/>
        <v>0.46809828316155144</v>
      </c>
      <c r="BB38" s="156">
        <f t="shared" si="47"/>
        <v>0.62398282916882408</v>
      </c>
    </row>
    <row r="39" spans="1:55" ht="14.5">
      <c r="A39" s="41" t="e">
        <f t="shared" ca="1" si="37"/>
        <v>#NUM!</v>
      </c>
      <c r="B39" s="41" t="e">
        <f t="shared" ca="1" si="38"/>
        <v>#NUM!</v>
      </c>
      <c r="C39" s="41" t="e">
        <f t="shared" ca="1" si="38"/>
        <v>#NUM!</v>
      </c>
      <c r="D39" s="41" t="e">
        <f t="shared" ca="1" si="39"/>
        <v>#NUM!</v>
      </c>
      <c r="E39" s="41" t="e">
        <f t="shared" ca="1" si="40"/>
        <v>#NUM!</v>
      </c>
      <c r="F39" s="41" t="e">
        <f t="shared" ca="1" si="41"/>
        <v>#NUM!</v>
      </c>
      <c r="G39" s="41"/>
      <c r="H39" s="7">
        <f t="shared" si="42"/>
        <v>8000</v>
      </c>
      <c r="I39" s="6">
        <v>15</v>
      </c>
      <c r="J39" s="41">
        <f t="shared" si="1"/>
        <v>0.19097500264608833</v>
      </c>
      <c r="K39" s="41">
        <f t="shared" si="2"/>
        <v>212.89953280042971</v>
      </c>
      <c r="L39" s="6">
        <f t="shared" si="48"/>
        <v>109</v>
      </c>
      <c r="M39" s="41">
        <f t="shared" si="3"/>
        <v>126.13956679172981</v>
      </c>
      <c r="N39" s="41">
        <f t="shared" si="4"/>
        <v>40.130287315836128</v>
      </c>
      <c r="O39" s="41">
        <f t="shared" si="5"/>
        <v>1011052.9239909016</v>
      </c>
      <c r="P39" s="41">
        <f t="shared" si="6"/>
        <v>6491670.2229029387</v>
      </c>
      <c r="Q39" s="41">
        <f t="shared" si="7"/>
        <v>3.2108906402319227E-3</v>
      </c>
      <c r="R39" s="41">
        <f t="shared" si="43"/>
        <v>2.4521044456139153E-2</v>
      </c>
      <c r="S39" s="24" t="e">
        <f t="shared" ca="1" si="44"/>
        <v>#NUM!</v>
      </c>
      <c r="T39" s="10" t="e">
        <f t="shared" ca="1" si="8"/>
        <v>#NUM!</v>
      </c>
      <c r="U39" s="41" t="e">
        <f t="shared" ca="1" si="9"/>
        <v>#NUM!</v>
      </c>
      <c r="V39" s="41" t="e">
        <f t="shared" ca="1" si="10"/>
        <v>#NUM!</v>
      </c>
      <c r="W39" s="41" t="e">
        <f t="shared" ca="1" si="11"/>
        <v>#NUM!</v>
      </c>
      <c r="X39" s="20" t="e">
        <f t="shared" ca="1" si="12"/>
        <v>#NUM!</v>
      </c>
      <c r="Y39" s="41">
        <f t="shared" si="13"/>
        <v>0.62310277718338536</v>
      </c>
      <c r="Z39" s="41" t="e">
        <f t="shared" ca="1" si="14"/>
        <v>#NUM!</v>
      </c>
      <c r="AA39" s="14" t="e">
        <f t="shared" ca="1" si="15"/>
        <v>#NUM!</v>
      </c>
      <c r="AB39" s="14">
        <f t="shared" si="49"/>
        <v>4338.1339470567436</v>
      </c>
      <c r="AC39" s="25" t="e">
        <f t="shared" ca="1" si="16"/>
        <v>#NUM!</v>
      </c>
      <c r="AD39" s="41">
        <f t="shared" si="17"/>
        <v>923586.69055406481</v>
      </c>
      <c r="AE39" s="6">
        <v>100</v>
      </c>
      <c r="AF39" s="41">
        <f t="shared" si="18"/>
        <v>4338.1339470567436</v>
      </c>
      <c r="AG39" s="41" t="e">
        <f t="shared" ca="1" si="19"/>
        <v>#NUM!</v>
      </c>
      <c r="AH39" s="41" t="e">
        <f t="shared" ca="1" si="20"/>
        <v>#NUM!</v>
      </c>
      <c r="AI39" s="41">
        <f t="shared" si="21"/>
        <v>3241.6771521579226</v>
      </c>
      <c r="AJ39" s="13" t="e">
        <f t="shared" ca="1" si="22"/>
        <v>#NUM!</v>
      </c>
      <c r="AK39" s="11" t="e">
        <f t="shared" ca="1" si="23"/>
        <v>#NUM!</v>
      </c>
      <c r="AL39" s="6">
        <f t="shared" si="50"/>
        <v>500</v>
      </c>
      <c r="AM39" s="41" t="e">
        <f t="shared" ca="1" si="24"/>
        <v>#NUM!</v>
      </c>
      <c r="AN39" s="41" t="e">
        <f t="shared" ca="1" si="25"/>
        <v>#NUM!</v>
      </c>
      <c r="AO39" s="41" t="e">
        <f t="shared" ca="1" si="26"/>
        <v>#NUM!</v>
      </c>
      <c r="AP39" s="67">
        <f t="shared" si="45"/>
        <v>0.74725151222157982</v>
      </c>
      <c r="AQ39" s="11">
        <f t="shared" si="27"/>
        <v>0.99705342071837588</v>
      </c>
      <c r="AR39" s="11">
        <f t="shared" si="28"/>
        <v>0.7427802799562947</v>
      </c>
      <c r="AS39" s="11">
        <f t="shared" si="29"/>
        <v>0.74497540906195614</v>
      </c>
      <c r="AT39" s="11">
        <f t="shared" si="30"/>
        <v>517.14169772399998</v>
      </c>
      <c r="AU39" s="11">
        <f t="shared" si="31"/>
        <v>1571.8864840491099</v>
      </c>
      <c r="AV39" s="11">
        <f t="shared" si="32"/>
        <v>1.7707320497993635E-3</v>
      </c>
      <c r="AW39" s="11">
        <f t="shared" si="33"/>
        <v>3.7286675818013285E-7</v>
      </c>
      <c r="AX39" s="41" t="e">
        <f t="shared" ca="1" si="34"/>
        <v>#NUM!</v>
      </c>
      <c r="AY39" s="41" t="e">
        <f t="shared" ca="1" si="35"/>
        <v>#NUM!</v>
      </c>
      <c r="AZ39" s="41">
        <f t="shared" si="36"/>
        <v>0.14209181443555424</v>
      </c>
      <c r="BA39" s="179">
        <f t="shared" si="46"/>
        <v>0.48338340231231314</v>
      </c>
      <c r="BB39" s="156">
        <f t="shared" si="47"/>
        <v>0.42060627198341649</v>
      </c>
    </row>
    <row r="40" spans="1:55" ht="14.5">
      <c r="A40" s="41" t="e">
        <f t="shared" ca="1" si="37"/>
        <v>#NUM!</v>
      </c>
      <c r="B40" s="41" t="e">
        <f t="shared" ref="B40:C43" ca="1" si="51">A40/60</f>
        <v>#NUM!</v>
      </c>
      <c r="C40" s="41" t="e">
        <f t="shared" ca="1" si="51"/>
        <v>#NUM!</v>
      </c>
      <c r="D40" s="41" t="e">
        <f t="shared" ca="1" si="39"/>
        <v>#NUM!</v>
      </c>
      <c r="E40" s="41" t="e">
        <f t="shared" ca="1" si="40"/>
        <v>#NUM!</v>
      </c>
      <c r="F40" s="41" t="e">
        <f t="shared" ca="1" si="41"/>
        <v>#NUM!</v>
      </c>
      <c r="G40" s="41"/>
      <c r="H40" s="7">
        <f t="shared" si="42"/>
        <v>8500</v>
      </c>
      <c r="I40" s="6">
        <v>15</v>
      </c>
      <c r="J40" s="41">
        <f t="shared" si="1"/>
        <v>0.19323716534509311</v>
      </c>
      <c r="K40" s="41">
        <f t="shared" si="2"/>
        <v>215.04970957943496</v>
      </c>
      <c r="L40" s="6">
        <f t="shared" si="48"/>
        <v>109.25</v>
      </c>
      <c r="M40" s="41">
        <f t="shared" si="3"/>
        <v>127.41351213046194</v>
      </c>
      <c r="N40" s="41">
        <f t="shared" si="4"/>
        <v>40.307094455134767</v>
      </c>
      <c r="O40" s="41">
        <f t="shared" si="5"/>
        <v>1008058.7542279207</v>
      </c>
      <c r="P40" s="41">
        <f t="shared" si="6"/>
        <v>6472445.5490689166</v>
      </c>
      <c r="Q40" s="41">
        <f t="shared" si="7"/>
        <v>3.2121975342053145E-3</v>
      </c>
      <c r="R40" s="41">
        <f t="shared" si="43"/>
        <v>2.4528989895025916E-2</v>
      </c>
      <c r="S40" s="24" t="e">
        <f t="shared" ca="1" si="44"/>
        <v>#NUM!</v>
      </c>
      <c r="T40" s="10" t="e">
        <f t="shared" ca="1" si="8"/>
        <v>#NUM!</v>
      </c>
      <c r="U40" s="41" t="e">
        <f t="shared" ca="1" si="9"/>
        <v>#NUM!</v>
      </c>
      <c r="V40" s="41" t="e">
        <f t="shared" ca="1" si="10"/>
        <v>#NUM!</v>
      </c>
      <c r="W40" s="41" t="e">
        <f t="shared" ca="1" si="11"/>
        <v>#NUM!</v>
      </c>
      <c r="X40" s="20" t="e">
        <f t="shared" ca="1" si="12"/>
        <v>#NUM!</v>
      </c>
      <c r="Y40" s="41">
        <f t="shared" si="13"/>
        <v>0.62320371954050957</v>
      </c>
      <c r="Z40" s="41" t="e">
        <f t="shared" ca="1" si="14"/>
        <v>#NUM!</v>
      </c>
      <c r="AA40" s="14" t="e">
        <f t="shared" ca="1" si="15"/>
        <v>#NUM!</v>
      </c>
      <c r="AB40" s="14">
        <f t="shared" si="49"/>
        <v>4255.8265023034601</v>
      </c>
      <c r="AC40" s="25" t="e">
        <f t="shared" ca="1" si="16"/>
        <v>#NUM!</v>
      </c>
      <c r="AD40" s="41">
        <f t="shared" si="17"/>
        <v>915214.2533408216</v>
      </c>
      <c r="AE40" s="6">
        <v>100</v>
      </c>
      <c r="AF40" s="41">
        <f t="shared" si="18"/>
        <v>4255.8265023034601</v>
      </c>
      <c r="AG40" s="41" t="e">
        <f t="shared" ca="1" si="19"/>
        <v>#NUM!</v>
      </c>
      <c r="AH40" s="41" t="e">
        <f t="shared" ca="1" si="20"/>
        <v>#NUM!</v>
      </c>
      <c r="AI40" s="41">
        <f t="shared" si="21"/>
        <v>3182.2341606467462</v>
      </c>
      <c r="AJ40" s="13" t="e">
        <f t="shared" ca="1" si="22"/>
        <v>#NUM!</v>
      </c>
      <c r="AK40" s="11" t="e">
        <f t="shared" ca="1" si="23"/>
        <v>#NUM!</v>
      </c>
      <c r="AL40" s="6">
        <f t="shared" si="50"/>
        <v>500</v>
      </c>
      <c r="AM40" s="41" t="e">
        <f t="shared" ca="1" si="24"/>
        <v>#NUM!</v>
      </c>
      <c r="AN40" s="41" t="e">
        <f t="shared" ca="1" si="25"/>
        <v>#NUM!</v>
      </c>
      <c r="AO40" s="41" t="e">
        <f t="shared" ca="1" si="26"/>
        <v>#NUM!</v>
      </c>
      <c r="AP40" s="67">
        <f t="shared" si="45"/>
        <v>0.74773587666799068</v>
      </c>
      <c r="AQ40" s="11">
        <f t="shared" si="27"/>
        <v>0.99361574571837585</v>
      </c>
      <c r="AR40" s="11">
        <f t="shared" si="28"/>
        <v>0.72868750467492982</v>
      </c>
      <c r="AS40" s="11">
        <f t="shared" si="29"/>
        <v>0.73336952218696461</v>
      </c>
      <c r="AT40" s="11">
        <f t="shared" si="30"/>
        <v>515.35867883175001</v>
      </c>
      <c r="AU40" s="11">
        <f t="shared" si="31"/>
        <v>1542.0630711431797</v>
      </c>
      <c r="AV40" s="11">
        <f t="shared" si="32"/>
        <v>1.743146017286196E-3</v>
      </c>
      <c r="AW40" s="11">
        <f t="shared" si="33"/>
        <v>3.7186626592916741E-7</v>
      </c>
      <c r="AX40" s="41" t="e">
        <f t="shared" ca="1" si="34"/>
        <v>#NUM!</v>
      </c>
      <c r="AY40" s="41" t="e">
        <f t="shared" ca="1" si="35"/>
        <v>#NUM!</v>
      </c>
      <c r="AZ40" s="41">
        <f t="shared" si="36"/>
        <v>0.14374689510654437</v>
      </c>
      <c r="BA40" s="179">
        <f t="shared" si="46"/>
        <v>0.49773570127551636</v>
      </c>
      <c r="BB40" s="156">
        <f t="shared" si="47"/>
        <v>0.27785615668831554</v>
      </c>
    </row>
    <row r="41" spans="1:55" ht="14.5">
      <c r="A41" s="66" t="e">
        <f t="shared" ca="1" si="37"/>
        <v>#NUM!</v>
      </c>
      <c r="B41" s="41" t="e">
        <f t="shared" ca="1" si="51"/>
        <v>#NUM!</v>
      </c>
      <c r="C41" s="41" t="e">
        <f t="shared" ca="1" si="51"/>
        <v>#NUM!</v>
      </c>
      <c r="D41" s="41" t="e">
        <f t="shared" ca="1" si="39"/>
        <v>#NUM!</v>
      </c>
      <c r="E41" s="41" t="e">
        <f t="shared" ca="1" si="40"/>
        <v>#NUM!</v>
      </c>
      <c r="F41" s="41" t="e">
        <f t="shared" ca="1" si="41"/>
        <v>#NUM!</v>
      </c>
      <c r="G41" s="41"/>
      <c r="H41" s="7">
        <f t="shared" si="42"/>
        <v>9000</v>
      </c>
      <c r="I41" s="6">
        <v>15</v>
      </c>
      <c r="J41" s="41">
        <f t="shared" si="1"/>
        <v>0.1955314023515935</v>
      </c>
      <c r="K41" s="41">
        <f t="shared" si="2"/>
        <v>217.2261658470334</v>
      </c>
      <c r="L41" s="6">
        <f t="shared" si="48"/>
        <v>109.5</v>
      </c>
      <c r="M41" s="41">
        <f t="shared" si="3"/>
        <v>128.70302764571375</v>
      </c>
      <c r="N41" s="41">
        <f t="shared" si="4"/>
        <v>40.484029767177915</v>
      </c>
      <c r="O41" s="41">
        <f t="shared" si="5"/>
        <v>1005047.9581887394</v>
      </c>
      <c r="P41" s="41">
        <f t="shared" si="6"/>
        <v>6453114.1228586668</v>
      </c>
      <c r="Q41" s="41">
        <f t="shared" si="7"/>
        <v>3.2135118873091412E-3</v>
      </c>
      <c r="R41" s="41">
        <f t="shared" si="43"/>
        <v>2.4536980682706253E-2</v>
      </c>
      <c r="S41" s="24" t="e">
        <f t="shared" ca="1" si="44"/>
        <v>#NUM!</v>
      </c>
      <c r="T41" s="10" t="e">
        <f t="shared" ca="1" si="8"/>
        <v>#NUM!</v>
      </c>
      <c r="U41" s="41" t="e">
        <f t="shared" ca="1" si="9"/>
        <v>#NUM!</v>
      </c>
      <c r="V41" s="41" t="e">
        <f t="shared" ca="1" si="10"/>
        <v>#NUM!</v>
      </c>
      <c r="W41" s="41" t="e">
        <f t="shared" ca="1" si="11"/>
        <v>#NUM!</v>
      </c>
      <c r="X41" s="20" t="e">
        <f t="shared" ca="1" si="12"/>
        <v>#NUM!</v>
      </c>
      <c r="Y41" s="41">
        <f t="shared" si="13"/>
        <v>0.62330522154116896</v>
      </c>
      <c r="Z41" s="41" t="e">
        <f t="shared" ca="1" si="14"/>
        <v>#NUM!</v>
      </c>
      <c r="AA41" s="14" t="e">
        <f t="shared" ca="1" si="15"/>
        <v>#NUM!</v>
      </c>
      <c r="AB41" s="14">
        <f t="shared" si="49"/>
        <v>4174.7881608426615</v>
      </c>
      <c r="AC41" s="25" t="e">
        <f t="shared" ca="1" si="16"/>
        <v>#NUM!</v>
      </c>
      <c r="AD41" s="41">
        <f t="shared" si="17"/>
        <v>906873.22540343949</v>
      </c>
      <c r="AE41" s="6">
        <v>100</v>
      </c>
      <c r="AF41" s="41">
        <f t="shared" si="18"/>
        <v>4174.7881608426615</v>
      </c>
      <c r="AG41" s="41" t="e">
        <f t="shared" ca="1" si="19"/>
        <v>#NUM!</v>
      </c>
      <c r="AH41" s="41" t="e">
        <f t="shared" ca="1" si="20"/>
        <v>#NUM!</v>
      </c>
      <c r="AI41" s="41">
        <f t="shared" si="21"/>
        <v>3123.6858094578315</v>
      </c>
      <c r="AJ41" s="13" t="e">
        <f t="shared" ca="1" si="22"/>
        <v>#NUM!</v>
      </c>
      <c r="AK41" s="11" t="e">
        <f t="shared" ca="1" si="23"/>
        <v>#NUM!</v>
      </c>
      <c r="AL41" s="6">
        <f t="shared" si="50"/>
        <v>500</v>
      </c>
      <c r="AM41" s="41" t="e">
        <f t="shared" ca="1" si="24"/>
        <v>#NUM!</v>
      </c>
      <c r="AN41" s="41" t="e">
        <f t="shared" ca="1" si="25"/>
        <v>#NUM!</v>
      </c>
      <c r="AO41" s="41" t="e">
        <f t="shared" ca="1" si="26"/>
        <v>#NUM!</v>
      </c>
      <c r="AP41" s="67">
        <f t="shared" si="45"/>
        <v>0.74822618276931452</v>
      </c>
      <c r="AQ41" s="11">
        <f t="shared" si="27"/>
        <v>0.99017807071837594</v>
      </c>
      <c r="AR41" s="11">
        <f t="shared" si="28"/>
        <v>0.71481202671780375</v>
      </c>
      <c r="AS41" s="11">
        <f t="shared" si="29"/>
        <v>0.72190250204107864</v>
      </c>
      <c r="AT41" s="11">
        <f t="shared" si="30"/>
        <v>513.57565993950004</v>
      </c>
      <c r="AU41" s="11">
        <f t="shared" si="31"/>
        <v>1512.6995071807505</v>
      </c>
      <c r="AV41" s="11">
        <f t="shared" si="32"/>
        <v>1.7158900571014398E-3</v>
      </c>
      <c r="AW41" s="11">
        <f t="shared" si="33"/>
        <v>3.7086411159018176E-7</v>
      </c>
      <c r="AX41" s="41" t="e">
        <f t="shared" ca="1" si="34"/>
        <v>#NUM!</v>
      </c>
      <c r="AY41" s="41" t="e">
        <f t="shared" ca="1" si="35"/>
        <v>#NUM!</v>
      </c>
      <c r="AZ41" s="41">
        <f t="shared" si="36"/>
        <v>0.1454229023188085</v>
      </c>
      <c r="BA41" s="179">
        <f t="shared" si="46"/>
        <v>0.51126712037692368</v>
      </c>
      <c r="BB41" s="156">
        <f t="shared" si="47"/>
        <v>0.18282546005900713</v>
      </c>
    </row>
    <row r="42" spans="1:55" ht="14.5">
      <c r="A42" s="66" t="e">
        <f t="shared" ca="1" si="37"/>
        <v>#NUM!</v>
      </c>
      <c r="B42" s="41" t="e">
        <f t="shared" ca="1" si="51"/>
        <v>#NUM!</v>
      </c>
      <c r="C42" s="41" t="e">
        <f t="shared" ca="1" si="51"/>
        <v>#NUM!</v>
      </c>
      <c r="D42" s="41" t="e">
        <f t="shared" ca="1" si="39"/>
        <v>#NUM!</v>
      </c>
      <c r="E42" s="41" t="e">
        <f t="shared" ca="1" si="40"/>
        <v>#NUM!</v>
      </c>
      <c r="F42" s="41" t="e">
        <f t="shared" ca="1" si="41"/>
        <v>#NUM!</v>
      </c>
      <c r="G42" s="41"/>
      <c r="H42" s="7">
        <f t="shared" si="42"/>
        <v>9500</v>
      </c>
      <c r="I42" s="6">
        <v>15</v>
      </c>
      <c r="J42" s="41">
        <f t="shared" si="1"/>
        <v>0.19785825854793784</v>
      </c>
      <c r="K42" s="41">
        <f t="shared" si="2"/>
        <v>219.42929413014897</v>
      </c>
      <c r="L42" s="6">
        <f t="shared" si="48"/>
        <v>109.75</v>
      </c>
      <c r="M42" s="41">
        <f t="shared" si="3"/>
        <v>130.00834590340719</v>
      </c>
      <c r="N42" s="41">
        <f t="shared" si="4"/>
        <v>40.661083420147364</v>
      </c>
      <c r="O42" s="41">
        <f t="shared" si="5"/>
        <v>1002020.5580088809</v>
      </c>
      <c r="P42" s="41">
        <f t="shared" si="6"/>
        <v>6433676.0863978034</v>
      </c>
      <c r="Q42" s="41">
        <f t="shared" si="7"/>
        <v>3.2148336170866251E-3</v>
      </c>
      <c r="R42" s="41">
        <f t="shared" si="43"/>
        <v>2.4545016317873009E-2</v>
      </c>
      <c r="S42" s="24" t="e">
        <f t="shared" ca="1" si="44"/>
        <v>#NUM!</v>
      </c>
      <c r="T42" s="10" t="e">
        <f t="shared" ca="1" si="8"/>
        <v>#NUM!</v>
      </c>
      <c r="U42" s="41" t="e">
        <f t="shared" ca="1" si="9"/>
        <v>#NUM!</v>
      </c>
      <c r="V42" s="41" t="e">
        <f t="shared" ca="1" si="10"/>
        <v>#NUM!</v>
      </c>
      <c r="W42" s="41" t="e">
        <f t="shared" ca="1" si="11"/>
        <v>#NUM!</v>
      </c>
      <c r="X42" s="20" t="e">
        <f t="shared" ca="1" si="12"/>
        <v>#NUM!</v>
      </c>
      <c r="Y42" s="41">
        <f t="shared" si="13"/>
        <v>0.62340727654577144</v>
      </c>
      <c r="Z42" s="41" t="e">
        <f t="shared" ca="1" si="14"/>
        <v>#NUM!</v>
      </c>
      <c r="AA42" s="14" t="e">
        <f t="shared" ca="1" si="15"/>
        <v>#NUM!</v>
      </c>
      <c r="AB42" s="14">
        <f t="shared" si="49"/>
        <v>4095.0038974850663</v>
      </c>
      <c r="AC42" s="25" t="e">
        <f t="shared" ca="1" si="16"/>
        <v>#NUM!</v>
      </c>
      <c r="AD42" s="41">
        <f t="shared" si="17"/>
        <v>898563.81468535704</v>
      </c>
      <c r="AE42" s="6">
        <v>100</v>
      </c>
      <c r="AF42" s="41">
        <f t="shared" si="18"/>
        <v>4095.0038974850663</v>
      </c>
      <c r="AG42" s="41" t="e">
        <f t="shared" ca="1" si="19"/>
        <v>#NUM!</v>
      </c>
      <c r="AH42" s="41" t="e">
        <f t="shared" ca="1" si="20"/>
        <v>#NUM!</v>
      </c>
      <c r="AI42" s="41">
        <f t="shared" si="21"/>
        <v>3066.021589985171</v>
      </c>
      <c r="AJ42" s="13" t="e">
        <f t="shared" ca="1" si="22"/>
        <v>#NUM!</v>
      </c>
      <c r="AK42" s="11" t="e">
        <f t="shared" ca="1" si="23"/>
        <v>#NUM!</v>
      </c>
      <c r="AL42" s="6">
        <f t="shared" si="50"/>
        <v>500</v>
      </c>
      <c r="AM42" s="41" t="e">
        <f t="shared" ca="1" si="24"/>
        <v>#NUM!</v>
      </c>
      <c r="AN42" s="41" t="e">
        <f t="shared" ca="1" si="25"/>
        <v>#NUM!</v>
      </c>
      <c r="AO42" s="41" t="e">
        <f t="shared" ca="1" si="26"/>
        <v>#NUM!</v>
      </c>
      <c r="AP42" s="67">
        <f t="shared" si="45"/>
        <v>0.74872250838837018</v>
      </c>
      <c r="AQ42" s="11">
        <f t="shared" si="27"/>
        <v>0.98674039571837591</v>
      </c>
      <c r="AR42" s="11">
        <f t="shared" si="28"/>
        <v>0.70115127345474038</v>
      </c>
      <c r="AS42" s="11">
        <f t="shared" si="29"/>
        <v>0.71057319280445763</v>
      </c>
      <c r="AT42" s="11">
        <f t="shared" si="30"/>
        <v>511.79264104725002</v>
      </c>
      <c r="AU42" s="11">
        <f t="shared" si="31"/>
        <v>1483.7903479103904</v>
      </c>
      <c r="AV42" s="11">
        <f t="shared" si="32"/>
        <v>1.6889614219769153E-3</v>
      </c>
      <c r="AW42" s="11">
        <f t="shared" si="33"/>
        <v>3.6986028846941337E-7</v>
      </c>
      <c r="AX42" s="41" t="e">
        <f t="shared" ca="1" si="34"/>
        <v>#NUM!</v>
      </c>
      <c r="AY42" s="41" t="e">
        <f t="shared" ca="1" si="35"/>
        <v>#NUM!</v>
      </c>
      <c r="AZ42" s="41">
        <f t="shared" si="36"/>
        <v>0.14712012591647242</v>
      </c>
      <c r="BA42" s="179">
        <f t="shared" si="46"/>
        <v>0.52407668079346648</v>
      </c>
      <c r="BB42" s="156">
        <f t="shared" si="47"/>
        <v>0.12487993799976493</v>
      </c>
    </row>
    <row r="43" spans="1:55" ht="14.5">
      <c r="A43" s="66" t="e">
        <f t="shared" ca="1" si="37"/>
        <v>#NUM!</v>
      </c>
      <c r="B43" s="41" t="e">
        <f t="shared" ca="1" si="51"/>
        <v>#NUM!</v>
      </c>
      <c r="C43" s="41" t="e">
        <f t="shared" ca="1" si="51"/>
        <v>#NUM!</v>
      </c>
      <c r="D43" s="41" t="e">
        <f t="shared" ca="1" si="39"/>
        <v>#NUM!</v>
      </c>
      <c r="E43" s="41" t="e">
        <f t="shared" ca="1" si="40"/>
        <v>#NUM!</v>
      </c>
      <c r="F43" s="41" t="e">
        <f t="shared" ca="1" si="41"/>
        <v>#NUM!</v>
      </c>
      <c r="G43" s="41"/>
      <c r="H43" s="7">
        <f t="shared" si="42"/>
        <v>10000</v>
      </c>
      <c r="I43" s="6">
        <v>15</v>
      </c>
      <c r="J43" s="41">
        <f t="shared" si="1"/>
        <v>0.20021828938639946</v>
      </c>
      <c r="K43" s="41">
        <f t="shared" si="2"/>
        <v>221.65949360842143</v>
      </c>
      <c r="L43" s="6">
        <f t="shared" si="48"/>
        <v>110</v>
      </c>
      <c r="M43" s="41">
        <f t="shared" si="3"/>
        <v>131.32970341109197</v>
      </c>
      <c r="N43" s="41">
        <f t="shared" si="4"/>
        <v>40.838245249929358</v>
      </c>
      <c r="O43" s="41">
        <f t="shared" si="5"/>
        <v>998976.57460302592</v>
      </c>
      <c r="P43" s="41">
        <f t="shared" si="6"/>
        <v>6414131.5739732711</v>
      </c>
      <c r="Q43" s="41">
        <f t="shared" si="7"/>
        <v>3.2161626372518974E-3</v>
      </c>
      <c r="R43" s="41">
        <f t="shared" si="43"/>
        <v>2.4553096275939573E-2</v>
      </c>
      <c r="S43" s="24" t="e">
        <f t="shared" ca="1" si="44"/>
        <v>#NUM!</v>
      </c>
      <c r="T43" s="10" t="e">
        <f t="shared" ca="1" si="8"/>
        <v>#NUM!</v>
      </c>
      <c r="U43" s="41" t="e">
        <f t="shared" ca="1" si="9"/>
        <v>#NUM!</v>
      </c>
      <c r="V43" s="41" t="e">
        <f t="shared" ca="1" si="10"/>
        <v>#NUM!</v>
      </c>
      <c r="W43" s="41" t="e">
        <f t="shared" ca="1" si="11"/>
        <v>#NUM!</v>
      </c>
      <c r="X43" s="20" t="e">
        <f t="shared" ca="1" si="12"/>
        <v>#NUM!</v>
      </c>
      <c r="Y43" s="41">
        <f t="shared" si="13"/>
        <v>0.62350987762200549</v>
      </c>
      <c r="Z43" s="41" t="e">
        <f t="shared" ca="1" si="14"/>
        <v>#NUM!</v>
      </c>
      <c r="AA43" s="14" t="e">
        <f t="shared" ca="1" si="15"/>
        <v>#NUM!</v>
      </c>
      <c r="AB43" s="14">
        <f t="shared" si="49"/>
        <v>4016.4588107467653</v>
      </c>
      <c r="AC43" s="25" t="e">
        <f t="shared" ca="1" si="16"/>
        <v>#NUM!</v>
      </c>
      <c r="AD43" s="41">
        <f t="shared" si="17"/>
        <v>890286.2260892106</v>
      </c>
      <c r="AE43" s="6">
        <v>100</v>
      </c>
      <c r="AF43" s="41">
        <f t="shared" si="18"/>
        <v>4016.4588107467653</v>
      </c>
      <c r="AG43" s="41" t="e">
        <f t="shared" ca="1" si="19"/>
        <v>#NUM!</v>
      </c>
      <c r="AH43" s="41" t="e">
        <f t="shared" ca="1" si="20"/>
        <v>#NUM!</v>
      </c>
      <c r="AI43" s="41">
        <f t="shared" si="21"/>
        <v>3009.2310803708142</v>
      </c>
      <c r="AJ43" s="13" t="e">
        <f t="shared" ca="1" si="22"/>
        <v>#NUM!</v>
      </c>
      <c r="AK43" s="11" t="e">
        <f t="shared" ca="1" si="23"/>
        <v>#NUM!</v>
      </c>
      <c r="AL43" s="6">
        <v>0</v>
      </c>
      <c r="AM43" s="41" t="e">
        <f t="shared" ca="1" si="24"/>
        <v>#NUM!</v>
      </c>
      <c r="AN43" s="41" t="e">
        <f t="shared" ca="1" si="25"/>
        <v>#NUM!</v>
      </c>
      <c r="AO43" s="41" t="e">
        <f t="shared" ca="1" si="26"/>
        <v>#NUM!</v>
      </c>
      <c r="AP43" s="67">
        <f t="shared" si="45"/>
        <v>0.74922493225103415</v>
      </c>
      <c r="AQ43" s="11">
        <f t="shared" si="27"/>
        <v>0.98330272071837588</v>
      </c>
      <c r="AR43" s="11">
        <f t="shared" si="28"/>
        <v>0.68770269343653956</v>
      </c>
      <c r="AS43" s="11">
        <f t="shared" si="29"/>
        <v>0.69938044403469313</v>
      </c>
      <c r="AT43" s="11">
        <f t="shared" si="30"/>
        <v>510.00962215499999</v>
      </c>
      <c r="AU43" s="11">
        <f t="shared" si="31"/>
        <v>1455.3301939042735</v>
      </c>
      <c r="AV43" s="11">
        <f t="shared" si="32"/>
        <v>1.6623573774260621E-3</v>
      </c>
      <c r="AW43" s="11">
        <f t="shared" si="33"/>
        <v>3.6885478983619832E-7</v>
      </c>
      <c r="AX43" s="41" t="e">
        <f t="shared" ca="1" si="34"/>
        <v>#NUM!</v>
      </c>
      <c r="AY43" s="41" t="e">
        <f t="shared" ca="1" si="35"/>
        <v>#NUM!</v>
      </c>
      <c r="AZ43" s="41">
        <f t="shared" si="36"/>
        <v>0.14883885943640926</v>
      </c>
      <c r="BA43" s="179">
        <f>2.12 - (0.00251*AF43) + (1.94*10^(-6)*AF43^2) - (7.84*10^(-10)*AF43^3) + (1.7*10^(-13)*AF43^4) - (1.89*10^(-17)*AF43^5) + (8.37*10^(-22)*AF43^6)</f>
        <v>0.53625077120483677</v>
      </c>
      <c r="BB43" s="156">
        <f t="shared" si="47"/>
        <v>9.5313570140334036E-2</v>
      </c>
    </row>
    <row r="44" spans="1:55" ht="14.5">
      <c r="B44" s="135" t="e">
        <f ca="1">B43-B23</f>
        <v>#NUM!</v>
      </c>
      <c r="C44" s="135"/>
      <c r="X44" s="32" t="e">
        <f ca="1">AVERAGE(X23:X43)</f>
        <v>#NUM!</v>
      </c>
      <c r="AC44" s="3"/>
      <c r="AD44" s="3"/>
      <c r="AN44" s="32" t="e">
        <f ca="1">SUM(AN23:AN43)</f>
        <v>#NUM!</v>
      </c>
      <c r="AP44" s="145"/>
    </row>
    <row r="45" spans="1:55" s="89" customFormat="1" ht="14.5">
      <c r="A45" s="123" t="s">
        <v>237</v>
      </c>
      <c r="B45" s="81" t="s">
        <v>120</v>
      </c>
      <c r="C45" s="81">
        <v>100</v>
      </c>
      <c r="D45" s="81" t="s">
        <v>49</v>
      </c>
      <c r="E45" s="82"/>
      <c r="F45" s="82"/>
      <c r="G45" s="82"/>
      <c r="H45" s="82"/>
      <c r="I45" s="83"/>
      <c r="J45" s="82"/>
      <c r="K45" s="82"/>
      <c r="L45" s="84" t="s">
        <v>60</v>
      </c>
      <c r="M45" s="82"/>
      <c r="N45" s="82"/>
      <c r="O45" s="82"/>
      <c r="P45" s="82"/>
      <c r="Q45" s="81"/>
      <c r="R45" s="82"/>
      <c r="S45" s="85"/>
      <c r="T45" s="86"/>
      <c r="U45" s="81"/>
      <c r="V45" s="81"/>
      <c r="W45" s="81"/>
      <c r="X45" s="81"/>
      <c r="Y45" s="82"/>
      <c r="Z45" s="82"/>
      <c r="AA45" s="87"/>
      <c r="AB45" s="87"/>
      <c r="AC45" s="82"/>
      <c r="AD45" s="82"/>
      <c r="AE45" s="83"/>
      <c r="AF45" s="81"/>
      <c r="AG45" s="82"/>
      <c r="AH45" s="82"/>
      <c r="AI45" s="82"/>
      <c r="AJ45" s="81" t="s">
        <v>61</v>
      </c>
      <c r="AK45" s="88"/>
      <c r="AL45" s="83"/>
      <c r="AM45" s="82"/>
      <c r="AN45" s="82"/>
      <c r="AO45" s="83"/>
      <c r="AP45" s="53"/>
      <c r="AQ45" s="88"/>
      <c r="AR45" s="88"/>
      <c r="AS45" s="88"/>
      <c r="AT45" s="88"/>
      <c r="AU45" s="88"/>
      <c r="AV45" s="88"/>
      <c r="AW45" s="88"/>
      <c r="AX45" s="82"/>
      <c r="AY45" s="82"/>
      <c r="AZ45" s="82"/>
    </row>
    <row r="46" spans="1:55" ht="14.5">
      <c r="A46" s="41" t="s">
        <v>2</v>
      </c>
      <c r="B46" s="41" t="s">
        <v>2</v>
      </c>
      <c r="C46" s="41" t="s">
        <v>2</v>
      </c>
      <c r="D46" s="41" t="s">
        <v>23</v>
      </c>
      <c r="E46" s="41" t="s">
        <v>24</v>
      </c>
      <c r="F46" s="41" t="s">
        <v>25</v>
      </c>
      <c r="G46" s="41"/>
      <c r="H46" s="41" t="s">
        <v>0</v>
      </c>
      <c r="I46" s="5" t="s">
        <v>26</v>
      </c>
      <c r="J46" s="41" t="s">
        <v>27</v>
      </c>
      <c r="K46" s="41" t="s">
        <v>28</v>
      </c>
      <c r="L46" s="12" t="s">
        <v>29</v>
      </c>
      <c r="M46" s="13" t="s">
        <v>30</v>
      </c>
      <c r="N46" s="41" t="s">
        <v>31</v>
      </c>
      <c r="O46" s="41" t="s">
        <v>32</v>
      </c>
      <c r="P46" s="41" t="s">
        <v>33</v>
      </c>
      <c r="Q46" s="41" t="s">
        <v>34</v>
      </c>
      <c r="R46" s="41" t="s">
        <v>13</v>
      </c>
      <c r="S46" s="24" t="s">
        <v>35</v>
      </c>
      <c r="T46" s="10" t="s">
        <v>35</v>
      </c>
      <c r="U46" s="41" t="s">
        <v>36</v>
      </c>
      <c r="V46" s="41" t="s">
        <v>37</v>
      </c>
      <c r="W46" s="41" t="s">
        <v>38</v>
      </c>
      <c r="X46" s="41" t="s">
        <v>39</v>
      </c>
      <c r="Y46" s="41" t="s">
        <v>40</v>
      </c>
      <c r="Z46" s="35" t="s">
        <v>108</v>
      </c>
      <c r="AA46" s="35" t="s">
        <v>109</v>
      </c>
      <c r="AB46" s="9" t="s">
        <v>110</v>
      </c>
      <c r="AC46" s="7" t="s">
        <v>111</v>
      </c>
      <c r="AD46" s="7" t="s">
        <v>112</v>
      </c>
      <c r="AE46" s="5" t="s">
        <v>41</v>
      </c>
      <c r="AF46" s="7" t="s">
        <v>113</v>
      </c>
      <c r="AG46" s="7" t="s">
        <v>114</v>
      </c>
      <c r="AH46" s="7" t="s">
        <v>115</v>
      </c>
      <c r="AI46" s="41" t="s">
        <v>42</v>
      </c>
      <c r="AJ46" s="41" t="s">
        <v>43</v>
      </c>
      <c r="AK46" s="36"/>
      <c r="AL46" s="5" t="s">
        <v>44</v>
      </c>
      <c r="AM46" s="41" t="s">
        <v>45</v>
      </c>
      <c r="AN46" s="41" t="s">
        <v>46</v>
      </c>
      <c r="AO46" s="5" t="s">
        <v>47</v>
      </c>
      <c r="AP46" s="53" t="s">
        <v>85</v>
      </c>
      <c r="AQ46" s="15" t="s">
        <v>62</v>
      </c>
      <c r="AR46" s="16" t="s">
        <v>63</v>
      </c>
      <c r="AS46" s="16" t="s">
        <v>64</v>
      </c>
      <c r="AT46" s="17" t="s">
        <v>65</v>
      </c>
      <c r="AU46" s="18" t="s">
        <v>66</v>
      </c>
      <c r="AV46" s="18" t="s">
        <v>67</v>
      </c>
      <c r="AW46" s="19" t="s">
        <v>68</v>
      </c>
      <c r="AX46" s="7" t="s">
        <v>207</v>
      </c>
      <c r="AY46" s="7" t="s">
        <v>208</v>
      </c>
      <c r="AZ46" s="7" t="s">
        <v>209</v>
      </c>
    </row>
    <row r="47" spans="1:55" ht="14.5">
      <c r="A47" s="41" t="s">
        <v>18</v>
      </c>
      <c r="B47" s="41" t="s">
        <v>21</v>
      </c>
      <c r="C47" s="41" t="s">
        <v>48</v>
      </c>
      <c r="D47" s="41" t="s">
        <v>8</v>
      </c>
      <c r="E47" s="41" t="s">
        <v>49</v>
      </c>
      <c r="F47" s="41" t="s">
        <v>49</v>
      </c>
      <c r="G47" s="41"/>
      <c r="H47" s="41" t="s">
        <v>9</v>
      </c>
      <c r="I47" s="5" t="s">
        <v>50</v>
      </c>
      <c r="J47" s="41"/>
      <c r="K47" s="41" t="s">
        <v>51</v>
      </c>
      <c r="L47" s="5" t="s">
        <v>52</v>
      </c>
      <c r="M47" s="41" t="s">
        <v>52</v>
      </c>
      <c r="N47" s="41" t="s">
        <v>53</v>
      </c>
      <c r="O47" s="41" t="s">
        <v>54</v>
      </c>
      <c r="P47" s="41"/>
      <c r="Q47" s="41"/>
      <c r="R47" s="41"/>
      <c r="S47" s="24" t="s">
        <v>55</v>
      </c>
      <c r="T47" s="10" t="s">
        <v>55</v>
      </c>
      <c r="U47" s="41"/>
      <c r="V47" s="41"/>
      <c r="W47" s="41"/>
      <c r="X47" s="41"/>
      <c r="Y47" s="41"/>
      <c r="Z47" s="41"/>
      <c r="AA47" s="9" t="s">
        <v>118</v>
      </c>
      <c r="AB47" s="9" t="s">
        <v>118</v>
      </c>
      <c r="AC47" s="7" t="s">
        <v>119</v>
      </c>
      <c r="AD47" s="7" t="s">
        <v>119</v>
      </c>
      <c r="AE47" s="5" t="s">
        <v>20</v>
      </c>
      <c r="AF47" s="7" t="s">
        <v>118</v>
      </c>
      <c r="AG47" s="7" t="s">
        <v>118</v>
      </c>
      <c r="AH47" s="7" t="s">
        <v>119</v>
      </c>
      <c r="AI47" s="41" t="s">
        <v>56</v>
      </c>
      <c r="AJ47" s="41" t="s">
        <v>57</v>
      </c>
      <c r="AK47" s="11"/>
      <c r="AL47" s="5" t="s">
        <v>9</v>
      </c>
      <c r="AM47" s="41" t="s">
        <v>18</v>
      </c>
      <c r="AN47" s="41" t="s">
        <v>8</v>
      </c>
      <c r="AO47" s="5" t="s">
        <v>49</v>
      </c>
      <c r="AP47" s="53"/>
      <c r="AQ47" s="11"/>
      <c r="AR47" s="11"/>
      <c r="AS47" s="11"/>
      <c r="AT47" s="11"/>
      <c r="AU47" s="11"/>
      <c r="AV47" s="11"/>
      <c r="AW47" s="11"/>
      <c r="AX47" s="41"/>
      <c r="AY47" s="41"/>
      <c r="AZ47" s="41"/>
    </row>
    <row r="48" spans="1:55" ht="14.5">
      <c r="A48" s="41">
        <v>0</v>
      </c>
      <c r="B48" s="41">
        <f t="shared" ref="B48:C63" si="52">A48/60</f>
        <v>0</v>
      </c>
      <c r="C48" s="41">
        <f t="shared" si="52"/>
        <v>0</v>
      </c>
      <c r="D48" s="41">
        <v>17267.217924997112</v>
      </c>
      <c r="E48" s="41" t="e">
        <f t="shared" ref="E48" ca="1" si="53">E43</f>
        <v>#NUM!</v>
      </c>
      <c r="F48" s="41">
        <v>0</v>
      </c>
      <c r="G48" s="41"/>
      <c r="H48" s="7">
        <v>10000</v>
      </c>
      <c r="I48" s="6">
        <v>15</v>
      </c>
      <c r="J48" s="41">
        <f t="shared" ref="J48:J68" si="54">SQRT((((((((L48^2)*(0.2))/(661.477)^2) + 1)^(3.5) - 1)*(1/AR48) + 1)^(1/3.5) - 1)*(5))</f>
        <v>0.20021828938639946</v>
      </c>
      <c r="K48" s="41">
        <f t="shared" ref="K48:K68" si="55">SQRT((1.4*2116.22*AR48*(J48)^2)/AV48)</f>
        <v>221.65949360842143</v>
      </c>
      <c r="L48" s="120">
        <v>110</v>
      </c>
      <c r="M48" s="41">
        <f t="shared" ref="M48:M68" si="56">K48*0.592484</f>
        <v>131.32970341109197</v>
      </c>
      <c r="N48" s="41">
        <f t="shared" ref="N48:N68" si="57">0.5*AV48*K48^2</f>
        <v>40.838245249929358</v>
      </c>
      <c r="O48" s="41">
        <f t="shared" ref="O48:O68" si="58">P48/$B$7</f>
        <v>998976.57460302592</v>
      </c>
      <c r="P48" s="41">
        <f t="shared" ref="P48:P68" si="59">(AV48*K48*$B$7)/(AW48)</f>
        <v>6414131.5739732711</v>
      </c>
      <c r="Q48" s="41">
        <f t="shared" ref="Q48:Q68" si="60">0.455/(LOG10(P48)^2.58 * (1+0.144*J48*J48)^0.65)</f>
        <v>3.2161626372518974E-3</v>
      </c>
      <c r="R48" s="41">
        <f t="shared" ref="R48:R68" si="61">(((Q48*$B$4)+$B$17)+(0.1*(Q48*$B$4)))</f>
        <v>2.4553096275939573E-2</v>
      </c>
      <c r="S48" s="24">
        <f ca="1">T48</f>
        <v>0</v>
      </c>
      <c r="T48" s="10">
        <f t="shared" ref="T48:T68" ca="1" si="62">DEGREES(ASIN(((AF48-X48)/(D48))))</f>
        <v>0</v>
      </c>
      <c r="U48" s="41">
        <f t="shared" ref="U48:U68" ca="1" si="63">(D48*COS(RADIANS(S48)))/(N48*$B$3)</f>
        <v>1.8383468751903724</v>
      </c>
      <c r="V48" s="41">
        <f t="shared" ref="V48:V68" ca="1" si="64">(X48)/(N48*$B$3)</f>
        <v>0.23799245789863505</v>
      </c>
      <c r="W48" s="41">
        <f t="shared" ref="W48:W68" ca="1" si="65">U48/V48</f>
        <v>7.724391316523799</v>
      </c>
      <c r="X48" s="20">
        <f t="shared" ref="X48:X68" ca="1" si="66">(N48*$B$3*R48)+((N48*$B$3)*((U48^2)/(PI()*$B$6*$B$5)))</f>
        <v>2235.4147035585274</v>
      </c>
      <c r="Y48" s="41">
        <f t="shared" ref="Y48:Y68" si="67">SQRT(PI()*$B$6*$B$5*R48)</f>
        <v>0.62350987762200549</v>
      </c>
      <c r="Z48" s="41">
        <f t="shared" ref="Z48:Z68" ca="1" si="68">SQRT((2*((U48*N48*$B$3)/(D48))*D48)/(AV48*$B$3*$B$18))</f>
        <v>193.99674650302629</v>
      </c>
      <c r="AA48" s="14">
        <f t="shared" ref="AA48:AA68" ca="1" si="69">D48/W48</f>
        <v>2235.4147035585274</v>
      </c>
      <c r="AB48" s="14">
        <f>$B$15*AR48*0.93</f>
        <v>4016.4588107467653</v>
      </c>
      <c r="AC48" s="25">
        <f t="shared" ref="AC48:AC68" ca="1" si="70">AA48*K48</f>
        <v>495500.89119560272</v>
      </c>
      <c r="AD48" s="41">
        <f t="shared" ref="AD48:AD68" si="71">AB48*K48</f>
        <v>890286.2260892106</v>
      </c>
      <c r="AE48" s="5">
        <f t="shared" ref="AE48:AE68" ca="1" si="72">(AA48/AB48)*100</f>
        <v>55.656358222254617</v>
      </c>
      <c r="AF48" s="7">
        <f t="shared" ref="AF48:AF68" ca="1" si="73">(AB48)*(AE48/100)</f>
        <v>2235.4147035585274</v>
      </c>
      <c r="AG48" s="41">
        <f t="shared" ref="AG48:AG68" ca="1" si="74">AB48-AA48</f>
        <v>1781.0441071882378</v>
      </c>
      <c r="AH48" s="41">
        <f t="shared" ref="AH48:AH68" ca="1" si="75">AD48-AC48</f>
        <v>394785.33489360788</v>
      </c>
      <c r="AI48" s="41">
        <f t="shared" ref="AI48:AI68" ca="1" si="76">(AP48*AF48)</f>
        <v>1644.4173639187561</v>
      </c>
      <c r="AJ48" s="13">
        <f t="shared" ref="AJ48:AJ68" ca="1" si="77">K48*SIN(RADIANS(T48))</f>
        <v>0</v>
      </c>
      <c r="AK48" s="11"/>
      <c r="AL48" s="6">
        <v>0</v>
      </c>
      <c r="AM48" s="41">
        <f t="shared" ref="AM48:AM68" si="78">(AO48/M48)*3600</f>
        <v>2741.1925150939978</v>
      </c>
      <c r="AN48" s="41">
        <f t="shared" ref="AN48:AN68" ca="1" si="79">AI48*(AM48/3600)</f>
        <v>1252.1290471290824</v>
      </c>
      <c r="AO48" s="6">
        <v>100</v>
      </c>
      <c r="AP48" s="67">
        <f>0.692 + 0.298*AZ48 + -0.0331*AZ48^2</f>
        <v>0.73562071561085718</v>
      </c>
      <c r="AQ48" s="11">
        <f t="shared" ref="AQ48:AQ68" si="80">IF(H48 &lt;= 36089, ((1 - 6.87535*10^(-6)*H48) + ((I48*1.8)/518.67)), 0.75187 + ((I48*1.8)/518.67))</f>
        <v>0.98330272071837588</v>
      </c>
      <c r="AR48" s="11">
        <f t="shared" ref="AR48:AR68" si="81">IF(H48 &lt;= 36089, (1 - 6.87535*10^(-6)*H48)^5.2561, 0.22336*EXP((36089 - H48)/(20806.7)))</f>
        <v>0.68770269343653956</v>
      </c>
      <c r="AS48" s="11">
        <f t="shared" ref="AS48:AS68" si="82">(AR48/AQ48)</f>
        <v>0.69938044403469313</v>
      </c>
      <c r="AT48" s="11">
        <f t="shared" ref="AT48:AT68" si="83">(518.67*AQ48)</f>
        <v>510.00962215499999</v>
      </c>
      <c r="AU48" s="11">
        <f t="shared" ref="AU48:AU68" si="84">2116.22*AR48</f>
        <v>1455.3301939042735</v>
      </c>
      <c r="AV48" s="11">
        <f t="shared" ref="AV48:AV68" si="85">(0.0023769*AS48)</f>
        <v>1.6623573774260621E-3</v>
      </c>
      <c r="AW48" s="11">
        <f t="shared" ref="AW48:AW68" si="86">((2.2697*10^-8)*(AT48^1.5))/(AT48+198.72)</f>
        <v>3.6885478983619832E-7</v>
      </c>
      <c r="AX48" s="41">
        <f t="shared" ref="AX48:AX68" ca="1" si="87">(1/U48)*(((1 + 0.2*(U48)^2)/1.2)^3)</f>
        <v>1.4817539513626738</v>
      </c>
      <c r="AY48" s="41">
        <f t="shared" ref="AY48:AY68" ca="1" si="88">($H$4/$H$3)*AX48</f>
        <v>1.9959520113057476</v>
      </c>
      <c r="AZ48" s="41">
        <f t="shared" ref="AZ48:AZ68" si="89">-6.6*10^(-3) + 0.825*J48 - 0.243*(J48^2)</f>
        <v>0.14883885943640926</v>
      </c>
      <c r="BA48" s="179">
        <f ca="1">2.12-0.00251*AF48+1.94*10^-6*AF48^2-7.84*10^-10*AF48^3+1.7*10^-13*AF48^4-1.89*10^-17*AF48^5+8.37*10^-22*AF48^6</f>
        <v>0.74021358846583662</v>
      </c>
      <c r="BB48" s="156">
        <f ca="1">2.18-0.00461*AF48+6.03*10^-6*AF48^2-4.1*10^-9*AF48^3+1.5*10^-12*AF48^4-2.81*10^-16*AF48^5+2.1*10^-20*AF48^6</f>
        <v>0.599048540965891</v>
      </c>
      <c r="BC48" s="156">
        <f ca="1">1.75-5.02*10^-3*AF48+1.01*10^-5*AF48^2-1.09*10^-8*AF48^3+6.44*10^-12*AF48^4-1.99*10^-15*AF48^5+2.49*10^-19*AF48^6</f>
        <v>4.0230623867625326E-2</v>
      </c>
    </row>
    <row r="49" spans="1:55" ht="14.5">
      <c r="A49" s="41">
        <v>0</v>
      </c>
      <c r="B49" s="41">
        <f t="shared" si="52"/>
        <v>0</v>
      </c>
      <c r="C49" s="41">
        <f t="shared" si="52"/>
        <v>0</v>
      </c>
      <c r="D49" s="41">
        <v>17267.217924997112</v>
      </c>
      <c r="E49" s="41" t="e">
        <f t="shared" ref="E49:E68" ca="1" si="90">E48+AO48</f>
        <v>#NUM!</v>
      </c>
      <c r="F49" s="7">
        <f t="shared" ref="F49:F68" si="91">F48+AO48</f>
        <v>100</v>
      </c>
      <c r="G49" s="41"/>
      <c r="H49" s="7">
        <f t="shared" ref="H49:H68" si="92">H48+AL48</f>
        <v>10000</v>
      </c>
      <c r="I49" s="6">
        <v>15</v>
      </c>
      <c r="J49" s="41">
        <f t="shared" si="54"/>
        <v>0.22741950061242822</v>
      </c>
      <c r="K49" s="41">
        <f t="shared" si="55"/>
        <v>251.77365912434564</v>
      </c>
      <c r="L49" s="6">
        <f>L48+15</f>
        <v>125</v>
      </c>
      <c r="M49" s="41">
        <f t="shared" si="56"/>
        <v>149.17186465262881</v>
      </c>
      <c r="N49" s="41">
        <f t="shared" si="57"/>
        <v>52.688396654512943</v>
      </c>
      <c r="O49" s="41">
        <f t="shared" si="58"/>
        <v>1134695.3088850374</v>
      </c>
      <c r="P49" s="41">
        <f t="shared" si="59"/>
        <v>7285541.2154694842</v>
      </c>
      <c r="Q49" s="41">
        <f t="shared" si="60"/>
        <v>3.146288461994746E-3</v>
      </c>
      <c r="R49" s="41">
        <f t="shared" si="61"/>
        <v>2.4128286765319678E-2</v>
      </c>
      <c r="S49" s="24">
        <f t="shared" ref="S49:S68" ca="1" si="93">T49</f>
        <v>0</v>
      </c>
      <c r="T49" s="10">
        <f t="shared" ca="1" si="62"/>
        <v>0</v>
      </c>
      <c r="U49" s="41">
        <f t="shared" ca="1" si="63"/>
        <v>1.4248841359843369</v>
      </c>
      <c r="V49" s="41">
        <f t="shared" ca="1" si="64"/>
        <v>0.15235505403107996</v>
      </c>
      <c r="W49" s="41">
        <f t="shared" ca="1" si="65"/>
        <v>9.3523916554396997</v>
      </c>
      <c r="X49" s="20">
        <f t="shared" ca="1" si="66"/>
        <v>1846.2890093951373</v>
      </c>
      <c r="Y49" s="41">
        <f t="shared" si="67"/>
        <v>0.61809246247305594</v>
      </c>
      <c r="Z49" s="41">
        <f t="shared" ca="1" si="68"/>
        <v>193.99674650302629</v>
      </c>
      <c r="AA49" s="14">
        <f t="shared" ca="1" si="69"/>
        <v>1846.2890093951373</v>
      </c>
      <c r="AB49" s="14">
        <f t="shared" ref="AB49:AB68" si="94">$B$15*AR49*0.93</f>
        <v>4016.4588107467653</v>
      </c>
      <c r="AC49" s="25">
        <f t="shared" ca="1" si="70"/>
        <v>464846.93969647709</v>
      </c>
      <c r="AD49" s="41">
        <f t="shared" si="71"/>
        <v>1011238.5315039308</v>
      </c>
      <c r="AE49" s="5">
        <f t="shared" ca="1" si="72"/>
        <v>45.968080251565276</v>
      </c>
      <c r="AF49" s="7">
        <f t="shared" ca="1" si="73"/>
        <v>1846.2890093951373</v>
      </c>
      <c r="AG49" s="41">
        <f t="shared" ca="1" si="74"/>
        <v>2170.1698013516279</v>
      </c>
      <c r="AH49" s="41">
        <f t="shared" ca="1" si="75"/>
        <v>546391.59180745366</v>
      </c>
      <c r="AI49" s="41">
        <f t="shared" ca="1" si="76"/>
        <v>1368.5798168302347</v>
      </c>
      <c r="AJ49" s="13">
        <f t="shared" ca="1" si="77"/>
        <v>0</v>
      </c>
      <c r="AK49" s="11"/>
      <c r="AL49" s="6">
        <v>0</v>
      </c>
      <c r="AM49" s="41">
        <f t="shared" si="78"/>
        <v>2413.3237245396049</v>
      </c>
      <c r="AN49" s="41">
        <f t="shared" ca="1" si="79"/>
        <v>917.45170580068668</v>
      </c>
      <c r="AO49" s="6">
        <v>100</v>
      </c>
      <c r="AP49" s="67">
        <f t="shared" ref="AP49:AP68" si="95">0.692 + 0.298*AZ49 + -0.0331*AZ49^2</f>
        <v>0.74125979728308899</v>
      </c>
      <c r="AQ49" s="11">
        <f t="shared" si="80"/>
        <v>0.98330272071837588</v>
      </c>
      <c r="AR49" s="11">
        <f t="shared" si="81"/>
        <v>0.68770269343653956</v>
      </c>
      <c r="AS49" s="11">
        <f t="shared" si="82"/>
        <v>0.69938044403469313</v>
      </c>
      <c r="AT49" s="11">
        <f t="shared" si="83"/>
        <v>510.00962215499999</v>
      </c>
      <c r="AU49" s="11">
        <f t="shared" si="84"/>
        <v>1455.3301939042735</v>
      </c>
      <c r="AV49" s="11">
        <f t="shared" si="85"/>
        <v>1.6623573774260621E-3</v>
      </c>
      <c r="AW49" s="11">
        <f t="shared" si="86"/>
        <v>3.6885478983619832E-7</v>
      </c>
      <c r="AX49" s="41">
        <f t="shared" ca="1" si="87"/>
        <v>1.1289827532580492</v>
      </c>
      <c r="AY49" s="41">
        <f t="shared" ca="1" si="88"/>
        <v>1.5207621987595181</v>
      </c>
      <c r="AZ49" s="41">
        <f t="shared" si="89"/>
        <v>0.16845321809536334</v>
      </c>
      <c r="BA49" s="179">
        <f t="shared" ref="BA49:BA67" ca="1" si="96">2.12-0.00251*AF49+1.94*10^-6*AF49^2-7.84*10^-10*AF49^3+1.7*10^-13*AF49^4-1.89*10^-17*AF49^5+8.37*10^-22*AF49^6</f>
        <v>0.76772040663654306</v>
      </c>
      <c r="BB49" s="156">
        <f t="shared" ref="BB49:BB68" ca="1" si="97">2.18-0.00461*AF49+6.03*10^-6*AF49^2-4.1*10^-9*AF49^3+1.5*10^-12*AF49^4-2.81*10^-16*AF49^5+2.1*10^-20*AF49^6</f>
        <v>0.6528780646901271</v>
      </c>
      <c r="BC49" s="156">
        <f t="shared" ref="BC49:BC68" ca="1" si="98">1.75-5.02*10^-3*AF49+1.01*10^-5*AF49^2-1.09*10^-8*AF49^3+6.44*10^-12*AF49^4-1.99*10^-15*AF49^5+2.49*10^-19*AF49^6</f>
        <v>0.31188411748860645</v>
      </c>
    </row>
    <row r="50" spans="1:55" ht="14.5">
      <c r="A50" s="41">
        <v>0</v>
      </c>
      <c r="B50" s="41">
        <f t="shared" si="52"/>
        <v>0</v>
      </c>
      <c r="C50" s="41">
        <f t="shared" si="52"/>
        <v>0</v>
      </c>
      <c r="D50" s="41">
        <v>17267.217924997112</v>
      </c>
      <c r="E50" s="41" t="e">
        <f t="shared" ca="1" si="90"/>
        <v>#NUM!</v>
      </c>
      <c r="F50" s="7">
        <f t="shared" si="91"/>
        <v>200</v>
      </c>
      <c r="G50" s="41"/>
      <c r="H50" s="7">
        <f t="shared" si="92"/>
        <v>10000</v>
      </c>
      <c r="I50" s="6">
        <v>15</v>
      </c>
      <c r="J50" s="41">
        <f t="shared" si="54"/>
        <v>0.25458289383985061</v>
      </c>
      <c r="K50" s="41">
        <f t="shared" si="55"/>
        <v>281.84595674475406</v>
      </c>
      <c r="L50" s="6">
        <f t="shared" ref="L50:L68" si="99">L49+15</f>
        <v>140</v>
      </c>
      <c r="M50" s="41">
        <f t="shared" si="56"/>
        <v>166.98921983595886</v>
      </c>
      <c r="N50" s="41">
        <f t="shared" si="57"/>
        <v>66.026460630936057</v>
      </c>
      <c r="O50" s="41">
        <f t="shared" si="58"/>
        <v>1270225.3526392155</v>
      </c>
      <c r="P50" s="41">
        <f t="shared" si="59"/>
        <v>8155739.3311871616</v>
      </c>
      <c r="Q50" s="41">
        <f t="shared" si="60"/>
        <v>3.0853068924397258E-3</v>
      </c>
      <c r="R50" s="41">
        <f t="shared" si="61"/>
        <v>2.3757541055274972E-2</v>
      </c>
      <c r="S50" s="24">
        <f t="shared" ca="1" si="93"/>
        <v>0</v>
      </c>
      <c r="T50" s="10">
        <f t="shared" ca="1" si="62"/>
        <v>0</v>
      </c>
      <c r="U50" s="41">
        <f t="shared" ca="1" si="63"/>
        <v>1.1370420256676625</v>
      </c>
      <c r="V50" s="41">
        <f t="shared" ca="1" si="64"/>
        <v>0.10541063104216453</v>
      </c>
      <c r="W50" s="41">
        <f t="shared" ca="1" si="65"/>
        <v>10.786787010247977</v>
      </c>
      <c r="X50" s="20">
        <f t="shared" ca="1" si="66"/>
        <v>1600.7749025351486</v>
      </c>
      <c r="Y50" s="41">
        <f t="shared" si="67"/>
        <v>0.61332539723291513</v>
      </c>
      <c r="Z50" s="41">
        <f t="shared" ca="1" si="68"/>
        <v>193.99674650302629</v>
      </c>
      <c r="AA50" s="14">
        <f t="shared" ca="1" si="69"/>
        <v>1600.7749025351486</v>
      </c>
      <c r="AB50" s="14">
        <f t="shared" si="94"/>
        <v>4016.4588107467653</v>
      </c>
      <c r="AC50" s="25">
        <f t="shared" ca="1" si="70"/>
        <v>451171.93393800937</v>
      </c>
      <c r="AD50" s="41">
        <f t="shared" si="71"/>
        <v>1132022.676240819</v>
      </c>
      <c r="AE50" s="5">
        <f t="shared" ca="1" si="72"/>
        <v>39.855379526163311</v>
      </c>
      <c r="AF50" s="7">
        <f t="shared" ca="1" si="73"/>
        <v>1600.7749025351486</v>
      </c>
      <c r="AG50" s="41">
        <f t="shared" ca="1" si="74"/>
        <v>2415.6839082116167</v>
      </c>
      <c r="AH50" s="41">
        <f t="shared" ca="1" si="75"/>
        <v>680850.74230280961</v>
      </c>
      <c r="AI50" s="41">
        <f t="shared" ca="1" si="76"/>
        <v>1195.3997092099842</v>
      </c>
      <c r="AJ50" s="13">
        <f t="shared" ca="1" si="77"/>
        <v>0</v>
      </c>
      <c r="AK50" s="11"/>
      <c r="AL50" s="6">
        <v>0</v>
      </c>
      <c r="AM50" s="41">
        <f t="shared" si="78"/>
        <v>2155.8277854920484</v>
      </c>
      <c r="AN50" s="41">
        <f t="shared" ca="1" si="79"/>
        <v>715.85441885666637</v>
      </c>
      <c r="AO50" s="6">
        <v>100</v>
      </c>
      <c r="AP50" s="67">
        <f t="shared" si="95"/>
        <v>0.74676315034476648</v>
      </c>
      <c r="AQ50" s="11">
        <f t="shared" si="80"/>
        <v>0.98330272071837588</v>
      </c>
      <c r="AR50" s="11">
        <f t="shared" si="81"/>
        <v>0.68770269343653956</v>
      </c>
      <c r="AS50" s="11">
        <f t="shared" si="82"/>
        <v>0.69938044403469313</v>
      </c>
      <c r="AT50" s="11">
        <f t="shared" si="83"/>
        <v>510.00962215499999</v>
      </c>
      <c r="AU50" s="11">
        <f t="shared" si="84"/>
        <v>1455.3301939042735</v>
      </c>
      <c r="AV50" s="11">
        <f t="shared" si="85"/>
        <v>1.6623573774260621E-3</v>
      </c>
      <c r="AW50" s="11">
        <f t="shared" si="86"/>
        <v>3.6885478983619832E-7</v>
      </c>
      <c r="AX50" s="41">
        <f t="shared" ca="1" si="87"/>
        <v>1.0146467944609823</v>
      </c>
      <c r="AY50" s="41">
        <f t="shared" ca="1" si="88"/>
        <v>1.3667493906845285</v>
      </c>
      <c r="AZ50" s="41">
        <f t="shared" si="89"/>
        <v>0.18768146210775968</v>
      </c>
      <c r="BA50" s="179">
        <f t="shared" ca="1" si="96"/>
        <v>0.78902874947454105</v>
      </c>
      <c r="BB50" s="156">
        <f t="shared" ca="1" si="97"/>
        <v>0.68333568699936986</v>
      </c>
      <c r="BC50" s="156">
        <f t="shared" ca="1" si="98"/>
        <v>0.44330595941205164</v>
      </c>
    </row>
    <row r="51" spans="1:55" ht="14.5">
      <c r="A51" s="41">
        <v>0</v>
      </c>
      <c r="B51" s="41">
        <f t="shared" si="52"/>
        <v>0</v>
      </c>
      <c r="C51" s="41">
        <f t="shared" si="52"/>
        <v>0</v>
      </c>
      <c r="D51" s="41">
        <v>17267.217924997112</v>
      </c>
      <c r="E51" s="41" t="e">
        <f t="shared" ca="1" si="90"/>
        <v>#NUM!</v>
      </c>
      <c r="F51" s="7">
        <f t="shared" si="91"/>
        <v>300</v>
      </c>
      <c r="G51" s="41"/>
      <c r="H51" s="7">
        <f t="shared" si="92"/>
        <v>10000</v>
      </c>
      <c r="I51" s="6">
        <v>15</v>
      </c>
      <c r="J51" s="41">
        <f t="shared" si="54"/>
        <v>0.28170449652760143</v>
      </c>
      <c r="K51" s="41">
        <f t="shared" si="55"/>
        <v>311.87198851257932</v>
      </c>
      <c r="L51" s="6">
        <f t="shared" si="99"/>
        <v>155</v>
      </c>
      <c r="M51" s="41">
        <f t="shared" si="56"/>
        <v>184.77916324188706</v>
      </c>
      <c r="N51" s="41">
        <f t="shared" si="57"/>
        <v>80.843878032318528</v>
      </c>
      <c r="O51" s="41">
        <f t="shared" si="58"/>
        <v>1405546.8851215222</v>
      </c>
      <c r="P51" s="41">
        <f t="shared" si="59"/>
        <v>9024598.6580218561</v>
      </c>
      <c r="Q51" s="41">
        <f t="shared" si="60"/>
        <v>3.031155890237446E-3</v>
      </c>
      <c r="R51" s="41">
        <f t="shared" si="61"/>
        <v>2.3428322704425492E-2</v>
      </c>
      <c r="S51" s="24">
        <f t="shared" ca="1" si="93"/>
        <v>0</v>
      </c>
      <c r="T51" s="10">
        <f t="shared" ca="1" si="62"/>
        <v>0</v>
      </c>
      <c r="U51" s="41">
        <f t="shared" ca="1" si="63"/>
        <v>0.92864002037919835</v>
      </c>
      <c r="V51" s="41">
        <f t="shared" ca="1" si="64"/>
        <v>7.7892930773121108E-2</v>
      </c>
      <c r="W51" s="41">
        <f t="shared" ca="1" si="65"/>
        <v>11.92200641524261</v>
      </c>
      <c r="X51" s="20">
        <f t="shared" ca="1" si="66"/>
        <v>1448.3483168504677</v>
      </c>
      <c r="Y51" s="41">
        <f t="shared" si="67"/>
        <v>0.60906101691910686</v>
      </c>
      <c r="Z51" s="41">
        <f t="shared" ca="1" si="68"/>
        <v>193.99674650302629</v>
      </c>
      <c r="AA51" s="14">
        <f t="shared" ca="1" si="69"/>
        <v>1448.3483168504677</v>
      </c>
      <c r="AB51" s="14">
        <f t="shared" si="94"/>
        <v>4016.4588107467653</v>
      </c>
      <c r="AC51" s="25">
        <f t="shared" ca="1" si="70"/>
        <v>451699.26963500265</v>
      </c>
      <c r="AD51" s="41">
        <f t="shared" si="71"/>
        <v>1252620.9960864631</v>
      </c>
      <c r="AE51" s="5">
        <f t="shared" ca="1" si="72"/>
        <v>36.060330382951982</v>
      </c>
      <c r="AF51" s="7">
        <f t="shared" ca="1" si="73"/>
        <v>1448.3483168504677</v>
      </c>
      <c r="AG51" s="41">
        <f t="shared" ca="1" si="74"/>
        <v>2568.1104938962976</v>
      </c>
      <c r="AH51" s="41">
        <f t="shared" ca="1" si="75"/>
        <v>800921.7264514605</v>
      </c>
      <c r="AI51" s="41">
        <f t="shared" ca="1" si="76"/>
        <v>1089.3489683938406</v>
      </c>
      <c r="AJ51" s="13">
        <f t="shared" ca="1" si="77"/>
        <v>0</v>
      </c>
      <c r="AK51" s="11"/>
      <c r="AL51" s="6">
        <v>0</v>
      </c>
      <c r="AM51" s="41">
        <f t="shared" si="78"/>
        <v>1948.2716215612379</v>
      </c>
      <c r="AN51" s="41">
        <f t="shared" ca="1" si="79"/>
        <v>589.54102252742484</v>
      </c>
      <c r="AO51" s="6">
        <v>100</v>
      </c>
      <c r="AP51" s="67">
        <f t="shared" si="95"/>
        <v>0.75213189791438029</v>
      </c>
      <c r="AQ51" s="11">
        <f t="shared" si="80"/>
        <v>0.98330272071837588</v>
      </c>
      <c r="AR51" s="11">
        <f t="shared" si="81"/>
        <v>0.68770269343653956</v>
      </c>
      <c r="AS51" s="11">
        <f t="shared" si="82"/>
        <v>0.69938044403469313</v>
      </c>
      <c r="AT51" s="11">
        <f t="shared" si="83"/>
        <v>510.00962215499999</v>
      </c>
      <c r="AU51" s="11">
        <f t="shared" si="84"/>
        <v>1455.3301939042735</v>
      </c>
      <c r="AV51" s="11">
        <f t="shared" si="85"/>
        <v>1.6623573774260621E-3</v>
      </c>
      <c r="AW51" s="11">
        <f t="shared" si="86"/>
        <v>3.6885478983619832E-7</v>
      </c>
      <c r="AX51" s="41">
        <f t="shared" ca="1" si="87"/>
        <v>1.0044285227844973</v>
      </c>
      <c r="AY51" s="41">
        <f t="shared" ca="1" si="88"/>
        <v>1.3529851757242832</v>
      </c>
      <c r="AZ51" s="41">
        <f t="shared" si="89"/>
        <v>0.20652235575785091</v>
      </c>
      <c r="BA51" s="179">
        <f t="shared" ca="1" si="96"/>
        <v>0.80758349923998463</v>
      </c>
      <c r="BB51" s="156">
        <f t="shared" ca="1" si="97"/>
        <v>0.69917006626113165</v>
      </c>
      <c r="BC51" s="156">
        <f t="shared" ca="1" si="98"/>
        <v>0.50375057583114291</v>
      </c>
    </row>
    <row r="52" spans="1:55" ht="14.5">
      <c r="A52" s="41">
        <v>0</v>
      </c>
      <c r="B52" s="41">
        <f t="shared" si="52"/>
        <v>0</v>
      </c>
      <c r="C52" s="41">
        <f t="shared" si="52"/>
        <v>0</v>
      </c>
      <c r="D52" s="41">
        <v>17267.217924997112</v>
      </c>
      <c r="E52" s="41" t="e">
        <f t="shared" ca="1" si="90"/>
        <v>#NUM!</v>
      </c>
      <c r="F52" s="7">
        <f t="shared" si="91"/>
        <v>400</v>
      </c>
      <c r="G52" s="41"/>
      <c r="H52" s="7">
        <f t="shared" si="92"/>
        <v>10000</v>
      </c>
      <c r="I52" s="6">
        <v>15</v>
      </c>
      <c r="J52" s="41">
        <f t="shared" si="54"/>
        <v>0.30878051518678695</v>
      </c>
      <c r="K52" s="41">
        <f t="shared" si="55"/>
        <v>341.84755469746807</v>
      </c>
      <c r="L52" s="6">
        <f t="shared" si="99"/>
        <v>170</v>
      </c>
      <c r="M52" s="41">
        <f t="shared" si="56"/>
        <v>202.53920659737469</v>
      </c>
      <c r="N52" s="41">
        <f t="shared" si="57"/>
        <v>97.131334310791786</v>
      </c>
      <c r="O52" s="41">
        <f t="shared" si="58"/>
        <v>1540640.9789574777</v>
      </c>
      <c r="P52" s="41">
        <f t="shared" si="59"/>
        <v>9891997.668929439</v>
      </c>
      <c r="Q52" s="41">
        <f t="shared" si="60"/>
        <v>2.9823881742142597E-3</v>
      </c>
      <c r="R52" s="41">
        <f t="shared" si="61"/>
        <v>2.3131832770889718E-2</v>
      </c>
      <c r="S52" s="24">
        <f t="shared" ca="1" si="93"/>
        <v>-7.544673398958532E-16</v>
      </c>
      <c r="T52" s="10">
        <f t="shared" ca="1" si="62"/>
        <v>-7.544673398958532E-16</v>
      </c>
      <c r="U52" s="41">
        <f t="shared" ca="1" si="63"/>
        <v>0.77292112865708373</v>
      </c>
      <c r="V52" s="41">
        <f t="shared" ca="1" si="64"/>
        <v>6.0862105948477831E-2</v>
      </c>
      <c r="W52" s="41">
        <f t="shared" ca="1" si="65"/>
        <v>12.699546238366972</v>
      </c>
      <c r="X52" s="20">
        <f t="shared" ca="1" si="66"/>
        <v>1359.6720387402988</v>
      </c>
      <c r="Y52" s="41">
        <f t="shared" si="67"/>
        <v>0.60519485401096862</v>
      </c>
      <c r="Z52" s="41">
        <f t="shared" ca="1" si="68"/>
        <v>193.99674650302629</v>
      </c>
      <c r="AA52" s="14">
        <f t="shared" ca="1" si="69"/>
        <v>1359.6720387402986</v>
      </c>
      <c r="AB52" s="14">
        <f t="shared" si="94"/>
        <v>4016.4588107467653</v>
      </c>
      <c r="AC52" s="25">
        <f t="shared" ca="1" si="70"/>
        <v>464800.56163389212</v>
      </c>
      <c r="AD52" s="41">
        <f t="shared" si="71"/>
        <v>1373016.6229968823</v>
      </c>
      <c r="AE52" s="5">
        <f t="shared" ca="1" si="72"/>
        <v>33.852507963040701</v>
      </c>
      <c r="AF52" s="7">
        <f t="shared" ca="1" si="73"/>
        <v>1359.6720387402986</v>
      </c>
      <c r="AG52" s="41">
        <f t="shared" ca="1" si="74"/>
        <v>2656.7867720064669</v>
      </c>
      <c r="AH52" s="41">
        <f t="shared" ca="1" si="75"/>
        <v>908216.06136299018</v>
      </c>
      <c r="AI52" s="41">
        <f t="shared" ca="1" si="76"/>
        <v>1029.7710489156341</v>
      </c>
      <c r="AJ52" s="13">
        <f t="shared" ca="1" si="77"/>
        <v>-4.501427809069458E-15</v>
      </c>
      <c r="AK52" s="11"/>
      <c r="AL52" s="6">
        <v>0</v>
      </c>
      <c r="AM52" s="41">
        <f t="shared" si="78"/>
        <v>1777.4336438260063</v>
      </c>
      <c r="AN52" s="41">
        <f t="shared" ca="1" si="79"/>
        <v>508.43047438351226</v>
      </c>
      <c r="AO52" s="6">
        <v>100</v>
      </c>
      <c r="AP52" s="67">
        <f t="shared" si="95"/>
        <v>0.75736723237295567</v>
      </c>
      <c r="AQ52" s="11">
        <f t="shared" si="80"/>
        <v>0.98330272071837588</v>
      </c>
      <c r="AR52" s="11">
        <f t="shared" si="81"/>
        <v>0.68770269343653956</v>
      </c>
      <c r="AS52" s="11">
        <f t="shared" si="82"/>
        <v>0.69938044403469313</v>
      </c>
      <c r="AT52" s="11">
        <f t="shared" si="83"/>
        <v>510.00962215499999</v>
      </c>
      <c r="AU52" s="11">
        <f t="shared" si="84"/>
        <v>1455.3301939042735</v>
      </c>
      <c r="AV52" s="11">
        <f t="shared" si="85"/>
        <v>1.6623573774260621E-3</v>
      </c>
      <c r="AW52" s="11">
        <f t="shared" si="86"/>
        <v>3.6885478983619832E-7</v>
      </c>
      <c r="AX52" s="41">
        <f t="shared" ca="1" si="87"/>
        <v>1.0504411966482354</v>
      </c>
      <c r="AY52" s="41">
        <f t="shared" ca="1" si="88"/>
        <v>1.4149651615778218</v>
      </c>
      <c r="AZ52" s="41">
        <f t="shared" si="89"/>
        <v>0.22497499123525794</v>
      </c>
      <c r="BA52" s="179">
        <f t="shared" ca="1" si="96"/>
        <v>0.82149887007833522</v>
      </c>
      <c r="BB52" s="156">
        <f t="shared" ca="1" si="97"/>
        <v>0.70717768923843649</v>
      </c>
      <c r="BC52" s="156">
        <f t="shared" ca="1" si="98"/>
        <v>0.53366758670785464</v>
      </c>
    </row>
    <row r="53" spans="1:55" ht="14.5">
      <c r="A53" s="41">
        <v>0</v>
      </c>
      <c r="B53" s="41">
        <f t="shared" si="52"/>
        <v>0</v>
      </c>
      <c r="C53" s="41">
        <f t="shared" si="52"/>
        <v>0</v>
      </c>
      <c r="D53" s="41">
        <v>17267.217924997112</v>
      </c>
      <c r="E53" s="41" t="e">
        <f t="shared" ca="1" si="90"/>
        <v>#NUM!</v>
      </c>
      <c r="F53" s="7">
        <f t="shared" si="91"/>
        <v>500</v>
      </c>
      <c r="G53" s="41"/>
      <c r="H53" s="7">
        <f t="shared" si="92"/>
        <v>10000</v>
      </c>
      <c r="I53" s="6">
        <v>15</v>
      </c>
      <c r="J53" s="41">
        <f t="shared" si="54"/>
        <v>0.33580734802318063</v>
      </c>
      <c r="K53" s="41">
        <f t="shared" si="55"/>
        <v>371.76866779215135</v>
      </c>
      <c r="L53" s="6">
        <f t="shared" si="99"/>
        <v>185</v>
      </c>
      <c r="M53" s="41">
        <f t="shared" si="56"/>
        <v>220.26698736816499</v>
      </c>
      <c r="N53" s="41">
        <f t="shared" si="57"/>
        <v>114.87882100857567</v>
      </c>
      <c r="O53" s="41">
        <f t="shared" si="58"/>
        <v>1675489.6632211003</v>
      </c>
      <c r="P53" s="41">
        <f t="shared" si="59"/>
        <v>10757820.977937223</v>
      </c>
      <c r="Q53" s="41">
        <f t="shared" si="60"/>
        <v>2.9379521906189965E-3</v>
      </c>
      <c r="R53" s="41">
        <f t="shared" si="61"/>
        <v>2.2861678191239278E-2</v>
      </c>
      <c r="S53" s="24">
        <f t="shared" ca="1" si="93"/>
        <v>0</v>
      </c>
      <c r="T53" s="10">
        <f t="shared" ca="1" si="62"/>
        <v>0</v>
      </c>
      <c r="U53" s="41">
        <f t="shared" ca="1" si="63"/>
        <v>0.65351350130814267</v>
      </c>
      <c r="V53" s="41">
        <f t="shared" ca="1" si="64"/>
        <v>4.9834645098368539E-2</v>
      </c>
      <c r="W53" s="41">
        <f t="shared" ca="1" si="65"/>
        <v>13.113638112966857</v>
      </c>
      <c r="X53" s="20">
        <f t="shared" ca="1" si="66"/>
        <v>1316.7374130847156</v>
      </c>
      <c r="Y53" s="41">
        <f t="shared" si="67"/>
        <v>0.60165046703366709</v>
      </c>
      <c r="Z53" s="41">
        <f t="shared" ca="1" si="68"/>
        <v>193.99674650302629</v>
      </c>
      <c r="AA53" s="14">
        <f t="shared" ca="1" si="69"/>
        <v>1316.7374130847156</v>
      </c>
      <c r="AB53" s="14">
        <f t="shared" si="94"/>
        <v>4016.4588107467653</v>
      </c>
      <c r="AC53" s="25">
        <f t="shared" ca="1" si="70"/>
        <v>489521.71389458841</v>
      </c>
      <c r="AD53" s="41">
        <f t="shared" si="71"/>
        <v>1493193.5413133735</v>
      </c>
      <c r="AE53" s="5">
        <f t="shared" ca="1" si="72"/>
        <v>32.783540803693676</v>
      </c>
      <c r="AF53" s="7">
        <f t="shared" ca="1" si="73"/>
        <v>1316.7374130847156</v>
      </c>
      <c r="AG53" s="41">
        <f t="shared" ca="1" si="74"/>
        <v>2699.7213976620496</v>
      </c>
      <c r="AH53" s="41">
        <f t="shared" ca="1" si="75"/>
        <v>1003671.8274187851</v>
      </c>
      <c r="AI53" s="41">
        <f t="shared" ca="1" si="76"/>
        <v>1003.9733177077286</v>
      </c>
      <c r="AJ53" s="13">
        <f t="shared" ca="1" si="77"/>
        <v>0</v>
      </c>
      <c r="AK53" s="11"/>
      <c r="AL53" s="6">
        <v>0</v>
      </c>
      <c r="AM53" s="41">
        <f t="shared" si="78"/>
        <v>1634.3801869786253</v>
      </c>
      <c r="AN53" s="41">
        <f t="shared" ca="1" si="79"/>
        <v>455.79836075464118</v>
      </c>
      <c r="AO53" s="6">
        <v>100</v>
      </c>
      <c r="AP53" s="67">
        <f t="shared" si="95"/>
        <v>0.76247041189155873</v>
      </c>
      <c r="AQ53" s="11">
        <f t="shared" si="80"/>
        <v>0.98330272071837588</v>
      </c>
      <c r="AR53" s="11">
        <f t="shared" si="81"/>
        <v>0.68770269343653956</v>
      </c>
      <c r="AS53" s="11">
        <f t="shared" si="82"/>
        <v>0.69938044403469313</v>
      </c>
      <c r="AT53" s="11">
        <f t="shared" si="83"/>
        <v>510.00962215499999</v>
      </c>
      <c r="AU53" s="11">
        <f t="shared" si="84"/>
        <v>1455.3301939042735</v>
      </c>
      <c r="AV53" s="11">
        <f t="shared" si="85"/>
        <v>1.6623573774260621E-3</v>
      </c>
      <c r="AW53" s="11">
        <f t="shared" si="86"/>
        <v>3.6885478983619832E-7</v>
      </c>
      <c r="AX53" s="41">
        <f t="shared" ca="1" si="87"/>
        <v>1.1323751499440413</v>
      </c>
      <c r="AY53" s="41">
        <f t="shared" ca="1" si="88"/>
        <v>1.5253318244941592</v>
      </c>
      <c r="AZ53" s="41">
        <f t="shared" si="89"/>
        <v>0.24303878439743815</v>
      </c>
      <c r="BA53" s="179">
        <f t="shared" ca="1" si="96"/>
        <v>0.82930041545343824</v>
      </c>
      <c r="BB53" s="156">
        <f t="shared" ca="1" si="97"/>
        <v>0.71080006591610589</v>
      </c>
      <c r="BC53" s="156">
        <f t="shared" ca="1" si="98"/>
        <v>0.54707262779244825</v>
      </c>
    </row>
    <row r="54" spans="1:55" ht="14.5">
      <c r="A54" s="41">
        <v>0</v>
      </c>
      <c r="B54" s="41">
        <f t="shared" si="52"/>
        <v>0</v>
      </c>
      <c r="C54" s="41">
        <f t="shared" si="52"/>
        <v>0</v>
      </c>
      <c r="D54" s="41">
        <v>17267.217924997112</v>
      </c>
      <c r="E54" s="41" t="e">
        <f t="shared" ca="1" si="90"/>
        <v>#NUM!</v>
      </c>
      <c r="F54" s="7">
        <f t="shared" si="91"/>
        <v>600</v>
      </c>
      <c r="G54" s="41"/>
      <c r="H54" s="7">
        <f t="shared" si="92"/>
        <v>10000</v>
      </c>
      <c r="I54" s="6">
        <v>15</v>
      </c>
      <c r="J54" s="41">
        <f t="shared" si="54"/>
        <v>0.36278159588042957</v>
      </c>
      <c r="K54" s="41">
        <f t="shared" si="55"/>
        <v>401.63156462754904</v>
      </c>
      <c r="L54" s="6">
        <f t="shared" si="99"/>
        <v>200</v>
      </c>
      <c r="M54" s="41">
        <f t="shared" si="56"/>
        <v>237.96027593678878</v>
      </c>
      <c r="N54" s="41">
        <f t="shared" si="57"/>
        <v>134.07570019250053</v>
      </c>
      <c r="O54" s="41">
        <f t="shared" si="58"/>
        <v>1810075.9780353452</v>
      </c>
      <c r="P54" s="41">
        <f t="shared" si="59"/>
        <v>11621959.690717146</v>
      </c>
      <c r="Q54" s="41">
        <f t="shared" si="60"/>
        <v>2.8970621068074159E-3</v>
      </c>
      <c r="R54" s="41">
        <f t="shared" si="61"/>
        <v>2.2613081389498479E-2</v>
      </c>
      <c r="S54" s="24">
        <f t="shared" ca="1" si="93"/>
        <v>0</v>
      </c>
      <c r="T54" s="10">
        <f t="shared" ca="1" si="62"/>
        <v>0</v>
      </c>
      <c r="U54" s="41">
        <f t="shared" ca="1" si="63"/>
        <v>0.5599438260301921</v>
      </c>
      <c r="V54" s="41">
        <f t="shared" ca="1" si="64"/>
        <v>4.2415056566907201E-2</v>
      </c>
      <c r="W54" s="41">
        <f t="shared" ca="1" si="65"/>
        <v>13.201534345401955</v>
      </c>
      <c r="X54" s="20">
        <f t="shared" ca="1" si="66"/>
        <v>1307.9705338198983</v>
      </c>
      <c r="Y54" s="41">
        <f t="shared" si="67"/>
        <v>0.59837036645886255</v>
      </c>
      <c r="Z54" s="41">
        <f t="shared" ca="1" si="68"/>
        <v>193.99674650302632</v>
      </c>
      <c r="AA54" s="14">
        <f t="shared" ca="1" si="69"/>
        <v>1307.970533819898</v>
      </c>
      <c r="AB54" s="14">
        <f t="shared" si="94"/>
        <v>4016.4588107467653</v>
      </c>
      <c r="AC54" s="25">
        <f t="shared" ca="1" si="70"/>
        <v>525322.25198481616</v>
      </c>
      <c r="AD54" s="41">
        <f t="shared" si="71"/>
        <v>1613136.6364223282</v>
      </c>
      <c r="AE54" s="5">
        <f t="shared" ca="1" si="72"/>
        <v>32.565266954068726</v>
      </c>
      <c r="AF54" s="7">
        <f t="shared" ca="1" si="73"/>
        <v>1307.9705338198983</v>
      </c>
      <c r="AG54" s="41">
        <f t="shared" ca="1" si="74"/>
        <v>2708.488276926867</v>
      </c>
      <c r="AH54" s="41">
        <f t="shared" ca="1" si="75"/>
        <v>1087814.3844375121</v>
      </c>
      <c r="AI54" s="41">
        <f t="shared" ca="1" si="76"/>
        <v>1003.792511926737</v>
      </c>
      <c r="AJ54" s="13">
        <f t="shared" ca="1" si="77"/>
        <v>0</v>
      </c>
      <c r="AK54" s="11"/>
      <c r="AL54" s="6">
        <v>0</v>
      </c>
      <c r="AM54" s="41">
        <f t="shared" si="78"/>
        <v>1512.8575497854508</v>
      </c>
      <c r="AN54" s="41">
        <f t="shared" ca="1" si="79"/>
        <v>421.83196669068508</v>
      </c>
      <c r="AO54" s="6">
        <v>100</v>
      </c>
      <c r="AP54" s="67">
        <f t="shared" si="95"/>
        <v>0.7674427565238674</v>
      </c>
      <c r="AQ54" s="11">
        <f t="shared" si="80"/>
        <v>0.98330272071837588</v>
      </c>
      <c r="AR54" s="11">
        <f t="shared" si="81"/>
        <v>0.68770269343653956</v>
      </c>
      <c r="AS54" s="11">
        <f t="shared" si="82"/>
        <v>0.69938044403469313</v>
      </c>
      <c r="AT54" s="11">
        <f t="shared" si="83"/>
        <v>510.00962215499999</v>
      </c>
      <c r="AU54" s="11">
        <f t="shared" si="84"/>
        <v>1455.3301939042735</v>
      </c>
      <c r="AV54" s="11">
        <f t="shared" si="85"/>
        <v>1.6623573774260621E-3</v>
      </c>
      <c r="AW54" s="11">
        <f t="shared" si="86"/>
        <v>3.6885478983619832E-7</v>
      </c>
      <c r="AX54" s="41">
        <f t="shared" ca="1" si="87"/>
        <v>1.2403748083271959</v>
      </c>
      <c r="AY54" s="41">
        <f t="shared" ca="1" si="88"/>
        <v>1.6708095100248455</v>
      </c>
      <c r="AZ54" s="41">
        <f t="shared" si="89"/>
        <v>0.26071346842813342</v>
      </c>
      <c r="BA54" s="179">
        <f t="shared" ca="1" si="96"/>
        <v>0.8309894185492015</v>
      </c>
      <c r="BB54" s="156">
        <f t="shared" ca="1" si="97"/>
        <v>0.71152456309766099</v>
      </c>
      <c r="BC54" s="156">
        <f t="shared" ca="1" si="98"/>
        <v>0.54973241011368401</v>
      </c>
    </row>
    <row r="55" spans="1:55" ht="14.5">
      <c r="A55" s="41">
        <v>0</v>
      </c>
      <c r="B55" s="41">
        <f t="shared" si="52"/>
        <v>0</v>
      </c>
      <c r="C55" s="41">
        <f t="shared" si="52"/>
        <v>0</v>
      </c>
      <c r="D55" s="41">
        <v>17267.217924997112</v>
      </c>
      <c r="E55" s="41" t="e">
        <f t="shared" ca="1" si="90"/>
        <v>#NUM!</v>
      </c>
      <c r="F55" s="7">
        <f t="shared" si="91"/>
        <v>700</v>
      </c>
      <c r="G55" s="41"/>
      <c r="H55" s="7">
        <f t="shared" si="92"/>
        <v>10000</v>
      </c>
      <c r="I55" s="6">
        <v>15</v>
      </c>
      <c r="J55" s="41">
        <f t="shared" si="54"/>
        <v>0.38970007144566576</v>
      </c>
      <c r="K55" s="41">
        <f t="shared" si="55"/>
        <v>431.43271656420239</v>
      </c>
      <c r="L55" s="6">
        <f t="shared" si="99"/>
        <v>215</v>
      </c>
      <c r="M55" s="41">
        <f t="shared" si="56"/>
        <v>255.61698164082489</v>
      </c>
      <c r="N55" s="41">
        <f t="shared" si="57"/>
        <v>154.71077107282446</v>
      </c>
      <c r="O55" s="41">
        <f t="shared" si="58"/>
        <v>1944384.0205029261</v>
      </c>
      <c r="P55" s="41">
        <f t="shared" si="59"/>
        <v>12484311.699493913</v>
      </c>
      <c r="Q55" s="41">
        <f t="shared" si="60"/>
        <v>2.8591168217389365E-3</v>
      </c>
      <c r="R55" s="41">
        <f t="shared" si="61"/>
        <v>2.2382387890491875E-2</v>
      </c>
      <c r="S55" s="24">
        <f t="shared" ca="1" si="93"/>
        <v>0</v>
      </c>
      <c r="T55" s="10">
        <f t="shared" ca="1" si="62"/>
        <v>0</v>
      </c>
      <c r="U55" s="41">
        <f t="shared" ca="1" si="63"/>
        <v>0.48525942972727443</v>
      </c>
      <c r="V55" s="41">
        <f t="shared" ca="1" si="64"/>
        <v>3.7254325604101871E-2</v>
      </c>
      <c r="W55" s="41">
        <f t="shared" ca="1" si="65"/>
        <v>13.025586206661735</v>
      </c>
      <c r="X55" s="20">
        <f t="shared" ca="1" si="66"/>
        <v>1325.6384512019936</v>
      </c>
      <c r="Y55" s="41">
        <f t="shared" si="67"/>
        <v>0.5953103229807919</v>
      </c>
      <c r="Z55" s="41">
        <f t="shared" ca="1" si="68"/>
        <v>193.99674650302629</v>
      </c>
      <c r="AA55" s="14">
        <f t="shared" ca="1" si="69"/>
        <v>1325.6384512019936</v>
      </c>
      <c r="AB55" s="14">
        <f t="shared" si="94"/>
        <v>4016.4588107467653</v>
      </c>
      <c r="AC55" s="25">
        <f t="shared" ca="1" si="70"/>
        <v>571923.79818403791</v>
      </c>
      <c r="AD55" s="41">
        <f t="shared" si="71"/>
        <v>1732831.7356887027</v>
      </c>
      <c r="AE55" s="5">
        <f t="shared" ca="1" si="72"/>
        <v>33.005154880588023</v>
      </c>
      <c r="AF55" s="7">
        <f t="shared" ca="1" si="73"/>
        <v>1325.6384512019936</v>
      </c>
      <c r="AG55" s="41">
        <f t="shared" ca="1" si="74"/>
        <v>2690.8203595447717</v>
      </c>
      <c r="AH55" s="41">
        <f t="shared" ca="1" si="75"/>
        <v>1160907.9375046648</v>
      </c>
      <c r="AI55" s="41">
        <f t="shared" ca="1" si="76"/>
        <v>1023.7715448924461</v>
      </c>
      <c r="AJ55" s="13">
        <f t="shared" ca="1" si="77"/>
        <v>0</v>
      </c>
      <c r="AK55" s="11"/>
      <c r="AL55" s="6">
        <v>0</v>
      </c>
      <c r="AM55" s="41">
        <f t="shared" si="78"/>
        <v>1408.3571353089787</v>
      </c>
      <c r="AN55" s="41">
        <f t="shared" ca="1" si="79"/>
        <v>400.50998893765916</v>
      </c>
      <c r="AO55" s="6">
        <v>100</v>
      </c>
      <c r="AP55" s="67">
        <f t="shared" si="95"/>
        <v>0.77228564392060572</v>
      </c>
      <c r="AQ55" s="11">
        <f t="shared" si="80"/>
        <v>0.98330272071837588</v>
      </c>
      <c r="AR55" s="11">
        <f t="shared" si="81"/>
        <v>0.68770269343653956</v>
      </c>
      <c r="AS55" s="11">
        <f t="shared" si="82"/>
        <v>0.69938044403469313</v>
      </c>
      <c r="AT55" s="11">
        <f t="shared" si="83"/>
        <v>510.00962215499999</v>
      </c>
      <c r="AU55" s="11">
        <f t="shared" si="84"/>
        <v>1455.3301939042735</v>
      </c>
      <c r="AV55" s="11">
        <f t="shared" si="85"/>
        <v>1.6623573774260621E-3</v>
      </c>
      <c r="AW55" s="11">
        <f t="shared" si="86"/>
        <v>3.6885478983619832E-7</v>
      </c>
      <c r="AX55" s="41">
        <f t="shared" ca="1" si="87"/>
        <v>1.3691182587246311</v>
      </c>
      <c r="AY55" s="41">
        <f t="shared" ca="1" si="88"/>
        <v>1.8442294955270859</v>
      </c>
      <c r="AZ55" s="41">
        <f t="shared" si="89"/>
        <v>0.27799908554127828</v>
      </c>
      <c r="BA55" s="179">
        <f t="shared" ca="1" si="96"/>
        <v>0.82761980975860716</v>
      </c>
      <c r="BB55" s="156">
        <f t="shared" ca="1" si="97"/>
        <v>0.71005978082443033</v>
      </c>
      <c r="BC55" s="156">
        <f t="shared" ca="1" si="98"/>
        <v>0.54434593923613694</v>
      </c>
    </row>
    <row r="56" spans="1:55" ht="14.5">
      <c r="A56" s="41">
        <v>0</v>
      </c>
      <c r="B56" s="41">
        <f t="shared" si="52"/>
        <v>0</v>
      </c>
      <c r="C56" s="41">
        <f t="shared" si="52"/>
        <v>0</v>
      </c>
      <c r="D56" s="41">
        <v>17267.217924997112</v>
      </c>
      <c r="E56" s="41" t="e">
        <f t="shared" ca="1" si="90"/>
        <v>#NUM!</v>
      </c>
      <c r="F56" s="7">
        <f t="shared" si="91"/>
        <v>800</v>
      </c>
      <c r="G56" s="41"/>
      <c r="H56" s="7">
        <f t="shared" si="92"/>
        <v>10000</v>
      </c>
      <c r="I56" s="6">
        <v>15</v>
      </c>
      <c r="J56" s="41">
        <f t="shared" si="54"/>
        <v>0.4165598067041828</v>
      </c>
      <c r="K56" s="41">
        <f t="shared" si="55"/>
        <v>461.16883774526548</v>
      </c>
      <c r="L56" s="6">
        <f t="shared" si="99"/>
        <v>230</v>
      </c>
      <c r="M56" s="41">
        <f t="shared" si="56"/>
        <v>273.23515766266587</v>
      </c>
      <c r="N56" s="41">
        <f t="shared" si="57"/>
        <v>176.77233805524415</v>
      </c>
      <c r="O56" s="41">
        <f t="shared" si="58"/>
        <v>2078398.9819009535</v>
      </c>
      <c r="P56" s="41">
        <f t="shared" si="59"/>
        <v>13344781.921860719</v>
      </c>
      <c r="Q56" s="41">
        <f t="shared" si="60"/>
        <v>2.8236474512499496E-3</v>
      </c>
      <c r="R56" s="41">
        <f t="shared" si="61"/>
        <v>2.216674704945196E-2</v>
      </c>
      <c r="S56" s="24">
        <f t="shared" ca="1" si="93"/>
        <v>7.544673398958532E-16</v>
      </c>
      <c r="T56" s="10">
        <f t="shared" ca="1" si="62"/>
        <v>7.544673398958532E-16</v>
      </c>
      <c r="U56" s="41">
        <f t="shared" ca="1" si="63"/>
        <v>0.42469801197064905</v>
      </c>
      <c r="V56" s="41">
        <f t="shared" ca="1" si="64"/>
        <v>3.3558224293860052E-2</v>
      </c>
      <c r="W56" s="41">
        <f t="shared" ca="1" si="65"/>
        <v>12.655556749716149</v>
      </c>
      <c r="X56" s="20">
        <f t="shared" ca="1" si="66"/>
        <v>1364.3981269638255</v>
      </c>
      <c r="Y56" s="41">
        <f t="shared" si="67"/>
        <v>0.59243565389845432</v>
      </c>
      <c r="Z56" s="41">
        <f t="shared" ca="1" si="68"/>
        <v>193.99674650302629</v>
      </c>
      <c r="AA56" s="14">
        <f t="shared" ca="1" si="69"/>
        <v>1364.3981269638255</v>
      </c>
      <c r="AB56" s="14">
        <f t="shared" si="94"/>
        <v>4016.4588107467653</v>
      </c>
      <c r="AC56" s="25">
        <f t="shared" ca="1" si="70"/>
        <v>629217.89843372453</v>
      </c>
      <c r="AD56" s="41">
        <f t="shared" si="71"/>
        <v>1852265.641603817</v>
      </c>
      <c r="AE56" s="5">
        <f t="shared" ca="1" si="72"/>
        <v>33.970175999642535</v>
      </c>
      <c r="AF56" s="7">
        <f t="shared" ca="1" si="73"/>
        <v>1364.3981269638257</v>
      </c>
      <c r="AG56" s="41">
        <f t="shared" ca="1" si="74"/>
        <v>2652.06068378294</v>
      </c>
      <c r="AH56" s="41">
        <f t="shared" ca="1" si="75"/>
        <v>1223047.7431700923</v>
      </c>
      <c r="AI56" s="41">
        <f t="shared" ca="1" si="76"/>
        <v>1060.1380332963827</v>
      </c>
      <c r="AJ56" s="13">
        <f t="shared" ca="1" si="77"/>
        <v>6.0726432071159531E-15</v>
      </c>
      <c r="AK56" s="11"/>
      <c r="AL56" s="6">
        <v>0</v>
      </c>
      <c r="AM56" s="41">
        <f t="shared" si="78"/>
        <v>1317.5464061050789</v>
      </c>
      <c r="AN56" s="41">
        <f t="shared" ca="1" si="79"/>
        <v>387.99473770693203</v>
      </c>
      <c r="AO56" s="6">
        <v>100</v>
      </c>
      <c r="AP56" s="67">
        <f t="shared" si="95"/>
        <v>0.77700050472474014</v>
      </c>
      <c r="AQ56" s="11">
        <f t="shared" si="80"/>
        <v>0.98330272071837588</v>
      </c>
      <c r="AR56" s="11">
        <f t="shared" si="81"/>
        <v>0.68770269343653956</v>
      </c>
      <c r="AS56" s="11">
        <f t="shared" si="82"/>
        <v>0.69938044403469313</v>
      </c>
      <c r="AT56" s="11">
        <f t="shared" si="83"/>
        <v>510.00962215499999</v>
      </c>
      <c r="AU56" s="11">
        <f t="shared" si="84"/>
        <v>1455.3301939042735</v>
      </c>
      <c r="AV56" s="11">
        <f t="shared" si="85"/>
        <v>1.6623573774260621E-3</v>
      </c>
      <c r="AW56" s="11">
        <f t="shared" si="86"/>
        <v>3.6885478983619832E-7</v>
      </c>
      <c r="AX56" s="41">
        <f t="shared" ca="1" si="87"/>
        <v>1.5154721432286609</v>
      </c>
      <c r="AY56" s="41">
        <f t="shared" ca="1" si="88"/>
        <v>2.0413710856470839</v>
      </c>
      <c r="AZ56" s="41">
        <f t="shared" si="89"/>
        <v>0.29489597689852426</v>
      </c>
      <c r="BA56" s="179">
        <f t="shared" ca="1" si="96"/>
        <v>0.82068561469425727</v>
      </c>
      <c r="BB56" s="156">
        <f t="shared" ca="1" si="97"/>
        <v>0.70677018053741036</v>
      </c>
      <c r="BC56" s="156">
        <f t="shared" ca="1" si="98"/>
        <v>0.53215189221882042</v>
      </c>
    </row>
    <row r="57" spans="1:55" ht="14.5">
      <c r="A57" s="41">
        <v>0</v>
      </c>
      <c r="B57" s="41">
        <f t="shared" si="52"/>
        <v>0</v>
      </c>
      <c r="C57" s="41">
        <f t="shared" si="52"/>
        <v>0</v>
      </c>
      <c r="D57" s="41">
        <v>17267.217924997112</v>
      </c>
      <c r="E57" s="41" t="e">
        <f t="shared" ca="1" si="90"/>
        <v>#NUM!</v>
      </c>
      <c r="F57" s="7">
        <f t="shared" si="91"/>
        <v>900</v>
      </c>
      <c r="G57" s="41"/>
      <c r="H57" s="7">
        <f t="shared" si="92"/>
        <v>10000</v>
      </c>
      <c r="I57" s="6">
        <v>15</v>
      </c>
      <c r="J57" s="41">
        <f t="shared" si="54"/>
        <v>0.44335805865371636</v>
      </c>
      <c r="K57" s="41">
        <f t="shared" si="55"/>
        <v>490.83689142272345</v>
      </c>
      <c r="L57" s="6">
        <f t="shared" si="99"/>
        <v>245</v>
      </c>
      <c r="M57" s="41">
        <f t="shared" si="56"/>
        <v>290.81300477770088</v>
      </c>
      <c r="N57" s="41">
        <f t="shared" si="57"/>
        <v>200.24827949598543</v>
      </c>
      <c r="O57" s="41">
        <f t="shared" si="58"/>
        <v>2212107.176191981</v>
      </c>
      <c r="P57" s="41">
        <f t="shared" si="59"/>
        <v>14203282.483840199</v>
      </c>
      <c r="Q57" s="41">
        <f t="shared" si="60"/>
        <v>2.7902821086746798E-3</v>
      </c>
      <c r="R57" s="41">
        <f t="shared" si="61"/>
        <v>2.196389793103443E-2</v>
      </c>
      <c r="S57" s="24">
        <f t="shared" ca="1" si="93"/>
        <v>-7.544673398958532E-16</v>
      </c>
      <c r="T57" s="10">
        <f t="shared" ca="1" si="62"/>
        <v>-7.544673398958532E-16</v>
      </c>
      <c r="U57" s="41">
        <f t="shared" ca="1" si="63"/>
        <v>0.37490889176389058</v>
      </c>
      <c r="V57" s="41">
        <f t="shared" ca="1" si="64"/>
        <v>3.0840997117064995E-2</v>
      </c>
      <c r="W57" s="41">
        <f t="shared" ca="1" si="65"/>
        <v>12.15618581788477</v>
      </c>
      <c r="X57" s="20">
        <f t="shared" ca="1" si="66"/>
        <v>1420.4470204455697</v>
      </c>
      <c r="Y57" s="41">
        <f t="shared" si="67"/>
        <v>0.58971871832004996</v>
      </c>
      <c r="Z57" s="41">
        <f t="shared" ca="1" si="68"/>
        <v>193.99674650302632</v>
      </c>
      <c r="AA57" s="14">
        <f t="shared" ca="1" si="69"/>
        <v>1420.4470204455697</v>
      </c>
      <c r="AB57" s="14">
        <f t="shared" si="94"/>
        <v>4016.4588107467653</v>
      </c>
      <c r="AC57" s="25">
        <f t="shared" ca="1" si="70"/>
        <v>697207.79994617309</v>
      </c>
      <c r="AD57" s="41">
        <f t="shared" si="71"/>
        <v>1971426.1571943511</v>
      </c>
      <c r="AE57" s="5">
        <f t="shared" ca="1" si="72"/>
        <v>35.365656349939542</v>
      </c>
      <c r="AF57" s="7">
        <f t="shared" ca="1" si="73"/>
        <v>1420.4470204455695</v>
      </c>
      <c r="AG57" s="41">
        <f t="shared" ca="1" si="74"/>
        <v>2596.0117903011956</v>
      </c>
      <c r="AH57" s="41">
        <f t="shared" ca="1" si="75"/>
        <v>1274218.357248178</v>
      </c>
      <c r="AI57" s="41">
        <f t="shared" ca="1" si="76"/>
        <v>1110.2055073259287</v>
      </c>
      <c r="AJ57" s="13">
        <f t="shared" ca="1" si="77"/>
        <v>-6.4633103335280877E-15</v>
      </c>
      <c r="AK57" s="11"/>
      <c r="AL57" s="6">
        <v>0</v>
      </c>
      <c r="AM57" s="41">
        <f t="shared" si="78"/>
        <v>1237.908876445144</v>
      </c>
      <c r="AN57" s="41">
        <f t="shared" ca="1" si="79"/>
        <v>381.75923672140317</v>
      </c>
      <c r="AO57" s="6">
        <v>100</v>
      </c>
      <c r="AP57" s="67">
        <f t="shared" si="95"/>
        <v>0.78158881770731348</v>
      </c>
      <c r="AQ57" s="11">
        <f t="shared" si="80"/>
        <v>0.98330272071837588</v>
      </c>
      <c r="AR57" s="11">
        <f t="shared" si="81"/>
        <v>0.68770269343653956</v>
      </c>
      <c r="AS57" s="11">
        <f t="shared" si="82"/>
        <v>0.69938044403469313</v>
      </c>
      <c r="AT57" s="11">
        <f t="shared" si="83"/>
        <v>510.00962215499999</v>
      </c>
      <c r="AU57" s="11">
        <f t="shared" si="84"/>
        <v>1455.3301939042735</v>
      </c>
      <c r="AV57" s="11">
        <f t="shared" si="85"/>
        <v>1.6623573774260621E-3</v>
      </c>
      <c r="AW57" s="11">
        <f t="shared" si="86"/>
        <v>3.6885478983619832E-7</v>
      </c>
      <c r="AX57" s="41">
        <f t="shared" ca="1" si="87"/>
        <v>1.677455328625193</v>
      </c>
      <c r="AY57" s="41">
        <f t="shared" ca="1" si="88"/>
        <v>2.2595656545851939</v>
      </c>
      <c r="AZ57" s="41">
        <f t="shared" si="89"/>
        <v>0.31140477092323027</v>
      </c>
      <c r="BA57" s="179">
        <f t="shared" ca="1" si="96"/>
        <v>0.81167067468273291</v>
      </c>
      <c r="BB57" s="156">
        <f t="shared" ca="1" si="97"/>
        <v>0.70177730954081352</v>
      </c>
      <c r="BC57" s="156">
        <f t="shared" ca="1" si="98"/>
        <v>0.51351682828368839</v>
      </c>
    </row>
    <row r="58" spans="1:55" ht="14.5">
      <c r="A58" s="41">
        <v>0</v>
      </c>
      <c r="B58" s="41">
        <f t="shared" si="52"/>
        <v>0</v>
      </c>
      <c r="C58" s="41">
        <f t="shared" si="52"/>
        <v>0</v>
      </c>
      <c r="D58" s="41">
        <v>17267.217924997112</v>
      </c>
      <c r="E58" s="41" t="e">
        <f t="shared" ca="1" si="90"/>
        <v>#NUM!</v>
      </c>
      <c r="F58" s="7">
        <f t="shared" si="91"/>
        <v>1000</v>
      </c>
      <c r="G58" s="41"/>
      <c r="H58" s="7">
        <f t="shared" si="92"/>
        <v>10000</v>
      </c>
      <c r="I58" s="6">
        <v>15</v>
      </c>
      <c r="J58" s="41">
        <f t="shared" si="54"/>
        <v>0.47009231331081092</v>
      </c>
      <c r="K58" s="41">
        <f t="shared" si="55"/>
        <v>520.43409439279685</v>
      </c>
      <c r="L58" s="6">
        <f t="shared" si="99"/>
        <v>260</v>
      </c>
      <c r="M58" s="41">
        <f t="shared" si="56"/>
        <v>308.34887398222185</v>
      </c>
      <c r="N58" s="41">
        <f t="shared" si="57"/>
        <v>225.12611646211491</v>
      </c>
      <c r="O58" s="41">
        <f t="shared" si="58"/>
        <v>2345496.0600135182</v>
      </c>
      <c r="P58" s="41">
        <f t="shared" si="59"/>
        <v>15059732.848231137</v>
      </c>
      <c r="Q58" s="41">
        <f t="shared" si="60"/>
        <v>2.7587215939411588E-3</v>
      </c>
      <c r="R58" s="41">
        <f t="shared" si="61"/>
        <v>2.1772021507884997E-2</v>
      </c>
      <c r="S58" s="24">
        <f t="shared" ca="1" si="93"/>
        <v>7.544673398958532E-16</v>
      </c>
      <c r="T58" s="10">
        <f t="shared" ca="1" si="62"/>
        <v>7.544673398958532E-16</v>
      </c>
      <c r="U58" s="41">
        <f t="shared" ca="1" si="63"/>
        <v>0.33347912593739248</v>
      </c>
      <c r="V58" s="41">
        <f t="shared" ca="1" si="64"/>
        <v>2.8795575089002556E-2</v>
      </c>
      <c r="W58" s="41">
        <f t="shared" ca="1" si="65"/>
        <v>11.580915640915711</v>
      </c>
      <c r="X58" s="20">
        <f t="shared" ca="1" si="66"/>
        <v>1491.0062779484838</v>
      </c>
      <c r="Y58" s="41">
        <f t="shared" si="67"/>
        <v>0.58713717905424045</v>
      </c>
      <c r="Z58" s="41">
        <f t="shared" ca="1" si="68"/>
        <v>193.99674650302629</v>
      </c>
      <c r="AA58" s="14">
        <f t="shared" ca="1" si="69"/>
        <v>1491.0062779484838</v>
      </c>
      <c r="AB58" s="14">
        <f t="shared" si="94"/>
        <v>4016.4588107467653</v>
      </c>
      <c r="AC58" s="25">
        <f t="shared" ca="1" si="70"/>
        <v>775970.50199809391</v>
      </c>
      <c r="AD58" s="41">
        <f t="shared" si="71"/>
        <v>2090302.1038369627</v>
      </c>
      <c r="AE58" s="5">
        <f t="shared" ca="1" si="72"/>
        <v>37.122409271546012</v>
      </c>
      <c r="AF58" s="7">
        <f t="shared" ca="1" si="73"/>
        <v>1491.006277948484</v>
      </c>
      <c r="AG58" s="41">
        <f t="shared" ca="1" si="74"/>
        <v>2525.4525327982815</v>
      </c>
      <c r="AH58" s="41">
        <f t="shared" ca="1" si="75"/>
        <v>1314331.6018388688</v>
      </c>
      <c r="AI58" s="41">
        <f t="shared" ca="1" si="76"/>
        <v>1172.008622907711</v>
      </c>
      <c r="AJ58" s="13">
        <f t="shared" ca="1" si="77"/>
        <v>6.8530445021345257E-15</v>
      </c>
      <c r="AK58" s="11"/>
      <c r="AL58" s="6">
        <v>0</v>
      </c>
      <c r="AM58" s="41">
        <f t="shared" si="78"/>
        <v>1167.508722670919</v>
      </c>
      <c r="AN58" s="41">
        <f t="shared" ca="1" si="79"/>
        <v>380.09174730285679</v>
      </c>
      <c r="AO58" s="6">
        <v>100</v>
      </c>
      <c r="AP58" s="67">
        <f t="shared" si="95"/>
        <v>0.78605210470361631</v>
      </c>
      <c r="AQ58" s="11">
        <f t="shared" si="80"/>
        <v>0.98330272071837588</v>
      </c>
      <c r="AR58" s="11">
        <f t="shared" si="81"/>
        <v>0.68770269343653956</v>
      </c>
      <c r="AS58" s="11">
        <f t="shared" si="82"/>
        <v>0.69938044403469313</v>
      </c>
      <c r="AT58" s="11">
        <f t="shared" si="83"/>
        <v>510.00962215499999</v>
      </c>
      <c r="AU58" s="11">
        <f t="shared" si="84"/>
        <v>1455.3301939042735</v>
      </c>
      <c r="AV58" s="11">
        <f t="shared" si="85"/>
        <v>1.6623573774260621E-3</v>
      </c>
      <c r="AW58" s="11">
        <f t="shared" si="86"/>
        <v>3.6885478983619832E-7</v>
      </c>
      <c r="AX58" s="41">
        <f t="shared" ca="1" si="87"/>
        <v>1.8537379562168672</v>
      </c>
      <c r="AY58" s="41">
        <f t="shared" ca="1" si="88"/>
        <v>2.4970218562550386</v>
      </c>
      <c r="AZ58" s="41">
        <f t="shared" si="89"/>
        <v>0.32752637020417896</v>
      </c>
      <c r="BA58" s="179">
        <f t="shared" ca="1" si="96"/>
        <v>0.80179254248090792</v>
      </c>
      <c r="BB58" s="156">
        <f t="shared" ca="1" si="97"/>
        <v>0.6950129678418715</v>
      </c>
      <c r="BC58" s="156">
        <f t="shared" ca="1" si="98"/>
        <v>0.48811584622220705</v>
      </c>
    </row>
    <row r="59" spans="1:55" ht="14.5">
      <c r="A59" s="41">
        <v>0</v>
      </c>
      <c r="B59" s="41">
        <f t="shared" si="52"/>
        <v>0</v>
      </c>
      <c r="C59" s="41">
        <f t="shared" si="52"/>
        <v>0</v>
      </c>
      <c r="D59" s="41">
        <v>17267.217924997112</v>
      </c>
      <c r="E59" s="41" t="e">
        <f t="shared" ca="1" si="90"/>
        <v>#NUM!</v>
      </c>
      <c r="F59" s="7">
        <f t="shared" si="91"/>
        <v>1100</v>
      </c>
      <c r="G59" s="41"/>
      <c r="H59" s="7">
        <f t="shared" si="92"/>
        <v>10000</v>
      </c>
      <c r="I59" s="6">
        <v>15</v>
      </c>
      <c r="J59" s="41">
        <f t="shared" si="54"/>
        <v>0.49676028806184597</v>
      </c>
      <c r="K59" s="41">
        <f t="shared" si="55"/>
        <v>549.95791959873804</v>
      </c>
      <c r="L59" s="6">
        <f t="shared" si="99"/>
        <v>275</v>
      </c>
      <c r="M59" s="41">
        <f t="shared" si="56"/>
        <v>325.84126803553869</v>
      </c>
      <c r="N59" s="41">
        <f t="shared" si="57"/>
        <v>251.39308084149442</v>
      </c>
      <c r="O59" s="41">
        <f t="shared" si="58"/>
        <v>2478554.2444083286</v>
      </c>
      <c r="P59" s="41">
        <f t="shared" si="59"/>
        <v>15914059.88992524</v>
      </c>
      <c r="Q59" s="41">
        <f t="shared" si="60"/>
        <v>2.7287221887776262E-3</v>
      </c>
      <c r="R59" s="41">
        <f t="shared" si="61"/>
        <v>2.1589636061766917E-2</v>
      </c>
      <c r="S59" s="24">
        <f t="shared" ca="1" si="93"/>
        <v>0</v>
      </c>
      <c r="T59" s="10">
        <f t="shared" ca="1" si="62"/>
        <v>0</v>
      </c>
      <c r="U59" s="41">
        <f t="shared" ca="1" si="63"/>
        <v>0.29863534943828096</v>
      </c>
      <c r="V59" s="41">
        <f t="shared" ca="1" si="64"/>
        <v>2.722214667225737E-2</v>
      </c>
      <c r="W59" s="41">
        <f t="shared" ca="1" si="65"/>
        <v>10.970308588581156</v>
      </c>
      <c r="X59" s="20">
        <f t="shared" ca="1" si="66"/>
        <v>1573.9956433832976</v>
      </c>
      <c r="Y59" s="41">
        <f t="shared" si="67"/>
        <v>0.58467276651853217</v>
      </c>
      <c r="Z59" s="41">
        <f t="shared" ca="1" si="68"/>
        <v>193.99674650302629</v>
      </c>
      <c r="AA59" s="14">
        <f t="shared" ca="1" si="69"/>
        <v>1573.9956433832976</v>
      </c>
      <c r="AB59" s="14">
        <f t="shared" si="94"/>
        <v>4016.4588107467653</v>
      </c>
      <c r="AC59" s="25">
        <f t="shared" ca="1" si="70"/>
        <v>865631.36949255562</v>
      </c>
      <c r="AD59" s="41">
        <f t="shared" si="71"/>
        <v>2208883.3317123125</v>
      </c>
      <c r="AE59" s="5">
        <f t="shared" ca="1" si="72"/>
        <v>39.188641476212489</v>
      </c>
      <c r="AF59" s="7">
        <f t="shared" ca="1" si="73"/>
        <v>1573.9956433832976</v>
      </c>
      <c r="AG59" s="41">
        <f t="shared" ca="1" si="74"/>
        <v>2442.4631673634676</v>
      </c>
      <c r="AH59" s="41">
        <f t="shared" ca="1" si="75"/>
        <v>1343251.962219757</v>
      </c>
      <c r="AI59" s="41">
        <f t="shared" ca="1" si="76"/>
        <v>1244.0734471579301</v>
      </c>
      <c r="AJ59" s="13">
        <f t="shared" ca="1" si="77"/>
        <v>0</v>
      </c>
      <c r="AK59" s="11"/>
      <c r="AL59" s="6">
        <v>0</v>
      </c>
      <c r="AM59" s="41">
        <f t="shared" si="78"/>
        <v>1104.8324301289415</v>
      </c>
      <c r="AN59" s="41">
        <f t="shared" ca="1" si="79"/>
        <v>381.80352496732922</v>
      </c>
      <c r="AO59" s="6">
        <v>100</v>
      </c>
      <c r="AP59" s="67">
        <f t="shared" si="95"/>
        <v>0.7903919254082552</v>
      </c>
      <c r="AQ59" s="11">
        <f t="shared" si="80"/>
        <v>0.98330272071837588</v>
      </c>
      <c r="AR59" s="11">
        <f t="shared" si="81"/>
        <v>0.68770269343653956</v>
      </c>
      <c r="AS59" s="11">
        <f t="shared" si="82"/>
        <v>0.69938044403469313</v>
      </c>
      <c r="AT59" s="11">
        <f t="shared" si="83"/>
        <v>510.00962215499999</v>
      </c>
      <c r="AU59" s="11">
        <f t="shared" si="84"/>
        <v>1455.3301939042735</v>
      </c>
      <c r="AV59" s="11">
        <f t="shared" si="85"/>
        <v>1.6623573774260621E-3</v>
      </c>
      <c r="AW59" s="11">
        <f t="shared" si="86"/>
        <v>3.6885478983619832E-7</v>
      </c>
      <c r="AX59" s="41">
        <f t="shared" ca="1" si="87"/>
        <v>2.0433805574081587</v>
      </c>
      <c r="AY59" s="41">
        <f t="shared" ca="1" si="88"/>
        <v>2.7524742077935067</v>
      </c>
      <c r="AZ59" s="41">
        <f t="shared" si="89"/>
        <v>0.34326193718876791</v>
      </c>
      <c r="BA59" s="179">
        <f t="shared" ca="1" si="96"/>
        <v>0.7918939997454808</v>
      </c>
      <c r="BB59" s="156">
        <f t="shared" ca="1" si="97"/>
        <v>0.68631323587176574</v>
      </c>
      <c r="BC59" s="156">
        <f t="shared" ca="1" si="98"/>
        <v>0.45491081708317038</v>
      </c>
    </row>
    <row r="60" spans="1:55" ht="14.5">
      <c r="A60" s="41">
        <v>0</v>
      </c>
      <c r="B60" s="41">
        <f t="shared" si="52"/>
        <v>0</v>
      </c>
      <c r="C60" s="41">
        <f t="shared" si="52"/>
        <v>0</v>
      </c>
      <c r="D60" s="41">
        <v>17267.217924997112</v>
      </c>
      <c r="E60" s="41" t="e">
        <f t="shared" ca="1" si="90"/>
        <v>#NUM!</v>
      </c>
      <c r="F60" s="7">
        <f t="shared" si="91"/>
        <v>1200</v>
      </c>
      <c r="G60" s="41"/>
      <c r="H60" s="7">
        <f t="shared" si="92"/>
        <v>10000</v>
      </c>
      <c r="I60" s="6">
        <v>15</v>
      </c>
      <c r="J60" s="41">
        <f t="shared" si="54"/>
        <v>0.52335993242893042</v>
      </c>
      <c r="K60" s="41">
        <f t="shared" si="55"/>
        <v>579.40609697874379</v>
      </c>
      <c r="L60" s="6">
        <f t="shared" si="99"/>
        <v>290</v>
      </c>
      <c r="M60" s="41">
        <f t="shared" si="56"/>
        <v>343.28884196235407</v>
      </c>
      <c r="N60" s="41">
        <f t="shared" si="57"/>
        <v>279.03618219713525</v>
      </c>
      <c r="O60" s="41">
        <f t="shared" si="58"/>
        <v>2611271.4986458109</v>
      </c>
      <c r="P60" s="41">
        <f t="shared" si="59"/>
        <v>16766197.920443073</v>
      </c>
      <c r="Q60" s="41">
        <f t="shared" si="60"/>
        <v>2.7000832126696677E-3</v>
      </c>
      <c r="R60" s="41">
        <f t="shared" si="61"/>
        <v>2.1415521528317289E-2</v>
      </c>
      <c r="S60" s="24">
        <f t="shared" ca="1" si="93"/>
        <v>0</v>
      </c>
      <c r="T60" s="10">
        <f t="shared" ca="1" si="62"/>
        <v>0</v>
      </c>
      <c r="U60" s="41">
        <f t="shared" ca="1" si="63"/>
        <v>0.26905062975104188</v>
      </c>
      <c r="V60" s="41">
        <f t="shared" ca="1" si="64"/>
        <v>2.5987325669457915E-2</v>
      </c>
      <c r="W60" s="41">
        <f t="shared" ca="1" si="65"/>
        <v>10.353148037362251</v>
      </c>
      <c r="X60" s="20">
        <f t="shared" ca="1" si="66"/>
        <v>1667.8229522734041</v>
      </c>
      <c r="Y60" s="41">
        <f t="shared" si="67"/>
        <v>0.5823103805832629</v>
      </c>
      <c r="Z60" s="41">
        <f t="shared" ca="1" si="68"/>
        <v>193.99674650302629</v>
      </c>
      <c r="AA60" s="14">
        <f t="shared" ca="1" si="69"/>
        <v>1667.8229522734043</v>
      </c>
      <c r="AB60" s="14">
        <f t="shared" si="94"/>
        <v>4016.4588107467653</v>
      </c>
      <c r="AC60" s="25">
        <f t="shared" ca="1" si="70"/>
        <v>966346.78722829884</v>
      </c>
      <c r="AD60" s="41">
        <f t="shared" si="71"/>
        <v>2327160.7232106701</v>
      </c>
      <c r="AE60" s="5">
        <f t="shared" ca="1" si="72"/>
        <v>41.524711962957042</v>
      </c>
      <c r="AF60" s="7">
        <f t="shared" ca="1" si="73"/>
        <v>1667.8229522734041</v>
      </c>
      <c r="AG60" s="41">
        <f t="shared" ca="1" si="74"/>
        <v>2348.6358584733607</v>
      </c>
      <c r="AH60" s="41">
        <f t="shared" ca="1" si="75"/>
        <v>1360813.9359823712</v>
      </c>
      <c r="AI60" s="41">
        <f t="shared" ca="1" si="76"/>
        <v>1325.2685827673913</v>
      </c>
      <c r="AJ60" s="13">
        <f t="shared" ca="1" si="77"/>
        <v>0</v>
      </c>
      <c r="AK60" s="11"/>
      <c r="AL60" s="6">
        <v>0</v>
      </c>
      <c r="AM60" s="41">
        <f t="shared" si="78"/>
        <v>1048.6795840555708</v>
      </c>
      <c r="AN60" s="41">
        <f t="shared" ca="1" si="79"/>
        <v>386.050585038451</v>
      </c>
      <c r="AO60" s="6">
        <v>100</v>
      </c>
      <c r="AP60" s="67">
        <f t="shared" si="95"/>
        <v>0.79460987208559641</v>
      </c>
      <c r="AQ60" s="11">
        <f t="shared" si="80"/>
        <v>0.98330272071837588</v>
      </c>
      <c r="AR60" s="11">
        <f t="shared" si="81"/>
        <v>0.68770269343653956</v>
      </c>
      <c r="AS60" s="11">
        <f t="shared" si="82"/>
        <v>0.69938044403469313</v>
      </c>
      <c r="AT60" s="11">
        <f t="shared" si="83"/>
        <v>510.00962215499999</v>
      </c>
      <c r="AU60" s="11">
        <f t="shared" si="84"/>
        <v>1455.3301939042735</v>
      </c>
      <c r="AV60" s="11">
        <f t="shared" si="85"/>
        <v>1.6623573774260621E-3</v>
      </c>
      <c r="AW60" s="11">
        <f t="shared" si="86"/>
        <v>3.6885478983619832E-7</v>
      </c>
      <c r="AX60" s="41">
        <f t="shared" ca="1" si="87"/>
        <v>2.2456894424643052</v>
      </c>
      <c r="AY60" s="41">
        <f t="shared" ca="1" si="88"/>
        <v>3.0249882953459584</v>
      </c>
      <c r="AZ60" s="41">
        <f t="shared" si="89"/>
        <v>0.358612878867968</v>
      </c>
      <c r="BA60" s="179">
        <f t="shared" ca="1" si="96"/>
        <v>0.78243102831725198</v>
      </c>
      <c r="BB60" s="156">
        <f t="shared" ca="1" si="97"/>
        <v>0.67554069264595951</v>
      </c>
      <c r="BC60" s="156">
        <f t="shared" ca="1" si="98"/>
        <v>0.41208823615835666</v>
      </c>
    </row>
    <row r="61" spans="1:55" ht="14.5">
      <c r="A61" s="41">
        <v>0</v>
      </c>
      <c r="B61" s="41">
        <f t="shared" si="52"/>
        <v>0</v>
      </c>
      <c r="C61" s="41">
        <f t="shared" si="52"/>
        <v>0</v>
      </c>
      <c r="D61" s="41">
        <v>17267.217924997112</v>
      </c>
      <c r="E61" s="41" t="e">
        <f t="shared" ca="1" si="90"/>
        <v>#NUM!</v>
      </c>
      <c r="F61" s="7">
        <f t="shared" si="91"/>
        <v>1300</v>
      </c>
      <c r="G61" s="41"/>
      <c r="H61" s="7">
        <f t="shared" si="92"/>
        <v>10000</v>
      </c>
      <c r="I61" s="6">
        <v>15</v>
      </c>
      <c r="J61" s="41">
        <f t="shared" si="54"/>
        <v>0.54988942733605417</v>
      </c>
      <c r="K61" s="41">
        <f t="shared" si="55"/>
        <v>608.77661265352071</v>
      </c>
      <c r="L61" s="6">
        <f t="shared" si="99"/>
        <v>305</v>
      </c>
      <c r="M61" s="41">
        <f t="shared" si="56"/>
        <v>360.69040257140858</v>
      </c>
      <c r="N61" s="41">
        <f t="shared" si="57"/>
        <v>308.04227281748189</v>
      </c>
      <c r="O61" s="41">
        <f t="shared" si="58"/>
        <v>2743638.7465605126</v>
      </c>
      <c r="P61" s="41">
        <f t="shared" si="59"/>
        <v>17616088.664424751</v>
      </c>
      <c r="Q61" s="41">
        <f t="shared" si="60"/>
        <v>2.6726378476330725E-3</v>
      </c>
      <c r="R61" s="41">
        <f t="shared" si="61"/>
        <v>2.1248663715011121E-2</v>
      </c>
      <c r="S61" s="24">
        <f t="shared" ca="1" si="93"/>
        <v>0</v>
      </c>
      <c r="T61" s="10">
        <f t="shared" ca="1" si="62"/>
        <v>0</v>
      </c>
      <c r="U61" s="41">
        <f t="shared" ca="1" si="63"/>
        <v>0.24371609732911009</v>
      </c>
      <c r="V61" s="41">
        <f t="shared" ca="1" si="64"/>
        <v>2.5000017475872122E-2</v>
      </c>
      <c r="W61" s="41">
        <f t="shared" ca="1" si="65"/>
        <v>9.7486370785270058</v>
      </c>
      <c r="X61" s="20">
        <f t="shared" ca="1" si="66"/>
        <v>1771.2443068612156</v>
      </c>
      <c r="Y61" s="41">
        <f t="shared" si="67"/>
        <v>0.58003742548340953</v>
      </c>
      <c r="Z61" s="41">
        <f t="shared" ca="1" si="68"/>
        <v>193.99674650302629</v>
      </c>
      <c r="AA61" s="14">
        <f t="shared" ca="1" si="69"/>
        <v>1771.2443068612156</v>
      </c>
      <c r="AB61" s="14">
        <f t="shared" si="94"/>
        <v>4016.4588107467653</v>
      </c>
      <c r="AC61" s="25">
        <f t="shared" ca="1" si="70"/>
        <v>1078292.109312804</v>
      </c>
      <c r="AD61" s="41">
        <f t="shared" si="71"/>
        <v>2445126.1896688039</v>
      </c>
      <c r="AE61" s="5">
        <f t="shared" ca="1" si="72"/>
        <v>44.099650720229711</v>
      </c>
      <c r="AF61" s="7">
        <f t="shared" ca="1" si="73"/>
        <v>1771.2443068612156</v>
      </c>
      <c r="AG61" s="41">
        <f t="shared" ca="1" si="74"/>
        <v>2245.2145038855497</v>
      </c>
      <c r="AH61" s="41">
        <f t="shared" ca="1" si="75"/>
        <v>1366834.080356</v>
      </c>
      <c r="AI61" s="41">
        <f t="shared" ca="1" si="76"/>
        <v>1414.7062260234138</v>
      </c>
      <c r="AJ61" s="13">
        <f t="shared" ca="1" si="77"/>
        <v>0</v>
      </c>
      <c r="AK61" s="11"/>
      <c r="AL61" s="6">
        <v>0</v>
      </c>
      <c r="AM61" s="41">
        <f t="shared" si="78"/>
        <v>998.08588593850402</v>
      </c>
      <c r="AN61" s="41">
        <f t="shared" ca="1" si="79"/>
        <v>392.22175470647124</v>
      </c>
      <c r="AO61" s="6">
        <v>100</v>
      </c>
      <c r="AP61" s="67">
        <f t="shared" si="95"/>
        <v>0.79870756424921674</v>
      </c>
      <c r="AQ61" s="11">
        <f t="shared" si="80"/>
        <v>0.98330272071837588</v>
      </c>
      <c r="AR61" s="11">
        <f t="shared" si="81"/>
        <v>0.68770269343653956</v>
      </c>
      <c r="AS61" s="11">
        <f t="shared" si="82"/>
        <v>0.69938044403469313</v>
      </c>
      <c r="AT61" s="11">
        <f t="shared" si="83"/>
        <v>510.00962215499999</v>
      </c>
      <c r="AU61" s="11">
        <f t="shared" si="84"/>
        <v>1455.3301939042735</v>
      </c>
      <c r="AV61" s="11">
        <f t="shared" si="85"/>
        <v>1.6623573774260621E-3</v>
      </c>
      <c r="AW61" s="11">
        <f t="shared" si="86"/>
        <v>3.6885478983619832E-7</v>
      </c>
      <c r="AX61" s="41">
        <f t="shared" ca="1" si="87"/>
        <v>2.4601322177901768</v>
      </c>
      <c r="AY61" s="41">
        <f t="shared" ca="1" si="88"/>
        <v>3.3138469741623973</v>
      </c>
      <c r="AZ61" s="41">
        <f t="shared" si="89"/>
        <v>0.37358083065432307</v>
      </c>
      <c r="BA61" s="179">
        <f t="shared" ca="1" si="96"/>
        <v>0.7735179843255533</v>
      </c>
      <c r="BB61" s="156">
        <f t="shared" ca="1" si="97"/>
        <v>0.66268984012156651</v>
      </c>
      <c r="BC61" s="156">
        <f t="shared" ca="1" si="98"/>
        <v>0.35719847349444844</v>
      </c>
    </row>
    <row r="62" spans="1:55" ht="14.5">
      <c r="A62" s="41">
        <v>0</v>
      </c>
      <c r="B62" s="41">
        <f t="shared" si="52"/>
        <v>0</v>
      </c>
      <c r="C62" s="41">
        <f t="shared" si="52"/>
        <v>0</v>
      </c>
      <c r="D62" s="41">
        <v>17267.217924997112</v>
      </c>
      <c r="E62" s="41" t="e">
        <f t="shared" ca="1" si="90"/>
        <v>#NUM!</v>
      </c>
      <c r="F62" s="7">
        <f t="shared" si="91"/>
        <v>1400</v>
      </c>
      <c r="G62" s="41"/>
      <c r="H62" s="7">
        <f t="shared" si="92"/>
        <v>10000</v>
      </c>
      <c r="I62" s="6">
        <v>15</v>
      </c>
      <c r="J62" s="41">
        <f t="shared" si="54"/>
        <v>0.57634718297337728</v>
      </c>
      <c r="K62" s="41">
        <f t="shared" si="55"/>
        <v>638.06770656186166</v>
      </c>
      <c r="L62" s="6">
        <f t="shared" si="99"/>
        <v>320</v>
      </c>
      <c r="M62" s="41">
        <f t="shared" si="56"/>
        <v>378.04490705459807</v>
      </c>
      <c r="N62" s="41">
        <f t="shared" si="57"/>
        <v>338.39811047544424</v>
      </c>
      <c r="O62" s="41">
        <f t="shared" si="58"/>
        <v>2875648.0558961281</v>
      </c>
      <c r="P62" s="41">
        <f t="shared" si="59"/>
        <v>18463681.191210926</v>
      </c>
      <c r="Q62" s="41">
        <f t="shared" si="60"/>
        <v>2.6462462567131062E-3</v>
      </c>
      <c r="R62" s="41">
        <f t="shared" si="61"/>
        <v>2.1088212464145818E-2</v>
      </c>
      <c r="S62" s="24">
        <f t="shared" ca="1" si="93"/>
        <v>-7.544673398958532E-16</v>
      </c>
      <c r="T62" s="10">
        <f t="shared" ca="1" si="62"/>
        <v>-7.544673398958532E-16</v>
      </c>
      <c r="U62" s="41">
        <f t="shared" ca="1" si="63"/>
        <v>0.22185366353844785</v>
      </c>
      <c r="V62" s="41">
        <f t="shared" ca="1" si="64"/>
        <v>2.4196726268719115E-2</v>
      </c>
      <c r="W62" s="41">
        <f t="shared" ca="1" si="65"/>
        <v>9.1687470889503917</v>
      </c>
      <c r="X62" s="20">
        <f t="shared" ca="1" si="66"/>
        <v>1883.2690832760018</v>
      </c>
      <c r="Y62" s="41">
        <f t="shared" si="67"/>
        <v>0.5778433089581414</v>
      </c>
      <c r="Z62" s="41">
        <f t="shared" ca="1" si="68"/>
        <v>193.99674650302632</v>
      </c>
      <c r="AA62" s="14">
        <f t="shared" ca="1" si="69"/>
        <v>1883.2690832760015</v>
      </c>
      <c r="AB62" s="14">
        <f t="shared" si="94"/>
        <v>4016.4588107467653</v>
      </c>
      <c r="AC62" s="25">
        <f t="shared" ca="1" si="70"/>
        <v>1201653.1848047778</v>
      </c>
      <c r="AD62" s="41">
        <f t="shared" si="71"/>
        <v>2562772.6618733709</v>
      </c>
      <c r="AE62" s="5">
        <f t="shared" ca="1" si="72"/>
        <v>46.888793636747202</v>
      </c>
      <c r="AF62" s="7">
        <f t="shared" ca="1" si="73"/>
        <v>1883.2690832760015</v>
      </c>
      <c r="AG62" s="41">
        <f t="shared" ca="1" si="74"/>
        <v>2133.1897274707635</v>
      </c>
      <c r="AH62" s="41">
        <f t="shared" ca="1" si="75"/>
        <v>1361119.477068593</v>
      </c>
      <c r="AI62" s="41">
        <f t="shared" ca="1" si="76"/>
        <v>1511.6749389993836</v>
      </c>
      <c r="AJ62" s="13">
        <f t="shared" ca="1" si="77"/>
        <v>-8.4020367526941037E-15</v>
      </c>
      <c r="AK62" s="11"/>
      <c r="AL62" s="6">
        <v>0</v>
      </c>
      <c r="AM62" s="41">
        <f t="shared" si="78"/>
        <v>952.26782131469895</v>
      </c>
      <c r="AN62" s="41">
        <f t="shared" ca="1" si="79"/>
        <v>399.86650019360371</v>
      </c>
      <c r="AO62" s="6">
        <v>100</v>
      </c>
      <c r="AP62" s="67">
        <f t="shared" si="95"/>
        <v>0.8026866433604809</v>
      </c>
      <c r="AQ62" s="11">
        <f t="shared" si="80"/>
        <v>0.98330272071837588</v>
      </c>
      <c r="AR62" s="11">
        <f t="shared" si="81"/>
        <v>0.68770269343653956</v>
      </c>
      <c r="AS62" s="11">
        <f t="shared" si="82"/>
        <v>0.69938044403469313</v>
      </c>
      <c r="AT62" s="11">
        <f t="shared" si="83"/>
        <v>510.00962215499999</v>
      </c>
      <c r="AU62" s="11">
        <f t="shared" si="84"/>
        <v>1455.3301939042735</v>
      </c>
      <c r="AV62" s="11">
        <f t="shared" si="85"/>
        <v>1.6623573774260621E-3</v>
      </c>
      <c r="AW62" s="11">
        <f t="shared" si="86"/>
        <v>3.6885478983619832E-7</v>
      </c>
      <c r="AX62" s="41">
        <f t="shared" ca="1" si="87"/>
        <v>2.686286192550615</v>
      </c>
      <c r="AY62" s="41">
        <f t="shared" ca="1" si="88"/>
        <v>3.6184808712900338</v>
      </c>
      <c r="AZ62" s="41">
        <f t="shared" si="89"/>
        <v>0.38816763964994877</v>
      </c>
      <c r="BA62" s="179">
        <f t="shared" ca="1" si="96"/>
        <v>0.76500276600025041</v>
      </c>
      <c r="BB62" s="156">
        <f t="shared" ca="1" si="97"/>
        <v>0.64793219180168593</v>
      </c>
      <c r="BC62" s="156">
        <f t="shared" ca="1" si="98"/>
        <v>0.28788021871467961</v>
      </c>
    </row>
    <row r="63" spans="1:55" ht="14.5">
      <c r="A63" s="41">
        <v>0</v>
      </c>
      <c r="B63" s="41">
        <f t="shared" si="52"/>
        <v>0</v>
      </c>
      <c r="C63" s="41">
        <f t="shared" si="52"/>
        <v>0</v>
      </c>
      <c r="D63" s="41">
        <v>17267.217924997112</v>
      </c>
      <c r="E63" s="41" t="e">
        <f t="shared" ca="1" si="90"/>
        <v>#NUM!</v>
      </c>
      <c r="F63" s="7">
        <f t="shared" si="91"/>
        <v>1500</v>
      </c>
      <c r="G63" s="41"/>
      <c r="H63" s="7">
        <f t="shared" si="92"/>
        <v>10000</v>
      </c>
      <c r="I63" s="6">
        <v>15</v>
      </c>
      <c r="J63" s="41">
        <f t="shared" si="54"/>
        <v>0.60273183536750619</v>
      </c>
      <c r="K63" s="41">
        <f t="shared" si="55"/>
        <v>667.2778686636367</v>
      </c>
      <c r="L63" s="6">
        <f t="shared" si="99"/>
        <v>335</v>
      </c>
      <c r="M63" s="41">
        <f t="shared" si="56"/>
        <v>395.35146073730613</v>
      </c>
      <c r="N63" s="41">
        <f t="shared" si="57"/>
        <v>370.0904184732936</v>
      </c>
      <c r="O63" s="41">
        <f t="shared" si="58"/>
        <v>3007292.6211931119</v>
      </c>
      <c r="P63" s="41">
        <f t="shared" si="59"/>
        <v>19308931.804969225</v>
      </c>
      <c r="Q63" s="41">
        <f t="shared" si="60"/>
        <v>2.6207903434578811E-3</v>
      </c>
      <c r="R63" s="41">
        <f t="shared" si="61"/>
        <v>2.093344979234988E-2</v>
      </c>
      <c r="S63" s="24">
        <f t="shared" ca="1" si="93"/>
        <v>0</v>
      </c>
      <c r="T63" s="10">
        <f t="shared" ca="1" si="62"/>
        <v>0</v>
      </c>
      <c r="U63" s="41">
        <f t="shared" ca="1" si="63"/>
        <v>0.20285545584553749</v>
      </c>
      <c r="V63" s="41">
        <f t="shared" ca="1" si="64"/>
        <v>2.3532370180813764E-2</v>
      </c>
      <c r="W63" s="41">
        <f t="shared" ca="1" si="65"/>
        <v>8.620273023366261</v>
      </c>
      <c r="X63" s="20">
        <f t="shared" ca="1" si="66"/>
        <v>2003.0940874137389</v>
      </c>
      <c r="Y63" s="41">
        <f t="shared" si="67"/>
        <v>0.57571905934488854</v>
      </c>
      <c r="Z63" s="41">
        <f t="shared" ca="1" si="68"/>
        <v>193.99674650302629</v>
      </c>
      <c r="AA63" s="14">
        <f t="shared" ca="1" si="69"/>
        <v>2003.0940874137389</v>
      </c>
      <c r="AB63" s="14">
        <f t="shared" si="94"/>
        <v>4016.4588107467653</v>
      </c>
      <c r="AC63" s="25">
        <f t="shared" ca="1" si="70"/>
        <v>1336620.3533821721</v>
      </c>
      <c r="AD63" s="41">
        <f t="shared" si="71"/>
        <v>2680094.0748103866</v>
      </c>
      <c r="AE63" s="5">
        <f t="shared" ca="1" si="72"/>
        <v>49.872143143957977</v>
      </c>
      <c r="AF63" s="7">
        <f t="shared" ca="1" si="73"/>
        <v>2003.0940874137389</v>
      </c>
      <c r="AG63" s="41">
        <f t="shared" ca="1" si="74"/>
        <v>2013.3647233330264</v>
      </c>
      <c r="AH63" s="41">
        <f t="shared" ca="1" si="75"/>
        <v>1343473.7214282146</v>
      </c>
      <c r="AI63" s="41">
        <f t="shared" ca="1" si="76"/>
        <v>1615.5930675750697</v>
      </c>
      <c r="AJ63" s="13">
        <f t="shared" ca="1" si="77"/>
        <v>0</v>
      </c>
      <c r="AK63" s="11"/>
      <c r="AL63" s="6">
        <v>0</v>
      </c>
      <c r="AM63" s="41">
        <f t="shared" si="78"/>
        <v>910.58219268653306</v>
      </c>
      <c r="AN63" s="41">
        <f t="shared" ca="1" si="79"/>
        <v>408.647299433797</v>
      </c>
      <c r="AO63" s="6">
        <v>100</v>
      </c>
      <c r="AP63" s="67">
        <f t="shared" si="95"/>
        <v>0.80654876759234784</v>
      </c>
      <c r="AQ63" s="11">
        <f t="shared" si="80"/>
        <v>0.98330272071837588</v>
      </c>
      <c r="AR63" s="11">
        <f t="shared" si="81"/>
        <v>0.68770269343653956</v>
      </c>
      <c r="AS63" s="11">
        <f t="shared" si="82"/>
        <v>0.69938044403469313</v>
      </c>
      <c r="AT63" s="11">
        <f t="shared" si="83"/>
        <v>510.00962215499999</v>
      </c>
      <c r="AU63" s="11">
        <f t="shared" si="84"/>
        <v>1455.3301939042735</v>
      </c>
      <c r="AV63" s="11">
        <f t="shared" si="85"/>
        <v>1.6623573774260621E-3</v>
      </c>
      <c r="AW63" s="11">
        <f t="shared" si="86"/>
        <v>3.6885478983619832E-7</v>
      </c>
      <c r="AX63" s="41">
        <f t="shared" ca="1" si="87"/>
        <v>2.9238056659253728</v>
      </c>
      <c r="AY63" s="41">
        <f t="shared" ca="1" si="88"/>
        <v>3.9384243208557672</v>
      </c>
      <c r="AZ63" s="41">
        <f t="shared" si="89"/>
        <v>0.40237534749438031</v>
      </c>
      <c r="BA63" s="179">
        <f t="shared" ca="1" si="96"/>
        <v>0.75655363747458737</v>
      </c>
      <c r="BB63" s="156">
        <f t="shared" ca="1" si="97"/>
        <v>0.6315729207909655</v>
      </c>
      <c r="BC63" s="156">
        <f t="shared" ca="1" si="98"/>
        <v>0.20373343041516634</v>
      </c>
    </row>
    <row r="64" spans="1:55" ht="14.5">
      <c r="A64" s="41">
        <v>0</v>
      </c>
      <c r="B64" s="41">
        <f t="shared" ref="B64:C68" si="100">A64/60</f>
        <v>0</v>
      </c>
      <c r="C64" s="41">
        <f t="shared" si="100"/>
        <v>0</v>
      </c>
      <c r="D64" s="41">
        <v>17267.217924997112</v>
      </c>
      <c r="E64" s="41" t="e">
        <f t="shared" ca="1" si="90"/>
        <v>#NUM!</v>
      </c>
      <c r="F64" s="7">
        <f t="shared" si="91"/>
        <v>1600</v>
      </c>
      <c r="G64" s="41"/>
      <c r="H64" s="7">
        <f t="shared" si="92"/>
        <v>10000</v>
      </c>
      <c r="I64" s="6">
        <v>15</v>
      </c>
      <c r="J64" s="41">
        <f t="shared" si="54"/>
        <v>0.6290422417728756</v>
      </c>
      <c r="K64" s="41">
        <f t="shared" si="55"/>
        <v>696.40583383764192</v>
      </c>
      <c r="L64" s="6">
        <f t="shared" si="99"/>
        <v>350</v>
      </c>
      <c r="M64" s="41">
        <f t="shared" si="56"/>
        <v>412.60931405546143</v>
      </c>
      <c r="N64" s="41">
        <f t="shared" si="57"/>
        <v>403.10594261597231</v>
      </c>
      <c r="O64" s="41">
        <f t="shared" si="58"/>
        <v>3138566.7407942703</v>
      </c>
      <c r="P64" s="41">
        <f t="shared" si="59"/>
        <v>20151803.897053998</v>
      </c>
      <c r="Q64" s="41">
        <f t="shared" si="60"/>
        <v>2.5961697059493799E-3</v>
      </c>
      <c r="R64" s="41">
        <f t="shared" si="61"/>
        <v>2.0783765292566599E-2</v>
      </c>
      <c r="S64" s="24">
        <f t="shared" ca="1" si="93"/>
        <v>1.5089346797917064E-15</v>
      </c>
      <c r="T64" s="10">
        <f t="shared" ca="1" si="62"/>
        <v>1.5089346797917064E-15</v>
      </c>
      <c r="U64" s="41">
        <f t="shared" ca="1" si="63"/>
        <v>0.18624101658304604</v>
      </c>
      <c r="V64" s="41">
        <f t="shared" ca="1" si="64"/>
        <v>2.2974401481902131E-2</v>
      </c>
      <c r="W64" s="41">
        <f t="shared" ca="1" si="65"/>
        <v>8.1064578213171572</v>
      </c>
      <c r="X64" s="20">
        <f t="shared" ca="1" si="66"/>
        <v>2130.0570860419884</v>
      </c>
      <c r="Y64" s="41">
        <f t="shared" si="67"/>
        <v>0.57365702885922276</v>
      </c>
      <c r="Z64" s="41">
        <f t="shared" ca="1" si="68"/>
        <v>193.99674650302629</v>
      </c>
      <c r="AA64" s="14">
        <f t="shared" ca="1" si="69"/>
        <v>2130.0570860419889</v>
      </c>
      <c r="AB64" s="14">
        <f t="shared" si="94"/>
        <v>4016.4588107467653</v>
      </c>
      <c r="AC64" s="25">
        <f t="shared" ca="1" si="70"/>
        <v>1483384.181126849</v>
      </c>
      <c r="AD64" s="41">
        <f t="shared" si="71"/>
        <v>2797085.3471726449</v>
      </c>
      <c r="AE64" s="5">
        <f t="shared" ca="1" si="72"/>
        <v>53.033211254218124</v>
      </c>
      <c r="AF64" s="7">
        <f t="shared" ca="1" si="73"/>
        <v>2130.0570860419889</v>
      </c>
      <c r="AG64" s="41">
        <f t="shared" ca="1" si="74"/>
        <v>1886.4017247047764</v>
      </c>
      <c r="AH64" s="41">
        <f t="shared" ca="1" si="75"/>
        <v>1313701.1660457959</v>
      </c>
      <c r="AI64" s="41">
        <f t="shared" ca="1" si="76"/>
        <v>1725.9758988402195</v>
      </c>
      <c r="AJ64" s="13">
        <f t="shared" ca="1" si="77"/>
        <v>1.8340459329067035E-14</v>
      </c>
      <c r="AK64" s="11"/>
      <c r="AL64" s="6">
        <v>0</v>
      </c>
      <c r="AM64" s="41">
        <f t="shared" si="78"/>
        <v>872.49605798188577</v>
      </c>
      <c r="AN64" s="41">
        <f t="shared" ca="1" si="79"/>
        <v>418.30754664162043</v>
      </c>
      <c r="AO64" s="6">
        <v>100</v>
      </c>
      <c r="AP64" s="67">
        <f t="shared" si="95"/>
        <v>0.81029560670009015</v>
      </c>
      <c r="AQ64" s="11">
        <f t="shared" si="80"/>
        <v>0.98330272071837588</v>
      </c>
      <c r="AR64" s="11">
        <f t="shared" si="81"/>
        <v>0.68770269343653956</v>
      </c>
      <c r="AS64" s="11">
        <f t="shared" si="82"/>
        <v>0.69938044403469313</v>
      </c>
      <c r="AT64" s="11">
        <f t="shared" si="83"/>
        <v>510.00962215499999</v>
      </c>
      <c r="AU64" s="11">
        <f t="shared" si="84"/>
        <v>1455.3301939042735</v>
      </c>
      <c r="AV64" s="11">
        <f t="shared" si="85"/>
        <v>1.6623573774260621E-3</v>
      </c>
      <c r="AW64" s="11">
        <f t="shared" si="86"/>
        <v>3.6885478983619832E-7</v>
      </c>
      <c r="AX64" s="41">
        <f t="shared" ca="1" si="87"/>
        <v>3.1724005149548384</v>
      </c>
      <c r="AY64" s="41">
        <f t="shared" ca="1" si="88"/>
        <v>4.2732865214689681</v>
      </c>
      <c r="AZ64" s="41">
        <f t="shared" si="89"/>
        <v>0.41620617297250356</v>
      </c>
      <c r="BA64" s="179">
        <f t="shared" ca="1" si="96"/>
        <v>0.74774534435387408</v>
      </c>
      <c r="BB64" s="156">
        <f t="shared" ca="1" si="97"/>
        <v>0.61391168849489519</v>
      </c>
      <c r="BC64" s="156">
        <f t="shared" ca="1" si="98"/>
        <v>0.11010723824377067</v>
      </c>
    </row>
    <row r="65" spans="1:55" ht="14.5">
      <c r="A65" s="41">
        <v>0</v>
      </c>
      <c r="B65" s="41">
        <f t="shared" si="100"/>
        <v>0</v>
      </c>
      <c r="C65" s="41">
        <f t="shared" si="100"/>
        <v>0</v>
      </c>
      <c r="D65" s="41">
        <v>17267.217924997112</v>
      </c>
      <c r="E65" s="41" t="e">
        <f t="shared" ca="1" si="90"/>
        <v>#NUM!</v>
      </c>
      <c r="F65" s="7">
        <f t="shared" si="91"/>
        <v>1700</v>
      </c>
      <c r="G65" s="41"/>
      <c r="H65" s="7">
        <f t="shared" si="92"/>
        <v>10000</v>
      </c>
      <c r="I65" s="6">
        <v>15</v>
      </c>
      <c r="J65" s="41">
        <f t="shared" si="54"/>
        <v>0.65527747500421396</v>
      </c>
      <c r="K65" s="41">
        <f t="shared" si="55"/>
        <v>725.45057560713337</v>
      </c>
      <c r="L65" s="6">
        <f t="shared" si="99"/>
        <v>365</v>
      </c>
      <c r="M65" s="41">
        <f t="shared" si="56"/>
        <v>429.81785883801683</v>
      </c>
      <c r="N65" s="41">
        <f t="shared" si="57"/>
        <v>437.43150482067557</v>
      </c>
      <c r="O65" s="41">
        <f t="shared" si="58"/>
        <v>3269465.7885669461</v>
      </c>
      <c r="P65" s="41">
        <f t="shared" si="59"/>
        <v>20992267.76444288</v>
      </c>
      <c r="Q65" s="41">
        <f t="shared" si="60"/>
        <v>2.572298474167367E-3</v>
      </c>
      <c r="R65" s="41">
        <f t="shared" si="61"/>
        <v>2.0638636906379699E-2</v>
      </c>
      <c r="S65" s="24">
        <f t="shared" ca="1" si="93"/>
        <v>0</v>
      </c>
      <c r="T65" s="10">
        <f t="shared" ca="1" si="62"/>
        <v>0</v>
      </c>
      <c r="U65" s="41">
        <f t="shared" ca="1" si="63"/>
        <v>0.17162655116540482</v>
      </c>
      <c r="V65" s="41">
        <f t="shared" ca="1" si="64"/>
        <v>2.249896070415058E-2</v>
      </c>
      <c r="W65" s="41">
        <f t="shared" ca="1" si="65"/>
        <v>7.6281990720461756</v>
      </c>
      <c r="X65" s="20">
        <f t="shared" ca="1" si="66"/>
        <v>2263.603474675102</v>
      </c>
      <c r="Y65" s="41">
        <f t="shared" si="67"/>
        <v>0.57165066083173188</v>
      </c>
      <c r="Z65" s="41">
        <f t="shared" ca="1" si="68"/>
        <v>193.99674650302629</v>
      </c>
      <c r="AA65" s="14">
        <f t="shared" ca="1" si="69"/>
        <v>2263.603474675102</v>
      </c>
      <c r="AB65" s="14">
        <f t="shared" si="94"/>
        <v>4016.4588107467653</v>
      </c>
      <c r="AC65" s="25">
        <f t="shared" ca="1" si="70"/>
        <v>1642132.44364936</v>
      </c>
      <c r="AD65" s="41">
        <f t="shared" si="71"/>
        <v>2913742.3561585834</v>
      </c>
      <c r="AE65" s="5">
        <f t="shared" ca="1" si="72"/>
        <v>56.358189672415406</v>
      </c>
      <c r="AF65" s="7">
        <f t="shared" ca="1" si="73"/>
        <v>2263.603474675102</v>
      </c>
      <c r="AG65" s="41">
        <f t="shared" ca="1" si="74"/>
        <v>1752.8553360716633</v>
      </c>
      <c r="AH65" s="41">
        <f t="shared" ca="1" si="75"/>
        <v>1271609.9125092234</v>
      </c>
      <c r="AI65" s="41">
        <f t="shared" ca="1" si="76"/>
        <v>1842.4121436528515</v>
      </c>
      <c r="AJ65" s="13">
        <f t="shared" ca="1" si="77"/>
        <v>0</v>
      </c>
      <c r="AK65" s="11"/>
      <c r="AL65" s="6">
        <v>0</v>
      </c>
      <c r="AM65" s="41">
        <f t="shared" si="78"/>
        <v>837.56408115110753</v>
      </c>
      <c r="AN65" s="41">
        <f t="shared" ca="1" si="79"/>
        <v>428.6495095000675</v>
      </c>
      <c r="AO65" s="6">
        <v>100</v>
      </c>
      <c r="AP65" s="67">
        <f t="shared" si="95"/>
        <v>0.81392883703595453</v>
      </c>
      <c r="AQ65" s="11">
        <f t="shared" si="80"/>
        <v>0.98330272071837588</v>
      </c>
      <c r="AR65" s="11">
        <f t="shared" si="81"/>
        <v>0.68770269343653956</v>
      </c>
      <c r="AS65" s="11">
        <f t="shared" si="82"/>
        <v>0.69938044403469313</v>
      </c>
      <c r="AT65" s="11">
        <f t="shared" si="83"/>
        <v>510.00962215499999</v>
      </c>
      <c r="AU65" s="11">
        <f t="shared" si="84"/>
        <v>1455.3301939042735</v>
      </c>
      <c r="AV65" s="11">
        <f t="shared" si="85"/>
        <v>1.6623573774260621E-3</v>
      </c>
      <c r="AW65" s="11">
        <f t="shared" si="86"/>
        <v>3.6885478983619832E-7</v>
      </c>
      <c r="AX65" s="41">
        <f t="shared" ca="1" si="87"/>
        <v>3.4318217946375098</v>
      </c>
      <c r="AY65" s="41">
        <f t="shared" ca="1" si="88"/>
        <v>4.6227321392666854</v>
      </c>
      <c r="AZ65" s="41">
        <f t="shared" si="89"/>
        <v>0.42966249455123723</v>
      </c>
      <c r="BA65" s="179">
        <f t="shared" ca="1" si="96"/>
        <v>0.73813613577234072</v>
      </c>
      <c r="BB65" s="156">
        <f t="shared" ca="1" si="97"/>
        <v>0.59502290597459417</v>
      </c>
      <c r="BC65" s="156">
        <f t="shared" ca="1" si="98"/>
        <v>2.4787055933160218E-2</v>
      </c>
    </row>
    <row r="66" spans="1:55" ht="14.5">
      <c r="A66" s="41">
        <v>0</v>
      </c>
      <c r="B66" s="41">
        <f t="shared" si="100"/>
        <v>0</v>
      </c>
      <c r="C66" s="41">
        <f t="shared" si="100"/>
        <v>0</v>
      </c>
      <c r="D66" s="41">
        <v>17267.217924997112</v>
      </c>
      <c r="E66" s="41" t="e">
        <f t="shared" ca="1" si="90"/>
        <v>#NUM!</v>
      </c>
      <c r="F66" s="7">
        <f t="shared" si="91"/>
        <v>1800</v>
      </c>
      <c r="G66" s="41"/>
      <c r="H66" s="7">
        <f t="shared" si="92"/>
        <v>10000</v>
      </c>
      <c r="I66" s="6">
        <v>15</v>
      </c>
      <c r="J66" s="41">
        <f t="shared" si="54"/>
        <v>0.68143681683257007</v>
      </c>
      <c r="K66" s="41">
        <f t="shared" si="55"/>
        <v>754.41129882863993</v>
      </c>
      <c r="L66" s="6">
        <f t="shared" si="99"/>
        <v>380</v>
      </c>
      <c r="M66" s="41">
        <f t="shared" si="56"/>
        <v>446.97662397518792</v>
      </c>
      <c r="N66" s="41">
        <f t="shared" si="57"/>
        <v>473.05405313431106</v>
      </c>
      <c r="O66" s="41">
        <f t="shared" si="58"/>
        <v>3399986.1809529183</v>
      </c>
      <c r="P66" s="41">
        <f t="shared" si="59"/>
        <v>21830300.398173977</v>
      </c>
      <c r="Q66" s="41">
        <f t="shared" si="60"/>
        <v>2.5491028099127178E-3</v>
      </c>
      <c r="R66" s="41">
        <f t="shared" si="61"/>
        <v>2.0497615724458667E-2</v>
      </c>
      <c r="S66" s="24">
        <f t="shared" ca="1" si="93"/>
        <v>0</v>
      </c>
      <c r="T66" s="10">
        <f t="shared" ca="1" si="62"/>
        <v>0</v>
      </c>
      <c r="U66" s="41">
        <f t="shared" ca="1" si="63"/>
        <v>0.15870249931491487</v>
      </c>
      <c r="V66" s="41">
        <f t="shared" ca="1" si="64"/>
        <v>2.2088311484186458E-2</v>
      </c>
      <c r="W66" s="41">
        <f t="shared" ca="1" si="65"/>
        <v>7.1849086078188336</v>
      </c>
      <c r="X66" s="20">
        <f t="shared" ca="1" si="66"/>
        <v>2403.2620131321373</v>
      </c>
      <c r="Y66" s="41">
        <f t="shared" si="67"/>
        <v>0.56969430507893659</v>
      </c>
      <c r="Z66" s="41">
        <f t="shared" ca="1" si="68"/>
        <v>193.99674650302629</v>
      </c>
      <c r="AA66" s="14">
        <f t="shared" ca="1" si="69"/>
        <v>2403.2620131321373</v>
      </c>
      <c r="AB66" s="14">
        <f t="shared" si="94"/>
        <v>4016.4588107467653</v>
      </c>
      <c r="AC66" s="25">
        <f t="shared" ca="1" si="70"/>
        <v>1813048.0167525476</v>
      </c>
      <c r="AD66" s="41">
        <f t="shared" si="71"/>
        <v>3030061.9081072016</v>
      </c>
      <c r="AE66" s="5">
        <f t="shared" ca="1" si="72"/>
        <v>59.835345670713046</v>
      </c>
      <c r="AF66" s="7">
        <f t="shared" ca="1" si="73"/>
        <v>2403.2620131321373</v>
      </c>
      <c r="AG66" s="41">
        <f t="shared" ca="1" si="74"/>
        <v>1613.1967976146279</v>
      </c>
      <c r="AH66" s="41">
        <f t="shared" ca="1" si="75"/>
        <v>1217013.891354654</v>
      </c>
      <c r="AI66" s="41">
        <f t="shared" ca="1" si="76"/>
        <v>1964.5468612568595</v>
      </c>
      <c r="AJ66" s="13">
        <f t="shared" ca="1" si="77"/>
        <v>0</v>
      </c>
      <c r="AK66" s="11"/>
      <c r="AL66" s="6">
        <v>0</v>
      </c>
      <c r="AM66" s="41">
        <f t="shared" si="78"/>
        <v>805.41124678588096</v>
      </c>
      <c r="AN66" s="41">
        <f t="shared" ca="1" si="79"/>
        <v>439.51892691504901</v>
      </c>
      <c r="AO66" s="6">
        <v>100</v>
      </c>
      <c r="AP66" s="67">
        <f t="shared" si="95"/>
        <v>0.81745013673997757</v>
      </c>
      <c r="AQ66" s="11">
        <f t="shared" si="80"/>
        <v>0.98330272071837588</v>
      </c>
      <c r="AR66" s="11">
        <f t="shared" si="81"/>
        <v>0.68770269343653956</v>
      </c>
      <c r="AS66" s="11">
        <f t="shared" si="82"/>
        <v>0.69938044403469313</v>
      </c>
      <c r="AT66" s="11">
        <f t="shared" si="83"/>
        <v>510.00962215499999</v>
      </c>
      <c r="AU66" s="11">
        <f t="shared" si="84"/>
        <v>1455.3301939042735</v>
      </c>
      <c r="AV66" s="11">
        <f t="shared" si="85"/>
        <v>1.6623573774260621E-3</v>
      </c>
      <c r="AW66" s="11">
        <f t="shared" si="86"/>
        <v>3.6885478983619832E-7</v>
      </c>
      <c r="AX66" s="41">
        <f t="shared" ca="1" si="87"/>
        <v>3.7018518272259882</v>
      </c>
      <c r="AY66" s="41">
        <f t="shared" ca="1" si="88"/>
        <v>4.9864679579984506</v>
      </c>
      <c r="AZ66" s="41">
        <f t="shared" si="89"/>
        <v>0.44274683300048817</v>
      </c>
      <c r="BA66" s="179">
        <f t="shared" ca="1" si="96"/>
        <v>0.72733006117101695</v>
      </c>
      <c r="BB66" s="156">
        <f t="shared" ca="1" si="97"/>
        <v>0.57449398759119497</v>
      </c>
      <c r="BC66" s="156">
        <f t="shared" ca="1" si="98"/>
        <v>-1.1208845122418154E-2</v>
      </c>
    </row>
    <row r="67" spans="1:55" ht="14.5">
      <c r="A67" s="41">
        <v>0</v>
      </c>
      <c r="B67" s="41">
        <f t="shared" si="100"/>
        <v>0</v>
      </c>
      <c r="C67" s="41">
        <f t="shared" si="100"/>
        <v>0</v>
      </c>
      <c r="D67" s="41">
        <v>17267.217924997112</v>
      </c>
      <c r="E67" s="41" t="e">
        <f t="shared" ca="1" si="90"/>
        <v>#NUM!</v>
      </c>
      <c r="F67" s="7">
        <f t="shared" si="91"/>
        <v>1900</v>
      </c>
      <c r="G67" s="41"/>
      <c r="H67" s="7">
        <f t="shared" si="92"/>
        <v>10000</v>
      </c>
      <c r="I67" s="6">
        <v>15</v>
      </c>
      <c r="J67" s="41">
        <f t="shared" si="54"/>
        <v>0.70751975056782601</v>
      </c>
      <c r="K67" s="41">
        <f t="shared" si="55"/>
        <v>783.28743148014371</v>
      </c>
      <c r="L67" s="6">
        <f t="shared" si="99"/>
        <v>395</v>
      </c>
      <c r="M67" s="41">
        <f t="shared" si="56"/>
        <v>464.0852705530815</v>
      </c>
      <c r="N67" s="41">
        <f t="shared" si="57"/>
        <v>509.96070799166455</v>
      </c>
      <c r="O67" s="41">
        <f t="shared" si="58"/>
        <v>3530125.3399593062</v>
      </c>
      <c r="P67" s="41">
        <f t="shared" si="59"/>
        <v>22665885.245721485</v>
      </c>
      <c r="Q67" s="41">
        <f t="shared" si="60"/>
        <v>2.5265189101905563E-3</v>
      </c>
      <c r="R67" s="41">
        <f t="shared" si="61"/>
        <v>2.0360313847856148E-2</v>
      </c>
      <c r="S67" s="24">
        <f t="shared" ca="1" si="93"/>
        <v>-1.5089346797917064E-15</v>
      </c>
      <c r="T67" s="10">
        <f t="shared" ca="1" si="62"/>
        <v>-1.5089346797917064E-15</v>
      </c>
      <c r="U67" s="41">
        <f t="shared" ca="1" si="63"/>
        <v>0.147216950966922</v>
      </c>
      <c r="V67" s="41">
        <f t="shared" ca="1" si="64"/>
        <v>2.1729098819704914E-2</v>
      </c>
      <c r="W67" s="41">
        <f t="shared" ca="1" si="65"/>
        <v>6.7751061462990414</v>
      </c>
      <c r="X67" s="20">
        <f t="shared" ca="1" si="66"/>
        <v>2548.6269221670391</v>
      </c>
      <c r="Y67" s="41">
        <f t="shared" si="67"/>
        <v>0.56778306996810435</v>
      </c>
      <c r="Z67" s="41">
        <f t="shared" ca="1" si="68"/>
        <v>193.99674650302629</v>
      </c>
      <c r="AA67" s="14">
        <f t="shared" ca="1" si="69"/>
        <v>2548.6269221670386</v>
      </c>
      <c r="AB67" s="14">
        <f t="shared" si="94"/>
        <v>4016.4588107467653</v>
      </c>
      <c r="AC67" s="25">
        <f t="shared" ca="1" si="70"/>
        <v>1996307.4356653639</v>
      </c>
      <c r="AD67" s="41">
        <f t="shared" si="71"/>
        <v>3146041.7055156264</v>
      </c>
      <c r="AE67" s="5">
        <f t="shared" ca="1" si="72"/>
        <v>63.454576338433355</v>
      </c>
      <c r="AF67" s="7">
        <f t="shared" ca="1" si="73"/>
        <v>2548.6269221670386</v>
      </c>
      <c r="AG67" s="41">
        <f t="shared" ca="1" si="74"/>
        <v>1467.8318885797266</v>
      </c>
      <c r="AH67" s="41">
        <f t="shared" ca="1" si="75"/>
        <v>1149734.2698502624</v>
      </c>
      <c r="AI67" s="41">
        <f t="shared" ca="1" si="76"/>
        <v>2092.0689056008673</v>
      </c>
      <c r="AJ67" s="13">
        <f t="shared" ca="1" si="77"/>
        <v>-2.0628562516293007E-14</v>
      </c>
      <c r="AK67" s="11"/>
      <c r="AL67" s="6">
        <v>0</v>
      </c>
      <c r="AM67" s="41">
        <f t="shared" si="78"/>
        <v>775.71951286228909</v>
      </c>
      <c r="AN67" s="41">
        <f t="shared" ca="1" si="79"/>
        <v>450.79407564640195</v>
      </c>
      <c r="AO67" s="6">
        <v>100</v>
      </c>
      <c r="AP67" s="67">
        <f t="shared" si="95"/>
        <v>0.82086118113436135</v>
      </c>
      <c r="AQ67" s="11">
        <f t="shared" si="80"/>
        <v>0.98330272071837588</v>
      </c>
      <c r="AR67" s="11">
        <f t="shared" si="81"/>
        <v>0.68770269343653956</v>
      </c>
      <c r="AS67" s="11">
        <f t="shared" si="82"/>
        <v>0.69938044403469313</v>
      </c>
      <c r="AT67" s="11">
        <f t="shared" si="83"/>
        <v>510.00962215499999</v>
      </c>
      <c r="AU67" s="11">
        <f t="shared" si="84"/>
        <v>1455.3301939042735</v>
      </c>
      <c r="AV67" s="11">
        <f t="shared" si="85"/>
        <v>1.6623573774260621E-3</v>
      </c>
      <c r="AW67" s="11">
        <f t="shared" si="86"/>
        <v>3.6885478983619832E-7</v>
      </c>
      <c r="AX67" s="41">
        <f t="shared" ca="1" si="87"/>
        <v>3.982297244059271</v>
      </c>
      <c r="AY67" s="41">
        <f t="shared" ca="1" si="88"/>
        <v>5.3642335062361308</v>
      </c>
      <c r="AZ67" s="41">
        <f t="shared" si="89"/>
        <v>0.45546183423967157</v>
      </c>
      <c r="BA67" s="179">
        <f t="shared" ca="1" si="96"/>
        <v>0.71502095740485183</v>
      </c>
      <c r="BB67" s="156">
        <f t="shared" ca="1" si="97"/>
        <v>0.55118365993254059</v>
      </c>
      <c r="BC67" s="156">
        <f t="shared" ca="1" si="98"/>
        <v>8.2715897002003658E-2</v>
      </c>
    </row>
    <row r="68" spans="1:55" ht="14.5">
      <c r="A68" s="41">
        <v>0</v>
      </c>
      <c r="B68" s="41">
        <f t="shared" si="100"/>
        <v>0</v>
      </c>
      <c r="C68" s="41">
        <f t="shared" si="100"/>
        <v>0</v>
      </c>
      <c r="D68" s="41">
        <v>17267.217924997112</v>
      </c>
      <c r="E68" s="41" t="e">
        <f t="shared" ca="1" si="90"/>
        <v>#NUM!</v>
      </c>
      <c r="F68" s="7">
        <f t="shared" si="91"/>
        <v>2000</v>
      </c>
      <c r="G68" s="41"/>
      <c r="H68" s="7">
        <f t="shared" si="92"/>
        <v>10000</v>
      </c>
      <c r="I68" s="6">
        <v>15</v>
      </c>
      <c r="J68" s="41">
        <f t="shared" si="54"/>
        <v>0.73352595294908984</v>
      </c>
      <c r="K68" s="41">
        <f t="shared" si="55"/>
        <v>812.07861568302224</v>
      </c>
      <c r="L68" s="6">
        <f t="shared" si="99"/>
        <v>410</v>
      </c>
      <c r="M68" s="41">
        <f t="shared" si="56"/>
        <v>481.14358653433976</v>
      </c>
      <c r="N68" s="41">
        <f t="shared" si="57"/>
        <v>548.13880460469341</v>
      </c>
      <c r="O68" s="41">
        <f t="shared" si="58"/>
        <v>3659881.652696203</v>
      </c>
      <c r="P68" s="41">
        <f t="shared" si="59"/>
        <v>23499011.951198846</v>
      </c>
      <c r="Q68" s="41">
        <f t="shared" si="60"/>
        <v>2.5044913977353045E-3</v>
      </c>
      <c r="R68" s="41">
        <f t="shared" si="61"/>
        <v>2.0226394602987044E-2</v>
      </c>
      <c r="S68" s="24">
        <f t="shared" ca="1" si="93"/>
        <v>0</v>
      </c>
      <c r="T68" s="10">
        <f t="shared" ca="1" si="62"/>
        <v>0</v>
      </c>
      <c r="U68" s="41">
        <f t="shared" ca="1" si="63"/>
        <v>0.13696322886245607</v>
      </c>
      <c r="V68" s="41">
        <f t="shared" ca="1" si="64"/>
        <v>2.1411146908388922E-2</v>
      </c>
      <c r="W68" s="41">
        <f t="shared" ca="1" si="65"/>
        <v>6.3968188835691775</v>
      </c>
      <c r="X68" s="20">
        <f t="shared" ca="1" si="66"/>
        <v>2699.3445084633495</v>
      </c>
      <c r="Y68" s="41">
        <f t="shared" si="67"/>
        <v>0.56591270278594719</v>
      </c>
      <c r="Z68" s="41">
        <f t="shared" ca="1" si="68"/>
        <v>193.99674650302632</v>
      </c>
      <c r="AA68" s="14">
        <f t="shared" ca="1" si="69"/>
        <v>2699.3445084633495</v>
      </c>
      <c r="AB68" s="14">
        <f t="shared" si="94"/>
        <v>4016.4588107467653</v>
      </c>
      <c r="AC68" s="25">
        <f t="shared" ca="1" si="70"/>
        <v>2192079.9516844847</v>
      </c>
      <c r="AD68" s="41">
        <f t="shared" si="71"/>
        <v>3261680.3109791111</v>
      </c>
      <c r="AE68" s="5">
        <f t="shared" ca="1" si="72"/>
        <v>67.207075577141808</v>
      </c>
      <c r="AF68" s="7">
        <f t="shared" ca="1" si="73"/>
        <v>2699.3445084633495</v>
      </c>
      <c r="AG68" s="41">
        <f t="shared" ca="1" si="74"/>
        <v>1317.1143022834158</v>
      </c>
      <c r="AH68" s="41">
        <f t="shared" ca="1" si="75"/>
        <v>1069600.3592946264</v>
      </c>
      <c r="AI68" s="41">
        <f t="shared" ca="1" si="76"/>
        <v>2224.7015912391703</v>
      </c>
      <c r="AJ68" s="13">
        <f t="shared" ca="1" si="77"/>
        <v>0</v>
      </c>
      <c r="AK68" s="11"/>
      <c r="AL68" s="6">
        <v>0</v>
      </c>
      <c r="AM68" s="41">
        <f t="shared" si="78"/>
        <v>748.21739305114147</v>
      </c>
      <c r="AN68" s="41">
        <f t="shared" ca="1" si="79"/>
        <v>462.37789580936061</v>
      </c>
      <c r="AO68" s="6">
        <v>100</v>
      </c>
      <c r="AP68" s="67">
        <f t="shared" si="95"/>
        <v>0.82416363834404449</v>
      </c>
      <c r="AQ68" s="11">
        <f t="shared" si="80"/>
        <v>0.98330272071837588</v>
      </c>
      <c r="AR68" s="11">
        <f t="shared" si="81"/>
        <v>0.68770269343653956</v>
      </c>
      <c r="AS68" s="11">
        <f t="shared" si="82"/>
        <v>0.69938044403469313</v>
      </c>
      <c r="AT68" s="11">
        <f t="shared" si="83"/>
        <v>510.00962215499999</v>
      </c>
      <c r="AU68" s="11">
        <f t="shared" si="84"/>
        <v>1455.3301939042735</v>
      </c>
      <c r="AV68" s="11">
        <f t="shared" si="85"/>
        <v>1.6623573774260621E-3</v>
      </c>
      <c r="AW68" s="11">
        <f t="shared" si="86"/>
        <v>3.6885478983619832E-7</v>
      </c>
      <c r="AX68" s="41">
        <f t="shared" ca="1" si="87"/>
        <v>4.2729840149927876</v>
      </c>
      <c r="AY68" s="41">
        <f t="shared" ca="1" si="88"/>
        <v>5.7557943619174372</v>
      </c>
      <c r="AZ68" s="41">
        <f t="shared" si="89"/>
        <v>0.46781025253608061</v>
      </c>
      <c r="BA68" s="179">
        <f ca="1">2.12 - (0.00251*AF68) + (1.94*10^(-6)*AF68^2) - (7.84*10^(-10)*AF68^3) + (1.7*10^(-13)*AF68^4) - (1.89*10^(-17)*AF68^5) + (8.37*10^(-22)*AF68^6)</f>
        <v>0.70101619899544487</v>
      </c>
      <c r="BB68" s="156">
        <f t="shared" ca="1" si="97"/>
        <v>0.52308580874426092</v>
      </c>
      <c r="BC68" s="156">
        <f t="shared" ca="1" si="98"/>
        <v>0.45029626302468273</v>
      </c>
    </row>
    <row r="69" spans="1:55" ht="14.5">
      <c r="B69" s="135">
        <f>B68-B48</f>
        <v>0</v>
      </c>
      <c r="X69" s="32">
        <f ca="1">AVERAGE(X48:X68)</f>
        <v>1793.3817558205399</v>
      </c>
      <c r="AC69" s="3"/>
      <c r="AD69" s="3"/>
      <c r="AN69" s="32">
        <f ca="1">SUM(AN48:AN68)</f>
        <v>10579.630325663702</v>
      </c>
      <c r="AP69" s="145"/>
    </row>
    <row r="70" spans="1:55" s="89" customFormat="1" ht="14.5">
      <c r="A70" s="102" t="s">
        <v>239</v>
      </c>
      <c r="B70" s="82" t="s">
        <v>22</v>
      </c>
      <c r="C70" s="81">
        <v>3000</v>
      </c>
      <c r="D70" s="82" t="s">
        <v>9</v>
      </c>
      <c r="E70" s="82"/>
      <c r="F70" s="82"/>
      <c r="G70" s="82"/>
      <c r="H70" s="82"/>
      <c r="I70" s="83"/>
      <c r="J70" s="82"/>
      <c r="K70" s="82"/>
      <c r="L70" s="84" t="s">
        <v>60</v>
      </c>
      <c r="M70" s="82"/>
      <c r="N70" s="82"/>
      <c r="O70" s="82"/>
      <c r="P70" s="82"/>
      <c r="Q70" s="81"/>
      <c r="R70" s="82"/>
      <c r="S70" s="85"/>
      <c r="T70" s="86"/>
      <c r="U70" s="81"/>
      <c r="V70" s="81"/>
      <c r="W70" s="81"/>
      <c r="X70" s="81"/>
      <c r="Y70" s="82"/>
      <c r="Z70" s="82"/>
      <c r="AA70" s="87"/>
      <c r="AB70" s="87"/>
      <c r="AC70" s="82"/>
      <c r="AD70" s="82"/>
      <c r="AE70" s="83"/>
      <c r="AF70" s="81"/>
      <c r="AG70" s="82"/>
      <c r="AH70" s="82"/>
      <c r="AI70" s="82"/>
      <c r="AJ70" s="81" t="s">
        <v>61</v>
      </c>
      <c r="AK70" s="88"/>
      <c r="AL70" s="83"/>
      <c r="AM70" s="82"/>
      <c r="AN70" s="82"/>
      <c r="AO70" s="82"/>
      <c r="AP70" s="53"/>
      <c r="AQ70" s="88"/>
      <c r="AR70" s="88"/>
      <c r="AS70" s="88"/>
      <c r="AT70" s="88"/>
      <c r="AU70" s="88"/>
      <c r="AV70" s="88"/>
      <c r="AW70" s="88"/>
      <c r="AX70" s="82"/>
      <c r="AY70" s="82"/>
      <c r="AZ70" s="82"/>
    </row>
    <row r="71" spans="1:55" ht="14.5">
      <c r="A71" s="41" t="s">
        <v>2</v>
      </c>
      <c r="B71" s="41" t="s">
        <v>2</v>
      </c>
      <c r="C71" s="41" t="s">
        <v>2</v>
      </c>
      <c r="D71" s="41" t="s">
        <v>23</v>
      </c>
      <c r="E71" s="41" t="s">
        <v>24</v>
      </c>
      <c r="F71" s="41" t="s">
        <v>25</v>
      </c>
      <c r="G71" s="41"/>
      <c r="H71" s="41" t="s">
        <v>0</v>
      </c>
      <c r="I71" s="5" t="s">
        <v>26</v>
      </c>
      <c r="J71" s="41" t="s">
        <v>27</v>
      </c>
      <c r="K71" s="41" t="s">
        <v>28</v>
      </c>
      <c r="L71" s="12" t="s">
        <v>29</v>
      </c>
      <c r="M71" s="13" t="s">
        <v>30</v>
      </c>
      <c r="N71" s="41" t="s">
        <v>31</v>
      </c>
      <c r="O71" s="41" t="s">
        <v>32</v>
      </c>
      <c r="P71" s="41" t="s">
        <v>33</v>
      </c>
      <c r="Q71" s="41" t="s">
        <v>34</v>
      </c>
      <c r="R71" s="41" t="s">
        <v>13</v>
      </c>
      <c r="S71" s="24" t="s">
        <v>35</v>
      </c>
      <c r="T71" s="10" t="s">
        <v>35</v>
      </c>
      <c r="U71" s="41" t="s">
        <v>36</v>
      </c>
      <c r="V71" s="41" t="s">
        <v>37</v>
      </c>
      <c r="W71" s="41" t="s">
        <v>38</v>
      </c>
      <c r="X71" s="41" t="s">
        <v>39</v>
      </c>
      <c r="Y71" s="41" t="s">
        <v>40</v>
      </c>
      <c r="Z71" s="35" t="s">
        <v>108</v>
      </c>
      <c r="AA71" s="35" t="s">
        <v>109</v>
      </c>
      <c r="AB71" s="9" t="s">
        <v>110</v>
      </c>
      <c r="AC71" s="7" t="s">
        <v>111</v>
      </c>
      <c r="AD71" s="7" t="s">
        <v>112</v>
      </c>
      <c r="AE71" s="5" t="s">
        <v>41</v>
      </c>
      <c r="AF71" s="7" t="s">
        <v>113</v>
      </c>
      <c r="AG71" s="7" t="s">
        <v>114</v>
      </c>
      <c r="AH71" s="7" t="s">
        <v>115</v>
      </c>
      <c r="AI71" s="41" t="s">
        <v>42</v>
      </c>
      <c r="AJ71" s="41" t="s">
        <v>43</v>
      </c>
      <c r="AK71" s="36"/>
      <c r="AL71" s="5" t="s">
        <v>44</v>
      </c>
      <c r="AM71" s="41" t="s">
        <v>45</v>
      </c>
      <c r="AN71" s="41" t="s">
        <v>46</v>
      </c>
      <c r="AO71" s="41" t="s">
        <v>47</v>
      </c>
      <c r="AP71" s="53"/>
      <c r="AQ71" s="15" t="s">
        <v>62</v>
      </c>
      <c r="AR71" s="16" t="s">
        <v>63</v>
      </c>
      <c r="AS71" s="16" t="s">
        <v>64</v>
      </c>
      <c r="AT71" s="17" t="s">
        <v>65</v>
      </c>
      <c r="AU71" s="18" t="s">
        <v>66</v>
      </c>
      <c r="AV71" s="18" t="s">
        <v>67</v>
      </c>
      <c r="AW71" s="19" t="s">
        <v>68</v>
      </c>
      <c r="AX71" s="7" t="s">
        <v>207</v>
      </c>
      <c r="AY71" s="7" t="s">
        <v>208</v>
      </c>
      <c r="AZ71" s="7" t="s">
        <v>209</v>
      </c>
    </row>
    <row r="72" spans="1:55" ht="14.5">
      <c r="A72" s="41" t="s">
        <v>18</v>
      </c>
      <c r="B72" s="41" t="s">
        <v>21</v>
      </c>
      <c r="C72" s="41" t="s">
        <v>48</v>
      </c>
      <c r="D72" s="41" t="s">
        <v>8</v>
      </c>
      <c r="E72" s="41" t="s">
        <v>49</v>
      </c>
      <c r="F72" s="41" t="s">
        <v>49</v>
      </c>
      <c r="G72" s="41"/>
      <c r="H72" s="41" t="s">
        <v>9</v>
      </c>
      <c r="I72" s="5" t="s">
        <v>50</v>
      </c>
      <c r="J72" s="41"/>
      <c r="K72" s="41" t="s">
        <v>51</v>
      </c>
      <c r="L72" s="5" t="s">
        <v>52</v>
      </c>
      <c r="M72" s="41" t="s">
        <v>52</v>
      </c>
      <c r="N72" s="41" t="s">
        <v>53</v>
      </c>
      <c r="O72" s="41" t="s">
        <v>54</v>
      </c>
      <c r="P72" s="41"/>
      <c r="Q72" s="41"/>
      <c r="R72" s="41"/>
      <c r="S72" s="24" t="s">
        <v>55</v>
      </c>
      <c r="T72" s="10" t="s">
        <v>55</v>
      </c>
      <c r="U72" s="41"/>
      <c r="V72" s="41"/>
      <c r="W72" s="41"/>
      <c r="X72" s="41"/>
      <c r="Y72" s="41"/>
      <c r="Z72" s="41"/>
      <c r="AA72" s="9" t="s">
        <v>118</v>
      </c>
      <c r="AB72" s="9" t="s">
        <v>118</v>
      </c>
      <c r="AC72" s="7" t="s">
        <v>119</v>
      </c>
      <c r="AD72" s="7" t="s">
        <v>119</v>
      </c>
      <c r="AE72" s="5" t="s">
        <v>20</v>
      </c>
      <c r="AF72" s="7" t="s">
        <v>118</v>
      </c>
      <c r="AG72" s="7" t="s">
        <v>118</v>
      </c>
      <c r="AH72" s="7" t="s">
        <v>119</v>
      </c>
      <c r="AI72" s="41" t="s">
        <v>56</v>
      </c>
      <c r="AJ72" s="41" t="s">
        <v>57</v>
      </c>
      <c r="AK72" s="11"/>
      <c r="AL72" s="5" t="s">
        <v>9</v>
      </c>
      <c r="AM72" s="41" t="s">
        <v>18</v>
      </c>
      <c r="AN72" s="41" t="s">
        <v>8</v>
      </c>
      <c r="AO72" s="41" t="s">
        <v>49</v>
      </c>
      <c r="AP72" s="53"/>
      <c r="AQ72" s="11"/>
      <c r="AR72" s="11"/>
      <c r="AS72" s="11"/>
      <c r="AT72" s="11"/>
      <c r="AU72" s="11"/>
      <c r="AV72" s="11"/>
      <c r="AW72" s="11"/>
      <c r="AX72" s="41"/>
      <c r="AY72" s="41"/>
      <c r="AZ72" s="41"/>
    </row>
    <row r="73" spans="1:55" ht="14.5">
      <c r="A73" s="41">
        <f>A68</f>
        <v>0</v>
      </c>
      <c r="B73" s="41">
        <f t="shared" ref="B73:C88" si="101">A73/60</f>
        <v>0</v>
      </c>
      <c r="C73" s="41">
        <f t="shared" si="101"/>
        <v>0</v>
      </c>
      <c r="D73" s="41">
        <f t="shared" ref="D73:E73" si="102">D68</f>
        <v>17267.217924997112</v>
      </c>
      <c r="E73" s="7" t="e">
        <f t="shared" ca="1" si="102"/>
        <v>#NUM!</v>
      </c>
      <c r="F73" s="7">
        <v>0</v>
      </c>
      <c r="G73" s="41"/>
      <c r="H73" s="7">
        <f>H68</f>
        <v>10000</v>
      </c>
      <c r="I73" s="6">
        <v>15</v>
      </c>
      <c r="J73" s="41">
        <f t="shared" ref="J73:J93" si="103">SQRT((((((((L73^2)*(0.2))/(661.477)^2) + 1)^(3.5) - 1)*(1/AR73) + 1)^(1/3.5) - 1)*(5))</f>
        <v>0.73352595294908984</v>
      </c>
      <c r="K73" s="41">
        <f t="shared" ref="K73:K93" si="104">SQRT((1.4*2116.22*AR73*(J73)^2)/AV73)</f>
        <v>812.07861568302224</v>
      </c>
      <c r="L73" s="6">
        <f>L68</f>
        <v>410</v>
      </c>
      <c r="M73" s="41">
        <f t="shared" ref="M73:M93" si="105">K73*0.592484</f>
        <v>481.14358653433976</v>
      </c>
      <c r="N73" s="41">
        <f t="shared" ref="N73:N93" si="106">0.5*AV73*K73^2</f>
        <v>548.13880460469341</v>
      </c>
      <c r="O73" s="41">
        <f t="shared" ref="O73:O93" si="107">P73/$B$7</f>
        <v>3659881.652696203</v>
      </c>
      <c r="P73" s="41">
        <f t="shared" ref="P73:P93" si="108">(AV73*K73*$B$7)/(AW73)</f>
        <v>23499011.951198846</v>
      </c>
      <c r="Q73" s="41">
        <f t="shared" ref="Q73:Q93" si="109">0.455/(LOG10(P73)^2.58 * (1+0.144*J73*J73)^0.65)</f>
        <v>2.5044913977353045E-3</v>
      </c>
      <c r="R73" s="41">
        <f t="shared" ref="R73:R93" si="110">(((Q73*$B$4)+$B$17)+(0.1*(Q73*$B$4)))</f>
        <v>2.0226394602987044E-2</v>
      </c>
      <c r="S73" s="24">
        <f ca="1">T73</f>
        <v>-8.3092958285922496</v>
      </c>
      <c r="T73" s="10">
        <f t="shared" ref="T73:T93" ca="1" si="111">DEGREES(ASIN(((AF73-X73)/(D73))))</f>
        <v>-8.3092958285922496</v>
      </c>
      <c r="U73" s="41">
        <f t="shared" ref="U73:U93" ca="1" si="112">(D73*COS(RADIANS(S73)))/(N73*$B$3)</f>
        <v>0.13552543754739438</v>
      </c>
      <c r="V73" s="41">
        <f t="shared" ref="V73:V93" ca="1" si="113">(X73)/(N73*$B$3)</f>
        <v>2.1386403251192888E-2</v>
      </c>
      <c r="W73" s="41">
        <f t="shared" ref="W73:W93" ca="1" si="114">U73/V73</f>
        <v>6.3369906550244748</v>
      </c>
      <c r="X73" s="20">
        <f t="shared" ref="X73:X93" ca="1" si="115">(N73*$B$3*R73)+((N73*$B$3)*((U73^2)/(PI()*$B$6*$B$5)))</f>
        <v>2696.2250279676437</v>
      </c>
      <c r="Y73" s="41">
        <f t="shared" ref="Y73:Y93" si="116">SQRT(PI()*$B$6*$B$5*R73)</f>
        <v>0.56591270278594719</v>
      </c>
      <c r="Z73" s="41">
        <f t="shared" ref="Z73:Z93" ca="1" si="117">SQRT((2*((U73*N73*$B$3)/(D73))*D73)/(AV73*$B$3*$B$18))</f>
        <v>192.97580560547146</v>
      </c>
      <c r="AA73" s="14">
        <f t="shared" ref="AA73:AA93" ca="1" si="118">D73/W73</f>
        <v>2724.8293180464575</v>
      </c>
      <c r="AB73" s="14">
        <f>$B$15*AR73*0.93</f>
        <v>4016.4588107467653</v>
      </c>
      <c r="AC73" s="25">
        <f t="shared" ref="AC73:AC93" ca="1" si="119">AA73*K73</f>
        <v>2212775.6205716808</v>
      </c>
      <c r="AD73" s="41">
        <f t="shared" ref="AD73:AD93" si="120">AB73*K73</f>
        <v>3261680.3109791111</v>
      </c>
      <c r="AE73" s="6">
        <v>5</v>
      </c>
      <c r="AF73" s="41">
        <f t="shared" ref="AF73:AF93" si="121">AB73*(AE73/100)</f>
        <v>200.82294053733827</v>
      </c>
      <c r="AG73" s="41">
        <f t="shared" ref="AG73:AG93" ca="1" si="122">AB73-AA73</f>
        <v>1291.6294927003078</v>
      </c>
      <c r="AH73" s="41">
        <f t="shared" ref="AH73:AH93" ca="1" si="123">AD73-AC73</f>
        <v>1048904.6904074303</v>
      </c>
      <c r="AI73" s="41">
        <f t="shared" ref="AI73:AI93" si="124">(AP73*AF73)</f>
        <v>167.61339770784474</v>
      </c>
      <c r="AJ73" s="13">
        <f t="shared" ref="AJ73:AJ93" ca="1" si="125">K73*SIN(RADIANS(T73))</f>
        <v>-117.35895623343539</v>
      </c>
      <c r="AK73" s="11"/>
      <c r="AL73" s="6">
        <v>-350</v>
      </c>
      <c r="AM73" s="41">
        <f t="shared" ref="AM73:AM93" ca="1" si="126">AL73/AJ73</f>
        <v>2.9823032790426738</v>
      </c>
      <c r="AN73" s="41">
        <f t="shared" ref="AN73:AN93" ca="1" si="127">AI73*(AM73/3600)</f>
        <v>0.13885388488766365</v>
      </c>
      <c r="AO73" s="41">
        <f t="shared" ref="AO73:AO93" ca="1" si="128">M73*COS(RADIANS(T73))*(AM73/3600)</f>
        <v>0.394403571235519</v>
      </c>
      <c r="AP73" s="67">
        <f>0.701 + 0.301*AZ73 + -0.0328*AZ73^2</f>
        <v>0.83463272303136604</v>
      </c>
      <c r="AQ73" s="11">
        <f t="shared" ref="AQ73:AQ93" si="129">IF(H73 &lt;= 36089, ((1 - 6.87535*10^(-6)*H73) + ((I73*1.8)/518.67)), 0.75187 + ((I73*1.8)/518.67))</f>
        <v>0.98330272071837588</v>
      </c>
      <c r="AR73" s="11">
        <f t="shared" ref="AR73:AR93" si="130">IF(H73 &lt;= 36089, (1 - 6.87535*10^(-6)*H73)^5.2561, 0.22336*EXP((36089 - H73)/(20806.7)))</f>
        <v>0.68770269343653956</v>
      </c>
      <c r="AS73" s="11">
        <f t="shared" ref="AS73:AS93" si="131">(AR73/AQ73)</f>
        <v>0.69938044403469313</v>
      </c>
      <c r="AT73" s="11">
        <f t="shared" ref="AT73:AT93" si="132">(518.67*AQ73)</f>
        <v>510.00962215499999</v>
      </c>
      <c r="AU73" s="11">
        <f t="shared" ref="AU73:AU93" si="133">2116.22*AR73</f>
        <v>1455.3301939042735</v>
      </c>
      <c r="AV73" s="11">
        <f t="shared" ref="AV73:AV93" si="134">(0.0023769*AS73)</f>
        <v>1.6623573774260621E-3</v>
      </c>
      <c r="AW73" s="11">
        <f t="shared" ref="AW73:AW93" si="135">((2.2697*10^-8)*(AT73^1.5))/(AT73+198.72)</f>
        <v>3.6885478983619832E-7</v>
      </c>
      <c r="AX73" s="41">
        <f t="shared" ref="AX73:AX93" ca="1" si="136">(1/U73)*(((1 + 0.2*(U73)^2)/1.2)^3)</f>
        <v>4.31730493428039</v>
      </c>
      <c r="AY73" s="41">
        <f t="shared" ref="AY73:AY93" ca="1" si="137">($H$4/$H$3)*AX73</f>
        <v>5.8154955207459036</v>
      </c>
      <c r="AZ73" s="41">
        <f t="shared" ref="AZ73:AZ93" si="138">-6.6*10^(-3) + 0.825*J73 - 0.243*(J73^2)</f>
        <v>0.46781025253608061</v>
      </c>
      <c r="BA73" s="179">
        <f>2.12-0.00251*AF73+1.94*10^-6*AF73^2-7.84*10^-10*AF73^3+1.7*10^-13*AF73^4-1.89*10^-17*AF73^5+8.37*10^-22*AF73^6</f>
        <v>1.6880949796352283</v>
      </c>
      <c r="BB73" s="156">
        <f>2.18-0.00461*AF73+6.03*10^-6*AF73^2-4.1*10^-9*AF73^3+1.5*10^-12*AF73^4-2.81*10^-16*AF73^5+2.1*10^-20*AF73^6</f>
        <v>1.4665380432700525</v>
      </c>
      <c r="BC73" s="156">
        <f>1.75-5.02*10^-3*AF73+1.01*10^-5*AF73^2-1.09*10^-8*AF73^3+6.44*10^-12*AF73^4-1.99*10^-15*AF73^5+2.49*10^-19*AF73^6</f>
        <v>1.0707604821349515</v>
      </c>
    </row>
    <row r="74" spans="1:55" ht="14.5">
      <c r="A74" s="41">
        <f t="shared" ref="A74:A93" ca="1" si="139">A73+AM73</f>
        <v>2.9823032790426738</v>
      </c>
      <c r="B74" s="41">
        <f t="shared" ca="1" si="101"/>
        <v>4.9705054650711226E-2</v>
      </c>
      <c r="C74" s="41">
        <f t="shared" ca="1" si="101"/>
        <v>8.2841757751185379E-4</v>
      </c>
      <c r="D74" s="41">
        <f t="shared" ref="D74:D93" ca="1" si="140">D73-AN73</f>
        <v>17267.079071112224</v>
      </c>
      <c r="E74" s="41" t="e">
        <f t="shared" ref="E74:E93" ca="1" si="141">E73+AO73</f>
        <v>#NUM!</v>
      </c>
      <c r="F74" s="41">
        <f t="shared" ref="F74:F93" ca="1" si="142">F73+AO73</f>
        <v>0.394403571235519</v>
      </c>
      <c r="G74" s="41"/>
      <c r="H74" s="7">
        <f t="shared" ref="H74:H93" si="143">H73+AL73</f>
        <v>9650</v>
      </c>
      <c r="I74" s="6">
        <v>15</v>
      </c>
      <c r="J74" s="41">
        <f t="shared" si="103"/>
        <v>0.70929882346381001</v>
      </c>
      <c r="K74" s="41">
        <f t="shared" si="104"/>
        <v>786.21729072313474</v>
      </c>
      <c r="L74" s="6">
        <f>L73-($L$68-$L$98)/20</f>
        <v>398.5</v>
      </c>
      <c r="M74" s="41">
        <f t="shared" si="105"/>
        <v>465.82116527680574</v>
      </c>
      <c r="N74" s="41">
        <f t="shared" si="106"/>
        <v>519.5280642923957</v>
      </c>
      <c r="O74" s="41">
        <f t="shared" si="107"/>
        <v>3576126.3241763501</v>
      </c>
      <c r="P74" s="41">
        <f t="shared" si="108"/>
        <v>22961243.888558168</v>
      </c>
      <c r="Q74" s="41">
        <f t="shared" si="109"/>
        <v>2.5209880405333085E-3</v>
      </c>
      <c r="R74" s="41">
        <f t="shared" si="110"/>
        <v>2.0326688176801701E-2</v>
      </c>
      <c r="S74" s="24">
        <f t="shared" ref="S74:S93" ca="1" si="144">T74</f>
        <v>-7.9222029488943777</v>
      </c>
      <c r="T74" s="10">
        <f t="shared" ca="1" si="111"/>
        <v>-7.9222029488943777</v>
      </c>
      <c r="U74" s="41">
        <f t="shared" ca="1" si="112"/>
        <v>0.14312558411517157</v>
      </c>
      <c r="V74" s="41">
        <f t="shared" ca="1" si="113"/>
        <v>2.162044941431393E-2</v>
      </c>
      <c r="W74" s="41">
        <f t="shared" ca="1" si="114"/>
        <v>6.6199171614080576</v>
      </c>
      <c r="X74" s="20">
        <f t="shared" ca="1" si="115"/>
        <v>2583.4589536705407</v>
      </c>
      <c r="Y74" s="41">
        <f t="shared" si="116"/>
        <v>0.56731402081226201</v>
      </c>
      <c r="Z74" s="41">
        <f t="shared" ca="1" si="117"/>
        <v>191.99751420295732</v>
      </c>
      <c r="AA74" s="14">
        <f t="shared" ca="1" si="118"/>
        <v>2608.3527406919266</v>
      </c>
      <c r="AB74" s="14">
        <f t="shared" ref="AB74:AB93" si="145">$B$15*AR74*0.93</f>
        <v>4071.3109327094548</v>
      </c>
      <c r="AC74" s="25">
        <f t="shared" ca="1" si="119"/>
        <v>2050732.0250370698</v>
      </c>
      <c r="AD74" s="41">
        <f t="shared" si="120"/>
        <v>3200935.0512063061</v>
      </c>
      <c r="AE74" s="6">
        <v>5</v>
      </c>
      <c r="AF74" s="41">
        <f t="shared" si="121"/>
        <v>203.56554663547274</v>
      </c>
      <c r="AG74" s="41">
        <f t="shared" ca="1" si="122"/>
        <v>1462.9581920175283</v>
      </c>
      <c r="AH74" s="41">
        <f t="shared" ca="1" si="123"/>
        <v>1150203.0261692363</v>
      </c>
      <c r="AI74" s="41">
        <f t="shared" si="124"/>
        <v>169.26915840260295</v>
      </c>
      <c r="AJ74" s="13">
        <f t="shared" ca="1" si="125"/>
        <v>-108.36304964974236</v>
      </c>
      <c r="AK74" s="11"/>
      <c r="AL74" s="6">
        <f>AL73</f>
        <v>-350</v>
      </c>
      <c r="AM74" s="41">
        <f t="shared" ca="1" si="126"/>
        <v>3.2298832593886133</v>
      </c>
      <c r="AN74" s="41">
        <f t="shared" ca="1" si="127"/>
        <v>0.15186656140426852</v>
      </c>
      <c r="AO74" s="41">
        <f t="shared" ca="1" si="128"/>
        <v>0.41394132468811506</v>
      </c>
      <c r="AP74" s="67">
        <f t="shared" ref="AP74:AP92" si="146">0.701 + 0.301*AZ74 + -0.0328*AZ74^2</f>
        <v>0.83152164597732869</v>
      </c>
      <c r="AQ74" s="11">
        <f t="shared" si="129"/>
        <v>0.98570909321837585</v>
      </c>
      <c r="AR74" s="11">
        <f t="shared" si="130"/>
        <v>0.69709453679704381</v>
      </c>
      <c r="AS74" s="11">
        <f t="shared" si="131"/>
        <v>0.70720108152903904</v>
      </c>
      <c r="AT74" s="11">
        <f t="shared" si="132"/>
        <v>511.25773537957497</v>
      </c>
      <c r="AU74" s="11">
        <f t="shared" si="133"/>
        <v>1475.20540066064</v>
      </c>
      <c r="AV74" s="11">
        <f t="shared" si="134"/>
        <v>1.6809462506863729E-3</v>
      </c>
      <c r="AW74" s="11">
        <f t="shared" si="135"/>
        <v>3.6955881511546951E-7</v>
      </c>
      <c r="AX74" s="41">
        <f t="shared" ca="1" si="136"/>
        <v>4.0932284200979323</v>
      </c>
      <c r="AY74" s="41">
        <f t="shared" ca="1" si="137"/>
        <v>5.5136600042908572</v>
      </c>
      <c r="AZ74" s="41">
        <f t="shared" si="138"/>
        <v>0.45631705786262694</v>
      </c>
      <c r="BA74" s="179">
        <f t="shared" ref="BA74:BA92" si="147">2.12-0.00251*AF74+1.94*10^-6*AF74^2-7.84*10^-10*AF74^3+1.7*10^-13*AF74^4-1.89*10^-17*AF74^5+8.37*10^-22*AF74^6</f>
        <v>1.6831139175160095</v>
      </c>
      <c r="BB74" s="156">
        <f t="shared" ref="BB74:BB93" si="148">2.18-0.00461*AF74+6.03*10^-6*AF74^2-4.1*10^-9*AF74^3+1.5*10^-12*AF74^4-2.81*10^-16*AF74^5+2.1*10^-20*AF74^6</f>
        <v>1.4593329251935752</v>
      </c>
      <c r="BC74" s="156">
        <f t="shared" ref="BC74:BC93" si="149">1.75-5.02*10^-3*AF74+1.01*10^-5*AF74^2-1.09*10^-8*AF74^3+6.44*10^-12*AF74^4-1.99*10^-15*AF74^5+2.49*10^-19*AF74^6</f>
        <v>1.0650675603408812</v>
      </c>
    </row>
    <row r="75" spans="1:55" ht="14.5">
      <c r="A75" s="41">
        <f t="shared" ca="1" si="139"/>
        <v>6.2121865384312871</v>
      </c>
      <c r="B75" s="41">
        <f t="shared" ca="1" si="101"/>
        <v>0.10353644230718811</v>
      </c>
      <c r="C75" s="41">
        <f t="shared" ca="1" si="101"/>
        <v>1.7256073717864687E-3</v>
      </c>
      <c r="D75" s="41">
        <f t="shared" ca="1" si="140"/>
        <v>17266.927204550819</v>
      </c>
      <c r="E75" s="41" t="e">
        <f t="shared" ca="1" si="141"/>
        <v>#NUM!</v>
      </c>
      <c r="F75" s="41">
        <f t="shared" ca="1" si="142"/>
        <v>0.80834489592363412</v>
      </c>
      <c r="G75" s="41"/>
      <c r="H75" s="7">
        <f t="shared" si="143"/>
        <v>9300</v>
      </c>
      <c r="I75" s="6">
        <v>15</v>
      </c>
      <c r="J75" s="41">
        <f t="shared" si="103"/>
        <v>0.68524872581445895</v>
      </c>
      <c r="K75" s="41">
        <f t="shared" si="104"/>
        <v>760.48570480831643</v>
      </c>
      <c r="L75" s="6">
        <f t="shared" ref="L75:L92" si="150">L74-($L$68-$L$98)/20</f>
        <v>387</v>
      </c>
      <c r="M75" s="41">
        <f t="shared" si="105"/>
        <v>450.57561232765056</v>
      </c>
      <c r="N75" s="41">
        <f t="shared" si="106"/>
        <v>491.49917950339062</v>
      </c>
      <c r="O75" s="41">
        <f t="shared" si="107"/>
        <v>3491021.9038294004</v>
      </c>
      <c r="P75" s="41">
        <f t="shared" si="108"/>
        <v>22414813.70840206</v>
      </c>
      <c r="Q75" s="41">
        <f t="shared" si="109"/>
        <v>2.5376884148457014E-3</v>
      </c>
      <c r="R75" s="41">
        <f t="shared" si="110"/>
        <v>2.0428220363946769E-2</v>
      </c>
      <c r="S75" s="24">
        <f t="shared" ca="1" si="144"/>
        <v>-7.5431102400144425</v>
      </c>
      <c r="T75" s="10">
        <f t="shared" ca="1" si="111"/>
        <v>-7.5431102400144425</v>
      </c>
      <c r="U75" s="41">
        <f t="shared" ca="1" si="112"/>
        <v>0.15142230257437594</v>
      </c>
      <c r="V75" s="41">
        <f t="shared" ca="1" si="113"/>
        <v>2.187632279521173E-2</v>
      </c>
      <c r="W75" s="41">
        <f t="shared" ca="1" si="114"/>
        <v>6.9217438411321632</v>
      </c>
      <c r="X75" s="20">
        <f t="shared" ca="1" si="115"/>
        <v>2473.0047820115137</v>
      </c>
      <c r="Y75" s="41">
        <f t="shared" si="116"/>
        <v>0.56872912795749653</v>
      </c>
      <c r="Z75" s="41">
        <f t="shared" ca="1" si="117"/>
        <v>191.02066689055192</v>
      </c>
      <c r="AA75" s="14">
        <f t="shared" ca="1" si="118"/>
        <v>2494.5920566928307</v>
      </c>
      <c r="AB75" s="14">
        <f t="shared" si="145"/>
        <v>4126.7680699150587</v>
      </c>
      <c r="AC75" s="25">
        <f t="shared" ca="1" si="119"/>
        <v>1897101.5984432751</v>
      </c>
      <c r="AD75" s="41">
        <f t="shared" si="120"/>
        <v>3138348.1242298093</v>
      </c>
      <c r="AE75" s="6">
        <v>5</v>
      </c>
      <c r="AF75" s="41">
        <f t="shared" si="121"/>
        <v>206.33840349575294</v>
      </c>
      <c r="AG75" s="41">
        <f t="shared" ca="1" si="122"/>
        <v>1632.176013222228</v>
      </c>
      <c r="AH75" s="41">
        <f t="shared" ca="1" si="123"/>
        <v>1241246.5257865342</v>
      </c>
      <c r="AI75" s="41">
        <f t="shared" si="124"/>
        <v>170.92001193758389</v>
      </c>
      <c r="AJ75" s="13">
        <f t="shared" ca="1" si="125"/>
        <v>-99.830581203618038</v>
      </c>
      <c r="AK75" s="11"/>
      <c r="AL75" s="6">
        <f t="shared" ref="AL75:AL92" si="151">AL74</f>
        <v>-350</v>
      </c>
      <c r="AM75" s="41">
        <f t="shared" ca="1" si="126"/>
        <v>3.5059397208769867</v>
      </c>
      <c r="AN75" s="41">
        <f t="shared" ca="1" si="127"/>
        <v>0.16645423859576225</v>
      </c>
      <c r="AO75" s="41">
        <f t="shared" ca="1" si="128"/>
        <v>0.43500579913658738</v>
      </c>
      <c r="AP75" s="67">
        <f t="shared" si="146"/>
        <v>0.82834803915259492</v>
      </c>
      <c r="AQ75" s="11">
        <f t="shared" si="129"/>
        <v>0.98811546571837594</v>
      </c>
      <c r="AR75" s="11">
        <f t="shared" si="130"/>
        <v>0.70658997156274539</v>
      </c>
      <c r="AS75" s="11">
        <f t="shared" si="131"/>
        <v>0.71508846493870337</v>
      </c>
      <c r="AT75" s="11">
        <f t="shared" si="132"/>
        <v>512.50584860415006</v>
      </c>
      <c r="AU75" s="11">
        <f t="shared" si="133"/>
        <v>1495.2998296205128</v>
      </c>
      <c r="AV75" s="11">
        <f t="shared" si="134"/>
        <v>1.6996937723128039E-3</v>
      </c>
      <c r="AW75" s="11">
        <f t="shared" si="135"/>
        <v>3.7026201840146783E-7</v>
      </c>
      <c r="AX75" s="41">
        <f t="shared" ca="1" si="136"/>
        <v>3.8746051090824083</v>
      </c>
      <c r="AY75" s="41">
        <f t="shared" ca="1" si="137"/>
        <v>5.2191700608434566</v>
      </c>
      <c r="AZ75" s="41">
        <f t="shared" si="138"/>
        <v>0.44462570545295604</v>
      </c>
      <c r="BA75" s="179">
        <f t="shared" si="147"/>
        <v>1.6781008839057157</v>
      </c>
      <c r="BB75" s="156">
        <f t="shared" si="148"/>
        <v>1.4521076108046231</v>
      </c>
      <c r="BC75" s="156">
        <f t="shared" si="149"/>
        <v>1.0593865244949536</v>
      </c>
    </row>
    <row r="76" spans="1:55" ht="14.5">
      <c r="A76" s="41">
        <f t="shared" ca="1" si="139"/>
        <v>9.7181262593082742</v>
      </c>
      <c r="B76" s="41">
        <f t="shared" ca="1" si="101"/>
        <v>0.16196877098847123</v>
      </c>
      <c r="C76" s="41">
        <f t="shared" ca="1" si="101"/>
        <v>2.6994795164745206E-3</v>
      </c>
      <c r="D76" s="41">
        <f t="shared" ca="1" si="140"/>
        <v>17266.760750312224</v>
      </c>
      <c r="E76" s="41" t="e">
        <f t="shared" ca="1" si="141"/>
        <v>#NUM!</v>
      </c>
      <c r="F76" s="41">
        <f t="shared" ca="1" si="142"/>
        <v>1.2433506950602216</v>
      </c>
      <c r="G76" s="41"/>
      <c r="H76" s="7">
        <f t="shared" si="143"/>
        <v>8950</v>
      </c>
      <c r="I76" s="6">
        <v>15</v>
      </c>
      <c r="J76" s="41">
        <f t="shared" si="103"/>
        <v>0.66138038468966387</v>
      </c>
      <c r="K76" s="41">
        <f t="shared" si="104"/>
        <v>734.88994903435321</v>
      </c>
      <c r="L76" s="6">
        <f t="shared" si="150"/>
        <v>375.5</v>
      </c>
      <c r="M76" s="41">
        <f t="shared" si="105"/>
        <v>435.41053656366972</v>
      </c>
      <c r="N76" s="41">
        <f t="shared" si="106"/>
        <v>464.07657687748343</v>
      </c>
      <c r="O76" s="41">
        <f t="shared" si="107"/>
        <v>3404592.2061483869</v>
      </c>
      <c r="P76" s="41">
        <f t="shared" si="108"/>
        <v>21859874.316509861</v>
      </c>
      <c r="Q76" s="41">
        <f t="shared" si="109"/>
        <v>2.5546160312193032E-3</v>
      </c>
      <c r="R76" s="41">
        <f t="shared" si="110"/>
        <v>2.0531134099975375E-2</v>
      </c>
      <c r="S76" s="24">
        <f t="shared" ca="1" si="144"/>
        <v>-7.1727869581641475</v>
      </c>
      <c r="T76" s="10">
        <f t="shared" ca="1" si="111"/>
        <v>-7.1727869581641475</v>
      </c>
      <c r="U76" s="41">
        <f t="shared" ca="1" si="112"/>
        <v>0.16050230725726908</v>
      </c>
      <c r="V76" s="41">
        <f t="shared" ca="1" si="113"/>
        <v>2.2158113861280707E-2</v>
      </c>
      <c r="W76" s="41">
        <f t="shared" ca="1" si="114"/>
        <v>7.243500428875957</v>
      </c>
      <c r="X76" s="20">
        <f t="shared" ca="1" si="115"/>
        <v>2365.1041750850736</v>
      </c>
      <c r="Y76" s="41">
        <f t="shared" si="116"/>
        <v>0.57015990624918689</v>
      </c>
      <c r="Z76" s="41">
        <f t="shared" ca="1" si="117"/>
        <v>190.04538452926175</v>
      </c>
      <c r="AA76" s="14">
        <f t="shared" ca="1" si="118"/>
        <v>2383.7591948609397</v>
      </c>
      <c r="AB76" s="14">
        <f t="shared" si="145"/>
        <v>4182.8353145298888</v>
      </c>
      <c r="AC76" s="25">
        <f t="shared" ca="1" si="119"/>
        <v>1751800.6732215269</v>
      </c>
      <c r="AD76" s="41">
        <f t="shared" si="120"/>
        <v>3073923.6311139627</v>
      </c>
      <c r="AE76" s="6">
        <v>5</v>
      </c>
      <c r="AF76" s="41">
        <f t="shared" si="121"/>
        <v>209.14176572649444</v>
      </c>
      <c r="AG76" s="41">
        <f t="shared" ca="1" si="122"/>
        <v>1799.0761196689491</v>
      </c>
      <c r="AH76" s="41">
        <f t="shared" ca="1" si="123"/>
        <v>1322122.9578924358</v>
      </c>
      <c r="AI76" s="41">
        <f t="shared" si="124"/>
        <v>172.56575444350844</v>
      </c>
      <c r="AJ76" s="13">
        <f t="shared" ca="1" si="125"/>
        <v>-91.759834287670756</v>
      </c>
      <c r="AK76" s="11"/>
      <c r="AL76" s="6">
        <f t="shared" si="151"/>
        <v>-350</v>
      </c>
      <c r="AM76" s="41">
        <f t="shared" ca="1" si="126"/>
        <v>3.814305057512811</v>
      </c>
      <c r="AN76" s="41">
        <f t="shared" ca="1" si="127"/>
        <v>0.18283845275760779</v>
      </c>
      <c r="AO76" s="41">
        <f t="shared" ca="1" si="128"/>
        <v>0.45771985413664695</v>
      </c>
      <c r="AP76" s="67">
        <f t="shared" si="146"/>
        <v>0.82511378750230902</v>
      </c>
      <c r="AQ76" s="11">
        <f t="shared" si="129"/>
        <v>0.99052183821837592</v>
      </c>
      <c r="AR76" s="11">
        <f t="shared" si="130"/>
        <v>0.71618986962021247</v>
      </c>
      <c r="AS76" s="11">
        <f t="shared" si="131"/>
        <v>0.72304298803588551</v>
      </c>
      <c r="AT76" s="11">
        <f t="shared" si="132"/>
        <v>513.75396182872498</v>
      </c>
      <c r="AU76" s="11">
        <f t="shared" si="133"/>
        <v>1515.6153258876859</v>
      </c>
      <c r="AV76" s="11">
        <f t="shared" si="134"/>
        <v>1.7186008782624962E-3</v>
      </c>
      <c r="AW76" s="11">
        <f t="shared" si="135"/>
        <v>3.7096440200852477E-7</v>
      </c>
      <c r="AX76" s="41">
        <f t="shared" ca="1" si="136"/>
        <v>3.6615963136630012</v>
      </c>
      <c r="AY76" s="41">
        <f t="shared" ca="1" si="137"/>
        <v>4.9322429814506918</v>
      </c>
      <c r="AZ76" s="41">
        <f t="shared" si="138"/>
        <v>0.4327447821486764</v>
      </c>
      <c r="BA76" s="179">
        <f t="shared" si="147"/>
        <v>1.6730560927427629</v>
      </c>
      <c r="BB76" s="156">
        <f t="shared" si="148"/>
        <v>1.4448630074676665</v>
      </c>
      <c r="BC76" s="156">
        <f t="shared" si="149"/>
        <v>1.0537184869321885</v>
      </c>
    </row>
    <row r="77" spans="1:55" ht="14.5">
      <c r="A77" s="41">
        <f t="shared" ca="1" si="139"/>
        <v>13.532431316821086</v>
      </c>
      <c r="B77" s="41">
        <f t="shared" ca="1" si="101"/>
        <v>0.2255405219470181</v>
      </c>
      <c r="C77" s="41">
        <f t="shared" ca="1" si="101"/>
        <v>3.7590086991169682E-3</v>
      </c>
      <c r="D77" s="41">
        <f t="shared" ca="1" si="140"/>
        <v>17266.577911859466</v>
      </c>
      <c r="E77" s="41" t="e">
        <f t="shared" ca="1" si="141"/>
        <v>#NUM!</v>
      </c>
      <c r="F77" s="41">
        <f t="shared" ca="1" si="142"/>
        <v>1.7010705491968685</v>
      </c>
      <c r="G77" s="41"/>
      <c r="H77" s="7">
        <f t="shared" si="143"/>
        <v>8600</v>
      </c>
      <c r="I77" s="6">
        <v>15</v>
      </c>
      <c r="J77" s="41">
        <f t="shared" si="103"/>
        <v>0.63769839957653585</v>
      </c>
      <c r="K77" s="41">
        <f t="shared" si="104"/>
        <v>709.4359983543111</v>
      </c>
      <c r="L77" s="6">
        <f t="shared" si="150"/>
        <v>364</v>
      </c>
      <c r="M77" s="41">
        <f t="shared" si="105"/>
        <v>420.32947804895565</v>
      </c>
      <c r="N77" s="41">
        <f t="shared" si="106"/>
        <v>437.28378969721086</v>
      </c>
      <c r="O77" s="41">
        <f t="shared" si="107"/>
        <v>3316861.6386919585</v>
      </c>
      <c r="P77" s="41">
        <f t="shared" si="108"/>
        <v>21296582.426558908</v>
      </c>
      <c r="Q77" s="41">
        <f t="shared" si="109"/>
        <v>2.5717973544637195E-3</v>
      </c>
      <c r="R77" s="41">
        <f t="shared" si="110"/>
        <v>2.0635590281281299E-2</v>
      </c>
      <c r="S77" s="24">
        <f t="shared" ca="1" si="144"/>
        <v>-6.8120442496501585</v>
      </c>
      <c r="T77" s="10">
        <f t="shared" ca="1" si="111"/>
        <v>-6.8120442496501585</v>
      </c>
      <c r="U77" s="41">
        <f t="shared" ca="1" si="112"/>
        <v>0.17046621788002131</v>
      </c>
      <c r="V77" s="41">
        <f t="shared" ca="1" si="113"/>
        <v>2.2470844546514761E-2</v>
      </c>
      <c r="W77" s="41">
        <f t="shared" ca="1" si="114"/>
        <v>7.5861064112279086</v>
      </c>
      <c r="X77" s="20">
        <f t="shared" ca="1" si="115"/>
        <v>2260.011294029282</v>
      </c>
      <c r="Y77" s="41">
        <f t="shared" si="116"/>
        <v>0.57160846643836349</v>
      </c>
      <c r="Z77" s="41">
        <f t="shared" ca="1" si="117"/>
        <v>189.07180214066238</v>
      </c>
      <c r="AA77" s="14">
        <f t="shared" ca="1" si="118"/>
        <v>2276.0790550345905</v>
      </c>
      <c r="AB77" s="14">
        <f t="shared" si="145"/>
        <v>4239.5177883399092</v>
      </c>
      <c r="AC77" s="25">
        <f t="shared" ca="1" si="119"/>
        <v>1614732.4167418017</v>
      </c>
      <c r="AD77" s="41">
        <f t="shared" si="120"/>
        <v>3007666.5347117842</v>
      </c>
      <c r="AE77" s="6">
        <v>5</v>
      </c>
      <c r="AF77" s="41">
        <f t="shared" si="121"/>
        <v>211.97588941699547</v>
      </c>
      <c r="AG77" s="41">
        <f t="shared" ca="1" si="122"/>
        <v>1963.4387333053187</v>
      </c>
      <c r="AH77" s="41">
        <f t="shared" ca="1" si="123"/>
        <v>1392934.1179699826</v>
      </c>
      <c r="AI77" s="41">
        <f t="shared" si="124"/>
        <v>174.20620028113805</v>
      </c>
      <c r="AJ77" s="13">
        <f t="shared" ca="1" si="125"/>
        <v>-84.148118367921711</v>
      </c>
      <c r="AK77" s="11"/>
      <c r="AL77" s="6">
        <f t="shared" si="151"/>
        <v>-350</v>
      </c>
      <c r="AM77" s="41">
        <f t="shared" ca="1" si="126"/>
        <v>4.1593324579129778</v>
      </c>
      <c r="AN77" s="41">
        <f t="shared" ca="1" si="127"/>
        <v>0.20127263977750734</v>
      </c>
      <c r="AO77" s="41">
        <f t="shared" ca="1" si="128"/>
        <v>0.48220782105643711</v>
      </c>
      <c r="AP77" s="67">
        <f t="shared" si="146"/>
        <v>0.82182082481296959</v>
      </c>
      <c r="AQ77" s="11">
        <f t="shared" si="129"/>
        <v>0.99292821071837589</v>
      </c>
      <c r="AR77" s="11">
        <f t="shared" si="130"/>
        <v>0.72589510792752365</v>
      </c>
      <c r="AS77" s="11">
        <f t="shared" si="131"/>
        <v>0.73106504588317034</v>
      </c>
      <c r="AT77" s="11">
        <f t="shared" si="132"/>
        <v>515.00207505330002</v>
      </c>
      <c r="AU77" s="11">
        <f t="shared" si="133"/>
        <v>1536.1537452983839</v>
      </c>
      <c r="AV77" s="11">
        <f t="shared" si="134"/>
        <v>1.7376685075597075E-3</v>
      </c>
      <c r="AW77" s="11">
        <f t="shared" si="135"/>
        <v>3.7166596824208236E-7</v>
      </c>
      <c r="AX77" s="41">
        <f t="shared" ca="1" si="136"/>
        <v>3.4543635771696932</v>
      </c>
      <c r="AY77" s="41">
        <f t="shared" ca="1" si="137"/>
        <v>4.653096368187521</v>
      </c>
      <c r="AZ77" s="41">
        <f t="shared" si="138"/>
        <v>0.42068298218678057</v>
      </c>
      <c r="BA77" s="179">
        <f t="shared" si="147"/>
        <v>1.6679797668292264</v>
      </c>
      <c r="BB77" s="156">
        <f t="shared" si="148"/>
        <v>1.4376000384911731</v>
      </c>
      <c r="BC77" s="156">
        <f t="shared" si="149"/>
        <v>1.0480645635038632</v>
      </c>
    </row>
    <row r="78" spans="1:55" ht="14.5">
      <c r="A78" s="41">
        <f t="shared" ca="1" si="139"/>
        <v>17.691763774734063</v>
      </c>
      <c r="B78" s="41">
        <f t="shared" ca="1" si="101"/>
        <v>0.29486272957890108</v>
      </c>
      <c r="C78" s="41">
        <f t="shared" ca="1" si="101"/>
        <v>4.9143788263150178E-3</v>
      </c>
      <c r="D78" s="41">
        <f t="shared" ca="1" si="140"/>
        <v>17266.376639219689</v>
      </c>
      <c r="E78" s="41" t="e">
        <f t="shared" ca="1" si="141"/>
        <v>#NUM!</v>
      </c>
      <c r="F78" s="41">
        <f t="shared" ca="1" si="142"/>
        <v>2.1832783702533058</v>
      </c>
      <c r="G78" s="41"/>
      <c r="H78" s="7">
        <f t="shared" si="143"/>
        <v>8250</v>
      </c>
      <c r="I78" s="6">
        <v>15</v>
      </c>
      <c r="J78" s="41">
        <f t="shared" si="103"/>
        <v>0.61420722551494578</v>
      </c>
      <c r="K78" s="41">
        <f t="shared" si="104"/>
        <v>684.12968923644007</v>
      </c>
      <c r="L78" s="6">
        <f t="shared" si="150"/>
        <v>352.5</v>
      </c>
      <c r="M78" s="41">
        <f t="shared" si="105"/>
        <v>405.33589479756296</v>
      </c>
      <c r="N78" s="41">
        <f t="shared" si="106"/>
        <v>411.14340696986949</v>
      </c>
      <c r="O78" s="41">
        <f t="shared" si="107"/>
        <v>3227855.0903289476</v>
      </c>
      <c r="P78" s="41">
        <f t="shared" si="108"/>
        <v>20725097.842576113</v>
      </c>
      <c r="Q78" s="41">
        <f t="shared" si="109"/>
        <v>2.5892621709974225E-3</v>
      </c>
      <c r="R78" s="41">
        <f t="shared" si="110"/>
        <v>2.0741769998429218E-2</v>
      </c>
      <c r="S78" s="24">
        <f t="shared" ca="1" si="144"/>
        <v>-6.4617440553872889</v>
      </c>
      <c r="T78" s="10">
        <f t="shared" ca="1" si="111"/>
        <v>-6.4617440553872889</v>
      </c>
      <c r="U78" s="41">
        <f t="shared" ca="1" si="112"/>
        <v>0.18143132204349988</v>
      </c>
      <c r="V78" s="41">
        <f t="shared" ca="1" si="113"/>
        <v>2.2820720366043188E-2</v>
      </c>
      <c r="W78" s="41">
        <f t="shared" ca="1" si="114"/>
        <v>7.9502889976017732</v>
      </c>
      <c r="X78" s="20">
        <f t="shared" ca="1" si="115"/>
        <v>2157.995405784387</v>
      </c>
      <c r="Y78" s="41">
        <f t="shared" si="116"/>
        <v>0.57307717537653913</v>
      </c>
      <c r="Z78" s="41">
        <f t="shared" ca="1" si="117"/>
        <v>188.10006675629492</v>
      </c>
      <c r="AA78" s="14">
        <f t="shared" ca="1" si="118"/>
        <v>2171.7923265969498</v>
      </c>
      <c r="AB78" s="14">
        <f t="shared" si="145"/>
        <v>4296.8206428463982</v>
      </c>
      <c r="AC78" s="25">
        <f t="shared" ca="1" si="119"/>
        <v>1485787.6094808565</v>
      </c>
      <c r="AD78" s="41">
        <f t="shared" si="120"/>
        <v>2939582.5710952273</v>
      </c>
      <c r="AE78" s="6">
        <v>5</v>
      </c>
      <c r="AF78" s="41">
        <f t="shared" si="121"/>
        <v>214.84103214231993</v>
      </c>
      <c r="AG78" s="41">
        <f t="shared" ca="1" si="122"/>
        <v>2125.0283162494484</v>
      </c>
      <c r="AH78" s="41">
        <f t="shared" ca="1" si="123"/>
        <v>1453794.9616143708</v>
      </c>
      <c r="AI78" s="41">
        <f t="shared" si="124"/>
        <v>175.84118219526729</v>
      </c>
      <c r="AJ78" s="13">
        <f t="shared" ca="1" si="125"/>
        <v>-76.991810473923181</v>
      </c>
      <c r="AK78" s="11"/>
      <c r="AL78" s="6">
        <f t="shared" si="151"/>
        <v>-350</v>
      </c>
      <c r="AM78" s="41">
        <f t="shared" ca="1" si="126"/>
        <v>4.54593803997561</v>
      </c>
      <c r="AN78" s="41">
        <f t="shared" ca="1" si="127"/>
        <v>0.22204531087104099</v>
      </c>
      <c r="AO78" s="41">
        <f t="shared" ca="1" si="128"/>
        <v>0.5085905629502232</v>
      </c>
      <c r="AP78" s="67">
        <f t="shared" si="146"/>
        <v>0.81847112928959742</v>
      </c>
      <c r="AQ78" s="11">
        <f t="shared" si="129"/>
        <v>0.99533458321837587</v>
      </c>
      <c r="AR78" s="11">
        <f t="shared" si="130"/>
        <v>0.73570656853064831</v>
      </c>
      <c r="AS78" s="11">
        <f t="shared" si="131"/>
        <v>0.7391550348343866</v>
      </c>
      <c r="AT78" s="11">
        <f t="shared" si="132"/>
        <v>516.25018827787494</v>
      </c>
      <c r="AU78" s="11">
        <f t="shared" si="133"/>
        <v>1556.9169544559284</v>
      </c>
      <c r="AV78" s="11">
        <f t="shared" si="134"/>
        <v>1.7568976022978534E-3</v>
      </c>
      <c r="AW78" s="11">
        <f t="shared" si="135"/>
        <v>3.7236671939872864E-7</v>
      </c>
      <c r="AX78" s="41">
        <f t="shared" ca="1" si="136"/>
        <v>3.2530697309217964</v>
      </c>
      <c r="AY78" s="41">
        <f t="shared" ca="1" si="137"/>
        <v>4.3819495580761156</v>
      </c>
      <c r="AZ78" s="41">
        <f t="shared" si="138"/>
        <v>0.40844908569226168</v>
      </c>
      <c r="BA78" s="179">
        <f t="shared" si="147"/>
        <v>1.6628721379101219</v>
      </c>
      <c r="BB78" s="156">
        <f t="shared" si="148"/>
        <v>1.4303196430074887</v>
      </c>
      <c r="BC78" s="156">
        <f t="shared" si="149"/>
        <v>1.0424258729459079</v>
      </c>
    </row>
    <row r="79" spans="1:55" ht="14.5">
      <c r="A79" s="41">
        <f t="shared" ca="1" si="139"/>
        <v>22.237701814709673</v>
      </c>
      <c r="B79" s="41">
        <f t="shared" ca="1" si="101"/>
        <v>0.37062836357849455</v>
      </c>
      <c r="C79" s="41">
        <f t="shared" ca="1" si="101"/>
        <v>6.1771393929749095E-3</v>
      </c>
      <c r="D79" s="41">
        <f t="shared" ca="1" si="140"/>
        <v>17266.154593908817</v>
      </c>
      <c r="E79" s="41" t="e">
        <f t="shared" ca="1" si="141"/>
        <v>#NUM!</v>
      </c>
      <c r="F79" s="41">
        <f t="shared" ca="1" si="142"/>
        <v>2.691868933203529</v>
      </c>
      <c r="G79" s="41"/>
      <c r="H79" s="7">
        <f t="shared" si="143"/>
        <v>7900</v>
      </c>
      <c r="I79" s="6">
        <v>15</v>
      </c>
      <c r="J79" s="41">
        <f t="shared" si="103"/>
        <v>0.59091115455064658</v>
      </c>
      <c r="K79" s="41">
        <f t="shared" si="104"/>
        <v>658.97669794951048</v>
      </c>
      <c r="L79" s="6">
        <f t="shared" si="150"/>
        <v>341</v>
      </c>
      <c r="M79" s="41">
        <f t="shared" si="105"/>
        <v>390.43314990791777</v>
      </c>
      <c r="N79" s="41">
        <f t="shared" si="106"/>
        <v>385.67702867347759</v>
      </c>
      <c r="O79" s="41">
        <f t="shared" si="107"/>
        <v>3137597.8163419543</v>
      </c>
      <c r="P79" s="41">
        <f t="shared" si="108"/>
        <v>20145582.721222259</v>
      </c>
      <c r="Q79" s="41">
        <f t="shared" si="109"/>
        <v>2.6070440170588827E-3</v>
      </c>
      <c r="R79" s="41">
        <f t="shared" si="110"/>
        <v>2.0849877139522292E-2</v>
      </c>
      <c r="S79" s="24">
        <f t="shared" ca="1" si="144"/>
        <v>-6.1228104813263524</v>
      </c>
      <c r="T79" s="10">
        <f t="shared" ca="1" si="111"/>
        <v>-6.1228104813263524</v>
      </c>
      <c r="U79" s="41">
        <f t="shared" ca="1" si="112"/>
        <v>0.19353499982552275</v>
      </c>
      <c r="V79" s="41">
        <f t="shared" ca="1" si="113"/>
        <v>2.3215462499007605E-2</v>
      </c>
      <c r="W79" s="41">
        <f t="shared" ca="1" si="114"/>
        <v>8.3364697056453565</v>
      </c>
      <c r="X79" s="20">
        <f t="shared" ca="1" si="115"/>
        <v>2059.344237056494</v>
      </c>
      <c r="Y79" s="41">
        <f t="shared" si="116"/>
        <v>0.57456868787191662</v>
      </c>
      <c r="Z79" s="41">
        <f t="shared" ca="1" si="117"/>
        <v>187.13033503589799</v>
      </c>
      <c r="AA79" s="14">
        <f t="shared" ca="1" si="118"/>
        <v>2071.1590401649737</v>
      </c>
      <c r="AB79" s="14">
        <f t="shared" si="145"/>
        <v>4354.7490593616949</v>
      </c>
      <c r="AC79" s="25">
        <f t="shared" ca="1" si="119"/>
        <v>1364845.545216192</v>
      </c>
      <c r="AD79" s="41">
        <f t="shared" si="120"/>
        <v>2869678.1555369063</v>
      </c>
      <c r="AE79" s="6">
        <v>5</v>
      </c>
      <c r="AF79" s="41">
        <f t="shared" si="121"/>
        <v>217.73745296808477</v>
      </c>
      <c r="AG79" s="41">
        <f t="shared" ca="1" si="122"/>
        <v>2283.5900191967212</v>
      </c>
      <c r="AH79" s="41">
        <f t="shared" ca="1" si="123"/>
        <v>1504832.6103207143</v>
      </c>
      <c r="AI79" s="41">
        <f t="shared" si="124"/>
        <v>177.470551341841</v>
      </c>
      <c r="AJ79" s="13">
        <f t="shared" ca="1" si="125"/>
        <v>-70.286406327447381</v>
      </c>
      <c r="AK79" s="11"/>
      <c r="AL79" s="6">
        <f t="shared" si="151"/>
        <v>-350</v>
      </c>
      <c r="AM79" s="41">
        <f t="shared" ca="1" si="126"/>
        <v>4.9796257667440642</v>
      </c>
      <c r="AN79" s="41">
        <f t="shared" ca="1" si="127"/>
        <v>0.24548248063891859</v>
      </c>
      <c r="AO79" s="41">
        <f t="shared" ca="1" si="128"/>
        <v>0.53697787167567279</v>
      </c>
      <c r="AP79" s="67">
        <f t="shared" si="146"/>
        <v>0.81506671875992798</v>
      </c>
      <c r="AQ79" s="11">
        <f t="shared" si="129"/>
        <v>0.99774095571837584</v>
      </c>
      <c r="AR79" s="11">
        <f t="shared" si="130"/>
        <v>0.74562513857983947</v>
      </c>
      <c r="AS79" s="11">
        <f t="shared" si="131"/>
        <v>0.74731335253546605</v>
      </c>
      <c r="AT79" s="11">
        <f t="shared" si="132"/>
        <v>517.49830150244998</v>
      </c>
      <c r="AU79" s="11">
        <f t="shared" si="133"/>
        <v>1577.9068307654277</v>
      </c>
      <c r="AV79" s="11">
        <f t="shared" si="134"/>
        <v>1.7762891076415492E-3</v>
      </c>
      <c r="AW79" s="11">
        <f t="shared" si="135"/>
        <v>3.730666577662288E-7</v>
      </c>
      <c r="AX79" s="41">
        <f t="shared" ca="1" si="136"/>
        <v>3.0578802720425995</v>
      </c>
      <c r="AY79" s="41">
        <f t="shared" ca="1" si="137"/>
        <v>4.1190254790295677</v>
      </c>
      <c r="AZ79" s="41">
        <f t="shared" si="138"/>
        <v>0.3960519363091955</v>
      </c>
      <c r="BA79" s="179">
        <f t="shared" si="147"/>
        <v>1.6577334467509071</v>
      </c>
      <c r="BB79" s="156">
        <f t="shared" si="148"/>
        <v>1.4230227758413387</v>
      </c>
      <c r="BC79" s="156">
        <f t="shared" si="149"/>
        <v>1.0368035362302084</v>
      </c>
    </row>
    <row r="80" spans="1:55" ht="14.5">
      <c r="A80" s="41">
        <f t="shared" ca="1" si="139"/>
        <v>27.217327581453738</v>
      </c>
      <c r="B80" s="41">
        <f t="shared" ca="1" si="101"/>
        <v>0.45362212635756227</v>
      </c>
      <c r="C80" s="41">
        <f t="shared" ca="1" si="101"/>
        <v>7.5603687726260383E-3</v>
      </c>
      <c r="D80" s="41">
        <f t="shared" ca="1" si="140"/>
        <v>17265.90911142818</v>
      </c>
      <c r="E80" s="41" t="e">
        <f t="shared" ca="1" si="141"/>
        <v>#NUM!</v>
      </c>
      <c r="F80" s="41">
        <f t="shared" ca="1" si="142"/>
        <v>3.2288468048792018</v>
      </c>
      <c r="G80" s="41"/>
      <c r="H80" s="7">
        <f t="shared" si="143"/>
        <v>7550</v>
      </c>
      <c r="I80" s="6">
        <v>15</v>
      </c>
      <c r="J80" s="41">
        <f t="shared" si="103"/>
        <v>0.56781429804596906</v>
      </c>
      <c r="K80" s="41">
        <f t="shared" si="104"/>
        <v>633.98251966000657</v>
      </c>
      <c r="L80" s="6">
        <f t="shared" si="150"/>
        <v>329.5</v>
      </c>
      <c r="M80" s="41">
        <f t="shared" si="105"/>
        <v>375.62449917823932</v>
      </c>
      <c r="N80" s="41">
        <f t="shared" si="106"/>
        <v>360.90522753987847</v>
      </c>
      <c r="O80" s="41">
        <f t="shared" si="107"/>
        <v>3046115.3213280933</v>
      </c>
      <c r="P80" s="41">
        <f t="shared" si="108"/>
        <v>19558200.819932498</v>
      </c>
      <c r="Q80" s="41">
        <f t="shared" si="109"/>
        <v>2.6251806812843093E-3</v>
      </c>
      <c r="R80" s="41">
        <f t="shared" si="110"/>
        <v>2.0960141445691576E-2</v>
      </c>
      <c r="S80" s="24">
        <f t="shared" ca="1" si="144"/>
        <v>-5.7962443224070066</v>
      </c>
      <c r="T80" s="10">
        <f t="shared" ca="1" si="111"/>
        <v>-5.7962443224070066</v>
      </c>
      <c r="U80" s="41">
        <f t="shared" ca="1" si="112"/>
        <v>0.20693899816038958</v>
      </c>
      <c r="V80" s="41">
        <f t="shared" ca="1" si="113"/>
        <v>2.3664749115791119E-2</v>
      </c>
      <c r="W80" s="41">
        <f t="shared" ca="1" si="114"/>
        <v>8.7446098476616605</v>
      </c>
      <c r="X80" s="20">
        <f t="shared" ca="1" si="115"/>
        <v>1964.3682827910081</v>
      </c>
      <c r="Y80" s="41">
        <f t="shared" si="116"/>
        <v>0.57608598401219369</v>
      </c>
      <c r="Z80" s="41">
        <f t="shared" ca="1" si="117"/>
        <v>186.16277061371625</v>
      </c>
      <c r="AA80" s="14">
        <f t="shared" ca="1" si="118"/>
        <v>1974.4630592118579</v>
      </c>
      <c r="AB80" s="14">
        <f t="shared" si="145"/>
        <v>4413.3082491050009</v>
      </c>
      <c r="AC80" s="25">
        <f t="shared" ca="1" si="119"/>
        <v>1251775.0652547383</v>
      </c>
      <c r="AD80" s="41">
        <f t="shared" si="120"/>
        <v>2797960.2838038802</v>
      </c>
      <c r="AE80" s="6">
        <v>5</v>
      </c>
      <c r="AF80" s="41">
        <f t="shared" si="121"/>
        <v>220.66541245525005</v>
      </c>
      <c r="AG80" s="41">
        <f t="shared" ca="1" si="122"/>
        <v>2438.845189893143</v>
      </c>
      <c r="AH80" s="41">
        <f t="shared" ca="1" si="123"/>
        <v>1546185.2185491419</v>
      </c>
      <c r="AI80" s="41">
        <f t="shared" si="124"/>
        <v>179.09417718718532</v>
      </c>
      <c r="AJ80" s="13">
        <f t="shared" ca="1" si="125"/>
        <v>-64.026581637809173</v>
      </c>
      <c r="AK80" s="11"/>
      <c r="AL80" s="6">
        <f t="shared" si="151"/>
        <v>-350</v>
      </c>
      <c r="AM80" s="41">
        <f t="shared" ca="1" si="126"/>
        <v>5.4664795628151559</v>
      </c>
      <c r="AN80" s="41">
        <f t="shared" ca="1" si="127"/>
        <v>0.27194851650359581</v>
      </c>
      <c r="AO80" s="41">
        <f t="shared" ca="1" si="128"/>
        <v>0.56745710590960519</v>
      </c>
      <c r="AP80" s="67">
        <f t="shared" si="146"/>
        <v>0.81160964554653448</v>
      </c>
      <c r="AQ80" s="11">
        <f t="shared" si="129"/>
        <v>1.0001473282183759</v>
      </c>
      <c r="AR80" s="11">
        <f t="shared" si="130"/>
        <v>0.75565171034603806</v>
      </c>
      <c r="AS80" s="11">
        <f t="shared" si="131"/>
        <v>0.7555403979253007</v>
      </c>
      <c r="AT80" s="11">
        <f t="shared" si="132"/>
        <v>518.74641472702501</v>
      </c>
      <c r="AU80" s="11">
        <f t="shared" si="133"/>
        <v>1599.1252624684926</v>
      </c>
      <c r="AV80" s="11">
        <f t="shared" si="134"/>
        <v>1.7958439718286472E-3</v>
      </c>
      <c r="AW80" s="11">
        <f t="shared" si="135"/>
        <v>3.7376578562356062E-7</v>
      </c>
      <c r="AX80" s="41">
        <f t="shared" ca="1" si="136"/>
        <v>2.8689651644399805</v>
      </c>
      <c r="AY80" s="41">
        <f t="shared" ca="1" si="137"/>
        <v>3.8645530758085567</v>
      </c>
      <c r="AZ80" s="41">
        <f t="shared" si="138"/>
        <v>0.38350041816102332</v>
      </c>
      <c r="BA80" s="179">
        <f t="shared" si="147"/>
        <v>1.6525639432131218</v>
      </c>
      <c r="BB80" s="156">
        <f t="shared" si="148"/>
        <v>1.4157104073667155</v>
      </c>
      <c r="BC80" s="156">
        <f t="shared" si="149"/>
        <v>1.0311986758989387</v>
      </c>
    </row>
    <row r="81" spans="1:55" ht="14.5">
      <c r="A81" s="41">
        <f t="shared" ca="1" si="139"/>
        <v>32.683807144268897</v>
      </c>
      <c r="B81" s="41">
        <f t="shared" ca="1" si="101"/>
        <v>0.54473011907114832</v>
      </c>
      <c r="C81" s="41">
        <f t="shared" ca="1" si="101"/>
        <v>9.0788353178524722E-3</v>
      </c>
      <c r="D81" s="41">
        <f t="shared" ca="1" si="140"/>
        <v>17265.637162911677</v>
      </c>
      <c r="E81" s="41" t="e">
        <f t="shared" ca="1" si="141"/>
        <v>#NUM!</v>
      </c>
      <c r="F81" s="41">
        <f t="shared" ca="1" si="142"/>
        <v>3.796303910788807</v>
      </c>
      <c r="G81" s="41"/>
      <c r="H81" s="7">
        <f t="shared" si="143"/>
        <v>7200</v>
      </c>
      <c r="I81" s="6">
        <v>15</v>
      </c>
      <c r="J81" s="41">
        <f t="shared" si="103"/>
        <v>0.54492056999679905</v>
      </c>
      <c r="K81" s="41">
        <f t="shared" si="104"/>
        <v>609.15244851606758</v>
      </c>
      <c r="L81" s="6">
        <f t="shared" si="150"/>
        <v>318</v>
      </c>
      <c r="M81" s="41">
        <f t="shared" si="105"/>
        <v>360.91307930659377</v>
      </c>
      <c r="N81" s="41">
        <f t="shared" si="106"/>
        <v>336.84751766874462</v>
      </c>
      <c r="O81" s="41">
        <f t="shared" si="107"/>
        <v>2953433.2408569525</v>
      </c>
      <c r="P81" s="41">
        <f t="shared" si="108"/>
        <v>18963116.737077292</v>
      </c>
      <c r="Q81" s="41">
        <f t="shared" si="109"/>
        <v>2.6437147986838314E-3</v>
      </c>
      <c r="R81" s="41">
        <f t="shared" si="110"/>
        <v>2.1072822122254652E-2</v>
      </c>
      <c r="S81" s="24">
        <f t="shared" ca="1" si="144"/>
        <v>-5.4831416502882249</v>
      </c>
      <c r="T81" s="10">
        <f t="shared" ca="1" si="111"/>
        <v>-5.4831416502882249</v>
      </c>
      <c r="U81" s="41">
        <f t="shared" ca="1" si="112"/>
        <v>0.22183480471951006</v>
      </c>
      <c r="V81" s="41">
        <f t="shared" ca="1" si="113"/>
        <v>2.4180807466703091E-2</v>
      </c>
      <c r="W81" s="41">
        <f t="shared" ca="1" si="114"/>
        <v>9.1740031851697257</v>
      </c>
      <c r="X81" s="20">
        <f t="shared" ca="1" si="115"/>
        <v>1873.4063431884997</v>
      </c>
      <c r="Y81" s="41">
        <f t="shared" si="116"/>
        <v>0.57763241319647707</v>
      </c>
      <c r="Z81" s="41">
        <f t="shared" ca="1" si="117"/>
        <v>185.19754111021979</v>
      </c>
      <c r="AA81" s="14">
        <f t="shared" ca="1" si="118"/>
        <v>1882.0177859565731</v>
      </c>
      <c r="AB81" s="14">
        <f t="shared" si="145"/>
        <v>4472.5034532982363</v>
      </c>
      <c r="AC81" s="25">
        <f t="shared" ca="1" si="119"/>
        <v>1146435.7424662348</v>
      </c>
      <c r="AD81" s="41">
        <f t="shared" si="120"/>
        <v>2724436.4295731885</v>
      </c>
      <c r="AE81" s="6">
        <v>5</v>
      </c>
      <c r="AF81" s="41">
        <f t="shared" si="121"/>
        <v>223.62517266491182</v>
      </c>
      <c r="AG81" s="41">
        <f t="shared" ca="1" si="122"/>
        <v>2590.4856673416634</v>
      </c>
      <c r="AH81" s="41">
        <f t="shared" ca="1" si="123"/>
        <v>1578000.6871069537</v>
      </c>
      <c r="AI81" s="41">
        <f t="shared" si="124"/>
        <v>180.71194727982757</v>
      </c>
      <c r="AJ81" s="13">
        <f t="shared" ca="1" si="125"/>
        <v>-58.206264272651367</v>
      </c>
      <c r="AK81" s="11"/>
      <c r="AL81" s="6">
        <f t="shared" si="151"/>
        <v>-350</v>
      </c>
      <c r="AM81" s="41">
        <f t="shared" ca="1" si="126"/>
        <v>6.0130984933257441</v>
      </c>
      <c r="AN81" s="41">
        <f t="shared" ca="1" si="127"/>
        <v>0.30184409386508126</v>
      </c>
      <c r="AO81" s="41">
        <f t="shared" ca="1" si="128"/>
        <v>0.6000766123729252</v>
      </c>
      <c r="AP81" s="67">
        <f t="shared" si="146"/>
        <v>0.80810199105184366</v>
      </c>
      <c r="AQ81" s="11">
        <f t="shared" si="129"/>
        <v>1.0025537007183758</v>
      </c>
      <c r="AR81" s="11">
        <f t="shared" si="130"/>
        <v>0.7657871812372844</v>
      </c>
      <c r="AS81" s="11">
        <f t="shared" si="131"/>
        <v>0.76383657123659576</v>
      </c>
      <c r="AT81" s="11">
        <f t="shared" si="132"/>
        <v>519.99452795159993</v>
      </c>
      <c r="AU81" s="11">
        <f t="shared" si="133"/>
        <v>1620.5741486779659</v>
      </c>
      <c r="AV81" s="11">
        <f t="shared" si="134"/>
        <v>1.8155631461722645E-3</v>
      </c>
      <c r="AW81" s="11">
        <f t="shared" si="135"/>
        <v>3.7446410524094736E-7</v>
      </c>
      <c r="AX81" s="41">
        <f t="shared" ca="1" si="136"/>
        <v>2.6865012054627351</v>
      </c>
      <c r="AY81" s="41">
        <f t="shared" ca="1" si="137"/>
        <v>3.6187704979544395</v>
      </c>
      <c r="AZ81" s="41">
        <f t="shared" si="138"/>
        <v>0.37080343233918955</v>
      </c>
      <c r="BA81" s="179">
        <f t="shared" si="147"/>
        <v>1.6473638863280942</v>
      </c>
      <c r="BB81" s="156">
        <f t="shared" si="148"/>
        <v>1.4083835233519468</v>
      </c>
      <c r="BC81" s="156">
        <f t="shared" si="149"/>
        <v>1.0256124153820414</v>
      </c>
    </row>
    <row r="82" spans="1:55" ht="14.5">
      <c r="A82" s="41">
        <f t="shared" ca="1" si="139"/>
        <v>38.696905637594639</v>
      </c>
      <c r="B82" s="41">
        <f t="shared" ca="1" si="101"/>
        <v>0.64494842729324398</v>
      </c>
      <c r="C82" s="41">
        <f t="shared" ca="1" si="101"/>
        <v>1.0749140454887399E-2</v>
      </c>
      <c r="D82" s="41">
        <f t="shared" ca="1" si="140"/>
        <v>17265.335318817812</v>
      </c>
      <c r="E82" s="41" t="e">
        <f t="shared" ca="1" si="141"/>
        <v>#NUM!</v>
      </c>
      <c r="F82" s="41">
        <f t="shared" ca="1" si="142"/>
        <v>4.3963805231617323</v>
      </c>
      <c r="G82" s="41"/>
      <c r="H82" s="7">
        <f t="shared" si="143"/>
        <v>6850</v>
      </c>
      <c r="I82" s="6">
        <v>15</v>
      </c>
      <c r="J82" s="41">
        <f t="shared" si="103"/>
        <v>0.52223367149206468</v>
      </c>
      <c r="K82" s="41">
        <f t="shared" si="104"/>
        <v>584.49155888065127</v>
      </c>
      <c r="L82" s="6">
        <f t="shared" si="150"/>
        <v>306.5</v>
      </c>
      <c r="M82" s="41">
        <f t="shared" si="105"/>
        <v>346.30189677184381</v>
      </c>
      <c r="N82" s="41">
        <f t="shared" si="106"/>
        <v>313.5223301825925</v>
      </c>
      <c r="O82" s="41">
        <f t="shared" si="107"/>
        <v>2859577.2228516624</v>
      </c>
      <c r="P82" s="41">
        <f t="shared" si="108"/>
        <v>18360495.15034553</v>
      </c>
      <c r="Q82" s="41">
        <f t="shared" si="109"/>
        <v>2.6626945576476773E-3</v>
      </c>
      <c r="R82" s="41">
        <f t="shared" si="110"/>
        <v>2.1188212137055427E-2</v>
      </c>
      <c r="S82" s="24">
        <f t="shared" ca="1" si="144"/>
        <v>-5.1847176825301924</v>
      </c>
      <c r="T82" s="10">
        <f t="shared" ca="1" si="111"/>
        <v>-5.1847176825301924</v>
      </c>
      <c r="U82" s="41">
        <f t="shared" ca="1" si="112"/>
        <v>0.23845045664059702</v>
      </c>
      <c r="V82" s="41">
        <f t="shared" ca="1" si="113"/>
        <v>2.4779216293282107E-2</v>
      </c>
      <c r="W82" s="41">
        <f t="shared" ca="1" si="114"/>
        <v>9.6230023507742377</v>
      </c>
      <c r="X82" s="20">
        <f t="shared" ca="1" si="115"/>
        <v>1786.8326554447017</v>
      </c>
      <c r="Y82" s="41">
        <f t="shared" si="116"/>
        <v>0.57921174645036</v>
      </c>
      <c r="Z82" s="41">
        <f t="shared" ca="1" si="117"/>
        <v>184.23481471371625</v>
      </c>
      <c r="AA82" s="14">
        <f t="shared" ca="1" si="118"/>
        <v>1794.1734491448706</v>
      </c>
      <c r="AB82" s="14">
        <f t="shared" si="145"/>
        <v>4532.3399432619817</v>
      </c>
      <c r="AC82" s="25">
        <f t="shared" ca="1" si="119"/>
        <v>1048679.2361929603</v>
      </c>
      <c r="AD82" s="41">
        <f t="shared" si="120"/>
        <v>2649114.4388142382</v>
      </c>
      <c r="AE82" s="6">
        <v>5</v>
      </c>
      <c r="AF82" s="41">
        <f t="shared" si="121"/>
        <v>226.61699716309909</v>
      </c>
      <c r="AG82" s="41">
        <f t="shared" ca="1" si="122"/>
        <v>2738.1664941171111</v>
      </c>
      <c r="AH82" s="41">
        <f t="shared" ca="1" si="123"/>
        <v>1600435.2026212779</v>
      </c>
      <c r="AI82" s="41">
        <f t="shared" si="124"/>
        <v>182.32376689684514</v>
      </c>
      <c r="AJ82" s="13">
        <f t="shared" ca="1" si="125"/>
        <v>-52.818718284902509</v>
      </c>
      <c r="AK82" s="11"/>
      <c r="AL82" s="6">
        <f t="shared" si="151"/>
        <v>-350</v>
      </c>
      <c r="AM82" s="41">
        <f t="shared" ca="1" si="126"/>
        <v>6.6264387203057629</v>
      </c>
      <c r="AN82" s="41">
        <f t="shared" ca="1" si="127"/>
        <v>0.33559924127701579</v>
      </c>
      <c r="AO82" s="41">
        <f t="shared" ca="1" si="128"/>
        <v>0.63482206129864438</v>
      </c>
      <c r="AP82" s="67">
        <f t="shared" si="146"/>
        <v>0.80454586010432594</v>
      </c>
      <c r="AQ82" s="11">
        <f t="shared" si="129"/>
        <v>1.0049600732183759</v>
      </c>
      <c r="AR82" s="11">
        <f t="shared" si="130"/>
        <v>0.77603245381514641</v>
      </c>
      <c r="AS82" s="11">
        <f t="shared" si="131"/>
        <v>0.77220227399672625</v>
      </c>
      <c r="AT82" s="11">
        <f t="shared" si="132"/>
        <v>521.24264117617497</v>
      </c>
      <c r="AU82" s="11">
        <f t="shared" si="133"/>
        <v>1642.255399412689</v>
      </c>
      <c r="AV82" s="11">
        <f t="shared" si="134"/>
        <v>1.8354475850628185E-3</v>
      </c>
      <c r="AW82" s="11">
        <f t="shared" si="135"/>
        <v>3.7516161887989139E-7</v>
      </c>
      <c r="AX82" s="41">
        <f t="shared" ca="1" si="136"/>
        <v>2.5106751597979193</v>
      </c>
      <c r="AY82" s="41">
        <f t="shared" ca="1" si="137"/>
        <v>3.3819293212112371</v>
      </c>
      <c r="AZ82" s="41">
        <f t="shared" si="138"/>
        <v>0.35796987312441353</v>
      </c>
      <c r="BA82" s="179">
        <f t="shared" si="147"/>
        <v>1.6421335443686185</v>
      </c>
      <c r="BB82" s="156">
        <f t="shared" si="148"/>
        <v>1.4010431247927084</v>
      </c>
      <c r="BC82" s="156">
        <f t="shared" si="149"/>
        <v>1.0200458782980291</v>
      </c>
    </row>
    <row r="83" spans="1:55" ht="14.5">
      <c r="A83" s="41">
        <f t="shared" ca="1" si="139"/>
        <v>45.323344357900403</v>
      </c>
      <c r="B83" s="41">
        <f t="shared" ca="1" si="101"/>
        <v>0.75538907263167343</v>
      </c>
      <c r="C83" s="41">
        <f t="shared" ca="1" si="101"/>
        <v>1.2589817877194558E-2</v>
      </c>
      <c r="D83" s="41">
        <f t="shared" ca="1" si="140"/>
        <v>17264.999719576535</v>
      </c>
      <c r="E83" s="41" t="e">
        <f t="shared" ca="1" si="141"/>
        <v>#NUM!</v>
      </c>
      <c r="F83" s="41">
        <f t="shared" ca="1" si="142"/>
        <v>5.0312025844603765</v>
      </c>
      <c r="G83" s="41"/>
      <c r="H83" s="7">
        <f t="shared" si="143"/>
        <v>6500</v>
      </c>
      <c r="I83" s="6">
        <v>15</v>
      </c>
      <c r="J83" s="41">
        <f t="shared" si="103"/>
        <v>0.49975707643750272</v>
      </c>
      <c r="K83" s="41">
        <f t="shared" si="104"/>
        <v>560.00468786160047</v>
      </c>
      <c r="L83" s="6">
        <f t="shared" si="150"/>
        <v>295</v>
      </c>
      <c r="M83" s="41">
        <f t="shared" si="105"/>
        <v>331.79381748299249</v>
      </c>
      <c r="N83" s="41">
        <f t="shared" si="106"/>
        <v>290.94699604711923</v>
      </c>
      <c r="O83" s="41">
        <f t="shared" si="107"/>
        <v>2764572.8096500556</v>
      </c>
      <c r="P83" s="41">
        <f t="shared" si="108"/>
        <v>17750500.059494294</v>
      </c>
      <c r="Q83" s="41">
        <f t="shared" si="109"/>
        <v>2.6821745476622548E-3</v>
      </c>
      <c r="R83" s="41">
        <f t="shared" si="110"/>
        <v>2.1306643374268866E-2</v>
      </c>
      <c r="S83" s="24">
        <f t="shared" ca="1" si="144"/>
        <v>-4.9023375799414994</v>
      </c>
      <c r="T83" s="10">
        <f t="shared" ca="1" si="111"/>
        <v>-4.9023375799414994</v>
      </c>
      <c r="U83" s="41">
        <f t="shared" ca="1" si="112"/>
        <v>0.25705923897220245</v>
      </c>
      <c r="V83" s="41">
        <f t="shared" ca="1" si="113"/>
        <v>2.5480005071439642E-2</v>
      </c>
      <c r="W83" s="41">
        <f t="shared" ca="1" si="114"/>
        <v>10.08866514160699</v>
      </c>
      <c r="X83" s="20">
        <f t="shared" ca="1" si="115"/>
        <v>1705.0661150041674</v>
      </c>
      <c r="Y83" s="41">
        <f t="shared" si="116"/>
        <v>0.58082823903301561</v>
      </c>
      <c r="Z83" s="41">
        <f t="shared" ca="1" si="117"/>
        <v>183.27475618640119</v>
      </c>
      <c r="AA83" s="14">
        <f t="shared" ca="1" si="118"/>
        <v>1711.3264715639527</v>
      </c>
      <c r="AB83" s="14">
        <f t="shared" si="145"/>
        <v>4592.8230205114587</v>
      </c>
      <c r="AC83" s="25">
        <f t="shared" ca="1" si="119"/>
        <v>958350.84653746546</v>
      </c>
      <c r="AD83" s="41">
        <f t="shared" si="120"/>
        <v>2572002.4220050927</v>
      </c>
      <c r="AE83" s="6">
        <v>5</v>
      </c>
      <c r="AF83" s="41">
        <f t="shared" si="121"/>
        <v>229.64115102557295</v>
      </c>
      <c r="AG83" s="41">
        <f t="shared" ca="1" si="122"/>
        <v>2881.4965489475062</v>
      </c>
      <c r="AH83" s="41">
        <f t="shared" ca="1" si="123"/>
        <v>1613651.5754676273</v>
      </c>
      <c r="AI83" s="41">
        <f t="shared" si="124"/>
        <v>183.9295585681046</v>
      </c>
      <c r="AJ83" s="13">
        <f t="shared" ca="1" si="125"/>
        <v>-47.856641172092147</v>
      </c>
      <c r="AK83" s="11"/>
      <c r="AL83" s="6">
        <f t="shared" si="151"/>
        <v>-350</v>
      </c>
      <c r="AM83" s="41">
        <f t="shared" ca="1" si="126"/>
        <v>7.3135095031304527</v>
      </c>
      <c r="AN83" s="41">
        <f t="shared" ca="1" si="127"/>
        <v>0.37365849291511732</v>
      </c>
      <c r="AO83" s="41">
        <f t="shared" ca="1" si="128"/>
        <v>0.67158343273011667</v>
      </c>
      <c r="AP83" s="67">
        <f t="shared" si="146"/>
        <v>0.80094337511669289</v>
      </c>
      <c r="AQ83" s="11">
        <f t="shared" si="129"/>
        <v>1.0073664457183757</v>
      </c>
      <c r="AR83" s="11">
        <f t="shared" si="130"/>
        <v>0.78638843581115314</v>
      </c>
      <c r="AS83" s="11">
        <f t="shared" si="131"/>
        <v>0.78063790902858765</v>
      </c>
      <c r="AT83" s="11">
        <f t="shared" si="132"/>
        <v>522.49075440074989</v>
      </c>
      <c r="AU83" s="11">
        <f t="shared" si="133"/>
        <v>1664.1709356322783</v>
      </c>
      <c r="AV83" s="11">
        <f t="shared" si="134"/>
        <v>1.85549824597005E-3</v>
      </c>
      <c r="AW83" s="11">
        <f t="shared" si="135"/>
        <v>3.7585832879320501E-7</v>
      </c>
      <c r="AX83" s="41">
        <f t="shared" ca="1" si="136"/>
        <v>2.3416879508385091</v>
      </c>
      <c r="AY83" s="41">
        <f t="shared" ca="1" si="137"/>
        <v>3.1543001933811441</v>
      </c>
      <c r="AZ83" s="41">
        <f t="shared" si="138"/>
        <v>0.34500860414674528</v>
      </c>
      <c r="BA83" s="179">
        <f t="shared" si="147"/>
        <v>1.6368731949185307</v>
      </c>
      <c r="BB83" s="156">
        <f t="shared" si="148"/>
        <v>1.3936902277327736</v>
      </c>
      <c r="BC83" s="156">
        <f t="shared" si="149"/>
        <v>1.01450018773827</v>
      </c>
    </row>
    <row r="84" spans="1:55" ht="14.5">
      <c r="A84" s="41">
        <f t="shared" ca="1" si="139"/>
        <v>52.636853861030858</v>
      </c>
      <c r="B84" s="41">
        <f t="shared" ca="1" si="101"/>
        <v>0.87728089768384765</v>
      </c>
      <c r="C84" s="41">
        <f t="shared" ca="1" si="101"/>
        <v>1.4621348294730795E-2</v>
      </c>
      <c r="D84" s="41">
        <f t="shared" ca="1" si="140"/>
        <v>17264.626061083622</v>
      </c>
      <c r="E84" s="41" t="e">
        <f t="shared" ca="1" si="141"/>
        <v>#NUM!</v>
      </c>
      <c r="F84" s="41">
        <f t="shared" ca="1" si="142"/>
        <v>5.7027860171904932</v>
      </c>
      <c r="G84" s="41"/>
      <c r="H84" s="7">
        <f t="shared" si="143"/>
        <v>6150</v>
      </c>
      <c r="I84" s="6">
        <v>15</v>
      </c>
      <c r="J84" s="41">
        <f t="shared" si="103"/>
        <v>0.47749401864915492</v>
      </c>
      <c r="K84" s="41">
        <f t="shared" si="104"/>
        <v>535.69641926923441</v>
      </c>
      <c r="L84" s="6">
        <f t="shared" si="150"/>
        <v>283.5</v>
      </c>
      <c r="M84" s="41">
        <f t="shared" si="105"/>
        <v>317.39155727431307</v>
      </c>
      <c r="N84" s="41">
        <f t="shared" si="106"/>
        <v>269.13773609480819</v>
      </c>
      <c r="O84" s="41">
        <f t="shared" si="107"/>
        <v>2668445.3216785057</v>
      </c>
      <c r="P84" s="41">
        <f t="shared" si="108"/>
        <v>17133294.039453167</v>
      </c>
      <c r="Q84" s="41">
        <f t="shared" si="109"/>
        <v>2.702216783448853E-3</v>
      </c>
      <c r="R84" s="41">
        <f t="shared" si="110"/>
        <v>2.1428492860790883E-2</v>
      </c>
      <c r="S84" s="24">
        <f t="shared" ca="1" si="144"/>
        <v>-4.6375564243628453</v>
      </c>
      <c r="T84" s="10">
        <f t="shared" ca="1" si="111"/>
        <v>-4.6375564243628453</v>
      </c>
      <c r="U84" s="41">
        <f t="shared" ca="1" si="112"/>
        <v>0.27799089643867608</v>
      </c>
      <c r="V84" s="41">
        <f t="shared" ca="1" si="113"/>
        <v>2.6309177408255894E-2</v>
      </c>
      <c r="W84" s="41">
        <f t="shared" ca="1" si="114"/>
        <v>10.566308939459345</v>
      </c>
      <c r="X84" s="20">
        <f t="shared" ca="1" si="115"/>
        <v>1628.5822626201727</v>
      </c>
      <c r="Y84" s="41">
        <f t="shared" si="116"/>
        <v>0.58248670592106078</v>
      </c>
      <c r="Z84" s="41">
        <f t="shared" ca="1" si="117"/>
        <v>182.3175220721017</v>
      </c>
      <c r="AA84" s="14">
        <f t="shared" ca="1" si="118"/>
        <v>1633.9315990099201</v>
      </c>
      <c r="AB84" s="14">
        <f t="shared" si="145"/>
        <v>4653.958016852589</v>
      </c>
      <c r="AC84" s="25">
        <f t="shared" ca="1" si="119"/>
        <v>875291.30692046881</v>
      </c>
      <c r="AD84" s="41">
        <f t="shared" si="120"/>
        <v>2493108.6450572792</v>
      </c>
      <c r="AE84" s="6">
        <v>5</v>
      </c>
      <c r="AF84" s="41">
        <f t="shared" si="121"/>
        <v>232.69790084262945</v>
      </c>
      <c r="AG84" s="41">
        <f t="shared" ca="1" si="122"/>
        <v>3020.0264178426687</v>
      </c>
      <c r="AH84" s="41">
        <f t="shared" ca="1" si="123"/>
        <v>1617817.3381368103</v>
      </c>
      <c r="AI84" s="41">
        <f t="shared" si="124"/>
        <v>185.52926148309757</v>
      </c>
      <c r="AJ84" s="13">
        <f t="shared" ca="1" si="125"/>
        <v>-43.31227630835906</v>
      </c>
      <c r="AK84" s="11"/>
      <c r="AL84" s="6">
        <f t="shared" si="151"/>
        <v>-350</v>
      </c>
      <c r="AM84" s="41">
        <f t="shared" ca="1" si="126"/>
        <v>8.0808498151470207</v>
      </c>
      <c r="AN84" s="41">
        <f t="shared" ca="1" si="127"/>
        <v>0.41645391621112565</v>
      </c>
      <c r="AO84" s="41">
        <f t="shared" ca="1" si="128"/>
        <v>0.71011017148242284</v>
      </c>
      <c r="AP84" s="67">
        <f t="shared" si="146"/>
        <v>0.79729667010863403</v>
      </c>
      <c r="AQ84" s="11">
        <f t="shared" si="129"/>
        <v>1.0097728182183758</v>
      </c>
      <c r="AR84" s="11">
        <f t="shared" si="130"/>
        <v>0.79685604014324174</v>
      </c>
      <c r="AS84" s="11">
        <f t="shared" si="131"/>
        <v>0.78914388045144601</v>
      </c>
      <c r="AT84" s="11">
        <f t="shared" si="132"/>
        <v>523.73886762532493</v>
      </c>
      <c r="AU84" s="11">
        <f t="shared" si="133"/>
        <v>1686.3226892719308</v>
      </c>
      <c r="AV84" s="11">
        <f t="shared" si="134"/>
        <v>1.875716089445042E-3</v>
      </c>
      <c r="AW84" s="11">
        <f t="shared" si="135"/>
        <v>3.7655423722504886E-7</v>
      </c>
      <c r="AX84" s="41">
        <f t="shared" ca="1" si="136"/>
        <v>2.1797603355467583</v>
      </c>
      <c r="AY84" s="41">
        <f t="shared" ca="1" si="137"/>
        <v>2.9361804784782164</v>
      </c>
      <c r="AZ84" s="41">
        <f t="shared" si="138"/>
        <v>0.33192843468904293</v>
      </c>
      <c r="BA84" s="179">
        <f t="shared" si="147"/>
        <v>1.6315831249400869</v>
      </c>
      <c r="BB84" s="156">
        <f t="shared" si="148"/>
        <v>1.3863258630722868</v>
      </c>
      <c r="BC84" s="156">
        <f t="shared" si="149"/>
        <v>1.00897646553498</v>
      </c>
    </row>
    <row r="85" spans="1:55" ht="14.5">
      <c r="A85" s="41">
        <f t="shared" ca="1" si="139"/>
        <v>60.717703676177877</v>
      </c>
      <c r="B85" s="41">
        <f t="shared" ca="1" si="101"/>
        <v>1.011961727936298</v>
      </c>
      <c r="C85" s="41">
        <f t="shared" ca="1" si="101"/>
        <v>1.6866028798938299E-2</v>
      </c>
      <c r="D85" s="41">
        <f t="shared" ca="1" si="140"/>
        <v>17264.20960716741</v>
      </c>
      <c r="E85" s="41" t="e">
        <f t="shared" ca="1" si="141"/>
        <v>#NUM!</v>
      </c>
      <c r="F85" s="41">
        <f t="shared" ca="1" si="142"/>
        <v>6.4128961886729163</v>
      </c>
      <c r="G85" s="41"/>
      <c r="H85" s="7">
        <f t="shared" si="143"/>
        <v>5800</v>
      </c>
      <c r="I85" s="6">
        <v>15</v>
      </c>
      <c r="J85" s="41">
        <f t="shared" si="103"/>
        <v>0.45544748040440669</v>
      </c>
      <c r="K85" s="41">
        <f t="shared" si="104"/>
        <v>511.57106911333761</v>
      </c>
      <c r="L85" s="6">
        <f t="shared" si="150"/>
        <v>272</v>
      </c>
      <c r="M85" s="41">
        <f t="shared" si="105"/>
        <v>303.0976733125467</v>
      </c>
      <c r="N85" s="41">
        <f t="shared" si="106"/>
        <v>248.10965820480473</v>
      </c>
      <c r="O85" s="41">
        <f t="shared" si="107"/>
        <v>2571219.7436331948</v>
      </c>
      <c r="P85" s="41">
        <f t="shared" si="108"/>
        <v>16509037.509527983</v>
      </c>
      <c r="Q85" s="41">
        <f t="shared" si="109"/>
        <v>2.7228919520188881E-3</v>
      </c>
      <c r="R85" s="41">
        <f t="shared" si="110"/>
        <v>2.1554190347879598E-2</v>
      </c>
      <c r="S85" s="24">
        <f t="shared" ca="1" si="144"/>
        <v>-4.3921714941600527</v>
      </c>
      <c r="T85" s="10">
        <f t="shared" ca="1" si="111"/>
        <v>-4.3921714941600527</v>
      </c>
      <c r="U85" s="41">
        <f t="shared" ca="1" si="112"/>
        <v>0.3016462232955715</v>
      </c>
      <c r="V85" s="41">
        <f t="shared" ca="1" si="113"/>
        <v>2.730084865790313E-2</v>
      </c>
      <c r="W85" s="41">
        <f t="shared" ca="1" si="114"/>
        <v>11.048968736297876</v>
      </c>
      <c r="X85" s="20">
        <f t="shared" ca="1" si="115"/>
        <v>1557.9289727190931</v>
      </c>
      <c r="Y85" s="41">
        <f t="shared" si="116"/>
        <v>0.58419261352477903</v>
      </c>
      <c r="Z85" s="41">
        <f t="shared" ca="1" si="117"/>
        <v>181.36325476075635</v>
      </c>
      <c r="AA85" s="14">
        <f t="shared" ca="1" si="118"/>
        <v>1562.5177352933704</v>
      </c>
      <c r="AB85" s="14">
        <f t="shared" si="145"/>
        <v>4715.7502944780908</v>
      </c>
      <c r="AC85" s="25">
        <f t="shared" ca="1" si="119"/>
        <v>799338.86835258058</v>
      </c>
      <c r="AD85" s="41">
        <f t="shared" si="120"/>
        <v>2412441.4198176935</v>
      </c>
      <c r="AE85" s="6">
        <v>5</v>
      </c>
      <c r="AF85" s="41">
        <f t="shared" si="121"/>
        <v>235.78751472390456</v>
      </c>
      <c r="AG85" s="41">
        <f t="shared" ca="1" si="122"/>
        <v>3153.2325591847202</v>
      </c>
      <c r="AH85" s="41">
        <f t="shared" ca="1" si="123"/>
        <v>1613102.5514651129</v>
      </c>
      <c r="AI85" s="41">
        <f t="shared" si="124"/>
        <v>187.12283078632606</v>
      </c>
      <c r="AJ85" s="13">
        <f t="shared" ca="1" si="125"/>
        <v>-39.177543286132476</v>
      </c>
      <c r="AK85" s="11"/>
      <c r="AL85" s="6">
        <f t="shared" si="151"/>
        <v>-350</v>
      </c>
      <c r="AM85" s="41">
        <f t="shared" ca="1" si="126"/>
        <v>8.9336893190004627</v>
      </c>
      <c r="AN85" s="41">
        <f t="shared" ca="1" si="127"/>
        <v>0.46436034298248113</v>
      </c>
      <c r="AO85" s="41">
        <f t="shared" ca="1" si="128"/>
        <v>0.74995230709468708</v>
      </c>
      <c r="AP85" s="67">
        <f t="shared" si="146"/>
        <v>0.79360788464748688</v>
      </c>
      <c r="AQ85" s="11">
        <f t="shared" si="129"/>
        <v>1.0121791907183759</v>
      </c>
      <c r="AR85" s="11">
        <f t="shared" si="130"/>
        <v>0.80743618493221192</v>
      </c>
      <c r="AS85" s="11">
        <f t="shared" si="131"/>
        <v>0.79772059368178538</v>
      </c>
      <c r="AT85" s="11">
        <f t="shared" si="132"/>
        <v>524.98698084989996</v>
      </c>
      <c r="AU85" s="11">
        <f t="shared" si="133"/>
        <v>1708.7126032772453</v>
      </c>
      <c r="AV85" s="11">
        <f t="shared" si="134"/>
        <v>1.8961020791222357E-3</v>
      </c>
      <c r="AW85" s="11">
        <f t="shared" si="135"/>
        <v>3.7724934641096215E-7</v>
      </c>
      <c r="AX85" s="41">
        <f t="shared" ca="1" si="136"/>
        <v>2.0251407013681888</v>
      </c>
      <c r="AY85" s="41">
        <f t="shared" ca="1" si="137"/>
        <v>2.7279047593264214</v>
      </c>
      <c r="AZ85" s="41">
        <f t="shared" si="138"/>
        <v>0.31873809633380201</v>
      </c>
      <c r="BA85" s="179">
        <f t="shared" si="147"/>
        <v>1.6262636308390712</v>
      </c>
      <c r="BB85" s="156">
        <f t="shared" si="148"/>
        <v>1.3789510763633404</v>
      </c>
      <c r="BC85" s="156">
        <f t="shared" si="149"/>
        <v>1.003475831513142</v>
      </c>
    </row>
    <row r="86" spans="1:55" ht="14.5">
      <c r="A86" s="41">
        <f t="shared" ca="1" si="139"/>
        <v>69.651392995178341</v>
      </c>
      <c r="B86" s="41">
        <f t="shared" ca="1" si="101"/>
        <v>1.160856549919639</v>
      </c>
      <c r="C86" s="41">
        <f t="shared" ca="1" si="101"/>
        <v>1.9347609165327316E-2</v>
      </c>
      <c r="D86" s="41">
        <f t="shared" ca="1" si="140"/>
        <v>17263.745246824426</v>
      </c>
      <c r="E86" s="41" t="e">
        <f t="shared" ca="1" si="141"/>
        <v>#NUM!</v>
      </c>
      <c r="F86" s="41">
        <f t="shared" ca="1" si="142"/>
        <v>7.1628484957676033</v>
      </c>
      <c r="G86" s="41"/>
      <c r="H86" s="7">
        <f t="shared" si="143"/>
        <v>5450</v>
      </c>
      <c r="I86" s="6">
        <v>15</v>
      </c>
      <c r="J86" s="41">
        <f t="shared" si="103"/>
        <v>0.43362018251964968</v>
      </c>
      <c r="K86" s="41">
        <f t="shared" si="104"/>
        <v>487.6326727312325</v>
      </c>
      <c r="L86" s="6">
        <f t="shared" si="150"/>
        <v>260.5</v>
      </c>
      <c r="M86" s="41">
        <f t="shared" si="105"/>
        <v>288.91455647049156</v>
      </c>
      <c r="N86" s="41">
        <f t="shared" si="106"/>
        <v>227.87676151007398</v>
      </c>
      <c r="O86" s="41">
        <f t="shared" si="107"/>
        <v>2472920.614011867</v>
      </c>
      <c r="P86" s="41">
        <f t="shared" si="108"/>
        <v>15877888.024117077</v>
      </c>
      <c r="Q86" s="41">
        <f t="shared" si="109"/>
        <v>2.7442809437752185E-3</v>
      </c>
      <c r="R86" s="41">
        <f t="shared" si="110"/>
        <v>2.1684227619693117E-2</v>
      </c>
      <c r="S86" s="24">
        <f t="shared" ca="1" si="144"/>
        <v>-4.1682912061765629</v>
      </c>
      <c r="T86" s="10">
        <f t="shared" ca="1" si="111"/>
        <v>-4.1682912061765629</v>
      </c>
      <c r="U86" s="41">
        <f t="shared" ca="1" si="112"/>
        <v>0.3285162452798861</v>
      </c>
      <c r="V86" s="41">
        <f t="shared" ca="1" si="113"/>
        <v>2.8500285847500358E-2</v>
      </c>
      <c r="W86" s="41">
        <f t="shared" ca="1" si="114"/>
        <v>11.526770188822471</v>
      </c>
      <c r="X86" s="20">
        <f t="shared" ca="1" si="115"/>
        <v>1493.7471534391484</v>
      </c>
      <c r="Y86" s="41">
        <f t="shared" si="116"/>
        <v>0.58595219203578019</v>
      </c>
      <c r="Z86" s="41">
        <f t="shared" ca="1" si="117"/>
        <v>180.41207486691653</v>
      </c>
      <c r="AA86" s="14">
        <f t="shared" ca="1" si="118"/>
        <v>1497.7088086275121</v>
      </c>
      <c r="AB86" s="14">
        <f t="shared" si="145"/>
        <v>4778.2052460636796</v>
      </c>
      <c r="AC86" s="25">
        <f t="shared" ca="1" si="119"/>
        <v>730331.74932414375</v>
      </c>
      <c r="AD86" s="41">
        <f t="shared" si="120"/>
        <v>2330008.9949964285</v>
      </c>
      <c r="AE86" s="6">
        <v>5</v>
      </c>
      <c r="AF86" s="41">
        <f t="shared" si="121"/>
        <v>238.910262303184</v>
      </c>
      <c r="AG86" s="41">
        <f t="shared" ca="1" si="122"/>
        <v>3280.4964374361675</v>
      </c>
      <c r="AH86" s="41">
        <f t="shared" ca="1" si="123"/>
        <v>1599677.2456722846</v>
      </c>
      <c r="AI86" s="41">
        <f t="shared" si="124"/>
        <v>188.71023676831197</v>
      </c>
      <c r="AJ86" s="13">
        <f t="shared" ca="1" si="125"/>
        <v>-35.444190024695637</v>
      </c>
      <c r="AK86" s="11"/>
      <c r="AL86" s="6">
        <f t="shared" si="151"/>
        <v>-350</v>
      </c>
      <c r="AM86" s="41">
        <f t="shared" ca="1" si="126"/>
        <v>9.8746790307844119</v>
      </c>
      <c r="AN86" s="41">
        <f t="shared" ca="1" si="127"/>
        <v>0.51762583830844777</v>
      </c>
      <c r="AO86" s="41">
        <f t="shared" ca="1" si="128"/>
        <v>0.79038668883702268</v>
      </c>
      <c r="AP86" s="67">
        <f t="shared" si="146"/>
        <v>0.789879157760219</v>
      </c>
      <c r="AQ86" s="11">
        <f t="shared" si="129"/>
        <v>1.0145855632183758</v>
      </c>
      <c r="AR86" s="11">
        <f t="shared" si="130"/>
        <v>0.81812979351819726</v>
      </c>
      <c r="AS86" s="11">
        <f t="shared" si="131"/>
        <v>0.80636845543415825</v>
      </c>
      <c r="AT86" s="11">
        <f t="shared" si="132"/>
        <v>526.23509407447489</v>
      </c>
      <c r="AU86" s="11">
        <f t="shared" si="133"/>
        <v>1731.3426316390792</v>
      </c>
      <c r="AV86" s="11">
        <f t="shared" si="134"/>
        <v>1.9166571817214506E-3</v>
      </c>
      <c r="AW86" s="11">
        <f t="shared" si="135"/>
        <v>3.7794365857789621E-7</v>
      </c>
      <c r="AX86" s="41">
        <f t="shared" ca="1" si="136"/>
        <v>1.8781159642817777</v>
      </c>
      <c r="AY86" s="41">
        <f t="shared" ca="1" si="137"/>
        <v>2.5298595174497591</v>
      </c>
      <c r="AZ86" s="41">
        <f t="shared" si="138"/>
        <v>0.30544622014543599</v>
      </c>
      <c r="BA86" s="179">
        <f t="shared" si="147"/>
        <v>1.6209150185275296</v>
      </c>
      <c r="BB86" s="156">
        <f t="shared" si="148"/>
        <v>1.3715669275926583</v>
      </c>
      <c r="BC86" s="156">
        <f t="shared" si="149"/>
        <v>0.99799940272661702</v>
      </c>
    </row>
    <row r="87" spans="1:55" ht="14.5">
      <c r="A87" s="41">
        <f t="shared" ca="1" si="139"/>
        <v>79.526072025962748</v>
      </c>
      <c r="B87" s="41">
        <f t="shared" ca="1" si="101"/>
        <v>1.3254345337660458</v>
      </c>
      <c r="C87" s="41">
        <f t="shared" ca="1" si="101"/>
        <v>2.2090575562767431E-2</v>
      </c>
      <c r="D87" s="41">
        <f t="shared" ca="1" si="140"/>
        <v>17263.227620986119</v>
      </c>
      <c r="E87" s="41" t="e">
        <f t="shared" ca="1" si="141"/>
        <v>#NUM!</v>
      </c>
      <c r="F87" s="41">
        <f t="shared" ca="1" si="142"/>
        <v>7.9532351846046261</v>
      </c>
      <c r="G87" s="41"/>
      <c r="H87" s="7">
        <f t="shared" si="143"/>
        <v>5100</v>
      </c>
      <c r="I87" s="6">
        <v>15</v>
      </c>
      <c r="J87" s="41">
        <f t="shared" si="103"/>
        <v>0.41201457600439434</v>
      </c>
      <c r="K87" s="41">
        <f t="shared" si="104"/>
        <v>463.88497361760562</v>
      </c>
      <c r="L87" s="6">
        <f t="shared" si="150"/>
        <v>249</v>
      </c>
      <c r="M87" s="41">
        <f t="shared" si="105"/>
        <v>274.84442470885347</v>
      </c>
      <c r="N87" s="41">
        <f t="shared" si="106"/>
        <v>208.45194742556757</v>
      </c>
      <c r="O87" s="41">
        <f t="shared" si="107"/>
        <v>2373571.918776622</v>
      </c>
      <c r="P87" s="41">
        <f t="shared" si="108"/>
        <v>15239999.589951683</v>
      </c>
      <c r="Q87" s="41">
        <f t="shared" si="109"/>
        <v>2.766476748899203E-3</v>
      </c>
      <c r="R87" s="41">
        <f t="shared" si="110"/>
        <v>2.1819170022631448E-2</v>
      </c>
      <c r="S87" s="24">
        <f t="shared" ca="1" si="144"/>
        <v>-3.9684269283915539</v>
      </c>
      <c r="T87" s="10">
        <f t="shared" ca="1" si="111"/>
        <v>-3.9684269283915539</v>
      </c>
      <c r="U87" s="41">
        <f t="shared" ca="1" si="112"/>
        <v>0.35920772056278349</v>
      </c>
      <c r="V87" s="41">
        <f t="shared" ca="1" si="113"/>
        <v>2.9968293828758354E-2</v>
      </c>
      <c r="W87" s="41">
        <f t="shared" ca="1" si="114"/>
        <v>11.986258631049541</v>
      </c>
      <c r="X87" s="20">
        <f t="shared" ca="1" si="115"/>
        <v>1436.7983182140483</v>
      </c>
      <c r="Y87" s="41">
        <f t="shared" si="116"/>
        <v>0.58777257423483875</v>
      </c>
      <c r="Z87" s="41">
        <f t="shared" ca="1" si="117"/>
        <v>179.46407105209059</v>
      </c>
      <c r="AA87" s="14">
        <f t="shared" ca="1" si="118"/>
        <v>1440.2515540810182</v>
      </c>
      <c r="AB87" s="14">
        <f t="shared" si="145"/>
        <v>4841.32829486429</v>
      </c>
      <c r="AC87" s="25">
        <f t="shared" ca="1" si="119"/>
        <v>668111.05416758859</v>
      </c>
      <c r="AD87" s="41">
        <f t="shared" si="120"/>
        <v>2245819.4483372886</v>
      </c>
      <c r="AE87" s="6">
        <v>5</v>
      </c>
      <c r="AF87" s="41">
        <f t="shared" si="121"/>
        <v>242.06641474321452</v>
      </c>
      <c r="AG87" s="41">
        <f t="shared" ca="1" si="122"/>
        <v>3401.0767407832718</v>
      </c>
      <c r="AH87" s="41">
        <f t="shared" ca="1" si="123"/>
        <v>1577708.3941696999</v>
      </c>
      <c r="AI87" s="41">
        <f t="shared" si="124"/>
        <v>190.29146396028077</v>
      </c>
      <c r="AJ87" s="13">
        <f t="shared" ca="1" si="125"/>
        <v>-32.103972078080105</v>
      </c>
      <c r="AK87" s="11"/>
      <c r="AL87" s="6">
        <f t="shared" si="151"/>
        <v>-350</v>
      </c>
      <c r="AM87" s="41">
        <f t="shared" ca="1" si="126"/>
        <v>10.902077759996944</v>
      </c>
      <c r="AN87" s="41">
        <f t="shared" ca="1" si="127"/>
        <v>0.5762700936551769</v>
      </c>
      <c r="AO87" s="41">
        <f t="shared" ca="1" si="128"/>
        <v>0.83033083223911008</v>
      </c>
      <c r="AP87" s="67">
        <f t="shared" si="146"/>
        <v>0.7861126218692629</v>
      </c>
      <c r="AQ87" s="11">
        <f t="shared" si="129"/>
        <v>1.0169919357183759</v>
      </c>
      <c r="AR87" s="11">
        <f t="shared" si="130"/>
        <v>0.82893779447714022</v>
      </c>
      <c r="AS87" s="11">
        <f t="shared" si="131"/>
        <v>0.81508787372202784</v>
      </c>
      <c r="AT87" s="11">
        <f t="shared" si="132"/>
        <v>527.48320729904992</v>
      </c>
      <c r="AU87" s="11">
        <f t="shared" si="133"/>
        <v>1754.2147394284136</v>
      </c>
      <c r="AV87" s="11">
        <f t="shared" si="134"/>
        <v>1.937382367049888E-3</v>
      </c>
      <c r="AW87" s="11">
        <f t="shared" si="135"/>
        <v>3.7863717594424859E-7</v>
      </c>
      <c r="AX87" s="41">
        <f t="shared" ca="1" si="136"/>
        <v>1.7390271068724885</v>
      </c>
      <c r="AY87" s="41">
        <f t="shared" ca="1" si="137"/>
        <v>2.3425040631646636</v>
      </c>
      <c r="AZ87" s="41">
        <f t="shared" si="138"/>
        <v>0.29206131456948564</v>
      </c>
      <c r="BA87" s="179">
        <f t="shared" si="147"/>
        <v>1.6155376034840527</v>
      </c>
      <c r="BB87" s="156">
        <f t="shared" si="148"/>
        <v>1.364174490951171</v>
      </c>
      <c r="BC87" s="156">
        <f t="shared" si="149"/>
        <v>0.99254829267872979</v>
      </c>
    </row>
    <row r="88" spans="1:55" ht="14.5">
      <c r="A88" s="41">
        <f t="shared" ca="1" si="139"/>
        <v>90.42814978595969</v>
      </c>
      <c r="B88" s="41">
        <f t="shared" ca="1" si="101"/>
        <v>1.5071358297659949</v>
      </c>
      <c r="C88" s="41">
        <f t="shared" ca="1" si="101"/>
        <v>2.5118930496099916E-2</v>
      </c>
      <c r="D88" s="41">
        <f t="shared" ca="1" si="140"/>
        <v>17262.651350892465</v>
      </c>
      <c r="E88" s="41" t="e">
        <f t="shared" ca="1" si="141"/>
        <v>#NUM!</v>
      </c>
      <c r="F88" s="41">
        <f t="shared" ca="1" si="142"/>
        <v>8.7835660168437357</v>
      </c>
      <c r="G88" s="41"/>
      <c r="H88" s="7">
        <f t="shared" si="143"/>
        <v>4750</v>
      </c>
      <c r="I88" s="6">
        <v>15</v>
      </c>
      <c r="J88" s="41">
        <f t="shared" si="103"/>
        <v>0.39063283532214221</v>
      </c>
      <c r="K88" s="41">
        <f t="shared" si="104"/>
        <v>440.33141400522248</v>
      </c>
      <c r="L88" s="6">
        <f t="shared" si="150"/>
        <v>237.5</v>
      </c>
      <c r="M88" s="41">
        <f t="shared" si="105"/>
        <v>260.88931749547027</v>
      </c>
      <c r="N88" s="41">
        <f t="shared" si="106"/>
        <v>189.84703721980475</v>
      </c>
      <c r="O88" s="41">
        <f t="shared" si="107"/>
        <v>2273196.9898554627</v>
      </c>
      <c r="P88" s="41">
        <f t="shared" si="108"/>
        <v>14595522.014404558</v>
      </c>
      <c r="Q88" s="41">
        <f t="shared" si="109"/>
        <v>2.7895868282605523E-3</v>
      </c>
      <c r="R88" s="41">
        <f t="shared" si="110"/>
        <v>2.1959670879604026E-2</v>
      </c>
      <c r="S88" s="24">
        <f t="shared" ca="1" si="144"/>
        <v>-3.7956165991505535</v>
      </c>
      <c r="T88" s="10">
        <f t="shared" ca="1" si="111"/>
        <v>-3.7956165991505535</v>
      </c>
      <c r="U88" s="41">
        <f t="shared" ca="1" si="112"/>
        <v>0.39447745137293266</v>
      </c>
      <c r="V88" s="41">
        <f t="shared" ca="1" si="113"/>
        <v>3.1787643958438208E-2</v>
      </c>
      <c r="W88" s="41">
        <f t="shared" ca="1" si="114"/>
        <v>12.409773177549901</v>
      </c>
      <c r="X88" s="20">
        <f t="shared" ca="1" si="115"/>
        <v>1388.0017059127297</v>
      </c>
      <c r="Y88" s="41">
        <f t="shared" si="116"/>
        <v>0.58966196857309117</v>
      </c>
      <c r="Z88" s="41">
        <f t="shared" ca="1" si="117"/>
        <v>178.51928586663541</v>
      </c>
      <c r="AA88" s="14">
        <f t="shared" ca="1" si="118"/>
        <v>1391.0529309368635</v>
      </c>
      <c r="AB88" s="14">
        <f t="shared" si="145"/>
        <v>4905.1248948103803</v>
      </c>
      <c r="AC88" s="25">
        <f t="shared" ca="1" si="119"/>
        <v>612524.30403553823</v>
      </c>
      <c r="AD88" s="41">
        <f t="shared" si="120"/>
        <v>2159880.5808040728</v>
      </c>
      <c r="AE88" s="6">
        <v>5</v>
      </c>
      <c r="AF88" s="41">
        <f t="shared" si="121"/>
        <v>245.25624474051904</v>
      </c>
      <c r="AG88" s="41">
        <f t="shared" ca="1" si="122"/>
        <v>3514.0719638735168</v>
      </c>
      <c r="AH88" s="41">
        <f t="shared" ca="1" si="123"/>
        <v>1547356.2767685344</v>
      </c>
      <c r="AI88" s="41">
        <f t="shared" si="124"/>
        <v>191.86651014139431</v>
      </c>
      <c r="AJ88" s="13">
        <f t="shared" ca="1" si="125"/>
        <v>-29.148866795597726</v>
      </c>
      <c r="AK88" s="11"/>
      <c r="AL88" s="6">
        <f t="shared" si="151"/>
        <v>-350</v>
      </c>
      <c r="AM88" s="41">
        <f t="shared" ca="1" si="126"/>
        <v>12.007327847573805</v>
      </c>
      <c r="AN88" s="41">
        <f t="shared" ca="1" si="127"/>
        <v>0.63994558062154605</v>
      </c>
      <c r="AO88" s="41">
        <f t="shared" ca="1" si="128"/>
        <v>0.86825343241525688</v>
      </c>
      <c r="AP88" s="67">
        <f t="shared" si="146"/>
        <v>0.78231039680310266</v>
      </c>
      <c r="AQ88" s="11">
        <f t="shared" si="129"/>
        <v>1.0193983082183757</v>
      </c>
      <c r="AR88" s="11">
        <f t="shared" si="130"/>
        <v>0.83986112163728166</v>
      </c>
      <c r="AS88" s="11">
        <f t="shared" si="131"/>
        <v>0.8238792578586136</v>
      </c>
      <c r="AT88" s="11">
        <f t="shared" si="132"/>
        <v>528.73132052362485</v>
      </c>
      <c r="AU88" s="11">
        <f t="shared" si="133"/>
        <v>1777.3309028312481</v>
      </c>
      <c r="AV88" s="11">
        <f t="shared" si="134"/>
        <v>1.9582786080041387E-3</v>
      </c>
      <c r="AW88" s="11">
        <f t="shared" si="135"/>
        <v>3.7932990071989691E-7</v>
      </c>
      <c r="AX88" s="41">
        <f t="shared" ca="1" si="136"/>
        <v>1.6082918417676357</v>
      </c>
      <c r="AY88" s="41">
        <f t="shared" ca="1" si="137"/>
        <v>2.1664010636790541</v>
      </c>
      <c r="AZ88" s="41">
        <f t="shared" si="138"/>
        <v>0.27859174421703609</v>
      </c>
      <c r="BA88" s="179">
        <f t="shared" si="147"/>
        <v>1.6101317108115134</v>
      </c>
      <c r="BB88" s="156">
        <f t="shared" si="148"/>
        <v>1.3567748545902967</v>
      </c>
      <c r="BC88" s="156">
        <f t="shared" si="149"/>
        <v>0.98712361052764996</v>
      </c>
    </row>
    <row r="89" spans="1:55" ht="14.5">
      <c r="A89" s="41">
        <f t="shared" ca="1" si="139"/>
        <v>102.43547763353349</v>
      </c>
      <c r="B89" s="41">
        <f t="shared" ref="B89:C93" ca="1" si="152">A89/60</f>
        <v>1.7072579605588916</v>
      </c>
      <c r="C89" s="41">
        <f t="shared" ca="1" si="152"/>
        <v>2.8454299342648193E-2</v>
      </c>
      <c r="D89" s="41">
        <f t="shared" ca="1" si="140"/>
        <v>17262.011405311845</v>
      </c>
      <c r="E89" s="41" t="e">
        <f t="shared" ca="1" si="141"/>
        <v>#NUM!</v>
      </c>
      <c r="F89" s="41">
        <f t="shared" ca="1" si="142"/>
        <v>9.6518194492589924</v>
      </c>
      <c r="G89" s="41"/>
      <c r="H89" s="7">
        <f t="shared" si="143"/>
        <v>4400</v>
      </c>
      <c r="I89" s="6">
        <v>15</v>
      </c>
      <c r="J89" s="41">
        <f t="shared" si="103"/>
        <v>0.3694768532690722</v>
      </c>
      <c r="K89" s="41">
        <f t="shared" si="104"/>
        <v>416.9751272241831</v>
      </c>
      <c r="L89" s="6">
        <f t="shared" si="150"/>
        <v>226</v>
      </c>
      <c r="M89" s="41">
        <f t="shared" si="105"/>
        <v>247.05109127829292</v>
      </c>
      <c r="N89" s="41">
        <f t="shared" si="106"/>
        <v>172.07279578821425</v>
      </c>
      <c r="O89" s="41">
        <f t="shared" si="107"/>
        <v>2171818.4091097303</v>
      </c>
      <c r="P89" s="41">
        <f t="shared" si="108"/>
        <v>13944600.288893426</v>
      </c>
      <c r="Q89" s="41">
        <f t="shared" si="109"/>
        <v>2.8137361076206332E-3</v>
      </c>
      <c r="R89" s="41">
        <f t="shared" si="110"/>
        <v>2.2106489693694126E-2</v>
      </c>
      <c r="S89" s="24">
        <f t="shared" ca="1" si="144"/>
        <v>-3.6535932181037523</v>
      </c>
      <c r="T89" s="10">
        <f t="shared" ca="1" si="111"/>
        <v>-3.6535932181037523</v>
      </c>
      <c r="U89" s="41">
        <f t="shared" ca="1" si="112"/>
        <v>0.4352790569758655</v>
      </c>
      <c r="V89" s="41">
        <f t="shared" ca="1" si="113"/>
        <v>3.4072658768651592E-2</v>
      </c>
      <c r="W89" s="41">
        <f t="shared" ca="1" si="114"/>
        <v>12.77502468860288</v>
      </c>
      <c r="X89" s="20">
        <f t="shared" ca="1" si="115"/>
        <v>1348.4848604797294</v>
      </c>
      <c r="Y89" s="41">
        <f t="shared" si="116"/>
        <v>0.59162987713314008</v>
      </c>
      <c r="Z89" s="41">
        <f t="shared" ca="1" si="117"/>
        <v>177.57769523119615</v>
      </c>
      <c r="AA89" s="14">
        <f t="shared" ca="1" si="118"/>
        <v>1351.2311581450006</v>
      </c>
      <c r="AB89" s="14">
        <f t="shared" si="145"/>
        <v>4969.6005306042962</v>
      </c>
      <c r="AC89" s="25">
        <f t="shared" ca="1" si="119"/>
        <v>563429.78407679184</v>
      </c>
      <c r="AD89" s="41">
        <f t="shared" si="120"/>
        <v>2072199.8135020942</v>
      </c>
      <c r="AE89" s="6">
        <v>5</v>
      </c>
      <c r="AF89" s="41">
        <f t="shared" si="121"/>
        <v>248.48002653021481</v>
      </c>
      <c r="AG89" s="41">
        <f t="shared" ca="1" si="122"/>
        <v>3618.3693724592958</v>
      </c>
      <c r="AH89" s="41">
        <f t="shared" ca="1" si="123"/>
        <v>1508770.0294253025</v>
      </c>
      <c r="AI89" s="41">
        <f t="shared" si="124"/>
        <v>193.43538526805898</v>
      </c>
      <c r="AJ89" s="13">
        <f t="shared" ca="1" si="125"/>
        <v>-26.571333132254356</v>
      </c>
      <c r="AK89" s="11"/>
      <c r="AL89" s="6">
        <f t="shared" si="151"/>
        <v>-350</v>
      </c>
      <c r="AM89" s="41">
        <f t="shared" ca="1" si="126"/>
        <v>13.172090322225598</v>
      </c>
      <c r="AN89" s="41">
        <f t="shared" ca="1" si="127"/>
        <v>0.70776343507371653</v>
      </c>
      <c r="AO89" s="41">
        <f t="shared" ca="1" si="128"/>
        <v>0.90210148915908051</v>
      </c>
      <c r="AP89" s="67">
        <f t="shared" si="146"/>
        <v>0.77847458393013946</v>
      </c>
      <c r="AQ89" s="11">
        <f t="shared" si="129"/>
        <v>1.0218046807183758</v>
      </c>
      <c r="AR89" s="11">
        <f t="shared" si="130"/>
        <v>0.85090071409566059</v>
      </c>
      <c r="AS89" s="11">
        <f t="shared" si="131"/>
        <v>0.83274301845773313</v>
      </c>
      <c r="AT89" s="11">
        <f t="shared" si="132"/>
        <v>529.97943374819999</v>
      </c>
      <c r="AU89" s="11">
        <f t="shared" si="133"/>
        <v>1800.6931091835188</v>
      </c>
      <c r="AV89" s="11">
        <f t="shared" si="134"/>
        <v>1.9793468805721858E-3</v>
      </c>
      <c r="AW89" s="11">
        <f t="shared" si="135"/>
        <v>3.8002183510623204E-7</v>
      </c>
      <c r="AX89" s="41">
        <f t="shared" ca="1" si="136"/>
        <v>1.486438536059915</v>
      </c>
      <c r="AY89" s="41">
        <f t="shared" ca="1" si="137"/>
        <v>2.0022622399641508</v>
      </c>
      <c r="AZ89" s="41">
        <f t="shared" si="138"/>
        <v>0.26504570968729202</v>
      </c>
      <c r="BA89" s="179">
        <f t="shared" si="147"/>
        <v>1.6046976752921664</v>
      </c>
      <c r="BB89" s="156">
        <f t="shared" si="148"/>
        <v>1.3493691203647182</v>
      </c>
      <c r="BC89" s="156">
        <f t="shared" si="149"/>
        <v>0.98172646027690247</v>
      </c>
    </row>
    <row r="90" spans="1:55" ht="14.5">
      <c r="A90" s="41">
        <f t="shared" ca="1" si="139"/>
        <v>115.60756795575909</v>
      </c>
      <c r="B90" s="41">
        <f t="shared" ca="1" si="152"/>
        <v>1.9267927992626517</v>
      </c>
      <c r="C90" s="41">
        <f t="shared" ca="1" si="152"/>
        <v>3.2113213321044193E-2</v>
      </c>
      <c r="D90" s="41">
        <f t="shared" ca="1" si="140"/>
        <v>17261.30364187677</v>
      </c>
      <c r="E90" s="41" t="e">
        <f t="shared" ca="1" si="141"/>
        <v>#NUM!</v>
      </c>
      <c r="F90" s="41">
        <f t="shared" ca="1" si="142"/>
        <v>10.553920938418074</v>
      </c>
      <c r="G90" s="41"/>
      <c r="H90" s="7">
        <f t="shared" si="143"/>
        <v>4050</v>
      </c>
      <c r="I90" s="6">
        <v>15</v>
      </c>
      <c r="J90" s="41">
        <f t="shared" si="103"/>
        <v>0.34854823746286934</v>
      </c>
      <c r="K90" s="41">
        <f t="shared" si="104"/>
        <v>393.81893184625795</v>
      </c>
      <c r="L90" s="6">
        <f t="shared" si="150"/>
        <v>214.5</v>
      </c>
      <c r="M90" s="41">
        <f t="shared" si="105"/>
        <v>233.33141601599831</v>
      </c>
      <c r="N90" s="41">
        <f t="shared" si="106"/>
        <v>155.13896123063586</v>
      </c>
      <c r="O90" s="41">
        <f t="shared" si="107"/>
        <v>2069457.9183076753</v>
      </c>
      <c r="P90" s="41">
        <f t="shared" si="108"/>
        <v>13287374.010848053</v>
      </c>
      <c r="Q90" s="41">
        <f t="shared" si="109"/>
        <v>2.8390708005890213E-3</v>
      </c>
      <c r="R90" s="41">
        <f t="shared" si="110"/>
        <v>2.2260515390340969E-2</v>
      </c>
      <c r="S90" s="24">
        <f t="shared" ca="1" si="144"/>
        <v>-3.547017621423143</v>
      </c>
      <c r="T90" s="10">
        <f t="shared" ca="1" si="111"/>
        <v>-3.547017621423143</v>
      </c>
      <c r="U90" s="41">
        <f t="shared" ca="1" si="112"/>
        <v>0.48282764636522896</v>
      </c>
      <c r="V90" s="41">
        <f t="shared" ca="1" si="113"/>
        <v>3.6983770932234719E-2</v>
      </c>
      <c r="W90" s="41">
        <f t="shared" ca="1" si="114"/>
        <v>13.055122130458599</v>
      </c>
      <c r="X90" s="20">
        <f t="shared" ca="1" si="115"/>
        <v>1319.6534751082963</v>
      </c>
      <c r="Y90" s="41">
        <f t="shared" si="116"/>
        <v>0.5936873730691139</v>
      </c>
      <c r="Z90" s="41">
        <f t="shared" ca="1" si="117"/>
        <v>176.63917750259904</v>
      </c>
      <c r="AA90" s="14">
        <f t="shared" ca="1" si="118"/>
        <v>1322.1863012376443</v>
      </c>
      <c r="AB90" s="14">
        <f t="shared" si="145"/>
        <v>5034.7607178166854</v>
      </c>
      <c r="AC90" s="25">
        <f t="shared" ca="1" si="119"/>
        <v>520701.99685516371</v>
      </c>
      <c r="AD90" s="41">
        <f t="shared" si="120"/>
        <v>1982784.0879920661</v>
      </c>
      <c r="AE90" s="6">
        <v>5</v>
      </c>
      <c r="AF90" s="41">
        <f t="shared" si="121"/>
        <v>251.73803589083428</v>
      </c>
      <c r="AG90" s="41">
        <f t="shared" ca="1" si="122"/>
        <v>3712.5744165790411</v>
      </c>
      <c r="AH90" s="41">
        <f t="shared" ca="1" si="123"/>
        <v>1462082.0911369023</v>
      </c>
      <c r="AI90" s="41">
        <f t="shared" si="124"/>
        <v>194.99811033531498</v>
      </c>
      <c r="AJ90" s="13">
        <f t="shared" ca="1" si="125"/>
        <v>-24.364632376574171</v>
      </c>
      <c r="AK90" s="11"/>
      <c r="AL90" s="6">
        <f t="shared" si="151"/>
        <v>-350</v>
      </c>
      <c r="AM90" s="41">
        <f t="shared" ca="1" si="126"/>
        <v>14.3650843809371</v>
      </c>
      <c r="AN90" s="41">
        <f t="shared" ca="1" si="127"/>
        <v>0.77810119696946733</v>
      </c>
      <c r="AO90" s="41">
        <f t="shared" ca="1" si="128"/>
        <v>0.9292790572674573</v>
      </c>
      <c r="AP90" s="67">
        <f t="shared" si="146"/>
        <v>0.77460726046132944</v>
      </c>
      <c r="AQ90" s="11">
        <f t="shared" si="129"/>
        <v>1.0242110532183759</v>
      </c>
      <c r="AR90" s="11">
        <f t="shared" si="130"/>
        <v>0.86205751623462168</v>
      </c>
      <c r="AS90" s="11">
        <f t="shared" si="131"/>
        <v>0.8416795674346419</v>
      </c>
      <c r="AT90" s="11">
        <f t="shared" si="132"/>
        <v>531.22754697277503</v>
      </c>
      <c r="AU90" s="11">
        <f t="shared" si="133"/>
        <v>1824.3033570060309</v>
      </c>
      <c r="AV90" s="11">
        <f t="shared" si="134"/>
        <v>2.0005881638354003E-3</v>
      </c>
      <c r="AW90" s="11">
        <f t="shared" si="135"/>
        <v>3.8071298129619079E-7</v>
      </c>
      <c r="AX90" s="41">
        <f t="shared" ca="1" si="136"/>
        <v>1.374158509378069</v>
      </c>
      <c r="AY90" s="41">
        <f t="shared" ca="1" si="137"/>
        <v>1.8510188132946972</v>
      </c>
      <c r="AZ90" s="41">
        <f t="shared" si="138"/>
        <v>0.25143122856411831</v>
      </c>
      <c r="BA90" s="179">
        <f t="shared" si="147"/>
        <v>1.5992358414400256</v>
      </c>
      <c r="BB90" s="156">
        <f t="shared" si="148"/>
        <v>1.3419584035614773</v>
      </c>
      <c r="BC90" s="156">
        <f t="shared" si="149"/>
        <v>0.97635793995139186</v>
      </c>
    </row>
    <row r="91" spans="1:55" ht="14.5">
      <c r="A91" s="41">
        <f t="shared" ca="1" si="139"/>
        <v>129.9726523366962</v>
      </c>
      <c r="B91" s="41">
        <f t="shared" ca="1" si="152"/>
        <v>2.16621087227827</v>
      </c>
      <c r="C91" s="41">
        <f t="shared" ca="1" si="152"/>
        <v>3.6103514537971164E-2</v>
      </c>
      <c r="D91" s="41">
        <f t="shared" ca="1" si="140"/>
        <v>17260.525540679799</v>
      </c>
      <c r="E91" s="41" t="e">
        <f t="shared" ca="1" si="141"/>
        <v>#NUM!</v>
      </c>
      <c r="F91" s="41">
        <f t="shared" ca="1" si="142"/>
        <v>11.483199995685531</v>
      </c>
      <c r="G91" s="41"/>
      <c r="H91" s="7">
        <f t="shared" si="143"/>
        <v>3700</v>
      </c>
      <c r="I91" s="6">
        <v>15</v>
      </c>
      <c r="J91" s="41">
        <f t="shared" si="103"/>
        <v>0.32784830841625956</v>
      </c>
      <c r="K91" s="41">
        <f t="shared" si="104"/>
        <v>370.86532760059754</v>
      </c>
      <c r="L91" s="6">
        <f t="shared" si="150"/>
        <v>203</v>
      </c>
      <c r="M91" s="41">
        <f t="shared" si="105"/>
        <v>219.73177275811244</v>
      </c>
      <c r="N91" s="41">
        <f t="shared" si="106"/>
        <v>139.05427978832876</v>
      </c>
      <c r="O91" s="41">
        <f t="shared" si="107"/>
        <v>1966136.335553735</v>
      </c>
      <c r="P91" s="41">
        <f t="shared" si="108"/>
        <v>12623976.84712748</v>
      </c>
      <c r="Q91" s="41">
        <f t="shared" si="109"/>
        <v>2.8657633484583615E-3</v>
      </c>
      <c r="R91" s="41">
        <f t="shared" si="110"/>
        <v>2.2422796349734646E-2</v>
      </c>
      <c r="S91" s="24">
        <f t="shared" ca="1" si="144"/>
        <v>-3.481804887857797</v>
      </c>
      <c r="T91" s="10">
        <f t="shared" ca="1" si="111"/>
        <v>-3.481804887857797</v>
      </c>
      <c r="U91" s="41">
        <f t="shared" ca="1" si="112"/>
        <v>0.53869063924342564</v>
      </c>
      <c r="V91" s="41">
        <f t="shared" ca="1" si="113"/>
        <v>4.0750094655000013E-2</v>
      </c>
      <c r="W91" s="41">
        <f t="shared" ca="1" si="114"/>
        <v>13.219371483774667</v>
      </c>
      <c r="X91" s="20">
        <f t="shared" ca="1" si="115"/>
        <v>1303.2892646181681</v>
      </c>
      <c r="Y91" s="41">
        <f t="shared" si="116"/>
        <v>0.59584745792672689</v>
      </c>
      <c r="Z91" s="41">
        <f t="shared" ca="1" si="117"/>
        <v>175.70346509287813</v>
      </c>
      <c r="AA91" s="14">
        <f t="shared" ca="1" si="118"/>
        <v>1305.6994095267846</v>
      </c>
      <c r="AB91" s="14">
        <f t="shared" si="145"/>
        <v>5100.6110029829915</v>
      </c>
      <c r="AC91" s="25">
        <f t="shared" ca="1" si="119"/>
        <v>484238.63926205772</v>
      </c>
      <c r="AD91" s="41">
        <f t="shared" si="120"/>
        <v>1891639.7705844995</v>
      </c>
      <c r="AE91" s="6">
        <v>5</v>
      </c>
      <c r="AF91" s="41">
        <f t="shared" si="121"/>
        <v>255.03055014914958</v>
      </c>
      <c r="AG91" s="41">
        <f t="shared" ca="1" si="122"/>
        <v>3794.9115934562069</v>
      </c>
      <c r="AH91" s="41">
        <f t="shared" ca="1" si="123"/>
        <v>1407401.1313224416</v>
      </c>
      <c r="AI91" s="41">
        <f t="shared" si="124"/>
        <v>196.55471618061924</v>
      </c>
      <c r="AJ91" s="13">
        <f t="shared" ca="1" si="125"/>
        <v>-22.523231441330868</v>
      </c>
      <c r="AK91" s="11"/>
      <c r="AL91" s="6">
        <f t="shared" si="151"/>
        <v>-350</v>
      </c>
      <c r="AM91" s="41">
        <f t="shared" ca="1" si="126"/>
        <v>15.539510878431882</v>
      </c>
      <c r="AN91" s="41">
        <f t="shared" ca="1" si="127"/>
        <v>0.84843448619328443</v>
      </c>
      <c r="AO91" s="41">
        <f t="shared" ca="1" si="128"/>
        <v>0.94672820057957363</v>
      </c>
      <c r="AP91" s="67">
        <f t="shared" si="146"/>
        <v>0.77071047396348435</v>
      </c>
      <c r="AQ91" s="11">
        <f t="shared" si="129"/>
        <v>1.0266174257183758</v>
      </c>
      <c r="AR91" s="11">
        <f t="shared" si="130"/>
        <v>0.87333247773833833</v>
      </c>
      <c r="AS91" s="11">
        <f t="shared" si="131"/>
        <v>0.85068931800687464</v>
      </c>
      <c r="AT91" s="11">
        <f t="shared" si="132"/>
        <v>532.47566019734995</v>
      </c>
      <c r="AU91" s="11">
        <f t="shared" si="133"/>
        <v>1848.1636560394261</v>
      </c>
      <c r="AV91" s="11">
        <f t="shared" si="134"/>
        <v>2.0220034399705401E-3</v>
      </c>
      <c r="AW91" s="11">
        <f t="shared" si="135"/>
        <v>3.8140334147428954E-7</v>
      </c>
      <c r="AX91" s="41">
        <f t="shared" ca="1" si="136"/>
        <v>1.2723893949738501</v>
      </c>
      <c r="AY91" s="41">
        <f t="shared" ca="1" si="137"/>
        <v>1.7139337942892789</v>
      </c>
      <c r="AZ91" s="41">
        <f t="shared" si="138"/>
        <v>0.23775611770388325</v>
      </c>
      <c r="BA91" s="179">
        <f t="shared" si="147"/>
        <v>1.5937465635504113</v>
      </c>
      <c r="BB91" s="156">
        <f t="shared" si="148"/>
        <v>1.3345438326151935</v>
      </c>
      <c r="BC91" s="156">
        <f t="shared" si="149"/>
        <v>0.97101914075933626</v>
      </c>
    </row>
    <row r="92" spans="1:55" ht="14.5">
      <c r="A92" s="41">
        <f t="shared" ca="1" si="139"/>
        <v>145.51216321512808</v>
      </c>
      <c r="B92" s="41">
        <f t="shared" ca="1" si="152"/>
        <v>2.4252027202521349</v>
      </c>
      <c r="C92" s="41">
        <f t="shared" ca="1" si="152"/>
        <v>4.0420045337535584E-2</v>
      </c>
      <c r="D92" s="41">
        <f t="shared" ca="1" si="140"/>
        <v>17259.677106193605</v>
      </c>
      <c r="E92" s="41" t="e">
        <f t="shared" ca="1" si="141"/>
        <v>#NUM!</v>
      </c>
      <c r="F92" s="41">
        <f t="shared" ca="1" si="142"/>
        <v>12.429928196265106</v>
      </c>
      <c r="G92" s="41"/>
      <c r="H92" s="7">
        <f t="shared" si="143"/>
        <v>3350</v>
      </c>
      <c r="I92" s="6">
        <v>15</v>
      </c>
      <c r="J92" s="41">
        <f t="shared" si="103"/>
        <v>0.30737809915325159</v>
      </c>
      <c r="K92" s="41">
        <f t="shared" si="104"/>
        <v>348.11649302800458</v>
      </c>
      <c r="L92" s="6">
        <f t="shared" si="150"/>
        <v>191.5</v>
      </c>
      <c r="M92" s="41">
        <f t="shared" si="105"/>
        <v>206.25345225520428</v>
      </c>
      <c r="N92" s="41">
        <f t="shared" si="106"/>
        <v>123.82654565802771</v>
      </c>
      <c r="O92" s="41">
        <f t="shared" si="107"/>
        <v>1861873.4785302025</v>
      </c>
      <c r="P92" s="41">
        <f t="shared" si="108"/>
        <v>11954536.041177601</v>
      </c>
      <c r="Q92" s="41">
        <f t="shared" si="109"/>
        <v>2.8940188878285333E-3</v>
      </c>
      <c r="R92" s="41">
        <f t="shared" si="110"/>
        <v>2.2594579727613088E-2</v>
      </c>
      <c r="S92" s="24">
        <f t="shared" ca="1" si="144"/>
        <v>-3.4655895715885716</v>
      </c>
      <c r="T92" s="10">
        <f t="shared" ca="1" si="111"/>
        <v>-3.4655895715885716</v>
      </c>
      <c r="U92" s="41">
        <f t="shared" ca="1" si="112"/>
        <v>0.60491749352785185</v>
      </c>
      <c r="V92" s="41">
        <f t="shared" ca="1" si="113"/>
        <v>4.570521474350403E-2</v>
      </c>
      <c r="W92" s="41">
        <f t="shared" ca="1" si="114"/>
        <v>13.235196397667671</v>
      </c>
      <c r="X92" s="20">
        <f t="shared" ca="1" si="115"/>
        <v>1301.6893378566865</v>
      </c>
      <c r="Y92" s="41">
        <f t="shared" si="116"/>
        <v>0.59812552783125672</v>
      </c>
      <c r="Z92" s="41">
        <f t="shared" ca="1" si="117"/>
        <v>174.77006625371081</v>
      </c>
      <c r="AA92" s="14">
        <f t="shared" ca="1" si="118"/>
        <v>1304.0741208218969</v>
      </c>
      <c r="AB92" s="14">
        <f t="shared" si="145"/>
        <v>5167.1569636999984</v>
      </c>
      <c r="AC92" s="25">
        <f t="shared" ca="1" si="119"/>
        <v>453969.70958909707</v>
      </c>
      <c r="AD92" s="41">
        <f t="shared" si="120"/>
        <v>1798772.5611284759</v>
      </c>
      <c r="AE92" s="6">
        <v>5</v>
      </c>
      <c r="AF92" s="41">
        <f t="shared" si="121"/>
        <v>258.35784818499991</v>
      </c>
      <c r="AG92" s="41">
        <f t="shared" ca="1" si="122"/>
        <v>3863.0828428781015</v>
      </c>
      <c r="AH92" s="41">
        <f t="shared" ca="1" si="123"/>
        <v>1344802.851539379</v>
      </c>
      <c r="AI92" s="41">
        <f t="shared" si="124"/>
        <v>198.10524224046961</v>
      </c>
      <c r="AJ92" s="13">
        <f t="shared" ca="1" si="125"/>
        <v>-21.043319467422553</v>
      </c>
      <c r="AK92" s="11"/>
      <c r="AL92" s="6">
        <f t="shared" si="151"/>
        <v>-350</v>
      </c>
      <c r="AM92" s="41">
        <f t="shared" ca="1" si="126"/>
        <v>16.632356912218139</v>
      </c>
      <c r="AN92" s="41">
        <f t="shared" ca="1" si="127"/>
        <v>0.91526585975692321</v>
      </c>
      <c r="AO92" s="41">
        <f t="shared" ca="1" si="128"/>
        <v>0.95116879225468121</v>
      </c>
      <c r="AP92" s="67">
        <f t="shared" si="146"/>
        <v>0.76678623712105787</v>
      </c>
      <c r="AQ92" s="11">
        <f t="shared" si="129"/>
        <v>1.0290237982183759</v>
      </c>
      <c r="AR92" s="11">
        <f t="shared" si="130"/>
        <v>0.8847265536093416</v>
      </c>
      <c r="AS92" s="11">
        <f t="shared" si="131"/>
        <v>0.85977268469508028</v>
      </c>
      <c r="AT92" s="11">
        <f t="shared" si="132"/>
        <v>533.72377342192499</v>
      </c>
      <c r="AU92" s="11">
        <f t="shared" si="133"/>
        <v>1872.2760272791606</v>
      </c>
      <c r="AV92" s="11">
        <f t="shared" si="134"/>
        <v>2.0435936942517362E-3</v>
      </c>
      <c r="AW92" s="11">
        <f t="shared" si="135"/>
        <v>3.8209291781665951E-7</v>
      </c>
      <c r="AX92" s="41">
        <f t="shared" ca="1" si="136"/>
        <v>1.182453147708505</v>
      </c>
      <c r="AY92" s="41">
        <f t="shared" ca="1" si="137"/>
        <v>1.5927878824099995</v>
      </c>
      <c r="AZ92" s="41">
        <f t="shared" si="138"/>
        <v>0.22402797691253948</v>
      </c>
      <c r="BA92" s="179">
        <f t="shared" si="147"/>
        <v>1.5882302057465869</v>
      </c>
      <c r="BB92" s="156">
        <f t="shared" si="148"/>
        <v>1.3271265488092332</v>
      </c>
      <c r="BC92" s="156">
        <f t="shared" si="149"/>
        <v>0.9657111462405491</v>
      </c>
    </row>
    <row r="93" spans="1:55" ht="14.5">
      <c r="A93" s="41">
        <f t="shared" ca="1" si="139"/>
        <v>162.14452012734623</v>
      </c>
      <c r="B93" s="41">
        <f t="shared" ca="1" si="152"/>
        <v>2.7024086687891038</v>
      </c>
      <c r="C93" s="41">
        <f t="shared" ca="1" si="152"/>
        <v>4.5040144479818398E-2</v>
      </c>
      <c r="D93" s="41">
        <f t="shared" ca="1" si="140"/>
        <v>17258.761840333849</v>
      </c>
      <c r="E93" s="41" t="e">
        <f t="shared" ca="1" si="141"/>
        <v>#NUM!</v>
      </c>
      <c r="F93" s="41">
        <f t="shared" ca="1" si="142"/>
        <v>13.381096988519786</v>
      </c>
      <c r="G93" s="41"/>
      <c r="H93" s="7">
        <f t="shared" si="143"/>
        <v>3000</v>
      </c>
      <c r="I93" s="6">
        <v>15</v>
      </c>
      <c r="J93" s="41">
        <f t="shared" si="103"/>
        <v>0.28713835631100121</v>
      </c>
      <c r="K93" s="41">
        <f t="shared" si="104"/>
        <v>325.57428482334547</v>
      </c>
      <c r="L93" s="6">
        <f>L92-($L$68-$L$98)/20</f>
        <v>180</v>
      </c>
      <c r="M93" s="41">
        <f t="shared" si="105"/>
        <v>192.89755456927503</v>
      </c>
      <c r="N93" s="41">
        <f t="shared" si="106"/>
        <v>109.46264517225482</v>
      </c>
      <c r="O93" s="41">
        <f t="shared" si="107"/>
        <v>1756688.0948151206</v>
      </c>
      <c r="P93" s="41">
        <f t="shared" si="108"/>
        <v>11279171.965623073</v>
      </c>
      <c r="Q93" s="41">
        <f t="shared" si="109"/>
        <v>2.9240838430518376E-3</v>
      </c>
      <c r="R93" s="41">
        <f t="shared" si="110"/>
        <v>2.277736369419613E-2</v>
      </c>
      <c r="S93" s="24">
        <f t="shared" ca="1" si="144"/>
        <v>-3.5084007711906118</v>
      </c>
      <c r="T93" s="10">
        <f t="shared" ca="1" si="111"/>
        <v>-3.5084007711906118</v>
      </c>
      <c r="U93" s="41">
        <f t="shared" ca="1" si="112"/>
        <v>0.6842284981834682</v>
      </c>
      <c r="V93" s="41">
        <f t="shared" ca="1" si="113"/>
        <v>5.2345360874654884E-2</v>
      </c>
      <c r="W93" s="41">
        <f t="shared" ca="1" si="114"/>
        <v>13.071425752931718</v>
      </c>
      <c r="X93" s="20">
        <f t="shared" ca="1" si="115"/>
        <v>1317.8681826822749</v>
      </c>
      <c r="Y93" s="41">
        <f t="shared" si="116"/>
        <v>0.60053999049783546</v>
      </c>
      <c r="Z93" s="41">
        <f t="shared" ca="1" si="117"/>
        <v>173.83813485145075</v>
      </c>
      <c r="AA93" s="14">
        <f t="shared" ca="1" si="118"/>
        <v>1320.3427205684106</v>
      </c>
      <c r="AB93" s="14">
        <f t="shared" si="145"/>
        <v>5234.4042087224379</v>
      </c>
      <c r="AC93" s="25">
        <f t="shared" ca="1" si="119"/>
        <v>429869.63697077055</v>
      </c>
      <c r="AD93" s="41">
        <f t="shared" si="120"/>
        <v>1704187.4067311173</v>
      </c>
      <c r="AE93" s="6">
        <v>5</v>
      </c>
      <c r="AF93" s="41">
        <f t="shared" si="121"/>
        <v>261.72021043612193</v>
      </c>
      <c r="AG93" s="41">
        <f t="shared" ca="1" si="122"/>
        <v>3914.0614881540273</v>
      </c>
      <c r="AH93" s="41">
        <f t="shared" ca="1" si="123"/>
        <v>1274317.7697603467</v>
      </c>
      <c r="AI93" s="41">
        <f t="shared" si="124"/>
        <v>199.64973527028752</v>
      </c>
      <c r="AJ93" s="13">
        <f t="shared" ca="1" si="125"/>
        <v>-19.923481412674519</v>
      </c>
      <c r="AK93" s="11"/>
      <c r="AL93" s="6">
        <v>0</v>
      </c>
      <c r="AM93" s="41">
        <f t="shared" ca="1" si="126"/>
        <v>0</v>
      </c>
      <c r="AN93" s="41">
        <f t="shared" ca="1" si="127"/>
        <v>0</v>
      </c>
      <c r="AO93" s="41">
        <f t="shared" ca="1" si="128"/>
        <v>0</v>
      </c>
      <c r="AP93" s="67">
        <f>0.701 + 0.301*AZ93 + -0.0328*AZ93^2</f>
        <v>0.76283652277979519</v>
      </c>
      <c r="AQ93" s="11">
        <f t="shared" si="129"/>
        <v>1.0314301707183759</v>
      </c>
      <c r="AR93" s="11">
        <f t="shared" si="130"/>
        <v>0.8962407041850623</v>
      </c>
      <c r="AS93" s="11">
        <f t="shared" si="131"/>
        <v>0.86893008332386068</v>
      </c>
      <c r="AT93" s="11">
        <f t="shared" si="132"/>
        <v>534.97188664650002</v>
      </c>
      <c r="AU93" s="11">
        <f t="shared" si="133"/>
        <v>1896.6425030105124</v>
      </c>
      <c r="AV93" s="11">
        <f t="shared" si="134"/>
        <v>2.0653599150524844E-3</v>
      </c>
      <c r="AW93" s="11">
        <f t="shared" si="135"/>
        <v>3.8278171249107636E-7</v>
      </c>
      <c r="AX93" s="41">
        <f t="shared" ca="1" si="136"/>
        <v>1.106294591773652</v>
      </c>
      <c r="AY93" s="41">
        <f t="shared" ca="1" si="137"/>
        <v>1.4902007944818598</v>
      </c>
      <c r="AZ93" s="41">
        <f t="shared" si="138"/>
        <v>0.21025417408998501</v>
      </c>
      <c r="BA93" s="179">
        <f>2.12 - (0.00251*AF93) + (1.94*10^(-6)*AF93^2) - (7.84*10^(-10)*AF93^3) + (1.7*10^(-13)*AF93^4) - (1.89*10^(-17)*AF93^5) + (8.37*10^(-22)*AF93^6)</f>
        <v>1.582687142023385</v>
      </c>
      <c r="BB93" s="156">
        <f t="shared" si="148"/>
        <v>1.3197077059626507</v>
      </c>
      <c r="BC93" s="156">
        <f t="shared" si="149"/>
        <v>0.96043503140153696</v>
      </c>
    </row>
    <row r="94" spans="1:55" ht="14.5">
      <c r="B94" s="135">
        <f ca="1">B93-B73</f>
        <v>2.7024086687891038</v>
      </c>
      <c r="X94" s="32">
        <f ca="1">AVERAGE(X73:X93)</f>
        <v>1810.517181223031</v>
      </c>
      <c r="AC94" s="3"/>
      <c r="AD94" s="3"/>
      <c r="AN94" s="32">
        <f ca="1">SUM(AN73:AN93)</f>
        <v>8.4560846632657487</v>
      </c>
      <c r="AP94" s="145"/>
    </row>
    <row r="95" spans="1:55" ht="14.5">
      <c r="A95" s="67" t="s">
        <v>5</v>
      </c>
      <c r="B95" s="67" t="s">
        <v>122</v>
      </c>
      <c r="C95" s="67">
        <v>240</v>
      </c>
      <c r="D95" s="67" t="s">
        <v>21</v>
      </c>
      <c r="E95" s="53"/>
      <c r="F95" s="53"/>
      <c r="G95" s="53"/>
      <c r="H95" s="53"/>
      <c r="I95" s="53"/>
      <c r="J95" s="53"/>
      <c r="K95" s="53"/>
      <c r="L95" s="67" t="s">
        <v>60</v>
      </c>
      <c r="M95" s="53"/>
      <c r="N95" s="53"/>
      <c r="O95" s="53"/>
      <c r="P95" s="53"/>
      <c r="Q95" s="67"/>
      <c r="R95" s="53"/>
      <c r="S95" s="53"/>
      <c r="T95" s="53"/>
      <c r="U95" s="67"/>
      <c r="V95" s="67"/>
      <c r="W95" s="67"/>
      <c r="X95" s="67"/>
      <c r="Y95" s="53"/>
      <c r="Z95" s="53"/>
      <c r="AA95" s="67"/>
      <c r="AB95" s="67"/>
      <c r="AC95" s="53"/>
      <c r="AD95" s="53"/>
      <c r="AE95" s="53"/>
      <c r="AF95" s="67"/>
      <c r="AG95" s="53"/>
      <c r="AH95" s="53"/>
      <c r="AI95" s="53"/>
      <c r="AJ95" s="67" t="s">
        <v>61</v>
      </c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</row>
    <row r="96" spans="1:55" ht="14.5">
      <c r="A96" s="41" t="s">
        <v>2</v>
      </c>
      <c r="B96" s="41" t="s">
        <v>2</v>
      </c>
      <c r="C96" s="41" t="s">
        <v>2</v>
      </c>
      <c r="D96" s="41" t="s">
        <v>23</v>
      </c>
      <c r="E96" s="41" t="s">
        <v>24</v>
      </c>
      <c r="F96" s="41" t="s">
        <v>25</v>
      </c>
      <c r="G96" s="41"/>
      <c r="H96" s="41" t="s">
        <v>0</v>
      </c>
      <c r="I96" s="5" t="s">
        <v>26</v>
      </c>
      <c r="J96" s="41" t="s">
        <v>27</v>
      </c>
      <c r="K96" s="41" t="s">
        <v>28</v>
      </c>
      <c r="L96" s="12" t="s">
        <v>29</v>
      </c>
      <c r="M96" s="13" t="s">
        <v>30</v>
      </c>
      <c r="N96" s="41" t="s">
        <v>31</v>
      </c>
      <c r="O96" s="41" t="s">
        <v>32</v>
      </c>
      <c r="P96" s="41" t="s">
        <v>33</v>
      </c>
      <c r="Q96" s="41" t="s">
        <v>34</v>
      </c>
      <c r="R96" s="41" t="s">
        <v>13</v>
      </c>
      <c r="S96" s="24" t="s">
        <v>35</v>
      </c>
      <c r="T96" s="10" t="s">
        <v>35</v>
      </c>
      <c r="U96" s="41" t="s">
        <v>36</v>
      </c>
      <c r="V96" s="41" t="s">
        <v>37</v>
      </c>
      <c r="W96" s="41" t="s">
        <v>38</v>
      </c>
      <c r="X96" s="41" t="s">
        <v>39</v>
      </c>
      <c r="Y96" s="41" t="s">
        <v>40</v>
      </c>
      <c r="Z96" s="35" t="s">
        <v>108</v>
      </c>
      <c r="AA96" s="35" t="s">
        <v>109</v>
      </c>
      <c r="AB96" s="9" t="s">
        <v>110</v>
      </c>
      <c r="AC96" s="7" t="s">
        <v>111</v>
      </c>
      <c r="AD96" s="7" t="s">
        <v>112</v>
      </c>
      <c r="AE96" s="5" t="s">
        <v>41</v>
      </c>
      <c r="AF96" s="7" t="s">
        <v>113</v>
      </c>
      <c r="AG96" s="7" t="s">
        <v>114</v>
      </c>
      <c r="AH96" s="7" t="s">
        <v>115</v>
      </c>
      <c r="AI96" s="41" t="s">
        <v>42</v>
      </c>
      <c r="AJ96" s="41" t="s">
        <v>43</v>
      </c>
      <c r="AK96" s="36"/>
      <c r="AL96" s="5" t="s">
        <v>44</v>
      </c>
      <c r="AM96" s="5" t="s">
        <v>45</v>
      </c>
      <c r="AN96" s="41" t="s">
        <v>46</v>
      </c>
      <c r="AO96" s="41" t="s">
        <v>47</v>
      </c>
      <c r="AP96" s="53"/>
      <c r="AQ96" s="15" t="s">
        <v>62</v>
      </c>
      <c r="AR96" s="16" t="s">
        <v>63</v>
      </c>
      <c r="AS96" s="16" t="s">
        <v>64</v>
      </c>
      <c r="AT96" s="17" t="s">
        <v>65</v>
      </c>
      <c r="AU96" s="18" t="s">
        <v>66</v>
      </c>
      <c r="AV96" s="18" t="s">
        <v>67</v>
      </c>
      <c r="AW96" s="19" t="s">
        <v>68</v>
      </c>
      <c r="AX96" s="7" t="s">
        <v>207</v>
      </c>
      <c r="AY96" s="7" t="s">
        <v>208</v>
      </c>
      <c r="AZ96" s="7" t="s">
        <v>209</v>
      </c>
    </row>
    <row r="97" spans="1:53" ht="14.5">
      <c r="A97" s="41" t="s">
        <v>18</v>
      </c>
      <c r="B97" s="41" t="s">
        <v>21</v>
      </c>
      <c r="C97" s="41" t="s">
        <v>48</v>
      </c>
      <c r="D97" s="41" t="s">
        <v>8</v>
      </c>
      <c r="E97" s="41" t="s">
        <v>49</v>
      </c>
      <c r="F97" s="41" t="s">
        <v>49</v>
      </c>
      <c r="G97" s="41"/>
      <c r="H97" s="41" t="s">
        <v>9</v>
      </c>
      <c r="I97" s="5" t="s">
        <v>50</v>
      </c>
      <c r="J97" s="41"/>
      <c r="K97" s="41" t="s">
        <v>51</v>
      </c>
      <c r="L97" s="5" t="s">
        <v>52</v>
      </c>
      <c r="M97" s="41" t="s">
        <v>52</v>
      </c>
      <c r="N97" s="41" t="s">
        <v>53</v>
      </c>
      <c r="O97" s="41" t="s">
        <v>54</v>
      </c>
      <c r="P97" s="41"/>
      <c r="Q97" s="41"/>
      <c r="R97" s="41"/>
      <c r="S97" s="24" t="s">
        <v>55</v>
      </c>
      <c r="T97" s="10" t="s">
        <v>55</v>
      </c>
      <c r="U97" s="41"/>
      <c r="V97" s="41"/>
      <c r="W97" s="41"/>
      <c r="X97" s="41"/>
      <c r="Y97" s="41"/>
      <c r="Z97" s="41"/>
      <c r="AA97" s="9" t="s">
        <v>118</v>
      </c>
      <c r="AB97" s="9" t="s">
        <v>118</v>
      </c>
      <c r="AC97" s="7" t="s">
        <v>119</v>
      </c>
      <c r="AD97" s="7" t="s">
        <v>119</v>
      </c>
      <c r="AE97" s="5" t="s">
        <v>20</v>
      </c>
      <c r="AF97" s="7" t="s">
        <v>118</v>
      </c>
      <c r="AG97" s="7" t="s">
        <v>118</v>
      </c>
      <c r="AH97" s="7" t="s">
        <v>119</v>
      </c>
      <c r="AI97" s="41" t="s">
        <v>56</v>
      </c>
      <c r="AJ97" s="41" t="s">
        <v>57</v>
      </c>
      <c r="AK97" s="11"/>
      <c r="AL97" s="5" t="s">
        <v>9</v>
      </c>
      <c r="AM97" s="5" t="s">
        <v>18</v>
      </c>
      <c r="AN97" s="41" t="s">
        <v>8</v>
      </c>
      <c r="AO97" s="41" t="s">
        <v>49</v>
      </c>
      <c r="AP97" s="53"/>
      <c r="AQ97" s="11"/>
      <c r="AR97" s="11"/>
      <c r="AS97" s="11"/>
      <c r="AT97" s="11"/>
      <c r="AU97" s="11"/>
      <c r="AV97" s="11"/>
      <c r="AW97" s="11"/>
      <c r="AX97" s="41"/>
      <c r="AY97" s="41"/>
      <c r="AZ97" s="41"/>
    </row>
    <row r="98" spans="1:53" ht="14.5">
      <c r="A98" s="41">
        <f ca="1">A93</f>
        <v>162.14452012734623</v>
      </c>
      <c r="B98" s="41">
        <f t="shared" ref="B98:C98" ca="1" si="153">(A98/60)</f>
        <v>2.7024086687891038</v>
      </c>
      <c r="C98" s="41">
        <f t="shared" ca="1" si="153"/>
        <v>4.5040144479818398E-2</v>
      </c>
      <c r="D98" s="41">
        <f t="shared" ref="D98:E98" ca="1" si="154">D93</f>
        <v>17258.761840333849</v>
      </c>
      <c r="E98" s="41" t="e">
        <f t="shared" ca="1" si="154"/>
        <v>#NUM!</v>
      </c>
      <c r="F98" s="7">
        <v>0</v>
      </c>
      <c r="G98" s="41"/>
      <c r="H98" s="7">
        <f>H93</f>
        <v>3000</v>
      </c>
      <c r="I98" s="6">
        <v>15</v>
      </c>
      <c r="J98" s="41">
        <f t="shared" ref="J98:J118" si="155">SQRT((((((((L98^2)*(0.2))/(661.477)^2) + 1)^(3.5) - 1)*(1/AR98) + 1)^(1/3.5) - 1)*(5))</f>
        <v>0.28713835631100121</v>
      </c>
      <c r="K98" s="41">
        <f t="shared" ref="K98:K118" si="156">SQRT((1.4*2116.22*AR98*(J98)^2)/AV98)</f>
        <v>325.57428482334547</v>
      </c>
      <c r="L98" s="120">
        <v>180</v>
      </c>
      <c r="M98" s="41">
        <f t="shared" ref="M98:M118" si="157">K98*0.592484</f>
        <v>192.89755456927503</v>
      </c>
      <c r="N98" s="41">
        <f t="shared" ref="N98:N118" si="158">0.5*AV98*K98^2</f>
        <v>109.46264517225482</v>
      </c>
      <c r="O98" s="41">
        <f t="shared" ref="O98:O118" si="159">P98/$B$7</f>
        <v>1756688.0948151206</v>
      </c>
      <c r="P98" s="41">
        <f t="shared" ref="P98:P118" si="160">(AV98*K98*$B$7)/(AW98)</f>
        <v>11279171.965623073</v>
      </c>
      <c r="Q98" s="41">
        <f t="shared" ref="Q98:Q118" si="161">0.455/(LOG10(P98)^2.58 * (1+0.144*J98*J98)^0.65)</f>
        <v>2.9240838430518376E-3</v>
      </c>
      <c r="R98" s="41">
        <f t="shared" ref="R98:R118" si="162">(((Q98*$B$4)+$B$17)+(0.1*(Q98*$B$4)))</f>
        <v>2.277736369419613E-2</v>
      </c>
      <c r="S98" s="24">
        <f ca="1">T98</f>
        <v>0</v>
      </c>
      <c r="T98" s="10">
        <f t="shared" ref="T98:T118" ca="1" si="163">DEGREES(ASIN(((AF98-X98)/(D98))))</f>
        <v>0</v>
      </c>
      <c r="U98" s="41">
        <f t="shared" ref="U98:U118" ca="1" si="164">(D98*COS(RADIANS(S98)))/(N98*$B$3)</f>
        <v>0.685513261988967</v>
      </c>
      <c r="V98" s="41">
        <f t="shared" ref="V98:V118" ca="1" si="165">(X98)/(N98*$B$3)</f>
        <v>5.2456503737830146E-2</v>
      </c>
      <c r="W98" s="41">
        <f t="shared" ref="W98:W118" ca="1" si="166">U98/V98</f>
        <v>13.06822249182029</v>
      </c>
      <c r="X98" s="20">
        <f t="shared" ref="X98:X118" ca="1" si="167">(N98*$B$3*R98)+((N98*$B$3)*((U98^2)/(PI()*$B$6*$B$5)))</f>
        <v>1320.6663607951668</v>
      </c>
      <c r="Y98" s="41">
        <f t="shared" ref="Y98:Y118" si="168">SQRT(PI()*$B$6*$B$5*R98)</f>
        <v>0.60053999049783546</v>
      </c>
      <c r="Z98" s="41">
        <f t="shared" ref="Z98:Z118" ca="1" si="169">SQRT((2*((U98*N98*$B$3)/(D98))*D98)/(AV98*$B$3*$B$18))</f>
        <v>174.00126471357959</v>
      </c>
      <c r="AA98" s="14">
        <f t="shared" ref="AA98:AA118" ca="1" si="170">D98/W98</f>
        <v>1320.6663607951668</v>
      </c>
      <c r="AB98" s="14">
        <f>$B$15*AR98*0.93</f>
        <v>5234.4042087224379</v>
      </c>
      <c r="AC98" s="25">
        <f t="shared" ref="AC98:AC118" ca="1" si="171">AA98*K98</f>
        <v>429975.00590613676</v>
      </c>
      <c r="AD98" s="41">
        <f t="shared" ref="AD98:AD118" si="172">AB98*K98</f>
        <v>1704187.4067311173</v>
      </c>
      <c r="AE98" s="5">
        <f t="shared" ref="AE98:AE118" ca="1" si="173">(AA98/AB98)*100</f>
        <v>25.230500132077154</v>
      </c>
      <c r="AF98" s="7">
        <f t="shared" ref="AF98:AF118" ca="1" si="174">(AB98)*(AE98/100)</f>
        <v>1320.6663607951668</v>
      </c>
      <c r="AG98" s="41">
        <f t="shared" ref="AG98:AG118" ca="1" si="175">AB98-AA98</f>
        <v>3913.7378479272711</v>
      </c>
      <c r="AH98" s="41">
        <f t="shared" ref="AH98:AH118" ca="1" si="176">AD98-AC98</f>
        <v>1274212.4008249806</v>
      </c>
      <c r="AI98" s="41">
        <f t="shared" ref="AI98:AI118" ca="1" si="177">(AP98*AF98)</f>
        <v>1020.1832350046171</v>
      </c>
      <c r="AJ98" s="13">
        <f t="shared" ref="AJ98:AJ118" ca="1" si="178">K98*SIN(RADIANS(T98))</f>
        <v>0</v>
      </c>
      <c r="AK98" s="11"/>
      <c r="AL98" s="6">
        <v>0</v>
      </c>
      <c r="AM98" s="6">
        <v>720</v>
      </c>
      <c r="AN98" s="41">
        <f t="shared" ref="AN98:AN118" ca="1" si="179">AI98*(AM98/3600)</f>
        <v>204.03664700092344</v>
      </c>
      <c r="AO98" s="41">
        <f t="shared" ref="AO98:AO118" ca="1" si="180">M98*COS(RADIANS(T98))*(AM98/3600)</f>
        <v>38.57951091385501</v>
      </c>
      <c r="AP98" s="67">
        <f>0.71 + 0.304*AZ98 + -0.0326*AZ98^2</f>
        <v>0.77247612666560972</v>
      </c>
      <c r="AQ98" s="11">
        <f t="shared" ref="AQ98:AQ118" si="181">IF(H98 &lt;= 36089, ((1 - 6.87535*10^(-6)*H98) + ((I98*1.8)/518.67)), 0.75187 + ((I98*1.8)/518.67))</f>
        <v>1.0314301707183759</v>
      </c>
      <c r="AR98" s="11">
        <f t="shared" ref="AR98:AR118" si="182">IF(H98 &lt;= 36089, (1 - 6.87535*10^(-6)*H98)^5.2561, 0.22336*EXP((36089 - H98)/(20806.7)))</f>
        <v>0.8962407041850623</v>
      </c>
      <c r="AS98" s="11">
        <f t="shared" ref="AS98:AS118" si="183">(AR98/AQ98)</f>
        <v>0.86893008332386068</v>
      </c>
      <c r="AT98" s="11">
        <f t="shared" ref="AT98:AT118" si="184">(518.67*AQ98)</f>
        <v>534.97188664650002</v>
      </c>
      <c r="AU98" s="11">
        <f t="shared" ref="AU98:AU118" si="185">2116.22*AR98</f>
        <v>1896.6425030105124</v>
      </c>
      <c r="AV98" s="11">
        <f t="shared" ref="AV98:AV118" si="186">(0.0023769*AS98)</f>
        <v>2.0653599150524844E-3</v>
      </c>
      <c r="AW98" s="11">
        <f t="shared" ref="AW98:AW118" si="187">((2.2697*10^-8)*(AT98^1.5))/(AT98+198.72)</f>
        <v>3.8278171249107636E-7</v>
      </c>
      <c r="AX98" s="41">
        <f t="shared" ref="AX98:AX118" ca="1" si="188">(1/U98)*(((1 + 0.2*(U98)^2)/1.2)^3)</f>
        <v>1.1052876569154237</v>
      </c>
      <c r="AY98" s="41">
        <f t="shared" ref="AY98:AY118" ca="1" si="189">($H$4/$H$3)*AX98</f>
        <v>1.4888444332224979</v>
      </c>
      <c r="AZ98" s="41">
        <f t="shared" ref="AZ98:AZ118" si="190">-6.6*10^(-3) + 0.825*J98 - 0.243*(J98^2)</f>
        <v>0.21025417408998501</v>
      </c>
      <c r="BA98" s="179">
        <f ca="1">2.12-0.00251*AF98+1.94*10^-6*AF98^2-7.84*10^-10*AF98^3+1.7*10^-13*AF98^4-1.89*10^-17*AF98^5+8.37*10^-22*AF98^6</f>
        <v>0.82855438085641098</v>
      </c>
    </row>
    <row r="99" spans="1:53" ht="14.5">
      <c r="A99" s="41">
        <f t="shared" ref="A99:A118" ca="1" si="191">A98+AM98</f>
        <v>882.14452012734625</v>
      </c>
      <c r="B99" s="41">
        <f t="shared" ref="B99:C114" ca="1" si="192">A99/60</f>
        <v>14.702408668789104</v>
      </c>
      <c r="C99" s="41">
        <f t="shared" ca="1" si="192"/>
        <v>0.24504014447981839</v>
      </c>
      <c r="D99" s="41">
        <f t="shared" ref="D99:D118" ca="1" si="193">D98-AN98</f>
        <v>17054.725193332924</v>
      </c>
      <c r="E99" s="41" t="e">
        <f t="shared" ref="E99:E118" ca="1" si="194">E98+AO98</f>
        <v>#NUM!</v>
      </c>
      <c r="F99" s="41">
        <f t="shared" ref="F99:F118" ca="1" si="195">F98+AO98</f>
        <v>38.57951091385501</v>
      </c>
      <c r="G99" s="41"/>
      <c r="H99" s="7">
        <f t="shared" ref="H99:H118" si="196">H98+AL98</f>
        <v>3000</v>
      </c>
      <c r="I99" s="6">
        <v>15</v>
      </c>
      <c r="J99" s="41">
        <f t="shared" si="155"/>
        <v>0.28713835631100121</v>
      </c>
      <c r="K99" s="41">
        <f t="shared" si="156"/>
        <v>325.57428482334547</v>
      </c>
      <c r="L99" s="6">
        <f t="shared" ref="L99:L118" si="197">L98</f>
        <v>180</v>
      </c>
      <c r="M99" s="41">
        <f t="shared" si="157"/>
        <v>192.89755456927503</v>
      </c>
      <c r="N99" s="41">
        <f t="shared" si="158"/>
        <v>109.46264517225482</v>
      </c>
      <c r="O99" s="41">
        <f t="shared" si="159"/>
        <v>1756688.0948151206</v>
      </c>
      <c r="P99" s="41">
        <f t="shared" si="160"/>
        <v>11279171.965623073</v>
      </c>
      <c r="Q99" s="41">
        <f t="shared" si="161"/>
        <v>2.9240838430518376E-3</v>
      </c>
      <c r="R99" s="41">
        <f t="shared" si="162"/>
        <v>2.277736369419613E-2</v>
      </c>
      <c r="S99" s="24">
        <f t="shared" ref="S99:S118" ca="1" si="198">T99</f>
        <v>7.6386759842763856E-16</v>
      </c>
      <c r="T99" s="10">
        <f t="shared" ca="1" si="163"/>
        <v>7.6386759842763856E-16</v>
      </c>
      <c r="U99" s="41">
        <f t="shared" ca="1" si="164"/>
        <v>0.67740898262380311</v>
      </c>
      <c r="V99" s="41">
        <f t="shared" ca="1" si="165"/>
        <v>5.1758905983290956E-2</v>
      </c>
      <c r="W99" s="41">
        <f t="shared" ca="1" si="166"/>
        <v>13.087776291919448</v>
      </c>
      <c r="X99" s="20">
        <f t="shared" ca="1" si="167"/>
        <v>1303.1033548352073</v>
      </c>
      <c r="Y99" s="41">
        <f t="shared" si="168"/>
        <v>0.60053999049783546</v>
      </c>
      <c r="Z99" s="41">
        <f t="shared" ca="1" si="169"/>
        <v>172.96966726476518</v>
      </c>
      <c r="AA99" s="14">
        <f t="shared" ca="1" si="170"/>
        <v>1303.1033548352075</v>
      </c>
      <c r="AB99" s="14">
        <f t="shared" ref="AB99:AB118" si="199">$B$15*AR99*0.93</f>
        <v>5234.4042087224379</v>
      </c>
      <c r="AC99" s="25">
        <f t="shared" ca="1" si="171"/>
        <v>424256.94280137483</v>
      </c>
      <c r="AD99" s="41">
        <f t="shared" si="172"/>
        <v>1704187.4067311173</v>
      </c>
      <c r="AE99" s="5">
        <f t="shared" ca="1" si="173"/>
        <v>24.894969950233481</v>
      </c>
      <c r="AF99" s="7">
        <f t="shared" ca="1" si="174"/>
        <v>1303.1033548352075</v>
      </c>
      <c r="AG99" s="41">
        <f t="shared" ca="1" si="175"/>
        <v>3931.3008538872305</v>
      </c>
      <c r="AH99" s="41">
        <f t="shared" ca="1" si="176"/>
        <v>1279930.4639297426</v>
      </c>
      <c r="AI99" s="41">
        <f t="shared" ca="1" si="177"/>
        <v>1006.6162321880627</v>
      </c>
      <c r="AJ99" s="13">
        <f t="shared" ca="1" si="178"/>
        <v>4.3405578765364439E-15</v>
      </c>
      <c r="AK99" s="11"/>
      <c r="AL99" s="6">
        <v>0</v>
      </c>
      <c r="AM99" s="6">
        <v>720</v>
      </c>
      <c r="AN99" s="41">
        <f t="shared" ca="1" si="179"/>
        <v>201.32324643761254</v>
      </c>
      <c r="AO99" s="41">
        <f t="shared" ca="1" si="180"/>
        <v>38.57951091385501</v>
      </c>
      <c r="AP99" s="67">
        <f t="shared" ref="AP99:AP118" si="200">0.71 + 0.304*AZ99 + -0.0326*AZ99^2</f>
        <v>0.77247612666560972</v>
      </c>
      <c r="AQ99" s="11">
        <f t="shared" si="181"/>
        <v>1.0314301707183759</v>
      </c>
      <c r="AR99" s="11">
        <f t="shared" si="182"/>
        <v>0.8962407041850623</v>
      </c>
      <c r="AS99" s="11">
        <f t="shared" si="183"/>
        <v>0.86893008332386068</v>
      </c>
      <c r="AT99" s="11">
        <f t="shared" si="184"/>
        <v>534.97188664650002</v>
      </c>
      <c r="AU99" s="11">
        <f t="shared" si="185"/>
        <v>1896.6425030105124</v>
      </c>
      <c r="AV99" s="11">
        <f t="shared" si="186"/>
        <v>2.0653599150524844E-3</v>
      </c>
      <c r="AW99" s="11">
        <f t="shared" si="187"/>
        <v>3.8278171249107636E-7</v>
      </c>
      <c r="AX99" s="41">
        <f t="shared" ca="1" si="188"/>
        <v>1.1117487234424634</v>
      </c>
      <c r="AY99" s="41">
        <f t="shared" ca="1" si="189"/>
        <v>1.4975476181999807</v>
      </c>
      <c r="AZ99" s="41">
        <f t="shared" si="190"/>
        <v>0.21025417408998501</v>
      </c>
      <c r="BA99" s="179">
        <f t="shared" ref="BA99:BA117" ca="1" si="201">2.12-0.00251*AF99+1.94*10^-6*AF99^2-7.84*10^-10*AF99^3+1.7*10^-13*AF99^4-1.89*10^-17*AF99^5+8.37*10^-22*AF99^6</f>
        <v>0.83194183348981854</v>
      </c>
    </row>
    <row r="100" spans="1:53" ht="14.5">
      <c r="A100" s="41">
        <f t="shared" ca="1" si="191"/>
        <v>1602.1445201273464</v>
      </c>
      <c r="B100" s="41">
        <f t="shared" ca="1" si="192"/>
        <v>26.702408668789108</v>
      </c>
      <c r="C100" s="41">
        <f t="shared" ca="1" si="192"/>
        <v>0.44504014447981849</v>
      </c>
      <c r="D100" s="41">
        <f t="shared" ca="1" si="193"/>
        <v>16853.401946895312</v>
      </c>
      <c r="E100" s="41" t="e">
        <f t="shared" ca="1" si="194"/>
        <v>#NUM!</v>
      </c>
      <c r="F100" s="41">
        <f t="shared" ca="1" si="195"/>
        <v>77.159021827710021</v>
      </c>
      <c r="G100" s="41"/>
      <c r="H100" s="7">
        <f t="shared" si="196"/>
        <v>3000</v>
      </c>
      <c r="I100" s="6">
        <v>15</v>
      </c>
      <c r="J100" s="41">
        <f t="shared" si="155"/>
        <v>0.28713835631100121</v>
      </c>
      <c r="K100" s="41">
        <f t="shared" si="156"/>
        <v>325.57428482334547</v>
      </c>
      <c r="L100" s="6">
        <f t="shared" si="197"/>
        <v>180</v>
      </c>
      <c r="M100" s="41">
        <f t="shared" si="157"/>
        <v>192.89755456927503</v>
      </c>
      <c r="N100" s="41">
        <f t="shared" si="158"/>
        <v>109.46264517225482</v>
      </c>
      <c r="O100" s="41">
        <f t="shared" si="159"/>
        <v>1756688.0948151206</v>
      </c>
      <c r="P100" s="41">
        <f t="shared" si="160"/>
        <v>11279171.965623073</v>
      </c>
      <c r="Q100" s="41">
        <f t="shared" si="161"/>
        <v>2.9240838430518376E-3</v>
      </c>
      <c r="R100" s="41">
        <f t="shared" si="162"/>
        <v>2.277736369419613E-2</v>
      </c>
      <c r="S100" s="24">
        <f t="shared" ca="1" si="198"/>
        <v>0</v>
      </c>
      <c r="T100" s="10">
        <f t="shared" ca="1" si="163"/>
        <v>0</v>
      </c>
      <c r="U100" s="41">
        <f t="shared" ca="1" si="164"/>
        <v>0.6694124787809187</v>
      </c>
      <c r="V100" s="41">
        <f t="shared" ca="1" si="165"/>
        <v>5.1078716724732312E-2</v>
      </c>
      <c r="W100" s="41">
        <f t="shared" ca="1" si="166"/>
        <v>13.105506984218913</v>
      </c>
      <c r="X100" s="20">
        <f t="shared" ca="1" si="167"/>
        <v>1285.978632279503</v>
      </c>
      <c r="Y100" s="41">
        <f t="shared" si="168"/>
        <v>0.60053999049783546</v>
      </c>
      <c r="Z100" s="41">
        <f t="shared" ca="1" si="169"/>
        <v>171.94572250803765</v>
      </c>
      <c r="AA100" s="14">
        <f t="shared" ca="1" si="170"/>
        <v>1285.978632279503</v>
      </c>
      <c r="AB100" s="14">
        <f t="shared" si="199"/>
        <v>5234.4042087224379</v>
      </c>
      <c r="AC100" s="25">
        <f t="shared" ca="1" si="171"/>
        <v>418681.57350250316</v>
      </c>
      <c r="AD100" s="41">
        <f t="shared" si="172"/>
        <v>1704187.4067311173</v>
      </c>
      <c r="AE100" s="5">
        <f t="shared" ca="1" si="173"/>
        <v>24.567812897150564</v>
      </c>
      <c r="AF100" s="7">
        <f t="shared" ca="1" si="174"/>
        <v>1285.978632279503</v>
      </c>
      <c r="AG100" s="41">
        <f t="shared" ca="1" si="175"/>
        <v>3948.4255764429349</v>
      </c>
      <c r="AH100" s="41">
        <f t="shared" ca="1" si="176"/>
        <v>1285505.8332286142</v>
      </c>
      <c r="AI100" s="41">
        <f t="shared" ca="1" si="177"/>
        <v>993.38779283800886</v>
      </c>
      <c r="AJ100" s="13">
        <f t="shared" ca="1" si="178"/>
        <v>0</v>
      </c>
      <c r="AK100" s="11"/>
      <c r="AL100" s="6">
        <v>0</v>
      </c>
      <c r="AM100" s="6">
        <v>720</v>
      </c>
      <c r="AN100" s="41">
        <f t="shared" ca="1" si="179"/>
        <v>198.67755856760178</v>
      </c>
      <c r="AO100" s="41">
        <f t="shared" ca="1" si="180"/>
        <v>38.57951091385501</v>
      </c>
      <c r="AP100" s="67">
        <f t="shared" si="200"/>
        <v>0.77247612666560972</v>
      </c>
      <c r="AQ100" s="11">
        <f t="shared" si="181"/>
        <v>1.0314301707183759</v>
      </c>
      <c r="AR100" s="11">
        <f t="shared" si="182"/>
        <v>0.8962407041850623</v>
      </c>
      <c r="AS100" s="11">
        <f t="shared" si="183"/>
        <v>0.86893008332386068</v>
      </c>
      <c r="AT100" s="11">
        <f t="shared" si="184"/>
        <v>534.97188664650002</v>
      </c>
      <c r="AU100" s="11">
        <f t="shared" si="185"/>
        <v>1896.6425030105124</v>
      </c>
      <c r="AV100" s="11">
        <f t="shared" si="186"/>
        <v>2.0653599150524844E-3</v>
      </c>
      <c r="AW100" s="11">
        <f t="shared" si="187"/>
        <v>3.8278171249107636E-7</v>
      </c>
      <c r="AX100" s="41">
        <f t="shared" ca="1" si="188"/>
        <v>1.1183835772859194</v>
      </c>
      <c r="AY100" s="41">
        <f t="shared" ca="1" si="189"/>
        <v>1.5064848981454042</v>
      </c>
      <c r="AZ100" s="41">
        <f t="shared" si="190"/>
        <v>0.21025417408998501</v>
      </c>
      <c r="BA100" s="179">
        <f t="shared" ca="1" si="201"/>
        <v>0.83537844796924277</v>
      </c>
    </row>
    <row r="101" spans="1:53" ht="14.5">
      <c r="A101" s="41">
        <f t="shared" ca="1" si="191"/>
        <v>2322.1445201273464</v>
      </c>
      <c r="B101" s="41">
        <f t="shared" ca="1" si="192"/>
        <v>38.702408668789104</v>
      </c>
      <c r="C101" s="41">
        <f t="shared" ca="1" si="192"/>
        <v>0.64504014447981839</v>
      </c>
      <c r="D101" s="41">
        <f t="shared" ca="1" si="193"/>
        <v>16654.724388327711</v>
      </c>
      <c r="E101" s="41" t="e">
        <f t="shared" ca="1" si="194"/>
        <v>#NUM!</v>
      </c>
      <c r="F101" s="41">
        <f t="shared" ca="1" si="195"/>
        <v>115.73853274156502</v>
      </c>
      <c r="G101" s="41"/>
      <c r="H101" s="7">
        <f t="shared" si="196"/>
        <v>3000</v>
      </c>
      <c r="I101" s="6">
        <v>15</v>
      </c>
      <c r="J101" s="41">
        <f t="shared" si="155"/>
        <v>0.28713835631100121</v>
      </c>
      <c r="K101" s="41">
        <f t="shared" si="156"/>
        <v>325.57428482334547</v>
      </c>
      <c r="L101" s="6">
        <f t="shared" si="197"/>
        <v>180</v>
      </c>
      <c r="M101" s="41">
        <f t="shared" si="157"/>
        <v>192.89755456927503</v>
      </c>
      <c r="N101" s="41">
        <f t="shared" si="158"/>
        <v>109.46264517225482</v>
      </c>
      <c r="O101" s="41">
        <f t="shared" si="159"/>
        <v>1756688.0948151206</v>
      </c>
      <c r="P101" s="41">
        <f t="shared" si="160"/>
        <v>11279171.965623073</v>
      </c>
      <c r="Q101" s="41">
        <f t="shared" si="161"/>
        <v>2.9240838430518376E-3</v>
      </c>
      <c r="R101" s="41">
        <f t="shared" si="162"/>
        <v>2.277736369419613E-2</v>
      </c>
      <c r="S101" s="24">
        <f t="shared" ca="1" si="198"/>
        <v>7.8221360327072044E-16</v>
      </c>
      <c r="T101" s="10">
        <f t="shared" ca="1" si="163"/>
        <v>7.8221360327072044E-16</v>
      </c>
      <c r="U101" s="41">
        <f t="shared" ca="1" si="164"/>
        <v>0.66152106093080454</v>
      </c>
      <c r="V101" s="41">
        <f t="shared" ca="1" si="165"/>
        <v>5.0415384646126327E-2</v>
      </c>
      <c r="W101" s="41">
        <f t="shared" ca="1" si="166"/>
        <v>13.121412552420793</v>
      </c>
      <c r="X101" s="20">
        <f t="shared" ca="1" si="167"/>
        <v>1269.278312970584</v>
      </c>
      <c r="Y101" s="41">
        <f t="shared" si="168"/>
        <v>0.60053999049783546</v>
      </c>
      <c r="Z101" s="41">
        <f t="shared" ca="1" si="169"/>
        <v>170.92922050166413</v>
      </c>
      <c r="AA101" s="14">
        <f t="shared" ca="1" si="170"/>
        <v>1269.2783129705842</v>
      </c>
      <c r="AB101" s="14">
        <f t="shared" si="199"/>
        <v>5234.4042087224379</v>
      </c>
      <c r="AC101" s="25">
        <f t="shared" ca="1" si="171"/>
        <v>413244.37898718042</v>
      </c>
      <c r="AD101" s="41">
        <f t="shared" si="172"/>
        <v>1704187.4067311173</v>
      </c>
      <c r="AE101" s="5">
        <f t="shared" ca="1" si="173"/>
        <v>24.248763801150488</v>
      </c>
      <c r="AF101" s="7">
        <f t="shared" ca="1" si="174"/>
        <v>1269.2783129705842</v>
      </c>
      <c r="AG101" s="41">
        <f t="shared" ca="1" si="175"/>
        <v>3965.1258957518539</v>
      </c>
      <c r="AH101" s="41">
        <f t="shared" ca="1" si="176"/>
        <v>1290943.027743937</v>
      </c>
      <c r="AI101" s="41">
        <f t="shared" ca="1" si="177"/>
        <v>980.48719486417644</v>
      </c>
      <c r="AJ101" s="13">
        <f t="shared" ca="1" si="178"/>
        <v>4.4448061729539524E-15</v>
      </c>
      <c r="AK101" s="11"/>
      <c r="AL101" s="6">
        <v>0</v>
      </c>
      <c r="AM101" s="6">
        <v>720</v>
      </c>
      <c r="AN101" s="41">
        <f t="shared" ca="1" si="179"/>
        <v>196.09743897283531</v>
      </c>
      <c r="AO101" s="41">
        <f t="shared" ca="1" si="180"/>
        <v>38.57951091385501</v>
      </c>
      <c r="AP101" s="67">
        <f t="shared" si="200"/>
        <v>0.77247612666560972</v>
      </c>
      <c r="AQ101" s="11">
        <f t="shared" si="181"/>
        <v>1.0314301707183759</v>
      </c>
      <c r="AR101" s="11">
        <f t="shared" si="182"/>
        <v>0.8962407041850623</v>
      </c>
      <c r="AS101" s="11">
        <f t="shared" si="183"/>
        <v>0.86893008332386068</v>
      </c>
      <c r="AT101" s="11">
        <f t="shared" si="184"/>
        <v>534.97188664650002</v>
      </c>
      <c r="AU101" s="11">
        <f t="shared" si="185"/>
        <v>1896.6425030105124</v>
      </c>
      <c r="AV101" s="11">
        <f t="shared" si="186"/>
        <v>2.0653599150524844E-3</v>
      </c>
      <c r="AW101" s="11">
        <f t="shared" si="187"/>
        <v>3.8278171249107636E-7</v>
      </c>
      <c r="AX101" s="41">
        <f t="shared" ca="1" si="188"/>
        <v>1.1251923415612828</v>
      </c>
      <c r="AY101" s="41">
        <f t="shared" ca="1" si="189"/>
        <v>1.5156564388977809</v>
      </c>
      <c r="AZ101" s="41">
        <f t="shared" si="190"/>
        <v>0.21025417408998501</v>
      </c>
      <c r="BA101" s="179">
        <f t="shared" ca="1" si="201"/>
        <v>0.83886237557349408</v>
      </c>
    </row>
    <row r="102" spans="1:53" ht="14.5">
      <c r="A102" s="41">
        <f t="shared" ca="1" si="191"/>
        <v>3042.1445201273464</v>
      </c>
      <c r="B102" s="41">
        <f t="shared" ca="1" si="192"/>
        <v>50.702408668789104</v>
      </c>
      <c r="C102" s="41">
        <f t="shared" ca="1" si="192"/>
        <v>0.84504014447981846</v>
      </c>
      <c r="D102" s="41">
        <f t="shared" ca="1" si="193"/>
        <v>16458.626949354875</v>
      </c>
      <c r="E102" s="41" t="e">
        <f t="shared" ca="1" si="194"/>
        <v>#NUM!</v>
      </c>
      <c r="F102" s="41">
        <f t="shared" ca="1" si="195"/>
        <v>154.31804365542004</v>
      </c>
      <c r="G102" s="41"/>
      <c r="H102" s="7">
        <f t="shared" si="196"/>
        <v>3000</v>
      </c>
      <c r="I102" s="6">
        <v>15</v>
      </c>
      <c r="J102" s="41">
        <f t="shared" si="155"/>
        <v>0.28713835631100121</v>
      </c>
      <c r="K102" s="41">
        <f t="shared" si="156"/>
        <v>325.57428482334547</v>
      </c>
      <c r="L102" s="6">
        <f t="shared" si="197"/>
        <v>180</v>
      </c>
      <c r="M102" s="41">
        <f t="shared" si="157"/>
        <v>192.89755456927503</v>
      </c>
      <c r="N102" s="41">
        <f t="shared" si="158"/>
        <v>109.46264517225482</v>
      </c>
      <c r="O102" s="41">
        <f t="shared" si="159"/>
        <v>1756688.0948151206</v>
      </c>
      <c r="P102" s="41">
        <f t="shared" si="160"/>
        <v>11279171.965623073</v>
      </c>
      <c r="Q102" s="41">
        <f t="shared" si="161"/>
        <v>2.9240838430518376E-3</v>
      </c>
      <c r="R102" s="41">
        <f t="shared" si="162"/>
        <v>2.277736369419613E-2</v>
      </c>
      <c r="S102" s="24">
        <f t="shared" ca="1" si="198"/>
        <v>0</v>
      </c>
      <c r="T102" s="10">
        <f t="shared" ca="1" si="163"/>
        <v>0</v>
      </c>
      <c r="U102" s="41">
        <f t="shared" ca="1" si="164"/>
        <v>0.65373212471964526</v>
      </c>
      <c r="V102" s="41">
        <f t="shared" ca="1" si="165"/>
        <v>4.976838044542628E-2</v>
      </c>
      <c r="W102" s="41">
        <f t="shared" ca="1" si="166"/>
        <v>13.135491226934697</v>
      </c>
      <c r="X102" s="20">
        <f t="shared" ca="1" si="167"/>
        <v>1252.989070983961</v>
      </c>
      <c r="Y102" s="41">
        <f t="shared" si="168"/>
        <v>0.60053999049783546</v>
      </c>
      <c r="Z102" s="41">
        <f t="shared" ca="1" si="169"/>
        <v>169.91995635311952</v>
      </c>
      <c r="AA102" s="14">
        <f t="shared" ca="1" si="170"/>
        <v>1252.989070983961</v>
      </c>
      <c r="AB102" s="14">
        <f t="shared" si="199"/>
        <v>5234.4042087224379</v>
      </c>
      <c r="AC102" s="25">
        <f t="shared" ca="1" si="171"/>
        <v>407941.02067707118</v>
      </c>
      <c r="AD102" s="41">
        <f t="shared" si="172"/>
        <v>1704187.4067311173</v>
      </c>
      <c r="AE102" s="5">
        <f t="shared" ca="1" si="173"/>
        <v>23.937568078827798</v>
      </c>
      <c r="AF102" s="7">
        <f t="shared" ca="1" si="174"/>
        <v>1252.989070983961</v>
      </c>
      <c r="AG102" s="41">
        <f t="shared" ca="1" si="175"/>
        <v>3981.4151377384769</v>
      </c>
      <c r="AH102" s="41">
        <f t="shared" ca="1" si="176"/>
        <v>1296246.386054046</v>
      </c>
      <c r="AI102" s="41">
        <f t="shared" ca="1" si="177"/>
        <v>967.90414430803094</v>
      </c>
      <c r="AJ102" s="13">
        <f t="shared" ca="1" si="178"/>
        <v>0</v>
      </c>
      <c r="AK102" s="11"/>
      <c r="AL102" s="6">
        <v>0</v>
      </c>
      <c r="AM102" s="6">
        <v>720</v>
      </c>
      <c r="AN102" s="41">
        <f t="shared" ca="1" si="179"/>
        <v>193.58082886160619</v>
      </c>
      <c r="AO102" s="41">
        <f t="shared" ca="1" si="180"/>
        <v>38.57951091385501</v>
      </c>
      <c r="AP102" s="67">
        <f t="shared" si="200"/>
        <v>0.77247612666560972</v>
      </c>
      <c r="AQ102" s="11">
        <f t="shared" si="181"/>
        <v>1.0314301707183759</v>
      </c>
      <c r="AR102" s="11">
        <f t="shared" si="182"/>
        <v>0.8962407041850623</v>
      </c>
      <c r="AS102" s="11">
        <f t="shared" si="183"/>
        <v>0.86893008332386068</v>
      </c>
      <c r="AT102" s="11">
        <f t="shared" si="184"/>
        <v>534.97188664650002</v>
      </c>
      <c r="AU102" s="11">
        <f t="shared" si="185"/>
        <v>1896.6425030105124</v>
      </c>
      <c r="AV102" s="11">
        <f t="shared" si="186"/>
        <v>2.0653599150524844E-3</v>
      </c>
      <c r="AW102" s="11">
        <f t="shared" si="187"/>
        <v>3.8278171249107636E-7</v>
      </c>
      <c r="AX102" s="41">
        <f t="shared" ca="1" si="188"/>
        <v>1.1321753020534013</v>
      </c>
      <c r="AY102" s="41">
        <f t="shared" ca="1" si="189"/>
        <v>1.5250626254149791</v>
      </c>
      <c r="AZ102" s="41">
        <f t="shared" si="190"/>
        <v>0.21025417408998501</v>
      </c>
      <c r="BA102" s="179">
        <f t="shared" ca="1" si="201"/>
        <v>0.84239166006885025</v>
      </c>
    </row>
    <row r="103" spans="1:53" ht="14.5">
      <c r="A103" s="41">
        <f t="shared" ca="1" si="191"/>
        <v>3762.1445201273464</v>
      </c>
      <c r="B103" s="41">
        <f t="shared" ca="1" si="192"/>
        <v>62.702408668789104</v>
      </c>
      <c r="C103" s="41">
        <f t="shared" ca="1" si="192"/>
        <v>1.0450401444798183</v>
      </c>
      <c r="D103" s="41">
        <f t="shared" ca="1" si="193"/>
        <v>16265.046120493269</v>
      </c>
      <c r="E103" s="41" t="e">
        <f t="shared" ca="1" si="194"/>
        <v>#NUM!</v>
      </c>
      <c r="F103" s="41">
        <f t="shared" ca="1" si="195"/>
        <v>192.89755456927506</v>
      </c>
      <c r="G103" s="41"/>
      <c r="H103" s="7">
        <f t="shared" si="196"/>
        <v>3000</v>
      </c>
      <c r="I103" s="6">
        <v>15</v>
      </c>
      <c r="J103" s="41">
        <f t="shared" si="155"/>
        <v>0.28713835631100121</v>
      </c>
      <c r="K103" s="41">
        <f t="shared" si="156"/>
        <v>325.57428482334547</v>
      </c>
      <c r="L103" s="6">
        <f t="shared" si="197"/>
        <v>180</v>
      </c>
      <c r="M103" s="41">
        <f t="shared" si="157"/>
        <v>192.89755456927503</v>
      </c>
      <c r="N103" s="41">
        <f t="shared" si="158"/>
        <v>109.46264517225482</v>
      </c>
      <c r="O103" s="41">
        <f t="shared" si="159"/>
        <v>1756688.0948151206</v>
      </c>
      <c r="P103" s="41">
        <f t="shared" si="160"/>
        <v>11279171.965623073</v>
      </c>
      <c r="Q103" s="41">
        <f t="shared" si="161"/>
        <v>2.9240838430518376E-3</v>
      </c>
      <c r="R103" s="41">
        <f t="shared" si="162"/>
        <v>2.277736369419613E-2</v>
      </c>
      <c r="S103" s="24">
        <f t="shared" ca="1" si="198"/>
        <v>0</v>
      </c>
      <c r="T103" s="10">
        <f t="shared" ca="1" si="163"/>
        <v>0</v>
      </c>
      <c r="U103" s="41">
        <f t="shared" ca="1" si="164"/>
        <v>0.64604314756826453</v>
      </c>
      <c r="V103" s="41">
        <f t="shared" ca="1" si="165"/>
        <v>4.9137195790962478E-2</v>
      </c>
      <c r="W103" s="41">
        <f t="shared" ca="1" si="166"/>
        <v>13.14774148522101</v>
      </c>
      <c r="X103" s="20">
        <f t="shared" ca="1" si="167"/>
        <v>1237.09810835392</v>
      </c>
      <c r="Y103" s="41">
        <f t="shared" si="168"/>
        <v>0.60053999049783546</v>
      </c>
      <c r="Z103" s="41">
        <f t="shared" ca="1" si="169"/>
        <v>168.9177300154482</v>
      </c>
      <c r="AA103" s="14">
        <f t="shared" ca="1" si="170"/>
        <v>1237.09810835392</v>
      </c>
      <c r="AB103" s="14">
        <f t="shared" si="199"/>
        <v>5234.4042087224379</v>
      </c>
      <c r="AC103" s="25">
        <f t="shared" ca="1" si="171"/>
        <v>402767.33188364102</v>
      </c>
      <c r="AD103" s="41">
        <f t="shared" si="172"/>
        <v>1704187.4067311173</v>
      </c>
      <c r="AE103" s="5">
        <f t="shared" ca="1" si="173"/>
        <v>23.633981233097373</v>
      </c>
      <c r="AF103" s="7">
        <f t="shared" ca="1" si="174"/>
        <v>1237.09810835392</v>
      </c>
      <c r="AG103" s="41">
        <f t="shared" ca="1" si="175"/>
        <v>3997.3061003685179</v>
      </c>
      <c r="AH103" s="41">
        <f t="shared" ca="1" si="176"/>
        <v>1301420.0748474763</v>
      </c>
      <c r="AI103" s="41">
        <f t="shared" ca="1" si="177"/>
        <v>955.62875504658894</v>
      </c>
      <c r="AJ103" s="13">
        <f t="shared" ca="1" si="178"/>
        <v>0</v>
      </c>
      <c r="AK103" s="11"/>
      <c r="AL103" s="6">
        <v>0</v>
      </c>
      <c r="AM103" s="6">
        <v>720</v>
      </c>
      <c r="AN103" s="41">
        <f t="shared" ca="1" si="179"/>
        <v>191.12575100931781</v>
      </c>
      <c r="AO103" s="41">
        <f t="shared" ca="1" si="180"/>
        <v>38.57951091385501</v>
      </c>
      <c r="AP103" s="67">
        <f t="shared" si="200"/>
        <v>0.77247612666560972</v>
      </c>
      <c r="AQ103" s="11">
        <f t="shared" si="181"/>
        <v>1.0314301707183759</v>
      </c>
      <c r="AR103" s="11">
        <f t="shared" si="182"/>
        <v>0.8962407041850623</v>
      </c>
      <c r="AS103" s="11">
        <f t="shared" si="183"/>
        <v>0.86893008332386068</v>
      </c>
      <c r="AT103" s="11">
        <f t="shared" si="184"/>
        <v>534.97188664650002</v>
      </c>
      <c r="AU103" s="11">
        <f t="shared" si="185"/>
        <v>1896.6425030105124</v>
      </c>
      <c r="AV103" s="11">
        <f t="shared" si="186"/>
        <v>2.0653599150524844E-3</v>
      </c>
      <c r="AW103" s="11">
        <f t="shared" si="187"/>
        <v>3.8278171249107636E-7</v>
      </c>
      <c r="AX103" s="41">
        <f t="shared" ca="1" si="188"/>
        <v>1.1393329044894493</v>
      </c>
      <c r="AY103" s="41">
        <f t="shared" ca="1" si="189"/>
        <v>1.5347040581003577</v>
      </c>
      <c r="AZ103" s="41">
        <f t="shared" si="190"/>
        <v>0.21025417408998501</v>
      </c>
      <c r="BA103" s="179">
        <f t="shared" ca="1" si="201"/>
        <v>0.84596425594462221</v>
      </c>
    </row>
    <row r="104" spans="1:53" ht="14.5">
      <c r="A104" s="41">
        <f t="shared" ca="1" si="191"/>
        <v>4482.1445201273464</v>
      </c>
      <c r="B104" s="41">
        <f t="shared" ca="1" si="192"/>
        <v>74.702408668789104</v>
      </c>
      <c r="C104" s="41">
        <f t="shared" ca="1" si="192"/>
        <v>1.2450401444798185</v>
      </c>
      <c r="D104" s="41">
        <f t="shared" ca="1" si="193"/>
        <v>16073.920369483951</v>
      </c>
      <c r="E104" s="41" t="e">
        <f t="shared" ca="1" si="194"/>
        <v>#NUM!</v>
      </c>
      <c r="F104" s="41">
        <f t="shared" ca="1" si="195"/>
        <v>231.47706548313008</v>
      </c>
      <c r="G104" s="41"/>
      <c r="H104" s="7">
        <f t="shared" si="196"/>
        <v>3000</v>
      </c>
      <c r="I104" s="6">
        <v>15</v>
      </c>
      <c r="J104" s="41">
        <f t="shared" si="155"/>
        <v>0.28713835631100121</v>
      </c>
      <c r="K104" s="41">
        <f t="shared" si="156"/>
        <v>325.57428482334547</v>
      </c>
      <c r="L104" s="6">
        <f t="shared" si="197"/>
        <v>180</v>
      </c>
      <c r="M104" s="41">
        <f t="shared" si="157"/>
        <v>192.89755456927503</v>
      </c>
      <c r="N104" s="41">
        <f t="shared" si="158"/>
        <v>109.46264517225482</v>
      </c>
      <c r="O104" s="41">
        <f t="shared" si="159"/>
        <v>1756688.0948151206</v>
      </c>
      <c r="P104" s="41">
        <f t="shared" si="160"/>
        <v>11279171.965623073</v>
      </c>
      <c r="Q104" s="41">
        <f t="shared" si="161"/>
        <v>2.9240838430518376E-3</v>
      </c>
      <c r="R104" s="41">
        <f t="shared" si="162"/>
        <v>2.277736369419613E-2</v>
      </c>
      <c r="S104" s="24">
        <f t="shared" ca="1" si="198"/>
        <v>0</v>
      </c>
      <c r="T104" s="10">
        <f t="shared" ca="1" si="163"/>
        <v>0</v>
      </c>
      <c r="U104" s="41">
        <f t="shared" ca="1" si="164"/>
        <v>0.63845168543230202</v>
      </c>
      <c r="V104" s="41">
        <f t="shared" ca="1" si="165"/>
        <v>4.85213423352433E-2</v>
      </c>
      <c r="W104" s="41">
        <f t="shared" ca="1" si="166"/>
        <v>13.158162052094857</v>
      </c>
      <c r="X104" s="20">
        <f t="shared" ca="1" si="167"/>
        <v>1221.5931302445761</v>
      </c>
      <c r="Y104" s="41">
        <f t="shared" si="168"/>
        <v>0.60053999049783546</v>
      </c>
      <c r="Z104" s="41">
        <f t="shared" ca="1" si="169"/>
        <v>167.92234609188208</v>
      </c>
      <c r="AA104" s="14">
        <f t="shared" ca="1" si="170"/>
        <v>1221.5931302445761</v>
      </c>
      <c r="AB104" s="14">
        <f t="shared" si="199"/>
        <v>5234.4042087224379</v>
      </c>
      <c r="AC104" s="25">
        <f t="shared" ca="1" si="171"/>
        <v>397719.30972448975</v>
      </c>
      <c r="AD104" s="41">
        <f t="shared" si="172"/>
        <v>1704187.4067311173</v>
      </c>
      <c r="AE104" s="5">
        <f t="shared" ca="1" si="173"/>
        <v>23.337768378853006</v>
      </c>
      <c r="AF104" s="7">
        <f t="shared" ca="1" si="174"/>
        <v>1221.5931302445761</v>
      </c>
      <c r="AG104" s="41">
        <f t="shared" ca="1" si="175"/>
        <v>4012.8110784778619</v>
      </c>
      <c r="AH104" s="41">
        <f t="shared" ca="1" si="176"/>
        <v>1306468.0970066276</v>
      </c>
      <c r="AI104" s="41">
        <f t="shared" ca="1" si="177"/>
        <v>943.65152961264778</v>
      </c>
      <c r="AJ104" s="13">
        <f t="shared" ca="1" si="178"/>
        <v>0</v>
      </c>
      <c r="AK104" s="11"/>
      <c r="AL104" s="6">
        <v>0</v>
      </c>
      <c r="AM104" s="6">
        <v>720</v>
      </c>
      <c r="AN104" s="41">
        <f t="shared" ca="1" si="179"/>
        <v>188.73030592252957</v>
      </c>
      <c r="AO104" s="41">
        <f t="shared" ca="1" si="180"/>
        <v>38.57951091385501</v>
      </c>
      <c r="AP104" s="67">
        <f t="shared" si="200"/>
        <v>0.77247612666560972</v>
      </c>
      <c r="AQ104" s="11">
        <f t="shared" si="181"/>
        <v>1.0314301707183759</v>
      </c>
      <c r="AR104" s="11">
        <f t="shared" si="182"/>
        <v>0.8962407041850623</v>
      </c>
      <c r="AS104" s="11">
        <f t="shared" si="183"/>
        <v>0.86893008332386068</v>
      </c>
      <c r="AT104" s="11">
        <f t="shared" si="184"/>
        <v>534.97188664650002</v>
      </c>
      <c r="AU104" s="11">
        <f t="shared" si="185"/>
        <v>1896.6425030105124</v>
      </c>
      <c r="AV104" s="11">
        <f t="shared" si="186"/>
        <v>2.0653599150524844E-3</v>
      </c>
      <c r="AW104" s="11">
        <f t="shared" si="187"/>
        <v>3.8278171249107636E-7</v>
      </c>
      <c r="AX104" s="41">
        <f t="shared" ca="1" si="188"/>
        <v>1.1466657522296098</v>
      </c>
      <c r="AY104" s="41">
        <f t="shared" ca="1" si="189"/>
        <v>1.5445815496920705</v>
      </c>
      <c r="AZ104" s="41">
        <f t="shared" si="190"/>
        <v>0.21025417408998501</v>
      </c>
      <c r="BA104" s="179">
        <f t="shared" ca="1" si="201"/>
        <v>0.84957804502961265</v>
      </c>
    </row>
    <row r="105" spans="1:53" ht="14.5">
      <c r="A105" s="41">
        <f t="shared" ca="1" si="191"/>
        <v>5202.1445201273464</v>
      </c>
      <c r="B105" s="41">
        <f t="shared" ca="1" si="192"/>
        <v>86.702408668789104</v>
      </c>
      <c r="C105" s="41">
        <f t="shared" ca="1" si="192"/>
        <v>1.4450401444798184</v>
      </c>
      <c r="D105" s="41">
        <f t="shared" ca="1" si="193"/>
        <v>15885.190063561422</v>
      </c>
      <c r="E105" s="41" t="e">
        <f t="shared" ca="1" si="194"/>
        <v>#NUM!</v>
      </c>
      <c r="F105" s="41">
        <f t="shared" ca="1" si="195"/>
        <v>270.05657639698507</v>
      </c>
      <c r="G105" s="41"/>
      <c r="H105" s="7">
        <f t="shared" si="196"/>
        <v>3000</v>
      </c>
      <c r="I105" s="6">
        <v>15</v>
      </c>
      <c r="J105" s="41">
        <f t="shared" si="155"/>
        <v>0.28713835631100121</v>
      </c>
      <c r="K105" s="41">
        <f t="shared" si="156"/>
        <v>325.57428482334547</v>
      </c>
      <c r="L105" s="6">
        <f t="shared" si="197"/>
        <v>180</v>
      </c>
      <c r="M105" s="41">
        <f t="shared" si="157"/>
        <v>192.89755456927503</v>
      </c>
      <c r="N105" s="41">
        <f t="shared" si="158"/>
        <v>109.46264517225482</v>
      </c>
      <c r="O105" s="41">
        <f t="shared" si="159"/>
        <v>1756688.0948151206</v>
      </c>
      <c r="P105" s="41">
        <f t="shared" si="160"/>
        <v>11279171.965623073</v>
      </c>
      <c r="Q105" s="41">
        <f t="shared" si="161"/>
        <v>2.9240838430518376E-3</v>
      </c>
      <c r="R105" s="41">
        <f t="shared" si="162"/>
        <v>2.277736369419613E-2</v>
      </c>
      <c r="S105" s="24">
        <f t="shared" ca="1" si="198"/>
        <v>0</v>
      </c>
      <c r="T105" s="10">
        <f t="shared" ca="1" si="163"/>
        <v>0</v>
      </c>
      <c r="U105" s="41">
        <f t="shared" ca="1" si="164"/>
        <v>0.63095536971475308</v>
      </c>
      <c r="V105" s="41">
        <f t="shared" ca="1" si="165"/>
        <v>4.7920350782579051E-2</v>
      </c>
      <c r="W105" s="41">
        <f t="shared" ca="1" si="166"/>
        <v>13.166751899990899</v>
      </c>
      <c r="X105" s="20">
        <f t="shared" ca="1" si="167"/>
        <v>1206.4623214759899</v>
      </c>
      <c r="Y105" s="41">
        <f t="shared" si="168"/>
        <v>0.60053999049783546</v>
      </c>
      <c r="Z105" s="41">
        <f t="shared" ca="1" si="169"/>
        <v>166.93361364826598</v>
      </c>
      <c r="AA105" s="14">
        <f t="shared" ca="1" si="170"/>
        <v>1206.4623214759899</v>
      </c>
      <c r="AB105" s="14">
        <f t="shared" si="199"/>
        <v>5234.4042087224379</v>
      </c>
      <c r="AC105" s="25">
        <f t="shared" ca="1" si="171"/>
        <v>392793.10748085851</v>
      </c>
      <c r="AD105" s="41">
        <f t="shared" si="172"/>
        <v>1704187.4067311173</v>
      </c>
      <c r="AE105" s="5">
        <f t="shared" ca="1" si="173"/>
        <v>23.048703794513635</v>
      </c>
      <c r="AF105" s="7">
        <f t="shared" ca="1" si="174"/>
        <v>1206.4623214759899</v>
      </c>
      <c r="AG105" s="41">
        <f t="shared" ca="1" si="175"/>
        <v>4027.941887246448</v>
      </c>
      <c r="AH105" s="41">
        <f t="shared" ca="1" si="176"/>
        <v>1311394.2992502588</v>
      </c>
      <c r="AI105" s="41">
        <f t="shared" ca="1" si="177"/>
        <v>931.96334106177233</v>
      </c>
      <c r="AJ105" s="13">
        <f t="shared" ca="1" si="178"/>
        <v>0</v>
      </c>
      <c r="AK105" s="11"/>
      <c r="AL105" s="6">
        <v>0</v>
      </c>
      <c r="AM105" s="6">
        <v>720</v>
      </c>
      <c r="AN105" s="41">
        <f t="shared" ca="1" si="179"/>
        <v>186.39266821235447</v>
      </c>
      <c r="AO105" s="41">
        <f t="shared" ca="1" si="180"/>
        <v>38.57951091385501</v>
      </c>
      <c r="AP105" s="67">
        <f t="shared" si="200"/>
        <v>0.77247612666560972</v>
      </c>
      <c r="AQ105" s="11">
        <f t="shared" si="181"/>
        <v>1.0314301707183759</v>
      </c>
      <c r="AR105" s="11">
        <f t="shared" si="182"/>
        <v>0.8962407041850623</v>
      </c>
      <c r="AS105" s="11">
        <f t="shared" si="183"/>
        <v>0.86893008332386068</v>
      </c>
      <c r="AT105" s="11">
        <f t="shared" si="184"/>
        <v>534.97188664650002</v>
      </c>
      <c r="AU105" s="11">
        <f t="shared" si="185"/>
        <v>1896.6425030105124</v>
      </c>
      <c r="AV105" s="11">
        <f t="shared" si="186"/>
        <v>2.0653599150524844E-3</v>
      </c>
      <c r="AW105" s="11">
        <f t="shared" si="187"/>
        <v>3.8278171249107636E-7</v>
      </c>
      <c r="AX105" s="41">
        <f t="shared" ca="1" si="188"/>
        <v>1.1541746043584111</v>
      </c>
      <c r="AY105" s="41">
        <f t="shared" ca="1" si="189"/>
        <v>1.5546961226920586</v>
      </c>
      <c r="AZ105" s="41">
        <f t="shared" si="190"/>
        <v>0.21025417408998501</v>
      </c>
      <c r="BA105" s="179">
        <f t="shared" ca="1" si="201"/>
        <v>0.85323085159479362</v>
      </c>
    </row>
    <row r="106" spans="1:53" ht="14.5">
      <c r="A106" s="41">
        <f t="shared" ca="1" si="191"/>
        <v>5922.1445201273464</v>
      </c>
      <c r="B106" s="41">
        <f t="shared" ca="1" si="192"/>
        <v>98.702408668789104</v>
      </c>
      <c r="C106" s="41">
        <f t="shared" ca="1" si="192"/>
        <v>1.6450401444798184</v>
      </c>
      <c r="D106" s="41">
        <f t="shared" ca="1" si="193"/>
        <v>15698.797395349067</v>
      </c>
      <c r="E106" s="41" t="e">
        <f t="shared" ca="1" si="194"/>
        <v>#NUM!</v>
      </c>
      <c r="F106" s="41">
        <f t="shared" ca="1" si="195"/>
        <v>308.63608731084008</v>
      </c>
      <c r="G106" s="41"/>
      <c r="H106" s="7">
        <f t="shared" si="196"/>
        <v>3000</v>
      </c>
      <c r="I106" s="6">
        <v>15</v>
      </c>
      <c r="J106" s="41">
        <f t="shared" si="155"/>
        <v>0.28713835631100121</v>
      </c>
      <c r="K106" s="41">
        <f t="shared" si="156"/>
        <v>325.57428482334547</v>
      </c>
      <c r="L106" s="6">
        <f t="shared" si="197"/>
        <v>180</v>
      </c>
      <c r="M106" s="41">
        <f t="shared" si="157"/>
        <v>192.89755456927503</v>
      </c>
      <c r="N106" s="41">
        <f t="shared" si="158"/>
        <v>109.46264517225482</v>
      </c>
      <c r="O106" s="41">
        <f t="shared" si="159"/>
        <v>1756688.0948151206</v>
      </c>
      <c r="P106" s="41">
        <f t="shared" si="160"/>
        <v>11279171.965623073</v>
      </c>
      <c r="Q106" s="41">
        <f t="shared" si="161"/>
        <v>2.9240838430518376E-3</v>
      </c>
      <c r="R106" s="41">
        <f t="shared" si="162"/>
        <v>2.277736369419613E-2</v>
      </c>
      <c r="S106" s="24">
        <f t="shared" ca="1" si="198"/>
        <v>0</v>
      </c>
      <c r="T106" s="10">
        <f t="shared" ca="1" si="163"/>
        <v>0</v>
      </c>
      <c r="U106" s="41">
        <f t="shared" ca="1" si="164"/>
        <v>0.62355190432255636</v>
      </c>
      <c r="V106" s="41">
        <f t="shared" ca="1" si="165"/>
        <v>4.7333770007195686E-2</v>
      </c>
      <c r="W106" s="41">
        <f t="shared" ca="1" si="166"/>
        <v>13.173510249189192</v>
      </c>
      <c r="X106" s="20">
        <f t="shared" ca="1" si="167"/>
        <v>1191.6943243214391</v>
      </c>
      <c r="Y106" s="41">
        <f t="shared" si="168"/>
        <v>0.60053999049783546</v>
      </c>
      <c r="Z106" s="41">
        <f t="shared" ca="1" si="169"/>
        <v>165.95134603286652</v>
      </c>
      <c r="AA106" s="14">
        <f t="shared" ca="1" si="170"/>
        <v>1191.6943243214391</v>
      </c>
      <c r="AB106" s="14">
        <f t="shared" si="199"/>
        <v>5234.4042087224379</v>
      </c>
      <c r="AC106" s="25">
        <f t="shared" ca="1" si="171"/>
        <v>387985.02736899245</v>
      </c>
      <c r="AD106" s="41">
        <f t="shared" si="172"/>
        <v>1704187.4067311173</v>
      </c>
      <c r="AE106" s="5">
        <f t="shared" ca="1" si="173"/>
        <v>22.766570497854161</v>
      </c>
      <c r="AF106" s="7">
        <f t="shared" ca="1" si="174"/>
        <v>1191.6943243214391</v>
      </c>
      <c r="AG106" s="41">
        <f t="shared" ca="1" si="175"/>
        <v>4042.7098844009988</v>
      </c>
      <c r="AH106" s="41">
        <f t="shared" ca="1" si="176"/>
        <v>1316202.3793621249</v>
      </c>
      <c r="AI106" s="41">
        <f t="shared" ca="1" si="177"/>
        <v>920.55541582121623</v>
      </c>
      <c r="AJ106" s="13">
        <f t="shared" ca="1" si="178"/>
        <v>0</v>
      </c>
      <c r="AK106" s="11"/>
      <c r="AL106" s="6">
        <v>0</v>
      </c>
      <c r="AM106" s="6">
        <v>720</v>
      </c>
      <c r="AN106" s="41">
        <f t="shared" ca="1" si="179"/>
        <v>184.11108316424327</v>
      </c>
      <c r="AO106" s="41">
        <f t="shared" ca="1" si="180"/>
        <v>38.57951091385501</v>
      </c>
      <c r="AP106" s="67">
        <f t="shared" si="200"/>
        <v>0.77247612666560972</v>
      </c>
      <c r="AQ106" s="11">
        <f t="shared" si="181"/>
        <v>1.0314301707183759</v>
      </c>
      <c r="AR106" s="11">
        <f t="shared" si="182"/>
        <v>0.8962407041850623</v>
      </c>
      <c r="AS106" s="11">
        <f t="shared" si="183"/>
        <v>0.86893008332386068</v>
      </c>
      <c r="AT106" s="11">
        <f t="shared" si="184"/>
        <v>534.97188664650002</v>
      </c>
      <c r="AU106" s="11">
        <f t="shared" si="185"/>
        <v>1896.6425030105124</v>
      </c>
      <c r="AV106" s="11">
        <f t="shared" si="186"/>
        <v>2.0653599150524844E-3</v>
      </c>
      <c r="AW106" s="11">
        <f t="shared" si="187"/>
        <v>3.8278171249107636E-7</v>
      </c>
      <c r="AX106" s="41">
        <f t="shared" ca="1" si="188"/>
        <v>1.1618603741617628</v>
      </c>
      <c r="AY106" s="41">
        <f t="shared" ca="1" si="189"/>
        <v>1.5650490073145866</v>
      </c>
      <c r="AZ106" s="41">
        <f t="shared" si="190"/>
        <v>0.21025417408998501</v>
      </c>
      <c r="BA106" s="179">
        <f t="shared" ca="1" si="201"/>
        <v>0.85692045604409317</v>
      </c>
    </row>
    <row r="107" spans="1:53" ht="14.5">
      <c r="A107" s="41">
        <f t="shared" ca="1" si="191"/>
        <v>6642.1445201273464</v>
      </c>
      <c r="B107" s="41">
        <f t="shared" ca="1" si="192"/>
        <v>110.7024086687891</v>
      </c>
      <c r="C107" s="41">
        <f t="shared" ca="1" si="192"/>
        <v>1.8450401444798183</v>
      </c>
      <c r="D107" s="41">
        <f t="shared" ca="1" si="193"/>
        <v>15514.686312184824</v>
      </c>
      <c r="E107" s="41" t="e">
        <f t="shared" ca="1" si="194"/>
        <v>#NUM!</v>
      </c>
      <c r="F107" s="41">
        <f t="shared" ca="1" si="195"/>
        <v>347.2155982246951</v>
      </c>
      <c r="G107" s="41"/>
      <c r="H107" s="7">
        <f t="shared" si="196"/>
        <v>3000</v>
      </c>
      <c r="I107" s="6">
        <v>15</v>
      </c>
      <c r="J107" s="41">
        <f t="shared" si="155"/>
        <v>0.28713835631100121</v>
      </c>
      <c r="K107" s="41">
        <f t="shared" si="156"/>
        <v>325.57428482334547</v>
      </c>
      <c r="L107" s="6">
        <f t="shared" si="197"/>
        <v>180</v>
      </c>
      <c r="M107" s="41">
        <f t="shared" si="157"/>
        <v>192.89755456927503</v>
      </c>
      <c r="N107" s="41">
        <f t="shared" si="158"/>
        <v>109.46264517225482</v>
      </c>
      <c r="O107" s="41">
        <f t="shared" si="159"/>
        <v>1756688.0948151206</v>
      </c>
      <c r="P107" s="41">
        <f t="shared" si="160"/>
        <v>11279171.965623073</v>
      </c>
      <c r="Q107" s="41">
        <f t="shared" si="161"/>
        <v>2.9240838430518376E-3</v>
      </c>
      <c r="R107" s="41">
        <f t="shared" si="162"/>
        <v>2.277736369419613E-2</v>
      </c>
      <c r="S107" s="24">
        <f t="shared" ca="1" si="198"/>
        <v>0</v>
      </c>
      <c r="T107" s="10">
        <f t="shared" ca="1" si="163"/>
        <v>0</v>
      </c>
      <c r="U107" s="41">
        <f t="shared" ca="1" si="164"/>
        <v>0.61623906285942842</v>
      </c>
      <c r="V107" s="41">
        <f t="shared" ca="1" si="165"/>
        <v>4.6761166218736182E-2</v>
      </c>
      <c r="W107" s="41">
        <f t="shared" ca="1" si="166"/>
        <v>13.178436568002336</v>
      </c>
      <c r="X107" s="20">
        <f t="shared" ca="1" si="167"/>
        <v>1177.2782174977399</v>
      </c>
      <c r="Y107" s="41">
        <f t="shared" si="168"/>
        <v>0.60053999049783546</v>
      </c>
      <c r="Z107" s="41">
        <f t="shared" ca="1" si="169"/>
        <v>164.97536070316434</v>
      </c>
      <c r="AA107" s="14">
        <f t="shared" ca="1" si="170"/>
        <v>1177.2782174977399</v>
      </c>
      <c r="AB107" s="14">
        <f t="shared" si="199"/>
        <v>5234.4042087224379</v>
      </c>
      <c r="AC107" s="25">
        <f t="shared" ca="1" si="171"/>
        <v>383291.51369992964</v>
      </c>
      <c r="AD107" s="41">
        <f t="shared" si="172"/>
        <v>1704187.4067311173</v>
      </c>
      <c r="AE107" s="5">
        <f t="shared" ca="1" si="173"/>
        <v>22.491159844628783</v>
      </c>
      <c r="AF107" s="7">
        <f t="shared" ca="1" si="174"/>
        <v>1177.2782174977399</v>
      </c>
      <c r="AG107" s="41">
        <f t="shared" ca="1" si="175"/>
        <v>4057.1259912246978</v>
      </c>
      <c r="AH107" s="41">
        <f t="shared" ca="1" si="176"/>
        <v>1320895.8930311876</v>
      </c>
      <c r="AI107" s="41">
        <f t="shared" ca="1" si="177"/>
        <v>909.41931746044736</v>
      </c>
      <c r="AJ107" s="13">
        <f t="shared" ca="1" si="178"/>
        <v>0</v>
      </c>
      <c r="AK107" s="11"/>
      <c r="AL107" s="6">
        <v>0</v>
      </c>
      <c r="AM107" s="6">
        <v>720</v>
      </c>
      <c r="AN107" s="41">
        <f t="shared" ca="1" si="179"/>
        <v>181.88386349208949</v>
      </c>
      <c r="AO107" s="41">
        <f t="shared" ca="1" si="180"/>
        <v>38.57951091385501</v>
      </c>
      <c r="AP107" s="67">
        <f t="shared" si="200"/>
        <v>0.77247612666560972</v>
      </c>
      <c r="AQ107" s="11">
        <f t="shared" si="181"/>
        <v>1.0314301707183759</v>
      </c>
      <c r="AR107" s="11">
        <f t="shared" si="182"/>
        <v>0.8962407041850623</v>
      </c>
      <c r="AS107" s="11">
        <f t="shared" si="183"/>
        <v>0.86893008332386068</v>
      </c>
      <c r="AT107" s="11">
        <f t="shared" si="184"/>
        <v>534.97188664650002</v>
      </c>
      <c r="AU107" s="11">
        <f t="shared" si="185"/>
        <v>1896.6425030105124</v>
      </c>
      <c r="AV107" s="11">
        <f t="shared" si="186"/>
        <v>2.0653599150524844E-3</v>
      </c>
      <c r="AW107" s="11">
        <f t="shared" si="187"/>
        <v>3.8278171249107636E-7</v>
      </c>
      <c r="AX107" s="41">
        <f t="shared" ca="1" si="188"/>
        <v>1.1697241279766146</v>
      </c>
      <c r="AY107" s="41">
        <f t="shared" ca="1" si="189"/>
        <v>1.5756416399367115</v>
      </c>
      <c r="AZ107" s="41">
        <f t="shared" si="190"/>
        <v>0.21025417408998501</v>
      </c>
      <c r="BA107" s="179">
        <f t="shared" ca="1" si="201"/>
        <v>0.8606446072912497</v>
      </c>
    </row>
    <row r="108" spans="1:53" ht="14.5">
      <c r="A108" s="41">
        <f t="shared" ca="1" si="191"/>
        <v>7362.1445201273464</v>
      </c>
      <c r="B108" s="41">
        <f t="shared" ca="1" si="192"/>
        <v>122.7024086687891</v>
      </c>
      <c r="C108" s="41">
        <f t="shared" ca="1" si="192"/>
        <v>2.0450401444798185</v>
      </c>
      <c r="D108" s="41">
        <f t="shared" ca="1" si="193"/>
        <v>15332.802448692733</v>
      </c>
      <c r="E108" s="41" t="e">
        <f t="shared" ca="1" si="194"/>
        <v>#NUM!</v>
      </c>
      <c r="F108" s="41">
        <f t="shared" ca="1" si="195"/>
        <v>385.79510913855012</v>
      </c>
      <c r="G108" s="41"/>
      <c r="H108" s="7">
        <f t="shared" si="196"/>
        <v>3000</v>
      </c>
      <c r="I108" s="6">
        <v>15</v>
      </c>
      <c r="J108" s="41">
        <f t="shared" si="155"/>
        <v>0.28713835631100121</v>
      </c>
      <c r="K108" s="41">
        <f t="shared" si="156"/>
        <v>325.57428482334547</v>
      </c>
      <c r="L108" s="6">
        <f t="shared" si="197"/>
        <v>180</v>
      </c>
      <c r="M108" s="41">
        <f t="shared" si="157"/>
        <v>192.89755456927503</v>
      </c>
      <c r="N108" s="41">
        <f t="shared" si="158"/>
        <v>109.46264517225482</v>
      </c>
      <c r="O108" s="41">
        <f t="shared" si="159"/>
        <v>1756688.0948151206</v>
      </c>
      <c r="P108" s="41">
        <f t="shared" si="160"/>
        <v>11279171.965623073</v>
      </c>
      <c r="Q108" s="41">
        <f t="shared" si="161"/>
        <v>2.9240838430518376E-3</v>
      </c>
      <c r="R108" s="41">
        <f t="shared" si="162"/>
        <v>2.277736369419613E-2</v>
      </c>
      <c r="S108" s="24">
        <f t="shared" ca="1" si="198"/>
        <v>8.4965237234797139E-16</v>
      </c>
      <c r="T108" s="10">
        <f t="shared" ca="1" si="163"/>
        <v>8.4965237234797139E-16</v>
      </c>
      <c r="U108" s="41">
        <f t="shared" ca="1" si="164"/>
        <v>0.6090146859476252</v>
      </c>
      <c r="V108" s="41">
        <f t="shared" ca="1" si="165"/>
        <v>4.6202122172260586E-2</v>
      </c>
      <c r="W108" s="41">
        <f t="shared" ca="1" si="166"/>
        <v>13.181530572924054</v>
      </c>
      <c r="X108" s="20">
        <f t="shared" ca="1" si="167"/>
        <v>1163.2034962758853</v>
      </c>
      <c r="Y108" s="41">
        <f t="shared" si="168"/>
        <v>0.60053999049783546</v>
      </c>
      <c r="Z108" s="41">
        <f t="shared" ca="1" si="169"/>
        <v>164.00547905925171</v>
      </c>
      <c r="AA108" s="14">
        <f t="shared" ca="1" si="170"/>
        <v>1163.2034962758853</v>
      </c>
      <c r="AB108" s="14">
        <f t="shared" si="199"/>
        <v>5234.4042087224379</v>
      </c>
      <c r="AC108" s="25">
        <f t="shared" ca="1" si="171"/>
        <v>378709.14640403632</v>
      </c>
      <c r="AD108" s="41">
        <f t="shared" si="172"/>
        <v>1704187.4067311173</v>
      </c>
      <c r="AE108" s="5">
        <f t="shared" ca="1" si="173"/>
        <v>22.22227114859723</v>
      </c>
      <c r="AF108" s="7">
        <f t="shared" ca="1" si="174"/>
        <v>1163.2034962758855</v>
      </c>
      <c r="AG108" s="41">
        <f t="shared" ca="1" si="175"/>
        <v>4071.2007124465526</v>
      </c>
      <c r="AH108" s="41">
        <f t="shared" ca="1" si="176"/>
        <v>1325478.260327081</v>
      </c>
      <c r="AI108" s="41">
        <f t="shared" ca="1" si="177"/>
        <v>898.54693132709099</v>
      </c>
      <c r="AJ108" s="13">
        <f t="shared" ca="1" si="178"/>
        <v>4.8280164058591427E-15</v>
      </c>
      <c r="AK108" s="11"/>
      <c r="AL108" s="6">
        <v>0</v>
      </c>
      <c r="AM108" s="6">
        <v>720</v>
      </c>
      <c r="AN108" s="41">
        <f t="shared" ca="1" si="179"/>
        <v>179.7093862654182</v>
      </c>
      <c r="AO108" s="41">
        <f t="shared" ca="1" si="180"/>
        <v>38.57951091385501</v>
      </c>
      <c r="AP108" s="67">
        <f t="shared" si="200"/>
        <v>0.77247612666560972</v>
      </c>
      <c r="AQ108" s="11">
        <f t="shared" si="181"/>
        <v>1.0314301707183759</v>
      </c>
      <c r="AR108" s="11">
        <f t="shared" si="182"/>
        <v>0.8962407041850623</v>
      </c>
      <c r="AS108" s="11">
        <f t="shared" si="183"/>
        <v>0.86893008332386068</v>
      </c>
      <c r="AT108" s="11">
        <f t="shared" si="184"/>
        <v>534.97188664650002</v>
      </c>
      <c r="AU108" s="11">
        <f t="shared" si="185"/>
        <v>1896.6425030105124</v>
      </c>
      <c r="AV108" s="11">
        <f t="shared" si="186"/>
        <v>2.0653599150524844E-3</v>
      </c>
      <c r="AW108" s="11">
        <f t="shared" si="187"/>
        <v>3.8278171249107636E-7</v>
      </c>
      <c r="AX108" s="41">
        <f t="shared" ca="1" si="188"/>
        <v>1.1777670844019907</v>
      </c>
      <c r="AY108" s="41">
        <f t="shared" ca="1" si="189"/>
        <v>1.5864756620355294</v>
      </c>
      <c r="AZ108" s="41">
        <f t="shared" si="190"/>
        <v>0.21025417408998501</v>
      </c>
      <c r="BA108" s="179">
        <f t="shared" ca="1" si="201"/>
        <v>0.8644010339164816</v>
      </c>
    </row>
    <row r="109" spans="1:53" ht="14.5">
      <c r="A109" s="41">
        <f t="shared" ca="1" si="191"/>
        <v>8082.1445201273464</v>
      </c>
      <c r="B109" s="41">
        <f t="shared" ca="1" si="192"/>
        <v>134.7024086687891</v>
      </c>
      <c r="C109" s="41">
        <f t="shared" ca="1" si="192"/>
        <v>2.2450401444798183</v>
      </c>
      <c r="D109" s="41">
        <f t="shared" ca="1" si="193"/>
        <v>15153.093062427315</v>
      </c>
      <c r="E109" s="41" t="e">
        <f t="shared" ca="1" si="194"/>
        <v>#NUM!</v>
      </c>
      <c r="F109" s="41">
        <f t="shared" ca="1" si="195"/>
        <v>424.37462005240513</v>
      </c>
      <c r="G109" s="41"/>
      <c r="H109" s="7">
        <f t="shared" si="196"/>
        <v>3000</v>
      </c>
      <c r="I109" s="6">
        <v>15</v>
      </c>
      <c r="J109" s="41">
        <f t="shared" si="155"/>
        <v>0.28713835631100121</v>
      </c>
      <c r="K109" s="41">
        <f t="shared" si="156"/>
        <v>325.57428482334547</v>
      </c>
      <c r="L109" s="6">
        <f t="shared" si="197"/>
        <v>180</v>
      </c>
      <c r="M109" s="41">
        <f t="shared" si="157"/>
        <v>192.89755456927503</v>
      </c>
      <c r="N109" s="41">
        <f t="shared" si="158"/>
        <v>109.46264517225482</v>
      </c>
      <c r="O109" s="41">
        <f t="shared" si="159"/>
        <v>1756688.0948151206</v>
      </c>
      <c r="P109" s="41">
        <f t="shared" si="160"/>
        <v>11279171.965623073</v>
      </c>
      <c r="Q109" s="41">
        <f t="shared" si="161"/>
        <v>2.9240838430518376E-3</v>
      </c>
      <c r="R109" s="41">
        <f t="shared" si="162"/>
        <v>2.277736369419613E-2</v>
      </c>
      <c r="S109" s="24">
        <f t="shared" ca="1" si="198"/>
        <v>-8.597288963780528E-16</v>
      </c>
      <c r="T109" s="10">
        <f t="shared" ca="1" si="163"/>
        <v>-8.597288963780528E-16</v>
      </c>
      <c r="U109" s="41">
        <f t="shared" ca="1" si="164"/>
        <v>0.60187667867175332</v>
      </c>
      <c r="V109" s="41">
        <f t="shared" ca="1" si="165"/>
        <v>4.5656236420051934E-2</v>
      </c>
      <c r="W109" s="41">
        <f t="shared" ca="1" si="166"/>
        <v>13.182792228739485</v>
      </c>
      <c r="X109" s="20">
        <f t="shared" ca="1" si="167"/>
        <v>1149.4600536442063</v>
      </c>
      <c r="Y109" s="41">
        <f t="shared" si="168"/>
        <v>0.60053999049783546</v>
      </c>
      <c r="Z109" s="41">
        <f t="shared" ca="1" si="169"/>
        <v>163.04152628347694</v>
      </c>
      <c r="AA109" s="14">
        <f t="shared" ca="1" si="170"/>
        <v>1149.4600536442063</v>
      </c>
      <c r="AB109" s="14">
        <f t="shared" si="199"/>
        <v>5234.4042087224379</v>
      </c>
      <c r="AC109" s="25">
        <f t="shared" ca="1" si="171"/>
        <v>374234.63489821675</v>
      </c>
      <c r="AD109" s="41">
        <f t="shared" si="172"/>
        <v>1704187.4067311173</v>
      </c>
      <c r="AE109" s="5">
        <f t="shared" ca="1" si="173"/>
        <v>21.959711321658805</v>
      </c>
      <c r="AF109" s="7">
        <f t="shared" ca="1" si="174"/>
        <v>1149.460053644206</v>
      </c>
      <c r="AG109" s="41">
        <f t="shared" ca="1" si="175"/>
        <v>4084.9441550782317</v>
      </c>
      <c r="AH109" s="41">
        <f t="shared" ca="1" si="176"/>
        <v>1329952.7718329006</v>
      </c>
      <c r="AI109" s="41">
        <f t="shared" ca="1" si="177"/>
        <v>887.93044999592018</v>
      </c>
      <c r="AJ109" s="13">
        <f t="shared" ca="1" si="178"/>
        <v>-4.8852746739633395E-15</v>
      </c>
      <c r="AK109" s="11"/>
      <c r="AL109" s="6">
        <v>0</v>
      </c>
      <c r="AM109" s="6">
        <v>720</v>
      </c>
      <c r="AN109" s="41">
        <f t="shared" ca="1" si="179"/>
        <v>177.58608999918405</v>
      </c>
      <c r="AO109" s="41">
        <f t="shared" ca="1" si="180"/>
        <v>38.57951091385501</v>
      </c>
      <c r="AP109" s="67">
        <f t="shared" si="200"/>
        <v>0.77247612666560972</v>
      </c>
      <c r="AQ109" s="11">
        <f t="shared" si="181"/>
        <v>1.0314301707183759</v>
      </c>
      <c r="AR109" s="11">
        <f t="shared" si="182"/>
        <v>0.8962407041850623</v>
      </c>
      <c r="AS109" s="11">
        <f t="shared" si="183"/>
        <v>0.86893008332386068</v>
      </c>
      <c r="AT109" s="11">
        <f t="shared" si="184"/>
        <v>534.97188664650002</v>
      </c>
      <c r="AU109" s="11">
        <f t="shared" si="185"/>
        <v>1896.6425030105124</v>
      </c>
      <c r="AV109" s="11">
        <f t="shared" si="186"/>
        <v>2.0653599150524844E-3</v>
      </c>
      <c r="AW109" s="11">
        <f t="shared" si="187"/>
        <v>3.8278171249107636E-7</v>
      </c>
      <c r="AX109" s="41">
        <f t="shared" ca="1" si="188"/>
        <v>1.1859906138618725</v>
      </c>
      <c r="AY109" s="41">
        <f t="shared" ca="1" si="189"/>
        <v>1.5975529195993701</v>
      </c>
      <c r="AZ109" s="41">
        <f t="shared" si="190"/>
        <v>0.21025417408998501</v>
      </c>
      <c r="BA109" s="179">
        <f t="shared" ca="1" si="201"/>
        <v>0.86818745419230592</v>
      </c>
    </row>
    <row r="110" spans="1:53" ht="14.5">
      <c r="A110" s="41">
        <f t="shared" ca="1" si="191"/>
        <v>8802.1445201273455</v>
      </c>
      <c r="B110" s="41">
        <f t="shared" ca="1" si="192"/>
        <v>146.7024086687891</v>
      </c>
      <c r="C110" s="41">
        <f t="shared" ca="1" si="192"/>
        <v>2.4450401444798184</v>
      </c>
      <c r="D110" s="41">
        <f t="shared" ca="1" si="193"/>
        <v>14975.506972428131</v>
      </c>
      <c r="E110" s="41" t="e">
        <f t="shared" ca="1" si="194"/>
        <v>#NUM!</v>
      </c>
      <c r="F110" s="41">
        <f t="shared" ca="1" si="195"/>
        <v>462.95413096626015</v>
      </c>
      <c r="G110" s="41"/>
      <c r="H110" s="7">
        <f t="shared" si="196"/>
        <v>3000</v>
      </c>
      <c r="I110" s="6">
        <v>15</v>
      </c>
      <c r="J110" s="41">
        <f t="shared" si="155"/>
        <v>0.28713835631100121</v>
      </c>
      <c r="K110" s="41">
        <f t="shared" si="156"/>
        <v>325.57428482334547</v>
      </c>
      <c r="L110" s="6">
        <f t="shared" si="197"/>
        <v>180</v>
      </c>
      <c r="M110" s="41">
        <f t="shared" si="157"/>
        <v>192.89755456927503</v>
      </c>
      <c r="N110" s="41">
        <f t="shared" si="158"/>
        <v>109.46264517225482</v>
      </c>
      <c r="O110" s="41">
        <f t="shared" si="159"/>
        <v>1756688.0948151206</v>
      </c>
      <c r="P110" s="41">
        <f t="shared" si="160"/>
        <v>11279171.965623073</v>
      </c>
      <c r="Q110" s="41">
        <f t="shared" si="161"/>
        <v>2.9240838430518376E-3</v>
      </c>
      <c r="R110" s="41">
        <f t="shared" si="162"/>
        <v>2.277736369419613E-2</v>
      </c>
      <c r="S110" s="24">
        <f t="shared" ca="1" si="198"/>
        <v>0</v>
      </c>
      <c r="T110" s="10">
        <f t="shared" ca="1" si="163"/>
        <v>0</v>
      </c>
      <c r="U110" s="41">
        <f t="shared" ca="1" si="164"/>
        <v>0.59482300813817512</v>
      </c>
      <c r="V110" s="41">
        <f t="shared" ca="1" si="165"/>
        <v>4.5123122602718412E-2</v>
      </c>
      <c r="W110" s="41">
        <f t="shared" ca="1" si="166"/>
        <v>13.182221748597257</v>
      </c>
      <c r="X110" s="20">
        <f t="shared" ca="1" si="167"/>
        <v>1136.038162460869</v>
      </c>
      <c r="Y110" s="41">
        <f t="shared" si="168"/>
        <v>0.60053999049783546</v>
      </c>
      <c r="Z110" s="41">
        <f t="shared" ca="1" si="169"/>
        <v>162.08333118599799</v>
      </c>
      <c r="AA110" s="14">
        <f t="shared" ca="1" si="170"/>
        <v>1136.038162460869</v>
      </c>
      <c r="AB110" s="14">
        <f t="shared" si="199"/>
        <v>5234.4042087224379</v>
      </c>
      <c r="AC110" s="25">
        <f t="shared" ca="1" si="171"/>
        <v>369864.81227522495</v>
      </c>
      <c r="AD110" s="41">
        <f t="shared" si="172"/>
        <v>1704187.4067311173</v>
      </c>
      <c r="AE110" s="5">
        <f t="shared" ca="1" si="173"/>
        <v>21.703294532887096</v>
      </c>
      <c r="AF110" s="7">
        <f t="shared" ca="1" si="174"/>
        <v>1136.038162460869</v>
      </c>
      <c r="AG110" s="41">
        <f t="shared" ca="1" si="175"/>
        <v>4098.366046261569</v>
      </c>
      <c r="AH110" s="41">
        <f t="shared" ca="1" si="176"/>
        <v>1334322.5944558922</v>
      </c>
      <c r="AI110" s="41">
        <f t="shared" ca="1" si="177"/>
        <v>877.56235948208871</v>
      </c>
      <c r="AJ110" s="13">
        <f t="shared" ca="1" si="178"/>
        <v>0</v>
      </c>
      <c r="AK110" s="11"/>
      <c r="AL110" s="6">
        <v>0</v>
      </c>
      <c r="AM110" s="6">
        <v>720</v>
      </c>
      <c r="AN110" s="41">
        <f t="shared" ca="1" si="179"/>
        <v>175.51247189641776</v>
      </c>
      <c r="AO110" s="41">
        <f t="shared" ca="1" si="180"/>
        <v>38.57951091385501</v>
      </c>
      <c r="AP110" s="67">
        <f t="shared" si="200"/>
        <v>0.77247612666560972</v>
      </c>
      <c r="AQ110" s="11">
        <f t="shared" si="181"/>
        <v>1.0314301707183759</v>
      </c>
      <c r="AR110" s="11">
        <f t="shared" si="182"/>
        <v>0.8962407041850623</v>
      </c>
      <c r="AS110" s="11">
        <f t="shared" si="183"/>
        <v>0.86893008332386068</v>
      </c>
      <c r="AT110" s="11">
        <f t="shared" si="184"/>
        <v>534.97188664650002</v>
      </c>
      <c r="AU110" s="11">
        <f t="shared" si="185"/>
        <v>1896.6425030105124</v>
      </c>
      <c r="AV110" s="11">
        <f t="shared" si="186"/>
        <v>2.0653599150524844E-3</v>
      </c>
      <c r="AW110" s="11">
        <f t="shared" si="187"/>
        <v>3.8278171249107636E-7</v>
      </c>
      <c r="AX110" s="41">
        <f t="shared" ca="1" si="188"/>
        <v>1.1943962385119944</v>
      </c>
      <c r="AY110" s="41">
        <f t="shared" ca="1" si="189"/>
        <v>1.6088754630022495</v>
      </c>
      <c r="AZ110" s="41">
        <f t="shared" si="190"/>
        <v>0.21025417408998501</v>
      </c>
      <c r="BA110" s="179">
        <f t="shared" ca="1" si="201"/>
        <v>0.87200158506329994</v>
      </c>
    </row>
    <row r="111" spans="1:53" ht="14.5">
      <c r="A111" s="41">
        <f t="shared" ca="1" si="191"/>
        <v>9522.1445201273455</v>
      </c>
      <c r="B111" s="41">
        <f t="shared" ca="1" si="192"/>
        <v>158.7024086687891</v>
      </c>
      <c r="C111" s="41">
        <f t="shared" ca="1" si="192"/>
        <v>2.6450401444798186</v>
      </c>
      <c r="D111" s="41">
        <f t="shared" ca="1" si="193"/>
        <v>14799.994500531713</v>
      </c>
      <c r="E111" s="41" t="e">
        <f t="shared" ca="1" si="194"/>
        <v>#NUM!</v>
      </c>
      <c r="F111" s="41">
        <f t="shared" ca="1" si="195"/>
        <v>501.53364188011517</v>
      </c>
      <c r="G111" s="41"/>
      <c r="H111" s="7">
        <f t="shared" si="196"/>
        <v>3000</v>
      </c>
      <c r="I111" s="6">
        <v>15</v>
      </c>
      <c r="J111" s="41">
        <f t="shared" si="155"/>
        <v>0.28713835631100121</v>
      </c>
      <c r="K111" s="41">
        <f t="shared" si="156"/>
        <v>325.57428482334547</v>
      </c>
      <c r="L111" s="6">
        <f t="shared" si="197"/>
        <v>180</v>
      </c>
      <c r="M111" s="41">
        <f t="shared" si="157"/>
        <v>192.89755456927503</v>
      </c>
      <c r="N111" s="41">
        <f t="shared" si="158"/>
        <v>109.46264517225482</v>
      </c>
      <c r="O111" s="41">
        <f t="shared" si="159"/>
        <v>1756688.0948151206</v>
      </c>
      <c r="P111" s="41">
        <f t="shared" si="160"/>
        <v>11279171.965623073</v>
      </c>
      <c r="Q111" s="41">
        <f t="shared" si="161"/>
        <v>2.9240838430518376E-3</v>
      </c>
      <c r="R111" s="41">
        <f t="shared" si="162"/>
        <v>2.277736369419613E-2</v>
      </c>
      <c r="S111" s="24">
        <f t="shared" ca="1" si="198"/>
        <v>0</v>
      </c>
      <c r="T111" s="10">
        <f t="shared" ca="1" si="163"/>
        <v>0</v>
      </c>
      <c r="U111" s="41">
        <f t="shared" ca="1" si="164"/>
        <v>0.58785170114393404</v>
      </c>
      <c r="V111" s="41">
        <f t="shared" ca="1" si="165"/>
        <v>4.4602408777249317E-2</v>
      </c>
      <c r="W111" s="41">
        <f t="shared" ca="1" si="166"/>
        <v>13.179819594043629</v>
      </c>
      <c r="X111" s="20">
        <f t="shared" ca="1" si="167"/>
        <v>1122.9284585367384</v>
      </c>
      <c r="Y111" s="41">
        <f t="shared" si="168"/>
        <v>0.60053999049783546</v>
      </c>
      <c r="Z111" s="41">
        <f t="shared" ca="1" si="169"/>
        <v>161.13072605592254</v>
      </c>
      <c r="AA111" s="14">
        <f t="shared" ca="1" si="170"/>
        <v>1122.9284585367384</v>
      </c>
      <c r="AB111" s="14">
        <f t="shared" si="199"/>
        <v>5234.4042087224379</v>
      </c>
      <c r="AC111" s="25">
        <f t="shared" ca="1" si="171"/>
        <v>365596.62979588035</v>
      </c>
      <c r="AD111" s="41">
        <f t="shared" si="172"/>
        <v>1704187.4067311173</v>
      </c>
      <c r="AE111" s="5">
        <f t="shared" ca="1" si="173"/>
        <v>21.452841885338689</v>
      </c>
      <c r="AF111" s="7">
        <f t="shared" ca="1" si="174"/>
        <v>1122.9284585367384</v>
      </c>
      <c r="AG111" s="41">
        <f t="shared" ca="1" si="175"/>
        <v>4111.4757501856993</v>
      </c>
      <c r="AH111" s="41">
        <f t="shared" ca="1" si="176"/>
        <v>1338590.776935237</v>
      </c>
      <c r="AI111" s="41">
        <f t="shared" ca="1" si="177"/>
        <v>867.43542617304342</v>
      </c>
      <c r="AJ111" s="13">
        <f t="shared" ca="1" si="178"/>
        <v>0</v>
      </c>
      <c r="AK111" s="11"/>
      <c r="AL111" s="6">
        <v>0</v>
      </c>
      <c r="AM111" s="6">
        <v>720</v>
      </c>
      <c r="AN111" s="41">
        <f t="shared" ca="1" si="179"/>
        <v>173.48708523460868</v>
      </c>
      <c r="AO111" s="41">
        <f t="shared" ca="1" si="180"/>
        <v>38.57951091385501</v>
      </c>
      <c r="AP111" s="67">
        <f t="shared" si="200"/>
        <v>0.77247612666560972</v>
      </c>
      <c r="AQ111" s="11">
        <f t="shared" si="181"/>
        <v>1.0314301707183759</v>
      </c>
      <c r="AR111" s="11">
        <f t="shared" si="182"/>
        <v>0.8962407041850623</v>
      </c>
      <c r="AS111" s="11">
        <f t="shared" si="183"/>
        <v>0.86893008332386068</v>
      </c>
      <c r="AT111" s="11">
        <f t="shared" si="184"/>
        <v>534.97188664650002</v>
      </c>
      <c r="AU111" s="11">
        <f t="shared" si="185"/>
        <v>1896.6425030105124</v>
      </c>
      <c r="AV111" s="11">
        <f t="shared" si="186"/>
        <v>2.0653599150524844E-3</v>
      </c>
      <c r="AW111" s="11">
        <f t="shared" si="187"/>
        <v>3.8278171249107636E-7</v>
      </c>
      <c r="AX111" s="41">
        <f t="shared" ca="1" si="188"/>
        <v>1.2029856324841885</v>
      </c>
      <c r="AY111" s="41">
        <f t="shared" ca="1" si="189"/>
        <v>1.6204455473330064</v>
      </c>
      <c r="AZ111" s="41">
        <f t="shared" si="190"/>
        <v>0.21025417408998501</v>
      </c>
      <c r="BA111" s="179">
        <f t="shared" ca="1" si="201"/>
        <v>0.87584115016003317</v>
      </c>
    </row>
    <row r="112" spans="1:53" ht="14.5">
      <c r="A112" s="41">
        <f t="shared" ca="1" si="191"/>
        <v>10242.144520127345</v>
      </c>
      <c r="B112" s="41">
        <f t="shared" ca="1" si="192"/>
        <v>170.7024086687891</v>
      </c>
      <c r="C112" s="41">
        <f t="shared" ca="1" si="192"/>
        <v>2.8450401444798183</v>
      </c>
      <c r="D112" s="41">
        <f t="shared" ca="1" si="193"/>
        <v>14626.507415297105</v>
      </c>
      <c r="E112" s="41" t="e">
        <f t="shared" ca="1" si="194"/>
        <v>#NUM!</v>
      </c>
      <c r="F112" s="41">
        <f t="shared" ca="1" si="195"/>
        <v>540.11315279397013</v>
      </c>
      <c r="G112" s="41"/>
      <c r="H112" s="7">
        <f t="shared" si="196"/>
        <v>3000</v>
      </c>
      <c r="I112" s="6">
        <v>15</v>
      </c>
      <c r="J112" s="41">
        <f t="shared" si="155"/>
        <v>0.28713835631100121</v>
      </c>
      <c r="K112" s="41">
        <f t="shared" si="156"/>
        <v>325.57428482334547</v>
      </c>
      <c r="L112" s="6">
        <f t="shared" si="197"/>
        <v>180</v>
      </c>
      <c r="M112" s="41">
        <f t="shared" si="157"/>
        <v>192.89755456927503</v>
      </c>
      <c r="N112" s="41">
        <f t="shared" si="158"/>
        <v>109.46264517225482</v>
      </c>
      <c r="O112" s="41">
        <f t="shared" si="159"/>
        <v>1756688.0948151206</v>
      </c>
      <c r="P112" s="41">
        <f t="shared" si="160"/>
        <v>11279171.965623073</v>
      </c>
      <c r="Q112" s="41">
        <f t="shared" si="161"/>
        <v>2.9240838430518376E-3</v>
      </c>
      <c r="R112" s="41">
        <f t="shared" si="162"/>
        <v>2.277736369419613E-2</v>
      </c>
      <c r="S112" s="24">
        <f t="shared" ca="1" si="198"/>
        <v>0</v>
      </c>
      <c r="T112" s="10">
        <f t="shared" ca="1" si="163"/>
        <v>0</v>
      </c>
      <c r="U112" s="41">
        <f t="shared" ca="1" si="164"/>
        <v>0.58096084194949293</v>
      </c>
      <c r="V112" s="41">
        <f t="shared" ca="1" si="165"/>
        <v>4.4093736779839507E-2</v>
      </c>
      <c r="W112" s="41">
        <f t="shared" ca="1" si="166"/>
        <v>13.175586475018811</v>
      </c>
      <c r="X112" s="20">
        <f t="shared" ca="1" si="167"/>
        <v>1110.1219245935861</v>
      </c>
      <c r="Y112" s="41">
        <f t="shared" si="168"/>
        <v>0.60053999049783546</v>
      </c>
      <c r="Z112" s="41">
        <f t="shared" ca="1" si="169"/>
        <v>160.18354651773157</v>
      </c>
      <c r="AA112" s="14">
        <f t="shared" ca="1" si="170"/>
        <v>1110.1219245935861</v>
      </c>
      <c r="AB112" s="14">
        <f t="shared" si="199"/>
        <v>5234.4042087224379</v>
      </c>
      <c r="AC112" s="25">
        <f t="shared" ca="1" si="171"/>
        <v>361427.15166627261</v>
      </c>
      <c r="AD112" s="41">
        <f t="shared" si="172"/>
        <v>1704187.4067311173</v>
      </c>
      <c r="AE112" s="5">
        <f t="shared" ca="1" si="173"/>
        <v>21.208181109584842</v>
      </c>
      <c r="AF112" s="7">
        <f t="shared" ca="1" si="174"/>
        <v>1110.1219245935861</v>
      </c>
      <c r="AG112" s="41">
        <f t="shared" ca="1" si="175"/>
        <v>4124.2822841288516</v>
      </c>
      <c r="AH112" s="41">
        <f t="shared" ca="1" si="176"/>
        <v>1342760.2550648446</v>
      </c>
      <c r="AI112" s="41">
        <f t="shared" ca="1" si="177"/>
        <v>857.54268443662545</v>
      </c>
      <c r="AJ112" s="13">
        <f t="shared" ca="1" si="178"/>
        <v>0</v>
      </c>
      <c r="AK112" s="11"/>
      <c r="AL112" s="6">
        <v>0</v>
      </c>
      <c r="AM112" s="6">
        <v>720</v>
      </c>
      <c r="AN112" s="41">
        <f t="shared" ca="1" si="179"/>
        <v>171.50853688732511</v>
      </c>
      <c r="AO112" s="41">
        <f t="shared" ca="1" si="180"/>
        <v>38.57951091385501</v>
      </c>
      <c r="AP112" s="67">
        <f t="shared" si="200"/>
        <v>0.77247612666560972</v>
      </c>
      <c r="AQ112" s="11">
        <f t="shared" si="181"/>
        <v>1.0314301707183759</v>
      </c>
      <c r="AR112" s="11">
        <f t="shared" si="182"/>
        <v>0.8962407041850623</v>
      </c>
      <c r="AS112" s="11">
        <f t="shared" si="183"/>
        <v>0.86893008332386068</v>
      </c>
      <c r="AT112" s="11">
        <f t="shared" si="184"/>
        <v>534.97188664650002</v>
      </c>
      <c r="AU112" s="11">
        <f t="shared" si="185"/>
        <v>1896.6425030105124</v>
      </c>
      <c r="AV112" s="11">
        <f t="shared" si="186"/>
        <v>2.0653599150524844E-3</v>
      </c>
      <c r="AW112" s="11">
        <f t="shared" si="187"/>
        <v>3.8278171249107636E-7</v>
      </c>
      <c r="AX112" s="41">
        <f t="shared" ca="1" si="188"/>
        <v>1.2117606224633635</v>
      </c>
      <c r="AY112" s="41">
        <f t="shared" ca="1" si="189"/>
        <v>1.6322656331725043</v>
      </c>
      <c r="AZ112" s="41">
        <f t="shared" si="190"/>
        <v>0.21025417408998501</v>
      </c>
      <c r="BA112" s="179">
        <f t="shared" ca="1" si="201"/>
        <v>0.87970388692282653</v>
      </c>
    </row>
    <row r="113" spans="1:53" ht="14.5">
      <c r="A113" s="41">
        <f t="shared" ca="1" si="191"/>
        <v>10962.144520127345</v>
      </c>
      <c r="B113" s="41">
        <f t="shared" ca="1" si="192"/>
        <v>182.7024086687891</v>
      </c>
      <c r="C113" s="41">
        <f t="shared" ca="1" si="192"/>
        <v>3.0450401444798185</v>
      </c>
      <c r="D113" s="41">
        <f t="shared" ca="1" si="193"/>
        <v>14454.99887840978</v>
      </c>
      <c r="E113" s="41" t="e">
        <f t="shared" ca="1" si="194"/>
        <v>#NUM!</v>
      </c>
      <c r="F113" s="41">
        <f t="shared" ca="1" si="195"/>
        <v>578.69266370782509</v>
      </c>
      <c r="G113" s="41"/>
      <c r="H113" s="7">
        <f t="shared" si="196"/>
        <v>3000</v>
      </c>
      <c r="I113" s="6">
        <v>15</v>
      </c>
      <c r="J113" s="41">
        <f t="shared" si="155"/>
        <v>0.28713835631100121</v>
      </c>
      <c r="K113" s="41">
        <f t="shared" si="156"/>
        <v>325.57428482334547</v>
      </c>
      <c r="L113" s="6">
        <f t="shared" si="197"/>
        <v>180</v>
      </c>
      <c r="M113" s="41">
        <f t="shared" si="157"/>
        <v>192.89755456927503</v>
      </c>
      <c r="N113" s="41">
        <f t="shared" si="158"/>
        <v>109.46264517225482</v>
      </c>
      <c r="O113" s="41">
        <f t="shared" si="159"/>
        <v>1756688.0948151206</v>
      </c>
      <c r="P113" s="41">
        <f t="shared" si="160"/>
        <v>11279171.965623073</v>
      </c>
      <c r="Q113" s="41">
        <f t="shared" si="161"/>
        <v>2.9240838430518376E-3</v>
      </c>
      <c r="R113" s="41">
        <f t="shared" si="162"/>
        <v>2.277736369419613E-2</v>
      </c>
      <c r="S113" s="24">
        <f t="shared" ca="1" si="198"/>
        <v>0</v>
      </c>
      <c r="T113" s="10">
        <f t="shared" ca="1" si="163"/>
        <v>0</v>
      </c>
      <c r="U113" s="41">
        <f t="shared" ca="1" si="164"/>
        <v>0.57414857014991227</v>
      </c>
      <c r="V113" s="41">
        <f t="shared" ca="1" si="165"/>
        <v>4.3596761621440855E-2</v>
      </c>
      <c r="W113" s="41">
        <f t="shared" ca="1" si="166"/>
        <v>13.169523349815654</v>
      </c>
      <c r="X113" s="20">
        <f t="shared" ca="1" si="167"/>
        <v>1097.6098750462461</v>
      </c>
      <c r="Y113" s="41">
        <f t="shared" si="168"/>
        <v>0.60053999049783546</v>
      </c>
      <c r="Z113" s="41">
        <f t="shared" ca="1" si="169"/>
        <v>159.24163139269612</v>
      </c>
      <c r="AA113" s="14">
        <f t="shared" ca="1" si="170"/>
        <v>1097.6098750462461</v>
      </c>
      <c r="AB113" s="14">
        <f t="shared" si="199"/>
        <v>5234.4042087224379</v>
      </c>
      <c r="AC113" s="25">
        <f t="shared" ca="1" si="171"/>
        <v>357353.55008322315</v>
      </c>
      <c r="AD113" s="41">
        <f t="shared" si="172"/>
        <v>1704187.4067311173</v>
      </c>
      <c r="AE113" s="5">
        <f t="shared" ca="1" si="173"/>
        <v>20.96914627298414</v>
      </c>
      <c r="AF113" s="7">
        <f t="shared" ca="1" si="174"/>
        <v>1097.6098750462461</v>
      </c>
      <c r="AG113" s="41">
        <f t="shared" ca="1" si="175"/>
        <v>4136.7943336761919</v>
      </c>
      <c r="AH113" s="41">
        <f t="shared" ca="1" si="176"/>
        <v>1346833.8566478943</v>
      </c>
      <c r="AI113" s="41">
        <f t="shared" ca="1" si="177"/>
        <v>847.87742486564809</v>
      </c>
      <c r="AJ113" s="13">
        <f t="shared" ca="1" si="178"/>
        <v>0</v>
      </c>
      <c r="AK113" s="11"/>
      <c r="AL113" s="6">
        <v>0</v>
      </c>
      <c r="AM113" s="6">
        <v>720</v>
      </c>
      <c r="AN113" s="41">
        <f t="shared" ca="1" si="179"/>
        <v>169.57548497312962</v>
      </c>
      <c r="AO113" s="41">
        <f t="shared" ca="1" si="180"/>
        <v>38.57951091385501</v>
      </c>
      <c r="AP113" s="67">
        <f t="shared" si="200"/>
        <v>0.77247612666560972</v>
      </c>
      <c r="AQ113" s="11">
        <f t="shared" si="181"/>
        <v>1.0314301707183759</v>
      </c>
      <c r="AR113" s="11">
        <f t="shared" si="182"/>
        <v>0.8962407041850623</v>
      </c>
      <c r="AS113" s="11">
        <f t="shared" si="183"/>
        <v>0.86893008332386068</v>
      </c>
      <c r="AT113" s="11">
        <f t="shared" si="184"/>
        <v>534.97188664650002</v>
      </c>
      <c r="AU113" s="11">
        <f t="shared" si="185"/>
        <v>1896.6425030105124</v>
      </c>
      <c r="AV113" s="11">
        <f t="shared" si="186"/>
        <v>2.0653599150524844E-3</v>
      </c>
      <c r="AW113" s="11">
        <f t="shared" si="187"/>
        <v>3.8278171249107636E-7</v>
      </c>
      <c r="AX113" s="41">
        <f t="shared" ca="1" si="188"/>
        <v>1.22072318859365</v>
      </c>
      <c r="AY113" s="41">
        <f t="shared" ca="1" si="189"/>
        <v>1.6443383878142279</v>
      </c>
      <c r="AZ113" s="41">
        <f t="shared" si="190"/>
        <v>0.21025417408998501</v>
      </c>
      <c r="BA113" s="179">
        <f t="shared" ca="1" si="201"/>
        <v>0.88358755290652058</v>
      </c>
    </row>
    <row r="114" spans="1:53" ht="14.5">
      <c r="A114" s="41">
        <f t="shared" ca="1" si="191"/>
        <v>11682.144520127345</v>
      </c>
      <c r="B114" s="41">
        <f t="shared" ca="1" si="192"/>
        <v>194.7024086687891</v>
      </c>
      <c r="C114" s="41">
        <f t="shared" ca="1" si="192"/>
        <v>3.2450401444798183</v>
      </c>
      <c r="D114" s="41">
        <f t="shared" ca="1" si="193"/>
        <v>14285.423393436651</v>
      </c>
      <c r="E114" s="41" t="e">
        <f t="shared" ca="1" si="194"/>
        <v>#NUM!</v>
      </c>
      <c r="F114" s="41">
        <f t="shared" ca="1" si="195"/>
        <v>617.27217462168005</v>
      </c>
      <c r="G114" s="41"/>
      <c r="H114" s="7">
        <f t="shared" si="196"/>
        <v>3000</v>
      </c>
      <c r="I114" s="6">
        <v>15</v>
      </c>
      <c r="J114" s="41">
        <f t="shared" si="155"/>
        <v>0.28713835631100121</v>
      </c>
      <c r="K114" s="41">
        <f t="shared" si="156"/>
        <v>325.57428482334547</v>
      </c>
      <c r="L114" s="6">
        <f t="shared" si="197"/>
        <v>180</v>
      </c>
      <c r="M114" s="41">
        <f t="shared" si="157"/>
        <v>192.89755456927503</v>
      </c>
      <c r="N114" s="41">
        <f t="shared" si="158"/>
        <v>109.46264517225482</v>
      </c>
      <c r="O114" s="41">
        <f t="shared" si="159"/>
        <v>1756688.0948151206</v>
      </c>
      <c r="P114" s="41">
        <f t="shared" si="160"/>
        <v>11279171.965623073</v>
      </c>
      <c r="Q114" s="41">
        <f t="shared" si="161"/>
        <v>2.9240838430518376E-3</v>
      </c>
      <c r="R114" s="41">
        <f t="shared" si="162"/>
        <v>2.277736369419613E-2</v>
      </c>
      <c r="S114" s="24">
        <f t="shared" ca="1" si="198"/>
        <v>0</v>
      </c>
      <c r="T114" s="10">
        <f t="shared" ca="1" si="163"/>
        <v>0</v>
      </c>
      <c r="U114" s="41">
        <f t="shared" ca="1" si="164"/>
        <v>0.56741307863941337</v>
      </c>
      <c r="V114" s="41">
        <f t="shared" ca="1" si="165"/>
        <v>4.3111150914133381E-2</v>
      </c>
      <c r="W114" s="41">
        <f t="shared" ca="1" si="166"/>
        <v>13.161631425000881</v>
      </c>
      <c r="X114" s="20">
        <f t="shared" ca="1" si="167"/>
        <v>1085.3839415607017</v>
      </c>
      <c r="Y114" s="41">
        <f t="shared" si="168"/>
        <v>0.60053999049783546</v>
      </c>
      <c r="Z114" s="41">
        <f t="shared" ca="1" si="169"/>
        <v>158.30482256501278</v>
      </c>
      <c r="AA114" s="14">
        <f t="shared" ca="1" si="170"/>
        <v>1085.3839415607017</v>
      </c>
      <c r="AB114" s="14">
        <f t="shared" si="199"/>
        <v>5234.4042087224379</v>
      </c>
      <c r="AC114" s="25">
        <f t="shared" ca="1" si="171"/>
        <v>353373.10053236922</v>
      </c>
      <c r="AD114" s="41">
        <f t="shared" si="172"/>
        <v>1704187.4067311173</v>
      </c>
      <c r="AE114" s="5">
        <f t="shared" ca="1" si="173"/>
        <v>20.735577503778824</v>
      </c>
      <c r="AF114" s="7">
        <f t="shared" ca="1" si="174"/>
        <v>1085.3839415607017</v>
      </c>
      <c r="AG114" s="41">
        <f t="shared" ca="1" si="175"/>
        <v>4149.0202671617362</v>
      </c>
      <c r="AH114" s="41">
        <f t="shared" ca="1" si="176"/>
        <v>1350814.3061987481</v>
      </c>
      <c r="AI114" s="41">
        <f t="shared" ca="1" si="177"/>
        <v>838.43318312186341</v>
      </c>
      <c r="AJ114" s="13">
        <f t="shared" ca="1" si="178"/>
        <v>0</v>
      </c>
      <c r="AK114" s="11"/>
      <c r="AL114" s="6">
        <v>0</v>
      </c>
      <c r="AM114" s="6">
        <v>720</v>
      </c>
      <c r="AN114" s="41">
        <f t="shared" ca="1" si="179"/>
        <v>167.68663662437268</v>
      </c>
      <c r="AO114" s="41">
        <f t="shared" ca="1" si="180"/>
        <v>38.57951091385501</v>
      </c>
      <c r="AP114" s="67">
        <f t="shared" si="200"/>
        <v>0.77247612666560972</v>
      </c>
      <c r="AQ114" s="11">
        <f t="shared" si="181"/>
        <v>1.0314301707183759</v>
      </c>
      <c r="AR114" s="11">
        <f t="shared" si="182"/>
        <v>0.8962407041850623</v>
      </c>
      <c r="AS114" s="11">
        <f t="shared" si="183"/>
        <v>0.86893008332386068</v>
      </c>
      <c r="AT114" s="11">
        <f t="shared" si="184"/>
        <v>534.97188664650002</v>
      </c>
      <c r="AU114" s="11">
        <f t="shared" si="185"/>
        <v>1896.6425030105124</v>
      </c>
      <c r="AV114" s="11">
        <f t="shared" si="186"/>
        <v>2.0653599150524844E-3</v>
      </c>
      <c r="AW114" s="11">
        <f t="shared" si="187"/>
        <v>3.8278171249107636E-7</v>
      </c>
      <c r="AX114" s="41">
        <f t="shared" ca="1" si="188"/>
        <v>1.2298754657116233</v>
      </c>
      <c r="AY114" s="41">
        <f t="shared" ca="1" si="189"/>
        <v>1.6566666869254583</v>
      </c>
      <c r="AZ114" s="41">
        <f t="shared" si="190"/>
        <v>0.21025417408998501</v>
      </c>
      <c r="BA114" s="179">
        <f t="shared" ca="1" si="201"/>
        <v>0.88748993133302445</v>
      </c>
    </row>
    <row r="115" spans="1:53" ht="14.5">
      <c r="A115" s="41">
        <f t="shared" ca="1" si="191"/>
        <v>12402.144520127345</v>
      </c>
      <c r="B115" s="41">
        <f t="shared" ref="B115:C118" ca="1" si="202">A115/60</f>
        <v>206.7024086687891</v>
      </c>
      <c r="C115" s="41">
        <f t="shared" ca="1" si="202"/>
        <v>3.4450401444798184</v>
      </c>
      <c r="D115" s="41">
        <f t="shared" ca="1" si="193"/>
        <v>14117.736756812279</v>
      </c>
      <c r="E115" s="41" t="e">
        <f t="shared" ca="1" si="194"/>
        <v>#NUM!</v>
      </c>
      <c r="F115" s="41">
        <f t="shared" ca="1" si="195"/>
        <v>655.85168553553501</v>
      </c>
      <c r="G115" s="41"/>
      <c r="H115" s="7">
        <f t="shared" si="196"/>
        <v>3000</v>
      </c>
      <c r="I115" s="6">
        <v>15</v>
      </c>
      <c r="J115" s="41">
        <f t="shared" si="155"/>
        <v>0.28713835631100121</v>
      </c>
      <c r="K115" s="41">
        <f t="shared" si="156"/>
        <v>325.57428482334547</v>
      </c>
      <c r="L115" s="6">
        <f t="shared" si="197"/>
        <v>180</v>
      </c>
      <c r="M115" s="41">
        <f t="shared" si="157"/>
        <v>192.89755456927503</v>
      </c>
      <c r="N115" s="41">
        <f t="shared" si="158"/>
        <v>109.46264517225482</v>
      </c>
      <c r="O115" s="41">
        <f t="shared" si="159"/>
        <v>1756688.0948151206</v>
      </c>
      <c r="P115" s="41">
        <f t="shared" si="160"/>
        <v>11279171.965623073</v>
      </c>
      <c r="Q115" s="41">
        <f t="shared" si="161"/>
        <v>2.9240838430518376E-3</v>
      </c>
      <c r="R115" s="41">
        <f t="shared" si="162"/>
        <v>2.277736369419613E-2</v>
      </c>
      <c r="S115" s="24">
        <f t="shared" ca="1" si="198"/>
        <v>0</v>
      </c>
      <c r="T115" s="10">
        <f t="shared" ca="1" si="163"/>
        <v>0</v>
      </c>
      <c r="U115" s="41">
        <f t="shared" ca="1" si="164"/>
        <v>0.56075261166456414</v>
      </c>
      <c r="V115" s="41">
        <f t="shared" ca="1" si="165"/>
        <v>4.2636584326533319E-2</v>
      </c>
      <c r="W115" s="41">
        <f t="shared" ca="1" si="166"/>
        <v>13.151912155298994</v>
      </c>
      <c r="X115" s="20">
        <f t="shared" ca="1" si="167"/>
        <v>1073.4360593432148</v>
      </c>
      <c r="Y115" s="41">
        <f t="shared" si="168"/>
        <v>0.60053999049783546</v>
      </c>
      <c r="Z115" s="41">
        <f t="shared" ca="1" si="169"/>
        <v>157.37296485239634</v>
      </c>
      <c r="AA115" s="14">
        <f t="shared" ca="1" si="170"/>
        <v>1073.4360593432148</v>
      </c>
      <c r="AB115" s="14">
        <f t="shared" si="199"/>
        <v>5234.4042087224379</v>
      </c>
      <c r="AC115" s="25">
        <f t="shared" ca="1" si="171"/>
        <v>349483.17732425738</v>
      </c>
      <c r="AD115" s="41">
        <f t="shared" si="172"/>
        <v>1704187.4067311173</v>
      </c>
      <c r="AE115" s="5">
        <f t="shared" ca="1" si="173"/>
        <v>20.507320729157225</v>
      </c>
      <c r="AF115" s="7">
        <f t="shared" ca="1" si="174"/>
        <v>1073.4360593432148</v>
      </c>
      <c r="AG115" s="41">
        <f t="shared" ca="1" si="175"/>
        <v>4160.9681493792232</v>
      </c>
      <c r="AH115" s="41">
        <f t="shared" ca="1" si="176"/>
        <v>1354704.22940686</v>
      </c>
      <c r="AI115" s="41">
        <f t="shared" ca="1" si="177"/>
        <v>829.20372934464217</v>
      </c>
      <c r="AJ115" s="13">
        <f t="shared" ca="1" si="178"/>
        <v>0</v>
      </c>
      <c r="AK115" s="11"/>
      <c r="AL115" s="6">
        <v>0</v>
      </c>
      <c r="AM115" s="6">
        <v>720</v>
      </c>
      <c r="AN115" s="41">
        <f t="shared" ca="1" si="179"/>
        <v>165.84074586892845</v>
      </c>
      <c r="AO115" s="41">
        <f t="shared" ca="1" si="180"/>
        <v>38.57951091385501</v>
      </c>
      <c r="AP115" s="67">
        <f t="shared" si="200"/>
        <v>0.77247612666560972</v>
      </c>
      <c r="AQ115" s="11">
        <f t="shared" si="181"/>
        <v>1.0314301707183759</v>
      </c>
      <c r="AR115" s="11">
        <f t="shared" si="182"/>
        <v>0.8962407041850623</v>
      </c>
      <c r="AS115" s="11">
        <f t="shared" si="183"/>
        <v>0.86893008332386068</v>
      </c>
      <c r="AT115" s="11">
        <f t="shared" si="184"/>
        <v>534.97188664650002</v>
      </c>
      <c r="AU115" s="11">
        <f t="shared" si="185"/>
        <v>1896.6425030105124</v>
      </c>
      <c r="AV115" s="11">
        <f t="shared" si="186"/>
        <v>2.0653599150524844E-3</v>
      </c>
      <c r="AW115" s="11">
        <f t="shared" si="187"/>
        <v>3.8278171249107636E-7</v>
      </c>
      <c r="AX115" s="41">
        <f t="shared" ca="1" si="188"/>
        <v>1.2392197449058437</v>
      </c>
      <c r="AY115" s="41">
        <f t="shared" ca="1" si="189"/>
        <v>1.6692536166480041</v>
      </c>
      <c r="AZ115" s="41">
        <f t="shared" si="190"/>
        <v>0.21025417408998501</v>
      </c>
      <c r="BA115" s="179">
        <f t="shared" ca="1" si="201"/>
        <v>0.89140883595415965</v>
      </c>
    </row>
    <row r="116" spans="1:53" ht="14.5">
      <c r="A116" s="41">
        <f t="shared" ca="1" si="191"/>
        <v>13122.144520127345</v>
      </c>
      <c r="B116" s="41">
        <f t="shared" ca="1" si="202"/>
        <v>218.7024086687891</v>
      </c>
      <c r="C116" s="41">
        <f t="shared" ca="1" si="202"/>
        <v>3.6450401444798186</v>
      </c>
      <c r="D116" s="41">
        <f t="shared" ca="1" si="193"/>
        <v>13951.89601094335</v>
      </c>
      <c r="E116" s="41" t="e">
        <f t="shared" ca="1" si="194"/>
        <v>#NUM!</v>
      </c>
      <c r="F116" s="41">
        <f t="shared" ca="1" si="195"/>
        <v>694.43119644938997</v>
      </c>
      <c r="G116" s="41"/>
      <c r="H116" s="7">
        <f t="shared" si="196"/>
        <v>3000</v>
      </c>
      <c r="I116" s="6">
        <v>15</v>
      </c>
      <c r="J116" s="41">
        <f t="shared" si="155"/>
        <v>0.28713835631100121</v>
      </c>
      <c r="K116" s="41">
        <f t="shared" si="156"/>
        <v>325.57428482334547</v>
      </c>
      <c r="L116" s="6">
        <f t="shared" si="197"/>
        <v>180</v>
      </c>
      <c r="M116" s="41">
        <f t="shared" si="157"/>
        <v>192.89755456927503</v>
      </c>
      <c r="N116" s="41">
        <f t="shared" si="158"/>
        <v>109.46264517225482</v>
      </c>
      <c r="O116" s="41">
        <f t="shared" si="159"/>
        <v>1756688.0948151206</v>
      </c>
      <c r="P116" s="41">
        <f t="shared" si="160"/>
        <v>11279171.965623073</v>
      </c>
      <c r="Q116" s="41">
        <f t="shared" si="161"/>
        <v>2.9240838430518376E-3</v>
      </c>
      <c r="R116" s="41">
        <f t="shared" si="162"/>
        <v>2.277736369419613E-2</v>
      </c>
      <c r="S116" s="24">
        <f t="shared" ca="1" si="198"/>
        <v>0</v>
      </c>
      <c r="T116" s="10">
        <f t="shared" ca="1" si="163"/>
        <v>0</v>
      </c>
      <c r="U116" s="41">
        <f t="shared" ca="1" si="164"/>
        <v>0.55416546296160174</v>
      </c>
      <c r="V116" s="41">
        <f t="shared" ca="1" si="165"/>
        <v>4.2172753066569958E-2</v>
      </c>
      <c r="W116" s="41">
        <f t="shared" ca="1" si="166"/>
        <v>13.140367243439099</v>
      </c>
      <c r="X116" s="20">
        <f t="shared" ca="1" si="167"/>
        <v>1061.7584541185058</v>
      </c>
      <c r="Y116" s="41">
        <f t="shared" si="168"/>
        <v>0.60053999049783546</v>
      </c>
      <c r="Z116" s="41">
        <f t="shared" ca="1" si="169"/>
        <v>156.4459058808805</v>
      </c>
      <c r="AA116" s="14">
        <f t="shared" ca="1" si="170"/>
        <v>1061.7584541185058</v>
      </c>
      <c r="AB116" s="14">
        <f t="shared" si="199"/>
        <v>5234.4042087224379</v>
      </c>
      <c r="AC116" s="25">
        <f t="shared" ca="1" si="171"/>
        <v>345681.24935477338</v>
      </c>
      <c r="AD116" s="41">
        <f t="shared" si="172"/>
        <v>1704187.4067311173</v>
      </c>
      <c r="AE116" s="5">
        <f t="shared" ca="1" si="173"/>
        <v>20.284227426480108</v>
      </c>
      <c r="AF116" s="7">
        <f t="shared" ca="1" si="174"/>
        <v>1061.7584541185058</v>
      </c>
      <c r="AG116" s="41">
        <f t="shared" ca="1" si="175"/>
        <v>4172.6457546039319</v>
      </c>
      <c r="AH116" s="41">
        <f t="shared" ca="1" si="176"/>
        <v>1358506.1573763439</v>
      </c>
      <c r="AI116" s="41">
        <f t="shared" ca="1" si="177"/>
        <v>820.18305809192884</v>
      </c>
      <c r="AJ116" s="13">
        <f t="shared" ca="1" si="178"/>
        <v>0</v>
      </c>
      <c r="AK116" s="11"/>
      <c r="AL116" s="6">
        <v>0</v>
      </c>
      <c r="AM116" s="6">
        <v>720</v>
      </c>
      <c r="AN116" s="41">
        <f t="shared" ca="1" si="179"/>
        <v>164.03661161838579</v>
      </c>
      <c r="AO116" s="41">
        <f t="shared" ca="1" si="180"/>
        <v>38.57951091385501</v>
      </c>
      <c r="AP116" s="67">
        <f t="shared" si="200"/>
        <v>0.77247612666560972</v>
      </c>
      <c r="AQ116" s="11">
        <f t="shared" si="181"/>
        <v>1.0314301707183759</v>
      </c>
      <c r="AR116" s="11">
        <f t="shared" si="182"/>
        <v>0.8962407041850623</v>
      </c>
      <c r="AS116" s="11">
        <f t="shared" si="183"/>
        <v>0.86893008332386068</v>
      </c>
      <c r="AT116" s="11">
        <f t="shared" si="184"/>
        <v>534.97188664650002</v>
      </c>
      <c r="AU116" s="11">
        <f t="shared" si="185"/>
        <v>1896.6425030105124</v>
      </c>
      <c r="AV116" s="11">
        <f t="shared" si="186"/>
        <v>2.0653599150524844E-3</v>
      </c>
      <c r="AW116" s="11">
        <f t="shared" si="187"/>
        <v>3.8278171249107636E-7</v>
      </c>
      <c r="AX116" s="41">
        <f t="shared" ca="1" si="188"/>
        <v>1.248758475403293</v>
      </c>
      <c r="AY116" s="41">
        <f t="shared" ca="1" si="189"/>
        <v>1.6821024761392702</v>
      </c>
      <c r="AZ116" s="41">
        <f t="shared" si="190"/>
        <v>0.21025417408998501</v>
      </c>
      <c r="BA116" s="179">
        <f t="shared" ca="1" si="201"/>
        <v>0.89534211528319851</v>
      </c>
    </row>
    <row r="117" spans="1:53" ht="14.5">
      <c r="A117" s="41">
        <f t="shared" ca="1" si="191"/>
        <v>13842.144520127345</v>
      </c>
      <c r="B117" s="41">
        <f t="shared" ca="1" si="202"/>
        <v>230.7024086687891</v>
      </c>
      <c r="C117" s="41">
        <f t="shared" ca="1" si="202"/>
        <v>3.8450401444798183</v>
      </c>
      <c r="D117" s="41">
        <f t="shared" ca="1" si="193"/>
        <v>13787.859399324965</v>
      </c>
      <c r="E117" s="41" t="e">
        <f t="shared" ca="1" si="194"/>
        <v>#NUM!</v>
      </c>
      <c r="F117" s="41">
        <f t="shared" ca="1" si="195"/>
        <v>733.01070736324493</v>
      </c>
      <c r="G117" s="41"/>
      <c r="H117" s="7">
        <f t="shared" si="196"/>
        <v>3000</v>
      </c>
      <c r="I117" s="6">
        <v>15</v>
      </c>
      <c r="J117" s="41">
        <f t="shared" si="155"/>
        <v>0.28713835631100121</v>
      </c>
      <c r="K117" s="41">
        <f t="shared" si="156"/>
        <v>325.57428482334547</v>
      </c>
      <c r="L117" s="6">
        <f t="shared" si="197"/>
        <v>180</v>
      </c>
      <c r="M117" s="41">
        <f t="shared" si="157"/>
        <v>192.89755456927503</v>
      </c>
      <c r="N117" s="41">
        <f t="shared" si="158"/>
        <v>109.46264517225482</v>
      </c>
      <c r="O117" s="41">
        <f t="shared" si="159"/>
        <v>1756688.0948151206</v>
      </c>
      <c r="P117" s="41">
        <f t="shared" si="160"/>
        <v>11279171.965623073</v>
      </c>
      <c r="Q117" s="41">
        <f t="shared" si="161"/>
        <v>2.9240838430518376E-3</v>
      </c>
      <c r="R117" s="41">
        <f t="shared" si="162"/>
        <v>2.277736369419613E-2</v>
      </c>
      <c r="S117" s="24">
        <f t="shared" ca="1" si="198"/>
        <v>0</v>
      </c>
      <c r="T117" s="10">
        <f t="shared" ca="1" si="163"/>
        <v>0</v>
      </c>
      <c r="U117" s="41">
        <f t="shared" ca="1" si="164"/>
        <v>0.54764997397366388</v>
      </c>
      <c r="V117" s="41">
        <f t="shared" ca="1" si="165"/>
        <v>4.1719359390071334E-2</v>
      </c>
      <c r="W117" s="41">
        <f t="shared" ca="1" si="166"/>
        <v>13.126998639964675</v>
      </c>
      <c r="X117" s="20">
        <f t="shared" ca="1" si="167"/>
        <v>1050.3436297577059</v>
      </c>
      <c r="Y117" s="41">
        <f t="shared" si="168"/>
        <v>0.60053999049783546</v>
      </c>
      <c r="Z117" s="41">
        <f t="shared" ca="1" si="169"/>
        <v>155.52349596358911</v>
      </c>
      <c r="AA117" s="14">
        <f t="shared" ca="1" si="170"/>
        <v>1050.3436297577059</v>
      </c>
      <c r="AB117" s="14">
        <f t="shared" si="199"/>
        <v>5234.4042087224379</v>
      </c>
      <c r="AC117" s="25">
        <f t="shared" ca="1" si="171"/>
        <v>341964.87607712188</v>
      </c>
      <c r="AD117" s="41">
        <f t="shared" si="172"/>
        <v>1704187.4067311173</v>
      </c>
      <c r="AE117" s="5">
        <f t="shared" ca="1" si="173"/>
        <v>20.066154386920445</v>
      </c>
      <c r="AF117" s="7">
        <f t="shared" ca="1" si="174"/>
        <v>1050.3436297577059</v>
      </c>
      <c r="AG117" s="41">
        <f t="shared" ca="1" si="175"/>
        <v>4184.0605789647325</v>
      </c>
      <c r="AH117" s="41">
        <f t="shared" ca="1" si="176"/>
        <v>1362222.5306539955</v>
      </c>
      <c r="AI117" s="41">
        <f t="shared" ca="1" si="177"/>
        <v>811.36537878312993</v>
      </c>
      <c r="AJ117" s="13">
        <f t="shared" ca="1" si="178"/>
        <v>0</v>
      </c>
      <c r="AK117" s="11"/>
      <c r="AL117" s="6">
        <v>0</v>
      </c>
      <c r="AM117" s="6">
        <v>720</v>
      </c>
      <c r="AN117" s="41">
        <f t="shared" ca="1" si="179"/>
        <v>162.27307575662599</v>
      </c>
      <c r="AO117" s="41">
        <f t="shared" ca="1" si="180"/>
        <v>38.57951091385501</v>
      </c>
      <c r="AP117" s="67">
        <f t="shared" si="200"/>
        <v>0.77247612666560972</v>
      </c>
      <c r="AQ117" s="11">
        <f t="shared" si="181"/>
        <v>1.0314301707183759</v>
      </c>
      <c r="AR117" s="11">
        <f t="shared" si="182"/>
        <v>0.8962407041850623</v>
      </c>
      <c r="AS117" s="11">
        <f t="shared" si="183"/>
        <v>0.86893008332386068</v>
      </c>
      <c r="AT117" s="11">
        <f t="shared" si="184"/>
        <v>534.97188664650002</v>
      </c>
      <c r="AU117" s="11">
        <f t="shared" si="185"/>
        <v>1896.6425030105124</v>
      </c>
      <c r="AV117" s="11">
        <f t="shared" si="186"/>
        <v>2.0653599150524844E-3</v>
      </c>
      <c r="AW117" s="11">
        <f t="shared" si="187"/>
        <v>3.8278171249107636E-7</v>
      </c>
      <c r="AX117" s="41">
        <f t="shared" ca="1" si="188"/>
        <v>1.2584942667845913</v>
      </c>
      <c r="AY117" s="41">
        <f t="shared" ca="1" si="189"/>
        <v>1.695216780556198</v>
      </c>
      <c r="AZ117" s="41">
        <f t="shared" si="190"/>
        <v>0.21025417408998501</v>
      </c>
      <c r="BA117" s="179">
        <f t="shared" ca="1" si="201"/>
        <v>0.89928765624953422</v>
      </c>
    </row>
    <row r="118" spans="1:53" ht="14.5">
      <c r="A118" s="41">
        <f t="shared" ca="1" si="191"/>
        <v>14562.144520127345</v>
      </c>
      <c r="B118" s="41">
        <f t="shared" ca="1" si="202"/>
        <v>242.7024086687891</v>
      </c>
      <c r="C118" s="41">
        <f t="shared" ca="1" si="202"/>
        <v>4.0450401444798185</v>
      </c>
      <c r="D118" s="41">
        <f t="shared" ca="1" si="193"/>
        <v>13625.586323568339</v>
      </c>
      <c r="E118" s="41" t="e">
        <f t="shared" ca="1" si="194"/>
        <v>#NUM!</v>
      </c>
      <c r="F118" s="41">
        <f t="shared" ca="1" si="195"/>
        <v>771.59021827709989</v>
      </c>
      <c r="G118" s="41"/>
      <c r="H118" s="7">
        <f t="shared" si="196"/>
        <v>3000</v>
      </c>
      <c r="I118" s="6">
        <v>15</v>
      </c>
      <c r="J118" s="41">
        <f t="shared" si="155"/>
        <v>0.28713835631100121</v>
      </c>
      <c r="K118" s="41">
        <f t="shared" si="156"/>
        <v>325.57428482334547</v>
      </c>
      <c r="L118" s="6">
        <f t="shared" si="197"/>
        <v>180</v>
      </c>
      <c r="M118" s="41">
        <f t="shared" si="157"/>
        <v>192.89755456927503</v>
      </c>
      <c r="N118" s="41">
        <f t="shared" si="158"/>
        <v>109.46264517225482</v>
      </c>
      <c r="O118" s="41">
        <f t="shared" si="159"/>
        <v>1756688.0948151206</v>
      </c>
      <c r="P118" s="41">
        <f t="shared" si="160"/>
        <v>11279171.965623073</v>
      </c>
      <c r="Q118" s="41">
        <f t="shared" si="161"/>
        <v>2.9240838430518376E-3</v>
      </c>
      <c r="R118" s="41">
        <f t="shared" si="162"/>
        <v>2.277736369419613E-2</v>
      </c>
      <c r="S118" s="24">
        <f t="shared" ca="1" si="198"/>
        <v>-9.5610945950565476E-16</v>
      </c>
      <c r="T118" s="10">
        <f t="shared" ca="1" si="163"/>
        <v>-9.5610945950565476E-16</v>
      </c>
      <c r="U118" s="41">
        <f t="shared" ca="1" si="164"/>
        <v>0.54120453214394137</v>
      </c>
      <c r="V118" s="41">
        <f t="shared" ca="1" si="165"/>
        <v>4.1276116133697062E-2</v>
      </c>
      <c r="W118" s="41">
        <f t="shared" ca="1" si="166"/>
        <v>13.111808543006592</v>
      </c>
      <c r="X118" s="20">
        <f t="shared" ca="1" si="167"/>
        <v>1039.1843565192828</v>
      </c>
      <c r="Y118" s="41">
        <f t="shared" si="168"/>
        <v>0.60053999049783546</v>
      </c>
      <c r="Z118" s="41">
        <f t="shared" ca="1" si="169"/>
        <v>154.60558798325084</v>
      </c>
      <c r="AA118" s="14">
        <f t="shared" ca="1" si="170"/>
        <v>1039.1843565192826</v>
      </c>
      <c r="AB118" s="14">
        <f t="shared" si="199"/>
        <v>5234.4042087224379</v>
      </c>
      <c r="AC118" s="25">
        <f t="shared" ca="1" si="171"/>
        <v>338331.70367337391</v>
      </c>
      <c r="AD118" s="41">
        <f t="shared" si="172"/>
        <v>1704187.4067311173</v>
      </c>
      <c r="AE118" s="5">
        <f t="shared" ca="1" si="173"/>
        <v>19.852963490813725</v>
      </c>
      <c r="AF118" s="7">
        <f t="shared" ca="1" si="174"/>
        <v>1039.1843565192826</v>
      </c>
      <c r="AG118" s="41">
        <f t="shared" ca="1" si="175"/>
        <v>4195.2198522031558</v>
      </c>
      <c r="AH118" s="41">
        <f t="shared" ca="1" si="176"/>
        <v>1365855.7030577434</v>
      </c>
      <c r="AI118" s="41">
        <f t="shared" ca="1" si="177"/>
        <v>802.74510661550948</v>
      </c>
      <c r="AJ118" s="13">
        <f t="shared" ca="1" si="178"/>
        <v>-5.4329421143543985E-15</v>
      </c>
      <c r="AK118" s="11"/>
      <c r="AL118" s="6">
        <v>0</v>
      </c>
      <c r="AM118" s="6">
        <v>0</v>
      </c>
      <c r="AN118" s="41">
        <f t="shared" ca="1" si="179"/>
        <v>0</v>
      </c>
      <c r="AO118" s="41">
        <f t="shared" ca="1" si="180"/>
        <v>0</v>
      </c>
      <c r="AP118" s="67">
        <f t="shared" si="200"/>
        <v>0.77247612666560972</v>
      </c>
      <c r="AQ118" s="11">
        <f t="shared" si="181"/>
        <v>1.0314301707183759</v>
      </c>
      <c r="AR118" s="11">
        <f t="shared" si="182"/>
        <v>0.8962407041850623</v>
      </c>
      <c r="AS118" s="11">
        <f t="shared" si="183"/>
        <v>0.86893008332386068</v>
      </c>
      <c r="AT118" s="11">
        <f t="shared" si="184"/>
        <v>534.97188664650002</v>
      </c>
      <c r="AU118" s="11">
        <f t="shared" si="185"/>
        <v>1896.6425030105124</v>
      </c>
      <c r="AV118" s="11">
        <f t="shared" si="186"/>
        <v>2.0653599150524844E-3</v>
      </c>
      <c r="AW118" s="11">
        <f t="shared" si="187"/>
        <v>3.8278171249107636E-7</v>
      </c>
      <c r="AX118" s="41">
        <f t="shared" ca="1" si="188"/>
        <v>1.2684298915311563</v>
      </c>
      <c r="AY118" s="41">
        <f t="shared" ca="1" si="189"/>
        <v>1.7086002644863392</v>
      </c>
      <c r="AZ118" s="41">
        <f t="shared" si="190"/>
        <v>0.21025417408998501</v>
      </c>
      <c r="BA118" s="179">
        <f ca="1">2.12 - (0.00251*AF118) + (1.94*10^(-6)*AF118^2) - (7.84*10^(-10)*AF118^3) + (1.7*10^(-13)*AF118^4) - (1.89*10^(-17)*AF118^5) + (8.37*10^(-22)*AF118^6)</f>
        <v>0.90324338732716614</v>
      </c>
    </row>
    <row r="119" spans="1:53" ht="14.5">
      <c r="B119" s="135">
        <f ca="1">B118-B98</f>
        <v>240</v>
      </c>
      <c r="X119" s="32">
        <f ca="1">AVERAGE(X98:X118)</f>
        <v>1169.3147736007154</v>
      </c>
      <c r="AC119" s="3"/>
      <c r="AD119" s="3"/>
      <c r="AN119" s="32">
        <f ca="1">SUM(AN98:AN118)</f>
        <v>3633.1755167655106</v>
      </c>
      <c r="AP119" s="135"/>
    </row>
    <row r="120" spans="1:53" s="89" customFormat="1" ht="14.5">
      <c r="A120" s="124" t="s">
        <v>240</v>
      </c>
      <c r="B120" s="82" t="s">
        <v>22</v>
      </c>
      <c r="C120" s="125">
        <v>10000</v>
      </c>
      <c r="D120" s="82" t="s">
        <v>9</v>
      </c>
      <c r="E120" s="82"/>
      <c r="F120" s="82"/>
      <c r="G120" s="82"/>
      <c r="H120" s="82"/>
      <c r="I120" s="83"/>
      <c r="J120" s="82"/>
      <c r="K120" s="82"/>
      <c r="L120" s="84" t="s">
        <v>60</v>
      </c>
      <c r="M120" s="82"/>
      <c r="N120" s="82"/>
      <c r="O120" s="82"/>
      <c r="P120" s="82"/>
      <c r="Q120" s="81"/>
      <c r="R120" s="82"/>
      <c r="S120" s="85"/>
      <c r="T120" s="86"/>
      <c r="U120" s="81"/>
      <c r="V120" s="81"/>
      <c r="W120" s="81"/>
      <c r="X120" s="81"/>
      <c r="Y120" s="82"/>
      <c r="Z120" s="82"/>
      <c r="AA120" s="87"/>
      <c r="AB120" s="87"/>
      <c r="AC120" s="82"/>
      <c r="AD120" s="82"/>
      <c r="AE120" s="83"/>
      <c r="AF120" s="81"/>
      <c r="AG120" s="82"/>
      <c r="AH120" s="82"/>
      <c r="AI120" s="82"/>
      <c r="AJ120" s="81" t="s">
        <v>61</v>
      </c>
      <c r="AK120" s="88"/>
      <c r="AL120" s="83"/>
      <c r="AM120" s="82"/>
      <c r="AN120" s="82"/>
      <c r="AO120" s="82"/>
      <c r="AP120" s="67"/>
      <c r="AQ120" s="88"/>
      <c r="AR120" s="88"/>
      <c r="AS120" s="88"/>
      <c r="AT120" s="88"/>
      <c r="AU120" s="88"/>
      <c r="AV120" s="88"/>
      <c r="AW120" s="88"/>
      <c r="AX120" s="82"/>
      <c r="AY120" s="82"/>
      <c r="AZ120" s="82"/>
    </row>
    <row r="121" spans="1:53" ht="14.5">
      <c r="A121" s="41" t="s">
        <v>2</v>
      </c>
      <c r="B121" s="41" t="s">
        <v>2</v>
      </c>
      <c r="C121" s="41" t="s">
        <v>2</v>
      </c>
      <c r="D121" s="41" t="s">
        <v>23</v>
      </c>
      <c r="E121" s="41" t="s">
        <v>24</v>
      </c>
      <c r="F121" s="41" t="s">
        <v>25</v>
      </c>
      <c r="G121" s="41"/>
      <c r="H121" s="41" t="s">
        <v>0</v>
      </c>
      <c r="I121" s="5" t="s">
        <v>26</v>
      </c>
      <c r="J121" s="41" t="s">
        <v>27</v>
      </c>
      <c r="K121" s="41" t="s">
        <v>28</v>
      </c>
      <c r="L121" s="12" t="s">
        <v>29</v>
      </c>
      <c r="M121" s="13" t="s">
        <v>30</v>
      </c>
      <c r="N121" s="41" t="s">
        <v>31</v>
      </c>
      <c r="O121" s="41" t="s">
        <v>32</v>
      </c>
      <c r="P121" s="41" t="s">
        <v>33</v>
      </c>
      <c r="Q121" s="41" t="s">
        <v>34</v>
      </c>
      <c r="R121" s="41" t="s">
        <v>13</v>
      </c>
      <c r="S121" s="24" t="s">
        <v>35</v>
      </c>
      <c r="T121" s="10" t="s">
        <v>35</v>
      </c>
      <c r="U121" s="41" t="s">
        <v>36</v>
      </c>
      <c r="V121" s="41" t="s">
        <v>37</v>
      </c>
      <c r="W121" s="41" t="s">
        <v>38</v>
      </c>
      <c r="X121" s="41" t="s">
        <v>39</v>
      </c>
      <c r="Y121" s="41" t="s">
        <v>40</v>
      </c>
      <c r="Z121" s="35" t="s">
        <v>108</v>
      </c>
      <c r="AA121" s="35" t="s">
        <v>109</v>
      </c>
      <c r="AB121" s="9" t="s">
        <v>110</v>
      </c>
      <c r="AC121" s="7" t="s">
        <v>111</v>
      </c>
      <c r="AD121" s="7" t="s">
        <v>112</v>
      </c>
      <c r="AE121" s="5" t="s">
        <v>41</v>
      </c>
      <c r="AF121" s="7" t="s">
        <v>113</v>
      </c>
      <c r="AG121" s="7" t="s">
        <v>114</v>
      </c>
      <c r="AH121" s="7" t="s">
        <v>115</v>
      </c>
      <c r="AI121" s="41" t="s">
        <v>42</v>
      </c>
      <c r="AJ121" s="41" t="s">
        <v>43</v>
      </c>
      <c r="AK121" s="36"/>
      <c r="AL121" s="5" t="s">
        <v>44</v>
      </c>
      <c r="AM121" s="41" t="s">
        <v>45</v>
      </c>
      <c r="AN121" s="41" t="s">
        <v>46</v>
      </c>
      <c r="AO121" s="41" t="s">
        <v>47</v>
      </c>
      <c r="AP121" s="67"/>
      <c r="AQ121" s="15" t="s">
        <v>62</v>
      </c>
      <c r="AR121" s="16" t="s">
        <v>63</v>
      </c>
      <c r="AS121" s="16" t="s">
        <v>64</v>
      </c>
      <c r="AT121" s="17" t="s">
        <v>65</v>
      </c>
      <c r="AU121" s="18" t="s">
        <v>66</v>
      </c>
      <c r="AV121" s="18" t="s">
        <v>67</v>
      </c>
      <c r="AW121" s="19" t="s">
        <v>68</v>
      </c>
      <c r="AX121" s="7" t="s">
        <v>207</v>
      </c>
      <c r="AY121" s="7" t="s">
        <v>208</v>
      </c>
      <c r="AZ121" s="7" t="s">
        <v>209</v>
      </c>
    </row>
    <row r="122" spans="1:53" ht="14.5">
      <c r="A122" s="41" t="s">
        <v>18</v>
      </c>
      <c r="B122" s="41" t="s">
        <v>21</v>
      </c>
      <c r="C122" s="41" t="s">
        <v>48</v>
      </c>
      <c r="D122" s="41" t="s">
        <v>8</v>
      </c>
      <c r="E122" s="41" t="s">
        <v>49</v>
      </c>
      <c r="F122" s="41" t="s">
        <v>49</v>
      </c>
      <c r="G122" s="41"/>
      <c r="H122" s="41" t="s">
        <v>9</v>
      </c>
      <c r="I122" s="5" t="s">
        <v>50</v>
      </c>
      <c r="J122" s="41"/>
      <c r="K122" s="41" t="s">
        <v>51</v>
      </c>
      <c r="L122" s="5" t="s">
        <v>52</v>
      </c>
      <c r="M122" s="41" t="s">
        <v>52</v>
      </c>
      <c r="N122" s="41" t="s">
        <v>53</v>
      </c>
      <c r="O122" s="41" t="s">
        <v>54</v>
      </c>
      <c r="P122" s="41"/>
      <c r="Q122" s="41"/>
      <c r="R122" s="41"/>
      <c r="S122" s="24" t="s">
        <v>55</v>
      </c>
      <c r="T122" s="10" t="s">
        <v>55</v>
      </c>
      <c r="U122" s="41"/>
      <c r="V122" s="41"/>
      <c r="W122" s="41"/>
      <c r="X122" s="41"/>
      <c r="Y122" s="41"/>
      <c r="Z122" s="41"/>
      <c r="AA122" s="9" t="s">
        <v>118</v>
      </c>
      <c r="AB122" s="9" t="s">
        <v>118</v>
      </c>
      <c r="AC122" s="7" t="s">
        <v>119</v>
      </c>
      <c r="AD122" s="7" t="s">
        <v>119</v>
      </c>
      <c r="AE122" s="5" t="s">
        <v>20</v>
      </c>
      <c r="AF122" s="7" t="s">
        <v>118</v>
      </c>
      <c r="AG122" s="7" t="s">
        <v>118</v>
      </c>
      <c r="AH122" s="7" t="s">
        <v>119</v>
      </c>
      <c r="AI122" s="41" t="s">
        <v>56</v>
      </c>
      <c r="AJ122" s="41" t="s">
        <v>57</v>
      </c>
      <c r="AK122" s="11"/>
      <c r="AL122" s="5" t="s">
        <v>9</v>
      </c>
      <c r="AM122" s="41" t="s">
        <v>18</v>
      </c>
      <c r="AN122" s="41" t="s">
        <v>8</v>
      </c>
      <c r="AO122" s="41" t="s">
        <v>49</v>
      </c>
      <c r="AP122" s="67"/>
      <c r="AQ122" s="11"/>
      <c r="AR122" s="11"/>
      <c r="AS122" s="11"/>
      <c r="AT122" s="11"/>
      <c r="AU122" s="11"/>
      <c r="AV122" s="11"/>
      <c r="AW122" s="11"/>
      <c r="AX122" s="41"/>
      <c r="AY122" s="41"/>
      <c r="AZ122" s="41"/>
    </row>
    <row r="123" spans="1:53" ht="14.5">
      <c r="A123" s="41">
        <f ca="1">A118</f>
        <v>14562.144520127345</v>
      </c>
      <c r="B123" s="41">
        <f t="shared" ref="B123:C138" ca="1" si="203">A123/60</f>
        <v>242.7024086687891</v>
      </c>
      <c r="C123" s="41">
        <f t="shared" ca="1" si="203"/>
        <v>4.0450401444798185</v>
      </c>
      <c r="D123" s="41">
        <f t="shared" ref="D123:E123" ca="1" si="204">D118</f>
        <v>13625.586323568339</v>
      </c>
      <c r="E123" s="7" t="e">
        <f t="shared" ca="1" si="204"/>
        <v>#NUM!</v>
      </c>
      <c r="F123" s="7">
        <v>0</v>
      </c>
      <c r="G123" s="41"/>
      <c r="H123" s="7">
        <f>H118</f>
        <v>3000</v>
      </c>
      <c r="I123" s="6">
        <v>15</v>
      </c>
      <c r="J123" s="41">
        <f t="shared" ref="J123:J143" si="205">SQRT((((((((L123^2)*(0.2))/(661.477)^2) + 1)^(3.5) - 1)*(1/AR123) + 1)^(1/3.5) - 1)*(5))</f>
        <v>0.28713835631100121</v>
      </c>
      <c r="K123" s="41">
        <f t="shared" ref="K123:K143" si="206">SQRT((1.4*2116.22*AR123*(J123)^2)/AV123)</f>
        <v>325.57428482334547</v>
      </c>
      <c r="L123" s="6">
        <f>L118</f>
        <v>180</v>
      </c>
      <c r="M123" s="41">
        <f t="shared" ref="M123:M143" si="207">K123*0.592484</f>
        <v>192.89755456927503</v>
      </c>
      <c r="N123" s="41">
        <f t="shared" ref="N123:N143" si="208">0.5*AV123*K123^2</f>
        <v>109.46264517225482</v>
      </c>
      <c r="O123" s="41">
        <f t="shared" ref="O123:O143" si="209">P123/$B$7</f>
        <v>1756688.0948151206</v>
      </c>
      <c r="P123" s="41">
        <f t="shared" ref="P123:P143" si="210">(AV123*K123*$B$7)/(AW123)</f>
        <v>11279171.965623073</v>
      </c>
      <c r="Q123" s="41">
        <f t="shared" ref="Q123:Q143" si="211">0.455/(LOG10(P123)^2.58 * (1+0.144*J123*J123)^0.65)</f>
        <v>2.9240838430518376E-3</v>
      </c>
      <c r="R123" s="41">
        <f t="shared" ref="R123:R143" si="212">(((Q123*$B$4)+$B$17)+(0.1*(Q123*$B$4)))</f>
        <v>2.277736369419613E-2</v>
      </c>
      <c r="S123" s="24">
        <f ca="1">T123</f>
        <v>18.131750213240263</v>
      </c>
      <c r="T123" s="10">
        <f t="shared" ref="T123:T143" ca="1" si="213">DEGREES(ASIN(((AF123-X123)/(D123))))</f>
        <v>18.131750213240263</v>
      </c>
      <c r="U123" s="41">
        <f t="shared" ref="U123:U143" ca="1" si="214">(D123*COS(RADIANS(S123)))/(N123*$B$3)</f>
        <v>0.51433016906559226</v>
      </c>
      <c r="V123" s="41">
        <f t="shared" ref="V123:V143" ca="1" si="215">(X123)/(N123*$B$3)</f>
        <v>3.9484560550853261E-2</v>
      </c>
      <c r="W123" s="41">
        <f t="shared" ref="W123:W143" ca="1" si="216">U123/V123</f>
        <v>13.02610848114093</v>
      </c>
      <c r="X123" s="20">
        <f t="shared" ref="X123:X143" ca="1" si="217">(N123*$B$3*R123)+((N123*$B$3)*((U123^2)/(PI()*$B$6*$B$5)))</f>
        <v>994.07942151290604</v>
      </c>
      <c r="Y123" s="41">
        <f t="shared" ref="Y123:Y143" si="218">SQRT(PI()*$B$6*$B$5*R123)</f>
        <v>0.60053999049783546</v>
      </c>
      <c r="Z123" s="41">
        <f t="shared" ref="Z123:Z143" ca="1" si="219">SQRT((2*((U123*N123*$B$3)/(D123))*D123)/(AV123*$B$3*$B$18))</f>
        <v>150.71812203290276</v>
      </c>
      <c r="AA123" s="14">
        <f t="shared" ref="AA123:AA143" ca="1" si="220">D123/W123</f>
        <v>1046.021253645732</v>
      </c>
      <c r="AB123" s="14">
        <f>$B$15*AR123*0.93</f>
        <v>5234.4042087224379</v>
      </c>
      <c r="AC123" s="25">
        <f t="shared" ref="AC123:AC143" ca="1" si="221">AA123*K123</f>
        <v>340557.62156572845</v>
      </c>
      <c r="AD123" s="41">
        <f t="shared" ref="AD123:AD143" si="222">AB123*K123</f>
        <v>1704187.4067311173</v>
      </c>
      <c r="AE123" s="6">
        <v>100</v>
      </c>
      <c r="AF123" s="41">
        <f t="shared" ref="AF123:AF143" si="223">AB123*(AE123/100)</f>
        <v>5234.4042087224379</v>
      </c>
      <c r="AG123" s="41">
        <f t="shared" ref="AG123:AG143" ca="1" si="224">AB123-AA123</f>
        <v>4188.3829550767059</v>
      </c>
      <c r="AH123" s="41">
        <f t="shared" ref="AH123:AH143" ca="1" si="225">AD123-AC123</f>
        <v>1363629.7851653888</v>
      </c>
      <c r="AI123" s="41">
        <f t="shared" ref="AI123:AI143" si="226">(AP123*AF123)</f>
        <v>3992.9947054057498</v>
      </c>
      <c r="AJ123" s="13">
        <f t="shared" ref="AJ123:AJ143" ca="1" si="227">K123*SIN(RADIANS(T123))</f>
        <v>101.31972872437129</v>
      </c>
      <c r="AK123" s="11"/>
      <c r="AL123" s="6">
        <v>350</v>
      </c>
      <c r="AM123" s="41">
        <f t="shared" ref="AM123:AM143" ca="1" si="228">AL123/AJ123</f>
        <v>3.4544111438763805</v>
      </c>
      <c r="AN123" s="41">
        <f t="shared" ref="AN123:AN143" ca="1" si="229">AI123*(AM123/3600)</f>
        <v>3.8315126132758355</v>
      </c>
      <c r="AO123" s="41">
        <f t="shared" ref="AO123:AO143" ca="1" si="230">M123*COS(RADIANS(T123))*(AM123/3600)</f>
        <v>0.17590525829095868</v>
      </c>
      <c r="AP123" s="67">
        <f>0.701 + 0.301*AZ123 + -0.0328*AZ123^2</f>
        <v>0.76283652277979519</v>
      </c>
      <c r="AQ123" s="11">
        <f t="shared" ref="AQ123:AQ143" si="231">IF(H123 &lt;= 36089, ((1 - 6.87535*10^(-6)*H123) + ((I123*1.8)/518.67)), 0.75187 + ((I123*1.8)/518.67))</f>
        <v>1.0314301707183759</v>
      </c>
      <c r="AR123" s="11">
        <f t="shared" ref="AR123:AR143" si="232">IF(H123 &lt;= 36089, (1 - 6.87535*10^(-6)*H123)^5.2561, 0.22336*EXP((36089 - H123)/(20806.7)))</f>
        <v>0.8962407041850623</v>
      </c>
      <c r="AS123" s="11">
        <f t="shared" ref="AS123:AS143" si="233">(AR123/AQ123)</f>
        <v>0.86893008332386068</v>
      </c>
      <c r="AT123" s="11">
        <f t="shared" ref="AT123:AT143" si="234">(518.67*AQ123)</f>
        <v>534.97188664650002</v>
      </c>
      <c r="AU123" s="11">
        <f t="shared" ref="AU123:AU143" si="235">2116.22*AR123</f>
        <v>1896.6425030105124</v>
      </c>
      <c r="AV123" s="11">
        <f t="shared" ref="AV123:AV143" si="236">(0.0023769*AS123)</f>
        <v>2.0653599150524844E-3</v>
      </c>
      <c r="AW123" s="11">
        <f t="shared" ref="AW123:AW143" si="237">((2.2697*10^-8)*(AT123^1.5))/(AT123+198.72)</f>
        <v>3.8278171249107636E-7</v>
      </c>
      <c r="AX123" s="41">
        <f t="shared" ref="AX123:AX143" ca="1" si="238">(1/U123)*(((1 + 0.2*(U123)^2)/1.2)^3)</f>
        <v>1.313361952320296</v>
      </c>
      <c r="AY123" s="41">
        <f t="shared" ref="AY123:AY143" ca="1" si="239">($H$4/$H$3)*AX123</f>
        <v>1.7691246430592598</v>
      </c>
      <c r="AZ123" s="41">
        <f t="shared" ref="AZ123:AZ143" si="240">-6.6*10^(-3) + 0.825*J123 - 0.243*(J123^2)</f>
        <v>0.21025417408998501</v>
      </c>
      <c r="BA123" s="179">
        <f>2.12-0.00251*AF123+1.94*10^-6*AF123^2-7.84*10^-10*AF123^3+1.7*10^-13*AF123^4-1.89*10^-17*AF123^5+8.37*10^-22*AF123^6</f>
        <v>0.26471968006634228</v>
      </c>
    </row>
    <row r="124" spans="1:53" ht="14.5">
      <c r="A124" s="41">
        <f t="shared" ref="A124:A143" ca="1" si="241">A123+AM123</f>
        <v>14565.598931271223</v>
      </c>
      <c r="B124" s="41">
        <f t="shared" ca="1" si="203"/>
        <v>242.75998218785372</v>
      </c>
      <c r="C124" s="41">
        <f t="shared" ca="1" si="203"/>
        <v>4.045999703130895</v>
      </c>
      <c r="D124" s="41">
        <f t="shared" ref="D124:D143" ca="1" si="242">D123-AN123</f>
        <v>13621.754810955063</v>
      </c>
      <c r="E124" s="41" t="e">
        <f t="shared" ref="E124:E143" ca="1" si="243">E123+AO123</f>
        <v>#NUM!</v>
      </c>
      <c r="F124" s="41">
        <f t="shared" ref="F124:F143" ca="1" si="244">F123+AO123</f>
        <v>0.17590525829095868</v>
      </c>
      <c r="G124" s="41"/>
      <c r="H124" s="7">
        <f t="shared" ref="H124:H143" si="245">H123+AL123</f>
        <v>3350</v>
      </c>
      <c r="I124" s="6">
        <v>15</v>
      </c>
      <c r="J124" s="41">
        <f t="shared" si="205"/>
        <v>0.29336731460688248</v>
      </c>
      <c r="K124" s="41">
        <f t="shared" si="206"/>
        <v>332.2487874423141</v>
      </c>
      <c r="L124" s="6">
        <f>L123+($L$148-$L$118)/20</f>
        <v>182.75</v>
      </c>
      <c r="M124" s="41">
        <f t="shared" si="207"/>
        <v>196.85209057897202</v>
      </c>
      <c r="N124" s="41">
        <f t="shared" si="208"/>
        <v>112.79539451075611</v>
      </c>
      <c r="O124" s="41">
        <f t="shared" si="209"/>
        <v>1777006.3125475037</v>
      </c>
      <c r="P124" s="41">
        <f t="shared" si="210"/>
        <v>11409629.200754868</v>
      </c>
      <c r="Q124" s="41">
        <f t="shared" si="211"/>
        <v>2.9177721163961045E-3</v>
      </c>
      <c r="R124" s="41">
        <f t="shared" si="212"/>
        <v>2.2738990697278156E-2</v>
      </c>
      <c r="S124" s="24">
        <f t="shared" ref="S124:S143" ca="1" si="246">T124</f>
        <v>17.816368462424283</v>
      </c>
      <c r="T124" s="10">
        <f t="shared" ca="1" si="213"/>
        <v>17.816368462424283</v>
      </c>
      <c r="U124" s="41">
        <f t="shared" ca="1" si="214"/>
        <v>0.49988484811522194</v>
      </c>
      <c r="V124" s="41">
        <f t="shared" ca="1" si="215"/>
        <v>3.8520899781283195E-2</v>
      </c>
      <c r="W124" s="41">
        <f t="shared" ca="1" si="216"/>
        <v>12.976977457782787</v>
      </c>
      <c r="X124" s="20">
        <f t="shared" ca="1" si="217"/>
        <v>999.34542018000138</v>
      </c>
      <c r="Y124" s="41">
        <f t="shared" si="218"/>
        <v>0.60003391276498963</v>
      </c>
      <c r="Z124" s="41">
        <f t="shared" ca="1" si="219"/>
        <v>151.6326658511027</v>
      </c>
      <c r="AA124" s="14">
        <f t="shared" ca="1" si="220"/>
        <v>1049.6862505363742</v>
      </c>
      <c r="AB124" s="14">
        <f t="shared" ref="AB124:AB143" si="247">$B$15*AR124*0.93</f>
        <v>5167.1569636999984</v>
      </c>
      <c r="AC124" s="25">
        <f t="shared" ca="1" si="221"/>
        <v>348756.98393557948</v>
      </c>
      <c r="AD124" s="41">
        <f t="shared" si="222"/>
        <v>1716781.6357134338</v>
      </c>
      <c r="AE124" s="6">
        <v>100</v>
      </c>
      <c r="AF124" s="41">
        <f t="shared" si="223"/>
        <v>5167.1569636999984</v>
      </c>
      <c r="AG124" s="41">
        <f t="shared" ca="1" si="224"/>
        <v>4117.4707131636242</v>
      </c>
      <c r="AH124" s="41">
        <f t="shared" ca="1" si="225"/>
        <v>1368024.6517778544</v>
      </c>
      <c r="AI124" s="41">
        <f t="shared" si="226"/>
        <v>3948.015328230194</v>
      </c>
      <c r="AJ124" s="13">
        <f t="shared" ca="1" si="227"/>
        <v>101.65726448907576</v>
      </c>
      <c r="AK124" s="11"/>
      <c r="AL124" s="6">
        <v>350</v>
      </c>
      <c r="AM124" s="41">
        <f t="shared" ca="1" si="228"/>
        <v>3.4429413555350146</v>
      </c>
      <c r="AN124" s="41">
        <f t="shared" ca="1" si="229"/>
        <v>3.7757736794027443</v>
      </c>
      <c r="AO124" s="41">
        <f t="shared" ca="1" si="230"/>
        <v>0.1792351872406085</v>
      </c>
      <c r="AP124" s="67">
        <f t="shared" ref="AP124:AP142" si="248">0.701 + 0.301*AZ124 + -0.0328*AZ124^2</f>
        <v>0.7640594926698675</v>
      </c>
      <c r="AQ124" s="11">
        <f t="shared" si="231"/>
        <v>1.0290237982183759</v>
      </c>
      <c r="AR124" s="11">
        <f t="shared" si="232"/>
        <v>0.8847265536093416</v>
      </c>
      <c r="AS124" s="11">
        <f t="shared" si="233"/>
        <v>0.85977268469508028</v>
      </c>
      <c r="AT124" s="11">
        <f t="shared" si="234"/>
        <v>533.72377342192499</v>
      </c>
      <c r="AU124" s="11">
        <f t="shared" si="235"/>
        <v>1872.2760272791606</v>
      </c>
      <c r="AV124" s="11">
        <f t="shared" si="236"/>
        <v>2.0435936942517362E-3</v>
      </c>
      <c r="AW124" s="11">
        <f t="shared" si="237"/>
        <v>3.8209291781665951E-7</v>
      </c>
      <c r="AX124" s="41">
        <f t="shared" ca="1" si="238"/>
        <v>1.3400642207651445</v>
      </c>
      <c r="AY124" s="41">
        <f t="shared" ca="1" si="239"/>
        <v>1.8050931291631154</v>
      </c>
      <c r="AZ124" s="41">
        <f t="shared" si="240"/>
        <v>0.21451438989972221</v>
      </c>
      <c r="BA124" s="179">
        <f t="shared" ref="BA124:BA142" si="249">2.12-0.00251*AF124+1.94*10^-6*AF124^2-7.84*10^-10*AF124^3+1.7*10^-13*AF124^4-1.89*10^-17*AF124^5+8.37*10^-22*AF124^6</f>
        <v>0.2862208859334352</v>
      </c>
    </row>
    <row r="125" spans="1:53" ht="14.5">
      <c r="A125" s="41">
        <f t="shared" ca="1" si="241"/>
        <v>14569.041872626758</v>
      </c>
      <c r="B125" s="41">
        <f t="shared" ca="1" si="203"/>
        <v>242.81736454377929</v>
      </c>
      <c r="C125" s="41">
        <f t="shared" ca="1" si="203"/>
        <v>4.0469560757296552</v>
      </c>
      <c r="D125" s="41">
        <f t="shared" ca="1" si="242"/>
        <v>13617.97903727566</v>
      </c>
      <c r="E125" s="41" t="e">
        <f t="shared" ca="1" si="243"/>
        <v>#NUM!</v>
      </c>
      <c r="F125" s="41">
        <f t="shared" ca="1" si="244"/>
        <v>0.35514044553156721</v>
      </c>
      <c r="G125" s="41"/>
      <c r="H125" s="7">
        <f t="shared" si="245"/>
        <v>3700</v>
      </c>
      <c r="I125" s="6">
        <v>15</v>
      </c>
      <c r="J125" s="41">
        <f t="shared" si="205"/>
        <v>0.29966517763673856</v>
      </c>
      <c r="K125" s="41">
        <f t="shared" si="206"/>
        <v>338.98428456624777</v>
      </c>
      <c r="L125" s="6">
        <f t="shared" ref="L125:L143" si="250">L124+($L$148-$L$118)/20</f>
        <v>185.5</v>
      </c>
      <c r="M125" s="41">
        <f t="shared" si="207"/>
        <v>200.84276485694875</v>
      </c>
      <c r="N125" s="41">
        <f t="shared" si="208"/>
        <v>116.17455662400374</v>
      </c>
      <c r="O125" s="41">
        <f t="shared" si="209"/>
        <v>1797119.5187735665</v>
      </c>
      <c r="P125" s="41">
        <f t="shared" si="210"/>
        <v>11538770.117957747</v>
      </c>
      <c r="Q125" s="41">
        <f t="shared" si="211"/>
        <v>2.9115593787813927E-3</v>
      </c>
      <c r="R125" s="41">
        <f t="shared" si="212"/>
        <v>2.2701219517639863E-2</v>
      </c>
      <c r="S125" s="24">
        <f t="shared" ca="1" si="246"/>
        <v>17.50147045222506</v>
      </c>
      <c r="T125" s="10">
        <f t="shared" ca="1" si="213"/>
        <v>17.50147045222506</v>
      </c>
      <c r="U125" s="41">
        <f t="shared" ca="1" si="214"/>
        <v>0.48605989502398472</v>
      </c>
      <c r="V125" s="41">
        <f t="shared" ca="1" si="215"/>
        <v>3.7622262051816853E-2</v>
      </c>
      <c r="W125" s="41">
        <f t="shared" ca="1" si="216"/>
        <v>12.919475558235657</v>
      </c>
      <c r="X125" s="20">
        <f t="shared" ca="1" si="217"/>
        <v>1005.2724110042379</v>
      </c>
      <c r="Y125" s="41">
        <f t="shared" si="218"/>
        <v>0.59953535483680942</v>
      </c>
      <c r="Z125" s="41">
        <f t="shared" ca="1" si="219"/>
        <v>152.55232752070924</v>
      </c>
      <c r="AA125" s="14">
        <f t="shared" ca="1" si="220"/>
        <v>1054.0659313833164</v>
      </c>
      <c r="AB125" s="14">
        <f t="shared" si="247"/>
        <v>5100.6110029829915</v>
      </c>
      <c r="AC125" s="25">
        <f t="shared" ca="1" si="221"/>
        <v>357311.78563562914</v>
      </c>
      <c r="AD125" s="41">
        <f t="shared" si="222"/>
        <v>1729026.9716969209</v>
      </c>
      <c r="AE125" s="6">
        <v>100</v>
      </c>
      <c r="AF125" s="41">
        <f t="shared" si="223"/>
        <v>5100.6110029829915</v>
      </c>
      <c r="AG125" s="41">
        <f t="shared" ca="1" si="224"/>
        <v>4046.5450715996749</v>
      </c>
      <c r="AH125" s="41">
        <f t="shared" ca="1" si="225"/>
        <v>1371715.1860612917</v>
      </c>
      <c r="AI125" s="41">
        <f t="shared" si="226"/>
        <v>3903.4429495114787</v>
      </c>
      <c r="AJ125" s="13">
        <f t="shared" ca="1" si="227"/>
        <v>101.94283739595102</v>
      </c>
      <c r="AK125" s="11"/>
      <c r="AL125" s="6">
        <v>350</v>
      </c>
      <c r="AM125" s="41">
        <f t="shared" ca="1" si="228"/>
        <v>3.4332966291744724</v>
      </c>
      <c r="AN125" s="41">
        <f t="shared" ca="1" si="229"/>
        <v>3.7226882002035055</v>
      </c>
      <c r="AO125" s="41">
        <f t="shared" ca="1" si="230"/>
        <v>0.18267579449675392</v>
      </c>
      <c r="AP125" s="67">
        <f t="shared" si="248"/>
        <v>0.76528928538730501</v>
      </c>
      <c r="AQ125" s="11">
        <f t="shared" si="231"/>
        <v>1.0266174257183758</v>
      </c>
      <c r="AR125" s="11">
        <f t="shared" si="232"/>
        <v>0.87333247773833833</v>
      </c>
      <c r="AS125" s="11">
        <f t="shared" si="233"/>
        <v>0.85068931800687464</v>
      </c>
      <c r="AT125" s="11">
        <f t="shared" si="234"/>
        <v>532.47566019734995</v>
      </c>
      <c r="AU125" s="11">
        <f t="shared" si="235"/>
        <v>1848.1636560394261</v>
      </c>
      <c r="AV125" s="11">
        <f t="shared" si="236"/>
        <v>2.0220034399705401E-3</v>
      </c>
      <c r="AW125" s="11">
        <f t="shared" si="237"/>
        <v>3.8140334147428954E-7</v>
      </c>
      <c r="AX125" s="41">
        <f t="shared" ca="1" si="238"/>
        <v>1.3674725919815804</v>
      </c>
      <c r="AY125" s="41">
        <f t="shared" ca="1" si="239"/>
        <v>1.842012749728831</v>
      </c>
      <c r="AZ125" s="41">
        <f t="shared" si="240"/>
        <v>0.2188025614091112</v>
      </c>
      <c r="BA125" s="179">
        <f t="shared" si="249"/>
        <v>0.30657083149941222</v>
      </c>
    </row>
    <row r="126" spans="1:53" ht="14.5">
      <c r="A126" s="41">
        <f t="shared" ca="1" si="241"/>
        <v>14572.475169255933</v>
      </c>
      <c r="B126" s="41">
        <f t="shared" ca="1" si="203"/>
        <v>242.87458615426556</v>
      </c>
      <c r="C126" s="41">
        <f t="shared" ca="1" si="203"/>
        <v>4.0479097692377595</v>
      </c>
      <c r="D126" s="41">
        <f t="shared" ca="1" si="242"/>
        <v>13614.256349075456</v>
      </c>
      <c r="E126" s="41" t="e">
        <f t="shared" ca="1" si="243"/>
        <v>#NUM!</v>
      </c>
      <c r="F126" s="41">
        <f t="shared" ca="1" si="244"/>
        <v>0.53781624002832107</v>
      </c>
      <c r="G126" s="41"/>
      <c r="H126" s="7">
        <f t="shared" si="245"/>
        <v>4050</v>
      </c>
      <c r="I126" s="6">
        <v>15</v>
      </c>
      <c r="J126" s="41">
        <f t="shared" si="205"/>
        <v>0.30603256446368543</v>
      </c>
      <c r="K126" s="41">
        <f t="shared" si="206"/>
        <v>345.78117084898116</v>
      </c>
      <c r="L126" s="6">
        <f t="shared" si="250"/>
        <v>188.25</v>
      </c>
      <c r="M126" s="41">
        <f t="shared" si="207"/>
        <v>204.86981122928776</v>
      </c>
      <c r="N126" s="41">
        <f t="shared" si="208"/>
        <v>119.59977990587626</v>
      </c>
      <c r="O126" s="41">
        <f t="shared" si="209"/>
        <v>1817026.8723761521</v>
      </c>
      <c r="P126" s="41">
        <f t="shared" si="210"/>
        <v>11666589.316668523</v>
      </c>
      <c r="Q126" s="41">
        <f t="shared" si="211"/>
        <v>2.9054411803845059E-3</v>
      </c>
      <c r="R126" s="41">
        <f t="shared" si="212"/>
        <v>2.2664023101978546E-2</v>
      </c>
      <c r="S126" s="24">
        <f t="shared" ca="1" si="246"/>
        <v>17.187151821342322</v>
      </c>
      <c r="T126" s="10">
        <f t="shared" ca="1" si="213"/>
        <v>17.187151821342322</v>
      </c>
      <c r="U126" s="41">
        <f t="shared" ca="1" si="214"/>
        <v>0.47281993900955399</v>
      </c>
      <c r="V126" s="41">
        <f t="shared" ca="1" si="215"/>
        <v>3.678325775938153E-2</v>
      </c>
      <c r="W126" s="41">
        <f t="shared" ca="1" si="216"/>
        <v>12.854215961580016</v>
      </c>
      <c r="X126" s="20">
        <f t="shared" ca="1" si="217"/>
        <v>1011.8319924159235</v>
      </c>
      <c r="Y126" s="41">
        <f t="shared" si="218"/>
        <v>0.59904397795900122</v>
      </c>
      <c r="Z126" s="41">
        <f t="shared" ca="1" si="219"/>
        <v>153.47710937386373</v>
      </c>
      <c r="AA126" s="14">
        <f t="shared" ca="1" si="220"/>
        <v>1059.1277126327368</v>
      </c>
      <c r="AB126" s="14">
        <f t="shared" si="247"/>
        <v>5034.7607178166854</v>
      </c>
      <c r="AC126" s="25">
        <f t="shared" ca="1" si="221"/>
        <v>366226.42055275099</v>
      </c>
      <c r="AD126" s="41">
        <f t="shared" si="222"/>
        <v>1740925.4559511102</v>
      </c>
      <c r="AE126" s="6">
        <v>100</v>
      </c>
      <c r="AF126" s="41">
        <f t="shared" si="223"/>
        <v>5034.7607178166854</v>
      </c>
      <c r="AG126" s="41">
        <f t="shared" ca="1" si="224"/>
        <v>3975.6330051839486</v>
      </c>
      <c r="AH126" s="41">
        <f t="shared" ca="1" si="225"/>
        <v>1374699.0353983592</v>
      </c>
      <c r="AI126" s="41">
        <f t="shared" si="226"/>
        <v>3859.274067809903</v>
      </c>
      <c r="AJ126" s="13">
        <f t="shared" ca="1" si="227"/>
        <v>102.17620186103966</v>
      </c>
      <c r="AK126" s="11"/>
      <c r="AL126" s="6">
        <v>350</v>
      </c>
      <c r="AM126" s="41">
        <f t="shared" ca="1" si="228"/>
        <v>3.4254551806104754</v>
      </c>
      <c r="AN126" s="41">
        <f t="shared" ca="1" si="229"/>
        <v>3.6721584302708599</v>
      </c>
      <c r="AO126" s="41">
        <f t="shared" ca="1" si="230"/>
        <v>0.18623179584304331</v>
      </c>
      <c r="AP126" s="67">
        <f t="shared" si="248"/>
        <v>0.76652581604383974</v>
      </c>
      <c r="AQ126" s="11">
        <f t="shared" si="231"/>
        <v>1.0242110532183759</v>
      </c>
      <c r="AR126" s="11">
        <f t="shared" si="232"/>
        <v>0.86205751623462168</v>
      </c>
      <c r="AS126" s="11">
        <f t="shared" si="233"/>
        <v>0.8416795674346419</v>
      </c>
      <c r="AT126" s="11">
        <f t="shared" si="234"/>
        <v>531.22754697277503</v>
      </c>
      <c r="AU126" s="11">
        <f t="shared" si="235"/>
        <v>1824.3033570060309</v>
      </c>
      <c r="AV126" s="11">
        <f t="shared" si="236"/>
        <v>2.0005881638354003E-3</v>
      </c>
      <c r="AW126" s="11">
        <f t="shared" si="237"/>
        <v>3.8071298129619079E-7</v>
      </c>
      <c r="AX126" s="41">
        <f t="shared" ca="1" si="238"/>
        <v>1.3955644674628089</v>
      </c>
      <c r="AY126" s="41">
        <f t="shared" ca="1" si="239"/>
        <v>1.8798530641187772</v>
      </c>
      <c r="AZ126" s="41">
        <f t="shared" si="240"/>
        <v>0.22311847456807107</v>
      </c>
      <c r="BA126" s="179">
        <f t="shared" si="249"/>
        <v>0.32581620863209615</v>
      </c>
    </row>
    <row r="127" spans="1:53" ht="14.5">
      <c r="A127" s="41">
        <f t="shared" ca="1" si="241"/>
        <v>14575.900624436543</v>
      </c>
      <c r="B127" s="41">
        <f t="shared" ca="1" si="203"/>
        <v>242.93167707394238</v>
      </c>
      <c r="C127" s="41">
        <f t="shared" ca="1" si="203"/>
        <v>4.0488612845657066</v>
      </c>
      <c r="D127" s="41">
        <f t="shared" ca="1" si="242"/>
        <v>13610.584190645186</v>
      </c>
      <c r="E127" s="41" t="e">
        <f t="shared" ca="1" si="243"/>
        <v>#NUM!</v>
      </c>
      <c r="F127" s="41">
        <f t="shared" ca="1" si="244"/>
        <v>0.72404803587136435</v>
      </c>
      <c r="G127" s="41"/>
      <c r="H127" s="7">
        <f t="shared" si="245"/>
        <v>4400</v>
      </c>
      <c r="I127" s="6">
        <v>15</v>
      </c>
      <c r="J127" s="41">
        <f t="shared" si="205"/>
        <v>0.31247009207247756</v>
      </c>
      <c r="K127" s="41">
        <f t="shared" si="206"/>
        <v>352.6398345197228</v>
      </c>
      <c r="L127" s="6">
        <f t="shared" si="250"/>
        <v>191</v>
      </c>
      <c r="M127" s="41">
        <f t="shared" si="207"/>
        <v>208.93345971558344</v>
      </c>
      <c r="N127" s="41">
        <f t="shared" si="208"/>
        <v>123.07069507601375</v>
      </c>
      <c r="O127" s="41">
        <f t="shared" si="209"/>
        <v>1836727.5033735516</v>
      </c>
      <c r="P127" s="41">
        <f t="shared" si="210"/>
        <v>11793081.210993303</v>
      </c>
      <c r="Q127" s="41">
        <f t="shared" si="211"/>
        <v>2.8994132507073841E-3</v>
      </c>
      <c r="R127" s="41">
        <f t="shared" si="212"/>
        <v>2.2627375487222944E-2</v>
      </c>
      <c r="S127" s="24">
        <f t="shared" ca="1" si="246"/>
        <v>16.873499596120492</v>
      </c>
      <c r="T127" s="10">
        <f t="shared" ca="1" si="213"/>
        <v>16.873499596120492</v>
      </c>
      <c r="U127" s="41">
        <f t="shared" ca="1" si="214"/>
        <v>0.46013215891962722</v>
      </c>
      <c r="V127" s="41">
        <f t="shared" ca="1" si="215"/>
        <v>3.5999018258551466E-2</v>
      </c>
      <c r="W127" s="41">
        <f t="shared" ca="1" si="216"/>
        <v>12.781797426109645</v>
      </c>
      <c r="X127" s="20">
        <f t="shared" ca="1" si="217"/>
        <v>1018.997565800829</v>
      </c>
      <c r="Y127" s="41">
        <f t="shared" si="218"/>
        <v>0.5985594564180019</v>
      </c>
      <c r="Z127" s="41">
        <f t="shared" ca="1" si="219"/>
        <v>154.40702020478915</v>
      </c>
      <c r="AA127" s="14">
        <f t="shared" ca="1" si="220"/>
        <v>1064.8411750637326</v>
      </c>
      <c r="AB127" s="14">
        <f t="shared" si="247"/>
        <v>4969.6005306042962</v>
      </c>
      <c r="AC127" s="25">
        <f t="shared" ca="1" si="221"/>
        <v>375505.41576426185</v>
      </c>
      <c r="AD127" s="41">
        <f t="shared" si="222"/>
        <v>1752479.1087414257</v>
      </c>
      <c r="AE127" s="6">
        <v>100</v>
      </c>
      <c r="AF127" s="41">
        <f t="shared" si="223"/>
        <v>4969.6005306042962</v>
      </c>
      <c r="AG127" s="41">
        <f t="shared" ca="1" si="224"/>
        <v>3904.7593555405638</v>
      </c>
      <c r="AH127" s="41">
        <f t="shared" ca="1" si="225"/>
        <v>1376973.6929771639</v>
      </c>
      <c r="AI127" s="41">
        <f t="shared" si="226"/>
        <v>3815.505206149996</v>
      </c>
      <c r="AJ127" s="13">
        <f t="shared" ca="1" si="227"/>
        <v>102.35710357818093</v>
      </c>
      <c r="AK127" s="11"/>
      <c r="AL127" s="6">
        <v>350</v>
      </c>
      <c r="AM127" s="41">
        <f t="shared" ca="1" si="228"/>
        <v>3.4194011726080942</v>
      </c>
      <c r="AN127" s="41">
        <f t="shared" ca="1" si="229"/>
        <v>3.6240952711115515</v>
      </c>
      <c r="AO127" s="41">
        <f t="shared" ca="1" si="230"/>
        <v>0.18990826315076176</v>
      </c>
      <c r="AP127" s="67">
        <f t="shared" si="248"/>
        <v>0.76776899524478204</v>
      </c>
      <c r="AQ127" s="11">
        <f t="shared" si="231"/>
        <v>1.0218046807183758</v>
      </c>
      <c r="AR127" s="11">
        <f t="shared" si="232"/>
        <v>0.85090071409566059</v>
      </c>
      <c r="AS127" s="11">
        <f t="shared" si="233"/>
        <v>0.83274301845773313</v>
      </c>
      <c r="AT127" s="11">
        <f t="shared" si="234"/>
        <v>529.97943374819999</v>
      </c>
      <c r="AU127" s="11">
        <f t="shared" si="235"/>
        <v>1800.6931091835188</v>
      </c>
      <c r="AV127" s="11">
        <f t="shared" si="236"/>
        <v>1.9793468805721858E-3</v>
      </c>
      <c r="AW127" s="11">
        <f t="shared" si="237"/>
        <v>3.8002183510623204E-7</v>
      </c>
      <c r="AX127" s="41">
        <f t="shared" ca="1" si="238"/>
        <v>1.4243190660282268</v>
      </c>
      <c r="AY127" s="41">
        <f t="shared" ca="1" si="239"/>
        <v>1.9185860796698102</v>
      </c>
      <c r="AZ127" s="41">
        <f t="shared" si="240"/>
        <v>0.22746189925892682</v>
      </c>
      <c r="BA127" s="179">
        <f t="shared" si="249"/>
        <v>0.34400864514781482</v>
      </c>
    </row>
    <row r="128" spans="1:53" ht="14.5">
      <c r="A128" s="41">
        <f t="shared" ca="1" si="241"/>
        <v>14579.320025609151</v>
      </c>
      <c r="B128" s="41">
        <f t="shared" ca="1" si="203"/>
        <v>242.98866709348584</v>
      </c>
      <c r="C128" s="41">
        <f t="shared" ca="1" si="203"/>
        <v>4.0498111182247643</v>
      </c>
      <c r="D128" s="41">
        <f t="shared" ca="1" si="242"/>
        <v>13606.960095374074</v>
      </c>
      <c r="E128" s="41" t="e">
        <f t="shared" ca="1" si="243"/>
        <v>#NUM!</v>
      </c>
      <c r="F128" s="41">
        <f t="shared" ca="1" si="244"/>
        <v>0.91395629902212616</v>
      </c>
      <c r="G128" s="41"/>
      <c r="H128" s="7">
        <f t="shared" si="245"/>
        <v>4750</v>
      </c>
      <c r="I128" s="6">
        <v>15</v>
      </c>
      <c r="J128" s="41">
        <f t="shared" si="205"/>
        <v>0.31897837503200854</v>
      </c>
      <c r="K128" s="41">
        <f t="shared" si="206"/>
        <v>359.56065700186934</v>
      </c>
      <c r="L128" s="6">
        <f t="shared" si="250"/>
        <v>193.75</v>
      </c>
      <c r="M128" s="41">
        <f t="shared" si="207"/>
        <v>213.03393630309557</v>
      </c>
      <c r="N128" s="41">
        <f t="shared" si="208"/>
        <v>126.58691463622566</v>
      </c>
      <c r="O128" s="41">
        <f t="shared" si="209"/>
        <v>1856220.5129371211</v>
      </c>
      <c r="P128" s="41">
        <f t="shared" si="210"/>
        <v>11918240.029820601</v>
      </c>
      <c r="Q128" s="41">
        <f t="shared" si="211"/>
        <v>2.8934714873964369E-3</v>
      </c>
      <c r="R128" s="41">
        <f t="shared" si="212"/>
        <v>2.2591251732558888E-2</v>
      </c>
      <c r="S128" s="24">
        <f t="shared" ca="1" si="246"/>
        <v>16.560593056317906</v>
      </c>
      <c r="T128" s="10">
        <f t="shared" ca="1" si="213"/>
        <v>16.560593056317906</v>
      </c>
      <c r="U128" s="41">
        <f t="shared" ca="1" si="214"/>
        <v>0.44796606236216402</v>
      </c>
      <c r="V128" s="41">
        <f t="shared" ca="1" si="215"/>
        <v>3.5265138350995096E-2</v>
      </c>
      <c r="W128" s="41">
        <f t="shared" ca="1" si="216"/>
        <v>12.702801784117304</v>
      </c>
      <c r="X128" s="20">
        <f t="shared" ca="1" si="217"/>
        <v>1026.7441633565838</v>
      </c>
      <c r="Y128" s="41">
        <f t="shared" si="218"/>
        <v>0.59808147673302814</v>
      </c>
      <c r="Z128" s="41">
        <f t="shared" ca="1" si="219"/>
        <v>155.34207469253599</v>
      </c>
      <c r="AA128" s="14">
        <f t="shared" ca="1" si="220"/>
        <v>1071.1778650586571</v>
      </c>
      <c r="AB128" s="14">
        <f t="shared" si="247"/>
        <v>4905.1248948103803</v>
      </c>
      <c r="AC128" s="25">
        <f t="shared" ca="1" si="221"/>
        <v>385153.4169263505</v>
      </c>
      <c r="AD128" s="41">
        <f t="shared" si="222"/>
        <v>1763689.9298542456</v>
      </c>
      <c r="AE128" s="6">
        <v>100</v>
      </c>
      <c r="AF128" s="41">
        <f t="shared" si="223"/>
        <v>4905.1248948103803</v>
      </c>
      <c r="AG128" s="41">
        <f t="shared" ca="1" si="224"/>
        <v>3833.9470297517232</v>
      </c>
      <c r="AH128" s="41">
        <f t="shared" ca="1" si="225"/>
        <v>1378536.5129278952</v>
      </c>
      <c r="AI128" s="41">
        <f t="shared" si="226"/>
        <v>3772.1329121965782</v>
      </c>
      <c r="AJ128" s="13">
        <f t="shared" ca="1" si="227"/>
        <v>102.48528063068305</v>
      </c>
      <c r="AK128" s="11"/>
      <c r="AL128" s="6">
        <v>350</v>
      </c>
      <c r="AM128" s="41">
        <f t="shared" ca="1" si="228"/>
        <v>3.4151245705348008</v>
      </c>
      <c r="AN128" s="41">
        <f t="shared" ca="1" si="229"/>
        <v>3.5784177199348686</v>
      </c>
      <c r="AO128" s="41">
        <f t="shared" ca="1" si="230"/>
        <v>0.19371064799971066</v>
      </c>
      <c r="AP128" s="67">
        <f t="shared" si="248"/>
        <v>0.76901872900066071</v>
      </c>
      <c r="AQ128" s="11">
        <f t="shared" si="231"/>
        <v>1.0193983082183757</v>
      </c>
      <c r="AR128" s="11">
        <f t="shared" si="232"/>
        <v>0.83986112163728166</v>
      </c>
      <c r="AS128" s="11">
        <f t="shared" si="233"/>
        <v>0.8238792578586136</v>
      </c>
      <c r="AT128" s="11">
        <f t="shared" si="234"/>
        <v>528.73132052362485</v>
      </c>
      <c r="AU128" s="11">
        <f t="shared" si="235"/>
        <v>1777.3309028312481</v>
      </c>
      <c r="AV128" s="11">
        <f t="shared" si="236"/>
        <v>1.9582786080041387E-3</v>
      </c>
      <c r="AW128" s="11">
        <f t="shared" si="237"/>
        <v>3.7932990071989691E-7</v>
      </c>
      <c r="AX128" s="41">
        <f t="shared" ca="1" si="238"/>
        <v>1.4537171943419551</v>
      </c>
      <c r="AY128" s="41">
        <f t="shared" ca="1" si="239"/>
        <v>1.9581859425771768</v>
      </c>
      <c r="AZ128" s="41">
        <f t="shared" si="240"/>
        <v>0.2318325888930583</v>
      </c>
      <c r="BA128" s="179">
        <f t="shared" si="249"/>
        <v>0.36120314990113833</v>
      </c>
    </row>
    <row r="129" spans="1:53" ht="14.5">
      <c r="A129" s="41">
        <f t="shared" ca="1" si="241"/>
        <v>14582.735150179686</v>
      </c>
      <c r="B129" s="41">
        <f t="shared" ca="1" si="203"/>
        <v>243.04558583632809</v>
      </c>
      <c r="C129" s="41">
        <f t="shared" ca="1" si="203"/>
        <v>4.0507597639388013</v>
      </c>
      <c r="D129" s="41">
        <f t="shared" ca="1" si="242"/>
        <v>13603.381677654139</v>
      </c>
      <c r="E129" s="41" t="e">
        <f t="shared" ca="1" si="243"/>
        <v>#NUM!</v>
      </c>
      <c r="F129" s="41">
        <f t="shared" ca="1" si="244"/>
        <v>1.1076669470218368</v>
      </c>
      <c r="G129" s="41"/>
      <c r="H129" s="7">
        <f t="shared" si="245"/>
        <v>5100</v>
      </c>
      <c r="I129" s="6">
        <v>15</v>
      </c>
      <c r="J129" s="41">
        <f t="shared" si="205"/>
        <v>0.32555802514884485</v>
      </c>
      <c r="K129" s="41">
        <f t="shared" si="206"/>
        <v>366.54401252435537</v>
      </c>
      <c r="L129" s="6">
        <f t="shared" si="250"/>
        <v>196.5</v>
      </c>
      <c r="M129" s="41">
        <f t="shared" si="207"/>
        <v>217.17146271648016</v>
      </c>
      <c r="N129" s="41">
        <f t="shared" si="208"/>
        <v>130.14803232366486</v>
      </c>
      <c r="O129" s="41">
        <f t="shared" si="209"/>
        <v>1875504.9734391675</v>
      </c>
      <c r="P129" s="41">
        <f t="shared" si="210"/>
        <v>12042059.817128796</v>
      </c>
      <c r="Q129" s="41">
        <f t="shared" si="211"/>
        <v>2.8876119459091921E-3</v>
      </c>
      <c r="R129" s="41">
        <f t="shared" si="212"/>
        <v>2.2555627856606256E-2</v>
      </c>
      <c r="S129" s="24">
        <f t="shared" ca="1" si="246"/>
        <v>16.248504510924317</v>
      </c>
      <c r="T129" s="10">
        <f t="shared" ca="1" si="213"/>
        <v>16.248504510924317</v>
      </c>
      <c r="U129" s="41">
        <f t="shared" ca="1" si="214"/>
        <v>0.43629328711214355</v>
      </c>
      <c r="V129" s="41">
        <f t="shared" ca="1" si="215"/>
        <v>3.457762589221608E-2</v>
      </c>
      <c r="W129" s="41">
        <f t="shared" ca="1" si="216"/>
        <v>12.617791877098174</v>
      </c>
      <c r="X129" s="20">
        <f t="shared" ca="1" si="217"/>
        <v>1035.0482936280177</v>
      </c>
      <c r="Y129" s="41">
        <f t="shared" si="218"/>
        <v>0.59760973690859009</v>
      </c>
      <c r="Z129" s="41">
        <f t="shared" ca="1" si="219"/>
        <v>156.28229288476396</v>
      </c>
      <c r="AA129" s="14">
        <f t="shared" ca="1" si="220"/>
        <v>1078.1111156497082</v>
      </c>
      <c r="AB129" s="14">
        <f t="shared" si="247"/>
        <v>4841.32829486429</v>
      </c>
      <c r="AC129" s="25">
        <f t="shared" ca="1" si="221"/>
        <v>395175.17427735339</v>
      </c>
      <c r="AD129" s="41">
        <f t="shared" si="222"/>
        <v>1774559.8991472523</v>
      </c>
      <c r="AE129" s="6">
        <v>100</v>
      </c>
      <c r="AF129" s="41">
        <f t="shared" si="223"/>
        <v>4841.32829486429</v>
      </c>
      <c r="AG129" s="41">
        <f t="shared" ca="1" si="224"/>
        <v>3763.2171792145818</v>
      </c>
      <c r="AH129" s="41">
        <f t="shared" ca="1" si="225"/>
        <v>1379384.724869899</v>
      </c>
      <c r="AI129" s="41">
        <f t="shared" si="226"/>
        <v>3729.1537584355342</v>
      </c>
      <c r="AJ129" s="13">
        <f t="shared" ca="1" si="227"/>
        <v>102.56046455979056</v>
      </c>
      <c r="AK129" s="11"/>
      <c r="AL129" s="6">
        <v>350</v>
      </c>
      <c r="AM129" s="41">
        <f t="shared" ca="1" si="228"/>
        <v>3.4126210475183396</v>
      </c>
      <c r="AN129" s="41">
        <f t="shared" ca="1" si="229"/>
        <v>3.5350523904081186</v>
      </c>
      <c r="AO129" s="41">
        <f t="shared" ca="1" si="230"/>
        <v>0.19764480819849287</v>
      </c>
      <c r="AP129" s="67">
        <f t="shared" si="248"/>
        <v>0.77027491863987885</v>
      </c>
      <c r="AQ129" s="11">
        <f t="shared" si="231"/>
        <v>1.0169919357183759</v>
      </c>
      <c r="AR129" s="11">
        <f t="shared" si="232"/>
        <v>0.82893779447714022</v>
      </c>
      <c r="AS129" s="11">
        <f t="shared" si="233"/>
        <v>0.81508787372202784</v>
      </c>
      <c r="AT129" s="11">
        <f t="shared" si="234"/>
        <v>527.48320729904992</v>
      </c>
      <c r="AU129" s="11">
        <f t="shared" si="235"/>
        <v>1754.2147394284136</v>
      </c>
      <c r="AV129" s="11">
        <f t="shared" si="236"/>
        <v>1.937382367049888E-3</v>
      </c>
      <c r="AW129" s="11">
        <f t="shared" si="237"/>
        <v>3.7863717594424859E-7</v>
      </c>
      <c r="AX129" s="41">
        <f t="shared" ca="1" si="238"/>
        <v>1.4837410474474075</v>
      </c>
      <c r="AY129" s="41">
        <f t="shared" ca="1" si="239"/>
        <v>1.9986286692106139</v>
      </c>
      <c r="AZ129" s="41">
        <f t="shared" si="240"/>
        <v>0.23623028000726473</v>
      </c>
      <c r="BA129" s="179">
        <f t="shared" si="249"/>
        <v>0.37745678686669848</v>
      </c>
    </row>
    <row r="130" spans="1:53" ht="14.5">
      <c r="A130" s="41">
        <f t="shared" ca="1" si="241"/>
        <v>14586.147771227204</v>
      </c>
      <c r="B130" s="41">
        <f t="shared" ca="1" si="203"/>
        <v>243.10246285378673</v>
      </c>
      <c r="C130" s="41">
        <f t="shared" ca="1" si="203"/>
        <v>4.0517077142297788</v>
      </c>
      <c r="D130" s="41">
        <f t="shared" ca="1" si="242"/>
        <v>13599.84662526373</v>
      </c>
      <c r="E130" s="41" t="e">
        <f t="shared" ca="1" si="243"/>
        <v>#NUM!</v>
      </c>
      <c r="F130" s="41">
        <f t="shared" ca="1" si="244"/>
        <v>1.3053117552203297</v>
      </c>
      <c r="G130" s="41"/>
      <c r="H130" s="7">
        <f t="shared" si="245"/>
        <v>5450</v>
      </c>
      <c r="I130" s="6">
        <v>15</v>
      </c>
      <c r="J130" s="41">
        <f t="shared" si="205"/>
        <v>0.33220965111188555</v>
      </c>
      <c r="K130" s="41">
        <f t="shared" si="206"/>
        <v>373.59026772573736</v>
      </c>
      <c r="L130" s="6">
        <f t="shared" si="250"/>
        <v>199.25</v>
      </c>
      <c r="M130" s="41">
        <f t="shared" si="207"/>
        <v>221.34625618321579</v>
      </c>
      <c r="N130" s="41">
        <f t="shared" si="208"/>
        <v>133.75362256149072</v>
      </c>
      <c r="O130" s="41">
        <f t="shared" si="209"/>
        <v>1894579.9285323727</v>
      </c>
      <c r="P130" s="41">
        <f t="shared" si="210"/>
        <v>12164534.432496097</v>
      </c>
      <c r="Q130" s="41">
        <f t="shared" si="211"/>
        <v>2.8818308299564709E-3</v>
      </c>
      <c r="R130" s="41">
        <f t="shared" si="212"/>
        <v>2.2520480779310896E-2</v>
      </c>
      <c r="S130" s="24">
        <f t="shared" ca="1" si="246"/>
        <v>15.937299994629171</v>
      </c>
      <c r="T130" s="10">
        <f t="shared" ca="1" si="213"/>
        <v>15.937299994629171</v>
      </c>
      <c r="U130" s="41">
        <f t="shared" ca="1" si="214"/>
        <v>0.42508742223918222</v>
      </c>
      <c r="V130" s="41">
        <f t="shared" ca="1" si="215"/>
        <v>3.393285754185673E-2</v>
      </c>
      <c r="W130" s="41">
        <f t="shared" ca="1" si="216"/>
        <v>12.527309900583232</v>
      </c>
      <c r="X130" s="20">
        <f t="shared" ca="1" si="217"/>
        <v>1043.8878026198579</v>
      </c>
      <c r="Y130" s="41">
        <f t="shared" si="218"/>
        <v>0.59714394574242313</v>
      </c>
      <c r="Z130" s="41">
        <f t="shared" ca="1" si="219"/>
        <v>157.22769973552565</v>
      </c>
      <c r="AA130" s="14">
        <f t="shared" ca="1" si="220"/>
        <v>1085.615885069672</v>
      </c>
      <c r="AB130" s="14">
        <f t="shared" si="247"/>
        <v>4778.2052460636796</v>
      </c>
      <c r="AC130" s="25">
        <f t="shared" ca="1" si="221"/>
        <v>405575.5291504921</v>
      </c>
      <c r="AD130" s="41">
        <f t="shared" si="222"/>
        <v>1785090.9771254528</v>
      </c>
      <c r="AE130" s="6">
        <v>100</v>
      </c>
      <c r="AF130" s="41">
        <f t="shared" si="223"/>
        <v>4778.2052460636796</v>
      </c>
      <c r="AG130" s="41">
        <f t="shared" ca="1" si="224"/>
        <v>3692.5893609940076</v>
      </c>
      <c r="AH130" s="41">
        <f t="shared" ca="1" si="225"/>
        <v>1379515.4479749608</v>
      </c>
      <c r="AI130" s="41">
        <f t="shared" si="226"/>
        <v>3686.5643423590964</v>
      </c>
      <c r="AJ130" s="13">
        <f t="shared" ca="1" si="227"/>
        <v>102.58238139814421</v>
      </c>
      <c r="AK130" s="11"/>
      <c r="AL130" s="6">
        <v>350</v>
      </c>
      <c r="AM130" s="41">
        <f t="shared" ca="1" si="228"/>
        <v>3.4118919372867258</v>
      </c>
      <c r="AN130" s="41">
        <f t="shared" ca="1" si="229"/>
        <v>3.4939330988843724</v>
      </c>
      <c r="AO130" s="41">
        <f t="shared" ca="1" si="230"/>
        <v>0.20171703746801009</v>
      </c>
      <c r="AP130" s="67">
        <f t="shared" si="248"/>
        <v>0.77153746072254115</v>
      </c>
      <c r="AQ130" s="11">
        <f t="shared" si="231"/>
        <v>1.0145855632183758</v>
      </c>
      <c r="AR130" s="11">
        <f t="shared" si="232"/>
        <v>0.81812979351819726</v>
      </c>
      <c r="AS130" s="11">
        <f t="shared" si="233"/>
        <v>0.80636845543415825</v>
      </c>
      <c r="AT130" s="11">
        <f t="shared" si="234"/>
        <v>526.23509407447489</v>
      </c>
      <c r="AU130" s="11">
        <f t="shared" si="235"/>
        <v>1731.3426316390792</v>
      </c>
      <c r="AV130" s="11">
        <f t="shared" si="236"/>
        <v>1.9166571817214506E-3</v>
      </c>
      <c r="AW130" s="11">
        <f t="shared" si="237"/>
        <v>3.7794365857789621E-7</v>
      </c>
      <c r="AX130" s="41">
        <f t="shared" ca="1" si="238"/>
        <v>1.5143740347562322</v>
      </c>
      <c r="AY130" s="41">
        <f t="shared" ca="1" si="239"/>
        <v>2.0398919117179979</v>
      </c>
      <c r="AZ130" s="41">
        <f t="shared" si="240"/>
        <v>0.24065469186037858</v>
      </c>
      <c r="BA130" s="179">
        <f t="shared" si="249"/>
        <v>0.392827553519977</v>
      </c>
    </row>
    <row r="131" spans="1:53" ht="14.5">
      <c r="A131" s="41">
        <f t="shared" ca="1" si="241"/>
        <v>14589.559663164491</v>
      </c>
      <c r="B131" s="41">
        <f t="shared" ca="1" si="203"/>
        <v>243.1593277194082</v>
      </c>
      <c r="C131" s="41">
        <f t="shared" ca="1" si="203"/>
        <v>4.0526554619901365</v>
      </c>
      <c r="D131" s="41">
        <f t="shared" ca="1" si="242"/>
        <v>13596.352692164846</v>
      </c>
      <c r="E131" s="41" t="e">
        <f t="shared" ca="1" si="243"/>
        <v>#NUM!</v>
      </c>
      <c r="F131" s="41">
        <f t="shared" ca="1" si="244"/>
        <v>1.5070287926883399</v>
      </c>
      <c r="G131" s="41"/>
      <c r="H131" s="7">
        <f t="shared" si="245"/>
        <v>5800</v>
      </c>
      <c r="I131" s="6">
        <v>15</v>
      </c>
      <c r="J131" s="41">
        <f t="shared" si="205"/>
        <v>0.33893385812836951</v>
      </c>
      <c r="K131" s="41">
        <f t="shared" si="206"/>
        <v>380.69978125135475</v>
      </c>
      <c r="L131" s="6">
        <f t="shared" si="250"/>
        <v>202</v>
      </c>
      <c r="M131" s="41">
        <f t="shared" si="207"/>
        <v>225.55852919492767</v>
      </c>
      <c r="N131" s="41">
        <f t="shared" si="208"/>
        <v>137.40323990787863</v>
      </c>
      <c r="O131" s="41">
        <f t="shared" si="209"/>
        <v>1913444.3932627013</v>
      </c>
      <c r="P131" s="41">
        <f t="shared" si="210"/>
        <v>12285657.551825486</v>
      </c>
      <c r="Q131" s="41">
        <f t="shared" si="211"/>
        <v>2.8761244826552936E-3</v>
      </c>
      <c r="R131" s="41">
        <f t="shared" si="212"/>
        <v>2.2485788268157541E-2</v>
      </c>
      <c r="S131" s="24">
        <f t="shared" ca="1" si="246"/>
        <v>15.62703989414868</v>
      </c>
      <c r="T131" s="10">
        <f t="shared" ca="1" si="213"/>
        <v>15.62703989414868</v>
      </c>
      <c r="U131" s="41">
        <f t="shared" ca="1" si="214"/>
        <v>0.41432384672762917</v>
      </c>
      <c r="V131" s="41">
        <f t="shared" ca="1" si="215"/>
        <v>3.3327539829443024E-2</v>
      </c>
      <c r="W131" s="41">
        <f t="shared" ca="1" si="216"/>
        <v>12.431876125509785</v>
      </c>
      <c r="X131" s="20">
        <f t="shared" ca="1" si="217"/>
        <v>1053.2417486665984</v>
      </c>
      <c r="Y131" s="41">
        <f t="shared" si="218"/>
        <v>0.59668382218427307</v>
      </c>
      <c r="Z131" s="41">
        <f t="shared" ca="1" si="219"/>
        <v>158.1783246908831</v>
      </c>
      <c r="AA131" s="14">
        <f t="shared" ca="1" si="220"/>
        <v>1093.6686108274193</v>
      </c>
      <c r="AB131" s="14">
        <f t="shared" si="247"/>
        <v>4715.7502944780908</v>
      </c>
      <c r="AC131" s="25">
        <f t="shared" ca="1" si="221"/>
        <v>416359.40090347157</v>
      </c>
      <c r="AD131" s="41">
        <f t="shared" si="222"/>
        <v>1795285.1055438209</v>
      </c>
      <c r="AE131" s="6">
        <v>100</v>
      </c>
      <c r="AF131" s="41">
        <f t="shared" si="223"/>
        <v>4715.7502944780908</v>
      </c>
      <c r="AG131" s="41">
        <f t="shared" ca="1" si="224"/>
        <v>3622.0816836506715</v>
      </c>
      <c r="AH131" s="41">
        <f t="shared" ca="1" si="225"/>
        <v>1378925.7046403494</v>
      </c>
      <c r="AI131" s="41">
        <f t="shared" si="226"/>
        <v>3644.3612866555673</v>
      </c>
      <c r="AJ131" s="13">
        <f t="shared" ca="1" si="227"/>
        <v>102.55075267539607</v>
      </c>
      <c r="AK131" s="11"/>
      <c r="AL131" s="6">
        <v>350</v>
      </c>
      <c r="AM131" s="41">
        <f t="shared" ca="1" si="228"/>
        <v>3.412944233650387</v>
      </c>
      <c r="AN131" s="41">
        <f t="shared" ca="1" si="229"/>
        <v>3.4550005107305064</v>
      </c>
      <c r="AO131" s="41">
        <f t="shared" ca="1" si="230"/>
        <v>0.20593409859822573</v>
      </c>
      <c r="AP131" s="67">
        <f t="shared" si="248"/>
        <v>0.77280624695563993</v>
      </c>
      <c r="AQ131" s="11">
        <f t="shared" si="231"/>
        <v>1.0121791907183759</v>
      </c>
      <c r="AR131" s="11">
        <f t="shared" si="232"/>
        <v>0.80743618493221192</v>
      </c>
      <c r="AS131" s="11">
        <f t="shared" si="233"/>
        <v>0.79772059368178538</v>
      </c>
      <c r="AT131" s="11">
        <f t="shared" si="234"/>
        <v>524.98698084989996</v>
      </c>
      <c r="AU131" s="11">
        <f t="shared" si="235"/>
        <v>1708.7126032772453</v>
      </c>
      <c r="AV131" s="11">
        <f t="shared" si="236"/>
        <v>1.8961020791222357E-3</v>
      </c>
      <c r="AW131" s="11">
        <f t="shared" si="237"/>
        <v>3.7724934641096215E-7</v>
      </c>
      <c r="AX131" s="41">
        <f t="shared" ca="1" si="238"/>
        <v>1.5456006277011181</v>
      </c>
      <c r="AY131" s="41">
        <f t="shared" ca="1" si="239"/>
        <v>2.0819547528106455</v>
      </c>
      <c r="AZ131" s="41">
        <f t="shared" si="240"/>
        <v>0.24510552603075988</v>
      </c>
      <c r="BA131" s="179">
        <f t="shared" si="249"/>
        <v>0.40737344100534223</v>
      </c>
    </row>
    <row r="132" spans="1:53" ht="14.5">
      <c r="A132" s="41">
        <f t="shared" ca="1" si="241"/>
        <v>14592.972607398142</v>
      </c>
      <c r="B132" s="41">
        <f t="shared" ca="1" si="203"/>
        <v>243.21621012330237</v>
      </c>
      <c r="C132" s="41">
        <f t="shared" ca="1" si="203"/>
        <v>4.0536035020550392</v>
      </c>
      <c r="D132" s="41">
        <f t="shared" ca="1" si="242"/>
        <v>13592.897691654116</v>
      </c>
      <c r="E132" s="41" t="e">
        <f t="shared" ca="1" si="243"/>
        <v>#NUM!</v>
      </c>
      <c r="F132" s="41">
        <f t="shared" ca="1" si="244"/>
        <v>1.7129628912865655</v>
      </c>
      <c r="G132" s="41"/>
      <c r="H132" s="7">
        <f t="shared" si="245"/>
        <v>6150</v>
      </c>
      <c r="I132" s="6">
        <v>15</v>
      </c>
      <c r="J132" s="41">
        <f t="shared" si="205"/>
        <v>0.34573124755136675</v>
      </c>
      <c r="K132" s="41">
        <f t="shared" si="206"/>
        <v>387.87290334381288</v>
      </c>
      <c r="L132" s="6">
        <f t="shared" si="250"/>
        <v>204.75</v>
      </c>
      <c r="M132" s="41">
        <f t="shared" si="207"/>
        <v>229.80848926475562</v>
      </c>
      <c r="N132" s="41">
        <f t="shared" si="208"/>
        <v>141.09641850419857</v>
      </c>
      <c r="O132" s="41">
        <f t="shared" si="209"/>
        <v>1932097.3542170902</v>
      </c>
      <c r="P132" s="41">
        <f t="shared" si="210"/>
        <v>12405422.668292986</v>
      </c>
      <c r="Q132" s="41">
        <f t="shared" si="211"/>
        <v>2.8704893783342645E-3</v>
      </c>
      <c r="R132" s="41">
        <f t="shared" si="212"/>
        <v>2.24515288883495E-2</v>
      </c>
      <c r="S132" s="24">
        <f t="shared" ca="1" si="246"/>
        <v>15.317779512427244</v>
      </c>
      <c r="T132" s="10">
        <f t="shared" ca="1" si="213"/>
        <v>15.317779512427244</v>
      </c>
      <c r="U132" s="41">
        <f t="shared" ca="1" si="214"/>
        <v>0.40397958364238029</v>
      </c>
      <c r="V132" s="41">
        <f t="shared" ca="1" si="215"/>
        <v>3.2758674829510219E-2</v>
      </c>
      <c r="W132" s="41">
        <f t="shared" ca="1" si="216"/>
        <v>12.331987961810366</v>
      </c>
      <c r="X132" s="20">
        <f t="shared" ca="1" si="217"/>
        <v>1063.0902894791318</v>
      </c>
      <c r="Y132" s="41">
        <f t="shared" si="218"/>
        <v>0.59622909474143315</v>
      </c>
      <c r="Z132" s="41">
        <f t="shared" ca="1" si="219"/>
        <v>159.13420131693599</v>
      </c>
      <c r="AA132" s="14">
        <f t="shared" ca="1" si="220"/>
        <v>1102.2470775797485</v>
      </c>
      <c r="AB132" s="14">
        <f t="shared" si="247"/>
        <v>4653.958016852589</v>
      </c>
      <c r="AC132" s="25">
        <f t="shared" ca="1" si="221"/>
        <v>427531.77418309002</v>
      </c>
      <c r="AD132" s="41">
        <f t="shared" si="222"/>
        <v>1805144.2080368274</v>
      </c>
      <c r="AE132" s="6">
        <v>100</v>
      </c>
      <c r="AF132" s="41">
        <f t="shared" si="223"/>
        <v>4653.958016852589</v>
      </c>
      <c r="AG132" s="41">
        <f t="shared" ca="1" si="224"/>
        <v>3551.7109392728407</v>
      </c>
      <c r="AH132" s="41">
        <f t="shared" ca="1" si="225"/>
        <v>1377612.4338537373</v>
      </c>
      <c r="AI132" s="41">
        <f t="shared" si="226"/>
        <v>3602.5412394032292</v>
      </c>
      <c r="AJ132" s="13">
        <f t="shared" ca="1" si="227"/>
        <v>102.46529640218698</v>
      </c>
      <c r="AK132" s="11"/>
      <c r="AL132" s="6">
        <v>350</v>
      </c>
      <c r="AM132" s="41">
        <f t="shared" ca="1" si="228"/>
        <v>3.415790636336165</v>
      </c>
      <c r="AN132" s="41">
        <f t="shared" ca="1" si="229"/>
        <v>3.4182018423801201</v>
      </c>
      <c r="AO132" s="41">
        <f t="shared" ca="1" si="230"/>
        <v>0.21030326043999092</v>
      </c>
      <c r="AP132" s="67">
        <f t="shared" si="248"/>
        <v>0.7740811641097658</v>
      </c>
      <c r="AQ132" s="11">
        <f t="shared" si="231"/>
        <v>1.0097728182183758</v>
      </c>
      <c r="AR132" s="11">
        <f t="shared" si="232"/>
        <v>0.79685604014324174</v>
      </c>
      <c r="AS132" s="11">
        <f t="shared" si="233"/>
        <v>0.78914388045144601</v>
      </c>
      <c r="AT132" s="11">
        <f t="shared" si="234"/>
        <v>523.73886762532493</v>
      </c>
      <c r="AU132" s="11">
        <f t="shared" si="235"/>
        <v>1686.3226892719308</v>
      </c>
      <c r="AV132" s="11">
        <f t="shared" si="236"/>
        <v>1.875716089445042E-3</v>
      </c>
      <c r="AW132" s="11">
        <f t="shared" si="237"/>
        <v>3.7655423722504886E-7</v>
      </c>
      <c r="AX132" s="41">
        <f t="shared" ca="1" si="238"/>
        <v>1.5774062258900754</v>
      </c>
      <c r="AY132" s="41">
        <f t="shared" ca="1" si="239"/>
        <v>2.1247975254704725</v>
      </c>
      <c r="AZ132" s="41">
        <f t="shared" si="240"/>
        <v>0.24958246601525541</v>
      </c>
      <c r="BA132" s="179">
        <f t="shared" si="249"/>
        <v>0.42115165559486378</v>
      </c>
    </row>
    <row r="133" spans="1:53" ht="14.5">
      <c r="A133" s="41">
        <f t="shared" ca="1" si="241"/>
        <v>14596.388398034478</v>
      </c>
      <c r="B133" s="41">
        <f t="shared" ca="1" si="203"/>
        <v>243.27313996724129</v>
      </c>
      <c r="C133" s="41">
        <f t="shared" ca="1" si="203"/>
        <v>4.0545523327873552</v>
      </c>
      <c r="D133" s="41">
        <f t="shared" ca="1" si="242"/>
        <v>13589.479489811736</v>
      </c>
      <c r="E133" s="41" t="e">
        <f t="shared" ca="1" si="243"/>
        <v>#NUM!</v>
      </c>
      <c r="F133" s="41">
        <f t="shared" ca="1" si="244"/>
        <v>1.9232661517265566</v>
      </c>
      <c r="G133" s="41"/>
      <c r="H133" s="7">
        <f t="shared" si="245"/>
        <v>6500</v>
      </c>
      <c r="I133" s="6">
        <v>15</v>
      </c>
      <c r="J133" s="41">
        <f t="shared" si="205"/>
        <v>0.35260241649905016</v>
      </c>
      <c r="K133" s="41">
        <f t="shared" si="206"/>
        <v>395.10997542721122</v>
      </c>
      <c r="L133" s="6">
        <f t="shared" si="250"/>
        <v>207.5</v>
      </c>
      <c r="M133" s="41">
        <f t="shared" si="207"/>
        <v>234.09633868101582</v>
      </c>
      <c r="N133" s="41">
        <f t="shared" si="208"/>
        <v>144.8326715233427</v>
      </c>
      <c r="O133" s="41">
        <f t="shared" si="209"/>
        <v>1950537.7697079622</v>
      </c>
      <c r="P133" s="41">
        <f t="shared" si="210"/>
        <v>12523823.093532376</v>
      </c>
      <c r="Q133" s="41">
        <f t="shared" si="211"/>
        <v>2.8649221149386521E-3</v>
      </c>
      <c r="R133" s="41">
        <f t="shared" si="212"/>
        <v>2.2417681956634336E-2</v>
      </c>
      <c r="S133" s="24">
        <f t="shared" ca="1" si="246"/>
        <v>15.0095695777035</v>
      </c>
      <c r="T133" s="10">
        <f t="shared" ca="1" si="213"/>
        <v>15.0095695777035</v>
      </c>
      <c r="U133" s="41">
        <f t="shared" ca="1" si="214"/>
        <v>0.39403316813547717</v>
      </c>
      <c r="V133" s="41">
        <f t="shared" ca="1" si="215"/>
        <v>3.2223529842587799E-2</v>
      </c>
      <c r="W133" s="41">
        <f t="shared" ca="1" si="216"/>
        <v>12.228119329580972</v>
      </c>
      <c r="X133" s="20">
        <f t="shared" ca="1" si="217"/>
        <v>1073.4145799932544</v>
      </c>
      <c r="Y133" s="41">
        <f t="shared" si="218"/>
        <v>0.59577950092730902</v>
      </c>
      <c r="Z133" s="41">
        <f t="shared" ca="1" si="219"/>
        <v>160.09536696548264</v>
      </c>
      <c r="AA133" s="14">
        <f t="shared" ca="1" si="220"/>
        <v>1111.3302972876218</v>
      </c>
      <c r="AB133" s="14">
        <f t="shared" si="247"/>
        <v>4592.8230205114587</v>
      </c>
      <c r="AC133" s="25">
        <f t="shared" ca="1" si="221"/>
        <v>439097.68645282759</v>
      </c>
      <c r="AD133" s="41">
        <f t="shared" si="222"/>
        <v>1814670.1907758124</v>
      </c>
      <c r="AE133" s="6">
        <v>100</v>
      </c>
      <c r="AF133" s="41">
        <f t="shared" si="223"/>
        <v>4592.8230205114587</v>
      </c>
      <c r="AG133" s="41">
        <f t="shared" ca="1" si="224"/>
        <v>3481.4927232238369</v>
      </c>
      <c r="AH133" s="41">
        <f t="shared" ca="1" si="225"/>
        <v>1375572.5043229847</v>
      </c>
      <c r="AI133" s="41">
        <f t="shared" si="226"/>
        <v>3561.1008742683102</v>
      </c>
      <c r="AJ133" s="13">
        <f t="shared" ca="1" si="227"/>
        <v>102.32572803792736</v>
      </c>
      <c r="AK133" s="11"/>
      <c r="AL133" s="6">
        <v>350</v>
      </c>
      <c r="AM133" s="41">
        <f t="shared" ca="1" si="228"/>
        <v>3.4204496436152536</v>
      </c>
      <c r="AN133" s="41">
        <f t="shared" ca="1" si="229"/>
        <v>3.3834906156302806</v>
      </c>
      <c r="AO133" s="41">
        <f t="shared" ca="1" si="230"/>
        <v>0.21483233915225156</v>
      </c>
      <c r="AP133" s="67">
        <f t="shared" si="248"/>
        <v>0.77536209393754185</v>
      </c>
      <c r="AQ133" s="11">
        <f t="shared" si="231"/>
        <v>1.0073664457183757</v>
      </c>
      <c r="AR133" s="11">
        <f t="shared" si="232"/>
        <v>0.78638843581115314</v>
      </c>
      <c r="AS133" s="11">
        <f t="shared" si="233"/>
        <v>0.78063790902858765</v>
      </c>
      <c r="AT133" s="11">
        <f t="shared" si="234"/>
        <v>522.49075440074989</v>
      </c>
      <c r="AU133" s="11">
        <f t="shared" si="235"/>
        <v>1664.1709356322783</v>
      </c>
      <c r="AV133" s="11">
        <f t="shared" si="236"/>
        <v>1.85549824597005E-3</v>
      </c>
      <c r="AW133" s="11">
        <f t="shared" si="237"/>
        <v>3.7585832879320501E-7</v>
      </c>
      <c r="AX133" s="41">
        <f t="shared" ca="1" si="238"/>
        <v>1.6097770391164024</v>
      </c>
      <c r="AY133" s="41">
        <f t="shared" ca="1" si="239"/>
        <v>2.1684016540150743</v>
      </c>
      <c r="AZ133" s="41">
        <f t="shared" si="240"/>
        <v>0.25408517683032078</v>
      </c>
      <c r="BA133" s="179">
        <f t="shared" si="249"/>
        <v>0.43421798280182067</v>
      </c>
    </row>
    <row r="134" spans="1:53" ht="14.5">
      <c r="A134" s="41">
        <f t="shared" ca="1" si="241"/>
        <v>14599.808847678094</v>
      </c>
      <c r="B134" s="41">
        <f t="shared" ca="1" si="203"/>
        <v>243.33014746130158</v>
      </c>
      <c r="C134" s="41">
        <f t="shared" ca="1" si="203"/>
        <v>4.0555024576883598</v>
      </c>
      <c r="D134" s="41">
        <f t="shared" ca="1" si="242"/>
        <v>13586.095999196106</v>
      </c>
      <c r="E134" s="41" t="e">
        <f t="shared" ca="1" si="243"/>
        <v>#NUM!</v>
      </c>
      <c r="F134" s="41">
        <f t="shared" ca="1" si="244"/>
        <v>2.1380984908788081</v>
      </c>
      <c r="G134" s="41"/>
      <c r="H134" s="7">
        <f t="shared" si="245"/>
        <v>6850</v>
      </c>
      <c r="I134" s="6">
        <v>15</v>
      </c>
      <c r="J134" s="41">
        <f t="shared" si="205"/>
        <v>0.35954795746593787</v>
      </c>
      <c r="K134" s="41">
        <f t="shared" si="206"/>
        <v>402.41132968541916</v>
      </c>
      <c r="L134" s="6">
        <f t="shared" si="250"/>
        <v>210.25</v>
      </c>
      <c r="M134" s="41">
        <f t="shared" si="207"/>
        <v>238.42227425733589</v>
      </c>
      <c r="N134" s="41">
        <f t="shared" si="208"/>
        <v>148.61149061913324</v>
      </c>
      <c r="O134" s="41">
        <f t="shared" si="209"/>
        <v>1968764.5699958606</v>
      </c>
      <c r="P134" s="41">
        <f t="shared" si="210"/>
        <v>12640851.959064655</v>
      </c>
      <c r="Q134" s="41">
        <f t="shared" si="211"/>
        <v>2.859419406987656E-3</v>
      </c>
      <c r="R134" s="41">
        <f t="shared" si="212"/>
        <v>2.2384227498486616E-2</v>
      </c>
      <c r="S134" s="24">
        <f t="shared" ca="1" si="246"/>
        <v>14.702456703551245</v>
      </c>
      <c r="T134" s="10">
        <f t="shared" ca="1" si="213"/>
        <v>14.702456703551245</v>
      </c>
      <c r="U134" s="41">
        <f t="shared" ca="1" si="214"/>
        <v>0.38446452779784684</v>
      </c>
      <c r="V134" s="41">
        <f t="shared" ca="1" si="215"/>
        <v>3.1719610564961358E-2</v>
      </c>
      <c r="W134" s="41">
        <f t="shared" ca="1" si="216"/>
        <v>12.120720303626314</v>
      </c>
      <c r="X134" s="20">
        <f t="shared" ca="1" si="217"/>
        <v>1084.1966798209824</v>
      </c>
      <c r="Y134" s="41">
        <f t="shared" si="218"/>
        <v>0.59533478674965912</v>
      </c>
      <c r="Z134" s="41">
        <f t="shared" ca="1" si="219"/>
        <v>161.06186247308852</v>
      </c>
      <c r="AA134" s="14">
        <f t="shared" ca="1" si="220"/>
        <v>1120.8984003311566</v>
      </c>
      <c r="AB134" s="14">
        <f t="shared" si="247"/>
        <v>4532.3399432619817</v>
      </c>
      <c r="AC134" s="25">
        <f t="shared" ca="1" si="221"/>
        <v>451062.21571952</v>
      </c>
      <c r="AD134" s="41">
        <f t="shared" si="222"/>
        <v>1823864.9431543914</v>
      </c>
      <c r="AE134" s="6">
        <v>100</v>
      </c>
      <c r="AF134" s="41">
        <f t="shared" si="223"/>
        <v>4532.3399432619817</v>
      </c>
      <c r="AG134" s="41">
        <f t="shared" ca="1" si="224"/>
        <v>3411.4415429308251</v>
      </c>
      <c r="AH134" s="41">
        <f t="shared" ca="1" si="225"/>
        <v>1372802.7274348713</v>
      </c>
      <c r="AI134" s="41">
        <f t="shared" si="226"/>
        <v>3520.0368907067541</v>
      </c>
      <c r="AJ134" s="13">
        <f t="shared" ca="1" si="227"/>
        <v>102.13176144708648</v>
      </c>
      <c r="AK134" s="11"/>
      <c r="AL134" s="6">
        <v>350</v>
      </c>
      <c r="AM134" s="41">
        <f t="shared" ca="1" si="228"/>
        <v>3.4269456929060387</v>
      </c>
      <c r="AN134" s="41">
        <f t="shared" ca="1" si="229"/>
        <v>3.3508264615216321</v>
      </c>
      <c r="AO134" s="41">
        <f t="shared" ca="1" si="230"/>
        <v>0.2195297441916457</v>
      </c>
      <c r="AP134" s="67">
        <f t="shared" si="248"/>
        <v>0.776648913093959</v>
      </c>
      <c r="AQ134" s="11">
        <f t="shared" si="231"/>
        <v>1.0049600732183759</v>
      </c>
      <c r="AR134" s="11">
        <f t="shared" si="232"/>
        <v>0.77603245381514641</v>
      </c>
      <c r="AS134" s="11">
        <f t="shared" si="233"/>
        <v>0.77220227399672625</v>
      </c>
      <c r="AT134" s="11">
        <f t="shared" si="234"/>
        <v>521.24264117617497</v>
      </c>
      <c r="AU134" s="11">
        <f t="shared" si="235"/>
        <v>1642.255399412689</v>
      </c>
      <c r="AV134" s="11">
        <f t="shared" si="236"/>
        <v>1.8354475850628185E-3</v>
      </c>
      <c r="AW134" s="11">
        <f t="shared" si="237"/>
        <v>3.7516161887989139E-7</v>
      </c>
      <c r="AX134" s="41">
        <f t="shared" ca="1" si="238"/>
        <v>1.6426999830019682</v>
      </c>
      <c r="AY134" s="41">
        <f t="shared" ca="1" si="239"/>
        <v>2.2127495135271547</v>
      </c>
      <c r="AZ134" s="41">
        <f t="shared" si="240"/>
        <v>0.25861330461594223</v>
      </c>
      <c r="BA134" s="179">
        <f t="shared" si="249"/>
        <v>0.44662627722841552</v>
      </c>
    </row>
    <row r="135" spans="1:53" ht="14.5">
      <c r="A135" s="41">
        <f t="shared" ca="1" si="241"/>
        <v>14603.235793371001</v>
      </c>
      <c r="B135" s="41">
        <f t="shared" ca="1" si="203"/>
        <v>243.38726322285001</v>
      </c>
      <c r="C135" s="41">
        <f t="shared" ca="1" si="203"/>
        <v>4.0564543870475003</v>
      </c>
      <c r="D135" s="41">
        <f t="shared" ca="1" si="242"/>
        <v>13582.745172734585</v>
      </c>
      <c r="E135" s="41" t="e">
        <f t="shared" ca="1" si="243"/>
        <v>#NUM!</v>
      </c>
      <c r="F135" s="41">
        <f t="shared" ca="1" si="244"/>
        <v>2.3576282350704538</v>
      </c>
      <c r="G135" s="41"/>
      <c r="H135" s="7">
        <f t="shared" si="245"/>
        <v>7200</v>
      </c>
      <c r="I135" s="6">
        <v>15</v>
      </c>
      <c r="J135" s="41">
        <f t="shared" si="205"/>
        <v>0.36656845792646392</v>
      </c>
      <c r="K135" s="41">
        <f t="shared" si="206"/>
        <v>409.77728863488534</v>
      </c>
      <c r="L135" s="6">
        <f t="shared" si="250"/>
        <v>213</v>
      </c>
      <c r="M135" s="41">
        <f t="shared" si="207"/>
        <v>242.78648707955142</v>
      </c>
      <c r="N135" s="41">
        <f t="shared" si="208"/>
        <v>152.43234537790283</v>
      </c>
      <c r="O135" s="41">
        <f t="shared" si="209"/>
        <v>1986776.6575522211</v>
      </c>
      <c r="P135" s="41">
        <f t="shared" si="210"/>
        <v>12756502.217985224</v>
      </c>
      <c r="Q135" s="41">
        <f t="shared" si="211"/>
        <v>2.8539780790406448E-3</v>
      </c>
      <c r="R135" s="41">
        <f t="shared" si="212"/>
        <v>2.2351146208385013E-2</v>
      </c>
      <c r="S135" s="24">
        <f t="shared" ca="1" si="246"/>
        <v>14.396483805244008</v>
      </c>
      <c r="T135" s="10">
        <f t="shared" ca="1" si="213"/>
        <v>14.396483805244008</v>
      </c>
      <c r="U135" s="41">
        <f t="shared" ca="1" si="214"/>
        <v>0.37525487404093333</v>
      </c>
      <c r="V135" s="41">
        <f t="shared" ca="1" si="215"/>
        <v>3.1244637303121828E-2</v>
      </c>
      <c r="W135" s="41">
        <f t="shared" ca="1" si="216"/>
        <v>12.010216998212346</v>
      </c>
      <c r="X135" s="20">
        <f t="shared" ca="1" si="217"/>
        <v>1095.4194692572578</v>
      </c>
      <c r="Y135" s="41">
        <f t="shared" si="218"/>
        <v>0.5948947062354577</v>
      </c>
      <c r="Z135" s="41">
        <f t="shared" ca="1" si="219"/>
        <v>162.03373188981703</v>
      </c>
      <c r="AA135" s="14">
        <f t="shared" ca="1" si="220"/>
        <v>1130.9325364193087</v>
      </c>
      <c r="AB135" s="14">
        <f t="shared" si="247"/>
        <v>4472.5034532982363</v>
      </c>
      <c r="AC135" s="25">
        <f t="shared" ca="1" si="221"/>
        <v>463430.46840287803</v>
      </c>
      <c r="AD135" s="41">
        <f t="shared" si="222"/>
        <v>1832730.3385027128</v>
      </c>
      <c r="AE135" s="6">
        <v>100</v>
      </c>
      <c r="AF135" s="41">
        <f t="shared" si="223"/>
        <v>4472.5034532982363</v>
      </c>
      <c r="AG135" s="41">
        <f t="shared" ca="1" si="224"/>
        <v>3341.5709168789276</v>
      </c>
      <c r="AH135" s="41">
        <f t="shared" ca="1" si="225"/>
        <v>1369299.8700998346</v>
      </c>
      <c r="AI135" s="41">
        <f t="shared" si="226"/>
        <v>3479.346014169555</v>
      </c>
      <c r="AJ135" s="13">
        <f t="shared" ca="1" si="227"/>
        <v>101.88310984811038</v>
      </c>
      <c r="AK135" s="11"/>
      <c r="AL135" s="6">
        <v>350</v>
      </c>
      <c r="AM135" s="41">
        <f t="shared" ca="1" si="228"/>
        <v>3.4353093512927493</v>
      </c>
      <c r="AN135" s="41">
        <f t="shared" ca="1" si="229"/>
        <v>3.3201749719055074</v>
      </c>
      <c r="AO135" s="41">
        <f t="shared" ca="1" si="230"/>
        <v>0.22440452960811241</v>
      </c>
      <c r="AP135" s="67">
        <f t="shared" si="248"/>
        <v>0.77794149305881921</v>
      </c>
      <c r="AQ135" s="11">
        <f t="shared" si="231"/>
        <v>1.0025537007183758</v>
      </c>
      <c r="AR135" s="11">
        <f t="shared" si="232"/>
        <v>0.7657871812372844</v>
      </c>
      <c r="AS135" s="11">
        <f t="shared" si="233"/>
        <v>0.76383657123659576</v>
      </c>
      <c r="AT135" s="11">
        <f t="shared" si="234"/>
        <v>519.99452795159993</v>
      </c>
      <c r="AU135" s="11">
        <f t="shared" si="235"/>
        <v>1620.5741486779659</v>
      </c>
      <c r="AV135" s="11">
        <f t="shared" si="236"/>
        <v>1.8155631461722645E-3</v>
      </c>
      <c r="AW135" s="11">
        <f t="shared" si="237"/>
        <v>3.7446410524094736E-7</v>
      </c>
      <c r="AX135" s="41">
        <f t="shared" ca="1" si="238"/>
        <v>1.6761625864030196</v>
      </c>
      <c r="AY135" s="41">
        <f t="shared" ca="1" si="239"/>
        <v>2.257824305128306</v>
      </c>
      <c r="AZ135" s="41">
        <f t="shared" si="240"/>
        <v>0.2631664762431124</v>
      </c>
      <c r="BA135" s="179">
        <f t="shared" si="249"/>
        <v>0.45842806280763604</v>
      </c>
    </row>
    <row r="136" spans="1:53" ht="14.5">
      <c r="A136" s="41">
        <f t="shared" ca="1" si="241"/>
        <v>14606.671102722294</v>
      </c>
      <c r="B136" s="41">
        <f t="shared" ca="1" si="203"/>
        <v>243.44451837870488</v>
      </c>
      <c r="C136" s="41">
        <f t="shared" ca="1" si="203"/>
        <v>4.0574086396450815</v>
      </c>
      <c r="D136" s="41">
        <f t="shared" ca="1" si="242"/>
        <v>13579.424997762681</v>
      </c>
      <c r="E136" s="41" t="e">
        <f t="shared" ca="1" si="243"/>
        <v>#NUM!</v>
      </c>
      <c r="F136" s="41">
        <f t="shared" ca="1" si="244"/>
        <v>2.5820327646785661</v>
      </c>
      <c r="G136" s="41"/>
      <c r="H136" s="7">
        <f t="shared" si="245"/>
        <v>7550</v>
      </c>
      <c r="I136" s="6">
        <v>15</v>
      </c>
      <c r="J136" s="41">
        <f t="shared" si="205"/>
        <v>0.37366449993115985</v>
      </c>
      <c r="K136" s="41">
        <f t="shared" si="206"/>
        <v>417.208164692384</v>
      </c>
      <c r="L136" s="6">
        <f t="shared" si="250"/>
        <v>215.75</v>
      </c>
      <c r="M136" s="41">
        <f t="shared" si="207"/>
        <v>247.18916224960245</v>
      </c>
      <c r="N136" s="41">
        <f t="shared" si="208"/>
        <v>156.29468277331699</v>
      </c>
      <c r="O136" s="41">
        <f t="shared" si="209"/>
        <v>2004572.9073637347</v>
      </c>
      <c r="P136" s="41">
        <f t="shared" si="210"/>
        <v>12870766.646918111</v>
      </c>
      <c r="Q136" s="41">
        <f t="shared" si="211"/>
        <v>2.8485950596333545E-3</v>
      </c>
      <c r="R136" s="41">
        <f t="shared" si="212"/>
        <v>2.2318419412946603E-2</v>
      </c>
      <c r="S136" s="24">
        <f t="shared" ca="1" si="246"/>
        <v>14.091690477136416</v>
      </c>
      <c r="T136" s="10">
        <f t="shared" ca="1" si="213"/>
        <v>14.091690477136412</v>
      </c>
      <c r="U136" s="41">
        <f t="shared" ca="1" si="214"/>
        <v>0.36638660334983186</v>
      </c>
      <c r="V136" s="41">
        <f t="shared" ca="1" si="215"/>
        <v>3.0796523850664705E-2</v>
      </c>
      <c r="W136" s="41">
        <f t="shared" ca="1" si="216"/>
        <v>11.897011660357371</v>
      </c>
      <c r="X136" s="20">
        <f t="shared" ca="1" si="217"/>
        <v>1107.0665729249217</v>
      </c>
      <c r="Y136" s="41">
        <f t="shared" si="218"/>
        <v>0.594459020989624</v>
      </c>
      <c r="Z136" s="41">
        <f t="shared" ca="1" si="219"/>
        <v>163.01102223428586</v>
      </c>
      <c r="AA136" s="14">
        <f t="shared" ca="1" si="220"/>
        <v>1141.4147842698485</v>
      </c>
      <c r="AB136" s="14">
        <f t="shared" si="247"/>
        <v>4413.3082491050009</v>
      </c>
      <c r="AC136" s="25">
        <f t="shared" ca="1" si="221"/>
        <v>476207.56729797693</v>
      </c>
      <c r="AD136" s="41">
        <f t="shared" si="222"/>
        <v>1841268.2348308561</v>
      </c>
      <c r="AE136" s="6">
        <v>100</v>
      </c>
      <c r="AF136" s="41">
        <f t="shared" si="223"/>
        <v>4413.3082491050009</v>
      </c>
      <c r="AG136" s="41">
        <f t="shared" ca="1" si="224"/>
        <v>3271.8934648351524</v>
      </c>
      <c r="AH136" s="41">
        <f t="shared" ca="1" si="225"/>
        <v>1365060.6675328792</v>
      </c>
      <c r="AI136" s="41">
        <f t="shared" si="226"/>
        <v>3439.0249963114429</v>
      </c>
      <c r="AJ136" s="13">
        <f t="shared" ca="1" si="227"/>
        <v>101.5794867585209</v>
      </c>
      <c r="AK136" s="11"/>
      <c r="AL136" s="6">
        <v>350</v>
      </c>
      <c r="AM136" s="41">
        <f t="shared" ca="1" si="228"/>
        <v>3.4455775587056761</v>
      </c>
      <c r="AN136" s="41">
        <f t="shared" ca="1" si="229"/>
        <v>3.2915075975329384</v>
      </c>
      <c r="AO136" s="41">
        <f t="shared" ca="1" si="230"/>
        <v>0.22946645129858337</v>
      </c>
      <c r="AP136" s="67">
        <f t="shared" si="248"/>
        <v>0.77923970006148147</v>
      </c>
      <c r="AQ136" s="11">
        <f t="shared" si="231"/>
        <v>1.0001473282183759</v>
      </c>
      <c r="AR136" s="11">
        <f t="shared" si="232"/>
        <v>0.75565171034603806</v>
      </c>
      <c r="AS136" s="11">
        <f t="shared" si="233"/>
        <v>0.7555403979253007</v>
      </c>
      <c r="AT136" s="11">
        <f t="shared" si="234"/>
        <v>518.74641472702501</v>
      </c>
      <c r="AU136" s="11">
        <f t="shared" si="235"/>
        <v>1599.1252624684926</v>
      </c>
      <c r="AV136" s="11">
        <f t="shared" si="236"/>
        <v>1.7958439718286472E-3</v>
      </c>
      <c r="AW136" s="11">
        <f t="shared" si="237"/>
        <v>3.7376578562356062E-7</v>
      </c>
      <c r="AX136" s="41">
        <f t="shared" ca="1" si="238"/>
        <v>1.7101529089978078</v>
      </c>
      <c r="AY136" s="41">
        <f t="shared" ca="1" si="239"/>
        <v>2.3036099449679082</v>
      </c>
      <c r="AZ136" s="41">
        <f t="shared" si="240"/>
        <v>0.26774429892556756</v>
      </c>
      <c r="BA136" s="179">
        <f t="shared" si="249"/>
        <v>0.46967222955606402</v>
      </c>
    </row>
    <row r="137" spans="1:53" ht="14.5">
      <c r="A137" s="41">
        <f t="shared" ca="1" si="241"/>
        <v>14610.116680280998</v>
      </c>
      <c r="B137" s="41">
        <f t="shared" ca="1" si="203"/>
        <v>243.50194467134997</v>
      </c>
      <c r="C137" s="41">
        <f t="shared" ca="1" si="203"/>
        <v>4.0583657445224999</v>
      </c>
      <c r="D137" s="41">
        <f t="shared" ca="1" si="242"/>
        <v>13576.133490165148</v>
      </c>
      <c r="E137" s="41" t="e">
        <f t="shared" ca="1" si="243"/>
        <v>#NUM!</v>
      </c>
      <c r="F137" s="41">
        <f t="shared" ca="1" si="244"/>
        <v>2.8114992159771495</v>
      </c>
      <c r="G137" s="41"/>
      <c r="H137" s="7">
        <f t="shared" si="245"/>
        <v>7900</v>
      </c>
      <c r="I137" s="6">
        <v>15</v>
      </c>
      <c r="J137" s="41">
        <f t="shared" si="205"/>
        <v>0.38083665969583808</v>
      </c>
      <c r="K137" s="41">
        <f t="shared" si="206"/>
        <v>424.70425973821244</v>
      </c>
      <c r="L137" s="6">
        <f t="shared" si="250"/>
        <v>218.5</v>
      </c>
      <c r="M137" s="41">
        <f t="shared" si="207"/>
        <v>251.63047862673506</v>
      </c>
      <c r="N137" s="41">
        <f t="shared" si="208"/>
        <v>160.19792662562065</v>
      </c>
      <c r="O137" s="41">
        <f t="shared" si="209"/>
        <v>2022152.1672801836</v>
      </c>
      <c r="P137" s="41">
        <f t="shared" si="210"/>
        <v>12983637.848249318</v>
      </c>
      <c r="Q137" s="41">
        <f t="shared" si="211"/>
        <v>2.8432673756484802E-3</v>
      </c>
      <c r="R137" s="41">
        <f t="shared" si="212"/>
        <v>2.2286029036702123E-2</v>
      </c>
      <c r="S137" s="24">
        <f t="shared" ca="1" si="246"/>
        <v>13.788113335185368</v>
      </c>
      <c r="T137" s="10">
        <f t="shared" ca="1" si="213"/>
        <v>13.788113335185368</v>
      </c>
      <c r="U137" s="41">
        <f t="shared" ca="1" si="214"/>
        <v>0.35784320738542402</v>
      </c>
      <c r="V137" s="41">
        <f t="shared" ca="1" si="215"/>
        <v>3.0373358697897854E-2</v>
      </c>
      <c r="W137" s="41">
        <f t="shared" ca="1" si="216"/>
        <v>11.781482941831863</v>
      </c>
      <c r="X137" s="20">
        <f t="shared" ca="1" si="217"/>
        <v>1119.1222902536845</v>
      </c>
      <c r="Y137" s="41">
        <f t="shared" si="218"/>
        <v>0.59402749978509972</v>
      </c>
      <c r="Z137" s="41">
        <f t="shared" ca="1" si="219"/>
        <v>163.99378327206827</v>
      </c>
      <c r="AA137" s="14">
        <f t="shared" ca="1" si="220"/>
        <v>1152.3280691568223</v>
      </c>
      <c r="AB137" s="14">
        <f t="shared" si="247"/>
        <v>4354.7490593616949</v>
      </c>
      <c r="AC137" s="25">
        <f t="shared" ca="1" si="221"/>
        <v>489398.63958681189</v>
      </c>
      <c r="AD137" s="41">
        <f t="shared" si="222"/>
        <v>1849480.4756018855</v>
      </c>
      <c r="AE137" s="6">
        <v>100</v>
      </c>
      <c r="AF137" s="41">
        <f t="shared" si="223"/>
        <v>4354.7490593616949</v>
      </c>
      <c r="AG137" s="41">
        <f t="shared" ca="1" si="224"/>
        <v>3202.4209902048724</v>
      </c>
      <c r="AH137" s="41">
        <f t="shared" ca="1" si="225"/>
        <v>1360081.8360150736</v>
      </c>
      <c r="AI137" s="41">
        <f t="shared" si="226"/>
        <v>3399.0706152025773</v>
      </c>
      <c r="AJ137" s="13">
        <f t="shared" ca="1" si="227"/>
        <v>101.22060693927702</v>
      </c>
      <c r="AK137" s="11"/>
      <c r="AL137" s="6">
        <v>350</v>
      </c>
      <c r="AM137" s="41">
        <f t="shared" ca="1" si="228"/>
        <v>3.4577939273765423</v>
      </c>
      <c r="AN137" s="41">
        <f t="shared" ca="1" si="229"/>
        <v>3.2648015922143112</v>
      </c>
      <c r="AO137" s="41">
        <f t="shared" ca="1" si="230"/>
        <v>0.23472603097356487</v>
      </c>
      <c r="AP137" s="67">
        <f t="shared" si="248"/>
        <v>0.78054339500811609</v>
      </c>
      <c r="AQ137" s="11">
        <f t="shared" si="231"/>
        <v>0.99774095571837584</v>
      </c>
      <c r="AR137" s="11">
        <f t="shared" si="232"/>
        <v>0.74562513857983947</v>
      </c>
      <c r="AS137" s="11">
        <f t="shared" si="233"/>
        <v>0.74731335253546605</v>
      </c>
      <c r="AT137" s="11">
        <f t="shared" si="234"/>
        <v>517.49830150244998</v>
      </c>
      <c r="AU137" s="11">
        <f t="shared" si="235"/>
        <v>1577.9068307654277</v>
      </c>
      <c r="AV137" s="11">
        <f t="shared" si="236"/>
        <v>1.7762891076415492E-3</v>
      </c>
      <c r="AW137" s="11">
        <f t="shared" si="237"/>
        <v>3.730666577662288E-7</v>
      </c>
      <c r="AX137" s="41">
        <f t="shared" ca="1" si="238"/>
        <v>1.7446594677179599</v>
      </c>
      <c r="AY137" s="41">
        <f t="shared" ca="1" si="239"/>
        <v>2.3500909651247222</v>
      </c>
      <c r="AZ137" s="41">
        <f t="shared" si="240"/>
        <v>0.27234635983657346</v>
      </c>
      <c r="BA137" s="179">
        <f t="shared" si="249"/>
        <v>0.4804048142920827</v>
      </c>
    </row>
    <row r="138" spans="1:53" ht="14.5">
      <c r="A138" s="41">
        <f t="shared" ca="1" si="241"/>
        <v>14613.574474208375</v>
      </c>
      <c r="B138" s="41">
        <f t="shared" ca="1" si="203"/>
        <v>243.55957457013957</v>
      </c>
      <c r="C138" s="41">
        <f t="shared" ca="1" si="203"/>
        <v>4.0593262428356596</v>
      </c>
      <c r="D138" s="41">
        <f t="shared" ca="1" si="242"/>
        <v>13572.868688572933</v>
      </c>
      <c r="E138" s="41" t="e">
        <f t="shared" ca="1" si="243"/>
        <v>#NUM!</v>
      </c>
      <c r="F138" s="41">
        <f t="shared" ca="1" si="244"/>
        <v>3.0462252469507143</v>
      </c>
      <c r="G138" s="41"/>
      <c r="H138" s="7">
        <f t="shared" si="245"/>
        <v>8250</v>
      </c>
      <c r="I138" s="6">
        <v>15</v>
      </c>
      <c r="J138" s="41">
        <f t="shared" si="205"/>
        <v>0.38808550718415225</v>
      </c>
      <c r="K138" s="41">
        <f t="shared" si="206"/>
        <v>432.26586467534122</v>
      </c>
      <c r="L138" s="6">
        <f t="shared" si="250"/>
        <v>221.25</v>
      </c>
      <c r="M138" s="41">
        <f t="shared" si="207"/>
        <v>256.11060856630485</v>
      </c>
      <c r="N138" s="41">
        <f t="shared" si="208"/>
        <v>164.14147706651246</v>
      </c>
      <c r="O138" s="41">
        <f t="shared" si="209"/>
        <v>2039513.2584072396</v>
      </c>
      <c r="P138" s="41">
        <f t="shared" si="210"/>
        <v>13095108.252648868</v>
      </c>
      <c r="Q138" s="41">
        <f t="shared" si="211"/>
        <v>2.8379921470884782E-3</v>
      </c>
      <c r="R138" s="41">
        <f t="shared" si="212"/>
        <v>2.2253957570316504E-2</v>
      </c>
      <c r="S138" s="24">
        <f t="shared" ca="1" si="246"/>
        <v>13.485786328240389</v>
      </c>
      <c r="T138" s="10">
        <f t="shared" ca="1" si="213"/>
        <v>13.485786328240389</v>
      </c>
      <c r="U138" s="41">
        <f t="shared" ca="1" si="214"/>
        <v>0.34960919103151072</v>
      </c>
      <c r="V138" s="41">
        <f t="shared" ca="1" si="215"/>
        <v>2.9973388289108734E-2</v>
      </c>
      <c r="W138" s="41">
        <f t="shared" ca="1" si="216"/>
        <v>11.663986322111816</v>
      </c>
      <c r="X138" s="20">
        <f t="shared" ca="1" si="217"/>
        <v>1131.5715320863553</v>
      </c>
      <c r="Y138" s="41">
        <f t="shared" si="218"/>
        <v>0.59359991818199798</v>
      </c>
      <c r="Z138" s="41">
        <f t="shared" ca="1" si="219"/>
        <v>164.98206731476159</v>
      </c>
      <c r="AA138" s="14">
        <f t="shared" ca="1" si="220"/>
        <v>1163.6560875283594</v>
      </c>
      <c r="AB138" s="14">
        <f t="shared" si="247"/>
        <v>4296.8206428463982</v>
      </c>
      <c r="AC138" s="25">
        <f t="shared" ca="1" si="221"/>
        <v>503008.80486017081</v>
      </c>
      <c r="AD138" s="41">
        <f t="shared" si="222"/>
        <v>1857368.8905348538</v>
      </c>
      <c r="AE138" s="6">
        <v>100</v>
      </c>
      <c r="AF138" s="41">
        <f t="shared" si="223"/>
        <v>4296.8206428463982</v>
      </c>
      <c r="AG138" s="41">
        <f t="shared" ca="1" si="224"/>
        <v>3133.1645553180388</v>
      </c>
      <c r="AH138" s="41">
        <f t="shared" ca="1" si="225"/>
        <v>1354360.0856746831</v>
      </c>
      <c r="AI138" s="41">
        <f t="shared" si="226"/>
        <v>3359.479675542982</v>
      </c>
      <c r="AJ138" s="13">
        <f t="shared" ca="1" si="227"/>
        <v>100.80618734103453</v>
      </c>
      <c r="AK138" s="11"/>
      <c r="AL138" s="6">
        <v>350</v>
      </c>
      <c r="AM138" s="41">
        <f t="shared" ca="1" si="228"/>
        <v>3.4720091021389887</v>
      </c>
      <c r="AN138" s="41">
        <f t="shared" ca="1" si="229"/>
        <v>3.2400400033156025</v>
      </c>
      <c r="AO138" s="41">
        <f t="shared" ca="1" si="230"/>
        <v>0.24019462771124503</v>
      </c>
      <c r="AP138" s="67">
        <f t="shared" si="248"/>
        <v>0.78185243341167687</v>
      </c>
      <c r="AQ138" s="11">
        <f t="shared" si="231"/>
        <v>0.99533458321837587</v>
      </c>
      <c r="AR138" s="11">
        <f t="shared" si="232"/>
        <v>0.73570656853064831</v>
      </c>
      <c r="AS138" s="11">
        <f t="shared" si="233"/>
        <v>0.7391550348343866</v>
      </c>
      <c r="AT138" s="11">
        <f t="shared" si="234"/>
        <v>516.25018827787494</v>
      </c>
      <c r="AU138" s="11">
        <f t="shared" si="235"/>
        <v>1556.9169544559284</v>
      </c>
      <c r="AV138" s="11">
        <f t="shared" si="236"/>
        <v>1.7568976022978534E-3</v>
      </c>
      <c r="AW138" s="11">
        <f t="shared" si="237"/>
        <v>3.7236671939872864E-7</v>
      </c>
      <c r="AX138" s="41">
        <f t="shared" ca="1" si="238"/>
        <v>1.7796711708874675</v>
      </c>
      <c r="AY138" s="41">
        <f t="shared" ca="1" si="239"/>
        <v>2.3972524248908007</v>
      </c>
      <c r="AZ138" s="41">
        <f t="shared" si="240"/>
        <v>0.27697222573153507</v>
      </c>
      <c r="BA138" s="179">
        <f t="shared" si="249"/>
        <v>0.49066885400609106</v>
      </c>
    </row>
    <row r="139" spans="1:53" ht="14.5">
      <c r="A139" s="41">
        <f t="shared" ca="1" si="241"/>
        <v>14617.046483310514</v>
      </c>
      <c r="B139" s="41">
        <f t="shared" ref="B139:C143" ca="1" si="251">A139/60</f>
        <v>243.61744138850858</v>
      </c>
      <c r="C139" s="41">
        <f t="shared" ca="1" si="251"/>
        <v>4.0602906898084763</v>
      </c>
      <c r="D139" s="41">
        <f t="shared" ca="1" si="242"/>
        <v>13569.628648569618</v>
      </c>
      <c r="E139" s="41" t="e">
        <f t="shared" ca="1" si="243"/>
        <v>#NUM!</v>
      </c>
      <c r="F139" s="41">
        <f t="shared" ca="1" si="244"/>
        <v>3.2864198746619593</v>
      </c>
      <c r="G139" s="41"/>
      <c r="H139" s="7">
        <f t="shared" si="245"/>
        <v>8600</v>
      </c>
      <c r="I139" s="6">
        <v>15</v>
      </c>
      <c r="J139" s="41">
        <f t="shared" si="205"/>
        <v>0.39541160568397987</v>
      </c>
      <c r="K139" s="41">
        <f t="shared" si="206"/>
        <v>439.89325898508525</v>
      </c>
      <c r="L139" s="6">
        <f t="shared" si="250"/>
        <v>224</v>
      </c>
      <c r="M139" s="41">
        <f t="shared" si="207"/>
        <v>260.62971765651923</v>
      </c>
      <c r="N139" s="41">
        <f t="shared" si="208"/>
        <v>168.12471001093186</v>
      </c>
      <c r="O139" s="41">
        <f t="shared" si="209"/>
        <v>2056654.9755459696</v>
      </c>
      <c r="P139" s="41">
        <f t="shared" si="210"/>
        <v>13205170.121892737</v>
      </c>
      <c r="Q139" s="41">
        <f t="shared" si="211"/>
        <v>2.8327665822211875E-3</v>
      </c>
      <c r="R139" s="41">
        <f t="shared" si="212"/>
        <v>2.2222188041076032E-2</v>
      </c>
      <c r="S139" s="24">
        <f t="shared" ca="1" si="246"/>
        <v>13.184741021302184</v>
      </c>
      <c r="T139" s="10">
        <f t="shared" ca="1" si="213"/>
        <v>13.184741021302184</v>
      </c>
      <c r="U139" s="41">
        <f t="shared" ca="1" si="214"/>
        <v>0.34166999758614058</v>
      </c>
      <c r="V139" s="41">
        <f t="shared" ca="1" si="215"/>
        <v>2.9595002080558215E-2</v>
      </c>
      <c r="W139" s="41">
        <f t="shared" ca="1" si="216"/>
        <v>11.544854656746017</v>
      </c>
      <c r="X139" s="20">
        <f t="shared" ca="1" si="217"/>
        <v>1144.3997627903582</v>
      </c>
      <c r="Y139" s="41">
        <f t="shared" si="218"/>
        <v>0.59317605817374197</v>
      </c>
      <c r="Z139" s="41">
        <f t="shared" ca="1" si="219"/>
        <v>165.97592903730543</v>
      </c>
      <c r="AA139" s="14">
        <f t="shared" ca="1" si="220"/>
        <v>1175.3832379899616</v>
      </c>
      <c r="AB139" s="14">
        <f t="shared" si="247"/>
        <v>4239.5177883399092</v>
      </c>
      <c r="AC139" s="25">
        <f t="shared" ca="1" si="221"/>
        <v>517043.16311584628</v>
      </c>
      <c r="AD139" s="41">
        <f t="shared" si="222"/>
        <v>1864935.2964380835</v>
      </c>
      <c r="AE139" s="6">
        <v>100</v>
      </c>
      <c r="AF139" s="41">
        <f t="shared" si="223"/>
        <v>4239.5177883399092</v>
      </c>
      <c r="AG139" s="41">
        <f t="shared" ca="1" si="224"/>
        <v>3064.1345503499479</v>
      </c>
      <c r="AH139" s="41">
        <f t="shared" ca="1" si="225"/>
        <v>1347892.1333222373</v>
      </c>
      <c r="AI139" s="41">
        <f t="shared" si="226"/>
        <v>3320.2490088793411</v>
      </c>
      <c r="AJ139" s="13">
        <f t="shared" ca="1" si="227"/>
        <v>100.33594805455439</v>
      </c>
      <c r="AK139" s="11"/>
      <c r="AL139" s="6">
        <v>350</v>
      </c>
      <c r="AM139" s="41">
        <f t="shared" ca="1" si="228"/>
        <v>3.488281187214167</v>
      </c>
      <c r="AN139" s="41">
        <f t="shared" ca="1" si="229"/>
        <v>3.2172117095945247</v>
      </c>
      <c r="AO139" s="41">
        <f t="shared" ca="1" si="230"/>
        <v>0.24588451811415227</v>
      </c>
      <c r="AP139" s="67">
        <f t="shared" si="248"/>
        <v>0.78316666532480073</v>
      </c>
      <c r="AQ139" s="11">
        <f t="shared" si="231"/>
        <v>0.99292821071837589</v>
      </c>
      <c r="AR139" s="11">
        <f t="shared" si="232"/>
        <v>0.72589510792752365</v>
      </c>
      <c r="AS139" s="11">
        <f t="shared" si="233"/>
        <v>0.73106504588317034</v>
      </c>
      <c r="AT139" s="11">
        <f t="shared" si="234"/>
        <v>515.00207505330002</v>
      </c>
      <c r="AU139" s="11">
        <f t="shared" si="235"/>
        <v>1536.1537452983839</v>
      </c>
      <c r="AV139" s="11">
        <f t="shared" si="236"/>
        <v>1.7376685075597075E-3</v>
      </c>
      <c r="AW139" s="11">
        <f t="shared" si="237"/>
        <v>3.7166596824208236E-7</v>
      </c>
      <c r="AX139" s="41">
        <f t="shared" ca="1" si="238"/>
        <v>1.8151772591030595</v>
      </c>
      <c r="AY139" s="41">
        <f t="shared" ca="1" si="239"/>
        <v>2.4450798311361743</v>
      </c>
      <c r="AZ139" s="41">
        <f t="shared" si="240"/>
        <v>0.28162144257725469</v>
      </c>
      <c r="BA139" s="179">
        <f t="shared" si="249"/>
        <v>0.50050430169883242</v>
      </c>
    </row>
    <row r="140" spans="1:53" ht="14.5">
      <c r="A140" s="41">
        <f t="shared" ca="1" si="241"/>
        <v>14620.534764497728</v>
      </c>
      <c r="B140" s="41">
        <f t="shared" ca="1" si="251"/>
        <v>243.67557940829548</v>
      </c>
      <c r="C140" s="41">
        <f t="shared" ca="1" si="251"/>
        <v>4.0612596568049248</v>
      </c>
      <c r="D140" s="41">
        <f t="shared" ca="1" si="242"/>
        <v>13566.411436860024</v>
      </c>
      <c r="E140" s="41" t="e">
        <f t="shared" ca="1" si="243"/>
        <v>#NUM!</v>
      </c>
      <c r="F140" s="41">
        <f t="shared" ca="1" si="244"/>
        <v>3.5323043927761115</v>
      </c>
      <c r="G140" s="41"/>
      <c r="H140" s="7">
        <f t="shared" si="245"/>
        <v>8950</v>
      </c>
      <c r="I140" s="6">
        <v>15</v>
      </c>
      <c r="J140" s="41">
        <f t="shared" si="205"/>
        <v>0.40281551137812982</v>
      </c>
      <c r="K140" s="41">
        <f t="shared" si="206"/>
        <v>447.58671027992921</v>
      </c>
      <c r="L140" s="6">
        <f t="shared" si="250"/>
        <v>226.75</v>
      </c>
      <c r="M140" s="41">
        <f t="shared" si="207"/>
        <v>265.18796445349358</v>
      </c>
      <c r="N140" s="41">
        <f t="shared" si="208"/>
        <v>172.14697663712593</v>
      </c>
      <c r="O140" s="41">
        <f t="shared" si="209"/>
        <v>2073576.0876808634</v>
      </c>
      <c r="P140" s="41">
        <f t="shared" si="210"/>
        <v>13313815.551996335</v>
      </c>
      <c r="Q140" s="41">
        <f t="shared" si="211"/>
        <v>2.8275879730714003E-3</v>
      </c>
      <c r="R140" s="41">
        <f t="shared" si="212"/>
        <v>2.2190703985478712E-2</v>
      </c>
      <c r="S140" s="24">
        <f t="shared" ca="1" si="246"/>
        <v>12.885006853573683</v>
      </c>
      <c r="T140" s="10">
        <f t="shared" ca="1" si="213"/>
        <v>12.885006853573683</v>
      </c>
      <c r="U140" s="41">
        <f t="shared" ca="1" si="214"/>
        <v>0.33401194038651566</v>
      </c>
      <c r="V140" s="41">
        <f t="shared" ca="1" si="215"/>
        <v>2.9236719184858456E-2</v>
      </c>
      <c r="W140" s="41">
        <f t="shared" ca="1" si="216"/>
        <v>11.424398827878701</v>
      </c>
      <c r="X140" s="20">
        <f t="shared" ca="1" si="217"/>
        <v>1157.5929473262693</v>
      </c>
      <c r="Y140" s="41">
        <f t="shared" si="218"/>
        <v>0.59275570785828702</v>
      </c>
      <c r="Z140" s="41">
        <f t="shared" ca="1" si="219"/>
        <v>166.97542531134999</v>
      </c>
      <c r="AA140" s="14">
        <f t="shared" ca="1" si="220"/>
        <v>1187.4945580291032</v>
      </c>
      <c r="AB140" s="14">
        <f t="shared" si="247"/>
        <v>4182.8353145298888</v>
      </c>
      <c r="AC140" s="25">
        <f t="shared" ca="1" si="221"/>
        <v>531506.78270356485</v>
      </c>
      <c r="AD140" s="41">
        <f t="shared" si="222"/>
        <v>1872181.498073146</v>
      </c>
      <c r="AE140" s="6">
        <v>100</v>
      </c>
      <c r="AF140" s="41">
        <f t="shared" si="223"/>
        <v>4182.8353145298888</v>
      </c>
      <c r="AG140" s="41">
        <f t="shared" ca="1" si="224"/>
        <v>2995.3407565007856</v>
      </c>
      <c r="AH140" s="41">
        <f t="shared" ca="1" si="225"/>
        <v>1340674.7153695812</v>
      </c>
      <c r="AI140" s="41">
        <f t="shared" si="226"/>
        <v>3281.3754738238704</v>
      </c>
      <c r="AJ140" s="13">
        <f t="shared" ca="1" si="227"/>
        <v>99.809613267156919</v>
      </c>
      <c r="AK140" s="11"/>
      <c r="AL140" s="6">
        <v>350</v>
      </c>
      <c r="AM140" s="41">
        <f t="shared" ca="1" si="228"/>
        <v>3.5066762463367849</v>
      </c>
      <c r="AN140" s="41">
        <f t="shared" ca="1" si="229"/>
        <v>3.196311508158411</v>
      </c>
      <c r="AO140" s="41">
        <f t="shared" ca="1" si="230"/>
        <v>0.25180898624853248</v>
      </c>
      <c r="AP140" s="67">
        <f t="shared" si="248"/>
        <v>0.78448593527585864</v>
      </c>
      <c r="AQ140" s="11">
        <f t="shared" si="231"/>
        <v>0.99052183821837592</v>
      </c>
      <c r="AR140" s="11">
        <f t="shared" si="232"/>
        <v>0.71618986962021247</v>
      </c>
      <c r="AS140" s="11">
        <f t="shared" si="233"/>
        <v>0.72304298803588551</v>
      </c>
      <c r="AT140" s="11">
        <f t="shared" si="234"/>
        <v>513.75396182872498</v>
      </c>
      <c r="AU140" s="11">
        <f t="shared" si="235"/>
        <v>1515.6153258876859</v>
      </c>
      <c r="AV140" s="11">
        <f t="shared" si="236"/>
        <v>1.7186008782624962E-3</v>
      </c>
      <c r="AW140" s="11">
        <f t="shared" si="237"/>
        <v>3.7096440200852477E-7</v>
      </c>
      <c r="AX140" s="41">
        <f t="shared" ca="1" si="238"/>
        <v>1.8511672520328692</v>
      </c>
      <c r="AY140" s="41">
        <f t="shared" ca="1" si="239"/>
        <v>2.4935590666456</v>
      </c>
      <c r="AZ140" s="41">
        <f t="shared" si="240"/>
        <v>0.28629353518869882</v>
      </c>
      <c r="BA140" s="179">
        <f t="shared" si="249"/>
        <v>0.50994799554071957</v>
      </c>
    </row>
    <row r="141" spans="1:53" ht="14.5">
      <c r="A141" s="41">
        <f t="shared" ca="1" si="241"/>
        <v>14624.041440744066</v>
      </c>
      <c r="B141" s="41">
        <f t="shared" ca="1" si="251"/>
        <v>243.73402401240111</v>
      </c>
      <c r="C141" s="41">
        <f t="shared" ca="1" si="251"/>
        <v>4.062233733540018</v>
      </c>
      <c r="D141" s="41">
        <f t="shared" ca="1" si="242"/>
        <v>13563.215125351866</v>
      </c>
      <c r="E141" s="41" t="e">
        <f t="shared" ca="1" si="243"/>
        <v>#NUM!</v>
      </c>
      <c r="F141" s="41">
        <f t="shared" ca="1" si="244"/>
        <v>3.7841133790246442</v>
      </c>
      <c r="G141" s="41"/>
      <c r="H141" s="7">
        <f t="shared" si="245"/>
        <v>9300</v>
      </c>
      <c r="I141" s="6">
        <v>15</v>
      </c>
      <c r="J141" s="41">
        <f t="shared" si="205"/>
        <v>0.41029777290982267</v>
      </c>
      <c r="K141" s="41">
        <f t="shared" si="206"/>
        <v>455.34647385407106</v>
      </c>
      <c r="L141" s="6">
        <f t="shared" si="250"/>
        <v>229.5</v>
      </c>
      <c r="M141" s="41">
        <f t="shared" si="207"/>
        <v>269.78550021495545</v>
      </c>
      <c r="N141" s="41">
        <f t="shared" si="208"/>
        <v>176.2076028763359</v>
      </c>
      <c r="O141" s="41">
        <f t="shared" si="209"/>
        <v>2090275.3385176582</v>
      </c>
      <c r="P141" s="41">
        <f t="shared" si="210"/>
        <v>13421036.476667715</v>
      </c>
      <c r="Q141" s="41">
        <f t="shared" si="211"/>
        <v>2.8224536912341007E-3</v>
      </c>
      <c r="R141" s="41">
        <f t="shared" si="212"/>
        <v>2.2159489423780331E-2</v>
      </c>
      <c r="S141" s="24">
        <f t="shared" ca="1" si="246"/>
        <v>12.586611373800876</v>
      </c>
      <c r="T141" s="10">
        <f t="shared" ca="1" si="213"/>
        <v>12.586611373800876</v>
      </c>
      <c r="U141" s="41">
        <f t="shared" ca="1" si="214"/>
        <v>0.32662214023602559</v>
      </c>
      <c r="V141" s="41">
        <f t="shared" ca="1" si="215"/>
        <v>2.8897176415328019E-2</v>
      </c>
      <c r="W141" s="41">
        <f t="shared" ca="1" si="216"/>
        <v>11.302908475956647</v>
      </c>
      <c r="X141" s="20">
        <f t="shared" ca="1" si="217"/>
        <v>1171.137502789094</v>
      </c>
      <c r="Y141" s="41">
        <f t="shared" si="218"/>
        <v>0.59233866113270617</v>
      </c>
      <c r="Z141" s="41">
        <f t="shared" ca="1" si="219"/>
        <v>167.98061505266162</v>
      </c>
      <c r="AA141" s="14">
        <f t="shared" ca="1" si="220"/>
        <v>1199.9756659273412</v>
      </c>
      <c r="AB141" s="14">
        <f t="shared" si="247"/>
        <v>4126.7680699150587</v>
      </c>
      <c r="AC141" s="25">
        <f t="shared" ca="1" si="221"/>
        <v>546404.68819070561</v>
      </c>
      <c r="AD141" s="41">
        <f t="shared" si="222"/>
        <v>1879109.2890493926</v>
      </c>
      <c r="AE141" s="6">
        <v>100</v>
      </c>
      <c r="AF141" s="41">
        <f t="shared" si="223"/>
        <v>4126.7680699150587</v>
      </c>
      <c r="AG141" s="41">
        <f t="shared" ca="1" si="224"/>
        <v>2926.7924039877175</v>
      </c>
      <c r="AH141" s="41">
        <f t="shared" ca="1" si="225"/>
        <v>1332704.600858687</v>
      </c>
      <c r="AI141" s="41">
        <f t="shared" si="226"/>
        <v>3242.8559562747937</v>
      </c>
      <c r="AJ141" s="13">
        <f t="shared" ca="1" si="227"/>
        <v>99.226912226772029</v>
      </c>
      <c r="AK141" s="11"/>
      <c r="AL141" s="6">
        <v>350</v>
      </c>
      <c r="AM141" s="41">
        <f t="shared" ca="1" si="228"/>
        <v>3.5272688844747488</v>
      </c>
      <c r="AN141" s="41">
        <f t="shared" ca="1" si="229"/>
        <v>3.1773402531671349</v>
      </c>
      <c r="AO141" s="41">
        <f t="shared" ca="1" si="230"/>
        <v>0.25798242474159505</v>
      </c>
      <c r="AP141" s="67">
        <f t="shared" si="248"/>
        <v>0.78581008220836157</v>
      </c>
      <c r="AQ141" s="11">
        <f t="shared" si="231"/>
        <v>0.98811546571837594</v>
      </c>
      <c r="AR141" s="11">
        <f t="shared" si="232"/>
        <v>0.70658997156274539</v>
      </c>
      <c r="AS141" s="11">
        <f t="shared" si="233"/>
        <v>0.71508846493870337</v>
      </c>
      <c r="AT141" s="11">
        <f t="shared" si="234"/>
        <v>512.50584860415006</v>
      </c>
      <c r="AU141" s="11">
        <f t="shared" si="235"/>
        <v>1495.2998296205128</v>
      </c>
      <c r="AV141" s="11">
        <f t="shared" si="236"/>
        <v>1.6996937723128039E-3</v>
      </c>
      <c r="AW141" s="11">
        <f t="shared" si="237"/>
        <v>3.7026201840146783E-7</v>
      </c>
      <c r="AX141" s="41">
        <f t="shared" ca="1" si="238"/>
        <v>1.8876309004302476</v>
      </c>
      <c r="AY141" s="41">
        <f t="shared" ca="1" si="239"/>
        <v>2.5426763254802145</v>
      </c>
      <c r="AZ141" s="41">
        <f t="shared" si="240"/>
        <v>0.29098800687409687</v>
      </c>
      <c r="BA141" s="179">
        <f t="shared" si="249"/>
        <v>0.51903367315523052</v>
      </c>
    </row>
    <row r="142" spans="1:53" ht="14.5">
      <c r="A142" s="41">
        <f t="shared" ca="1" si="241"/>
        <v>14627.56870962854</v>
      </c>
      <c r="B142" s="41">
        <f t="shared" ca="1" si="251"/>
        <v>243.79281182714234</v>
      </c>
      <c r="C142" s="41">
        <f t="shared" ca="1" si="251"/>
        <v>4.063213530452372</v>
      </c>
      <c r="D142" s="41">
        <f t="shared" ca="1" si="242"/>
        <v>13560.037785098699</v>
      </c>
      <c r="E142" s="41" t="e">
        <f t="shared" ca="1" si="243"/>
        <v>#NUM!</v>
      </c>
      <c r="F142" s="41">
        <f t="shared" ca="1" si="244"/>
        <v>4.0420958037662391</v>
      </c>
      <c r="G142" s="41"/>
      <c r="H142" s="7">
        <f t="shared" si="245"/>
        <v>9650</v>
      </c>
      <c r="I142" s="6">
        <v>15</v>
      </c>
      <c r="J142" s="41">
        <f t="shared" si="205"/>
        <v>0.4178589309435688</v>
      </c>
      <c r="K142" s="41">
        <f t="shared" si="206"/>
        <v>463.172792232441</v>
      </c>
      <c r="L142" s="6">
        <f t="shared" si="250"/>
        <v>232.25</v>
      </c>
      <c r="M142" s="41">
        <f t="shared" si="207"/>
        <v>274.42246863304558</v>
      </c>
      <c r="N142" s="41">
        <f t="shared" si="208"/>
        <v>180.30588891362015</v>
      </c>
      <c r="O142" s="41">
        <f t="shared" si="209"/>
        <v>2106751.4470728957</v>
      </c>
      <c r="P142" s="41">
        <f t="shared" si="210"/>
        <v>13526824.671092952</v>
      </c>
      <c r="Q142" s="41">
        <f t="shared" si="211"/>
        <v>2.8173611839868882E-3</v>
      </c>
      <c r="R142" s="41">
        <f t="shared" si="212"/>
        <v>2.2128528836359369E-2</v>
      </c>
      <c r="S142" s="24">
        <f t="shared" ca="1" si="246"/>
        <v>12.289580455113009</v>
      </c>
      <c r="T142" s="10">
        <f t="shared" ca="1" si="213"/>
        <v>12.289580455113009</v>
      </c>
      <c r="U142" s="41">
        <f t="shared" ca="1" si="214"/>
        <v>0.31948846807098003</v>
      </c>
      <c r="V142" s="41">
        <f t="shared" ca="1" si="215"/>
        <v>2.8575117567883501E-2</v>
      </c>
      <c r="W142" s="41">
        <f t="shared" ca="1" si="216"/>
        <v>11.180652793886086</v>
      </c>
      <c r="X142" s="20">
        <f t="shared" ca="1" si="217"/>
        <v>1185.0202539943407</v>
      </c>
      <c r="Y142" s="41">
        <f t="shared" si="218"/>
        <v>0.59192471740954078</v>
      </c>
      <c r="Z142" s="41">
        <f t="shared" ca="1" si="219"/>
        <v>168.99155908070381</v>
      </c>
      <c r="AA142" s="14">
        <f t="shared" ca="1" si="220"/>
        <v>1212.8127073683686</v>
      </c>
      <c r="AB142" s="14">
        <f t="shared" si="247"/>
        <v>4071.3109327094548</v>
      </c>
      <c r="AC142" s="25">
        <f t="shared" ca="1" si="221"/>
        <v>561741.84812679363</v>
      </c>
      <c r="AD142" s="41">
        <f t="shared" si="222"/>
        <v>1885720.4527495019</v>
      </c>
      <c r="AE142" s="6">
        <v>100</v>
      </c>
      <c r="AF142" s="41">
        <f t="shared" si="223"/>
        <v>4071.3109327094548</v>
      </c>
      <c r="AG142" s="41">
        <f t="shared" ca="1" si="224"/>
        <v>2858.4982253410863</v>
      </c>
      <c r="AH142" s="41">
        <f t="shared" ca="1" si="225"/>
        <v>1323978.6046227082</v>
      </c>
      <c r="AI142" s="41">
        <f t="shared" si="226"/>
        <v>3204.6873696380758</v>
      </c>
      <c r="AJ142" s="13">
        <f t="shared" ca="1" si="227"/>
        <v>98.587580214859742</v>
      </c>
      <c r="AK142" s="11"/>
      <c r="AL142" s="6">
        <v>350</v>
      </c>
      <c r="AM142" s="41">
        <f t="shared" ca="1" si="228"/>
        <v>3.5501429210172031</v>
      </c>
      <c r="AN142" s="41">
        <f t="shared" ca="1" si="229"/>
        <v>3.160305049831627</v>
      </c>
      <c r="AO142" s="41">
        <f t="shared" ca="1" si="230"/>
        <v>0.26442044864293268</v>
      </c>
      <c r="AP142" s="67">
        <f t="shared" si="248"/>
        <v>0.78713893942395563</v>
      </c>
      <c r="AQ142" s="11">
        <f t="shared" si="231"/>
        <v>0.98570909321837585</v>
      </c>
      <c r="AR142" s="11">
        <f t="shared" si="232"/>
        <v>0.69709453679704381</v>
      </c>
      <c r="AS142" s="11">
        <f t="shared" si="233"/>
        <v>0.70720108152903904</v>
      </c>
      <c r="AT142" s="11">
        <f t="shared" si="234"/>
        <v>511.25773537957497</v>
      </c>
      <c r="AU142" s="11">
        <f t="shared" si="235"/>
        <v>1475.20540066064</v>
      </c>
      <c r="AV142" s="11">
        <f t="shared" si="236"/>
        <v>1.6809462506863729E-3</v>
      </c>
      <c r="AW142" s="11">
        <f t="shared" si="237"/>
        <v>3.6955881511546951E-7</v>
      </c>
      <c r="AX142" s="41">
        <f t="shared" ca="1" si="238"/>
        <v>1.9245581427632308</v>
      </c>
      <c r="AY142" s="41">
        <f t="shared" ca="1" si="239"/>
        <v>2.592418054556564</v>
      </c>
      <c r="AZ142" s="41">
        <f t="shared" si="240"/>
        <v>0.29570433908930377</v>
      </c>
      <c r="BA142" s="179">
        <f t="shared" si="249"/>
        <v>0.52779202369881473</v>
      </c>
    </row>
    <row r="143" spans="1:53" ht="14.5">
      <c r="A143" s="41">
        <f t="shared" ca="1" si="241"/>
        <v>14631.118852549558</v>
      </c>
      <c r="B143" s="41">
        <f t="shared" ca="1" si="251"/>
        <v>243.85198087582597</v>
      </c>
      <c r="C143" s="41">
        <f t="shared" ca="1" si="251"/>
        <v>4.0641996812637666</v>
      </c>
      <c r="D143" s="41">
        <f t="shared" ca="1" si="242"/>
        <v>13556.877480048866</v>
      </c>
      <c r="E143" s="41" t="e">
        <f t="shared" ca="1" si="243"/>
        <v>#NUM!</v>
      </c>
      <c r="F143" s="41">
        <f t="shared" ca="1" si="244"/>
        <v>4.306516252409172</v>
      </c>
      <c r="G143" s="41"/>
      <c r="H143" s="7">
        <f t="shared" si="245"/>
        <v>10000</v>
      </c>
      <c r="I143" s="6">
        <v>15</v>
      </c>
      <c r="J143" s="41">
        <f t="shared" si="205"/>
        <v>0.42549951772196798</v>
      </c>
      <c r="K143" s="41">
        <f t="shared" si="206"/>
        <v>471.06589471883535</v>
      </c>
      <c r="L143" s="6">
        <f t="shared" si="250"/>
        <v>235</v>
      </c>
      <c r="M143" s="41">
        <f t="shared" si="207"/>
        <v>279.09900556659443</v>
      </c>
      <c r="N143" s="41">
        <f t="shared" si="208"/>
        <v>184.44110870126713</v>
      </c>
      <c r="O143" s="41">
        <f t="shared" si="209"/>
        <v>2123003.108316463</v>
      </c>
      <c r="P143" s="41">
        <f t="shared" si="210"/>
        <v>13631171.75606169</v>
      </c>
      <c r="Q143" s="41">
        <f t="shared" si="211"/>
        <v>2.8123079706811947E-3</v>
      </c>
      <c r="R143" s="41">
        <f t="shared" si="212"/>
        <v>2.2097807141776935E-2</v>
      </c>
      <c r="S143" s="24">
        <f t="shared" ca="1" si="246"/>
        <v>11.993938491321922</v>
      </c>
      <c r="T143" s="10">
        <f t="shared" ca="1" si="213"/>
        <v>11.993938491321922</v>
      </c>
      <c r="U143" s="41">
        <f t="shared" ca="1" si="214"/>
        <v>0.31259949236571904</v>
      </c>
      <c r="V143" s="41">
        <f t="shared" ca="1" si="215"/>
        <v>2.8269383798672731E-2</v>
      </c>
      <c r="W143" s="41">
        <f t="shared" ca="1" si="216"/>
        <v>11.057881367063821</v>
      </c>
      <c r="X143" s="20">
        <f t="shared" ca="1" si="217"/>
        <v>1199.2283927296326</v>
      </c>
      <c r="Y143" s="41">
        <f t="shared" si="218"/>
        <v>0.59151368135346993</v>
      </c>
      <c r="Z143" s="41">
        <f t="shared" ca="1" si="219"/>
        <v>170.00831998865465</v>
      </c>
      <c r="AA143" s="14">
        <f t="shared" ca="1" si="220"/>
        <v>1225.9923063045665</v>
      </c>
      <c r="AB143" s="14">
        <f t="shared" si="247"/>
        <v>4016.4588107467653</v>
      </c>
      <c r="AC143" s="25">
        <f t="shared" ca="1" si="221"/>
        <v>577523.16268776904</v>
      </c>
      <c r="AD143" s="41">
        <f t="shared" si="222"/>
        <v>1892016.7632857743</v>
      </c>
      <c r="AE143" s="6">
        <v>100</v>
      </c>
      <c r="AF143" s="41">
        <f t="shared" si="223"/>
        <v>4016.4588107467653</v>
      </c>
      <c r="AG143" s="41">
        <f t="shared" ca="1" si="224"/>
        <v>2790.466504442199</v>
      </c>
      <c r="AH143" s="41">
        <f t="shared" ca="1" si="225"/>
        <v>1314493.6005980051</v>
      </c>
      <c r="AI143" s="41">
        <f t="shared" si="226"/>
        <v>3166.8666550499343</v>
      </c>
      <c r="AJ143" s="13">
        <f t="shared" ca="1" si="227"/>
        <v>97.89135952916908</v>
      </c>
      <c r="AK143" s="11"/>
      <c r="AL143" s="6">
        <v>0</v>
      </c>
      <c r="AM143" s="41">
        <f t="shared" ca="1" si="228"/>
        <v>0</v>
      </c>
      <c r="AN143" s="41">
        <f t="shared" ca="1" si="229"/>
        <v>0</v>
      </c>
      <c r="AO143" s="41">
        <f t="shared" ca="1" si="230"/>
        <v>0</v>
      </c>
      <c r="AP143" s="67">
        <f>0.701 + 0.301*AZ143 + -0.0328*AZ143^2</f>
        <v>0.78847233452921439</v>
      </c>
      <c r="AQ143" s="11">
        <f t="shared" si="231"/>
        <v>0.98330272071837588</v>
      </c>
      <c r="AR143" s="11">
        <f t="shared" si="232"/>
        <v>0.68770269343653956</v>
      </c>
      <c r="AS143" s="11">
        <f t="shared" si="233"/>
        <v>0.69938044403469313</v>
      </c>
      <c r="AT143" s="11">
        <f t="shared" si="234"/>
        <v>510.00962215499999</v>
      </c>
      <c r="AU143" s="11">
        <f t="shared" si="235"/>
        <v>1455.3301939042735</v>
      </c>
      <c r="AV143" s="11">
        <f t="shared" si="236"/>
        <v>1.6623573774260621E-3</v>
      </c>
      <c r="AW143" s="11">
        <f t="shared" si="237"/>
        <v>3.6885478983619832E-7</v>
      </c>
      <c r="AX143" s="41">
        <f t="shared" ca="1" si="238"/>
        <v>1.9619390659464477</v>
      </c>
      <c r="AY143" s="41">
        <f t="shared" ca="1" si="239"/>
        <v>2.6427709007517053</v>
      </c>
      <c r="AZ143" s="41">
        <f t="shared" si="240"/>
        <v>0.30044199110228809</v>
      </c>
      <c r="BA143" s="179">
        <f>2.12 - (0.00251*AF143) + (1.94*10^(-6)*AF143^2) - (7.84*10^(-10)*AF143^3) + (1.7*10^(-13)*AF143^4) - (1.89*10^(-17)*AF143^5) + (8.37*10^(-22)*AF143^6)</f>
        <v>0.53625077120483677</v>
      </c>
    </row>
    <row r="144" spans="1:53" ht="14.5">
      <c r="B144" s="135">
        <f ca="1">B143-B123</f>
        <v>1.1495722070368686</v>
      </c>
      <c r="X144" s="32">
        <f ca="1">AVERAGE(X123:X143)</f>
        <v>1081.8909091728685</v>
      </c>
      <c r="AC144" s="3"/>
      <c r="AD144" s="3"/>
      <c r="AN144" s="32">
        <f ca="1">SUM(AN123:AN143)</f>
        <v>68.708843519474456</v>
      </c>
      <c r="AP144" s="145"/>
    </row>
    <row r="145" spans="1:53" ht="14.5">
      <c r="A145" s="67" t="s">
        <v>236</v>
      </c>
      <c r="B145" s="67" t="s">
        <v>120</v>
      </c>
      <c r="C145" s="67">
        <v>100</v>
      </c>
      <c r="D145" s="67" t="s">
        <v>49</v>
      </c>
      <c r="E145" s="53"/>
      <c r="F145" s="53"/>
      <c r="G145" s="53"/>
      <c r="H145" s="53"/>
      <c r="I145" s="53"/>
      <c r="J145" s="53"/>
      <c r="K145" s="53"/>
      <c r="L145" s="67" t="s">
        <v>60</v>
      </c>
      <c r="M145" s="53"/>
      <c r="N145" s="53"/>
      <c r="O145" s="53"/>
      <c r="P145" s="53"/>
      <c r="Q145" s="67"/>
      <c r="R145" s="53"/>
      <c r="S145" s="53"/>
      <c r="T145" s="53"/>
      <c r="U145" s="67"/>
      <c r="V145" s="67"/>
      <c r="W145" s="67"/>
      <c r="X145" s="67"/>
      <c r="Y145" s="53"/>
      <c r="Z145" s="53"/>
      <c r="AA145" s="67"/>
      <c r="AB145" s="67"/>
      <c r="AC145" s="53"/>
      <c r="AD145" s="53"/>
      <c r="AE145" s="53"/>
      <c r="AF145" s="67"/>
      <c r="AG145" s="53"/>
      <c r="AH145" s="53"/>
      <c r="AI145" s="53"/>
      <c r="AJ145" s="67" t="s">
        <v>61</v>
      </c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</row>
    <row r="146" spans="1:53" ht="14.5">
      <c r="A146" s="41" t="s">
        <v>2</v>
      </c>
      <c r="B146" s="41" t="s">
        <v>2</v>
      </c>
      <c r="C146" s="41" t="s">
        <v>2</v>
      </c>
      <c r="D146" s="41" t="s">
        <v>23</v>
      </c>
      <c r="E146" s="41" t="s">
        <v>24</v>
      </c>
      <c r="F146" s="41" t="s">
        <v>25</v>
      </c>
      <c r="G146" s="41"/>
      <c r="H146" s="41" t="s">
        <v>0</v>
      </c>
      <c r="I146" s="5" t="s">
        <v>26</v>
      </c>
      <c r="J146" s="41" t="s">
        <v>27</v>
      </c>
      <c r="K146" s="41" t="s">
        <v>28</v>
      </c>
      <c r="L146" s="12" t="s">
        <v>29</v>
      </c>
      <c r="M146" s="13" t="s">
        <v>30</v>
      </c>
      <c r="N146" s="41" t="s">
        <v>31</v>
      </c>
      <c r="O146" s="41" t="s">
        <v>32</v>
      </c>
      <c r="P146" s="41" t="s">
        <v>33</v>
      </c>
      <c r="Q146" s="41" t="s">
        <v>34</v>
      </c>
      <c r="R146" s="41" t="s">
        <v>13</v>
      </c>
      <c r="S146" s="24" t="s">
        <v>35</v>
      </c>
      <c r="T146" s="10" t="s">
        <v>35</v>
      </c>
      <c r="U146" s="41" t="s">
        <v>36</v>
      </c>
      <c r="V146" s="41" t="s">
        <v>37</v>
      </c>
      <c r="W146" s="41" t="s">
        <v>38</v>
      </c>
      <c r="X146" s="41" t="s">
        <v>39</v>
      </c>
      <c r="Y146" s="41" t="s">
        <v>40</v>
      </c>
      <c r="Z146" s="35" t="s">
        <v>108</v>
      </c>
      <c r="AA146" s="35" t="s">
        <v>109</v>
      </c>
      <c r="AB146" s="9" t="s">
        <v>110</v>
      </c>
      <c r="AC146" s="7" t="s">
        <v>111</v>
      </c>
      <c r="AD146" s="7" t="s">
        <v>112</v>
      </c>
      <c r="AE146" s="5" t="s">
        <v>41</v>
      </c>
      <c r="AF146" s="7" t="s">
        <v>113</v>
      </c>
      <c r="AG146" s="7" t="s">
        <v>114</v>
      </c>
      <c r="AH146" s="7" t="s">
        <v>115</v>
      </c>
      <c r="AI146" s="41" t="s">
        <v>42</v>
      </c>
      <c r="AJ146" s="41" t="s">
        <v>43</v>
      </c>
      <c r="AK146" s="36"/>
      <c r="AL146" s="5" t="s">
        <v>44</v>
      </c>
      <c r="AM146" s="41" t="s">
        <v>45</v>
      </c>
      <c r="AN146" s="41" t="s">
        <v>46</v>
      </c>
      <c r="AO146" s="5" t="s">
        <v>47</v>
      </c>
      <c r="AP146" s="53"/>
      <c r="AQ146" s="15" t="s">
        <v>62</v>
      </c>
      <c r="AR146" s="16" t="s">
        <v>63</v>
      </c>
      <c r="AS146" s="16" t="s">
        <v>64</v>
      </c>
      <c r="AT146" s="17" t="s">
        <v>65</v>
      </c>
      <c r="AU146" s="18" t="s">
        <v>66</v>
      </c>
      <c r="AV146" s="18" t="s">
        <v>67</v>
      </c>
      <c r="AW146" s="19" t="s">
        <v>68</v>
      </c>
      <c r="AX146" s="7" t="s">
        <v>207</v>
      </c>
      <c r="AY146" s="7" t="s">
        <v>208</v>
      </c>
      <c r="AZ146" s="7" t="s">
        <v>209</v>
      </c>
    </row>
    <row r="147" spans="1:53" ht="14.5">
      <c r="A147" s="41" t="s">
        <v>18</v>
      </c>
      <c r="B147" s="41" t="s">
        <v>21</v>
      </c>
      <c r="C147" s="41" t="s">
        <v>48</v>
      </c>
      <c r="D147" s="41" t="s">
        <v>8</v>
      </c>
      <c r="E147" s="41" t="s">
        <v>49</v>
      </c>
      <c r="F147" s="41" t="s">
        <v>49</v>
      </c>
      <c r="G147" s="41"/>
      <c r="H147" s="41" t="s">
        <v>9</v>
      </c>
      <c r="I147" s="5" t="s">
        <v>50</v>
      </c>
      <c r="J147" s="41"/>
      <c r="K147" s="41" t="s">
        <v>51</v>
      </c>
      <c r="L147" s="5" t="s">
        <v>52</v>
      </c>
      <c r="M147" s="41" t="s">
        <v>52</v>
      </c>
      <c r="N147" s="41" t="s">
        <v>53</v>
      </c>
      <c r="O147" s="41" t="s">
        <v>54</v>
      </c>
      <c r="P147" s="41"/>
      <c r="Q147" s="41"/>
      <c r="R147" s="41"/>
      <c r="S147" s="24" t="s">
        <v>55</v>
      </c>
      <c r="T147" s="10" t="s">
        <v>55</v>
      </c>
      <c r="U147" s="41"/>
      <c r="V147" s="41"/>
      <c r="W147" s="41"/>
      <c r="X147" s="41"/>
      <c r="Y147" s="41"/>
      <c r="Z147" s="41"/>
      <c r="AA147" s="9" t="s">
        <v>118</v>
      </c>
      <c r="AB147" s="9" t="s">
        <v>118</v>
      </c>
      <c r="AC147" s="7" t="s">
        <v>119</v>
      </c>
      <c r="AD147" s="7" t="s">
        <v>119</v>
      </c>
      <c r="AE147" s="5" t="s">
        <v>20</v>
      </c>
      <c r="AF147" s="7" t="s">
        <v>118</v>
      </c>
      <c r="AG147" s="7" t="s">
        <v>118</v>
      </c>
      <c r="AH147" s="7" t="s">
        <v>119</v>
      </c>
      <c r="AI147" s="41" t="s">
        <v>56</v>
      </c>
      <c r="AJ147" s="41" t="s">
        <v>57</v>
      </c>
      <c r="AK147" s="11"/>
      <c r="AL147" s="5" t="s">
        <v>9</v>
      </c>
      <c r="AM147" s="41" t="s">
        <v>18</v>
      </c>
      <c r="AN147" s="41" t="s">
        <v>8</v>
      </c>
      <c r="AO147" s="5" t="s">
        <v>49</v>
      </c>
      <c r="AP147" s="53"/>
      <c r="AQ147" s="11"/>
      <c r="AR147" s="11"/>
      <c r="AS147" s="11"/>
      <c r="AT147" s="11"/>
      <c r="AU147" s="11"/>
      <c r="AV147" s="11"/>
      <c r="AW147" s="11"/>
      <c r="AX147" s="41"/>
      <c r="AY147" s="41"/>
      <c r="AZ147" s="41"/>
    </row>
    <row r="148" spans="1:53" ht="14.5">
      <c r="A148" s="41">
        <f ca="1">A143</f>
        <v>14631.118852549558</v>
      </c>
      <c r="B148" s="41">
        <f t="shared" ref="B148:C148" ca="1" si="252">(A148/60)</f>
        <v>243.85198087582597</v>
      </c>
      <c r="C148" s="41">
        <f t="shared" ca="1" si="252"/>
        <v>4.0641996812637666</v>
      </c>
      <c r="D148" s="41">
        <f t="shared" ref="D148:E148" ca="1" si="253">D143</f>
        <v>13556.877480048866</v>
      </c>
      <c r="E148" s="41" t="e">
        <f t="shared" ca="1" si="253"/>
        <v>#NUM!</v>
      </c>
      <c r="F148" s="7">
        <v>0</v>
      </c>
      <c r="G148" s="41"/>
      <c r="H148" s="7">
        <f>H143</f>
        <v>10000</v>
      </c>
      <c r="I148" s="6">
        <v>15</v>
      </c>
      <c r="J148" s="41">
        <f t="shared" ref="J148:J168" si="254">SQRT((((((((L148^2)*(0.2))/(661.477)^2) + 1)^(3.5) - 1)*(1/AR148) + 1)^(1/3.5) - 1)*(5))</f>
        <v>0.42549951772196798</v>
      </c>
      <c r="K148" s="41">
        <f t="shared" ref="K148:K168" si="255">SQRT((1.4*2116.22*AR148*(J148)^2)/AV148)</f>
        <v>471.06589471883535</v>
      </c>
      <c r="L148" s="120">
        <v>235</v>
      </c>
      <c r="M148" s="41">
        <f t="shared" ref="M148:M168" si="256">K148*0.592484</f>
        <v>279.09900556659443</v>
      </c>
      <c r="N148" s="41">
        <f t="shared" ref="N148:N168" si="257">0.5*AV148*K148^2</f>
        <v>184.44110870126713</v>
      </c>
      <c r="O148" s="41">
        <f t="shared" ref="O148:O168" si="258">P148/$B$7</f>
        <v>2123003.108316463</v>
      </c>
      <c r="P148" s="41">
        <f t="shared" ref="P148:P168" si="259">(AV148*K148*$B$7)/(AW148)</f>
        <v>13631171.75606169</v>
      </c>
      <c r="Q148" s="41">
        <f t="shared" ref="Q148:Q168" si="260">0.455/(LOG10(P148)^2.58 * (1+0.144*J148*J148)^0.65)</f>
        <v>2.8123079706811947E-3</v>
      </c>
      <c r="R148" s="41">
        <f t="shared" ref="R148:R168" si="261">(((Q148*$B$4)+$B$17)+(0.1*(Q148*$B$4)))</f>
        <v>2.2097807141776935E-2</v>
      </c>
      <c r="S148" s="24">
        <f ca="1">T148</f>
        <v>-9.6095520479894501E-16</v>
      </c>
      <c r="T148" s="10">
        <f t="shared" ref="T148:T168" ca="1" si="262">DEGREES(ASIN(((AF148-X148)/(D148))))</f>
        <v>-9.6095520479894501E-16</v>
      </c>
      <c r="U148" s="41">
        <f t="shared" ref="U148:U168" ca="1" si="263">(D148*COS(RADIANS(S148)))/(N148*$B$3)</f>
        <v>0.31957596644519037</v>
      </c>
      <c r="V148" s="41">
        <f t="shared" ref="V148:V168" ca="1" si="264">(X148)/(N148*$B$3)</f>
        <v>2.8547927414060953E-2</v>
      </c>
      <c r="W148" s="41">
        <f t="shared" ref="W148:W168" ca="1" si="265">U148/V148</f>
        <v>11.194366645607587</v>
      </c>
      <c r="X148" s="20">
        <f t="shared" ref="X148:X168" ca="1" si="266">(N148*$B$3*R148)+((N148*$B$3)*((U148^2)/(PI()*$B$6*$B$5)))</f>
        <v>1211.0446181757211</v>
      </c>
      <c r="Y148" s="41">
        <f t="shared" ref="Y148:Y168" si="267">SQRT(PI()*$B$6*$B$5*R148)</f>
        <v>0.59151368135346993</v>
      </c>
      <c r="Z148" s="41">
        <f t="shared" ref="Z148:Z168" ca="1" si="268">SQRT((2*((U148*N148*$B$3)/(D148))*D148)/(AV148*$B$3*$B$18))</f>
        <v>171.89494168300371</v>
      </c>
      <c r="AA148" s="14">
        <f t="shared" ref="AA148:AA168" ca="1" si="269">D148/W148</f>
        <v>1211.0446181757209</v>
      </c>
      <c r="AB148" s="14">
        <f>$B$15*AR148*0.93</f>
        <v>4016.4588107467653</v>
      </c>
      <c r="AC148" s="25">
        <f t="shared" ref="AC148:AC168" ca="1" si="270">AA148*K148</f>
        <v>570481.81660537631</v>
      </c>
      <c r="AD148" s="41">
        <f t="shared" ref="AD148:AD168" si="271">AB148*K148</f>
        <v>1892016.7632857743</v>
      </c>
      <c r="AE148" s="5">
        <f t="shared" ref="AE148:AE168" ca="1" si="272">(AA148/AB148)*100</f>
        <v>30.152048738439717</v>
      </c>
      <c r="AF148" s="7">
        <f t="shared" ref="AF148:AF168" ca="1" si="273">(AB148)*(AE148/100)</f>
        <v>1211.0446181757209</v>
      </c>
      <c r="AG148" s="41">
        <f t="shared" ref="AG148:AG168" ca="1" si="274">AB148-AA148</f>
        <v>2805.4141925710446</v>
      </c>
      <c r="AH148" s="41">
        <f t="shared" ref="AH148:AH168" ca="1" si="275">AD148-AC148</f>
        <v>1321534.946680398</v>
      </c>
      <c r="AI148" s="41">
        <f t="shared" ref="AI148:AI168" ca="1" si="276">(AP148*AF148)</f>
        <v>942.85143515483855</v>
      </c>
      <c r="AJ148" s="13">
        <f t="shared" ref="AJ148:AJ168" ca="1" si="277">K148*SIN(RADIANS(T148))</f>
        <v>-7.9006381827823456E-15</v>
      </c>
      <c r="AK148" s="11"/>
      <c r="AL148" s="6">
        <v>0</v>
      </c>
      <c r="AM148" s="41">
        <f t="shared" ref="AM148:AM168" si="278">(AO148/M148)*3600</f>
        <v>64.493243046346549</v>
      </c>
      <c r="AN148" s="41">
        <f t="shared" ref="AN148:AN168" ca="1" si="279">AI148*(AM148/3600)</f>
        <v>16.890985212232682</v>
      </c>
      <c r="AO148" s="6">
        <v>5</v>
      </c>
      <c r="AP148" s="67">
        <f>0.692 + 0.298*AZ148 + -0.0331*AZ148^2</f>
        <v>0.77854392893890234</v>
      </c>
      <c r="AQ148" s="11">
        <f t="shared" ref="AQ148:AQ168" si="280">IF(H148 &lt;= 36089, ((1 - 6.87535*10^(-6)*H148) + ((I148*1.8)/518.67)), 0.75187 + ((I148*1.8)/518.67))</f>
        <v>0.98330272071837588</v>
      </c>
      <c r="AR148" s="11">
        <f t="shared" ref="AR148:AR168" si="281">IF(H148 &lt;= 36089, (1 - 6.87535*10^(-6)*H148)^5.2561, 0.22336*EXP((36089 - H148)/(20806.7)))</f>
        <v>0.68770269343653956</v>
      </c>
      <c r="AS148" s="11">
        <f t="shared" ref="AS148:AS168" si="282">(AR148/AQ148)</f>
        <v>0.69938044403469313</v>
      </c>
      <c r="AT148" s="11">
        <f t="shared" ref="AT148:AT168" si="283">(518.67*AQ148)</f>
        <v>510.00962215499999</v>
      </c>
      <c r="AU148" s="11">
        <f t="shared" ref="AU148:AU168" si="284">2116.22*AR148</f>
        <v>1455.3301939042735</v>
      </c>
      <c r="AV148" s="11">
        <f t="shared" ref="AV148:AV168" si="285">(0.0023769*AS148)</f>
        <v>1.6623573774260621E-3</v>
      </c>
      <c r="AW148" s="11">
        <f t="shared" ref="AW148:AW168" si="286">((2.2697*10^-8)*(AT148^1.5))/(AT148+198.72)</f>
        <v>3.6885478983619832E-7</v>
      </c>
      <c r="AX148" s="41">
        <f t="shared" ref="AX148:AX168" ca="1" si="287">(1/U148)*(((1 + 0.2*(U148)^2)/1.2)^3)</f>
        <v>1.9240944689370374</v>
      </c>
      <c r="AY148" s="41">
        <f t="shared" ref="AY148:AY168" ca="1" si="288">($H$4/$H$3)*AX148</f>
        <v>2.5917934767006185</v>
      </c>
      <c r="AZ148" s="41">
        <f t="shared" ref="AZ148:AZ168" si="289">-6.6*10^(-3) + 0.825*J148 - 0.243*(J148^2)</f>
        <v>0.30044199110228809</v>
      </c>
      <c r="BA148" s="179">
        <f ca="1">2.12-0.00251*AF148+1.94*10^-6*AF148^2-7.84*10^-10*AF148^3+1.7*10^-13*AF148^4-1.89*10^-17*AF148^5+8.37*10^-22*AF148^6</f>
        <v>0.85211119448310801</v>
      </c>
    </row>
    <row r="149" spans="1:53" ht="14.5">
      <c r="A149" s="41">
        <f t="shared" ref="A149:A168" ca="1" si="290">A148+AM148</f>
        <v>14695.612095595905</v>
      </c>
      <c r="B149" s="41">
        <f t="shared" ref="B149:C164" ca="1" si="291">A149/60</f>
        <v>244.92686825993175</v>
      </c>
      <c r="C149" s="41">
        <f t="shared" ca="1" si="291"/>
        <v>4.0821144709988628</v>
      </c>
      <c r="D149" s="41">
        <f t="shared" ref="D149:D168" ca="1" si="292">D148-AN148</f>
        <v>13539.986494836634</v>
      </c>
      <c r="E149" s="41" t="e">
        <f t="shared" ref="E149:E168" ca="1" si="293">E148+AO148</f>
        <v>#NUM!</v>
      </c>
      <c r="F149" s="7">
        <f t="shared" ref="F149:F168" si="294">F148+AO148</f>
        <v>5</v>
      </c>
      <c r="G149" s="41"/>
      <c r="H149" s="7">
        <f t="shared" ref="H149:H168" si="295">H148+AL148</f>
        <v>10000</v>
      </c>
      <c r="I149" s="6">
        <v>15</v>
      </c>
      <c r="J149" s="41">
        <f t="shared" si="254"/>
        <v>0.42549951772196798</v>
      </c>
      <c r="K149" s="41">
        <f t="shared" si="255"/>
        <v>471.06589471883535</v>
      </c>
      <c r="L149" s="6">
        <f t="shared" ref="L149:L168" si="296">L148</f>
        <v>235</v>
      </c>
      <c r="M149" s="41">
        <f t="shared" si="256"/>
        <v>279.09900556659443</v>
      </c>
      <c r="N149" s="41">
        <f t="shared" si="257"/>
        <v>184.44110870126713</v>
      </c>
      <c r="O149" s="41">
        <f t="shared" si="258"/>
        <v>2123003.108316463</v>
      </c>
      <c r="P149" s="41">
        <f t="shared" si="259"/>
        <v>13631171.75606169</v>
      </c>
      <c r="Q149" s="41">
        <f t="shared" si="260"/>
        <v>2.8123079706811947E-3</v>
      </c>
      <c r="R149" s="41">
        <f t="shared" si="261"/>
        <v>2.2097807141776935E-2</v>
      </c>
      <c r="S149" s="24">
        <f t="shared" ref="S149:S168" ca="1" si="297">T149</f>
        <v>0</v>
      </c>
      <c r="T149" s="10">
        <f t="shared" ca="1" si="262"/>
        <v>0</v>
      </c>
      <c r="U149" s="41">
        <f t="shared" ca="1" si="263"/>
        <v>0.31917779563252685</v>
      </c>
      <c r="V149" s="41">
        <f t="shared" ca="1" si="264"/>
        <v>2.8531864568513653E-2</v>
      </c>
      <c r="W149" s="41">
        <f t="shared" ca="1" si="265"/>
        <v>11.186713537984321</v>
      </c>
      <c r="X149" s="20">
        <f t="shared" ca="1" si="266"/>
        <v>1210.3632088961435</v>
      </c>
      <c r="Y149" s="41">
        <f t="shared" si="267"/>
        <v>0.59151368135346993</v>
      </c>
      <c r="Z149" s="41">
        <f t="shared" ca="1" si="268"/>
        <v>171.78782336349244</v>
      </c>
      <c r="AA149" s="14">
        <f t="shared" ca="1" si="269"/>
        <v>1210.3632088961435</v>
      </c>
      <c r="AB149" s="14">
        <f t="shared" ref="AB149:AB168" si="298">$B$15*AR149*0.93</f>
        <v>4016.4588107467653</v>
      </c>
      <c r="AC149" s="25">
        <f t="shared" ca="1" si="270"/>
        <v>570160.82793342252</v>
      </c>
      <c r="AD149" s="41">
        <f t="shared" si="271"/>
        <v>1892016.7632857743</v>
      </c>
      <c r="AE149" s="5">
        <f t="shared" ca="1" si="272"/>
        <v>30.135083314127282</v>
      </c>
      <c r="AF149" s="7">
        <f t="shared" ca="1" si="273"/>
        <v>1210.3632088961435</v>
      </c>
      <c r="AG149" s="41">
        <f t="shared" ca="1" si="274"/>
        <v>2806.0956018506217</v>
      </c>
      <c r="AH149" s="41">
        <f t="shared" ca="1" si="275"/>
        <v>1321855.9353523517</v>
      </c>
      <c r="AI149" s="41">
        <f t="shared" ca="1" si="276"/>
        <v>942.32092809710093</v>
      </c>
      <c r="AJ149" s="13">
        <f t="shared" ca="1" si="277"/>
        <v>0</v>
      </c>
      <c r="AK149" s="11"/>
      <c r="AL149" s="6">
        <v>0</v>
      </c>
      <c r="AM149" s="41">
        <f t="shared" si="278"/>
        <v>64.493243046346549</v>
      </c>
      <c r="AN149" s="41">
        <f t="shared" ca="1" si="279"/>
        <v>16.881481289840327</v>
      </c>
      <c r="AO149" s="6">
        <v>5</v>
      </c>
      <c r="AP149" s="67">
        <f t="shared" ref="AP149:AP168" si="299">0.692 + 0.298*AZ149 + -0.0331*AZ149^2</f>
        <v>0.77854392893890234</v>
      </c>
      <c r="AQ149" s="11">
        <f t="shared" si="280"/>
        <v>0.98330272071837588</v>
      </c>
      <c r="AR149" s="11">
        <f t="shared" si="281"/>
        <v>0.68770269343653956</v>
      </c>
      <c r="AS149" s="11">
        <f t="shared" si="282"/>
        <v>0.69938044403469313</v>
      </c>
      <c r="AT149" s="11">
        <f t="shared" si="283"/>
        <v>510.00962215499999</v>
      </c>
      <c r="AU149" s="11">
        <f t="shared" si="284"/>
        <v>1455.3301939042735</v>
      </c>
      <c r="AV149" s="11">
        <f t="shared" si="285"/>
        <v>1.6623573774260621E-3</v>
      </c>
      <c r="AW149" s="11">
        <f t="shared" si="286"/>
        <v>3.6885478983619832E-7</v>
      </c>
      <c r="AX149" s="41">
        <f t="shared" ca="1" si="287"/>
        <v>1.9262066719146151</v>
      </c>
      <c r="AY149" s="41">
        <f t="shared" ca="1" si="288"/>
        <v>2.5946386560757135</v>
      </c>
      <c r="AZ149" s="41">
        <f t="shared" si="289"/>
        <v>0.30044199110228809</v>
      </c>
      <c r="BA149" s="179">
        <f t="shared" ref="BA149:BA167" ca="1" si="300">2.12-0.00251*AF149+1.94*10^-6*AF149^2-7.84*10^-10*AF149^3+1.7*10^-13*AF149^4-1.89*10^-17*AF149^5+8.37*10^-22*AF149^6</f>
        <v>0.85227694856041392</v>
      </c>
    </row>
    <row r="150" spans="1:53" ht="14.5">
      <c r="A150" s="41">
        <f t="shared" ca="1" si="290"/>
        <v>14760.105338642252</v>
      </c>
      <c r="B150" s="41">
        <f t="shared" ca="1" si="291"/>
        <v>246.00175564403753</v>
      </c>
      <c r="C150" s="41">
        <f t="shared" ca="1" si="291"/>
        <v>4.100029260733959</v>
      </c>
      <c r="D150" s="41">
        <f t="shared" ca="1" si="292"/>
        <v>13523.105013546794</v>
      </c>
      <c r="E150" s="41" t="e">
        <f t="shared" ca="1" si="293"/>
        <v>#NUM!</v>
      </c>
      <c r="F150" s="7">
        <f t="shared" si="294"/>
        <v>10</v>
      </c>
      <c r="G150" s="41"/>
      <c r="H150" s="7">
        <f t="shared" si="295"/>
        <v>10000</v>
      </c>
      <c r="I150" s="6">
        <v>15</v>
      </c>
      <c r="J150" s="41">
        <f t="shared" si="254"/>
        <v>0.42549951772196798</v>
      </c>
      <c r="K150" s="41">
        <f t="shared" si="255"/>
        <v>471.06589471883535</v>
      </c>
      <c r="L150" s="6">
        <f t="shared" si="296"/>
        <v>235</v>
      </c>
      <c r="M150" s="41">
        <f t="shared" si="256"/>
        <v>279.09900556659443</v>
      </c>
      <c r="N150" s="41">
        <f t="shared" si="257"/>
        <v>184.44110870126713</v>
      </c>
      <c r="O150" s="41">
        <f t="shared" si="258"/>
        <v>2123003.108316463</v>
      </c>
      <c r="P150" s="41">
        <f t="shared" si="259"/>
        <v>13631171.75606169</v>
      </c>
      <c r="Q150" s="41">
        <f t="shared" si="260"/>
        <v>2.8123079706811947E-3</v>
      </c>
      <c r="R150" s="41">
        <f t="shared" si="261"/>
        <v>2.2097807141776935E-2</v>
      </c>
      <c r="S150" s="24">
        <f t="shared" ca="1" si="297"/>
        <v>9.6335508466614661E-16</v>
      </c>
      <c r="T150" s="10">
        <f t="shared" ca="1" si="262"/>
        <v>9.6335508466614661E-16</v>
      </c>
      <c r="U150" s="41">
        <f t="shared" ca="1" si="263"/>
        <v>0.31877984885561111</v>
      </c>
      <c r="V150" s="41">
        <f t="shared" ca="1" si="264"/>
        <v>2.8515830769760647E-2</v>
      </c>
      <c r="W150" s="41">
        <f t="shared" ca="1" si="265"/>
        <v>11.179048277760797</v>
      </c>
      <c r="X150" s="20">
        <f t="shared" ca="1" si="266"/>
        <v>1209.6830318238431</v>
      </c>
      <c r="Y150" s="41">
        <f t="shared" si="267"/>
        <v>0.59151368135346993</v>
      </c>
      <c r="Z150" s="41">
        <f t="shared" ca="1" si="268"/>
        <v>171.68069853652395</v>
      </c>
      <c r="AA150" s="14">
        <f t="shared" ca="1" si="269"/>
        <v>1209.6830318238433</v>
      </c>
      <c r="AB150" s="14">
        <f t="shared" si="298"/>
        <v>4016.4588107467653</v>
      </c>
      <c r="AC150" s="25">
        <f t="shared" ca="1" si="270"/>
        <v>569840.41971229215</v>
      </c>
      <c r="AD150" s="41">
        <f t="shared" si="271"/>
        <v>1892016.7632857743</v>
      </c>
      <c r="AE150" s="5">
        <f t="shared" ca="1" si="272"/>
        <v>30.118148568762027</v>
      </c>
      <c r="AF150" s="7">
        <f t="shared" ca="1" si="273"/>
        <v>1209.6830318238433</v>
      </c>
      <c r="AG150" s="41">
        <f t="shared" ca="1" si="274"/>
        <v>2806.7757789229217</v>
      </c>
      <c r="AH150" s="41">
        <f t="shared" ca="1" si="275"/>
        <v>1322176.3435734822</v>
      </c>
      <c r="AI150" s="41">
        <f t="shared" ca="1" si="276"/>
        <v>941.79138036685822</v>
      </c>
      <c r="AJ150" s="13">
        <f t="shared" ca="1" si="277"/>
        <v>7.9203691571484926E-15</v>
      </c>
      <c r="AK150" s="11"/>
      <c r="AL150" s="6">
        <v>0</v>
      </c>
      <c r="AM150" s="41">
        <f t="shared" si="278"/>
        <v>64.493243046346549</v>
      </c>
      <c r="AN150" s="41">
        <f t="shared" ca="1" si="279"/>
        <v>16.871994553598331</v>
      </c>
      <c r="AO150" s="6">
        <v>5</v>
      </c>
      <c r="AP150" s="67">
        <f t="shared" si="299"/>
        <v>0.77854392893890234</v>
      </c>
      <c r="AQ150" s="11">
        <f t="shared" si="280"/>
        <v>0.98330272071837588</v>
      </c>
      <c r="AR150" s="11">
        <f t="shared" si="281"/>
        <v>0.68770269343653956</v>
      </c>
      <c r="AS150" s="11">
        <f t="shared" si="282"/>
        <v>0.69938044403469313</v>
      </c>
      <c r="AT150" s="11">
        <f t="shared" si="283"/>
        <v>510.00962215499999</v>
      </c>
      <c r="AU150" s="11">
        <f t="shared" si="284"/>
        <v>1455.3301939042735</v>
      </c>
      <c r="AV150" s="11">
        <f t="shared" si="285"/>
        <v>1.6623573774260621E-3</v>
      </c>
      <c r="AW150" s="11">
        <f t="shared" si="286"/>
        <v>3.6885478983619832E-7</v>
      </c>
      <c r="AX150" s="41">
        <f t="shared" ca="1" si="287"/>
        <v>1.9283233464427116</v>
      </c>
      <c r="AY150" s="41">
        <f t="shared" ca="1" si="288"/>
        <v>2.597489858718196</v>
      </c>
      <c r="AZ150" s="41">
        <f t="shared" si="289"/>
        <v>0.30044199110228809</v>
      </c>
      <c r="BA150" s="179">
        <f t="shared" ca="1" si="300"/>
        <v>0.85244266158723569</v>
      </c>
    </row>
    <row r="151" spans="1:53" ht="14.5">
      <c r="A151" s="41">
        <f t="shared" ca="1" si="290"/>
        <v>14824.598581688599</v>
      </c>
      <c r="B151" s="41">
        <f t="shared" ca="1" si="291"/>
        <v>247.07664302814331</v>
      </c>
      <c r="C151" s="41">
        <f t="shared" ca="1" si="291"/>
        <v>4.1179440504690552</v>
      </c>
      <c r="D151" s="41">
        <f t="shared" ca="1" si="292"/>
        <v>13506.233018993196</v>
      </c>
      <c r="E151" s="41" t="e">
        <f t="shared" ca="1" si="293"/>
        <v>#NUM!</v>
      </c>
      <c r="F151" s="7">
        <f t="shared" si="294"/>
        <v>15</v>
      </c>
      <c r="G151" s="41"/>
      <c r="H151" s="7">
        <f t="shared" si="295"/>
        <v>10000</v>
      </c>
      <c r="I151" s="6">
        <v>15</v>
      </c>
      <c r="J151" s="41">
        <f t="shared" si="254"/>
        <v>0.42549951772196798</v>
      </c>
      <c r="K151" s="41">
        <f t="shared" si="255"/>
        <v>471.06589471883535</v>
      </c>
      <c r="L151" s="6">
        <f t="shared" si="296"/>
        <v>235</v>
      </c>
      <c r="M151" s="41">
        <f t="shared" si="256"/>
        <v>279.09900556659443</v>
      </c>
      <c r="N151" s="41">
        <f t="shared" si="257"/>
        <v>184.44110870126713</v>
      </c>
      <c r="O151" s="41">
        <f t="shared" si="258"/>
        <v>2123003.108316463</v>
      </c>
      <c r="P151" s="41">
        <f t="shared" si="259"/>
        <v>13631171.75606169</v>
      </c>
      <c r="Q151" s="41">
        <f t="shared" si="260"/>
        <v>2.8123079706811947E-3</v>
      </c>
      <c r="R151" s="41">
        <f t="shared" si="261"/>
        <v>2.2097807141776935E-2</v>
      </c>
      <c r="S151" s="24">
        <f t="shared" ca="1" si="297"/>
        <v>9.6455850842751752E-16</v>
      </c>
      <c r="T151" s="10">
        <f t="shared" ca="1" si="262"/>
        <v>9.6455850842751752E-16</v>
      </c>
      <c r="U151" s="41">
        <f t="shared" ca="1" si="263"/>
        <v>0.3183821257093144</v>
      </c>
      <c r="V151" s="41">
        <f t="shared" ca="1" si="264"/>
        <v>2.8499825967725129E-2</v>
      </c>
      <c r="W151" s="41">
        <f t="shared" ca="1" si="265"/>
        <v>11.171370873277224</v>
      </c>
      <c r="X151" s="20">
        <f t="shared" ca="1" si="266"/>
        <v>1209.0040848344888</v>
      </c>
      <c r="Y151" s="41">
        <f t="shared" si="267"/>
        <v>0.59151368135346993</v>
      </c>
      <c r="Z151" s="41">
        <f t="shared" ca="1" si="268"/>
        <v>171.57356708074877</v>
      </c>
      <c r="AA151" s="14">
        <f t="shared" ca="1" si="269"/>
        <v>1209.004084834489</v>
      </c>
      <c r="AB151" s="14">
        <f t="shared" si="298"/>
        <v>4016.4588107467653</v>
      </c>
      <c r="AC151" s="25">
        <f t="shared" ca="1" si="270"/>
        <v>569520.59094128525</v>
      </c>
      <c r="AD151" s="41">
        <f t="shared" si="271"/>
        <v>1892016.7632857743</v>
      </c>
      <c r="AE151" s="5">
        <f t="shared" ca="1" si="272"/>
        <v>30.101244449453308</v>
      </c>
      <c r="AF151" s="7">
        <f t="shared" ca="1" si="273"/>
        <v>1209.004084834489</v>
      </c>
      <c r="AG151" s="41">
        <f t="shared" ca="1" si="274"/>
        <v>2807.4547259122764</v>
      </c>
      <c r="AH151" s="41">
        <f t="shared" ca="1" si="275"/>
        <v>1322496.172344489</v>
      </c>
      <c r="AI151" s="41">
        <f t="shared" ca="1" si="276"/>
        <v>941.26279031022511</v>
      </c>
      <c r="AJ151" s="13">
        <f t="shared" ca="1" si="277"/>
        <v>7.9302632871471372E-15</v>
      </c>
      <c r="AK151" s="11"/>
      <c r="AL151" s="6">
        <v>0</v>
      </c>
      <c r="AM151" s="41">
        <f t="shared" si="278"/>
        <v>64.493243046346549</v>
      </c>
      <c r="AN151" s="41">
        <f t="shared" ca="1" si="279"/>
        <v>16.862524973877687</v>
      </c>
      <c r="AO151" s="6">
        <v>5</v>
      </c>
      <c r="AP151" s="67">
        <f t="shared" si="299"/>
        <v>0.77854392893890234</v>
      </c>
      <c r="AQ151" s="11">
        <f t="shared" si="280"/>
        <v>0.98330272071837588</v>
      </c>
      <c r="AR151" s="11">
        <f t="shared" si="281"/>
        <v>0.68770269343653956</v>
      </c>
      <c r="AS151" s="11">
        <f t="shared" si="282"/>
        <v>0.69938044403469313</v>
      </c>
      <c r="AT151" s="11">
        <f t="shared" si="283"/>
        <v>510.00962215499999</v>
      </c>
      <c r="AU151" s="11">
        <f t="shared" si="284"/>
        <v>1455.3301939042735</v>
      </c>
      <c r="AV151" s="11">
        <f t="shared" si="285"/>
        <v>1.6623573774260621E-3</v>
      </c>
      <c r="AW151" s="11">
        <f t="shared" si="286"/>
        <v>3.6885478983619832E-7</v>
      </c>
      <c r="AX151" s="41">
        <f t="shared" ca="1" si="287"/>
        <v>1.9304445062189568</v>
      </c>
      <c r="AY151" s="41">
        <f t="shared" ca="1" si="288"/>
        <v>2.6003471030790455</v>
      </c>
      <c r="AZ151" s="41">
        <f t="shared" si="289"/>
        <v>0.30044199110228809</v>
      </c>
      <c r="BA151" s="179">
        <f t="shared" ca="1" si="300"/>
        <v>0.85260833306983186</v>
      </c>
    </row>
    <row r="152" spans="1:53" ht="14.5">
      <c r="A152" s="41">
        <f t="shared" ca="1" si="290"/>
        <v>14889.091824734945</v>
      </c>
      <c r="B152" s="41">
        <f t="shared" ca="1" si="291"/>
        <v>248.15153041224909</v>
      </c>
      <c r="C152" s="41">
        <f t="shared" ca="1" si="291"/>
        <v>4.1358588402041514</v>
      </c>
      <c r="D152" s="41">
        <f t="shared" ca="1" si="292"/>
        <v>13489.370494019318</v>
      </c>
      <c r="E152" s="41" t="e">
        <f t="shared" ca="1" si="293"/>
        <v>#NUM!</v>
      </c>
      <c r="F152" s="7">
        <f t="shared" si="294"/>
        <v>20</v>
      </c>
      <c r="G152" s="41"/>
      <c r="H152" s="7">
        <f t="shared" si="295"/>
        <v>10000</v>
      </c>
      <c r="I152" s="6">
        <v>15</v>
      </c>
      <c r="J152" s="41">
        <f t="shared" si="254"/>
        <v>0.42549951772196798</v>
      </c>
      <c r="K152" s="41">
        <f t="shared" si="255"/>
        <v>471.06589471883535</v>
      </c>
      <c r="L152" s="6">
        <f t="shared" si="296"/>
        <v>235</v>
      </c>
      <c r="M152" s="41">
        <f t="shared" si="256"/>
        <v>279.09900556659443</v>
      </c>
      <c r="N152" s="41">
        <f t="shared" si="257"/>
        <v>184.44110870126713</v>
      </c>
      <c r="O152" s="41">
        <f t="shared" si="258"/>
        <v>2123003.108316463</v>
      </c>
      <c r="P152" s="41">
        <f t="shared" si="259"/>
        <v>13631171.75606169</v>
      </c>
      <c r="Q152" s="41">
        <f t="shared" si="260"/>
        <v>2.8123079706811947E-3</v>
      </c>
      <c r="R152" s="41">
        <f t="shared" si="261"/>
        <v>2.2097807141776935E-2</v>
      </c>
      <c r="S152" s="24">
        <f t="shared" ca="1" si="297"/>
        <v>0</v>
      </c>
      <c r="T152" s="10">
        <f t="shared" ca="1" si="262"/>
        <v>0</v>
      </c>
      <c r="U152" s="41">
        <f t="shared" ca="1" si="263"/>
        <v>0.31798462578920644</v>
      </c>
      <c r="V152" s="41">
        <f t="shared" ca="1" si="264"/>
        <v>2.8483850112458742E-2</v>
      </c>
      <c r="W152" s="41">
        <f t="shared" ca="1" si="265"/>
        <v>11.163681332886982</v>
      </c>
      <c r="X152" s="20">
        <f t="shared" ca="1" si="266"/>
        <v>1208.3263658091987</v>
      </c>
      <c r="Y152" s="41">
        <f t="shared" si="267"/>
        <v>0.59151368135346993</v>
      </c>
      <c r="Z152" s="41">
        <f t="shared" ca="1" si="268"/>
        <v>171.46642887470176</v>
      </c>
      <c r="AA152" s="14">
        <f t="shared" ca="1" si="269"/>
        <v>1208.3263658091987</v>
      </c>
      <c r="AB152" s="14">
        <f t="shared" si="298"/>
        <v>4016.4588107467653</v>
      </c>
      <c r="AC152" s="25">
        <f t="shared" ca="1" si="270"/>
        <v>569201.34062226897</v>
      </c>
      <c r="AD152" s="41">
        <f t="shared" si="271"/>
        <v>1892016.7632857743</v>
      </c>
      <c r="AE152" s="5">
        <f t="shared" ca="1" si="272"/>
        <v>30.084370903446139</v>
      </c>
      <c r="AF152" s="7">
        <f t="shared" ca="1" si="273"/>
        <v>1208.3263658091987</v>
      </c>
      <c r="AG152" s="41">
        <f t="shared" ca="1" si="274"/>
        <v>2808.1324449375666</v>
      </c>
      <c r="AH152" s="41">
        <f t="shared" ca="1" si="275"/>
        <v>1322815.4226635052</v>
      </c>
      <c r="AI152" s="41">
        <f t="shared" ca="1" si="276"/>
        <v>940.73515627755887</v>
      </c>
      <c r="AJ152" s="13">
        <f t="shared" ca="1" si="277"/>
        <v>0</v>
      </c>
      <c r="AK152" s="11"/>
      <c r="AL152" s="6">
        <v>0</v>
      </c>
      <c r="AM152" s="41">
        <f t="shared" si="278"/>
        <v>64.493243046346549</v>
      </c>
      <c r="AN152" s="41">
        <f t="shared" ca="1" si="279"/>
        <v>16.853072521125391</v>
      </c>
      <c r="AO152" s="6">
        <v>5</v>
      </c>
      <c r="AP152" s="67">
        <f t="shared" si="299"/>
        <v>0.77854392893890234</v>
      </c>
      <c r="AQ152" s="11">
        <f t="shared" si="280"/>
        <v>0.98330272071837588</v>
      </c>
      <c r="AR152" s="11">
        <f t="shared" si="281"/>
        <v>0.68770269343653956</v>
      </c>
      <c r="AS152" s="11">
        <f t="shared" si="282"/>
        <v>0.69938044403469313</v>
      </c>
      <c r="AT152" s="11">
        <f t="shared" si="283"/>
        <v>510.00962215499999</v>
      </c>
      <c r="AU152" s="11">
        <f t="shared" si="284"/>
        <v>1455.3301939042735</v>
      </c>
      <c r="AV152" s="11">
        <f t="shared" si="285"/>
        <v>1.6623573774260621E-3</v>
      </c>
      <c r="AW152" s="11">
        <f t="shared" si="286"/>
        <v>3.6885478983619832E-7</v>
      </c>
      <c r="AX152" s="41">
        <f t="shared" ca="1" si="287"/>
        <v>1.9325701650001277</v>
      </c>
      <c r="AY152" s="41">
        <f t="shared" ca="1" si="288"/>
        <v>2.603210407688914</v>
      </c>
      <c r="AZ152" s="41">
        <f t="shared" si="289"/>
        <v>0.30044199110228809</v>
      </c>
      <c r="BA152" s="179">
        <f t="shared" ca="1" si="300"/>
        <v>0.8527739625150188</v>
      </c>
    </row>
    <row r="153" spans="1:53" ht="14.5">
      <c r="A153" s="41">
        <f t="shared" ca="1" si="290"/>
        <v>14953.585067781292</v>
      </c>
      <c r="B153" s="41">
        <f t="shared" ca="1" si="291"/>
        <v>249.22641779635487</v>
      </c>
      <c r="C153" s="41">
        <f t="shared" ca="1" si="291"/>
        <v>4.1537736299392476</v>
      </c>
      <c r="D153" s="41">
        <f t="shared" ca="1" si="292"/>
        <v>13472.517421498193</v>
      </c>
      <c r="E153" s="41" t="e">
        <f t="shared" ca="1" si="293"/>
        <v>#NUM!</v>
      </c>
      <c r="F153" s="7">
        <f t="shared" si="294"/>
        <v>25</v>
      </c>
      <c r="G153" s="41"/>
      <c r="H153" s="7">
        <f t="shared" si="295"/>
        <v>10000</v>
      </c>
      <c r="I153" s="6">
        <v>15</v>
      </c>
      <c r="J153" s="41">
        <f t="shared" si="254"/>
        <v>0.42549951772196798</v>
      </c>
      <c r="K153" s="41">
        <f t="shared" si="255"/>
        <v>471.06589471883535</v>
      </c>
      <c r="L153" s="6">
        <f t="shared" si="296"/>
        <v>235</v>
      </c>
      <c r="M153" s="41">
        <f t="shared" si="256"/>
        <v>279.09900556659443</v>
      </c>
      <c r="N153" s="41">
        <f t="shared" si="257"/>
        <v>184.44110870126713</v>
      </c>
      <c r="O153" s="41">
        <f t="shared" si="258"/>
        <v>2123003.108316463</v>
      </c>
      <c r="P153" s="41">
        <f t="shared" si="259"/>
        <v>13631171.75606169</v>
      </c>
      <c r="Q153" s="41">
        <f t="shared" si="260"/>
        <v>2.8123079706811947E-3</v>
      </c>
      <c r="R153" s="41">
        <f t="shared" si="261"/>
        <v>2.2097807141776935E-2</v>
      </c>
      <c r="S153" s="24">
        <f t="shared" ca="1" si="297"/>
        <v>0</v>
      </c>
      <c r="T153" s="10">
        <f t="shared" ca="1" si="262"/>
        <v>0</v>
      </c>
      <c r="U153" s="41">
        <f t="shared" ca="1" si="263"/>
        <v>0.31758734869155353</v>
      </c>
      <c r="V153" s="41">
        <f t="shared" ca="1" si="264"/>
        <v>2.8467903154141209E-2</v>
      </c>
      <c r="W153" s="41">
        <f t="shared" ca="1" si="265"/>
        <v>11.155979664956613</v>
      </c>
      <c r="X153" s="20">
        <f t="shared" ca="1" si="266"/>
        <v>1207.6498726345239</v>
      </c>
      <c r="Y153" s="41">
        <f t="shared" si="267"/>
        <v>0.59151368135346993</v>
      </c>
      <c r="Z153" s="41">
        <f t="shared" ca="1" si="268"/>
        <v>171.35928379680115</v>
      </c>
      <c r="AA153" s="14">
        <f t="shared" ca="1" si="269"/>
        <v>1207.6498726345239</v>
      </c>
      <c r="AB153" s="14">
        <f t="shared" si="298"/>
        <v>4016.4588107467653</v>
      </c>
      <c r="AC153" s="25">
        <f t="shared" ca="1" si="270"/>
        <v>568882.6677596696</v>
      </c>
      <c r="AD153" s="41">
        <f t="shared" si="271"/>
        <v>1892016.7632857743</v>
      </c>
      <c r="AE153" s="5">
        <f t="shared" ca="1" si="272"/>
        <v>30.067527878120831</v>
      </c>
      <c r="AF153" s="7">
        <f t="shared" ca="1" si="273"/>
        <v>1207.6498726345239</v>
      </c>
      <c r="AG153" s="41">
        <f t="shared" ca="1" si="274"/>
        <v>2808.8089381122413</v>
      </c>
      <c r="AH153" s="41">
        <f t="shared" ca="1" si="275"/>
        <v>1323134.0955261048</v>
      </c>
      <c r="AI153" s="41">
        <f t="shared" ca="1" si="276"/>
        <v>940.20847662344727</v>
      </c>
      <c r="AJ153" s="13">
        <f t="shared" ca="1" si="277"/>
        <v>0</v>
      </c>
      <c r="AK153" s="11"/>
      <c r="AL153" s="6">
        <v>0</v>
      </c>
      <c r="AM153" s="41">
        <f t="shared" si="278"/>
        <v>64.493243046346549</v>
      </c>
      <c r="AN153" s="41">
        <f t="shared" ca="1" si="279"/>
        <v>16.843637165864227</v>
      </c>
      <c r="AO153" s="6">
        <v>5</v>
      </c>
      <c r="AP153" s="67">
        <f>0.692 + 0.298*AZ153 + -0.0331*AZ153^2</f>
        <v>0.77854392893890234</v>
      </c>
      <c r="AQ153" s="11">
        <f t="shared" si="280"/>
        <v>0.98330272071837588</v>
      </c>
      <c r="AR153" s="11">
        <f t="shared" si="281"/>
        <v>0.68770269343653956</v>
      </c>
      <c r="AS153" s="11">
        <f t="shared" si="282"/>
        <v>0.69938044403469313</v>
      </c>
      <c r="AT153" s="11">
        <f t="shared" si="283"/>
        <v>510.00962215499999</v>
      </c>
      <c r="AU153" s="11">
        <f t="shared" si="284"/>
        <v>1455.3301939042735</v>
      </c>
      <c r="AV153" s="11">
        <f t="shared" si="285"/>
        <v>1.6623573774260621E-3</v>
      </c>
      <c r="AW153" s="11">
        <f t="shared" si="286"/>
        <v>3.6885478983619832E-7</v>
      </c>
      <c r="AX153" s="41">
        <f t="shared" ca="1" si="287"/>
        <v>1.9347003366024536</v>
      </c>
      <c r="AY153" s="41">
        <f t="shared" ca="1" si="288"/>
        <v>2.6060797911585367</v>
      </c>
      <c r="AZ153" s="41">
        <f t="shared" si="289"/>
        <v>0.30044199110228809</v>
      </c>
      <c r="BA153" s="179">
        <f t="shared" ca="1" si="300"/>
        <v>0.8529395494301687</v>
      </c>
    </row>
    <row r="154" spans="1:53" ht="14.5">
      <c r="A154" s="41">
        <f t="shared" ca="1" si="290"/>
        <v>15018.078310827639</v>
      </c>
      <c r="B154" s="41">
        <f t="shared" ca="1" si="291"/>
        <v>250.30130518046064</v>
      </c>
      <c r="C154" s="41">
        <f t="shared" ca="1" si="291"/>
        <v>4.1716884196743438</v>
      </c>
      <c r="D154" s="41">
        <f t="shared" ca="1" si="292"/>
        <v>13455.673784332328</v>
      </c>
      <c r="E154" s="41" t="e">
        <f t="shared" ca="1" si="293"/>
        <v>#NUM!</v>
      </c>
      <c r="F154" s="7">
        <f t="shared" si="294"/>
        <v>30</v>
      </c>
      <c r="G154" s="41"/>
      <c r="H154" s="7">
        <f t="shared" si="295"/>
        <v>10000</v>
      </c>
      <c r="I154" s="6">
        <v>15</v>
      </c>
      <c r="J154" s="41">
        <f t="shared" si="254"/>
        <v>0.42549951772196798</v>
      </c>
      <c r="K154" s="41">
        <f t="shared" si="255"/>
        <v>471.06589471883535</v>
      </c>
      <c r="L154" s="6">
        <f t="shared" si="296"/>
        <v>235</v>
      </c>
      <c r="M154" s="41">
        <f t="shared" si="256"/>
        <v>279.09900556659443</v>
      </c>
      <c r="N154" s="41">
        <f t="shared" si="257"/>
        <v>184.44110870126713</v>
      </c>
      <c r="O154" s="41">
        <f t="shared" si="258"/>
        <v>2123003.108316463</v>
      </c>
      <c r="P154" s="41">
        <f t="shared" si="259"/>
        <v>13631171.75606169</v>
      </c>
      <c r="Q154" s="41">
        <f t="shared" si="260"/>
        <v>2.8123079706811947E-3</v>
      </c>
      <c r="R154" s="41">
        <f t="shared" si="261"/>
        <v>2.2097807141776935E-2</v>
      </c>
      <c r="S154" s="24">
        <f t="shared" ca="1" si="297"/>
        <v>0</v>
      </c>
      <c r="T154" s="10">
        <f t="shared" ca="1" si="262"/>
        <v>0</v>
      </c>
      <c r="U154" s="41">
        <f t="shared" ca="1" si="263"/>
        <v>0.317190294013317</v>
      </c>
      <c r="V154" s="41">
        <f t="shared" ca="1" si="264"/>
        <v>2.8451985043079966E-2</v>
      </c>
      <c r="W154" s="41">
        <f t="shared" ca="1" si="265"/>
        <v>11.148265877865818</v>
      </c>
      <c r="X154" s="20">
        <f t="shared" ca="1" si="266"/>
        <v>1206.9746032024339</v>
      </c>
      <c r="Y154" s="41">
        <f t="shared" si="267"/>
        <v>0.59151368135346993</v>
      </c>
      <c r="Z154" s="41">
        <f t="shared" ca="1" si="268"/>
        <v>171.25213172534765</v>
      </c>
      <c r="AA154" s="14">
        <f t="shared" ca="1" si="269"/>
        <v>1206.9746032024339</v>
      </c>
      <c r="AB154" s="14">
        <f t="shared" si="298"/>
        <v>4016.4588107467653</v>
      </c>
      <c r="AC154" s="25">
        <f t="shared" ca="1" si="270"/>
        <v>568564.57136046584</v>
      </c>
      <c r="AD154" s="41">
        <f t="shared" si="271"/>
        <v>1892016.7632857743</v>
      </c>
      <c r="AE154" s="5">
        <f t="shared" ca="1" si="272"/>
        <v>30.050715320992559</v>
      </c>
      <c r="AF154" s="7">
        <f t="shared" ca="1" si="273"/>
        <v>1206.9746032024339</v>
      </c>
      <c r="AG154" s="41">
        <f t="shared" ca="1" si="274"/>
        <v>2809.4842075443312</v>
      </c>
      <c r="AH154" s="41">
        <f t="shared" ca="1" si="275"/>
        <v>1323452.1919253084</v>
      </c>
      <c r="AI154" s="41">
        <f t="shared" ca="1" si="276"/>
        <v>939.68274970669552</v>
      </c>
      <c r="AJ154" s="13">
        <f t="shared" ca="1" si="277"/>
        <v>0</v>
      </c>
      <c r="AK154" s="11"/>
      <c r="AL154" s="6">
        <v>0</v>
      </c>
      <c r="AM154" s="41">
        <f t="shared" si="278"/>
        <v>64.493243046346549</v>
      </c>
      <c r="AN154" s="41">
        <f t="shared" ca="1" si="279"/>
        <v>16.834218878692539</v>
      </c>
      <c r="AO154" s="6">
        <v>5</v>
      </c>
      <c r="AP154" s="67">
        <f t="shared" si="299"/>
        <v>0.77854392893890234</v>
      </c>
      <c r="AQ154" s="11">
        <f t="shared" si="280"/>
        <v>0.98330272071837588</v>
      </c>
      <c r="AR154" s="11">
        <f t="shared" si="281"/>
        <v>0.68770269343653956</v>
      </c>
      <c r="AS154" s="11">
        <f t="shared" si="282"/>
        <v>0.69938044403469313</v>
      </c>
      <c r="AT154" s="11">
        <f t="shared" si="283"/>
        <v>510.00962215499999</v>
      </c>
      <c r="AU154" s="11">
        <f t="shared" si="284"/>
        <v>1455.3301939042735</v>
      </c>
      <c r="AV154" s="11">
        <f t="shared" si="285"/>
        <v>1.6623573774260621E-3</v>
      </c>
      <c r="AW154" s="11">
        <f t="shared" si="286"/>
        <v>3.6885478983619832E-7</v>
      </c>
      <c r="AX154" s="41">
        <f t="shared" ca="1" si="287"/>
        <v>1.936835034901925</v>
      </c>
      <c r="AY154" s="41">
        <f t="shared" ca="1" si="288"/>
        <v>2.6089552721791494</v>
      </c>
      <c r="AZ154" s="41">
        <f t="shared" si="289"/>
        <v>0.30044199110228809</v>
      </c>
      <c r="BA154" s="179">
        <f t="shared" ca="1" si="300"/>
        <v>0.85310509332322115</v>
      </c>
    </row>
    <row r="155" spans="1:53" ht="14.5">
      <c r="A155" s="41">
        <f t="shared" ca="1" si="290"/>
        <v>15082.571553873986</v>
      </c>
      <c r="B155" s="41">
        <f t="shared" ca="1" si="291"/>
        <v>251.37619256456642</v>
      </c>
      <c r="C155" s="41">
        <f t="shared" ca="1" si="291"/>
        <v>4.18960320940944</v>
      </c>
      <c r="D155" s="41">
        <f t="shared" ca="1" si="292"/>
        <v>13438.839565453636</v>
      </c>
      <c r="E155" s="41" t="e">
        <f t="shared" ca="1" si="293"/>
        <v>#NUM!</v>
      </c>
      <c r="F155" s="7">
        <f t="shared" si="294"/>
        <v>35</v>
      </c>
      <c r="G155" s="41"/>
      <c r="H155" s="7">
        <f t="shared" si="295"/>
        <v>10000</v>
      </c>
      <c r="I155" s="6">
        <v>15</v>
      </c>
      <c r="J155" s="41">
        <f t="shared" si="254"/>
        <v>0.42549951772196798</v>
      </c>
      <c r="K155" s="41">
        <f t="shared" si="255"/>
        <v>471.06589471883535</v>
      </c>
      <c r="L155" s="6">
        <f t="shared" si="296"/>
        <v>235</v>
      </c>
      <c r="M155" s="41">
        <f t="shared" si="256"/>
        <v>279.09900556659443</v>
      </c>
      <c r="N155" s="41">
        <f t="shared" si="257"/>
        <v>184.44110870126713</v>
      </c>
      <c r="O155" s="41">
        <f t="shared" si="258"/>
        <v>2123003.108316463</v>
      </c>
      <c r="P155" s="41">
        <f t="shared" si="259"/>
        <v>13631171.75606169</v>
      </c>
      <c r="Q155" s="41">
        <f t="shared" si="260"/>
        <v>2.8123079706811947E-3</v>
      </c>
      <c r="R155" s="41">
        <f t="shared" si="261"/>
        <v>2.2097807141776935E-2</v>
      </c>
      <c r="S155" s="24">
        <f t="shared" ca="1" si="297"/>
        <v>0</v>
      </c>
      <c r="T155" s="10">
        <f t="shared" ca="1" si="262"/>
        <v>0</v>
      </c>
      <c r="U155" s="41">
        <f t="shared" ca="1" si="263"/>
        <v>0.31679346135215108</v>
      </c>
      <c r="V155" s="41">
        <f t="shared" ca="1" si="264"/>
        <v>2.8436095729709805E-2</v>
      </c>
      <c r="W155" s="41">
        <f t="shared" ca="1" si="265"/>
        <v>11.140539980007446</v>
      </c>
      <c r="X155" s="20">
        <f t="shared" ca="1" si="266"/>
        <v>1206.3005554103001</v>
      </c>
      <c r="Y155" s="41">
        <f t="shared" si="267"/>
        <v>0.59151368135346993</v>
      </c>
      <c r="Z155" s="41">
        <f t="shared" ca="1" si="268"/>
        <v>171.1449725385236</v>
      </c>
      <c r="AA155" s="14">
        <f t="shared" ca="1" si="269"/>
        <v>1206.3005554103001</v>
      </c>
      <c r="AB155" s="14">
        <f t="shared" si="298"/>
        <v>4016.4588107467653</v>
      </c>
      <c r="AC155" s="25">
        <f t="shared" ca="1" si="270"/>
        <v>568247.05043418112</v>
      </c>
      <c r="AD155" s="41">
        <f t="shared" si="271"/>
        <v>1892016.7632857743</v>
      </c>
      <c r="AE155" s="5">
        <f t="shared" ca="1" si="272"/>
        <v>30.033933179711035</v>
      </c>
      <c r="AF155" s="7">
        <f t="shared" ca="1" si="273"/>
        <v>1206.3005554103001</v>
      </c>
      <c r="AG155" s="41">
        <f t="shared" ca="1" si="274"/>
        <v>2810.1582553364651</v>
      </c>
      <c r="AH155" s="41">
        <f t="shared" ca="1" si="275"/>
        <v>1323769.7128515933</v>
      </c>
      <c r="AI155" s="41">
        <f t="shared" ca="1" si="276"/>
        <v>939.15797389031513</v>
      </c>
      <c r="AJ155" s="13">
        <f t="shared" ca="1" si="277"/>
        <v>0</v>
      </c>
      <c r="AK155" s="11"/>
      <c r="AL155" s="6">
        <v>0</v>
      </c>
      <c r="AM155" s="41">
        <f t="shared" si="278"/>
        <v>64.493243046346549</v>
      </c>
      <c r="AN155" s="41">
        <f t="shared" ca="1" si="279"/>
        <v>16.82481763028402</v>
      </c>
      <c r="AO155" s="6">
        <v>5</v>
      </c>
      <c r="AP155" s="67">
        <f t="shared" si="299"/>
        <v>0.77854392893890234</v>
      </c>
      <c r="AQ155" s="11">
        <f t="shared" si="280"/>
        <v>0.98330272071837588</v>
      </c>
      <c r="AR155" s="11">
        <f t="shared" si="281"/>
        <v>0.68770269343653956</v>
      </c>
      <c r="AS155" s="11">
        <f t="shared" si="282"/>
        <v>0.69938044403469313</v>
      </c>
      <c r="AT155" s="11">
        <f t="shared" si="283"/>
        <v>510.00962215499999</v>
      </c>
      <c r="AU155" s="11">
        <f t="shared" si="284"/>
        <v>1455.3301939042735</v>
      </c>
      <c r="AV155" s="11">
        <f t="shared" si="285"/>
        <v>1.6623573774260621E-3</v>
      </c>
      <c r="AW155" s="11">
        <f t="shared" si="286"/>
        <v>3.6885478983619832E-7</v>
      </c>
      <c r="AX155" s="41">
        <f t="shared" ca="1" si="287"/>
        <v>1.9389742738346119</v>
      </c>
      <c r="AY155" s="41">
        <f t="shared" ca="1" si="288"/>
        <v>2.6118368695229144</v>
      </c>
      <c r="AZ155" s="41">
        <f t="shared" si="289"/>
        <v>0.30044199110228809</v>
      </c>
      <c r="BA155" s="179">
        <f t="shared" ca="1" si="300"/>
        <v>0.85327059370268055</v>
      </c>
    </row>
    <row r="156" spans="1:53" ht="14.5">
      <c r="A156" s="41">
        <f t="shared" ca="1" si="290"/>
        <v>15147.064796920333</v>
      </c>
      <c r="B156" s="41">
        <f t="shared" ca="1" si="291"/>
        <v>252.4510799486722</v>
      </c>
      <c r="C156" s="41">
        <f t="shared" ca="1" si="291"/>
        <v>4.2075179991445371</v>
      </c>
      <c r="D156" s="41">
        <f t="shared" ca="1" si="292"/>
        <v>13422.014747823352</v>
      </c>
      <c r="E156" s="41" t="e">
        <f t="shared" ca="1" si="293"/>
        <v>#NUM!</v>
      </c>
      <c r="F156" s="7">
        <f t="shared" si="294"/>
        <v>40</v>
      </c>
      <c r="G156" s="41"/>
      <c r="H156" s="7">
        <f t="shared" si="295"/>
        <v>10000</v>
      </c>
      <c r="I156" s="6">
        <v>15</v>
      </c>
      <c r="J156" s="41">
        <f t="shared" si="254"/>
        <v>0.42549951772196798</v>
      </c>
      <c r="K156" s="41">
        <f t="shared" si="255"/>
        <v>471.06589471883535</v>
      </c>
      <c r="L156" s="6">
        <f t="shared" si="296"/>
        <v>235</v>
      </c>
      <c r="M156" s="41">
        <f t="shared" si="256"/>
        <v>279.09900556659443</v>
      </c>
      <c r="N156" s="41">
        <f t="shared" si="257"/>
        <v>184.44110870126713</v>
      </c>
      <c r="O156" s="41">
        <f t="shared" si="258"/>
        <v>2123003.108316463</v>
      </c>
      <c r="P156" s="41">
        <f t="shared" si="259"/>
        <v>13631171.75606169</v>
      </c>
      <c r="Q156" s="41">
        <f t="shared" si="260"/>
        <v>2.8123079706811947E-3</v>
      </c>
      <c r="R156" s="41">
        <f t="shared" si="261"/>
        <v>2.2097807141776935E-2</v>
      </c>
      <c r="S156" s="24">
        <f t="shared" ca="1" si="297"/>
        <v>0</v>
      </c>
      <c r="T156" s="10">
        <f t="shared" ca="1" si="262"/>
        <v>0</v>
      </c>
      <c r="U156" s="41">
        <f t="shared" ca="1" si="263"/>
        <v>0.31639685030640141</v>
      </c>
      <c r="V156" s="41">
        <f t="shared" ca="1" si="264"/>
        <v>2.8420235164592512E-2</v>
      </c>
      <c r="W156" s="41">
        <f t="shared" ca="1" si="265"/>
        <v>11.132801979787486</v>
      </c>
      <c r="X156" s="20">
        <f t="shared" ca="1" si="266"/>
        <v>1205.6277271608819</v>
      </c>
      <c r="Y156" s="41">
        <f t="shared" si="267"/>
        <v>0.59151368135346993</v>
      </c>
      <c r="Z156" s="41">
        <f t="shared" ca="1" si="268"/>
        <v>171.03780611439197</v>
      </c>
      <c r="AA156" s="14">
        <f t="shared" ca="1" si="269"/>
        <v>1205.6277271608819</v>
      </c>
      <c r="AB156" s="14">
        <f t="shared" si="298"/>
        <v>4016.4588107467653</v>
      </c>
      <c r="AC156" s="25">
        <f t="shared" ca="1" si="270"/>
        <v>567930.10399287671</v>
      </c>
      <c r="AD156" s="41">
        <f t="shared" si="271"/>
        <v>1892016.7632857743</v>
      </c>
      <c r="AE156" s="5">
        <f t="shared" ca="1" si="272"/>
        <v>30.017181402060089</v>
      </c>
      <c r="AF156" s="7">
        <f t="shared" ca="1" si="273"/>
        <v>1205.6277271608819</v>
      </c>
      <c r="AG156" s="41">
        <f t="shared" ca="1" si="274"/>
        <v>2810.8310835858833</v>
      </c>
      <c r="AH156" s="41">
        <f t="shared" ca="1" si="275"/>
        <v>1324086.6592928977</v>
      </c>
      <c r="AI156" s="41">
        <f t="shared" ca="1" si="276"/>
        <v>938.63414754151199</v>
      </c>
      <c r="AJ156" s="13">
        <f t="shared" ca="1" si="277"/>
        <v>0</v>
      </c>
      <c r="AK156" s="11"/>
      <c r="AL156" s="6">
        <v>0</v>
      </c>
      <c r="AM156" s="41">
        <f t="shared" si="278"/>
        <v>64.493243046346549</v>
      </c>
      <c r="AN156" s="41">
        <f t="shared" ca="1" si="279"/>
        <v>16.815433391387508</v>
      </c>
      <c r="AO156" s="6">
        <v>5</v>
      </c>
      <c r="AP156" s="67">
        <f t="shared" si="299"/>
        <v>0.77854392893890234</v>
      </c>
      <c r="AQ156" s="11">
        <f t="shared" si="280"/>
        <v>0.98330272071837588</v>
      </c>
      <c r="AR156" s="11">
        <f t="shared" si="281"/>
        <v>0.68770269343653956</v>
      </c>
      <c r="AS156" s="11">
        <f t="shared" si="282"/>
        <v>0.69938044403469313</v>
      </c>
      <c r="AT156" s="11">
        <f t="shared" si="283"/>
        <v>510.00962215499999</v>
      </c>
      <c r="AU156" s="11">
        <f t="shared" si="284"/>
        <v>1455.3301939042735</v>
      </c>
      <c r="AV156" s="11">
        <f t="shared" si="285"/>
        <v>1.6623573774260621E-3</v>
      </c>
      <c r="AW156" s="11">
        <f t="shared" si="286"/>
        <v>3.6885478983619832E-7</v>
      </c>
      <c r="AX156" s="41">
        <f t="shared" ca="1" si="287"/>
        <v>1.9411180673969737</v>
      </c>
      <c r="AY156" s="41">
        <f t="shared" ca="1" si="288"/>
        <v>2.6147246020433408</v>
      </c>
      <c r="AZ156" s="41">
        <f t="shared" si="289"/>
        <v>0.30044199110228809</v>
      </c>
      <c r="BA156" s="179">
        <f t="shared" ca="1" si="300"/>
        <v>0.85343605007762224</v>
      </c>
    </row>
    <row r="157" spans="1:53" ht="14.5">
      <c r="A157" s="41">
        <f t="shared" ca="1" si="290"/>
        <v>15211.55803996668</v>
      </c>
      <c r="B157" s="41">
        <f t="shared" ca="1" si="291"/>
        <v>253.52596733277798</v>
      </c>
      <c r="C157" s="41">
        <f t="shared" ca="1" si="291"/>
        <v>4.2254327888796333</v>
      </c>
      <c r="D157" s="41">
        <f t="shared" ca="1" si="292"/>
        <v>13405.199314431964</v>
      </c>
      <c r="E157" s="41" t="e">
        <f t="shared" ca="1" si="293"/>
        <v>#NUM!</v>
      </c>
      <c r="F157" s="7">
        <f t="shared" si="294"/>
        <v>45</v>
      </c>
      <c r="G157" s="41"/>
      <c r="H157" s="7">
        <f t="shared" si="295"/>
        <v>10000</v>
      </c>
      <c r="I157" s="6">
        <v>15</v>
      </c>
      <c r="J157" s="41">
        <f t="shared" si="254"/>
        <v>0.42549951772196798</v>
      </c>
      <c r="K157" s="41">
        <f t="shared" si="255"/>
        <v>471.06589471883535</v>
      </c>
      <c r="L157" s="6">
        <f t="shared" si="296"/>
        <v>235</v>
      </c>
      <c r="M157" s="41">
        <f t="shared" si="256"/>
        <v>279.09900556659443</v>
      </c>
      <c r="N157" s="41">
        <f t="shared" si="257"/>
        <v>184.44110870126713</v>
      </c>
      <c r="O157" s="41">
        <f t="shared" si="258"/>
        <v>2123003.108316463</v>
      </c>
      <c r="P157" s="41">
        <f t="shared" si="259"/>
        <v>13631171.75606169</v>
      </c>
      <c r="Q157" s="41">
        <f t="shared" si="260"/>
        <v>2.8123079706811947E-3</v>
      </c>
      <c r="R157" s="41">
        <f t="shared" si="261"/>
        <v>2.2097807141776935E-2</v>
      </c>
      <c r="S157" s="24">
        <f t="shared" ca="1" si="297"/>
        <v>0</v>
      </c>
      <c r="T157" s="10">
        <f t="shared" ca="1" si="262"/>
        <v>0</v>
      </c>
      <c r="U157" s="41">
        <f t="shared" ca="1" si="263"/>
        <v>0.31600046047510316</v>
      </c>
      <c r="V157" s="41">
        <f t="shared" ca="1" si="264"/>
        <v>2.8404403298416533E-2</v>
      </c>
      <c r="W157" s="41">
        <f t="shared" ca="1" si="265"/>
        <v>11.125051885625048</v>
      </c>
      <c r="X157" s="20">
        <f t="shared" ca="1" si="266"/>
        <v>1204.9561163623111</v>
      </c>
      <c r="Y157" s="41">
        <f t="shared" si="267"/>
        <v>0.59151368135346993</v>
      </c>
      <c r="Z157" s="41">
        <f t="shared" ca="1" si="268"/>
        <v>170.93063233089558</v>
      </c>
      <c r="AA157" s="14">
        <f t="shared" ca="1" si="269"/>
        <v>1204.9561163623111</v>
      </c>
      <c r="AB157" s="14">
        <f t="shared" si="298"/>
        <v>4016.4588107467653</v>
      </c>
      <c r="AC157" s="25">
        <f t="shared" ca="1" si="270"/>
        <v>567613.73105114524</v>
      </c>
      <c r="AD157" s="41">
        <f t="shared" si="271"/>
        <v>1892016.7632857743</v>
      </c>
      <c r="AE157" s="5">
        <f t="shared" ca="1" si="272"/>
        <v>30.00045993595732</v>
      </c>
      <c r="AF157" s="7">
        <f t="shared" ca="1" si="273"/>
        <v>1204.9561163623111</v>
      </c>
      <c r="AG157" s="41">
        <f t="shared" ca="1" si="274"/>
        <v>2811.5026943844541</v>
      </c>
      <c r="AH157" s="41">
        <f t="shared" ca="1" si="275"/>
        <v>1324403.0322346292</v>
      </c>
      <c r="AI157" s="41">
        <f t="shared" ca="1" si="276"/>
        <v>938.11126903167496</v>
      </c>
      <c r="AJ157" s="13">
        <f t="shared" ca="1" si="277"/>
        <v>0</v>
      </c>
      <c r="AK157" s="11"/>
      <c r="AL157" s="6">
        <v>0</v>
      </c>
      <c r="AM157" s="41">
        <f t="shared" si="278"/>
        <v>64.493243046346549</v>
      </c>
      <c r="AN157" s="41">
        <f t="shared" ca="1" si="279"/>
        <v>16.806066132826778</v>
      </c>
      <c r="AO157" s="6">
        <v>5</v>
      </c>
      <c r="AP157" s="67">
        <f t="shared" si="299"/>
        <v>0.77854392893890234</v>
      </c>
      <c r="AQ157" s="11">
        <f t="shared" si="280"/>
        <v>0.98330272071837588</v>
      </c>
      <c r="AR157" s="11">
        <f t="shared" si="281"/>
        <v>0.68770269343653956</v>
      </c>
      <c r="AS157" s="11">
        <f t="shared" si="282"/>
        <v>0.69938044403469313</v>
      </c>
      <c r="AT157" s="11">
        <f t="shared" si="283"/>
        <v>510.00962215499999</v>
      </c>
      <c r="AU157" s="11">
        <f t="shared" si="284"/>
        <v>1455.3301939042735</v>
      </c>
      <c r="AV157" s="11">
        <f t="shared" si="285"/>
        <v>1.6623573774260621E-3</v>
      </c>
      <c r="AW157" s="11">
        <f t="shared" si="286"/>
        <v>3.6885478983619832E-7</v>
      </c>
      <c r="AX157" s="41">
        <f t="shared" ca="1" si="287"/>
        <v>1.9432664296461815</v>
      </c>
      <c r="AY157" s="41">
        <f t="shared" ca="1" si="288"/>
        <v>2.6176184886757174</v>
      </c>
      <c r="AZ157" s="41">
        <f t="shared" si="289"/>
        <v>0.30044199110228809</v>
      </c>
      <c r="BA157" s="179">
        <f t="shared" ca="1" si="300"/>
        <v>0.85360146195769493</v>
      </c>
    </row>
    <row r="158" spans="1:53" ht="14.5">
      <c r="A158" s="41">
        <f t="shared" ca="1" si="290"/>
        <v>15276.051283013026</v>
      </c>
      <c r="B158" s="41">
        <f t="shared" ca="1" si="291"/>
        <v>254.60085471688379</v>
      </c>
      <c r="C158" s="41">
        <f t="shared" ca="1" si="291"/>
        <v>4.2433475786147294</v>
      </c>
      <c r="D158" s="41">
        <f t="shared" ca="1" si="292"/>
        <v>13388.393248299137</v>
      </c>
      <c r="E158" s="41" t="e">
        <f t="shared" ca="1" si="293"/>
        <v>#NUM!</v>
      </c>
      <c r="F158" s="7">
        <f t="shared" si="294"/>
        <v>50</v>
      </c>
      <c r="G158" s="41"/>
      <c r="H158" s="7">
        <f t="shared" si="295"/>
        <v>10000</v>
      </c>
      <c r="I158" s="6">
        <v>15</v>
      </c>
      <c r="J158" s="41">
        <f t="shared" si="254"/>
        <v>0.42549951772196798</v>
      </c>
      <c r="K158" s="41">
        <f t="shared" si="255"/>
        <v>471.06589471883535</v>
      </c>
      <c r="L158" s="6">
        <f t="shared" si="296"/>
        <v>235</v>
      </c>
      <c r="M158" s="41">
        <f t="shared" si="256"/>
        <v>279.09900556659443</v>
      </c>
      <c r="N158" s="41">
        <f t="shared" si="257"/>
        <v>184.44110870126713</v>
      </c>
      <c r="O158" s="41">
        <f t="shared" si="258"/>
        <v>2123003.108316463</v>
      </c>
      <c r="P158" s="41">
        <f t="shared" si="259"/>
        <v>13631171.75606169</v>
      </c>
      <c r="Q158" s="41">
        <f t="shared" si="260"/>
        <v>2.8123079706811947E-3</v>
      </c>
      <c r="R158" s="41">
        <f t="shared" si="261"/>
        <v>2.2097807141776935E-2</v>
      </c>
      <c r="S158" s="24">
        <f t="shared" ca="1" si="297"/>
        <v>-9.7304820180192913E-16</v>
      </c>
      <c r="T158" s="10">
        <f t="shared" ca="1" si="262"/>
        <v>-9.7304820180192913E-16</v>
      </c>
      <c r="U158" s="41">
        <f t="shared" ca="1" si="263"/>
        <v>0.3156042914579793</v>
      </c>
      <c r="V158" s="41">
        <f t="shared" ca="1" si="264"/>
        <v>2.83886000819966E-2</v>
      </c>
      <c r="W158" s="41">
        <f t="shared" ca="1" si="265"/>
        <v>11.117289705952366</v>
      </c>
      <c r="X158" s="20">
        <f t="shared" ca="1" si="266"/>
        <v>1204.2857209280774</v>
      </c>
      <c r="Y158" s="41">
        <f t="shared" si="267"/>
        <v>0.59151368135346993</v>
      </c>
      <c r="Z158" s="41">
        <f t="shared" ca="1" si="268"/>
        <v>170.82345106585606</v>
      </c>
      <c r="AA158" s="14">
        <f t="shared" ca="1" si="269"/>
        <v>1204.2857209280771</v>
      </c>
      <c r="AB158" s="14">
        <f t="shared" si="298"/>
        <v>4016.4588107467653</v>
      </c>
      <c r="AC158" s="25">
        <f t="shared" ca="1" si="270"/>
        <v>567297.93062610226</v>
      </c>
      <c r="AD158" s="41">
        <f t="shared" si="271"/>
        <v>1892016.7632857743</v>
      </c>
      <c r="AE158" s="5">
        <f t="shared" ca="1" si="272"/>
        <v>29.983768729453715</v>
      </c>
      <c r="AF158" s="7">
        <f t="shared" ca="1" si="273"/>
        <v>1204.2857209280771</v>
      </c>
      <c r="AG158" s="41">
        <f t="shared" ca="1" si="274"/>
        <v>2812.1730898186879</v>
      </c>
      <c r="AH158" s="41">
        <f t="shared" ca="1" si="275"/>
        <v>1324718.832659672</v>
      </c>
      <c r="AI158" s="41">
        <f t="shared" ca="1" si="276"/>
        <v>937.58933673636363</v>
      </c>
      <c r="AJ158" s="13">
        <f t="shared" ca="1" si="277"/>
        <v>-8.000062581951961E-15</v>
      </c>
      <c r="AK158" s="11"/>
      <c r="AL158" s="6">
        <v>0</v>
      </c>
      <c r="AM158" s="41">
        <f t="shared" si="278"/>
        <v>64.493243046346549</v>
      </c>
      <c r="AN158" s="41">
        <f t="shared" ca="1" si="279"/>
        <v>16.796715825500321</v>
      </c>
      <c r="AO158" s="6">
        <v>5</v>
      </c>
      <c r="AP158" s="67">
        <f t="shared" si="299"/>
        <v>0.77854392893890234</v>
      </c>
      <c r="AQ158" s="11">
        <f t="shared" si="280"/>
        <v>0.98330272071837588</v>
      </c>
      <c r="AR158" s="11">
        <f t="shared" si="281"/>
        <v>0.68770269343653956</v>
      </c>
      <c r="AS158" s="11">
        <f t="shared" si="282"/>
        <v>0.69938044403469313</v>
      </c>
      <c r="AT158" s="11">
        <f t="shared" si="283"/>
        <v>510.00962215499999</v>
      </c>
      <c r="AU158" s="11">
        <f t="shared" si="284"/>
        <v>1455.3301939042735</v>
      </c>
      <c r="AV158" s="11">
        <f t="shared" si="285"/>
        <v>1.6623573774260621E-3</v>
      </c>
      <c r="AW158" s="11">
        <f t="shared" si="286"/>
        <v>3.6885478983619832E-7</v>
      </c>
      <c r="AX158" s="41">
        <f t="shared" ca="1" si="287"/>
        <v>1.9454193747004296</v>
      </c>
      <c r="AY158" s="41">
        <f t="shared" ca="1" si="288"/>
        <v>2.6205185484375324</v>
      </c>
      <c r="AZ158" s="41">
        <f t="shared" si="289"/>
        <v>0.30044199110228809</v>
      </c>
      <c r="BA158" s="179">
        <f t="shared" ca="1" si="300"/>
        <v>0.85376682885312616</v>
      </c>
    </row>
    <row r="159" spans="1:53" ht="14.5">
      <c r="A159" s="41">
        <f t="shared" ca="1" si="290"/>
        <v>15340.544526059373</v>
      </c>
      <c r="B159" s="41">
        <f t="shared" ca="1" si="291"/>
        <v>255.67574210098957</v>
      </c>
      <c r="C159" s="41">
        <f t="shared" ca="1" si="291"/>
        <v>4.2612623683498265</v>
      </c>
      <c r="D159" s="41">
        <f t="shared" ca="1" si="292"/>
        <v>13371.596532473637</v>
      </c>
      <c r="E159" s="41" t="e">
        <f t="shared" ca="1" si="293"/>
        <v>#NUM!</v>
      </c>
      <c r="F159" s="7">
        <f t="shared" si="294"/>
        <v>55</v>
      </c>
      <c r="G159" s="41"/>
      <c r="H159" s="7">
        <f t="shared" si="295"/>
        <v>10000</v>
      </c>
      <c r="I159" s="6">
        <v>15</v>
      </c>
      <c r="J159" s="41">
        <f t="shared" si="254"/>
        <v>0.42549951772196798</v>
      </c>
      <c r="K159" s="41">
        <f t="shared" si="255"/>
        <v>471.06589471883535</v>
      </c>
      <c r="L159" s="6">
        <f t="shared" si="296"/>
        <v>235</v>
      </c>
      <c r="M159" s="41">
        <f t="shared" si="256"/>
        <v>279.09900556659443</v>
      </c>
      <c r="N159" s="41">
        <f t="shared" si="257"/>
        <v>184.44110870126713</v>
      </c>
      <c r="O159" s="41">
        <f t="shared" si="258"/>
        <v>2123003.108316463</v>
      </c>
      <c r="P159" s="41">
        <f t="shared" si="259"/>
        <v>13631171.75606169</v>
      </c>
      <c r="Q159" s="41">
        <f t="shared" si="260"/>
        <v>2.8123079706811947E-3</v>
      </c>
      <c r="R159" s="41">
        <f t="shared" si="261"/>
        <v>2.2097807141776935E-2</v>
      </c>
      <c r="S159" s="24">
        <f t="shared" ca="1" si="297"/>
        <v>0</v>
      </c>
      <c r="T159" s="10">
        <f t="shared" ca="1" si="262"/>
        <v>0</v>
      </c>
      <c r="U159" s="41">
        <f t="shared" ca="1" si="263"/>
        <v>0.31520834285543869</v>
      </c>
      <c r="V159" s="41">
        <f t="shared" ca="1" si="264"/>
        <v>2.8372825466273368E-2</v>
      </c>
      <c r="W159" s="41">
        <f t="shared" ca="1" si="265"/>
        <v>11.109515449214786</v>
      </c>
      <c r="X159" s="20">
        <f t="shared" ca="1" si="266"/>
        <v>1203.6165387770116</v>
      </c>
      <c r="Y159" s="41">
        <f t="shared" si="267"/>
        <v>0.59151368135346993</v>
      </c>
      <c r="Z159" s="41">
        <f t="shared" ca="1" si="268"/>
        <v>170.71626219697308</v>
      </c>
      <c r="AA159" s="14">
        <f t="shared" ca="1" si="269"/>
        <v>1203.6165387770116</v>
      </c>
      <c r="AB159" s="14">
        <f t="shared" si="298"/>
        <v>4016.4588107467653</v>
      </c>
      <c r="AC159" s="25">
        <f t="shared" ca="1" si="270"/>
        <v>566982.7017373807</v>
      </c>
      <c r="AD159" s="41">
        <f t="shared" si="271"/>
        <v>1892016.7632857743</v>
      </c>
      <c r="AE159" s="5">
        <f t="shared" ca="1" si="272"/>
        <v>29.967107730733272</v>
      </c>
      <c r="AF159" s="7">
        <f t="shared" ca="1" si="273"/>
        <v>1203.6165387770116</v>
      </c>
      <c r="AG159" s="41">
        <f t="shared" ca="1" si="274"/>
        <v>2812.8422719697537</v>
      </c>
      <c r="AH159" s="41">
        <f t="shared" ca="1" si="275"/>
        <v>1325034.0615483937</v>
      </c>
      <c r="AI159" s="41">
        <f t="shared" ca="1" si="276"/>
        <v>937.06834903529727</v>
      </c>
      <c r="AJ159" s="13">
        <f t="shared" ca="1" si="277"/>
        <v>0</v>
      </c>
      <c r="AK159" s="11"/>
      <c r="AL159" s="6">
        <v>0</v>
      </c>
      <c r="AM159" s="41">
        <f t="shared" si="278"/>
        <v>64.493243046346549</v>
      </c>
      <c r="AN159" s="41">
        <f t="shared" ca="1" si="279"/>
        <v>16.787382440381144</v>
      </c>
      <c r="AO159" s="6">
        <v>5</v>
      </c>
      <c r="AP159" s="67">
        <f t="shared" si="299"/>
        <v>0.77854392893890234</v>
      </c>
      <c r="AQ159" s="11">
        <f t="shared" si="280"/>
        <v>0.98330272071837588</v>
      </c>
      <c r="AR159" s="11">
        <f t="shared" si="281"/>
        <v>0.68770269343653956</v>
      </c>
      <c r="AS159" s="11">
        <f t="shared" si="282"/>
        <v>0.69938044403469313</v>
      </c>
      <c r="AT159" s="11">
        <f t="shared" si="283"/>
        <v>510.00962215499999</v>
      </c>
      <c r="AU159" s="11">
        <f t="shared" si="284"/>
        <v>1455.3301939042735</v>
      </c>
      <c r="AV159" s="11">
        <f t="shared" si="285"/>
        <v>1.6623573774260621E-3</v>
      </c>
      <c r="AW159" s="11">
        <f t="shared" si="286"/>
        <v>3.6885478983619832E-7</v>
      </c>
      <c r="AX159" s="41">
        <f t="shared" ca="1" si="287"/>
        <v>1.9475769167392638</v>
      </c>
      <c r="AY159" s="41">
        <f t="shared" ca="1" si="288"/>
        <v>2.6234248004289156</v>
      </c>
      <c r="AZ159" s="41">
        <f t="shared" si="289"/>
        <v>0.30044199110228809</v>
      </c>
      <c r="BA159" s="179">
        <f t="shared" ca="1" si="300"/>
        <v>0.85393215027472313</v>
      </c>
    </row>
    <row r="160" spans="1:53" ht="14.5">
      <c r="A160" s="41">
        <f t="shared" ca="1" si="290"/>
        <v>15405.03776910572</v>
      </c>
      <c r="B160" s="41">
        <f t="shared" ca="1" si="291"/>
        <v>256.75062948509532</v>
      </c>
      <c r="C160" s="41">
        <f t="shared" ca="1" si="291"/>
        <v>4.2791771580849218</v>
      </c>
      <c r="D160" s="41">
        <f t="shared" ca="1" si="292"/>
        <v>13354.809150033256</v>
      </c>
      <c r="E160" s="41" t="e">
        <f t="shared" ca="1" si="293"/>
        <v>#NUM!</v>
      </c>
      <c r="F160" s="7">
        <f t="shared" si="294"/>
        <v>60</v>
      </c>
      <c r="G160" s="41"/>
      <c r="H160" s="7">
        <f t="shared" si="295"/>
        <v>10000</v>
      </c>
      <c r="I160" s="6">
        <v>15</v>
      </c>
      <c r="J160" s="41">
        <f t="shared" si="254"/>
        <v>0.42549951772196798</v>
      </c>
      <c r="K160" s="41">
        <f t="shared" si="255"/>
        <v>471.06589471883535</v>
      </c>
      <c r="L160" s="6">
        <f t="shared" si="296"/>
        <v>235</v>
      </c>
      <c r="M160" s="41">
        <f t="shared" si="256"/>
        <v>279.09900556659443</v>
      </c>
      <c r="N160" s="41">
        <f t="shared" si="257"/>
        <v>184.44110870126713</v>
      </c>
      <c r="O160" s="41">
        <f t="shared" si="258"/>
        <v>2123003.108316463</v>
      </c>
      <c r="P160" s="41">
        <f t="shared" si="259"/>
        <v>13631171.75606169</v>
      </c>
      <c r="Q160" s="41">
        <f t="shared" si="260"/>
        <v>2.8123079706811947E-3</v>
      </c>
      <c r="R160" s="41">
        <f t="shared" si="261"/>
        <v>2.2097807141776935E-2</v>
      </c>
      <c r="S160" s="24">
        <f t="shared" ca="1" si="297"/>
        <v>9.7549518146742846E-16</v>
      </c>
      <c r="T160" s="10">
        <f t="shared" ca="1" si="262"/>
        <v>9.7549518146742846E-16</v>
      </c>
      <c r="U160" s="41">
        <f t="shared" ca="1" si="263"/>
        <v>0.31481261426857454</v>
      </c>
      <c r="V160" s="41">
        <f t="shared" ca="1" si="264"/>
        <v>2.8357079402313079E-2</v>
      </c>
      <c r="W160" s="41">
        <f t="shared" ca="1" si="265"/>
        <v>11.101729123870753</v>
      </c>
      <c r="X160" s="20">
        <f t="shared" ca="1" si="266"/>
        <v>1202.9485678332726</v>
      </c>
      <c r="Y160" s="41">
        <f t="shared" si="267"/>
        <v>0.59151368135346993</v>
      </c>
      <c r="Z160" s="41">
        <f t="shared" ca="1" si="268"/>
        <v>170.60906560182326</v>
      </c>
      <c r="AA160" s="14">
        <f t="shared" ca="1" si="269"/>
        <v>1202.9485678332728</v>
      </c>
      <c r="AB160" s="14">
        <f t="shared" si="298"/>
        <v>4016.4588107467653</v>
      </c>
      <c r="AC160" s="25">
        <f t="shared" ca="1" si="270"/>
        <v>566668.04340712226</v>
      </c>
      <c r="AD160" s="41">
        <f t="shared" si="271"/>
        <v>1892016.7632857743</v>
      </c>
      <c r="AE160" s="5">
        <f t="shared" ca="1" si="272"/>
        <v>29.950476888112615</v>
      </c>
      <c r="AF160" s="7">
        <f t="shared" ca="1" si="273"/>
        <v>1202.9485678332728</v>
      </c>
      <c r="AG160" s="41">
        <f t="shared" ca="1" si="274"/>
        <v>2813.5102429134922</v>
      </c>
      <c r="AH160" s="41">
        <f t="shared" ca="1" si="275"/>
        <v>1325348.7198786521</v>
      </c>
      <c r="AI160" s="41">
        <f t="shared" ca="1" si="276"/>
        <v>936.54830431234188</v>
      </c>
      <c r="AJ160" s="13">
        <f t="shared" ca="1" si="277"/>
        <v>8.0201807944151322E-15</v>
      </c>
      <c r="AK160" s="11"/>
      <c r="AL160" s="6">
        <v>0</v>
      </c>
      <c r="AM160" s="41">
        <f t="shared" si="278"/>
        <v>64.493243046346549</v>
      </c>
      <c r="AN160" s="41">
        <f t="shared" ca="1" si="279"/>
        <v>16.778065948516552</v>
      </c>
      <c r="AO160" s="6">
        <v>5</v>
      </c>
      <c r="AP160" s="67">
        <f t="shared" si="299"/>
        <v>0.77854392893890234</v>
      </c>
      <c r="AQ160" s="11">
        <f t="shared" si="280"/>
        <v>0.98330272071837588</v>
      </c>
      <c r="AR160" s="11">
        <f t="shared" si="281"/>
        <v>0.68770269343653956</v>
      </c>
      <c r="AS160" s="11">
        <f t="shared" si="282"/>
        <v>0.69938044403469313</v>
      </c>
      <c r="AT160" s="11">
        <f t="shared" si="283"/>
        <v>510.00962215499999</v>
      </c>
      <c r="AU160" s="11">
        <f t="shared" si="284"/>
        <v>1455.3301939042735</v>
      </c>
      <c r="AV160" s="11">
        <f t="shared" si="285"/>
        <v>1.6623573774260621E-3</v>
      </c>
      <c r="AW160" s="11">
        <f t="shared" si="286"/>
        <v>3.6885478983619832E-7</v>
      </c>
      <c r="AX160" s="41">
        <f t="shared" ca="1" si="287"/>
        <v>1.9497390700039015</v>
      </c>
      <c r="AY160" s="41">
        <f t="shared" ca="1" si="288"/>
        <v>2.62633726383307</v>
      </c>
      <c r="AZ160" s="41">
        <f t="shared" si="289"/>
        <v>0.30044199110228809</v>
      </c>
      <c r="BA160" s="179">
        <f t="shared" ca="1" si="300"/>
        <v>0.85409742573387837</v>
      </c>
    </row>
    <row r="161" spans="1:53" ht="14.5">
      <c r="A161" s="41">
        <f t="shared" ca="1" si="290"/>
        <v>15469.531012152067</v>
      </c>
      <c r="B161" s="41">
        <f t="shared" ca="1" si="291"/>
        <v>257.82551686920112</v>
      </c>
      <c r="C161" s="41">
        <f t="shared" ca="1" si="291"/>
        <v>4.2970919478200189</v>
      </c>
      <c r="D161" s="41">
        <f t="shared" ca="1" si="292"/>
        <v>13338.03108408474</v>
      </c>
      <c r="E161" s="41" t="e">
        <f t="shared" ca="1" si="293"/>
        <v>#NUM!</v>
      </c>
      <c r="F161" s="7">
        <f t="shared" si="294"/>
        <v>65</v>
      </c>
      <c r="G161" s="41"/>
      <c r="H161" s="7">
        <f t="shared" si="295"/>
        <v>10000</v>
      </c>
      <c r="I161" s="6">
        <v>15</v>
      </c>
      <c r="J161" s="41">
        <f t="shared" si="254"/>
        <v>0.42549951772196798</v>
      </c>
      <c r="K161" s="41">
        <f t="shared" si="255"/>
        <v>471.06589471883535</v>
      </c>
      <c r="L161" s="6">
        <f t="shared" si="296"/>
        <v>235</v>
      </c>
      <c r="M161" s="41">
        <f t="shared" si="256"/>
        <v>279.09900556659443</v>
      </c>
      <c r="N161" s="41">
        <f t="shared" si="257"/>
        <v>184.44110870126713</v>
      </c>
      <c r="O161" s="41">
        <f t="shared" si="258"/>
        <v>2123003.108316463</v>
      </c>
      <c r="P161" s="41">
        <f t="shared" si="259"/>
        <v>13631171.75606169</v>
      </c>
      <c r="Q161" s="41">
        <f t="shared" si="260"/>
        <v>2.8123079706811947E-3</v>
      </c>
      <c r="R161" s="41">
        <f t="shared" si="261"/>
        <v>2.2097807141776935E-2</v>
      </c>
      <c r="S161" s="24">
        <f t="shared" ca="1" si="297"/>
        <v>0</v>
      </c>
      <c r="T161" s="10">
        <f t="shared" ca="1" si="262"/>
        <v>0</v>
      </c>
      <c r="U161" s="41">
        <f t="shared" ca="1" si="263"/>
        <v>0.31441710529916261</v>
      </c>
      <c r="V161" s="41">
        <f t="shared" ca="1" si="264"/>
        <v>2.83413618413072E-2</v>
      </c>
      <c r="W161" s="41">
        <f t="shared" ca="1" si="265"/>
        <v>11.093930738391808</v>
      </c>
      <c r="X161" s="20">
        <f t="shared" ca="1" si="266"/>
        <v>1202.2818060263317</v>
      </c>
      <c r="Y161" s="41">
        <f t="shared" si="267"/>
        <v>0.59151368135346993</v>
      </c>
      <c r="Z161" s="41">
        <f t="shared" ca="1" si="268"/>
        <v>170.50186115785954</v>
      </c>
      <c r="AA161" s="14">
        <f t="shared" ca="1" si="269"/>
        <v>1202.2818060263317</v>
      </c>
      <c r="AB161" s="14">
        <f t="shared" si="298"/>
        <v>4016.4588107467653</v>
      </c>
      <c r="AC161" s="25">
        <f t="shared" ca="1" si="270"/>
        <v>566353.95465997118</v>
      </c>
      <c r="AD161" s="41">
        <f t="shared" si="271"/>
        <v>1892016.7632857743</v>
      </c>
      <c r="AE161" s="5">
        <f t="shared" ca="1" si="272"/>
        <v>29.933876150040632</v>
      </c>
      <c r="AF161" s="7">
        <f t="shared" ca="1" si="273"/>
        <v>1202.2818060263317</v>
      </c>
      <c r="AG161" s="41">
        <f t="shared" ca="1" si="274"/>
        <v>2814.1770047204336</v>
      </c>
      <c r="AH161" s="41">
        <f t="shared" ca="1" si="275"/>
        <v>1325662.8086258031</v>
      </c>
      <c r="AI161" s="41">
        <f t="shared" ca="1" si="276"/>
        <v>936.0292009554995</v>
      </c>
      <c r="AJ161" s="13">
        <f t="shared" ca="1" si="277"/>
        <v>0</v>
      </c>
      <c r="AK161" s="11"/>
      <c r="AL161" s="6">
        <v>0</v>
      </c>
      <c r="AM161" s="41">
        <f t="shared" si="278"/>
        <v>64.493243046346549</v>
      </c>
      <c r="AN161" s="41">
        <f t="shared" ca="1" si="279"/>
        <v>16.76876632102794</v>
      </c>
      <c r="AO161" s="6">
        <v>5</v>
      </c>
      <c r="AP161" s="67">
        <f t="shared" si="299"/>
        <v>0.77854392893890234</v>
      </c>
      <c r="AQ161" s="11">
        <f t="shared" si="280"/>
        <v>0.98330272071837588</v>
      </c>
      <c r="AR161" s="11">
        <f t="shared" si="281"/>
        <v>0.68770269343653956</v>
      </c>
      <c r="AS161" s="11">
        <f t="shared" si="282"/>
        <v>0.69938044403469313</v>
      </c>
      <c r="AT161" s="11">
        <f t="shared" si="283"/>
        <v>510.00962215499999</v>
      </c>
      <c r="AU161" s="11">
        <f t="shared" si="284"/>
        <v>1455.3301939042735</v>
      </c>
      <c r="AV161" s="11">
        <f t="shared" si="285"/>
        <v>1.6623573774260621E-3</v>
      </c>
      <c r="AW161" s="11">
        <f t="shared" si="286"/>
        <v>3.6885478983619832E-7</v>
      </c>
      <c r="AX161" s="41">
        <f t="shared" ca="1" si="287"/>
        <v>1.9519058487975542</v>
      </c>
      <c r="AY161" s="41">
        <f t="shared" ca="1" si="288"/>
        <v>2.6292559579167056</v>
      </c>
      <c r="AZ161" s="41">
        <f t="shared" si="289"/>
        <v>0.30044199110228809</v>
      </c>
      <c r="BA161" s="179">
        <f t="shared" ca="1" si="300"/>
        <v>0.85426265474257057</v>
      </c>
    </row>
    <row r="162" spans="1:53" ht="14.5">
      <c r="A162" s="41">
        <f t="shared" ca="1" si="290"/>
        <v>15534.024255198414</v>
      </c>
      <c r="B162" s="41">
        <f t="shared" ca="1" si="291"/>
        <v>258.90040425330687</v>
      </c>
      <c r="C162" s="41">
        <f t="shared" ca="1" si="291"/>
        <v>4.3150067375551142</v>
      </c>
      <c r="D162" s="41">
        <f t="shared" ca="1" si="292"/>
        <v>13321.262317763712</v>
      </c>
      <c r="E162" s="41" t="e">
        <f t="shared" ca="1" si="293"/>
        <v>#NUM!</v>
      </c>
      <c r="F162" s="7">
        <f t="shared" si="294"/>
        <v>70</v>
      </c>
      <c r="G162" s="41"/>
      <c r="H162" s="7">
        <f t="shared" si="295"/>
        <v>10000</v>
      </c>
      <c r="I162" s="6">
        <v>15</v>
      </c>
      <c r="J162" s="41">
        <f t="shared" si="254"/>
        <v>0.42549951772196798</v>
      </c>
      <c r="K162" s="41">
        <f t="shared" si="255"/>
        <v>471.06589471883535</v>
      </c>
      <c r="L162" s="6">
        <f t="shared" si="296"/>
        <v>235</v>
      </c>
      <c r="M162" s="41">
        <f t="shared" si="256"/>
        <v>279.09900556659443</v>
      </c>
      <c r="N162" s="41">
        <f t="shared" si="257"/>
        <v>184.44110870126713</v>
      </c>
      <c r="O162" s="41">
        <f t="shared" si="258"/>
        <v>2123003.108316463</v>
      </c>
      <c r="P162" s="41">
        <f t="shared" si="259"/>
        <v>13631171.75606169</v>
      </c>
      <c r="Q162" s="41">
        <f t="shared" si="260"/>
        <v>2.8123079706811947E-3</v>
      </c>
      <c r="R162" s="41">
        <f t="shared" si="261"/>
        <v>2.2097807141776935E-2</v>
      </c>
      <c r="S162" s="24">
        <f t="shared" ca="1" si="297"/>
        <v>0</v>
      </c>
      <c r="T162" s="10">
        <f t="shared" ca="1" si="262"/>
        <v>0</v>
      </c>
      <c r="U162" s="41">
        <f t="shared" ca="1" si="263"/>
        <v>0.3140218155496593</v>
      </c>
      <c r="V162" s="41">
        <f t="shared" ca="1" si="264"/>
        <v>2.832567273457209E-2</v>
      </c>
      <c r="W162" s="41">
        <f t="shared" ca="1" si="265"/>
        <v>11.08612030126257</v>
      </c>
      <c r="X162" s="20">
        <f t="shared" ca="1" si="266"/>
        <v>1201.6162512909577</v>
      </c>
      <c r="Y162" s="41">
        <f t="shared" si="267"/>
        <v>0.59151368135346993</v>
      </c>
      <c r="Z162" s="41">
        <f t="shared" ca="1" si="268"/>
        <v>170.39464874240983</v>
      </c>
      <c r="AA162" s="14">
        <f t="shared" ca="1" si="269"/>
        <v>1201.6162512909577</v>
      </c>
      <c r="AB162" s="14">
        <f t="shared" si="298"/>
        <v>4016.4588107467653</v>
      </c>
      <c r="AC162" s="25">
        <f t="shared" ca="1" si="270"/>
        <v>566040.4345230679</v>
      </c>
      <c r="AD162" s="41">
        <f t="shared" si="271"/>
        <v>1892016.7632857743</v>
      </c>
      <c r="AE162" s="5">
        <f t="shared" ca="1" si="272"/>
        <v>29.917305465098138</v>
      </c>
      <c r="AF162" s="7">
        <f t="shared" ca="1" si="273"/>
        <v>1201.6162512909577</v>
      </c>
      <c r="AG162" s="41">
        <f t="shared" ca="1" si="274"/>
        <v>2814.8425594558075</v>
      </c>
      <c r="AH162" s="41">
        <f t="shared" ca="1" si="275"/>
        <v>1325976.3287627064</v>
      </c>
      <c r="AI162" s="41">
        <f t="shared" ca="1" si="276"/>
        <v>935.51103735689765</v>
      </c>
      <c r="AJ162" s="13">
        <f t="shared" ca="1" si="277"/>
        <v>0</v>
      </c>
      <c r="AK162" s="11"/>
      <c r="AL162" s="6">
        <v>0</v>
      </c>
      <c r="AM162" s="41">
        <f t="shared" si="278"/>
        <v>64.493243046346549</v>
      </c>
      <c r="AN162" s="41">
        <f t="shared" ca="1" si="279"/>
        <v>16.759483529110607</v>
      </c>
      <c r="AO162" s="6">
        <v>5</v>
      </c>
      <c r="AP162" s="67">
        <f t="shared" si="299"/>
        <v>0.77854392893890234</v>
      </c>
      <c r="AQ162" s="11">
        <f t="shared" si="280"/>
        <v>0.98330272071837588</v>
      </c>
      <c r="AR162" s="11">
        <f t="shared" si="281"/>
        <v>0.68770269343653956</v>
      </c>
      <c r="AS162" s="11">
        <f t="shared" si="282"/>
        <v>0.69938044403469313</v>
      </c>
      <c r="AT162" s="11">
        <f t="shared" si="283"/>
        <v>510.00962215499999</v>
      </c>
      <c r="AU162" s="11">
        <f t="shared" si="284"/>
        <v>1455.3301939042735</v>
      </c>
      <c r="AV162" s="11">
        <f t="shared" si="285"/>
        <v>1.6623573774260621E-3</v>
      </c>
      <c r="AW162" s="11">
        <f t="shared" si="286"/>
        <v>3.6885478983619832E-7</v>
      </c>
      <c r="AX162" s="41">
        <f t="shared" ca="1" si="287"/>
        <v>1.9540772674857618</v>
      </c>
      <c r="AY162" s="41">
        <f t="shared" ca="1" si="288"/>
        <v>2.6321809020304898</v>
      </c>
      <c r="AZ162" s="41">
        <f t="shared" si="289"/>
        <v>0.30044199110228809</v>
      </c>
      <c r="BA162" s="179">
        <f t="shared" ca="1" si="300"/>
        <v>0.85442783681337175</v>
      </c>
    </row>
    <row r="163" spans="1:53" ht="14.5">
      <c r="A163" s="41">
        <f t="shared" ca="1" si="290"/>
        <v>15598.517498244761</v>
      </c>
      <c r="B163" s="41">
        <f t="shared" ca="1" si="291"/>
        <v>259.97529163741268</v>
      </c>
      <c r="C163" s="41">
        <f t="shared" ca="1" si="291"/>
        <v>4.3329215272902113</v>
      </c>
      <c r="D163" s="41">
        <f t="shared" ca="1" si="292"/>
        <v>13304.502834234601</v>
      </c>
      <c r="E163" s="41" t="e">
        <f t="shared" ca="1" si="293"/>
        <v>#NUM!</v>
      </c>
      <c r="F163" s="7">
        <f t="shared" si="294"/>
        <v>75</v>
      </c>
      <c r="G163" s="41"/>
      <c r="H163" s="7">
        <f t="shared" si="295"/>
        <v>10000</v>
      </c>
      <c r="I163" s="6">
        <v>15</v>
      </c>
      <c r="J163" s="41">
        <f t="shared" si="254"/>
        <v>0.42549951772196798</v>
      </c>
      <c r="K163" s="41">
        <f t="shared" si="255"/>
        <v>471.06589471883535</v>
      </c>
      <c r="L163" s="6">
        <f t="shared" si="296"/>
        <v>235</v>
      </c>
      <c r="M163" s="41">
        <f t="shared" si="256"/>
        <v>279.09900556659443</v>
      </c>
      <c r="N163" s="41">
        <f t="shared" si="257"/>
        <v>184.44110870126713</v>
      </c>
      <c r="O163" s="41">
        <f t="shared" si="258"/>
        <v>2123003.108316463</v>
      </c>
      <c r="P163" s="41">
        <f t="shared" si="259"/>
        <v>13631171.75606169</v>
      </c>
      <c r="Q163" s="41">
        <f t="shared" si="260"/>
        <v>2.8123079706811947E-3</v>
      </c>
      <c r="R163" s="41">
        <f t="shared" si="261"/>
        <v>2.2097807141776935E-2</v>
      </c>
      <c r="S163" s="24">
        <f t="shared" ca="1" si="297"/>
        <v>0</v>
      </c>
      <c r="T163" s="10">
        <f t="shared" ca="1" si="262"/>
        <v>0</v>
      </c>
      <c r="U163" s="41">
        <f t="shared" ca="1" si="263"/>
        <v>0.3136267446232</v>
      </c>
      <c r="V163" s="41">
        <f t="shared" ca="1" si="264"/>
        <v>2.8310012033548625E-2</v>
      </c>
      <c r="W163" s="41">
        <f t="shared" ca="1" si="265"/>
        <v>11.078297820980731</v>
      </c>
      <c r="X163" s="20">
        <f t="shared" ca="1" si="266"/>
        <v>1200.9519015672022</v>
      </c>
      <c r="Y163" s="41">
        <f t="shared" si="267"/>
        <v>0.59151368135346993</v>
      </c>
      <c r="Z163" s="41">
        <f t="shared" ca="1" si="268"/>
        <v>170.28742823267655</v>
      </c>
      <c r="AA163" s="14">
        <f t="shared" ca="1" si="269"/>
        <v>1200.9519015672022</v>
      </c>
      <c r="AB163" s="14">
        <f t="shared" si="298"/>
        <v>4016.4588107467653</v>
      </c>
      <c r="AC163" s="25">
        <f t="shared" ca="1" si="270"/>
        <v>565727.48202604079</v>
      </c>
      <c r="AD163" s="41">
        <f t="shared" si="271"/>
        <v>1892016.7632857743</v>
      </c>
      <c r="AE163" s="5">
        <f t="shared" ca="1" si="272"/>
        <v>29.900764781997445</v>
      </c>
      <c r="AF163" s="7">
        <f t="shared" ca="1" si="273"/>
        <v>1200.9519015672022</v>
      </c>
      <c r="AG163" s="41">
        <f t="shared" ca="1" si="274"/>
        <v>2815.5069091795631</v>
      </c>
      <c r="AH163" s="41">
        <f t="shared" ca="1" si="275"/>
        <v>1326289.2812597335</v>
      </c>
      <c r="AI163" s="41">
        <f t="shared" ca="1" si="276"/>
        <v>934.99381191277553</v>
      </c>
      <c r="AJ163" s="13">
        <f t="shared" ca="1" si="277"/>
        <v>0</v>
      </c>
      <c r="AK163" s="11"/>
      <c r="AL163" s="6">
        <v>0</v>
      </c>
      <c r="AM163" s="41">
        <f t="shared" si="278"/>
        <v>64.493243046346549</v>
      </c>
      <c r="AN163" s="41">
        <f t="shared" ca="1" si="279"/>
        <v>16.750217544033514</v>
      </c>
      <c r="AO163" s="6">
        <v>5</v>
      </c>
      <c r="AP163" s="67">
        <f t="shared" si="299"/>
        <v>0.77854392893890234</v>
      </c>
      <c r="AQ163" s="11">
        <f t="shared" si="280"/>
        <v>0.98330272071837588</v>
      </c>
      <c r="AR163" s="11">
        <f t="shared" si="281"/>
        <v>0.68770269343653956</v>
      </c>
      <c r="AS163" s="11">
        <f t="shared" si="282"/>
        <v>0.69938044403469313</v>
      </c>
      <c r="AT163" s="11">
        <f t="shared" si="283"/>
        <v>510.00962215499999</v>
      </c>
      <c r="AU163" s="11">
        <f t="shared" si="284"/>
        <v>1455.3301939042735</v>
      </c>
      <c r="AV163" s="11">
        <f t="shared" si="285"/>
        <v>1.6623573774260621E-3</v>
      </c>
      <c r="AW163" s="11">
        <f t="shared" si="286"/>
        <v>3.6885478983619832E-7</v>
      </c>
      <c r="AX163" s="41">
        <f t="shared" ca="1" si="287"/>
        <v>1.9562533404967124</v>
      </c>
      <c r="AY163" s="41">
        <f t="shared" ca="1" si="288"/>
        <v>2.6351121156094788</v>
      </c>
      <c r="AZ163" s="41">
        <f t="shared" si="289"/>
        <v>0.30044199110228809</v>
      </c>
      <c r="BA163" s="179">
        <f t="shared" ca="1" si="300"/>
        <v>0.85459297145944668</v>
      </c>
    </row>
    <row r="164" spans="1:53" ht="14.5">
      <c r="A164" s="41">
        <f t="shared" ca="1" si="290"/>
        <v>15663.010741291107</v>
      </c>
      <c r="B164" s="41">
        <f t="shared" ca="1" si="291"/>
        <v>261.05017902151843</v>
      </c>
      <c r="C164" s="41">
        <f t="shared" ca="1" si="291"/>
        <v>4.3508363170253075</v>
      </c>
      <c r="D164" s="41">
        <f t="shared" ca="1" si="292"/>
        <v>13287.752616690568</v>
      </c>
      <c r="E164" s="41" t="e">
        <f t="shared" ca="1" si="293"/>
        <v>#NUM!</v>
      </c>
      <c r="F164" s="7">
        <f t="shared" si="294"/>
        <v>80</v>
      </c>
      <c r="G164" s="41"/>
      <c r="H164" s="7">
        <f t="shared" si="295"/>
        <v>10000</v>
      </c>
      <c r="I164" s="6">
        <v>15</v>
      </c>
      <c r="J164" s="41">
        <f t="shared" si="254"/>
        <v>0.42549951772196798</v>
      </c>
      <c r="K164" s="41">
        <f t="shared" si="255"/>
        <v>471.06589471883535</v>
      </c>
      <c r="L164" s="6">
        <f t="shared" si="296"/>
        <v>235</v>
      </c>
      <c r="M164" s="41">
        <f t="shared" si="256"/>
        <v>279.09900556659443</v>
      </c>
      <c r="N164" s="41">
        <f t="shared" si="257"/>
        <v>184.44110870126713</v>
      </c>
      <c r="O164" s="41">
        <f t="shared" si="258"/>
        <v>2123003.108316463</v>
      </c>
      <c r="P164" s="41">
        <f t="shared" si="259"/>
        <v>13631171.75606169</v>
      </c>
      <c r="Q164" s="41">
        <f t="shared" si="260"/>
        <v>2.8123079706811947E-3</v>
      </c>
      <c r="R164" s="41">
        <f t="shared" si="261"/>
        <v>2.2097807141776935E-2</v>
      </c>
      <c r="S164" s="24">
        <f t="shared" ca="1" si="297"/>
        <v>0</v>
      </c>
      <c r="T164" s="10">
        <f t="shared" ca="1" si="262"/>
        <v>0</v>
      </c>
      <c r="U164" s="41">
        <f t="shared" ca="1" si="263"/>
        <v>0.31323189212359753</v>
      </c>
      <c r="V164" s="41">
        <f t="shared" ca="1" si="264"/>
        <v>2.8294379689801873E-2</v>
      </c>
      <c r="W164" s="41">
        <f t="shared" ca="1" si="265"/>
        <v>11.070463306057052</v>
      </c>
      <c r="X164" s="20">
        <f t="shared" ca="1" si="266"/>
        <v>1200.2887548003846</v>
      </c>
      <c r="Y164" s="41">
        <f t="shared" si="267"/>
        <v>0.59151368135346993</v>
      </c>
      <c r="Z164" s="41">
        <f t="shared" ca="1" si="268"/>
        <v>170.18019950573537</v>
      </c>
      <c r="AA164" s="14">
        <f t="shared" ca="1" si="269"/>
        <v>1200.2887548003846</v>
      </c>
      <c r="AB164" s="14">
        <f t="shared" si="298"/>
        <v>4016.4588107467653</v>
      </c>
      <c r="AC164" s="25">
        <f t="shared" ca="1" si="270"/>
        <v>565415.09620099992</v>
      </c>
      <c r="AD164" s="41">
        <f t="shared" si="271"/>
        <v>1892016.7632857743</v>
      </c>
      <c r="AE164" s="5">
        <f t="shared" ca="1" si="272"/>
        <v>29.884254049582033</v>
      </c>
      <c r="AF164" s="7">
        <f t="shared" ca="1" si="273"/>
        <v>1200.2887548003846</v>
      </c>
      <c r="AG164" s="41">
        <f t="shared" ca="1" si="274"/>
        <v>2816.1700559463807</v>
      </c>
      <c r="AH164" s="41">
        <f t="shared" ca="1" si="275"/>
        <v>1326601.6670847745</v>
      </c>
      <c r="AI164" s="41">
        <f t="shared" ca="1" si="276"/>
        <v>934.47752302347419</v>
      </c>
      <c r="AJ164" s="13">
        <f t="shared" ca="1" si="277"/>
        <v>0</v>
      </c>
      <c r="AK164" s="11"/>
      <c r="AL164" s="6">
        <v>0</v>
      </c>
      <c r="AM164" s="41">
        <f t="shared" si="278"/>
        <v>64.493243046346549</v>
      </c>
      <c r="AN164" s="41">
        <f t="shared" ca="1" si="279"/>
        <v>16.740968337139115</v>
      </c>
      <c r="AO164" s="6">
        <v>5</v>
      </c>
      <c r="AP164" s="67">
        <f t="shared" si="299"/>
        <v>0.77854392893890234</v>
      </c>
      <c r="AQ164" s="11">
        <f t="shared" si="280"/>
        <v>0.98330272071837588</v>
      </c>
      <c r="AR164" s="11">
        <f t="shared" si="281"/>
        <v>0.68770269343653956</v>
      </c>
      <c r="AS164" s="11">
        <f t="shared" si="282"/>
        <v>0.69938044403469313</v>
      </c>
      <c r="AT164" s="11">
        <f t="shared" si="283"/>
        <v>510.00962215499999</v>
      </c>
      <c r="AU164" s="11">
        <f t="shared" si="284"/>
        <v>1455.3301939042735</v>
      </c>
      <c r="AV164" s="11">
        <f t="shared" si="285"/>
        <v>1.6623573774260621E-3</v>
      </c>
      <c r="AW164" s="11">
        <f t="shared" si="286"/>
        <v>3.6885478983619832E-7</v>
      </c>
      <c r="AX164" s="41">
        <f t="shared" ca="1" si="287"/>
        <v>1.9584340823215851</v>
      </c>
      <c r="AY164" s="41">
        <f t="shared" ca="1" si="288"/>
        <v>2.6380496181735791</v>
      </c>
      <c r="AZ164" s="41">
        <f t="shared" si="289"/>
        <v>0.30044199110228809</v>
      </c>
      <c r="BA164" s="179">
        <f t="shared" ca="1" si="300"/>
        <v>0.85475805819455741</v>
      </c>
    </row>
    <row r="165" spans="1:53" ht="14.5">
      <c r="A165" s="41">
        <f t="shared" ca="1" si="290"/>
        <v>15727.503984337454</v>
      </c>
      <c r="B165" s="41">
        <f t="shared" ref="B165:C168" ca="1" si="301">A165/60</f>
        <v>262.12506640562424</v>
      </c>
      <c r="C165" s="41">
        <f t="shared" ca="1" si="301"/>
        <v>4.3687511067604037</v>
      </c>
      <c r="D165" s="41">
        <f t="shared" ca="1" si="292"/>
        <v>13271.011648353429</v>
      </c>
      <c r="E165" s="41" t="e">
        <f t="shared" ca="1" si="293"/>
        <v>#NUM!</v>
      </c>
      <c r="F165" s="7">
        <f t="shared" si="294"/>
        <v>85</v>
      </c>
      <c r="G165" s="41"/>
      <c r="H165" s="7">
        <f t="shared" si="295"/>
        <v>10000</v>
      </c>
      <c r="I165" s="6">
        <v>15</v>
      </c>
      <c r="J165" s="41">
        <f t="shared" si="254"/>
        <v>0.42549951772196798</v>
      </c>
      <c r="K165" s="41">
        <f t="shared" si="255"/>
        <v>471.06589471883535</v>
      </c>
      <c r="L165" s="6">
        <f t="shared" si="296"/>
        <v>235</v>
      </c>
      <c r="M165" s="41">
        <f t="shared" si="256"/>
        <v>279.09900556659443</v>
      </c>
      <c r="N165" s="41">
        <f t="shared" si="257"/>
        <v>184.44110870126713</v>
      </c>
      <c r="O165" s="41">
        <f t="shared" si="258"/>
        <v>2123003.108316463</v>
      </c>
      <c r="P165" s="41">
        <f t="shared" si="259"/>
        <v>13631171.75606169</v>
      </c>
      <c r="Q165" s="41">
        <f t="shared" si="260"/>
        <v>2.8123079706811947E-3</v>
      </c>
      <c r="R165" s="41">
        <f t="shared" si="261"/>
        <v>2.2097807141776935E-2</v>
      </c>
      <c r="S165" s="24">
        <f t="shared" ca="1" si="297"/>
        <v>9.8165477662668839E-16</v>
      </c>
      <c r="T165" s="10">
        <f t="shared" ca="1" si="262"/>
        <v>9.8165477662668839E-16</v>
      </c>
      <c r="U165" s="41">
        <f t="shared" ca="1" si="263"/>
        <v>0.31283725765534015</v>
      </c>
      <c r="V165" s="41">
        <f t="shared" ca="1" si="264"/>
        <v>2.8278775655020731E-2</v>
      </c>
      <c r="W165" s="41">
        <f t="shared" ca="1" si="265"/>
        <v>11.062616765015346</v>
      </c>
      <c r="X165" s="20">
        <f t="shared" ca="1" si="266"/>
        <v>1199.6268089410778</v>
      </c>
      <c r="Y165" s="41">
        <f t="shared" si="267"/>
        <v>0.59151368135346993</v>
      </c>
      <c r="Z165" s="41">
        <f t="shared" ca="1" si="268"/>
        <v>170.07296243853446</v>
      </c>
      <c r="AA165" s="14">
        <f t="shared" ca="1" si="269"/>
        <v>1199.626808941078</v>
      </c>
      <c r="AB165" s="14">
        <f t="shared" si="298"/>
        <v>4016.4588107467653</v>
      </c>
      <c r="AC165" s="25">
        <f t="shared" ca="1" si="270"/>
        <v>565103.27608253027</v>
      </c>
      <c r="AD165" s="41">
        <f t="shared" si="271"/>
        <v>1892016.7632857743</v>
      </c>
      <c r="AE165" s="5">
        <f t="shared" ca="1" si="272"/>
        <v>29.867773216826187</v>
      </c>
      <c r="AF165" s="7">
        <f t="shared" ca="1" si="273"/>
        <v>1199.626808941078</v>
      </c>
      <c r="AG165" s="41">
        <f t="shared" ca="1" si="274"/>
        <v>2816.8320018056875</v>
      </c>
      <c r="AH165" s="41">
        <f t="shared" ca="1" si="275"/>
        <v>1326913.4872032441</v>
      </c>
      <c r="AI165" s="41">
        <f t="shared" ca="1" si="276"/>
        <v>933.96216909342479</v>
      </c>
      <c r="AJ165" s="13">
        <f t="shared" ca="1" si="277"/>
        <v>8.0708228352331667E-15</v>
      </c>
      <c r="AK165" s="11"/>
      <c r="AL165" s="6">
        <v>0</v>
      </c>
      <c r="AM165" s="41">
        <f t="shared" si="278"/>
        <v>64.493243046346549</v>
      </c>
      <c r="AN165" s="41">
        <f t="shared" ca="1" si="279"/>
        <v>16.731735879843125</v>
      </c>
      <c r="AO165" s="6">
        <v>5</v>
      </c>
      <c r="AP165" s="67">
        <f t="shared" si="299"/>
        <v>0.77854392893890234</v>
      </c>
      <c r="AQ165" s="11">
        <f t="shared" si="280"/>
        <v>0.98330272071837588</v>
      </c>
      <c r="AR165" s="11">
        <f t="shared" si="281"/>
        <v>0.68770269343653956</v>
      </c>
      <c r="AS165" s="11">
        <f t="shared" si="282"/>
        <v>0.69938044403469313</v>
      </c>
      <c r="AT165" s="11">
        <f t="shared" si="283"/>
        <v>510.00962215499999</v>
      </c>
      <c r="AU165" s="11">
        <f t="shared" si="284"/>
        <v>1455.3301939042735</v>
      </c>
      <c r="AV165" s="11">
        <f t="shared" si="285"/>
        <v>1.6623573774260621E-3</v>
      </c>
      <c r="AW165" s="11">
        <f t="shared" si="286"/>
        <v>3.6885478983619832E-7</v>
      </c>
      <c r="AX165" s="41">
        <f t="shared" ca="1" si="287"/>
        <v>1.9606195075148709</v>
      </c>
      <c r="AY165" s="41">
        <f t="shared" ca="1" si="288"/>
        <v>2.6409934293279784</v>
      </c>
      <c r="AZ165" s="41">
        <f t="shared" si="289"/>
        <v>0.30044199110228809</v>
      </c>
      <c r="BA165" s="179">
        <f t="shared" ca="1" si="300"/>
        <v>0.85492309653306697</v>
      </c>
    </row>
    <row r="166" spans="1:53" ht="14.5">
      <c r="A166" s="41">
        <f t="shared" ca="1" si="290"/>
        <v>15791.997227383801</v>
      </c>
      <c r="B166" s="41">
        <f t="shared" ca="1" si="301"/>
        <v>263.19995378973005</v>
      </c>
      <c r="C166" s="41">
        <f t="shared" ca="1" si="301"/>
        <v>4.3866658964955008</v>
      </c>
      <c r="D166" s="41">
        <f t="shared" ca="1" si="292"/>
        <v>13254.279912473587</v>
      </c>
      <c r="E166" s="41" t="e">
        <f t="shared" ca="1" si="293"/>
        <v>#NUM!</v>
      </c>
      <c r="F166" s="7">
        <f t="shared" si="294"/>
        <v>90</v>
      </c>
      <c r="G166" s="41"/>
      <c r="H166" s="7">
        <f t="shared" si="295"/>
        <v>10000</v>
      </c>
      <c r="I166" s="6">
        <v>15</v>
      </c>
      <c r="J166" s="41">
        <f t="shared" si="254"/>
        <v>0.42549951772196798</v>
      </c>
      <c r="K166" s="41">
        <f t="shared" si="255"/>
        <v>471.06589471883535</v>
      </c>
      <c r="L166" s="6">
        <f t="shared" si="296"/>
        <v>235</v>
      </c>
      <c r="M166" s="41">
        <f t="shared" si="256"/>
        <v>279.09900556659443</v>
      </c>
      <c r="N166" s="41">
        <f t="shared" si="257"/>
        <v>184.44110870126713</v>
      </c>
      <c r="O166" s="41">
        <f t="shared" si="258"/>
        <v>2123003.108316463</v>
      </c>
      <c r="P166" s="41">
        <f t="shared" si="259"/>
        <v>13631171.75606169</v>
      </c>
      <c r="Q166" s="41">
        <f t="shared" si="260"/>
        <v>2.8123079706811947E-3</v>
      </c>
      <c r="R166" s="41">
        <f t="shared" si="261"/>
        <v>2.2097807141776935E-2</v>
      </c>
      <c r="S166" s="24">
        <f t="shared" ca="1" si="297"/>
        <v>0</v>
      </c>
      <c r="T166" s="10">
        <f t="shared" ca="1" si="262"/>
        <v>0</v>
      </c>
      <c r="U166" s="41">
        <f t="shared" ca="1" si="263"/>
        <v>0.31244284082358997</v>
      </c>
      <c r="V166" s="41">
        <f t="shared" ca="1" si="264"/>
        <v>2.8263199881017591E-2</v>
      </c>
      <c r="W166" s="41">
        <f t="shared" ca="1" si="265"/>
        <v>11.054758206392473</v>
      </c>
      <c r="X166" s="20">
        <f t="shared" ca="1" si="266"/>
        <v>1198.9660619450933</v>
      </c>
      <c r="Y166" s="41">
        <f t="shared" si="267"/>
        <v>0.59151368135346993</v>
      </c>
      <c r="Z166" s="41">
        <f t="shared" ca="1" si="268"/>
        <v>169.96571690789347</v>
      </c>
      <c r="AA166" s="14">
        <f t="shared" ca="1" si="269"/>
        <v>1198.9660619450933</v>
      </c>
      <c r="AB166" s="14">
        <f t="shared" si="298"/>
        <v>4016.4588107467653</v>
      </c>
      <c r="AC166" s="25">
        <f t="shared" ca="1" si="270"/>
        <v>564792.02070768399</v>
      </c>
      <c r="AD166" s="41">
        <f t="shared" si="271"/>
        <v>1892016.7632857743</v>
      </c>
      <c r="AE166" s="5">
        <f t="shared" ca="1" si="272"/>
        <v>29.851322232834598</v>
      </c>
      <c r="AF166" s="7">
        <f t="shared" ca="1" si="273"/>
        <v>1198.9660619450933</v>
      </c>
      <c r="AG166" s="41">
        <f t="shared" ca="1" si="274"/>
        <v>2817.492748801672</v>
      </c>
      <c r="AH166" s="41">
        <f t="shared" ca="1" si="275"/>
        <v>1327224.7425780902</v>
      </c>
      <c r="AI166" s="41">
        <f t="shared" ca="1" si="276"/>
        <v>933.44774853113631</v>
      </c>
      <c r="AJ166" s="13">
        <f t="shared" ca="1" si="277"/>
        <v>0</v>
      </c>
      <c r="AK166" s="11"/>
      <c r="AL166" s="6">
        <v>0</v>
      </c>
      <c r="AM166" s="41">
        <f t="shared" si="278"/>
        <v>64.493243046346549</v>
      </c>
      <c r="AN166" s="41">
        <f t="shared" ca="1" si="279"/>
        <v>16.722520143634316</v>
      </c>
      <c r="AO166" s="6">
        <v>5</v>
      </c>
      <c r="AP166" s="67">
        <f t="shared" si="299"/>
        <v>0.77854392893890234</v>
      </c>
      <c r="AQ166" s="11">
        <f t="shared" si="280"/>
        <v>0.98330272071837588</v>
      </c>
      <c r="AR166" s="11">
        <f t="shared" si="281"/>
        <v>0.68770269343653956</v>
      </c>
      <c r="AS166" s="11">
        <f t="shared" si="282"/>
        <v>0.69938044403469313</v>
      </c>
      <c r="AT166" s="11">
        <f t="shared" si="283"/>
        <v>510.00962215499999</v>
      </c>
      <c r="AU166" s="11">
        <f t="shared" si="284"/>
        <v>1455.3301939042735</v>
      </c>
      <c r="AV166" s="11">
        <f t="shared" si="285"/>
        <v>1.6623573774260621E-3</v>
      </c>
      <c r="AW166" s="11">
        <f t="shared" si="286"/>
        <v>3.6885478983619832E-7</v>
      </c>
      <c r="AX166" s="41">
        <f t="shared" ca="1" si="287"/>
        <v>1.9628096306947231</v>
      </c>
      <c r="AY166" s="41">
        <f t="shared" ca="1" si="288"/>
        <v>2.6439435687636208</v>
      </c>
      <c r="AZ166" s="41">
        <f t="shared" si="289"/>
        <v>0.30044199110228809</v>
      </c>
      <c r="BA166" s="179">
        <f t="shared" ca="1" si="300"/>
        <v>0.85508808598994412</v>
      </c>
    </row>
    <row r="167" spans="1:53" ht="14.5">
      <c r="A167" s="41">
        <f t="shared" ca="1" si="290"/>
        <v>15856.490470430148</v>
      </c>
      <c r="B167" s="41">
        <f t="shared" ca="1" si="301"/>
        <v>264.2748411738358</v>
      </c>
      <c r="C167" s="41">
        <f t="shared" ca="1" si="301"/>
        <v>4.404580686230597</v>
      </c>
      <c r="D167" s="41">
        <f t="shared" ca="1" si="292"/>
        <v>13237.557392329953</v>
      </c>
      <c r="E167" s="41" t="e">
        <f t="shared" ca="1" si="293"/>
        <v>#NUM!</v>
      </c>
      <c r="F167" s="7">
        <f t="shared" si="294"/>
        <v>95</v>
      </c>
      <c r="G167" s="41"/>
      <c r="H167" s="7">
        <f t="shared" si="295"/>
        <v>10000</v>
      </c>
      <c r="I167" s="6">
        <v>15</v>
      </c>
      <c r="J167" s="41">
        <f t="shared" si="254"/>
        <v>0.42549951772196798</v>
      </c>
      <c r="K167" s="41">
        <f t="shared" si="255"/>
        <v>471.06589471883535</v>
      </c>
      <c r="L167" s="6">
        <f t="shared" si="296"/>
        <v>235</v>
      </c>
      <c r="M167" s="41">
        <f t="shared" si="256"/>
        <v>279.09900556659443</v>
      </c>
      <c r="N167" s="41">
        <f t="shared" si="257"/>
        <v>184.44110870126713</v>
      </c>
      <c r="O167" s="41">
        <f t="shared" si="258"/>
        <v>2123003.108316463</v>
      </c>
      <c r="P167" s="41">
        <f t="shared" si="259"/>
        <v>13631171.75606169</v>
      </c>
      <c r="Q167" s="41">
        <f t="shared" si="260"/>
        <v>2.8123079706811947E-3</v>
      </c>
      <c r="R167" s="41">
        <f t="shared" si="261"/>
        <v>2.2097807141776935E-2</v>
      </c>
      <c r="S167" s="24">
        <f t="shared" ca="1" si="297"/>
        <v>0</v>
      </c>
      <c r="T167" s="10">
        <f t="shared" ca="1" si="262"/>
        <v>0</v>
      </c>
      <c r="U167" s="41">
        <f t="shared" ca="1" si="263"/>
        <v>0.31204864123418113</v>
      </c>
      <c r="V167" s="41">
        <f t="shared" ca="1" si="264"/>
        <v>2.8247652319727982E-2</v>
      </c>
      <c r="W167" s="41">
        <f t="shared" ca="1" si="265"/>
        <v>11.04688763873833</v>
      </c>
      <c r="X167" s="20">
        <f t="shared" ca="1" si="266"/>
        <v>1198.3065117734664</v>
      </c>
      <c r="Y167" s="41">
        <f t="shared" si="267"/>
        <v>0.59151368135346993</v>
      </c>
      <c r="Z167" s="41">
        <f t="shared" ca="1" si="268"/>
        <v>169.85846279050261</v>
      </c>
      <c r="AA167" s="14">
        <f t="shared" ca="1" si="269"/>
        <v>1198.3065117734664</v>
      </c>
      <c r="AB167" s="14">
        <f t="shared" si="298"/>
        <v>4016.4588107467653</v>
      </c>
      <c r="AC167" s="25">
        <f t="shared" ca="1" si="270"/>
        <v>564481.32911597448</v>
      </c>
      <c r="AD167" s="41">
        <f t="shared" si="271"/>
        <v>1892016.7632857743</v>
      </c>
      <c r="AE167" s="5">
        <f t="shared" ca="1" si="272"/>
        <v>29.834901046842049</v>
      </c>
      <c r="AF167" s="7">
        <f t="shared" ca="1" si="273"/>
        <v>1198.3065117734664</v>
      </c>
      <c r="AG167" s="41">
        <f t="shared" ca="1" si="274"/>
        <v>2818.1522989732989</v>
      </c>
      <c r="AH167" s="41">
        <f t="shared" ca="1" si="275"/>
        <v>1327535.4341697998</v>
      </c>
      <c r="AI167" s="41">
        <f t="shared" ca="1" si="276"/>
        <v>932.93425974918557</v>
      </c>
      <c r="AJ167" s="13">
        <f t="shared" ca="1" si="277"/>
        <v>0</v>
      </c>
      <c r="AK167" s="11"/>
      <c r="AL167" s="6">
        <v>0</v>
      </c>
      <c r="AM167" s="41">
        <f t="shared" si="278"/>
        <v>64.493243046346549</v>
      </c>
      <c r="AN167" s="41">
        <f t="shared" ca="1" si="279"/>
        <v>16.713321100074339</v>
      </c>
      <c r="AO167" s="6">
        <v>5</v>
      </c>
      <c r="AP167" s="67">
        <f t="shared" si="299"/>
        <v>0.77854392893890234</v>
      </c>
      <c r="AQ167" s="11">
        <f t="shared" si="280"/>
        <v>0.98330272071837588</v>
      </c>
      <c r="AR167" s="11">
        <f t="shared" si="281"/>
        <v>0.68770269343653956</v>
      </c>
      <c r="AS167" s="11">
        <f t="shared" si="282"/>
        <v>0.69938044403469313</v>
      </c>
      <c r="AT167" s="11">
        <f t="shared" si="283"/>
        <v>510.00962215499999</v>
      </c>
      <c r="AU167" s="11">
        <f t="shared" si="284"/>
        <v>1455.3301939042735</v>
      </c>
      <c r="AV167" s="11">
        <f t="shared" si="285"/>
        <v>1.6623573774260621E-3</v>
      </c>
      <c r="AW167" s="11">
        <f t="shared" si="286"/>
        <v>3.6885478983619832E-7</v>
      </c>
      <c r="AX167" s="41">
        <f t="shared" ca="1" si="287"/>
        <v>1.9650044665432811</v>
      </c>
      <c r="AY167" s="41">
        <f t="shared" ca="1" si="288"/>
        <v>2.6469000562576386</v>
      </c>
      <c r="AZ167" s="41">
        <f t="shared" si="289"/>
        <v>0.30044199110228809</v>
      </c>
      <c r="BA167" s="179">
        <f t="shared" ca="1" si="300"/>
        <v>0.8552530260807617</v>
      </c>
    </row>
    <row r="168" spans="1:53" ht="14.5">
      <c r="A168" s="41">
        <f t="shared" ca="1" si="290"/>
        <v>15920.983713476495</v>
      </c>
      <c r="B168" s="41">
        <f t="shared" ca="1" si="301"/>
        <v>265.3497285579416</v>
      </c>
      <c r="C168" s="41">
        <f t="shared" ca="1" si="301"/>
        <v>4.4224954759656931</v>
      </c>
      <c r="D168" s="41">
        <f t="shared" ca="1" si="292"/>
        <v>13220.844071229878</v>
      </c>
      <c r="E168" s="41" t="e">
        <f t="shared" ca="1" si="293"/>
        <v>#NUM!</v>
      </c>
      <c r="F168" s="7">
        <f t="shared" si="294"/>
        <v>100</v>
      </c>
      <c r="G168" s="41"/>
      <c r="H168" s="7">
        <f t="shared" si="295"/>
        <v>10000</v>
      </c>
      <c r="I168" s="6">
        <v>15</v>
      </c>
      <c r="J168" s="41">
        <f t="shared" si="254"/>
        <v>0.42549951772196798</v>
      </c>
      <c r="K168" s="41">
        <f t="shared" si="255"/>
        <v>471.06589471883535</v>
      </c>
      <c r="L168" s="6">
        <f t="shared" si="296"/>
        <v>235</v>
      </c>
      <c r="M168" s="41">
        <f t="shared" si="256"/>
        <v>279.09900556659443</v>
      </c>
      <c r="N168" s="41">
        <f t="shared" si="257"/>
        <v>184.44110870126713</v>
      </c>
      <c r="O168" s="41">
        <f t="shared" si="258"/>
        <v>2123003.108316463</v>
      </c>
      <c r="P168" s="41">
        <f t="shared" si="259"/>
        <v>13631171.75606169</v>
      </c>
      <c r="Q168" s="41">
        <f t="shared" si="260"/>
        <v>2.8123079706811947E-3</v>
      </c>
      <c r="R168" s="41">
        <f t="shared" si="261"/>
        <v>2.2097807141776935E-2</v>
      </c>
      <c r="S168" s="24">
        <f t="shared" ca="1" si="297"/>
        <v>9.8537974618610473E-16</v>
      </c>
      <c r="T168" s="10">
        <f t="shared" ca="1" si="262"/>
        <v>9.8537974618610473E-16</v>
      </c>
      <c r="U168" s="41">
        <f t="shared" ca="1" si="263"/>
        <v>0.31165465849361823</v>
      </c>
      <c r="V168" s="41">
        <f t="shared" ca="1" si="264"/>
        <v>2.8232132923210244E-2</v>
      </c>
      <c r="W168" s="41">
        <f t="shared" ca="1" si="265"/>
        <v>11.039005070615838</v>
      </c>
      <c r="X168" s="20">
        <f t="shared" ca="1" si="266"/>
        <v>1197.6481563924419</v>
      </c>
      <c r="Y168" s="41">
        <f t="shared" si="267"/>
        <v>0.59151368135346993</v>
      </c>
      <c r="Z168" s="41">
        <f t="shared" ca="1" si="268"/>
        <v>169.75119996292179</v>
      </c>
      <c r="AA168" s="14">
        <f t="shared" ca="1" si="269"/>
        <v>1197.6481563924422</v>
      </c>
      <c r="AB168" s="14">
        <f t="shared" si="298"/>
        <v>4016.4588107467653</v>
      </c>
      <c r="AC168" s="25">
        <f t="shared" ca="1" si="270"/>
        <v>564171.20034936944</v>
      </c>
      <c r="AD168" s="41">
        <f t="shared" si="271"/>
        <v>1892016.7632857743</v>
      </c>
      <c r="AE168" s="5">
        <f t="shared" ca="1" si="272"/>
        <v>29.818509608213013</v>
      </c>
      <c r="AF168" s="7">
        <f t="shared" ca="1" si="273"/>
        <v>1197.6481563924422</v>
      </c>
      <c r="AG168" s="41">
        <f t="shared" ca="1" si="274"/>
        <v>2818.8106543543231</v>
      </c>
      <c r="AH168" s="41">
        <f t="shared" ca="1" si="275"/>
        <v>1327845.5629364047</v>
      </c>
      <c r="AI168" s="41">
        <f t="shared" ca="1" si="276"/>
        <v>932.42170116420493</v>
      </c>
      <c r="AJ168" s="13">
        <f t="shared" ca="1" si="277"/>
        <v>8.1014482344025107E-15</v>
      </c>
      <c r="AK168" s="11"/>
      <c r="AL168" s="6">
        <v>0</v>
      </c>
      <c r="AM168" s="41">
        <f t="shared" si="278"/>
        <v>0</v>
      </c>
      <c r="AN168" s="41">
        <f t="shared" ca="1" si="279"/>
        <v>0</v>
      </c>
      <c r="AO168" s="6">
        <v>0</v>
      </c>
      <c r="AP168" s="67">
        <f t="shared" si="299"/>
        <v>0.77854392893890234</v>
      </c>
      <c r="AQ168" s="11">
        <f t="shared" si="280"/>
        <v>0.98330272071837588</v>
      </c>
      <c r="AR168" s="11">
        <f t="shared" si="281"/>
        <v>0.68770269343653956</v>
      </c>
      <c r="AS168" s="11">
        <f t="shared" si="282"/>
        <v>0.69938044403469313</v>
      </c>
      <c r="AT168" s="11">
        <f t="shared" si="283"/>
        <v>510.00962215499999</v>
      </c>
      <c r="AU168" s="11">
        <f t="shared" si="284"/>
        <v>1455.3301939042735</v>
      </c>
      <c r="AV168" s="11">
        <f t="shared" si="285"/>
        <v>1.6623573774260621E-3</v>
      </c>
      <c r="AW168" s="11">
        <f t="shared" si="286"/>
        <v>3.6885478983619832E-7</v>
      </c>
      <c r="AX168" s="41">
        <f t="shared" ca="1" si="287"/>
        <v>1.967204029807017</v>
      </c>
      <c r="AY168" s="41">
        <f t="shared" ca="1" si="288"/>
        <v>2.6498629116738233</v>
      </c>
      <c r="AZ168" s="41">
        <f t="shared" si="289"/>
        <v>0.30044199110228809</v>
      </c>
      <c r="BA168" s="179">
        <f ca="1">2.12 - (0.00251*AF168) + (1.94*10^(-6)*AF168^2) - (7.84*10^(-10)*AF168^3) + (1.7*10^(-13)*AF168^4) - (1.89*10^(-17)*AF168^5) + (8.37*10^(-22)*AF168^6)</f>
        <v>0.85541791632170516</v>
      </c>
    </row>
    <row r="169" spans="1:53" ht="14.5">
      <c r="B169" s="135">
        <f ca="1">B168-B148</f>
        <v>21.49774768211563</v>
      </c>
      <c r="X169" s="32">
        <f ca="1">AVERAGE(X148:X168)</f>
        <v>1204.307964980246</v>
      </c>
      <c r="AC169" s="3"/>
      <c r="AD169" s="3"/>
      <c r="AN169" s="32">
        <f ca="1">SUM(AN148:AN168)</f>
        <v>336.03340881899044</v>
      </c>
      <c r="AP169" s="145"/>
    </row>
    <row r="170" spans="1:53" s="89" customFormat="1" ht="14.5">
      <c r="A170" s="126" t="s">
        <v>241</v>
      </c>
      <c r="B170" s="82" t="s">
        <v>22</v>
      </c>
      <c r="C170" s="81">
        <v>0</v>
      </c>
      <c r="D170" s="82" t="s">
        <v>9</v>
      </c>
      <c r="E170" s="82"/>
      <c r="F170" s="82"/>
      <c r="G170" s="82"/>
      <c r="H170" s="82"/>
      <c r="I170" s="83"/>
      <c r="J170" s="82"/>
      <c r="K170" s="82"/>
      <c r="L170" s="84" t="s">
        <v>60</v>
      </c>
      <c r="M170" s="82"/>
      <c r="N170" s="82"/>
      <c r="O170" s="82"/>
      <c r="P170" s="82"/>
      <c r="Q170" s="81"/>
      <c r="R170" s="82"/>
      <c r="S170" s="85"/>
      <c r="T170" s="86"/>
      <c r="U170" s="81"/>
      <c r="V170" s="81"/>
      <c r="W170" s="81"/>
      <c r="X170" s="81"/>
      <c r="Y170" s="82"/>
      <c r="Z170" s="82"/>
      <c r="AA170" s="87"/>
      <c r="AB170" s="87"/>
      <c r="AC170" s="82"/>
      <c r="AD170" s="82"/>
      <c r="AE170" s="83"/>
      <c r="AF170" s="81"/>
      <c r="AG170" s="82"/>
      <c r="AH170" s="82"/>
      <c r="AI170" s="82"/>
      <c r="AJ170" s="81" t="s">
        <v>61</v>
      </c>
      <c r="AK170" s="88"/>
      <c r="AL170" s="83"/>
      <c r="AM170" s="82"/>
      <c r="AN170" s="82"/>
      <c r="AO170" s="82"/>
      <c r="AP170" s="53"/>
      <c r="AQ170" s="88"/>
      <c r="AR170" s="88"/>
      <c r="AS170" s="88"/>
      <c r="AT170" s="88"/>
      <c r="AU170" s="88"/>
      <c r="AV170" s="88"/>
      <c r="AW170" s="88"/>
      <c r="AX170" s="82"/>
      <c r="AY170" s="82"/>
      <c r="AZ170" s="82"/>
    </row>
    <row r="171" spans="1:53" ht="14.5">
      <c r="A171" s="41" t="s">
        <v>2</v>
      </c>
      <c r="B171" s="41" t="s">
        <v>2</v>
      </c>
      <c r="C171" s="41" t="s">
        <v>2</v>
      </c>
      <c r="D171" s="41" t="s">
        <v>23</v>
      </c>
      <c r="E171" s="41" t="s">
        <v>24</v>
      </c>
      <c r="F171" s="41" t="s">
        <v>25</v>
      </c>
      <c r="G171" s="41"/>
      <c r="H171" s="41" t="s">
        <v>0</v>
      </c>
      <c r="I171" s="5" t="s">
        <v>26</v>
      </c>
      <c r="J171" s="41" t="s">
        <v>27</v>
      </c>
      <c r="K171" s="41" t="s">
        <v>28</v>
      </c>
      <c r="L171" s="12" t="s">
        <v>29</v>
      </c>
      <c r="M171" s="13" t="s">
        <v>30</v>
      </c>
      <c r="N171" s="41" t="s">
        <v>31</v>
      </c>
      <c r="O171" s="41" t="s">
        <v>32</v>
      </c>
      <c r="P171" s="41" t="s">
        <v>33</v>
      </c>
      <c r="Q171" s="41" t="s">
        <v>34</v>
      </c>
      <c r="R171" s="41" t="s">
        <v>13</v>
      </c>
      <c r="S171" s="24" t="s">
        <v>35</v>
      </c>
      <c r="T171" s="10" t="s">
        <v>35</v>
      </c>
      <c r="U171" s="41" t="s">
        <v>36</v>
      </c>
      <c r="V171" s="41" t="s">
        <v>37</v>
      </c>
      <c r="W171" s="41" t="s">
        <v>38</v>
      </c>
      <c r="X171" s="41" t="s">
        <v>39</v>
      </c>
      <c r="Y171" s="41" t="s">
        <v>40</v>
      </c>
      <c r="Z171" s="35" t="s">
        <v>108</v>
      </c>
      <c r="AA171" s="35" t="s">
        <v>109</v>
      </c>
      <c r="AB171" s="9" t="s">
        <v>110</v>
      </c>
      <c r="AC171" s="7" t="s">
        <v>111</v>
      </c>
      <c r="AD171" s="7" t="s">
        <v>112</v>
      </c>
      <c r="AE171" s="5" t="s">
        <v>41</v>
      </c>
      <c r="AF171" s="7" t="s">
        <v>113</v>
      </c>
      <c r="AG171" s="7" t="s">
        <v>114</v>
      </c>
      <c r="AH171" s="7" t="s">
        <v>115</v>
      </c>
      <c r="AI171" s="41" t="s">
        <v>42</v>
      </c>
      <c r="AJ171" s="41" t="s">
        <v>43</v>
      </c>
      <c r="AK171" s="36"/>
      <c r="AL171" s="5" t="s">
        <v>44</v>
      </c>
      <c r="AM171" s="41" t="s">
        <v>45</v>
      </c>
      <c r="AN171" s="41" t="s">
        <v>46</v>
      </c>
      <c r="AO171" s="41" t="s">
        <v>47</v>
      </c>
      <c r="AP171" s="53"/>
      <c r="AQ171" s="15" t="s">
        <v>62</v>
      </c>
      <c r="AR171" s="16" t="s">
        <v>63</v>
      </c>
      <c r="AS171" s="16" t="s">
        <v>64</v>
      </c>
      <c r="AT171" s="17" t="s">
        <v>65</v>
      </c>
      <c r="AU171" s="18" t="s">
        <v>66</v>
      </c>
      <c r="AV171" s="18" t="s">
        <v>67</v>
      </c>
      <c r="AW171" s="19" t="s">
        <v>68</v>
      </c>
      <c r="AX171" s="7" t="s">
        <v>207</v>
      </c>
      <c r="AY171" s="7" t="s">
        <v>208</v>
      </c>
      <c r="AZ171" s="7" t="s">
        <v>209</v>
      </c>
    </row>
    <row r="172" spans="1:53" ht="14.5">
      <c r="A172" s="41" t="s">
        <v>18</v>
      </c>
      <c r="B172" s="41" t="s">
        <v>21</v>
      </c>
      <c r="C172" s="41" t="s">
        <v>48</v>
      </c>
      <c r="D172" s="41" t="s">
        <v>8</v>
      </c>
      <c r="E172" s="41" t="s">
        <v>49</v>
      </c>
      <c r="F172" s="41" t="s">
        <v>49</v>
      </c>
      <c r="G172" s="41"/>
      <c r="H172" s="41" t="s">
        <v>9</v>
      </c>
      <c r="I172" s="5" t="s">
        <v>50</v>
      </c>
      <c r="J172" s="41"/>
      <c r="K172" s="41" t="s">
        <v>51</v>
      </c>
      <c r="L172" s="5" t="s">
        <v>52</v>
      </c>
      <c r="M172" s="41" t="s">
        <v>52</v>
      </c>
      <c r="N172" s="41" t="s">
        <v>53</v>
      </c>
      <c r="O172" s="41" t="s">
        <v>54</v>
      </c>
      <c r="P172" s="41"/>
      <c r="Q172" s="41"/>
      <c r="R172" s="41"/>
      <c r="S172" s="24" t="s">
        <v>55</v>
      </c>
      <c r="T172" s="10" t="s">
        <v>55</v>
      </c>
      <c r="U172" s="41"/>
      <c r="V172" s="41"/>
      <c r="W172" s="41"/>
      <c r="X172" s="41"/>
      <c r="Y172" s="41"/>
      <c r="Z172" s="41"/>
      <c r="AA172" s="9" t="s">
        <v>118</v>
      </c>
      <c r="AB172" s="9" t="s">
        <v>118</v>
      </c>
      <c r="AC172" s="7" t="s">
        <v>119</v>
      </c>
      <c r="AD172" s="7" t="s">
        <v>119</v>
      </c>
      <c r="AE172" s="5" t="s">
        <v>20</v>
      </c>
      <c r="AF172" s="7" t="s">
        <v>118</v>
      </c>
      <c r="AG172" s="7" t="s">
        <v>118</v>
      </c>
      <c r="AH172" s="7" t="s">
        <v>119</v>
      </c>
      <c r="AI172" s="41" t="s">
        <v>56</v>
      </c>
      <c r="AJ172" s="41" t="s">
        <v>57</v>
      </c>
      <c r="AK172" s="11"/>
      <c r="AL172" s="5" t="s">
        <v>9</v>
      </c>
      <c r="AM172" s="41" t="s">
        <v>18</v>
      </c>
      <c r="AN172" s="41" t="s">
        <v>8</v>
      </c>
      <c r="AO172" s="41" t="s">
        <v>49</v>
      </c>
      <c r="AP172" s="53"/>
      <c r="AQ172" s="11"/>
      <c r="AR172" s="11"/>
      <c r="AS172" s="11"/>
      <c r="AT172" s="11"/>
      <c r="AU172" s="11"/>
      <c r="AV172" s="11"/>
      <c r="AW172" s="11"/>
      <c r="AX172" s="41"/>
      <c r="AY172" s="41"/>
      <c r="AZ172" s="41"/>
    </row>
    <row r="173" spans="1:53" ht="14.5">
      <c r="A173" s="41">
        <f ca="1">A168</f>
        <v>15920.983713476495</v>
      </c>
      <c r="B173" s="41">
        <f t="shared" ref="B173:C188" ca="1" si="302">A173/60</f>
        <v>265.3497285579416</v>
      </c>
      <c r="C173" s="41">
        <f t="shared" ca="1" si="302"/>
        <v>4.4224954759656931</v>
      </c>
      <c r="D173" s="41">
        <f t="shared" ref="D173:E173" ca="1" si="303">D168</f>
        <v>13220.844071229878</v>
      </c>
      <c r="E173" s="7" t="e">
        <f t="shared" ca="1" si="303"/>
        <v>#NUM!</v>
      </c>
      <c r="F173" s="7">
        <v>0</v>
      </c>
      <c r="G173" s="41"/>
      <c r="H173" s="7">
        <f>H168</f>
        <v>10000</v>
      </c>
      <c r="I173" s="6">
        <v>15</v>
      </c>
      <c r="J173" s="41">
        <f t="shared" ref="J173:J193" si="304">SQRT((((((((L173^2)*(0.2))/(661.477)^2) + 1)^(3.5) - 1)*(1/AR173) + 1)^(1/3.5) - 1)*(5))</f>
        <v>0.42549951772196798</v>
      </c>
      <c r="K173" s="41">
        <f t="shared" ref="K173:K193" si="305">SQRT((1.4*2116.22*AR173*(J173)^2)/AV173)</f>
        <v>471.06589471883535</v>
      </c>
      <c r="L173" s="6">
        <f t="shared" ref="L173:L192" si="306">L174+($L$168-$L$193)/20</f>
        <v>235</v>
      </c>
      <c r="M173" s="41">
        <f t="shared" ref="M173:M193" si="307">K173*0.592484</f>
        <v>279.09900556659443</v>
      </c>
      <c r="N173" s="41">
        <f t="shared" ref="N173:N193" si="308">0.5*AV173*K173^2</f>
        <v>184.44110870126713</v>
      </c>
      <c r="O173" s="41">
        <f t="shared" ref="O173:O193" si="309">P173/$B$7</f>
        <v>2123003.108316463</v>
      </c>
      <c r="P173" s="41">
        <f t="shared" ref="P173:P193" si="310">(AV173*K173*$B$7)/(AW173)</f>
        <v>13631171.75606169</v>
      </c>
      <c r="Q173" s="41">
        <f t="shared" ref="Q173:Q193" si="311">0.455/(LOG10(P173)^2.58 * (1+0.144*J173*J173)^0.65)</f>
        <v>2.8123079706811947E-3</v>
      </c>
      <c r="R173" s="41">
        <f t="shared" ref="R173:R193" si="312">(((Q173*$B$4)+$B$17)+(0.1*(Q173*$B$4)))</f>
        <v>2.2097807141776935E-2</v>
      </c>
      <c r="S173" s="24">
        <f ca="1">T173</f>
        <v>-4.3176804344579072</v>
      </c>
      <c r="T173" s="10">
        <f t="shared" ref="T173:T193" ca="1" si="313">DEGREES(ASIN(((AF173-X173)/(D173))))</f>
        <v>-4.3176804344579072</v>
      </c>
      <c r="U173" s="41">
        <f t="shared" ref="U173:U193" ca="1" si="314">(D173*COS(RADIANS(S173)))/(N173*$B$3)</f>
        <v>0.31077016667159107</v>
      </c>
      <c r="V173" s="41">
        <f t="shared" ref="V173:V193" ca="1" si="315">(X173)/(N173*$B$3)</f>
        <v>2.8197363273237682E-2</v>
      </c>
      <c r="W173" s="41">
        <f t="shared" ref="W173:W193" ca="1" si="316">U173/V173</f>
        <v>11.021249173554651</v>
      </c>
      <c r="X173" s="20">
        <f t="shared" ref="X173:X193" ca="1" si="317">(N173*$B$3*R173)+((N173*$B$3)*((U173^2)/(PI()*$B$6*$B$5)))</f>
        <v>1196.1731772507203</v>
      </c>
      <c r="Y173" s="41">
        <f t="shared" ref="Y173:Y193" si="318">SQRT(PI()*$B$6*$B$5*R173)</f>
        <v>0.59151368135346993</v>
      </c>
      <c r="Z173" s="41">
        <f t="shared" ref="Z173:Z193" ca="1" si="319">SQRT((2*((U173*N173*$B$3)/(D173))*D173)/(AV173*$B$3*$B$18))</f>
        <v>169.51014752836008</v>
      </c>
      <c r="AA173" s="14">
        <f t="shared" ref="AA173:AA193" ca="1" si="320">D173/W173</f>
        <v>1199.5776397972318</v>
      </c>
      <c r="AB173" s="14">
        <f>$B$15*AR173*0.93</f>
        <v>4016.4588107467653</v>
      </c>
      <c r="AC173" s="25">
        <f t="shared" ref="AC173:AC193" ca="1" si="321">AA173*K173</f>
        <v>565080.11417579174</v>
      </c>
      <c r="AD173" s="41">
        <f t="shared" ref="AD173:AD193" si="322">AB173*K173</f>
        <v>1892016.7632857743</v>
      </c>
      <c r="AE173" s="6">
        <v>5</v>
      </c>
      <c r="AF173" s="41">
        <f t="shared" ref="AF173:AF193" si="323">AB173*(AE173/100)</f>
        <v>200.82294053733827</v>
      </c>
      <c r="AG173" s="41">
        <f t="shared" ref="AG173:AG193" ca="1" si="324">AB173-AA173</f>
        <v>2816.8811709495335</v>
      </c>
      <c r="AH173" s="41">
        <f t="shared" ref="AH173:AH193" ca="1" si="325">AD173-AC173</f>
        <v>1326936.6491099824</v>
      </c>
      <c r="AI173" s="41">
        <f t="shared" ref="AI173:AI193" si="326">(AP173*AF173)</f>
        <v>159.20877289486532</v>
      </c>
      <c r="AJ173" s="13">
        <f t="shared" ref="AJ173:AJ193" ca="1" si="327">K173*SIN(RADIANS(T173))</f>
        <v>-35.464872536869457</v>
      </c>
      <c r="AK173" s="11"/>
      <c r="AL173" s="6">
        <v>-500</v>
      </c>
      <c r="AM173" s="41">
        <f t="shared" ref="AM173:AM192" ca="1" si="328">AL173/AJ173</f>
        <v>14.09845755064247</v>
      </c>
      <c r="AN173" s="41">
        <f t="shared" ref="AN173:AN193" ca="1" si="329">AI173*(AM173/3600)</f>
        <v>0.62349947954114893</v>
      </c>
      <c r="AO173" s="41">
        <f t="shared" ref="AO173:AO193" ca="1" si="330">M173*COS(RADIANS(T173))*(AM173/3600)</f>
        <v>1.0899161481676816</v>
      </c>
      <c r="AP173" s="67">
        <f>0.705 + 0.302*AZ173 + -0.0327*AZ173^2</f>
        <v>0.79278180305931845</v>
      </c>
      <c r="AQ173" s="11">
        <f t="shared" ref="AQ173:AQ193" si="331">IF(H173 &lt;= 36089, ((1 - 6.87535*10^(-6)*H173) + ((I173*1.8)/518.67)), 0.75187 + ((I173*1.8)/518.67))</f>
        <v>0.98330272071837588</v>
      </c>
      <c r="AR173" s="11">
        <f t="shared" ref="AR173:AR193" si="332">IF(H173 &lt;= 36089, (1 - 6.87535*10^(-6)*H173)^5.2561, 0.22336*EXP((36089 - H173)/(20806.7)))</f>
        <v>0.68770269343653956</v>
      </c>
      <c r="AS173" s="11">
        <f t="shared" ref="AS173:AS193" si="333">(AR173/AQ173)</f>
        <v>0.69938044403469313</v>
      </c>
      <c r="AT173" s="11">
        <f t="shared" ref="AT173:AT193" si="334">(518.67*AQ173)</f>
        <v>510.00962215499999</v>
      </c>
      <c r="AU173" s="11">
        <f t="shared" ref="AU173:AU193" si="335">2116.22*AR173</f>
        <v>1455.3301939042735</v>
      </c>
      <c r="AV173" s="11">
        <f t="shared" ref="AV173:AV193" si="336">(0.0023769*AS173)</f>
        <v>1.6623573774260621E-3</v>
      </c>
      <c r="AW173" s="11">
        <f t="shared" ref="AW173:AW193" si="337">((2.2697*10^-8)*(AT173^1.5))/(AT173+198.72)</f>
        <v>3.6885478983619832E-7</v>
      </c>
      <c r="AX173" s="41">
        <f t="shared" ref="AX173:AX193" ca="1" si="338">(1/U173)*(((1 + 0.2*(U173)^2)/1.2)^3)</f>
        <v>1.9721637799223111</v>
      </c>
      <c r="AY173" s="41">
        <f t="shared" ref="AY173:AY193" ca="1" si="339">($H$4/$H$3)*AX173</f>
        <v>2.6565437936172058</v>
      </c>
      <c r="AZ173" s="41">
        <f t="shared" ref="AZ173:AZ193" si="340">-6.6*10^(-3) + 0.825*J173 - 0.243*(J173^2)</f>
        <v>0.30044199110228809</v>
      </c>
      <c r="BA173" s="179">
        <f>2.12-0.00251*AF173+1.94*10^-6*AF173^2-7.84*10^-10*AF173^3+1.7*10^-13*AF173^4-1.89*10^-17*AF173^5+8.37*10^-22*AF173^6</f>
        <v>1.6880949796352283</v>
      </c>
    </row>
    <row r="174" spans="1:53" ht="14.5">
      <c r="A174" s="41">
        <f t="shared" ref="A174:A192" ca="1" si="341">A173+AM173</f>
        <v>15935.082171027138</v>
      </c>
      <c r="B174" s="41">
        <f t="shared" ca="1" si="302"/>
        <v>265.58470285045229</v>
      </c>
      <c r="C174" s="41">
        <f t="shared" ca="1" si="302"/>
        <v>4.426411714174205</v>
      </c>
      <c r="D174" s="41">
        <f t="shared" ref="D174:D192" ca="1" si="342">D173-AN173</f>
        <v>13220.220571750337</v>
      </c>
      <c r="E174" s="41" t="e">
        <f t="shared" ref="E174:E192" ca="1" si="343">E173+AO173</f>
        <v>#NUM!</v>
      </c>
      <c r="F174" s="41">
        <f t="shared" ref="F174:F192" ca="1" si="344">F173+AO173</f>
        <v>1.0899161481676816</v>
      </c>
      <c r="G174" s="41"/>
      <c r="H174" s="7">
        <f t="shared" ref="H174:H192" si="345">H173+AL173</f>
        <v>9500</v>
      </c>
      <c r="I174" s="6">
        <v>15</v>
      </c>
      <c r="J174" s="41">
        <f t="shared" si="304"/>
        <v>0.40960489908887399</v>
      </c>
      <c r="K174" s="41">
        <f t="shared" si="305"/>
        <v>454.26111873690741</v>
      </c>
      <c r="L174" s="6">
        <f t="shared" si="306"/>
        <v>228.25</v>
      </c>
      <c r="M174" s="41">
        <f t="shared" si="307"/>
        <v>269.14244467371788</v>
      </c>
      <c r="N174" s="41">
        <f t="shared" si="308"/>
        <v>174.26126664614998</v>
      </c>
      <c r="O174" s="41">
        <f t="shared" si="309"/>
        <v>2074376.5388431523</v>
      </c>
      <c r="P174" s="41">
        <f t="shared" si="310"/>
        <v>13318955.010922588</v>
      </c>
      <c r="Q174" s="41">
        <f t="shared" si="311"/>
        <v>2.8259908405931736E-3</v>
      </c>
      <c r="R174" s="41">
        <f t="shared" si="312"/>
        <v>2.2180994002298608E-2</v>
      </c>
      <c r="S174" s="24">
        <f t="shared" ref="S174:S193" ca="1" si="346">T174</f>
        <v>-4.1565313680882756</v>
      </c>
      <c r="T174" s="10">
        <f t="shared" ca="1" si="313"/>
        <v>-4.1565313680882756</v>
      </c>
      <c r="U174" s="41">
        <f t="shared" ca="1" si="314"/>
        <v>0.32897749732574688</v>
      </c>
      <c r="V174" s="41">
        <f t="shared" ca="1" si="315"/>
        <v>2.901620579071542E-2</v>
      </c>
      <c r="W174" s="41">
        <f t="shared" ca="1" si="316"/>
        <v>11.337715885342005</v>
      </c>
      <c r="X174" s="20">
        <f t="shared" ca="1" si="317"/>
        <v>1162.9721781017467</v>
      </c>
      <c r="Y174" s="41">
        <f t="shared" si="318"/>
        <v>0.59262600765320828</v>
      </c>
      <c r="Z174" s="41">
        <f t="shared" ca="1" si="319"/>
        <v>168.18336651886906</v>
      </c>
      <c r="AA174" s="14">
        <f t="shared" ca="1" si="320"/>
        <v>1166.0391480476355</v>
      </c>
      <c r="AB174" s="14">
        <f t="shared" ref="AB174:AB193" si="347">$B$15*AR174*0.93</f>
        <v>4095.0038974850663</v>
      </c>
      <c r="AC174" s="25">
        <f t="shared" ca="1" si="321"/>
        <v>529686.24788314931</v>
      </c>
      <c r="AD174" s="41">
        <f t="shared" si="322"/>
        <v>1860201.0517035623</v>
      </c>
      <c r="AE174" s="6">
        <v>5</v>
      </c>
      <c r="AF174" s="41">
        <f t="shared" si="323"/>
        <v>204.75019487425334</v>
      </c>
      <c r="AG174" s="41">
        <f t="shared" ca="1" si="324"/>
        <v>2928.9647494374308</v>
      </c>
      <c r="AH174" s="41">
        <f t="shared" ca="1" si="325"/>
        <v>1330514.8038204131</v>
      </c>
      <c r="AI174" s="41">
        <f t="shared" si="326"/>
        <v>161.7499600417039</v>
      </c>
      <c r="AJ174" s="13">
        <f t="shared" ca="1" si="327"/>
        <v>-32.925546721160984</v>
      </c>
      <c r="AK174" s="11"/>
      <c r="AL174" s="6">
        <v>-500</v>
      </c>
      <c r="AM174" s="41">
        <f t="shared" ca="1" si="328"/>
        <v>15.185776692924405</v>
      </c>
      <c r="AN174" s="41">
        <f t="shared" ca="1" si="329"/>
        <v>0.68230521480076689</v>
      </c>
      <c r="AO174" s="41">
        <f t="shared" ca="1" si="330"/>
        <v>1.1323296908323675</v>
      </c>
      <c r="AP174" s="67">
        <f t="shared" ref="AP174:AP193" si="348">0.705 + 0.302*AZ174 + -0.0327*AZ174^2</f>
        <v>0.78998684294802313</v>
      </c>
      <c r="AQ174" s="11">
        <f t="shared" si="331"/>
        <v>0.98674039571837591</v>
      </c>
      <c r="AR174" s="11">
        <f t="shared" si="332"/>
        <v>0.70115127345474038</v>
      </c>
      <c r="AS174" s="11">
        <f t="shared" si="333"/>
        <v>0.71057319280445763</v>
      </c>
      <c r="AT174" s="11">
        <f t="shared" si="334"/>
        <v>511.79264104725002</v>
      </c>
      <c r="AU174" s="11">
        <f t="shared" si="335"/>
        <v>1483.7903479103904</v>
      </c>
      <c r="AV174" s="11">
        <f t="shared" si="336"/>
        <v>1.6889614219769153E-3</v>
      </c>
      <c r="AW174" s="11">
        <f t="shared" si="337"/>
        <v>3.6986028846941337E-7</v>
      </c>
      <c r="AX174" s="41">
        <f t="shared" ca="1" si="338"/>
        <v>1.8758167759038662</v>
      </c>
      <c r="AY174" s="41">
        <f t="shared" ca="1" si="339"/>
        <v>2.526762465025473</v>
      </c>
      <c r="AZ174" s="41">
        <f t="shared" si="340"/>
        <v>0.29055443162242262</v>
      </c>
      <c r="BA174" s="179">
        <f t="shared" ref="BA174:BA192" si="349">2.12-0.00251*AF174+1.94*10^-6*AF174^2-7.84*10^-10*AF174^3+1.7*10^-13*AF174^4-1.89*10^-17*AF174^5+8.37*10^-22*AF174^6</f>
        <v>1.6809693771441789</v>
      </c>
    </row>
    <row r="175" spans="1:53" ht="14.5">
      <c r="A175" s="41">
        <f t="shared" ca="1" si="341"/>
        <v>15950.267947720062</v>
      </c>
      <c r="B175" s="41">
        <f t="shared" ca="1" si="302"/>
        <v>265.83779912866771</v>
      </c>
      <c r="C175" s="41">
        <f t="shared" ca="1" si="302"/>
        <v>4.4306299854777951</v>
      </c>
      <c r="D175" s="41">
        <f t="shared" ca="1" si="342"/>
        <v>13219.538266535536</v>
      </c>
      <c r="E175" s="41" t="e">
        <f t="shared" ca="1" si="343"/>
        <v>#NUM!</v>
      </c>
      <c r="F175" s="41">
        <f t="shared" ca="1" si="344"/>
        <v>2.222245839000049</v>
      </c>
      <c r="G175" s="41"/>
      <c r="H175" s="7">
        <f t="shared" si="345"/>
        <v>9000</v>
      </c>
      <c r="I175" s="6">
        <v>15</v>
      </c>
      <c r="J175" s="41">
        <f t="shared" si="304"/>
        <v>0.39394980444815314</v>
      </c>
      <c r="K175" s="41">
        <f t="shared" si="305"/>
        <v>437.65965224645907</v>
      </c>
      <c r="L175" s="6">
        <f t="shared" si="306"/>
        <v>221.5</v>
      </c>
      <c r="M175" s="41">
        <f t="shared" si="307"/>
        <v>259.30634140159106</v>
      </c>
      <c r="N175" s="41">
        <f t="shared" si="308"/>
        <v>164.33591373381282</v>
      </c>
      <c r="O175" s="41">
        <f t="shared" si="309"/>
        <v>2024935.3394270418</v>
      </c>
      <c r="P175" s="41">
        <f t="shared" si="310"/>
        <v>13001507.769123148</v>
      </c>
      <c r="Q175" s="41">
        <f t="shared" si="311"/>
        <v>2.840006647023649E-3</v>
      </c>
      <c r="R175" s="41">
        <f t="shared" si="312"/>
        <v>2.2266204995469708E-2</v>
      </c>
      <c r="S175" s="24">
        <f t="shared" ca="1" si="346"/>
        <v>-4.0056261422794135</v>
      </c>
      <c r="T175" s="10">
        <f t="shared" ca="1" si="313"/>
        <v>-4.0056261422794135</v>
      </c>
      <c r="U175" s="41">
        <f t="shared" ca="1" si="314"/>
        <v>0.34889421790539538</v>
      </c>
      <c r="V175" s="41">
        <f t="shared" ca="1" si="315"/>
        <v>2.9954094541370411E-2</v>
      </c>
      <c r="W175" s="41">
        <f t="shared" ca="1" si="316"/>
        <v>11.647630257143247</v>
      </c>
      <c r="X175" s="20">
        <f t="shared" ca="1" si="317"/>
        <v>1132.1827042007778</v>
      </c>
      <c r="Y175" s="41">
        <f t="shared" si="318"/>
        <v>0.59376323903298667</v>
      </c>
      <c r="Z175" s="41">
        <f t="shared" ca="1" si="319"/>
        <v>166.8698117998984</v>
      </c>
      <c r="AA175" s="14">
        <f t="shared" ca="1" si="320"/>
        <v>1134.9551775502377</v>
      </c>
      <c r="AB175" s="14">
        <f t="shared" si="347"/>
        <v>4174.7881608426615</v>
      </c>
      <c r="AC175" s="25">
        <f t="shared" ca="1" si="321"/>
        <v>496724.08832195529</v>
      </c>
      <c r="AD175" s="41">
        <f t="shared" si="322"/>
        <v>1827136.3346770336</v>
      </c>
      <c r="AE175" s="6">
        <v>5</v>
      </c>
      <c r="AF175" s="41">
        <f t="shared" si="323"/>
        <v>208.73940804213308</v>
      </c>
      <c r="AG175" s="41">
        <f t="shared" ca="1" si="324"/>
        <v>3039.8329832924237</v>
      </c>
      <c r="AH175" s="41">
        <f t="shared" ca="1" si="325"/>
        <v>1330412.2463550782</v>
      </c>
      <c r="AI175" s="41">
        <f t="shared" si="326"/>
        <v>164.31834881948879</v>
      </c>
      <c r="AJ175" s="13">
        <f t="shared" ca="1" si="327"/>
        <v>-30.572465067801016</v>
      </c>
      <c r="AK175" s="11"/>
      <c r="AL175" s="6">
        <v>-500</v>
      </c>
      <c r="AM175" s="41">
        <f t="shared" ca="1" si="328"/>
        <v>16.354585699620312</v>
      </c>
      <c r="AN175" s="41">
        <f t="shared" ca="1" si="329"/>
        <v>0.74648847716345379</v>
      </c>
      <c r="AO175" s="41">
        <f t="shared" ca="1" si="330"/>
        <v>1.1751356171810279</v>
      </c>
      <c r="AP175" s="67">
        <f t="shared" si="348"/>
        <v>0.78719370894412943</v>
      </c>
      <c r="AQ175" s="11">
        <f t="shared" si="331"/>
        <v>0.99017807071837594</v>
      </c>
      <c r="AR175" s="11">
        <f t="shared" si="332"/>
        <v>0.71481202671780375</v>
      </c>
      <c r="AS175" s="11">
        <f t="shared" si="333"/>
        <v>0.72190250204107864</v>
      </c>
      <c r="AT175" s="11">
        <f t="shared" si="334"/>
        <v>513.57565993950004</v>
      </c>
      <c r="AU175" s="11">
        <f t="shared" si="335"/>
        <v>1512.6995071807505</v>
      </c>
      <c r="AV175" s="11">
        <f t="shared" si="336"/>
        <v>1.7158900571014398E-3</v>
      </c>
      <c r="AW175" s="11">
        <f t="shared" si="337"/>
        <v>3.7086411159018176E-7</v>
      </c>
      <c r="AX175" s="41">
        <f t="shared" ca="1" si="338"/>
        <v>1.7827966069313019</v>
      </c>
      <c r="AY175" s="41">
        <f t="shared" ca="1" si="339"/>
        <v>2.4014624493366017</v>
      </c>
      <c r="AZ175" s="41">
        <f t="shared" si="340"/>
        <v>0.28069585170251499</v>
      </c>
      <c r="BA175" s="179">
        <f t="shared" si="349"/>
        <v>1.6737787131866557</v>
      </c>
    </row>
    <row r="176" spans="1:53" ht="14.5">
      <c r="A176" s="41">
        <f t="shared" ca="1" si="341"/>
        <v>15966.622533419682</v>
      </c>
      <c r="B176" s="41">
        <f t="shared" ca="1" si="302"/>
        <v>266.11037555699471</v>
      </c>
      <c r="C176" s="41">
        <f t="shared" ca="1" si="302"/>
        <v>4.435172925949912</v>
      </c>
      <c r="D176" s="41">
        <f t="shared" ca="1" si="342"/>
        <v>13218.791778058372</v>
      </c>
      <c r="E176" s="41" t="e">
        <f t="shared" ca="1" si="343"/>
        <v>#NUM!</v>
      </c>
      <c r="F176" s="41">
        <f t="shared" ca="1" si="344"/>
        <v>3.3973814561810771</v>
      </c>
      <c r="G176" s="41"/>
      <c r="H176" s="7">
        <f t="shared" si="345"/>
        <v>8500</v>
      </c>
      <c r="I176" s="6">
        <v>15</v>
      </c>
      <c r="J176" s="41">
        <f t="shared" si="304"/>
        <v>0.37853311039951137</v>
      </c>
      <c r="K176" s="41">
        <f t="shared" si="305"/>
        <v>421.26179667477817</v>
      </c>
      <c r="L176" s="6">
        <f t="shared" si="306"/>
        <v>214.75</v>
      </c>
      <c r="M176" s="41">
        <f t="shared" si="307"/>
        <v>249.59087434105928</v>
      </c>
      <c r="N176" s="41">
        <f t="shared" si="308"/>
        <v>154.67065463918735</v>
      </c>
      <c r="O176" s="41">
        <f t="shared" si="309"/>
        <v>1974690.6089307365</v>
      </c>
      <c r="P176" s="41">
        <f t="shared" si="310"/>
        <v>12678901.29316029</v>
      </c>
      <c r="Q176" s="41">
        <f t="shared" si="311"/>
        <v>2.8543898742884838E-3</v>
      </c>
      <c r="R176" s="41">
        <f t="shared" si="312"/>
        <v>2.2353649773358283E-2</v>
      </c>
      <c r="S176" s="24">
        <f t="shared" ca="1" si="346"/>
        <v>-3.8659015587785066</v>
      </c>
      <c r="T176" s="10">
        <f t="shared" ca="1" si="313"/>
        <v>-3.8659015587785066</v>
      </c>
      <c r="U176" s="41">
        <f t="shared" ca="1" si="314"/>
        <v>0.37073763370847473</v>
      </c>
      <c r="V176" s="41">
        <f t="shared" ca="1" si="315"/>
        <v>3.1034313608160821E-2</v>
      </c>
      <c r="W176" s="41">
        <f t="shared" ca="1" si="316"/>
        <v>11.946055530320642</v>
      </c>
      <c r="X176" s="20">
        <f t="shared" ca="1" si="317"/>
        <v>1104.0224484719772</v>
      </c>
      <c r="Y176" s="41">
        <f t="shared" si="318"/>
        <v>0.59492802255471522</v>
      </c>
      <c r="Z176" s="41">
        <f t="shared" ca="1" si="319"/>
        <v>165.56929199013902</v>
      </c>
      <c r="AA176" s="14">
        <f t="shared" ca="1" si="320"/>
        <v>1106.540292275334</v>
      </c>
      <c r="AB176" s="14">
        <f t="shared" si="347"/>
        <v>4255.8265023034601</v>
      </c>
      <c r="AC176" s="25">
        <f t="shared" ca="1" si="321"/>
        <v>466143.15161694132</v>
      </c>
      <c r="AD176" s="41">
        <f t="shared" si="322"/>
        <v>1792817.1186964926</v>
      </c>
      <c r="AE176" s="6">
        <v>5</v>
      </c>
      <c r="AF176" s="41">
        <f t="shared" si="323"/>
        <v>212.79132511517301</v>
      </c>
      <c r="AG176" s="41">
        <f t="shared" ca="1" si="324"/>
        <v>3149.2862100281263</v>
      </c>
      <c r="AH176" s="41">
        <f t="shared" ca="1" si="325"/>
        <v>1326673.9670795514</v>
      </c>
      <c r="AI176" s="41">
        <f t="shared" si="326"/>
        <v>166.91432543427899</v>
      </c>
      <c r="AJ176" s="13">
        <f t="shared" ca="1" si="327"/>
        <v>-28.402113489748494</v>
      </c>
      <c r="AK176" s="11"/>
      <c r="AL176" s="6">
        <v>-500</v>
      </c>
      <c r="AM176" s="41">
        <f t="shared" ca="1" si="328"/>
        <v>17.604323712757179</v>
      </c>
      <c r="AN176" s="41">
        <f t="shared" ca="1" si="329"/>
        <v>0.81622606034487399</v>
      </c>
      <c r="AO176" s="41">
        <f t="shared" ca="1" si="330"/>
        <v>1.2177446191544496</v>
      </c>
      <c r="AP176" s="67">
        <f t="shared" si="348"/>
        <v>0.78440380661165043</v>
      </c>
      <c r="AQ176" s="11">
        <f t="shared" si="331"/>
        <v>0.99361574571837585</v>
      </c>
      <c r="AR176" s="11">
        <f t="shared" si="332"/>
        <v>0.72868750467492982</v>
      </c>
      <c r="AS176" s="11">
        <f t="shared" si="333"/>
        <v>0.73336952218696461</v>
      </c>
      <c r="AT176" s="11">
        <f t="shared" si="334"/>
        <v>515.35867883175001</v>
      </c>
      <c r="AU176" s="11">
        <f t="shared" si="335"/>
        <v>1542.0630711431797</v>
      </c>
      <c r="AV176" s="11">
        <f t="shared" si="336"/>
        <v>1.743146017286196E-3</v>
      </c>
      <c r="AW176" s="11">
        <f t="shared" si="337"/>
        <v>3.7186626592916741E-7</v>
      </c>
      <c r="AX176" s="41">
        <f t="shared" ca="1" si="338"/>
        <v>1.6932515620166555</v>
      </c>
      <c r="AY176" s="41">
        <f t="shared" ca="1" si="339"/>
        <v>2.2808434947959455</v>
      </c>
      <c r="AZ176" s="41">
        <f t="shared" si="340"/>
        <v>0.27087099837209583</v>
      </c>
      <c r="BA176" s="179">
        <f t="shared" si="349"/>
        <v>1.6665236281057692</v>
      </c>
    </row>
    <row r="177" spans="1:53" ht="14.5">
      <c r="A177" s="41">
        <f t="shared" ca="1" si="341"/>
        <v>15984.22685713244</v>
      </c>
      <c r="B177" s="41">
        <f t="shared" ca="1" si="302"/>
        <v>266.40378095220734</v>
      </c>
      <c r="C177" s="41">
        <f t="shared" ca="1" si="302"/>
        <v>4.4400630158701224</v>
      </c>
      <c r="D177" s="41">
        <f t="shared" ca="1" si="342"/>
        <v>13217.975551998028</v>
      </c>
      <c r="E177" s="41" t="e">
        <f t="shared" ca="1" si="343"/>
        <v>#NUM!</v>
      </c>
      <c r="F177" s="41">
        <f t="shared" ca="1" si="344"/>
        <v>4.6151260753355263</v>
      </c>
      <c r="G177" s="41"/>
      <c r="H177" s="7">
        <f t="shared" si="345"/>
        <v>8000</v>
      </c>
      <c r="I177" s="6">
        <v>15</v>
      </c>
      <c r="J177" s="41">
        <f t="shared" si="304"/>
        <v>0.36335353483672472</v>
      </c>
      <c r="K177" s="41">
        <f t="shared" si="305"/>
        <v>405.06766192579414</v>
      </c>
      <c r="L177" s="6">
        <f t="shared" si="306"/>
        <v>208</v>
      </c>
      <c r="M177" s="41">
        <f t="shared" si="307"/>
        <v>239.99610860844223</v>
      </c>
      <c r="N177" s="41">
        <f t="shared" si="308"/>
        <v>145.27068979942126</v>
      </c>
      <c r="O177" s="41">
        <f t="shared" si="309"/>
        <v>1923653.0894040815</v>
      </c>
      <c r="P177" s="41">
        <f t="shared" si="310"/>
        <v>12351204.554542286</v>
      </c>
      <c r="Q177" s="41">
        <f t="shared" si="311"/>
        <v>2.8691783391758797E-3</v>
      </c>
      <c r="R177" s="41">
        <f t="shared" si="312"/>
        <v>2.2443558248249246E-2</v>
      </c>
      <c r="S177" s="24">
        <f t="shared" ca="1" si="346"/>
        <v>-3.7384145239100062</v>
      </c>
      <c r="T177" s="10">
        <f t="shared" ca="1" si="313"/>
        <v>-3.7384145239100062</v>
      </c>
      <c r="U177" s="41">
        <f t="shared" ca="1" si="314"/>
        <v>0.39476078298267564</v>
      </c>
      <c r="V177" s="41">
        <f t="shared" ca="1" si="315"/>
        <v>3.2285654189758962E-2</v>
      </c>
      <c r="W177" s="41">
        <f t="shared" ca="1" si="316"/>
        <v>12.227126657012082</v>
      </c>
      <c r="X177" s="20">
        <f t="shared" ca="1" si="317"/>
        <v>1078.7366285975277</v>
      </c>
      <c r="Y177" s="41">
        <f t="shared" si="318"/>
        <v>0.59612325007006461</v>
      </c>
      <c r="Z177" s="41">
        <f t="shared" ca="1" si="319"/>
        <v>164.28161106084696</v>
      </c>
      <c r="AA177" s="14">
        <f t="shared" ca="1" si="320"/>
        <v>1081.0369371955192</v>
      </c>
      <c r="AB177" s="14">
        <f t="shared" si="347"/>
        <v>4338.1339470567436</v>
      </c>
      <c r="AC177" s="25">
        <f t="shared" ca="1" si="321"/>
        <v>437893.10460521048</v>
      </c>
      <c r="AD177" s="41">
        <f t="shared" si="322"/>
        <v>1757237.7750551919</v>
      </c>
      <c r="AE177" s="6">
        <v>5</v>
      </c>
      <c r="AF177" s="41">
        <f t="shared" si="323"/>
        <v>216.9066973528372</v>
      </c>
      <c r="AG177" s="41">
        <f t="shared" ca="1" si="324"/>
        <v>3257.0970098612243</v>
      </c>
      <c r="AH177" s="41">
        <f t="shared" ca="1" si="325"/>
        <v>1319344.6704499815</v>
      </c>
      <c r="AI177" s="41">
        <f t="shared" si="326"/>
        <v>169.53828545390974</v>
      </c>
      <c r="AJ177" s="13">
        <f t="shared" ca="1" si="327"/>
        <v>-26.410960880782142</v>
      </c>
      <c r="AK177" s="11"/>
      <c r="AL177" s="6">
        <v>-500</v>
      </c>
      <c r="AM177" s="41">
        <f t="shared" ca="1" si="328"/>
        <v>18.931533852818795</v>
      </c>
      <c r="AN177" s="41">
        <f t="shared" ca="1" si="329"/>
        <v>0.89156105289431908</v>
      </c>
      <c r="AO177" s="41">
        <f t="shared" ca="1" si="330"/>
        <v>1.2593962440236253</v>
      </c>
      <c r="AP177" s="67">
        <f t="shared" si="348"/>
        <v>0.78161849091328728</v>
      </c>
      <c r="AQ177" s="11">
        <f t="shared" si="331"/>
        <v>0.99705342071837588</v>
      </c>
      <c r="AR177" s="11">
        <f t="shared" si="332"/>
        <v>0.7427802799562947</v>
      </c>
      <c r="AS177" s="11">
        <f t="shared" si="333"/>
        <v>0.74497540906195614</v>
      </c>
      <c r="AT177" s="11">
        <f t="shared" si="334"/>
        <v>517.14169772399998</v>
      </c>
      <c r="AU177" s="11">
        <f t="shared" si="335"/>
        <v>1571.8864840491099</v>
      </c>
      <c r="AV177" s="11">
        <f t="shared" si="336"/>
        <v>1.7707320497993635E-3</v>
      </c>
      <c r="AW177" s="11">
        <f t="shared" si="337"/>
        <v>3.7286675818013285E-7</v>
      </c>
      <c r="AX177" s="41">
        <f t="shared" ca="1" si="338"/>
        <v>1.607346652499444</v>
      </c>
      <c r="AY177" s="41">
        <f t="shared" ca="1" si="339"/>
        <v>2.1651278749562048</v>
      </c>
      <c r="AZ177" s="41">
        <f t="shared" si="340"/>
        <v>0.26108439895966057</v>
      </c>
      <c r="BA177" s="179">
        <f t="shared" si="349"/>
        <v>1.6592047994433585</v>
      </c>
    </row>
    <row r="178" spans="1:53" ht="14.5">
      <c r="A178" s="41">
        <f t="shared" ca="1" si="341"/>
        <v>16003.15839098526</v>
      </c>
      <c r="B178" s="41">
        <f t="shared" ca="1" si="302"/>
        <v>266.719306516421</v>
      </c>
      <c r="C178" s="41">
        <f t="shared" ca="1" si="302"/>
        <v>4.4453217752736833</v>
      </c>
      <c r="D178" s="41">
        <f t="shared" ca="1" si="342"/>
        <v>13217.083990945133</v>
      </c>
      <c r="E178" s="41" t="e">
        <f t="shared" ca="1" si="343"/>
        <v>#NUM!</v>
      </c>
      <c r="F178" s="41">
        <f t="shared" ca="1" si="344"/>
        <v>5.8745223193591514</v>
      </c>
      <c r="G178" s="41"/>
      <c r="H178" s="7">
        <f t="shared" si="345"/>
        <v>7500</v>
      </c>
      <c r="I178" s="6">
        <v>15</v>
      </c>
      <c r="J178" s="41">
        <f t="shared" si="304"/>
        <v>0.34840964357819415</v>
      </c>
      <c r="K178" s="41">
        <f t="shared" si="305"/>
        <v>389.07717235195258</v>
      </c>
      <c r="L178" s="6">
        <f t="shared" si="306"/>
        <v>201.25</v>
      </c>
      <c r="M178" s="41">
        <f t="shared" si="307"/>
        <v>230.52199938377427</v>
      </c>
      <c r="N178" s="41">
        <f t="shared" si="308"/>
        <v>136.14082846911029</v>
      </c>
      <c r="O178" s="41">
        <f t="shared" si="309"/>
        <v>1871833.1435140141</v>
      </c>
      <c r="P178" s="41">
        <f t="shared" si="310"/>
        <v>12018484.088872559</v>
      </c>
      <c r="Q178" s="41">
        <f t="shared" si="311"/>
        <v>2.8844136438311925E-3</v>
      </c>
      <c r="R178" s="41">
        <f t="shared" si="312"/>
        <v>2.2536183346018909E-2</v>
      </c>
      <c r="S178" s="24">
        <f t="shared" ca="1" si="346"/>
        <v>-3.6243685038222009</v>
      </c>
      <c r="T178" s="10">
        <f t="shared" ca="1" si="313"/>
        <v>-3.6243685038222009</v>
      </c>
      <c r="U178" s="41">
        <f t="shared" ca="1" si="314"/>
        <v>0.42125972187005389</v>
      </c>
      <c r="V178" s="41">
        <f t="shared" ca="1" si="315"/>
        <v>3.3743959906651536E-2</v>
      </c>
      <c r="W178" s="41">
        <f t="shared" ca="1" si="316"/>
        <v>12.484003745719722</v>
      </c>
      <c r="X178" s="20">
        <f t="shared" ca="1" si="317"/>
        <v>1056.6040512295958</v>
      </c>
      <c r="Y178" s="41">
        <f t="shared" si="318"/>
        <v>0.59735209091508201</v>
      </c>
      <c r="Z178" s="41">
        <f t="shared" ca="1" si="319"/>
        <v>163.00656601483783</v>
      </c>
      <c r="AA178" s="14">
        <f t="shared" ca="1" si="320"/>
        <v>1058.7215656256717</v>
      </c>
      <c r="AB178" s="14">
        <f t="shared" si="347"/>
        <v>4421.7256445668172</v>
      </c>
      <c r="AC178" s="25">
        <f t="shared" ca="1" si="321"/>
        <v>411924.39306166855</v>
      </c>
      <c r="AD178" s="41">
        <f t="shared" si="322"/>
        <v>1720392.5107041721</v>
      </c>
      <c r="AE178" s="6">
        <v>5</v>
      </c>
      <c r="AF178" s="41">
        <f t="shared" si="323"/>
        <v>221.08628222834088</v>
      </c>
      <c r="AG178" s="41">
        <f t="shared" ca="1" si="324"/>
        <v>3363.0040789411455</v>
      </c>
      <c r="AH178" s="41">
        <f t="shared" ca="1" si="325"/>
        <v>1308468.1176425035</v>
      </c>
      <c r="AI178" s="41">
        <f t="shared" si="326"/>
        <v>172.19063341572669</v>
      </c>
      <c r="AJ178" s="13">
        <f t="shared" ca="1" si="327"/>
        <v>-24.595507695610412</v>
      </c>
      <c r="AK178" s="11"/>
      <c r="AL178" s="6">
        <v>-500</v>
      </c>
      <c r="AM178" s="41">
        <f t="shared" ca="1" si="328"/>
        <v>20.328915596616678</v>
      </c>
      <c r="AN178" s="41">
        <f t="shared" ca="1" si="329"/>
        <v>0.97234690367674204</v>
      </c>
      <c r="AO178" s="41">
        <f t="shared" ca="1" si="330"/>
        <v>1.2991359524045583</v>
      </c>
      <c r="AP178" s="67">
        <f t="shared" si="348"/>
        <v>0.77883906536492342</v>
      </c>
      <c r="AQ178" s="11">
        <f t="shared" si="331"/>
        <v>1.0004910957183759</v>
      </c>
      <c r="AR178" s="11">
        <f t="shared" si="332"/>
        <v>0.75709294647058711</v>
      </c>
      <c r="AS178" s="11">
        <f t="shared" si="333"/>
        <v>0.75672132386843161</v>
      </c>
      <c r="AT178" s="11">
        <f t="shared" si="334"/>
        <v>518.92471661624995</v>
      </c>
      <c r="AU178" s="11">
        <f t="shared" si="335"/>
        <v>1602.1752351799857</v>
      </c>
      <c r="AV178" s="11">
        <f t="shared" si="336"/>
        <v>1.798650914702875E-3</v>
      </c>
      <c r="AW178" s="11">
        <f t="shared" si="337"/>
        <v>3.7386559500013913E-7</v>
      </c>
      <c r="AX178" s="41">
        <f t="shared" ca="1" si="338"/>
        <v>1.5252692225798081</v>
      </c>
      <c r="AY178" s="41">
        <f t="shared" ca="1" si="339"/>
        <v>2.0545679461770399</v>
      </c>
      <c r="AZ178" s="41">
        <f t="shared" si="340"/>
        <v>0.25134036097560708</v>
      </c>
      <c r="BA178" s="179">
        <f t="shared" si="349"/>
        <v>1.6518229424002391</v>
      </c>
    </row>
    <row r="179" spans="1:53" ht="14.5">
      <c r="A179" s="41">
        <f t="shared" ca="1" si="341"/>
        <v>16023.487306581876</v>
      </c>
      <c r="B179" s="41">
        <f t="shared" ca="1" si="302"/>
        <v>267.0581217763646</v>
      </c>
      <c r="C179" s="41">
        <f t="shared" ca="1" si="302"/>
        <v>4.4509686962727431</v>
      </c>
      <c r="D179" s="41">
        <f t="shared" ca="1" si="342"/>
        <v>13216.111644041457</v>
      </c>
      <c r="E179" s="41" t="e">
        <f t="shared" ca="1" si="343"/>
        <v>#NUM!</v>
      </c>
      <c r="F179" s="41">
        <f t="shared" ca="1" si="344"/>
        <v>7.1736582717637098</v>
      </c>
      <c r="G179" s="41"/>
      <c r="H179" s="7">
        <f t="shared" si="345"/>
        <v>7000</v>
      </c>
      <c r="I179" s="6">
        <v>15</v>
      </c>
      <c r="J179" s="41">
        <f t="shared" si="304"/>
        <v>0.33369985727986495</v>
      </c>
      <c r="K179" s="41">
        <f t="shared" si="305"/>
        <v>373.29007312496356</v>
      </c>
      <c r="L179" s="6">
        <f t="shared" si="306"/>
        <v>194.5</v>
      </c>
      <c r="M179" s="41">
        <f t="shared" si="307"/>
        <v>221.16839568537091</v>
      </c>
      <c r="N179" s="41">
        <f t="shared" si="308"/>
        <v>127.28550269096864</v>
      </c>
      <c r="O179" s="41">
        <f t="shared" si="309"/>
        <v>1819240.7345242924</v>
      </c>
      <c r="P179" s="41">
        <f t="shared" si="310"/>
        <v>11680803.867305463</v>
      </c>
      <c r="Q179" s="41">
        <f t="shared" si="311"/>
        <v>2.9001417123174374E-3</v>
      </c>
      <c r="R179" s="41">
        <f t="shared" si="312"/>
        <v>2.2631804268227276E-2</v>
      </c>
      <c r="S179" s="24">
        <f t="shared" ca="1" si="346"/>
        <v>-3.525146437811379</v>
      </c>
      <c r="T179" s="10">
        <f t="shared" ca="1" si="313"/>
        <v>-3.525146437811379</v>
      </c>
      <c r="U179" s="41">
        <f t="shared" ca="1" si="314"/>
        <v>0.45058260083161988</v>
      </c>
      <c r="V179" s="41">
        <f t="shared" ca="1" si="315"/>
        <v>3.5454177847217223E-2</v>
      </c>
      <c r="W179" s="41">
        <f t="shared" ca="1" si="316"/>
        <v>12.7088717942725</v>
      </c>
      <c r="X179" s="20">
        <f t="shared" ca="1" si="317"/>
        <v>1037.9446554489512</v>
      </c>
      <c r="Y179" s="41">
        <f t="shared" si="318"/>
        <v>0.59861803057858731</v>
      </c>
      <c r="Z179" s="41">
        <f t="shared" ca="1" si="319"/>
        <v>161.74394399264187</v>
      </c>
      <c r="AA179" s="14">
        <f t="shared" ca="1" si="320"/>
        <v>1039.9122642812051</v>
      </c>
      <c r="AB179" s="14">
        <f t="shared" si="347"/>
        <v>4506.6168691432204</v>
      </c>
      <c r="AC179" s="25">
        <f t="shared" ca="1" si="321"/>
        <v>388188.92517707747</v>
      </c>
      <c r="AD179" s="41">
        <f t="shared" si="322"/>
        <v>1682275.340628667</v>
      </c>
      <c r="AE179" s="6">
        <v>5</v>
      </c>
      <c r="AF179" s="41">
        <f t="shared" si="323"/>
        <v>225.33084345716102</v>
      </c>
      <c r="AG179" s="41">
        <f t="shared" ca="1" si="324"/>
        <v>3466.704604862015</v>
      </c>
      <c r="AH179" s="41">
        <f t="shared" ca="1" si="325"/>
        <v>1294086.4154515895</v>
      </c>
      <c r="AI179" s="41">
        <f t="shared" si="326"/>
        <v>174.87178243104577</v>
      </c>
      <c r="AJ179" s="13">
        <f t="shared" ca="1" si="327"/>
        <v>-22.952338590264045</v>
      </c>
      <c r="AK179" s="11"/>
      <c r="AL179" s="6">
        <v>-500</v>
      </c>
      <c r="AM179" s="41">
        <f t="shared" ca="1" si="328"/>
        <v>21.784272571340104</v>
      </c>
      <c r="AN179" s="41">
        <f t="shared" ca="1" si="329"/>
        <v>1.0581818259761069</v>
      </c>
      <c r="AO179" s="41">
        <f t="shared" ca="1" si="330"/>
        <v>1.3357990373335142</v>
      </c>
      <c r="AP179" s="67">
        <f t="shared" si="348"/>
        <v>0.77606678139600394</v>
      </c>
      <c r="AQ179" s="11">
        <f t="shared" si="331"/>
        <v>1.0039287707183759</v>
      </c>
      <c r="AR179" s="11">
        <f t="shared" si="332"/>
        <v>0.77162811950264032</v>
      </c>
      <c r="AS179" s="11">
        <f t="shared" si="333"/>
        <v>0.76860843319640149</v>
      </c>
      <c r="AT179" s="11">
        <f t="shared" si="334"/>
        <v>520.70773550850004</v>
      </c>
      <c r="AU179" s="11">
        <f t="shared" si="335"/>
        <v>1632.9348590538773</v>
      </c>
      <c r="AV179" s="11">
        <f t="shared" si="336"/>
        <v>1.8269053848645267E-3</v>
      </c>
      <c r="AW179" s="11">
        <f t="shared" si="337"/>
        <v>3.7486278300974495E-7</v>
      </c>
      <c r="AX179" s="41">
        <f t="shared" ca="1" si="338"/>
        <v>1.4472364402635587</v>
      </c>
      <c r="AY179" s="41">
        <f t="shared" ca="1" si="339"/>
        <v>1.9494562380768732</v>
      </c>
      <c r="AZ179" s="41">
        <f t="shared" si="340"/>
        <v>0.24164297273197821</v>
      </c>
      <c r="BA179" s="179">
        <f t="shared" si="349"/>
        <v>1.644378810280454</v>
      </c>
    </row>
    <row r="180" spans="1:53" ht="14.5">
      <c r="A180" s="41">
        <f t="shared" ca="1" si="341"/>
        <v>16045.271579153215</v>
      </c>
      <c r="B180" s="41">
        <f t="shared" ca="1" si="302"/>
        <v>267.42119298588693</v>
      </c>
      <c r="C180" s="41">
        <f t="shared" ca="1" si="302"/>
        <v>4.4570198830981154</v>
      </c>
      <c r="D180" s="41">
        <f t="shared" ca="1" si="342"/>
        <v>13215.053462215481</v>
      </c>
      <c r="E180" s="41" t="e">
        <f t="shared" ca="1" si="343"/>
        <v>#NUM!</v>
      </c>
      <c r="F180" s="41">
        <f t="shared" ca="1" si="344"/>
        <v>8.5094573090972236</v>
      </c>
      <c r="G180" s="41"/>
      <c r="H180" s="7">
        <f t="shared" si="345"/>
        <v>6500</v>
      </c>
      <c r="I180" s="6">
        <v>15</v>
      </c>
      <c r="J180" s="41">
        <f t="shared" si="304"/>
        <v>0.31922245857466119</v>
      </c>
      <c r="K180" s="41">
        <f t="shared" si="305"/>
        <v>357.70593694609045</v>
      </c>
      <c r="L180" s="6">
        <f t="shared" si="306"/>
        <v>187.75</v>
      </c>
      <c r="M180" s="41">
        <f t="shared" si="307"/>
        <v>211.93504434556746</v>
      </c>
      <c r="N180" s="41">
        <f t="shared" si="308"/>
        <v>118.70878203747388</v>
      </c>
      <c r="O180" s="41">
        <f t="shared" si="309"/>
        <v>1765885.4087592149</v>
      </c>
      <c r="P180" s="41">
        <f t="shared" si="310"/>
        <v>11338225.183951043</v>
      </c>
      <c r="Q180" s="41">
        <f t="shared" si="311"/>
        <v>2.9164134293559268E-3</v>
      </c>
      <c r="R180" s="41">
        <f t="shared" si="312"/>
        <v>2.273073037542821E-2</v>
      </c>
      <c r="S180" s="24">
        <f t="shared" ca="1" si="346"/>
        <v>-3.4423519636409372</v>
      </c>
      <c r="T180" s="10">
        <f t="shared" ca="1" si="313"/>
        <v>-3.4423519636409372</v>
      </c>
      <c r="U180" s="41">
        <f t="shared" ca="1" si="314"/>
        <v>0.48314105289968534</v>
      </c>
      <c r="V180" s="41">
        <f t="shared" ca="1" si="315"/>
        <v>3.7473106040773474E-2</v>
      </c>
      <c r="W180" s="41">
        <f t="shared" ca="1" si="316"/>
        <v>12.893007918105123</v>
      </c>
      <c r="X180" s="20">
        <f t="shared" ca="1" si="317"/>
        <v>1023.1289587701046</v>
      </c>
      <c r="Y180" s="41">
        <f t="shared" si="318"/>
        <v>0.59992491664641256</v>
      </c>
      <c r="Z180" s="41">
        <f t="shared" ca="1" si="319"/>
        <v>160.4935184908243</v>
      </c>
      <c r="AA180" s="14">
        <f t="shared" ca="1" si="320"/>
        <v>1024.9783096509327</v>
      </c>
      <c r="AB180" s="14">
        <f t="shared" si="347"/>
        <v>4592.8230205114587</v>
      </c>
      <c r="AC180" s="25">
        <f t="shared" ca="1" si="321"/>
        <v>366640.82660310692</v>
      </c>
      <c r="AD180" s="41">
        <f t="shared" si="322"/>
        <v>1642880.0617796245</v>
      </c>
      <c r="AE180" s="6">
        <v>5</v>
      </c>
      <c r="AF180" s="41">
        <f t="shared" si="323"/>
        <v>229.64115102557295</v>
      </c>
      <c r="AG180" s="41">
        <f t="shared" ca="1" si="324"/>
        <v>3567.844710860526</v>
      </c>
      <c r="AH180" s="41">
        <f t="shared" ca="1" si="325"/>
        <v>1276239.2351765176</v>
      </c>
      <c r="AI180" s="41">
        <f t="shared" si="326"/>
        <v>177.58215378873271</v>
      </c>
      <c r="AJ180" s="13">
        <f t="shared" ca="1" si="327"/>
        <v>-21.478180208358573</v>
      </c>
      <c r="AK180" s="11"/>
      <c r="AL180" s="6">
        <v>-500</v>
      </c>
      <c r="AM180" s="41">
        <f t="shared" ca="1" si="328"/>
        <v>23.279439652220493</v>
      </c>
      <c r="AN180" s="41">
        <f t="shared" ca="1" si="329"/>
        <v>1.1483369534544838</v>
      </c>
      <c r="AO180" s="41">
        <f t="shared" ca="1" si="330"/>
        <v>1.3680075643941401</v>
      </c>
      <c r="AP180" s="67">
        <f t="shared" si="348"/>
        <v>0.77330283790886012</v>
      </c>
      <c r="AQ180" s="11">
        <f t="shared" si="331"/>
        <v>1.0073664457183757</v>
      </c>
      <c r="AR180" s="11">
        <f t="shared" si="332"/>
        <v>0.78638843581115314</v>
      </c>
      <c r="AS180" s="11">
        <f t="shared" si="333"/>
        <v>0.78063790902858765</v>
      </c>
      <c r="AT180" s="11">
        <f t="shared" si="334"/>
        <v>522.49075440074989</v>
      </c>
      <c r="AU180" s="11">
        <f t="shared" si="335"/>
        <v>1664.1709356322783</v>
      </c>
      <c r="AV180" s="11">
        <f t="shared" si="336"/>
        <v>1.85549824597005E-3</v>
      </c>
      <c r="AW180" s="11">
        <f t="shared" si="337"/>
        <v>3.7585832879320501E-7</v>
      </c>
      <c r="AX180" s="41">
        <f t="shared" ca="1" si="338"/>
        <v>1.3735054608976867</v>
      </c>
      <c r="AY180" s="41">
        <f t="shared" ca="1" si="339"/>
        <v>1.8501391440171489</v>
      </c>
      <c r="AZ180" s="41">
        <f t="shared" si="340"/>
        <v>0.23199610465589179</v>
      </c>
      <c r="BA180" s="179">
        <f t="shared" si="349"/>
        <v>1.6368731949185307</v>
      </c>
    </row>
    <row r="181" spans="1:53" ht="14.5">
      <c r="A181" s="41">
        <f t="shared" ca="1" si="341"/>
        <v>16068.551018805436</v>
      </c>
      <c r="B181" s="41">
        <f t="shared" ca="1" si="302"/>
        <v>267.80918364675728</v>
      </c>
      <c r="C181" s="41">
        <f t="shared" ca="1" si="302"/>
        <v>4.4634863941126213</v>
      </c>
      <c r="D181" s="41">
        <f t="shared" ca="1" si="342"/>
        <v>13213.905125262027</v>
      </c>
      <c r="E181" s="41" t="e">
        <f t="shared" ca="1" si="343"/>
        <v>#NUM!</v>
      </c>
      <c r="F181" s="41">
        <f t="shared" ca="1" si="344"/>
        <v>9.8774648734913644</v>
      </c>
      <c r="G181" s="41"/>
      <c r="H181" s="7">
        <f t="shared" si="345"/>
        <v>6000</v>
      </c>
      <c r="I181" s="6">
        <v>15</v>
      </c>
      <c r="J181" s="41">
        <f t="shared" si="304"/>
        <v>0.30497559938464891</v>
      </c>
      <c r="K181" s="41">
        <f t="shared" si="305"/>
        <v>342.3241710380907</v>
      </c>
      <c r="L181" s="6">
        <f t="shared" si="306"/>
        <v>181</v>
      </c>
      <c r="M181" s="41">
        <f t="shared" si="307"/>
        <v>202.82159415333214</v>
      </c>
      <c r="N181" s="41">
        <f t="shared" si="308"/>
        <v>110.41438898433971</v>
      </c>
      <c r="O181" s="41">
        <f t="shared" si="309"/>
        <v>1711776.2804701226</v>
      </c>
      <c r="P181" s="41">
        <f t="shared" si="310"/>
        <v>10990806.558707349</v>
      </c>
      <c r="Q181" s="41">
        <f t="shared" si="311"/>
        <v>2.9332854046753374E-3</v>
      </c>
      <c r="R181" s="41">
        <f t="shared" si="312"/>
        <v>2.2833305834133122E-2</v>
      </c>
      <c r="S181" s="24">
        <f t="shared" ca="1" si="346"/>
        <v>-3.3778614284960611</v>
      </c>
      <c r="T181" s="10">
        <f t="shared" ca="1" si="313"/>
        <v>-3.3778614284960611</v>
      </c>
      <c r="U181" s="41">
        <f t="shared" ca="1" si="314"/>
        <v>0.51942458955899873</v>
      </c>
      <c r="V181" s="41">
        <f t="shared" ca="1" si="315"/>
        <v>3.9873110086184278E-2</v>
      </c>
      <c r="W181" s="41">
        <f t="shared" ca="1" si="316"/>
        <v>13.026939419480481</v>
      </c>
      <c r="X181" s="20">
        <f t="shared" ca="1" si="317"/>
        <v>1012.5899700264105</v>
      </c>
      <c r="Y181" s="41">
        <f t="shared" si="318"/>
        <v>0.60127701366594344</v>
      </c>
      <c r="Z181" s="41">
        <f t="shared" ca="1" si="319"/>
        <v>159.25504419697009</v>
      </c>
      <c r="AA181" s="14">
        <f t="shared" ca="1" si="320"/>
        <v>1014.3522357601477</v>
      </c>
      <c r="AB181" s="14">
        <f t="shared" si="347"/>
        <v>4680.3596243842703</v>
      </c>
      <c r="AC181" s="25">
        <f t="shared" ca="1" si="321"/>
        <v>347237.2882472265</v>
      </c>
      <c r="AD181" s="41">
        <f t="shared" si="322"/>
        <v>1602200.2285774949</v>
      </c>
      <c r="AE181" s="6">
        <v>5</v>
      </c>
      <c r="AF181" s="41">
        <f t="shared" si="323"/>
        <v>234.01798121921354</v>
      </c>
      <c r="AG181" s="41">
        <f t="shared" ca="1" si="324"/>
        <v>3666.0073886241225</v>
      </c>
      <c r="AH181" s="41">
        <f t="shared" ca="1" si="325"/>
        <v>1254962.9403302683</v>
      </c>
      <c r="AI181" s="41">
        <f t="shared" si="326"/>
        <v>180.32217656011053</v>
      </c>
      <c r="AJ181" s="13">
        <f t="shared" ca="1" si="327"/>
        <v>-20.169965512493892</v>
      </c>
      <c r="AK181" s="11"/>
      <c r="AL181" s="6">
        <v>-500</v>
      </c>
      <c r="AM181" s="41">
        <f t="shared" ca="1" si="328"/>
        <v>24.789333412111425</v>
      </c>
      <c r="AN181" s="41">
        <f t="shared" ca="1" si="329"/>
        <v>1.2416851545406122</v>
      </c>
      <c r="AO181" s="41">
        <f t="shared" ca="1" si="330"/>
        <v>1.3941880961227375</v>
      </c>
      <c r="AP181" s="67">
        <f t="shared" si="348"/>
        <v>0.77054838102887446</v>
      </c>
      <c r="AQ181" s="11">
        <f t="shared" si="331"/>
        <v>1.0108041207183758</v>
      </c>
      <c r="AR181" s="11">
        <f t="shared" si="332"/>
        <v>0.80137655372650329</v>
      </c>
      <c r="AS181" s="11">
        <f t="shared" si="333"/>
        <v>0.79281092874548942</v>
      </c>
      <c r="AT181" s="11">
        <f t="shared" si="334"/>
        <v>524.27377329299998</v>
      </c>
      <c r="AU181" s="11">
        <f t="shared" si="335"/>
        <v>1695.8890905271007</v>
      </c>
      <c r="AV181" s="11">
        <f t="shared" si="336"/>
        <v>1.8844322965351538E-3</v>
      </c>
      <c r="AW181" s="11">
        <f t="shared" si="337"/>
        <v>3.7685223889866925E-7</v>
      </c>
      <c r="AX181" s="41">
        <f t="shared" ca="1" si="338"/>
        <v>1.3043874563922231</v>
      </c>
      <c r="AY181" s="41">
        <f t="shared" ca="1" si="339"/>
        <v>1.757035818742902</v>
      </c>
      <c r="AZ181" s="41">
        <f t="shared" si="340"/>
        <v>0.22240341125086907</v>
      </c>
      <c r="BA181" s="179">
        <f t="shared" si="349"/>
        <v>1.6293069270887282</v>
      </c>
    </row>
    <row r="182" spans="1:53" ht="14.5">
      <c r="A182" s="41">
        <f t="shared" ca="1" si="341"/>
        <v>16093.340352217547</v>
      </c>
      <c r="B182" s="41">
        <f t="shared" ca="1" si="302"/>
        <v>268.22233920362578</v>
      </c>
      <c r="C182" s="41">
        <f t="shared" ca="1" si="302"/>
        <v>4.4703723200604299</v>
      </c>
      <c r="D182" s="41">
        <f t="shared" ca="1" si="342"/>
        <v>13212.663440107486</v>
      </c>
      <c r="E182" s="41" t="e">
        <f t="shared" ca="1" si="343"/>
        <v>#NUM!</v>
      </c>
      <c r="F182" s="41">
        <f t="shared" ca="1" si="344"/>
        <v>11.271652969614102</v>
      </c>
      <c r="G182" s="41"/>
      <c r="H182" s="7">
        <f t="shared" si="345"/>
        <v>5500</v>
      </c>
      <c r="I182" s="6">
        <v>15</v>
      </c>
      <c r="J182" s="41">
        <f t="shared" si="304"/>
        <v>0.29095730835485312</v>
      </c>
      <c r="K182" s="41">
        <f t="shared" si="305"/>
        <v>327.1440243631352</v>
      </c>
      <c r="L182" s="6">
        <f t="shared" si="306"/>
        <v>174.25</v>
      </c>
      <c r="M182" s="41">
        <f t="shared" si="307"/>
        <v>193.82760013076779</v>
      </c>
      <c r="N182" s="41">
        <f t="shared" si="308"/>
        <v>102.40571478320543</v>
      </c>
      <c r="O182" s="41">
        <f t="shared" si="309"/>
        <v>1656922.0190116777</v>
      </c>
      <c r="P182" s="41">
        <f t="shared" si="310"/>
        <v>10638603.654923132</v>
      </c>
      <c r="Q182" s="41">
        <f t="shared" si="311"/>
        <v>2.9508208928764601E-3</v>
      </c>
      <c r="R182" s="41">
        <f t="shared" si="312"/>
        <v>2.2939915209253262E-2</v>
      </c>
      <c r="S182" s="24">
        <f t="shared" ca="1" si="346"/>
        <v>-3.3338900139365566</v>
      </c>
      <c r="T182" s="10">
        <f t="shared" ca="1" si="313"/>
        <v>-3.3338900139365566</v>
      </c>
      <c r="U182" s="41">
        <f t="shared" ca="1" si="314"/>
        <v>0.56001894322880852</v>
      </c>
      <c r="V182" s="41">
        <f t="shared" ca="1" si="315"/>
        <v>4.2747203664909549E-2</v>
      </c>
      <c r="W182" s="41">
        <f t="shared" ca="1" si="316"/>
        <v>13.100715256575215</v>
      </c>
      <c r="X182" s="20">
        <f t="shared" ca="1" si="317"/>
        <v>1006.8383276463139</v>
      </c>
      <c r="Y182" s="41">
        <f t="shared" si="318"/>
        <v>0.60267906902482393</v>
      </c>
      <c r="Z182" s="41">
        <f t="shared" ca="1" si="319"/>
        <v>158.02824966870349</v>
      </c>
      <c r="AA182" s="14">
        <f t="shared" ca="1" si="320"/>
        <v>1008.5451962995749</v>
      </c>
      <c r="AB182" s="14">
        <f t="shared" si="347"/>
        <v>4769.2423330334022</v>
      </c>
      <c r="AC182" s="25">
        <f t="shared" ca="1" si="321"/>
        <v>329939.53426955111</v>
      </c>
      <c r="AD182" s="41">
        <f t="shared" si="322"/>
        <v>1560229.1299915751</v>
      </c>
      <c r="AE182" s="6">
        <v>5</v>
      </c>
      <c r="AF182" s="41">
        <f t="shared" si="323"/>
        <v>238.46211665167013</v>
      </c>
      <c r="AG182" s="41">
        <f t="shared" ca="1" si="324"/>
        <v>3760.6971367338274</v>
      </c>
      <c r="AH182" s="41">
        <f t="shared" ca="1" si="325"/>
        <v>1230289.5957220241</v>
      </c>
      <c r="AI182" s="41">
        <f t="shared" si="326"/>
        <v>183.09228720721572</v>
      </c>
      <c r="AJ182" s="13">
        <f t="shared" ca="1" si="327"/>
        <v>-19.02490644896351</v>
      </c>
      <c r="AK182" s="11"/>
      <c r="AL182" s="6">
        <v>-500</v>
      </c>
      <c r="AM182" s="41">
        <f t="shared" ca="1" si="328"/>
        <v>26.281338168011878</v>
      </c>
      <c r="AN182" s="41">
        <f t="shared" ca="1" si="329"/>
        <v>1.3366417544576643</v>
      </c>
      <c r="AO182" s="41">
        <f t="shared" ca="1" si="330"/>
        <v>1.4126187508729486</v>
      </c>
      <c r="AP182" s="67">
        <f t="shared" si="348"/>
        <v>0.76780450403644185</v>
      </c>
      <c r="AQ182" s="11">
        <f t="shared" si="331"/>
        <v>1.0142417957183758</v>
      </c>
      <c r="AR182" s="11">
        <f t="shared" si="332"/>
        <v>0.81659515324864762</v>
      </c>
      <c r="AS182" s="11">
        <f t="shared" si="333"/>
        <v>0.8051286751304334</v>
      </c>
      <c r="AT182" s="11">
        <f t="shared" si="334"/>
        <v>526.05679218524995</v>
      </c>
      <c r="AU182" s="11">
        <f t="shared" si="335"/>
        <v>1728.0949952078529</v>
      </c>
      <c r="AV182" s="11">
        <f t="shared" si="336"/>
        <v>1.9137103479175271E-3</v>
      </c>
      <c r="AW182" s="11">
        <f t="shared" si="337"/>
        <v>3.7784451983838536E-7</v>
      </c>
      <c r="AX182" s="41">
        <f t="shared" ca="1" si="338"/>
        <v>1.24026734179545</v>
      </c>
      <c r="AY182" s="41">
        <f t="shared" ca="1" si="339"/>
        <v>1.6706647504714871</v>
      </c>
      <c r="AZ182" s="41">
        <f t="shared" si="340"/>
        <v>0.21286833365847424</v>
      </c>
      <c r="BA182" s="179">
        <f t="shared" si="349"/>
        <v>1.6216808768952329</v>
      </c>
    </row>
    <row r="183" spans="1:53" ht="14.5">
      <c r="A183" s="41">
        <f t="shared" ca="1" si="341"/>
        <v>16119.621690385558</v>
      </c>
      <c r="B183" s="41">
        <f t="shared" ca="1" si="302"/>
        <v>268.660361506426</v>
      </c>
      <c r="C183" s="41">
        <f t="shared" ca="1" si="302"/>
        <v>4.4776726917737664</v>
      </c>
      <c r="D183" s="41">
        <f t="shared" ca="1" si="342"/>
        <v>13211.326798353028</v>
      </c>
      <c r="E183" s="41" t="e">
        <f t="shared" ca="1" si="343"/>
        <v>#NUM!</v>
      </c>
      <c r="F183" s="41">
        <f t="shared" ca="1" si="344"/>
        <v>12.68427172048705</v>
      </c>
      <c r="G183" s="41"/>
      <c r="H183" s="7">
        <f t="shared" si="345"/>
        <v>5000</v>
      </c>
      <c r="I183" s="6">
        <v>15</v>
      </c>
      <c r="J183" s="41">
        <f t="shared" si="304"/>
        <v>0.2771654983604106</v>
      </c>
      <c r="K183" s="41">
        <f t="shared" si="305"/>
        <v>312.16459501335117</v>
      </c>
      <c r="L183" s="6">
        <f t="shared" si="306"/>
        <v>167.5</v>
      </c>
      <c r="M183" s="41">
        <f t="shared" si="307"/>
        <v>184.95252791189037</v>
      </c>
      <c r="N183" s="41">
        <f t="shared" si="308"/>
        <v>94.685835708087794</v>
      </c>
      <c r="O183" s="41">
        <f t="shared" si="309"/>
        <v>1601330.8382238974</v>
      </c>
      <c r="P183" s="41">
        <f t="shared" si="310"/>
        <v>10281669.211223036</v>
      </c>
      <c r="Q183" s="41">
        <f t="shared" si="311"/>
        <v>2.9690909073270301E-3</v>
      </c>
      <c r="R183" s="41">
        <f t="shared" si="312"/>
        <v>2.3050990236174178E-2</v>
      </c>
      <c r="S183" s="24">
        <f t="shared" ca="1" si="346"/>
        <v>-3.3130764931325372</v>
      </c>
      <c r="T183" s="10">
        <f t="shared" ca="1" si="313"/>
        <v>-3.3130764931325372</v>
      </c>
      <c r="U183" s="41">
        <f t="shared" ca="1" si="314"/>
        <v>0.60562963583136986</v>
      </c>
      <c r="V183" s="41">
        <f t="shared" ca="1" si="315"/>
        <v>4.6216071515238391E-2</v>
      </c>
      <c r="W183" s="41">
        <f t="shared" ca="1" si="316"/>
        <v>13.104308003151703</v>
      </c>
      <c r="X183" s="20">
        <f t="shared" ca="1" si="317"/>
        <v>1006.4816915499728</v>
      </c>
      <c r="Y183" s="41">
        <f t="shared" si="318"/>
        <v>0.60413639253320239</v>
      </c>
      <c r="Z183" s="41">
        <f t="shared" ca="1" si="319"/>
        <v>156.81282666423331</v>
      </c>
      <c r="AA183" s="14">
        <f t="shared" ca="1" si="320"/>
        <v>1008.166688021648</v>
      </c>
      <c r="AB183" s="14">
        <f t="shared" si="347"/>
        <v>4859.4869258619374</v>
      </c>
      <c r="AC183" s="25">
        <f t="shared" ca="1" si="321"/>
        <v>314713.94587222935</v>
      </c>
      <c r="AD183" s="41">
        <f t="shared" si="322"/>
        <v>1516959.7681843666</v>
      </c>
      <c r="AE183" s="6">
        <v>5</v>
      </c>
      <c r="AF183" s="41">
        <f t="shared" si="323"/>
        <v>242.97434629309689</v>
      </c>
      <c r="AG183" s="41">
        <f t="shared" ca="1" si="324"/>
        <v>3851.3202378402893</v>
      </c>
      <c r="AH183" s="41">
        <f t="shared" ca="1" si="325"/>
        <v>1202245.8223121373</v>
      </c>
      <c r="AI183" s="41">
        <f t="shared" si="326"/>
        <v>185.89292919622585</v>
      </c>
      <c r="AJ183" s="13">
        <f t="shared" ca="1" si="327"/>
        <v>-18.040577215268332</v>
      </c>
      <c r="AK183" s="11"/>
      <c r="AL183" s="6">
        <v>-500</v>
      </c>
      <c r="AM183" s="41">
        <f t="shared" ca="1" si="328"/>
        <v>27.715299462637681</v>
      </c>
      <c r="AN183" s="41">
        <f t="shared" ca="1" si="329"/>
        <v>1.4311328335167508</v>
      </c>
      <c r="AO183" s="41">
        <f t="shared" ca="1" si="330"/>
        <v>1.4215131521233262</v>
      </c>
      <c r="AP183" s="67">
        <f t="shared" si="348"/>
        <v>0.7650722474708731</v>
      </c>
      <c r="AQ183" s="11">
        <f t="shared" si="331"/>
        <v>1.0176794707183758</v>
      </c>
      <c r="AR183" s="11">
        <f t="shared" si="332"/>
        <v>0.83204693614511627</v>
      </c>
      <c r="AS183" s="11">
        <f t="shared" si="333"/>
        <v>0.81759233637461282</v>
      </c>
      <c r="AT183" s="11">
        <f t="shared" si="334"/>
        <v>527.83981107749992</v>
      </c>
      <c r="AU183" s="11">
        <f t="shared" si="335"/>
        <v>1760.7943672090178</v>
      </c>
      <c r="AV183" s="11">
        <f t="shared" si="336"/>
        <v>1.9433352243288171E-3</v>
      </c>
      <c r="AW183" s="11">
        <f t="shared" si="337"/>
        <v>3.7883517808889214E-7</v>
      </c>
      <c r="AX183" s="41">
        <f t="shared" ca="1" si="338"/>
        <v>1.1816320703663616</v>
      </c>
      <c r="AY183" s="41">
        <f t="shared" ca="1" si="339"/>
        <v>1.5916818749173376</v>
      </c>
      <c r="AZ183" s="41">
        <f t="shared" si="340"/>
        <v>0.20339410277136466</v>
      </c>
      <c r="BA183" s="179">
        <f t="shared" si="349"/>
        <v>1.6139959541422353</v>
      </c>
    </row>
    <row r="184" spans="1:53" ht="14.5">
      <c r="A184" s="41">
        <f t="shared" ca="1" si="341"/>
        <v>16147.336989848196</v>
      </c>
      <c r="B184" s="41">
        <f t="shared" ca="1" si="302"/>
        <v>269.1222831641366</v>
      </c>
      <c r="C184" s="41">
        <f t="shared" ca="1" si="302"/>
        <v>4.4853713860689437</v>
      </c>
      <c r="D184" s="41">
        <f t="shared" ca="1" si="342"/>
        <v>13209.895665519511</v>
      </c>
      <c r="E184" s="41" t="e">
        <f t="shared" ca="1" si="343"/>
        <v>#NUM!</v>
      </c>
      <c r="F184" s="41">
        <f t="shared" ca="1" si="344"/>
        <v>14.105784872610377</v>
      </c>
      <c r="G184" s="41"/>
      <c r="H184" s="7">
        <f t="shared" si="345"/>
        <v>4500</v>
      </c>
      <c r="I184" s="6">
        <v>15</v>
      </c>
      <c r="J184" s="41">
        <f t="shared" si="304"/>
        <v>0.2635979740419741</v>
      </c>
      <c r="K184" s="41">
        <f t="shared" si="305"/>
        <v>297.38483772354522</v>
      </c>
      <c r="L184" s="6">
        <f t="shared" si="306"/>
        <v>160.75</v>
      </c>
      <c r="M184" s="41">
        <f t="shared" si="307"/>
        <v>176.19575819379696</v>
      </c>
      <c r="N184" s="41">
        <f t="shared" si="308"/>
        <v>87.257529558111074</v>
      </c>
      <c r="O184" s="41">
        <f t="shared" si="309"/>
        <v>1545010.4879079929</v>
      </c>
      <c r="P184" s="41">
        <f t="shared" si="310"/>
        <v>9920052.9867765009</v>
      </c>
      <c r="Q184" s="41">
        <f t="shared" si="311"/>
        <v>2.9881755781504607E-3</v>
      </c>
      <c r="R184" s="41">
        <f t="shared" si="312"/>
        <v>2.3167018076832142E-2</v>
      </c>
      <c r="S184" s="24">
        <f t="shared" ca="1" si="346"/>
        <v>-3.3185928117709156</v>
      </c>
      <c r="T184" s="10">
        <f t="shared" ca="1" si="313"/>
        <v>-3.3185928117709156</v>
      </c>
      <c r="U184" s="41">
        <f t="shared" ca="1" si="314"/>
        <v>0.65711253500515854</v>
      </c>
      <c r="V184" s="41">
        <f t="shared" ca="1" si="315"/>
        <v>5.0437894444415154E-2</v>
      </c>
      <c r="W184" s="41">
        <f t="shared" ca="1" si="316"/>
        <v>13.028151596005387</v>
      </c>
      <c r="X184" s="20">
        <f t="shared" ca="1" si="317"/>
        <v>1012.2497950264617</v>
      </c>
      <c r="Y184" s="41">
        <f t="shared" si="318"/>
        <v>0.60565495319581042</v>
      </c>
      <c r="Z184" s="41">
        <f t="shared" ca="1" si="319"/>
        <v>155.60841430197854</v>
      </c>
      <c r="AA184" s="14">
        <f t="shared" ca="1" si="320"/>
        <v>1013.9501039863436</v>
      </c>
      <c r="AB184" s="14">
        <f t="shared" si="347"/>
        <v>4951.1093099771379</v>
      </c>
      <c r="AC184" s="25">
        <f t="shared" ca="1" si="321"/>
        <v>301533.3871337506</v>
      </c>
      <c r="AD184" s="41">
        <f t="shared" si="322"/>
        <v>1472384.8386990852</v>
      </c>
      <c r="AE184" s="6">
        <v>5</v>
      </c>
      <c r="AF184" s="41">
        <f t="shared" si="323"/>
        <v>247.5554654988569</v>
      </c>
      <c r="AG184" s="41">
        <f t="shared" ca="1" si="324"/>
        <v>3937.1592059907944</v>
      </c>
      <c r="AH184" s="41">
        <f t="shared" ca="1" si="325"/>
        <v>1170851.4515653346</v>
      </c>
      <c r="AI184" s="41">
        <f t="shared" si="326"/>
        <v>188.72455261768667</v>
      </c>
      <c r="AJ184" s="13">
        <f t="shared" ca="1" si="327"/>
        <v>-17.215010992726004</v>
      </c>
      <c r="AK184" s="11"/>
      <c r="AL184" s="6">
        <v>-500</v>
      </c>
      <c r="AM184" s="41">
        <f t="shared" ca="1" si="328"/>
        <v>29.0444194436628</v>
      </c>
      <c r="AN184" s="41">
        <f t="shared" ca="1" si="329"/>
        <v>1.5226097404293617</v>
      </c>
      <c r="AO184" s="41">
        <f t="shared" ca="1" si="330"/>
        <v>1.4191449673998584</v>
      </c>
      <c r="AP184" s="67">
        <f t="shared" si="348"/>
        <v>0.76235259939578315</v>
      </c>
      <c r="AQ184" s="11">
        <f t="shared" si="331"/>
        <v>1.0211171457183759</v>
      </c>
      <c r="AR184" s="11">
        <f t="shared" si="332"/>
        <v>0.84773462604909555</v>
      </c>
      <c r="AS184" s="11">
        <f t="shared" si="333"/>
        <v>0.83020310608211134</v>
      </c>
      <c r="AT184" s="11">
        <f t="shared" si="334"/>
        <v>529.62282996975</v>
      </c>
      <c r="AU184" s="11">
        <f t="shared" si="335"/>
        <v>1793.9929703376167</v>
      </c>
      <c r="AV184" s="11">
        <f t="shared" si="336"/>
        <v>1.9733097628465705E-3</v>
      </c>
      <c r="AW184" s="11">
        <f t="shared" si="337"/>
        <v>3.79824220091224E-7</v>
      </c>
      <c r="AX184" s="41">
        <f t="shared" ca="1" si="338"/>
        <v>1.1291121007847893</v>
      </c>
      <c r="AY184" s="41">
        <f t="shared" ca="1" si="339"/>
        <v>1.5209364324478554</v>
      </c>
      <c r="AZ184" s="41">
        <f t="shared" si="340"/>
        <v>0.19398374284830353</v>
      </c>
      <c r="BA184" s="179">
        <f t="shared" si="349"/>
        <v>1.6062531086828136</v>
      </c>
    </row>
    <row r="185" spans="1:53" ht="14.5">
      <c r="A185" s="41">
        <f t="shared" ca="1" si="341"/>
        <v>16176.381409291858</v>
      </c>
      <c r="B185" s="41">
        <f t="shared" ca="1" si="302"/>
        <v>269.60635682153099</v>
      </c>
      <c r="C185" s="41">
        <f t="shared" ca="1" si="302"/>
        <v>4.4934392803588503</v>
      </c>
      <c r="D185" s="41">
        <f t="shared" ca="1" si="342"/>
        <v>13208.37305577908</v>
      </c>
      <c r="E185" s="41" t="e">
        <f t="shared" ca="1" si="343"/>
        <v>#NUM!</v>
      </c>
      <c r="F185" s="41">
        <f t="shared" ca="1" si="344"/>
        <v>15.524929840010236</v>
      </c>
      <c r="G185" s="41"/>
      <c r="H185" s="7">
        <f t="shared" si="345"/>
        <v>4000</v>
      </c>
      <c r="I185" s="6">
        <v>15</v>
      </c>
      <c r="J185" s="41">
        <f t="shared" si="304"/>
        <v>0.25025243932749375</v>
      </c>
      <c r="K185" s="41">
        <f t="shared" si="305"/>
        <v>282.80357145860535</v>
      </c>
      <c r="L185" s="6">
        <f t="shared" si="306"/>
        <v>154</v>
      </c>
      <c r="M185" s="41">
        <f t="shared" si="307"/>
        <v>167.55659123208034</v>
      </c>
      <c r="N185" s="41">
        <f t="shared" si="308"/>
        <v>80.123292307317826</v>
      </c>
      <c r="O185" s="41">
        <f t="shared" si="309"/>
        <v>1487968.2472773101</v>
      </c>
      <c r="P185" s="41">
        <f t="shared" si="310"/>
        <v>9553801.7192481961</v>
      </c>
      <c r="Q185" s="41">
        <f t="shared" si="311"/>
        <v>3.0081658200408774E-3</v>
      </c>
      <c r="R185" s="41">
        <f t="shared" si="312"/>
        <v>2.3288551459421467E-2</v>
      </c>
      <c r="S185" s="24">
        <f t="shared" ca="1" si="346"/>
        <v>-3.3542870611686335</v>
      </c>
      <c r="T185" s="10">
        <f t="shared" ca="1" si="313"/>
        <v>-3.3542870611686335</v>
      </c>
      <c r="U185" s="41">
        <f t="shared" ca="1" si="314"/>
        <v>0.715513850002648</v>
      </c>
      <c r="V185" s="41">
        <f t="shared" ca="1" si="315"/>
        <v>5.5622271988728864E-2</v>
      </c>
      <c r="W185" s="41">
        <f t="shared" ca="1" si="316"/>
        <v>12.863801215233309</v>
      </c>
      <c r="X185" s="20">
        <f t="shared" ca="1" si="317"/>
        <v>1025.0270981905137</v>
      </c>
      <c r="Y185" s="41">
        <f t="shared" si="318"/>
        <v>0.60724149773828728</v>
      </c>
      <c r="Z185" s="41">
        <f t="shared" ca="1" si="319"/>
        <v>154.41457528470494</v>
      </c>
      <c r="AA185" s="14">
        <f t="shared" ca="1" si="320"/>
        <v>1026.7861602321505</v>
      </c>
      <c r="AB185" s="14">
        <f t="shared" si="347"/>
        <v>5044.1255207638187</v>
      </c>
      <c r="AC185" s="25">
        <f t="shared" ca="1" si="321"/>
        <v>290378.79323791998</v>
      </c>
      <c r="AD185" s="41">
        <f t="shared" si="322"/>
        <v>1426496.7121575056</v>
      </c>
      <c r="AE185" s="6">
        <v>5</v>
      </c>
      <c r="AF185" s="41">
        <f t="shared" si="323"/>
        <v>252.20627603819094</v>
      </c>
      <c r="AG185" s="41">
        <f t="shared" ca="1" si="324"/>
        <v>4017.3393605316683</v>
      </c>
      <c r="AH185" s="41">
        <f t="shared" ca="1" si="325"/>
        <v>1136117.9189195856</v>
      </c>
      <c r="AI185" s="41">
        <f t="shared" si="326"/>
        <v>191.58761381497024</v>
      </c>
      <c r="AJ185" s="13">
        <f t="shared" ca="1" si="327"/>
        <v>-16.546813727874468</v>
      </c>
      <c r="AK185" s="11"/>
      <c r="AL185" s="6">
        <v>-500</v>
      </c>
      <c r="AM185" s="41">
        <f t="shared" ca="1" si="328"/>
        <v>30.217297917466059</v>
      </c>
      <c r="AN185" s="41">
        <f t="shared" ca="1" si="329"/>
        <v>1.6081277788731643</v>
      </c>
      <c r="AO185" s="41">
        <f t="shared" ca="1" si="330"/>
        <v>1.404009293818109</v>
      </c>
      <c r="AP185" s="67">
        <f t="shared" si="348"/>
        <v>0.7596464958150313</v>
      </c>
      <c r="AQ185" s="11">
        <f t="shared" si="331"/>
        <v>1.0245548207183759</v>
      </c>
      <c r="AR185" s="11">
        <f t="shared" si="332"/>
        <v>0.86366096855760188</v>
      </c>
      <c r="AS185" s="11">
        <f t="shared" si="333"/>
        <v>0.84296218327491557</v>
      </c>
      <c r="AT185" s="11">
        <f t="shared" si="334"/>
        <v>531.40584886199997</v>
      </c>
      <c r="AU185" s="11">
        <f t="shared" si="335"/>
        <v>1827.6966148809681</v>
      </c>
      <c r="AV185" s="11">
        <f t="shared" si="336"/>
        <v>2.0036368134261468E-3</v>
      </c>
      <c r="AW185" s="11">
        <f t="shared" si="337"/>
        <v>3.8081165225110524E-7</v>
      </c>
      <c r="AX185" s="41">
        <f t="shared" ca="1" si="338"/>
        <v>1.0835436026752758</v>
      </c>
      <c r="AY185" s="41">
        <f t="shared" ca="1" si="339"/>
        <v>1.4595547601599412</v>
      </c>
      <c r="AZ185" s="41">
        <f t="shared" si="340"/>
        <v>0.18464007558156764</v>
      </c>
      <c r="BA185" s="179">
        <f t="shared" si="349"/>
        <v>1.5984533307455222</v>
      </c>
    </row>
    <row r="186" spans="1:53" ht="14.5">
      <c r="A186" s="41">
        <f t="shared" ca="1" si="341"/>
        <v>16206.598707209325</v>
      </c>
      <c r="B186" s="41">
        <f t="shared" ca="1" si="302"/>
        <v>270.10997845348874</v>
      </c>
      <c r="C186" s="41">
        <f t="shared" ca="1" si="302"/>
        <v>4.5018329742248122</v>
      </c>
      <c r="D186" s="41">
        <f t="shared" ca="1" si="342"/>
        <v>13206.764928000208</v>
      </c>
      <c r="E186" s="41" t="e">
        <f t="shared" ca="1" si="343"/>
        <v>#NUM!</v>
      </c>
      <c r="F186" s="41">
        <f t="shared" ca="1" si="344"/>
        <v>16.928939133828344</v>
      </c>
      <c r="G186" s="41"/>
      <c r="H186" s="7">
        <f t="shared" si="345"/>
        <v>3500</v>
      </c>
      <c r="I186" s="6">
        <v>15</v>
      </c>
      <c r="J186" s="41">
        <f t="shared" si="304"/>
        <v>0.23712650490201512</v>
      </c>
      <c r="K186" s="41">
        <f t="shared" si="305"/>
        <v>268.41948703143061</v>
      </c>
      <c r="L186" s="6">
        <f t="shared" si="306"/>
        <v>147.25</v>
      </c>
      <c r="M186" s="41">
        <f t="shared" si="307"/>
        <v>159.03425135433014</v>
      </c>
      <c r="N186" s="41">
        <f t="shared" si="308"/>
        <v>73.285354801087564</v>
      </c>
      <c r="O186" s="41">
        <f t="shared" si="309"/>
        <v>1430210.9202603926</v>
      </c>
      <c r="P186" s="41">
        <f t="shared" si="310"/>
        <v>9182959.0946403816</v>
      </c>
      <c r="Q186" s="41">
        <f t="shared" si="311"/>
        <v>3.0291653971443984E-3</v>
      </c>
      <c r="R186" s="41">
        <f t="shared" si="312"/>
        <v>2.3416221232119908E-2</v>
      </c>
      <c r="S186" s="24">
        <f t="shared" ca="1" si="346"/>
        <v>-3.4248718261832418</v>
      </c>
      <c r="T186" s="10">
        <f t="shared" ca="1" si="313"/>
        <v>-3.4248718261832418</v>
      </c>
      <c r="U186" s="41">
        <f t="shared" ca="1" si="314"/>
        <v>0.78212302057047256</v>
      </c>
      <c r="V186" s="41">
        <f t="shared" ca="1" si="315"/>
        <v>6.2050225955559965E-2</v>
      </c>
      <c r="W186" s="41">
        <f t="shared" ca="1" si="316"/>
        <v>12.604676429875127</v>
      </c>
      <c r="X186" s="20">
        <f t="shared" ca="1" si="317"/>
        <v>1045.8957496673988</v>
      </c>
      <c r="Y186" s="41">
        <f t="shared" si="318"/>
        <v>0.60890369692769364</v>
      </c>
      <c r="Z186" s="41">
        <f t="shared" ca="1" si="319"/>
        <v>153.2307600047404</v>
      </c>
      <c r="AA186" s="14">
        <f t="shared" ca="1" si="320"/>
        <v>1047.7670729173208</v>
      </c>
      <c r="AB186" s="14">
        <f t="shared" si="347"/>
        <v>5138.55172245822</v>
      </c>
      <c r="AC186" s="25">
        <f t="shared" ca="1" si="321"/>
        <v>281241.10024089081</v>
      </c>
      <c r="AD186" s="41">
        <f t="shared" si="322"/>
        <v>1379287.4174267096</v>
      </c>
      <c r="AE186" s="6">
        <v>5</v>
      </c>
      <c r="AF186" s="41">
        <f t="shared" si="323"/>
        <v>256.92758612291101</v>
      </c>
      <c r="AG186" s="41">
        <f t="shared" ca="1" si="324"/>
        <v>4090.7846495408994</v>
      </c>
      <c r="AH186" s="41">
        <f t="shared" ca="1" si="325"/>
        <v>1098046.3171858187</v>
      </c>
      <c r="AI186" s="41">
        <f t="shared" si="326"/>
        <v>194.48257502220824</v>
      </c>
      <c r="AJ186" s="13">
        <f t="shared" ca="1" si="327"/>
        <v>-16.035299401274994</v>
      </c>
      <c r="AK186" s="11"/>
      <c r="AL186" s="6">
        <v>-500</v>
      </c>
      <c r="AM186" s="41">
        <f t="shared" ca="1" si="328"/>
        <v>31.181207627482411</v>
      </c>
      <c r="AN186" s="41">
        <f t="shared" ca="1" si="329"/>
        <v>1.6845004310263612</v>
      </c>
      <c r="AO186" s="41">
        <f t="shared" ca="1" si="330"/>
        <v>1.3750064995499485</v>
      </c>
      <c r="AP186" s="67">
        <f t="shared" si="348"/>
        <v>0.7569548212279944</v>
      </c>
      <c r="AQ186" s="11">
        <f t="shared" si="331"/>
        <v>1.0279924957183759</v>
      </c>
      <c r="AR186" s="11">
        <f t="shared" si="332"/>
        <v>0.87982873132974104</v>
      </c>
      <c r="AS186" s="11">
        <f t="shared" si="333"/>
        <v>0.85587077239790943</v>
      </c>
      <c r="AT186" s="11">
        <f t="shared" si="334"/>
        <v>533.18886775424994</v>
      </c>
      <c r="AU186" s="11">
        <f t="shared" si="335"/>
        <v>1861.9111578146244</v>
      </c>
      <c r="AV186" s="11">
        <f t="shared" si="336"/>
        <v>2.0343192389125908E-3</v>
      </c>
      <c r="AW186" s="11">
        <f t="shared" si="337"/>
        <v>3.8179748093915456E-7</v>
      </c>
      <c r="AX186" s="41">
        <f t="shared" ca="1" si="338"/>
        <v>1.0460641758256861</v>
      </c>
      <c r="AY186" s="41">
        <f t="shared" ca="1" si="339"/>
        <v>1.4090692275691694</v>
      </c>
      <c r="AZ186" s="41">
        <f t="shared" si="340"/>
        <v>0.17536572456769045</v>
      </c>
      <c r="BA186" s="179">
        <f t="shared" si="349"/>
        <v>1.5905976512375601</v>
      </c>
    </row>
    <row r="187" spans="1:53" ht="14.5">
      <c r="A187" s="41">
        <f t="shared" ca="1" si="341"/>
        <v>16237.779914836807</v>
      </c>
      <c r="B187" s="41">
        <f t="shared" ca="1" si="302"/>
        <v>270.62966524728012</v>
      </c>
      <c r="C187" s="41">
        <f t="shared" ca="1" si="302"/>
        <v>4.5104944207880022</v>
      </c>
      <c r="D187" s="41">
        <f t="shared" ca="1" si="342"/>
        <v>13205.080427569181</v>
      </c>
      <c r="E187" s="41" t="e">
        <f t="shared" ca="1" si="343"/>
        <v>#NUM!</v>
      </c>
      <c r="F187" s="41">
        <f t="shared" ca="1" si="344"/>
        <v>18.303945633378291</v>
      </c>
      <c r="G187" s="41"/>
      <c r="H187" s="7">
        <f t="shared" si="345"/>
        <v>3000</v>
      </c>
      <c r="I187" s="6">
        <v>15</v>
      </c>
      <c r="J187" s="41">
        <f t="shared" si="304"/>
        <v>0.22421769559052301</v>
      </c>
      <c r="K187" s="41">
        <f t="shared" si="305"/>
        <v>254.23115471050798</v>
      </c>
      <c r="L187" s="6">
        <f t="shared" si="306"/>
        <v>140.5</v>
      </c>
      <c r="M187" s="41">
        <f t="shared" si="307"/>
        <v>150.6278914675006</v>
      </c>
      <c r="N187" s="41">
        <f t="shared" si="308"/>
        <v>66.745699407442785</v>
      </c>
      <c r="O187" s="41">
        <f t="shared" si="309"/>
        <v>1371744.832529926</v>
      </c>
      <c r="P187" s="41">
        <f t="shared" si="310"/>
        <v>8807565.72821665</v>
      </c>
      <c r="Q187" s="41">
        <f t="shared" si="311"/>
        <v>3.0512935021484249E-3</v>
      </c>
      <c r="R187" s="41">
        <f t="shared" si="312"/>
        <v>2.3550752043011217E-2</v>
      </c>
      <c r="S187" s="24">
        <f t="shared" ca="1" si="346"/>
        <v>-3.5361748471178616</v>
      </c>
      <c r="T187" s="10">
        <f t="shared" ca="1" si="313"/>
        <v>-3.5361748471178616</v>
      </c>
      <c r="U187" s="41">
        <f t="shared" ca="1" si="314"/>
        <v>0.85854342292947283</v>
      </c>
      <c r="V187" s="41">
        <f t="shared" ca="1" si="315"/>
        <v>7.0103371367788478E-2</v>
      </c>
      <c r="W187" s="41">
        <f t="shared" ca="1" si="316"/>
        <v>12.246820747396487</v>
      </c>
      <c r="X187" s="20">
        <f t="shared" ca="1" si="317"/>
        <v>1076.1926671354304</v>
      </c>
      <c r="Y187" s="41">
        <f t="shared" si="318"/>
        <v>0.61065032777227568</v>
      </c>
      <c r="Z187" s="41">
        <f t="shared" ca="1" si="319"/>
        <v>152.05625216906222</v>
      </c>
      <c r="AA187" s="14">
        <f t="shared" ca="1" si="320"/>
        <v>1078.245587155867</v>
      </c>
      <c r="AB187" s="14">
        <f t="shared" si="347"/>
        <v>5234.4042087224379</v>
      </c>
      <c r="AC187" s="25">
        <f t="shared" ca="1" si="321"/>
        <v>274123.62068414578</v>
      </c>
      <c r="AD187" s="41">
        <f t="shared" si="322"/>
        <v>1330748.6262050483</v>
      </c>
      <c r="AE187" s="6">
        <v>5</v>
      </c>
      <c r="AF187" s="41">
        <f t="shared" si="323"/>
        <v>261.72021043612193</v>
      </c>
      <c r="AG187" s="41">
        <f t="shared" ca="1" si="324"/>
        <v>4156.1586215665711</v>
      </c>
      <c r="AH187" s="41">
        <f t="shared" ca="1" si="325"/>
        <v>1056625.0055209026</v>
      </c>
      <c r="AI187" s="41">
        <f t="shared" si="326"/>
        <v>197.4099040127582</v>
      </c>
      <c r="AJ187" s="13">
        <f t="shared" ca="1" si="327"/>
        <v>-15.680652176435567</v>
      </c>
      <c r="AK187" s="11"/>
      <c r="AL187" s="6">
        <v>-500</v>
      </c>
      <c r="AM187" s="41">
        <f t="shared" ca="1" si="328"/>
        <v>31.88642885347496</v>
      </c>
      <c r="AN187" s="41">
        <f t="shared" ca="1" si="329"/>
        <v>1.7485269053539265</v>
      </c>
      <c r="AO187" s="41">
        <f t="shared" ca="1" si="330"/>
        <v>1.3316224793153226</v>
      </c>
      <c r="AP187" s="67">
        <f t="shared" si="348"/>
        <v>0.75427840931275747</v>
      </c>
      <c r="AQ187" s="11">
        <f t="shared" si="331"/>
        <v>1.0314301707183759</v>
      </c>
      <c r="AR187" s="11">
        <f t="shared" si="332"/>
        <v>0.8962407041850623</v>
      </c>
      <c r="AS187" s="11">
        <f t="shared" si="333"/>
        <v>0.86893008332386068</v>
      </c>
      <c r="AT187" s="11">
        <f t="shared" si="334"/>
        <v>534.97188664650002</v>
      </c>
      <c r="AU187" s="11">
        <f t="shared" si="335"/>
        <v>1896.6425030105124</v>
      </c>
      <c r="AV187" s="11">
        <f t="shared" si="336"/>
        <v>2.0653599150524844E-3</v>
      </c>
      <c r="AW187" s="11">
        <f t="shared" si="337"/>
        <v>3.8278171249107636E-7</v>
      </c>
      <c r="AX187" s="41">
        <f t="shared" ca="1" si="338"/>
        <v>1.0182643010667953</v>
      </c>
      <c r="AY187" s="41">
        <f t="shared" ca="1" si="339"/>
        <v>1.3716222439535508</v>
      </c>
      <c r="AZ187" s="41">
        <f t="shared" si="340"/>
        <v>0.16616312013331186</v>
      </c>
      <c r="BA187" s="179">
        <f t="shared" si="349"/>
        <v>1.582687142023385</v>
      </c>
    </row>
    <row r="188" spans="1:53" ht="14.5">
      <c r="A188" s="41">
        <f t="shared" ca="1" si="341"/>
        <v>16269.666343690282</v>
      </c>
      <c r="B188" s="41">
        <f t="shared" ca="1" si="302"/>
        <v>271.16110572817138</v>
      </c>
      <c r="C188" s="41">
        <f t="shared" ca="1" si="302"/>
        <v>4.5193517621361901</v>
      </c>
      <c r="D188" s="41">
        <f t="shared" ca="1" si="342"/>
        <v>13203.331900663827</v>
      </c>
      <c r="E188" s="41" t="e">
        <f t="shared" ca="1" si="343"/>
        <v>#NUM!</v>
      </c>
      <c r="F188" s="41">
        <f t="shared" ca="1" si="344"/>
        <v>19.635568112693612</v>
      </c>
      <c r="G188" s="41"/>
      <c r="H188" s="7">
        <f t="shared" si="345"/>
        <v>2500</v>
      </c>
      <c r="I188" s="6">
        <v>15</v>
      </c>
      <c r="J188" s="41">
        <f t="shared" si="304"/>
        <v>0.21152345762246658</v>
      </c>
      <c r="K188" s="41">
        <f t="shared" si="305"/>
        <v>240.23703177983501</v>
      </c>
      <c r="L188" s="6">
        <f t="shared" si="306"/>
        <v>133.75</v>
      </c>
      <c r="M188" s="41">
        <f t="shared" si="307"/>
        <v>142.33659753704376</v>
      </c>
      <c r="N188" s="41">
        <f t="shared" si="308"/>
        <v>60.506076540433355</v>
      </c>
      <c r="O188" s="41">
        <f t="shared" si="309"/>
        <v>1312575.8301303519</v>
      </c>
      <c r="P188" s="41">
        <f t="shared" si="310"/>
        <v>8427659.1556902416</v>
      </c>
      <c r="Q188" s="41">
        <f t="shared" si="311"/>
        <v>3.0746880088716958E-3</v>
      </c>
      <c r="R188" s="41">
        <f t="shared" si="312"/>
        <v>2.3692982114646866E-2</v>
      </c>
      <c r="S188" s="24">
        <f t="shared" ca="1" si="346"/>
        <v>-3.695476206237978</v>
      </c>
      <c r="T188" s="10">
        <f t="shared" ca="1" si="313"/>
        <v>-3.695476206237978</v>
      </c>
      <c r="U188" s="41">
        <f t="shared" ca="1" si="314"/>
        <v>0.94678800674546848</v>
      </c>
      <c r="V188" s="41">
        <f t="shared" ca="1" si="315"/>
        <v>8.0307144566736044E-2</v>
      </c>
      <c r="W188" s="41">
        <f t="shared" ca="1" si="316"/>
        <v>11.789586242338354</v>
      </c>
      <c r="X188" s="20">
        <f t="shared" ca="1" si="317"/>
        <v>1117.5861542566729</v>
      </c>
      <c r="Y188" s="41">
        <f t="shared" si="318"/>
        <v>0.61249150255914986</v>
      </c>
      <c r="Z188" s="41">
        <f t="shared" ca="1" si="319"/>
        <v>150.89008614053159</v>
      </c>
      <c r="AA188" s="14">
        <f t="shared" ca="1" si="320"/>
        <v>1119.9147815084875</v>
      </c>
      <c r="AB188" s="14">
        <f t="shared" si="347"/>
        <v>5331.6994032193461</v>
      </c>
      <c r="AC188" s="25">
        <f t="shared" ca="1" si="321"/>
        <v>269045.00295596151</v>
      </c>
      <c r="AD188" s="41">
        <f t="shared" si="322"/>
        <v>1280871.6389717334</v>
      </c>
      <c r="AE188" s="6">
        <v>5</v>
      </c>
      <c r="AF188" s="41">
        <f t="shared" si="323"/>
        <v>266.58497016096732</v>
      </c>
      <c r="AG188" s="41">
        <f t="shared" ca="1" si="324"/>
        <v>4211.7846217108581</v>
      </c>
      <c r="AH188" s="41">
        <f t="shared" ca="1" si="325"/>
        <v>1011826.6360157719</v>
      </c>
      <c r="AI188" s="41">
        <f t="shared" si="326"/>
        <v>200.37007375908635</v>
      </c>
      <c r="AJ188" s="13">
        <f t="shared" ca="1" si="327"/>
        <v>-15.484121738846728</v>
      </c>
      <c r="AK188" s="11"/>
      <c r="AL188" s="6">
        <v>-500</v>
      </c>
      <c r="AM188" s="41">
        <f t="shared" ca="1" si="328"/>
        <v>32.291143691126813</v>
      </c>
      <c r="AN188" s="41">
        <f t="shared" ca="1" si="329"/>
        <v>1.7972719008767597</v>
      </c>
      <c r="AO188" s="41">
        <f t="shared" ca="1" si="330"/>
        <v>1.274070741213803</v>
      </c>
      <c r="AP188" s="67">
        <f t="shared" si="348"/>
        <v>0.75161804372579755</v>
      </c>
      <c r="AQ188" s="11">
        <f t="shared" si="331"/>
        <v>1.0348678457183758</v>
      </c>
      <c r="AR188" s="11">
        <f t="shared" si="332"/>
        <v>0.91289969920199743</v>
      </c>
      <c r="AS188" s="11">
        <f t="shared" si="333"/>
        <v>0.88214133135839046</v>
      </c>
      <c r="AT188" s="11">
        <f t="shared" si="334"/>
        <v>536.75490553874988</v>
      </c>
      <c r="AU188" s="11">
        <f t="shared" si="335"/>
        <v>1931.8966014452508</v>
      </c>
      <c r="AV188" s="11">
        <f t="shared" si="336"/>
        <v>2.0967617305057583E-3</v>
      </c>
      <c r="AW188" s="11">
        <f t="shared" si="337"/>
        <v>3.8376435320786708E-7</v>
      </c>
      <c r="AX188" s="41">
        <f t="shared" ca="1" si="338"/>
        <v>1.0024344359015087</v>
      </c>
      <c r="AY188" s="41">
        <f t="shared" ca="1" si="339"/>
        <v>1.3502991010752774</v>
      </c>
      <c r="AZ188" s="41">
        <f t="shared" si="340"/>
        <v>0.15703450446926603</v>
      </c>
      <c r="BA188" s="179">
        <f t="shared" si="349"/>
        <v>1.5747229161776151</v>
      </c>
    </row>
    <row r="189" spans="1:53" ht="14.5">
      <c r="A189" s="41">
        <f t="shared" ca="1" si="341"/>
        <v>16301.957487381409</v>
      </c>
      <c r="B189" s="41">
        <f t="shared" ref="B189:C193" ca="1" si="350">A189/60</f>
        <v>271.69929145635683</v>
      </c>
      <c r="C189" s="41">
        <f t="shared" ca="1" si="350"/>
        <v>4.5283215242726138</v>
      </c>
      <c r="D189" s="41">
        <f t="shared" ca="1" si="342"/>
        <v>13201.534628762949</v>
      </c>
      <c r="E189" s="41" t="e">
        <f t="shared" ca="1" si="343"/>
        <v>#NUM!</v>
      </c>
      <c r="F189" s="41">
        <f t="shared" ca="1" si="344"/>
        <v>20.909638853907413</v>
      </c>
      <c r="G189" s="41"/>
      <c r="H189" s="7">
        <f t="shared" si="345"/>
        <v>2000</v>
      </c>
      <c r="I189" s="6">
        <v>15</v>
      </c>
      <c r="J189" s="41">
        <f t="shared" si="304"/>
        <v>0.19904116574996886</v>
      </c>
      <c r="K189" s="41">
        <f t="shared" si="305"/>
        <v>226.43547001726137</v>
      </c>
      <c r="L189" s="6">
        <f t="shared" si="306"/>
        <v>127</v>
      </c>
      <c r="M189" s="41">
        <f t="shared" si="307"/>
        <v>134.15939301770709</v>
      </c>
      <c r="N189" s="41">
        <f t="shared" si="308"/>
        <v>54.568020981478966</v>
      </c>
      <c r="O189" s="41">
        <f t="shared" si="309"/>
        <v>1252709.279576628</v>
      </c>
      <c r="P189" s="41">
        <f t="shared" si="310"/>
        <v>8043273.8338581463</v>
      </c>
      <c r="Q189" s="41">
        <f t="shared" si="311"/>
        <v>3.0995096179692295E-3</v>
      </c>
      <c r="R189" s="41">
        <f t="shared" si="312"/>
        <v>2.3843888448420621E-2</v>
      </c>
      <c r="S189" s="24">
        <f t="shared" ca="1" si="346"/>
        <v>-3.9119670172777967</v>
      </c>
      <c r="T189" s="10">
        <f t="shared" ca="1" si="313"/>
        <v>-3.9119670172777967</v>
      </c>
      <c r="U189" s="41">
        <f t="shared" ca="1" si="314"/>
        <v>1.0494102821850562</v>
      </c>
      <c r="V189" s="41">
        <f t="shared" ca="1" si="315"/>
        <v>9.3395984260557424E-2</v>
      </c>
      <c r="W189" s="41">
        <f t="shared" ca="1" si="316"/>
        <v>11.23613922475935</v>
      </c>
      <c r="X189" s="20">
        <f t="shared" ca="1" si="317"/>
        <v>1172.1798266046746</v>
      </c>
      <c r="Y189" s="41">
        <f t="shared" si="318"/>
        <v>0.61443895978702934</v>
      </c>
      <c r="Z189" s="41">
        <f t="shared" ca="1" si="319"/>
        <v>149.73092055902487</v>
      </c>
      <c r="AA189" s="14">
        <f t="shared" ca="1" si="320"/>
        <v>1174.917323885838</v>
      </c>
      <c r="AB189" s="14">
        <f t="shared" si="347"/>
        <v>5430.4538601880595</v>
      </c>
      <c r="AC189" s="25">
        <f t="shared" ca="1" si="321"/>
        <v>266042.95646551263</v>
      </c>
      <c r="AD189" s="41">
        <f t="shared" si="322"/>
        <v>1229647.3722387345</v>
      </c>
      <c r="AE189" s="6">
        <v>5</v>
      </c>
      <c r="AF189" s="41">
        <f t="shared" si="323"/>
        <v>271.52269300940299</v>
      </c>
      <c r="AG189" s="41">
        <f t="shared" ca="1" si="324"/>
        <v>4255.5365363022211</v>
      </c>
      <c r="AH189" s="41">
        <f t="shared" ca="1" si="325"/>
        <v>963604.41577322187</v>
      </c>
      <c r="AI189" s="41">
        <f t="shared" si="326"/>
        <v>203.36356210478311</v>
      </c>
      <c r="AJ189" s="13">
        <f t="shared" ca="1" si="327"/>
        <v>-15.448258638484896</v>
      </c>
      <c r="AK189" s="11"/>
      <c r="AL189" s="6">
        <v>-500</v>
      </c>
      <c r="AM189" s="41">
        <f t="shared" ca="1" si="328"/>
        <v>32.36610751417598</v>
      </c>
      <c r="AN189" s="41">
        <f t="shared" ca="1" si="329"/>
        <v>1.8283574765414485</v>
      </c>
      <c r="AO189" s="41">
        <f t="shared" ca="1" si="330"/>
        <v>1.2033611650287575</v>
      </c>
      <c r="AP189" s="67">
        <f t="shared" si="348"/>
        <v>0.7489744590067855</v>
      </c>
      <c r="AQ189" s="11">
        <f t="shared" si="331"/>
        <v>1.0383055207183758</v>
      </c>
      <c r="AR189" s="11">
        <f t="shared" si="332"/>
        <v>0.92980855081639258</v>
      </c>
      <c r="AS189" s="11">
        <f t="shared" si="333"/>
        <v>0.89550573724493243</v>
      </c>
      <c r="AT189" s="11">
        <f t="shared" si="334"/>
        <v>538.53792443099996</v>
      </c>
      <c r="AU189" s="11">
        <f t="shared" si="335"/>
        <v>1967.6794514086662</v>
      </c>
      <c r="AV189" s="11">
        <f t="shared" si="336"/>
        <v>2.12852758685748E-3</v>
      </c>
      <c r="AW189" s="11">
        <f t="shared" si="337"/>
        <v>3.8474540935600882E-7</v>
      </c>
      <c r="AX189" s="41">
        <f t="shared" ca="1" si="338"/>
        <v>1.001982059380131</v>
      </c>
      <c r="AY189" s="41">
        <f t="shared" ca="1" si="339"/>
        <v>1.3496897409133686</v>
      </c>
      <c r="AZ189" s="41">
        <f t="shared" si="340"/>
        <v>0.14798193702758941</v>
      </c>
      <c r="BA189" s="179">
        <f t="shared" si="349"/>
        <v>1.5667061282110448</v>
      </c>
    </row>
    <row r="190" spans="1:53" ht="14.5">
      <c r="A190" s="41">
        <f t="shared" ca="1" si="341"/>
        <v>16334.323594895584</v>
      </c>
      <c r="B190" s="41">
        <f t="shared" ca="1" si="350"/>
        <v>272.23872658159308</v>
      </c>
      <c r="C190" s="41">
        <f t="shared" ca="1" si="350"/>
        <v>4.5373121096932181</v>
      </c>
      <c r="D190" s="41">
        <f t="shared" ca="1" si="342"/>
        <v>13199.706271286408</v>
      </c>
      <c r="E190" s="41" t="e">
        <f t="shared" ca="1" si="343"/>
        <v>#NUM!</v>
      </c>
      <c r="F190" s="41">
        <f t="shared" ca="1" si="344"/>
        <v>22.11300001893617</v>
      </c>
      <c r="G190" s="41"/>
      <c r="H190" s="7">
        <f t="shared" si="345"/>
        <v>1500</v>
      </c>
      <c r="I190" s="6">
        <v>15</v>
      </c>
      <c r="J190" s="41">
        <f t="shared" si="304"/>
        <v>0.18676813019515714</v>
      </c>
      <c r="K190" s="41">
        <f t="shared" si="305"/>
        <v>212.82472306082803</v>
      </c>
      <c r="L190" s="6">
        <f t="shared" si="306"/>
        <v>120.25</v>
      </c>
      <c r="M190" s="41">
        <f t="shared" si="307"/>
        <v>126.09524321797164</v>
      </c>
      <c r="N190" s="41">
        <f t="shared" si="308"/>
        <v>48.932867933134631</v>
      </c>
      <c r="O190" s="41">
        <f t="shared" si="309"/>
        <v>1192150.0692978653</v>
      </c>
      <c r="P190" s="41">
        <f t="shared" si="310"/>
        <v>7654441.149870282</v>
      </c>
      <c r="Q190" s="41">
        <f t="shared" si="311"/>
        <v>3.1259472031251599E-3</v>
      </c>
      <c r="R190" s="41">
        <f t="shared" si="312"/>
        <v>2.400461932747186E-2</v>
      </c>
      <c r="S190" s="24">
        <f t="shared" ca="1" si="346"/>
        <v>-4.1973806611635958</v>
      </c>
      <c r="T190" s="10">
        <f t="shared" ca="1" si="313"/>
        <v>-4.1973806611635958</v>
      </c>
      <c r="U190" s="41">
        <f t="shared" ca="1" si="314"/>
        <v>1.1696861342924265</v>
      </c>
      <c r="V190" s="41">
        <f t="shared" ca="1" si="315"/>
        <v>0.11041347909122612</v>
      </c>
      <c r="W190" s="41">
        <f t="shared" ca="1" si="316"/>
        <v>10.593689682814952</v>
      </c>
      <c r="X190" s="20">
        <f t="shared" ca="1" si="317"/>
        <v>1242.6550837940445</v>
      </c>
      <c r="Y190" s="41">
        <f t="shared" si="318"/>
        <v>0.61650643799256633</v>
      </c>
      <c r="Z190" s="41">
        <f t="shared" ca="1" si="319"/>
        <v>148.57684328531806</v>
      </c>
      <c r="AA190" s="14">
        <f t="shared" ca="1" si="320"/>
        <v>1245.9970667914624</v>
      </c>
      <c r="AB190" s="14">
        <f t="shared" si="347"/>
        <v>5530.6842650198869</v>
      </c>
      <c r="AC190" s="25">
        <f t="shared" ca="1" si="321"/>
        <v>265178.98067449703</v>
      </c>
      <c r="AD190" s="41">
        <f t="shared" si="322"/>
        <v>1177066.3470397366</v>
      </c>
      <c r="AE190" s="6">
        <v>5</v>
      </c>
      <c r="AF190" s="41">
        <f t="shared" si="323"/>
        <v>276.53421325099436</v>
      </c>
      <c r="AG190" s="41">
        <f t="shared" ca="1" si="324"/>
        <v>4284.6871982284247</v>
      </c>
      <c r="AH190" s="41">
        <f t="shared" ca="1" si="325"/>
        <v>911887.36636523949</v>
      </c>
      <c r="AI190" s="41">
        <f t="shared" si="326"/>
        <v>206.39085144926693</v>
      </c>
      <c r="AJ190" s="13">
        <f t="shared" ca="1" si="327"/>
        <v>-15.577195620169821</v>
      </c>
      <c r="AK190" s="11"/>
      <c r="AL190" s="6">
        <v>-500</v>
      </c>
      <c r="AM190" s="41">
        <f t="shared" ca="1" si="328"/>
        <v>32.098203822553593</v>
      </c>
      <c r="AN190" s="41">
        <f t="shared" ca="1" si="329"/>
        <v>1.8402154491469305</v>
      </c>
      <c r="AO190" s="41">
        <f t="shared" ca="1" si="330"/>
        <v>1.121270804851187</v>
      </c>
      <c r="AP190" s="67">
        <f t="shared" si="348"/>
        <v>0.746348341577314</v>
      </c>
      <c r="AQ190" s="11">
        <f t="shared" si="331"/>
        <v>1.0417431957183758</v>
      </c>
      <c r="AR190" s="11">
        <f t="shared" si="332"/>
        <v>0.94697011592012315</v>
      </c>
      <c r="AS190" s="11">
        <f t="shared" si="333"/>
        <v>0.9090245271696753</v>
      </c>
      <c r="AT190" s="11">
        <f t="shared" si="334"/>
        <v>540.32094332324994</v>
      </c>
      <c r="AU190" s="11">
        <f t="shared" si="335"/>
        <v>2003.9970987124827</v>
      </c>
      <c r="AV190" s="11">
        <f t="shared" si="336"/>
        <v>2.1606603986296011E-3</v>
      </c>
      <c r="AW190" s="11">
        <f t="shared" si="337"/>
        <v>3.8572488716766502E-7</v>
      </c>
      <c r="AX190" s="41">
        <f t="shared" ca="1" si="338"/>
        <v>1.0221625452045533</v>
      </c>
      <c r="AY190" s="41">
        <f t="shared" ca="1" si="339"/>
        <v>1.3768732562556698</v>
      </c>
      <c r="AZ190" s="41">
        <f t="shared" si="340"/>
        <v>0.13900730013805201</v>
      </c>
      <c r="BA190" s="179">
        <f t="shared" si="349"/>
        <v>1.5586379742685881</v>
      </c>
    </row>
    <row r="191" spans="1:53" ht="14.5">
      <c r="A191" s="41">
        <f t="shared" ca="1" si="341"/>
        <v>16366.421798718138</v>
      </c>
      <c r="B191" s="41">
        <f t="shared" ca="1" si="350"/>
        <v>272.77369664530232</v>
      </c>
      <c r="C191" s="41">
        <f t="shared" ca="1" si="350"/>
        <v>4.5462282774217053</v>
      </c>
      <c r="D191" s="41">
        <f t="shared" ca="1" si="342"/>
        <v>13197.866055837261</v>
      </c>
      <c r="E191" s="41" t="e">
        <f t="shared" ca="1" si="343"/>
        <v>#NUM!</v>
      </c>
      <c r="F191" s="41">
        <f t="shared" ca="1" si="344"/>
        <v>23.234270823787355</v>
      </c>
      <c r="G191" s="41"/>
      <c r="H191" s="7">
        <f t="shared" si="345"/>
        <v>1000</v>
      </c>
      <c r="I191" s="6">
        <v>15</v>
      </c>
      <c r="J191" s="41">
        <f t="shared" si="304"/>
        <v>0.17470160340537047</v>
      </c>
      <c r="K191" s="41">
        <f t="shared" si="305"/>
        <v>199.40295363612486</v>
      </c>
      <c r="L191" s="6">
        <f t="shared" si="306"/>
        <v>113.5</v>
      </c>
      <c r="M191" s="41">
        <f t="shared" si="307"/>
        <v>118.14305958214581</v>
      </c>
      <c r="N191" s="41">
        <f t="shared" si="308"/>
        <v>43.601768748046453</v>
      </c>
      <c r="O191" s="41">
        <f t="shared" si="309"/>
        <v>1130902.6123021718</v>
      </c>
      <c r="P191" s="41">
        <f t="shared" si="310"/>
        <v>7261189.4383396497</v>
      </c>
      <c r="Q191" s="41">
        <f t="shared" si="311"/>
        <v>3.1542247951163475E-3</v>
      </c>
      <c r="R191" s="41">
        <f t="shared" si="312"/>
        <v>2.4176536777246068E-2</v>
      </c>
      <c r="S191" s="24">
        <f t="shared" ca="1" si="346"/>
        <v>-4.5668716802932137</v>
      </c>
      <c r="T191" s="10">
        <f t="shared" ca="1" si="313"/>
        <v>-4.5668716802932137</v>
      </c>
      <c r="U191" s="41">
        <f t="shared" ca="1" si="314"/>
        <v>1.3118697884237631</v>
      </c>
      <c r="V191" s="41">
        <f t="shared" ca="1" si="315"/>
        <v>0.13286940573234798</v>
      </c>
      <c r="W191" s="41">
        <f t="shared" ca="1" si="316"/>
        <v>9.8733774053779726</v>
      </c>
      <c r="X191" s="20">
        <f t="shared" ca="1" si="317"/>
        <v>1332.4684535594047</v>
      </c>
      <c r="Y191" s="41">
        <f t="shared" si="318"/>
        <v>0.61871016223781561</v>
      </c>
      <c r="Z191" s="41">
        <f t="shared" ca="1" si="319"/>
        <v>147.4250661875289</v>
      </c>
      <c r="AA191" s="14">
        <f t="shared" ca="1" si="320"/>
        <v>1336.7124048806702</v>
      </c>
      <c r="AB191" s="14">
        <f t="shared" si="347"/>
        <v>5632.4074348348286</v>
      </c>
      <c r="AC191" s="25">
        <f t="shared" ca="1" si="321"/>
        <v>266544.40169525327</v>
      </c>
      <c r="AD191" s="41">
        <f t="shared" si="322"/>
        <v>1123118.6785881342</v>
      </c>
      <c r="AE191" s="6">
        <v>5</v>
      </c>
      <c r="AF191" s="41">
        <f t="shared" si="323"/>
        <v>281.62037174174145</v>
      </c>
      <c r="AG191" s="41">
        <f t="shared" ca="1" si="324"/>
        <v>4295.6950299541586</v>
      </c>
      <c r="AH191" s="41">
        <f t="shared" ca="1" si="325"/>
        <v>856574.27689288091</v>
      </c>
      <c r="AI191" s="41">
        <f t="shared" si="326"/>
        <v>209.45242844559579</v>
      </c>
      <c r="AJ191" s="13">
        <f t="shared" ca="1" si="327"/>
        <v>-15.876976660527644</v>
      </c>
      <c r="AK191" s="11"/>
      <c r="AL191" s="6">
        <v>-500</v>
      </c>
      <c r="AM191" s="41">
        <f t="shared" ca="1" si="328"/>
        <v>31.492141778041976</v>
      </c>
      <c r="AN191" s="41">
        <f t="shared" ca="1" si="329"/>
        <v>1.8322515478788597</v>
      </c>
      <c r="AO191" s="41">
        <f t="shared" ca="1" si="330"/>
        <v>1.0302126264168134</v>
      </c>
      <c r="AP191" s="67">
        <f t="shared" si="348"/>
        <v>0.74374033082263336</v>
      </c>
      <c r="AQ191" s="11">
        <f t="shared" si="331"/>
        <v>1.0451808707183758</v>
      </c>
      <c r="AR191" s="11">
        <f t="shared" si="332"/>
        <v>0.96438727395980217</v>
      </c>
      <c r="AS191" s="11">
        <f t="shared" si="333"/>
        <v>0.92269893276649573</v>
      </c>
      <c r="AT191" s="11">
        <f t="shared" si="334"/>
        <v>542.10396221549991</v>
      </c>
      <c r="AU191" s="11">
        <f t="shared" si="335"/>
        <v>2040.8556368992124</v>
      </c>
      <c r="AV191" s="11">
        <f t="shared" si="336"/>
        <v>2.1931630932926836E-3</v>
      </c>
      <c r="AW191" s="11">
        <f t="shared" si="337"/>
        <v>3.8670279284088386E-7</v>
      </c>
      <c r="AX191" s="41">
        <f t="shared" ca="1" si="338"/>
        <v>1.0714148423436425</v>
      </c>
      <c r="AY191" s="41">
        <f t="shared" ca="1" si="339"/>
        <v>1.4432170790244827</v>
      </c>
      <c r="AZ191" s="41">
        <f t="shared" si="340"/>
        <v>0.13011230480295563</v>
      </c>
      <c r="BA191" s="179">
        <f t="shared" si="349"/>
        <v>1.5505196922979385</v>
      </c>
    </row>
    <row r="192" spans="1:53" ht="14.5">
      <c r="A192" s="41">
        <f t="shared" ca="1" si="341"/>
        <v>16397.913940496179</v>
      </c>
      <c r="B192" s="41">
        <f t="shared" ca="1" si="350"/>
        <v>273.2985656749363</v>
      </c>
      <c r="C192" s="41">
        <f t="shared" ca="1" si="350"/>
        <v>4.5549760945822717</v>
      </c>
      <c r="D192" s="41">
        <f t="shared" ca="1" si="342"/>
        <v>13196.033804289382</v>
      </c>
      <c r="E192" s="41" t="e">
        <f t="shared" ca="1" si="343"/>
        <v>#NUM!</v>
      </c>
      <c r="F192" s="41">
        <f t="shared" ca="1" si="344"/>
        <v>24.264483450204168</v>
      </c>
      <c r="G192" s="41"/>
      <c r="H192" s="7">
        <f t="shared" si="345"/>
        <v>500</v>
      </c>
      <c r="I192" s="6">
        <v>15</v>
      </c>
      <c r="J192" s="41">
        <f t="shared" si="304"/>
        <v>0.16283878659808471</v>
      </c>
      <c r="K192" s="41">
        <f t="shared" si="305"/>
        <v>186.16824062091425</v>
      </c>
      <c r="L192" s="6">
        <f t="shared" si="306"/>
        <v>106.75</v>
      </c>
      <c r="M192" s="41">
        <f t="shared" si="307"/>
        <v>110.30170387604176</v>
      </c>
      <c r="N192" s="41">
        <f t="shared" si="308"/>
        <v>38.575706283761228</v>
      </c>
      <c r="O192" s="41">
        <f t="shared" si="309"/>
        <v>1068970.8499418306</v>
      </c>
      <c r="P192" s="41">
        <f t="shared" si="310"/>
        <v>6863544.0055174343</v>
      </c>
      <c r="Q192" s="41">
        <f t="shared" si="311"/>
        <v>3.1846108376180683E-3</v>
      </c>
      <c r="R192" s="41">
        <f t="shared" si="312"/>
        <v>2.4361272837418887E-2</v>
      </c>
      <c r="S192" s="24">
        <f t="shared" ca="1" si="346"/>
        <v>-5.0402534532702168</v>
      </c>
      <c r="T192" s="10">
        <f t="shared" ca="1" si="313"/>
        <v>-5.0402534532702168</v>
      </c>
      <c r="U192" s="41">
        <f t="shared" ca="1" si="314"/>
        <v>1.4815595794931575</v>
      </c>
      <c r="V192" s="41">
        <f t="shared" ca="1" si="315"/>
        <v>0.16299146737083159</v>
      </c>
      <c r="W192" s="41">
        <f t="shared" ca="1" si="316"/>
        <v>9.089798401056008</v>
      </c>
      <c r="X192" s="20">
        <f t="shared" ca="1" si="317"/>
        <v>1446.1275235729838</v>
      </c>
      <c r="Y192" s="41">
        <f t="shared" si="318"/>
        <v>0.62106948622660896</v>
      </c>
      <c r="Z192" s="41">
        <f t="shared" ca="1" si="319"/>
        <v>146.27143904239691</v>
      </c>
      <c r="AA192" s="14">
        <f t="shared" ca="1" si="320"/>
        <v>1451.7410862221468</v>
      </c>
      <c r="AB192" s="14">
        <f t="shared" si="347"/>
        <v>5735.6403190585688</v>
      </c>
      <c r="AC192" s="25">
        <f t="shared" ca="1" si="321"/>
        <v>270268.08385907207</v>
      </c>
      <c r="AD192" s="41">
        <f t="shared" si="322"/>
        <v>1067794.067033513</v>
      </c>
      <c r="AE192" s="6">
        <v>5</v>
      </c>
      <c r="AF192" s="41">
        <f t="shared" si="323"/>
        <v>286.78201595292848</v>
      </c>
      <c r="AG192" s="41">
        <f t="shared" ca="1" si="324"/>
        <v>4283.899232836422</v>
      </c>
      <c r="AH192" s="41">
        <f t="shared" ca="1" si="325"/>
        <v>797525.98317444092</v>
      </c>
      <c r="AI192" s="41">
        <f t="shared" si="326"/>
        <v>212.54878371165955</v>
      </c>
      <c r="AJ192" s="13">
        <f t="shared" ca="1" si="327"/>
        <v>-16.355923046758914</v>
      </c>
      <c r="AK192" s="11"/>
      <c r="AL192" s="6">
        <v>-500</v>
      </c>
      <c r="AM192" s="41">
        <f t="shared" ca="1" si="328"/>
        <v>30.569965300679247</v>
      </c>
      <c r="AN192" s="41">
        <f t="shared" ca="1" si="329"/>
        <v>1.8048913729908362</v>
      </c>
      <c r="AO192" s="41">
        <f t="shared" ca="1" si="330"/>
        <v>0.93302244218825192</v>
      </c>
      <c r="AP192" s="67">
        <f t="shared" si="348"/>
        <v>0.7411510202457976</v>
      </c>
      <c r="AQ192" s="11">
        <f t="shared" si="331"/>
        <v>1.0486185457183759</v>
      </c>
      <c r="AR192" s="11">
        <f t="shared" si="332"/>
        <v>0.9820629270355743</v>
      </c>
      <c r="AS192" s="11">
        <f t="shared" si="333"/>
        <v>0.93653019112187608</v>
      </c>
      <c r="AT192" s="11">
        <f t="shared" si="334"/>
        <v>543.88698110774999</v>
      </c>
      <c r="AU192" s="11">
        <f t="shared" si="335"/>
        <v>2078.2612074512226</v>
      </c>
      <c r="AV192" s="11">
        <f t="shared" si="336"/>
        <v>2.2260386112775872E-3</v>
      </c>
      <c r="AW192" s="11">
        <f t="shared" si="337"/>
        <v>3.8767913253979071E-7</v>
      </c>
      <c r="AX192" s="41">
        <f t="shared" ca="1" si="338"/>
        <v>1.1639194478623305</v>
      </c>
      <c r="AY192" s="41">
        <f t="shared" ca="1" si="339"/>
        <v>1.5678226204980001</v>
      </c>
      <c r="AZ192" s="41">
        <f t="shared" si="340"/>
        <v>0.1212984966311809</v>
      </c>
      <c r="BA192" s="179">
        <f t="shared" si="349"/>
        <v>1.5423525621877379</v>
      </c>
    </row>
    <row r="193" spans="1:53" ht="14.5">
      <c r="A193" s="41">
        <f ca="1">A192+AM192</f>
        <v>16428.483905796857</v>
      </c>
      <c r="B193" s="41">
        <f t="shared" ca="1" si="350"/>
        <v>273.80806509661426</v>
      </c>
      <c r="C193" s="41">
        <f t="shared" ca="1" si="350"/>
        <v>4.5634677516102373</v>
      </c>
      <c r="D193" s="41">
        <f ca="1">D192-AN192</f>
        <v>13194.228912916391</v>
      </c>
      <c r="E193" s="41" t="e">
        <f ca="1">E192+AO192</f>
        <v>#NUM!</v>
      </c>
      <c r="F193" s="41">
        <f ca="1">F192+AO192</f>
        <v>25.197505892392421</v>
      </c>
      <c r="G193" s="41"/>
      <c r="H193" s="7">
        <f>H192+AL192</f>
        <v>0</v>
      </c>
      <c r="I193" s="6">
        <v>15</v>
      </c>
      <c r="J193" s="41">
        <f t="shared" si="304"/>
        <v>0.15117683608046922</v>
      </c>
      <c r="K193" s="41">
        <f t="shared" si="305"/>
        <v>173.1185859265388</v>
      </c>
      <c r="L193" s="120">
        <v>100</v>
      </c>
      <c r="M193" s="41">
        <f t="shared" si="307"/>
        <v>102.56999226409941</v>
      </c>
      <c r="N193" s="41">
        <f t="shared" si="308"/>
        <v>33.855509841634493</v>
      </c>
      <c r="O193" s="41">
        <f t="shared" si="309"/>
        <v>1006358.2566622874</v>
      </c>
      <c r="P193" s="41">
        <f t="shared" si="310"/>
        <v>6461527.1597848358</v>
      </c>
      <c r="Q193" s="41">
        <f t="shared" si="311"/>
        <v>3.217430652235113E-3</v>
      </c>
      <c r="R193" s="41">
        <f t="shared" si="312"/>
        <v>2.4560805344740685E-2</v>
      </c>
      <c r="S193" s="24">
        <f t="shared" ca="1" si="346"/>
        <v>-5.6437590120261394</v>
      </c>
      <c r="T193" s="10">
        <f t="shared" ca="1" si="313"/>
        <v>-5.6437590120261394</v>
      </c>
      <c r="U193" s="41">
        <f t="shared" ca="1" si="314"/>
        <v>1.6862287678805548</v>
      </c>
      <c r="V193" s="41">
        <f t="shared" ca="1" si="315"/>
        <v>0.20413857753050549</v>
      </c>
      <c r="W193" s="41">
        <f t="shared" ca="1" si="316"/>
        <v>8.2602161153423967</v>
      </c>
      <c r="X193" s="20">
        <f t="shared" ca="1" si="317"/>
        <v>1589.5795927474978</v>
      </c>
      <c r="Y193" s="41">
        <f t="shared" si="318"/>
        <v>0.62360775332890361</v>
      </c>
      <c r="Z193" s="41">
        <f t="shared" ca="1" si="319"/>
        <v>145.10965925948625</v>
      </c>
      <c r="AA193" s="14">
        <f t="shared" ca="1" si="320"/>
        <v>1597.322482690209</v>
      </c>
      <c r="AB193" s="14">
        <f t="shared" si="347"/>
        <v>5840.4000000000005</v>
      </c>
      <c r="AC193" s="25">
        <f t="shared" ca="1" si="321"/>
        <v>276526.20947199722</v>
      </c>
      <c r="AD193" s="41">
        <f t="shared" si="322"/>
        <v>1011081.7892453573</v>
      </c>
      <c r="AE193" s="6">
        <v>5</v>
      </c>
      <c r="AF193" s="41">
        <f t="shared" si="323"/>
        <v>292.02000000000004</v>
      </c>
      <c r="AG193" s="41">
        <f t="shared" ca="1" si="324"/>
        <v>4243.0775173097918</v>
      </c>
      <c r="AH193" s="41">
        <f t="shared" ca="1" si="325"/>
        <v>734555.57977336005</v>
      </c>
      <c r="AI193" s="41">
        <f t="shared" si="326"/>
        <v>215.6804115549148</v>
      </c>
      <c r="AJ193" s="13">
        <f t="shared" ca="1" si="327"/>
        <v>-17.024995044004495</v>
      </c>
      <c r="AK193" s="11"/>
      <c r="AL193" s="6">
        <v>0</v>
      </c>
      <c r="AM193" s="7">
        <v>0</v>
      </c>
      <c r="AN193" s="41">
        <f t="shared" si="329"/>
        <v>0</v>
      </c>
      <c r="AO193" s="41">
        <f t="shared" ca="1" si="330"/>
        <v>0</v>
      </c>
      <c r="AP193" s="67">
        <f t="shared" si="348"/>
        <v>0.73858095868404483</v>
      </c>
      <c r="AQ193" s="11">
        <f t="shared" si="331"/>
        <v>1.0520562207183759</v>
      </c>
      <c r="AR193" s="11">
        <f t="shared" si="332"/>
        <v>1</v>
      </c>
      <c r="AS193" s="11">
        <f t="shared" si="333"/>
        <v>0.95051954477981193</v>
      </c>
      <c r="AT193" s="11">
        <f t="shared" si="334"/>
        <v>545.66999999999996</v>
      </c>
      <c r="AU193" s="11">
        <f t="shared" si="335"/>
        <v>2116.2199999999998</v>
      </c>
      <c r="AV193" s="11">
        <f t="shared" si="336"/>
        <v>2.259289905987135E-3</v>
      </c>
      <c r="AW193" s="11">
        <f t="shared" si="337"/>
        <v>3.8865391239478742E-7</v>
      </c>
      <c r="AX193" s="41">
        <f t="shared" ca="1" si="338"/>
        <v>1.3247607135478021</v>
      </c>
      <c r="AY193" s="41">
        <f t="shared" ca="1" si="339"/>
        <v>1.7844790008981652</v>
      </c>
      <c r="AZ193" s="41">
        <f t="shared" si="340"/>
        <v>0.11256726187493296</v>
      </c>
      <c r="BA193" s="179">
        <f>2.12 - (0.00251*AF193) + (1.94*10^(-6)*AF193^2) - (7.84*10^(-10)*AF193^3) + (1.7*10^(-13)*AF193^4) - (1.89*10^(-17)*AF193^5) + (8.37*10^(-22)*AF193^6)</f>
        <v>1.5341379058740074</v>
      </c>
    </row>
    <row r="194" spans="1:53" s="148" customFormat="1" ht="14.5">
      <c r="A194" s="145"/>
      <c r="B194" s="135">
        <f ca="1">B193-B173</f>
        <v>8.4583365386726541</v>
      </c>
      <c r="C194" s="145"/>
      <c r="D194" s="145"/>
      <c r="E194" s="145"/>
      <c r="F194" s="145"/>
      <c r="G194" s="145"/>
      <c r="H194" s="135"/>
      <c r="I194" s="135"/>
      <c r="J194" s="145"/>
      <c r="K194" s="145"/>
      <c r="L194" s="13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32">
        <f ca="1">AVERAGE(X173:X193)</f>
        <v>1137.0303207547233</v>
      </c>
      <c r="Y194" s="145"/>
      <c r="Z194" s="145"/>
      <c r="AA194" s="145"/>
      <c r="AB194" s="145"/>
      <c r="AC194" s="146"/>
      <c r="AD194" s="145"/>
      <c r="AE194" s="135"/>
      <c r="AF194" s="145"/>
      <c r="AG194" s="145"/>
      <c r="AH194" s="145"/>
      <c r="AI194" s="145"/>
      <c r="AJ194" s="147"/>
      <c r="AK194" s="145"/>
      <c r="AL194" s="135"/>
      <c r="AM194" s="135"/>
      <c r="AN194" s="32">
        <f ca="1">SUM(AN173:AN193)</f>
        <v>26.615158313484571</v>
      </c>
      <c r="AO194" s="145"/>
      <c r="AP194" s="135"/>
      <c r="AQ194" s="145"/>
      <c r="AR194" s="145"/>
      <c r="AS194" s="145"/>
      <c r="AT194" s="145"/>
      <c r="AU194" s="145"/>
      <c r="AV194" s="145"/>
      <c r="AW194" s="145"/>
      <c r="AX194" s="145"/>
      <c r="AY194" s="145"/>
      <c r="AZ194" s="145"/>
    </row>
    <row r="195" spans="1:53" s="101" customFormat="1" ht="14.5">
      <c r="A195" s="90">
        <f ca="1">A193+AM193</f>
        <v>16428.483905796857</v>
      </c>
      <c r="B195" s="90">
        <f t="shared" ref="B195:C195" ca="1" si="351">A195/60</f>
        <v>273.80806509661426</v>
      </c>
      <c r="C195" s="90">
        <f t="shared" ca="1" si="351"/>
        <v>4.5634677516102373</v>
      </c>
      <c r="D195" s="90">
        <f>0.85*$B$12</f>
        <v>14507.46</v>
      </c>
      <c r="E195" s="90" t="e">
        <f ca="1">E193+AO193</f>
        <v>#NUM!</v>
      </c>
      <c r="F195" s="90">
        <f ca="1">F193+AO193</f>
        <v>25.197505892392421</v>
      </c>
      <c r="G195" s="90"/>
      <c r="H195" s="91">
        <f>H193+AL193</f>
        <v>0</v>
      </c>
      <c r="I195" s="92">
        <v>15</v>
      </c>
      <c r="J195" s="90">
        <f t="shared" ref="J195" si="352">SQRT((((((((L195^2)*(0.2))/(661.477)^2) + 1)^(3.5) - 1)*(1/AR195) + 1)^(1/3.5) - 1)*(5))</f>
        <v>0.15117683608046922</v>
      </c>
      <c r="K195" s="90">
        <f t="shared" ref="K195" si="353">SQRT((1.4*2116.22*AR195*(J195)^2)/AV195)</f>
        <v>173.1185859265388</v>
      </c>
      <c r="L195" s="92">
        <v>100</v>
      </c>
      <c r="M195" s="90">
        <f t="shared" ref="M195" si="354">K195*0.592484</f>
        <v>102.56999226409941</v>
      </c>
      <c r="N195" s="90">
        <f t="shared" ref="N195" si="355">0.5*AV195*K195^2</f>
        <v>33.855509841634493</v>
      </c>
      <c r="O195" s="90">
        <f t="shared" ref="O195" si="356">P195/$B$7</f>
        <v>1006358.2566622874</v>
      </c>
      <c r="P195" s="90">
        <f t="shared" ref="P195" si="357">(AV195*K195*$B$7)/(AW195)</f>
        <v>6461527.1597848358</v>
      </c>
      <c r="Q195" s="90">
        <f t="shared" ref="Q195" si="358">0.455/(LOG10(P195)^2.58 * (1+0.144*J195*J195)^0.65)</f>
        <v>3.217430652235113E-3</v>
      </c>
      <c r="R195" s="90">
        <f t="shared" ref="R195" si="359">(((Q195*$B$4)+$B$17)+(0.1*(Q195*$B$4)))</f>
        <v>2.4560805344740685E-2</v>
      </c>
      <c r="S195" s="93" t="e">
        <f t="shared" ref="S195" ca="1" si="360">T195</f>
        <v>#NUM!</v>
      </c>
      <c r="T195" s="94" t="e">
        <f t="shared" ref="T195" ca="1" si="361">DEGREES(ASIN(((AF195-X195)/(D195))))</f>
        <v>#NUM!</v>
      </c>
      <c r="U195" s="90" t="e">
        <f t="shared" ref="U195" ca="1" si="362">(D195*COS(RADIANS(S195)))/(N195*$B$3)</f>
        <v>#NUM!</v>
      </c>
      <c r="V195" s="90" t="e">
        <f t="shared" ref="V195" ca="1" si="363">(X195)/(N195*$B$3)</f>
        <v>#NUM!</v>
      </c>
      <c r="W195" s="90" t="e">
        <f t="shared" ref="W195" ca="1" si="364">U195/V195</f>
        <v>#NUM!</v>
      </c>
      <c r="X195" s="95" t="e">
        <f t="shared" ref="X195" ca="1" si="365">(N195*$B$3*R195)+((N195*$B$3)*((U195^2)/(PI()*$B$6*$B$5)))</f>
        <v>#NUM!</v>
      </c>
      <c r="Y195" s="90">
        <f t="shared" ref="Y195" si="366">SQRT(PI()*$B$6*$B$5*R195)</f>
        <v>0.62360775332890361</v>
      </c>
      <c r="Z195" s="90" t="e">
        <f t="shared" ref="Z195" ca="1" si="367">SQRT((2*((U195*N195*$B$3)/(D195))*D195)/(AV195*$B$3*$B$18))</f>
        <v>#NUM!</v>
      </c>
      <c r="AA195" s="96" t="e">
        <f t="shared" ref="AA195" ca="1" si="368">D195/W195</f>
        <v>#NUM!</v>
      </c>
      <c r="AB195" s="96">
        <f>$B$15*AR195*0.93</f>
        <v>5840.4000000000005</v>
      </c>
      <c r="AC195" s="97" t="e">
        <f t="shared" ref="AC195" ca="1" si="369">AA195*K195</f>
        <v>#NUM!</v>
      </c>
      <c r="AD195" s="90">
        <f t="shared" ref="AD195" si="370">AB195*K195</f>
        <v>1011081.7892453573</v>
      </c>
      <c r="AE195" s="92">
        <v>5</v>
      </c>
      <c r="AF195" s="90">
        <f t="shared" ref="AF195" si="371">AB195*(AE195/100)</f>
        <v>292.02000000000004</v>
      </c>
      <c r="AG195" s="90" t="e">
        <f t="shared" ref="AG195" ca="1" si="372">AB195-AA195</f>
        <v>#NUM!</v>
      </c>
      <c r="AH195" s="90" t="e">
        <f t="shared" ref="AH195" ca="1" si="373">AD195-AC195</f>
        <v>#NUM!</v>
      </c>
      <c r="AI195" s="90">
        <f t="shared" ref="AI195" si="374">(AP195*AF195)</f>
        <v>233.1870821058659</v>
      </c>
      <c r="AJ195" s="98" t="e">
        <f t="shared" ref="AJ195" ca="1" si="375">K195*SIN(RADIANS(T195))</f>
        <v>#NUM!</v>
      </c>
      <c r="AK195" s="99"/>
      <c r="AL195" s="92">
        <v>0</v>
      </c>
      <c r="AM195" s="91">
        <v>0</v>
      </c>
      <c r="AN195" s="90">
        <f t="shared" ref="AN195" si="376">AI195*(AM195/3600)</f>
        <v>0</v>
      </c>
      <c r="AO195" s="90" t="e">
        <f t="shared" ref="AO195" ca="1" si="377">M195*COS(RADIANS(T195))*(AM195/3600)</f>
        <v>#NUM!</v>
      </c>
      <c r="AP195" s="100">
        <f t="shared" ref="AP195" si="378">-18.066*(AZ195^6) + 34.325*(AZ195^5) - 25.292*(AZ195^4) + 8.7618*(AZ195^3) - 1.317*(AZ195^2) + 0.358*(AZ195^1) + 0.7659</f>
        <v>0.79853120370476638</v>
      </c>
      <c r="AQ195" s="99">
        <f t="shared" ref="AQ195" si="379">IF(H195 &lt;= 36089, ((1 - 6.87535*10^(-6)*H195) + ((I195*1.8)/518.67)), 0.75187 + ((I195*1.8)/518.67))</f>
        <v>1.0520562207183759</v>
      </c>
      <c r="AR195" s="99">
        <f t="shared" ref="AR195" si="380">IF(H195 &lt;= 36089, (1 - 6.87535*10^(-6)*H195)^5.2561, 0.22336*EXP((36089 - H195)/(20806.7)))</f>
        <v>1</v>
      </c>
      <c r="AS195" s="99">
        <f t="shared" ref="AS195" si="381">(AR195/AQ195)</f>
        <v>0.95051954477981193</v>
      </c>
      <c r="AT195" s="99">
        <f t="shared" ref="AT195" si="382">(518.67*AQ195)</f>
        <v>545.66999999999996</v>
      </c>
      <c r="AU195" s="99">
        <f t="shared" ref="AU195" si="383">2116.22*AR195</f>
        <v>2116.2199999999998</v>
      </c>
      <c r="AV195" s="99">
        <f t="shared" ref="AV195" si="384">(0.0023769*AS195)</f>
        <v>2.259289905987135E-3</v>
      </c>
      <c r="AW195" s="99">
        <f t="shared" ref="AW195" si="385">((2.2697*10^-8)*(AT195^1.5))/(AT195+198.72)</f>
        <v>3.8865391239478742E-7</v>
      </c>
      <c r="AX195" s="90" t="e">
        <f t="shared" ref="AX195" ca="1" si="386">(1/U195)*(((1 + 0.2*(U195)^2)/1.2)^3)</f>
        <v>#NUM!</v>
      </c>
      <c r="AY195" s="90" t="e">
        <f t="shared" ref="AY195" ca="1" si="387">($H$4/$H$3)*AX195</f>
        <v>#NUM!</v>
      </c>
      <c r="AZ195" s="90">
        <f t="shared" ref="AZ195" si="388">-6.6*10^(-3) + 0.825*J195 - 0.243*(J195^2)</f>
        <v>0.11256726187493296</v>
      </c>
    </row>
    <row r="196" spans="1:53" ht="14.5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3"/>
      <c r="AD196" s="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5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</row>
    <row r="197" spans="1:53" ht="14.5">
      <c r="B197" s="75" t="s">
        <v>218</v>
      </c>
      <c r="C197" s="179">
        <f ca="1">C198+C199+C201</f>
        <v>12710.599159378238</v>
      </c>
      <c r="F197" s="179" t="s">
        <v>229</v>
      </c>
      <c r="G197" s="179">
        <f ca="1">1.2*Z193</f>
        <v>174.1315911113835</v>
      </c>
      <c r="AC197" s="3"/>
      <c r="AD197" s="3"/>
      <c r="AP197" s="53"/>
    </row>
    <row r="198" spans="1:53" ht="14.5">
      <c r="B198" s="132" t="s">
        <v>58</v>
      </c>
      <c r="C198" s="21">
        <f>K6</f>
        <v>9120</v>
      </c>
      <c r="AC198" s="3"/>
      <c r="AD198" s="3"/>
      <c r="AP198" s="53"/>
    </row>
    <row r="199" spans="1:53" ht="14.5">
      <c r="B199" s="132" t="s">
        <v>59</v>
      </c>
      <c r="C199" s="21">
        <f>K7</f>
        <v>3000</v>
      </c>
      <c r="AC199" s="3"/>
      <c r="AD199" s="3"/>
      <c r="AP199" s="53"/>
    </row>
    <row r="200" spans="1:53" ht="14.5">
      <c r="B200" s="70" t="s">
        <v>125</v>
      </c>
      <c r="C200" s="32">
        <f ca="1">C201</f>
        <v>590.59915937823882</v>
      </c>
      <c r="AC200" s="3"/>
      <c r="AD200" s="3"/>
      <c r="AP200" s="53"/>
    </row>
    <row r="201" spans="1:53" ht="14.5">
      <c r="B201" s="70" t="s">
        <v>126</v>
      </c>
      <c r="C201" s="32">
        <f ca="1">SUM(AN207:AN227)+SUM(AN232:AN252)</f>
        <v>590.59915937823882</v>
      </c>
      <c r="AC201" s="3"/>
      <c r="AD201" s="3"/>
      <c r="AP201" s="53"/>
    </row>
    <row r="202" spans="1:53" ht="14.5">
      <c r="F202" s="179" t="s">
        <v>222</v>
      </c>
      <c r="G202" s="179">
        <f ca="1">1.1*Z207</f>
        <v>152.14551954890277</v>
      </c>
      <c r="AC202" s="3"/>
      <c r="AD202" s="3"/>
      <c r="AP202" s="53"/>
    </row>
    <row r="203" spans="1:53" ht="14.5">
      <c r="AC203" s="3"/>
      <c r="AD203" s="3"/>
      <c r="AP203" s="53"/>
    </row>
    <row r="204" spans="1:53" s="89" customFormat="1" ht="14.5">
      <c r="A204" s="124" t="s">
        <v>3</v>
      </c>
      <c r="B204" s="82" t="s">
        <v>22</v>
      </c>
      <c r="C204" s="81">
        <v>3000</v>
      </c>
      <c r="D204" s="82" t="s">
        <v>9</v>
      </c>
      <c r="E204" s="82"/>
      <c r="F204" s="82"/>
      <c r="G204" s="82"/>
      <c r="H204" s="82"/>
      <c r="I204" s="83"/>
      <c r="J204" s="82"/>
      <c r="K204" s="82"/>
      <c r="L204" s="84" t="s">
        <v>60</v>
      </c>
      <c r="M204" s="82"/>
      <c r="N204" s="82"/>
      <c r="O204" s="82"/>
      <c r="P204" s="82"/>
      <c r="Q204" s="81"/>
      <c r="R204" s="82"/>
      <c r="S204" s="85"/>
      <c r="T204" s="86"/>
      <c r="U204" s="81"/>
      <c r="V204" s="81"/>
      <c r="W204" s="81"/>
      <c r="X204" s="81"/>
      <c r="Y204" s="82"/>
      <c r="Z204" s="82"/>
      <c r="AA204" s="87"/>
      <c r="AB204" s="87"/>
      <c r="AC204" s="82"/>
      <c r="AD204" s="82"/>
      <c r="AE204" s="83"/>
      <c r="AF204" s="81"/>
      <c r="AG204" s="82"/>
      <c r="AH204" s="82"/>
      <c r="AI204" s="82"/>
      <c r="AJ204" s="81" t="s">
        <v>61</v>
      </c>
      <c r="AK204" s="88"/>
      <c r="AL204" s="83"/>
      <c r="AM204" s="82"/>
      <c r="AN204" s="82"/>
      <c r="AO204" s="82"/>
      <c r="AP204" s="53"/>
      <c r="AQ204" s="88"/>
      <c r="AR204" s="88"/>
      <c r="AS204" s="88"/>
      <c r="AT204" s="88"/>
      <c r="AU204" s="88"/>
      <c r="AV204" s="88"/>
      <c r="AW204" s="88"/>
      <c r="AX204" s="82"/>
      <c r="AY204" s="82"/>
      <c r="AZ204" s="82"/>
    </row>
    <row r="205" spans="1:53" ht="14.5">
      <c r="A205" s="41" t="s">
        <v>2</v>
      </c>
      <c r="B205" s="41" t="s">
        <v>2</v>
      </c>
      <c r="C205" s="41" t="s">
        <v>2</v>
      </c>
      <c r="D205" s="41" t="s">
        <v>23</v>
      </c>
      <c r="E205" s="41" t="s">
        <v>24</v>
      </c>
      <c r="F205" s="41" t="s">
        <v>25</v>
      </c>
      <c r="G205" s="41"/>
      <c r="H205" s="41" t="s">
        <v>0</v>
      </c>
      <c r="I205" s="5" t="s">
        <v>26</v>
      </c>
      <c r="J205" s="41" t="s">
        <v>27</v>
      </c>
      <c r="K205" s="41" t="s">
        <v>28</v>
      </c>
      <c r="L205" s="12" t="s">
        <v>29</v>
      </c>
      <c r="M205" s="13" t="s">
        <v>30</v>
      </c>
      <c r="N205" s="41" t="s">
        <v>31</v>
      </c>
      <c r="O205" s="41" t="s">
        <v>32</v>
      </c>
      <c r="P205" s="41" t="s">
        <v>33</v>
      </c>
      <c r="Q205" s="41" t="s">
        <v>34</v>
      </c>
      <c r="R205" s="41" t="s">
        <v>13</v>
      </c>
      <c r="S205" s="24" t="s">
        <v>35</v>
      </c>
      <c r="T205" s="10" t="s">
        <v>35</v>
      </c>
      <c r="U205" s="41" t="s">
        <v>36</v>
      </c>
      <c r="V205" s="41" t="s">
        <v>37</v>
      </c>
      <c r="W205" s="41" t="s">
        <v>38</v>
      </c>
      <c r="X205" s="41" t="s">
        <v>39</v>
      </c>
      <c r="Y205" s="41" t="s">
        <v>40</v>
      </c>
      <c r="Z205" s="35" t="s">
        <v>108</v>
      </c>
      <c r="AA205" s="35" t="s">
        <v>109</v>
      </c>
      <c r="AB205" s="9" t="s">
        <v>110</v>
      </c>
      <c r="AC205" s="7" t="s">
        <v>111</v>
      </c>
      <c r="AD205" s="7" t="s">
        <v>112</v>
      </c>
      <c r="AE205" s="5" t="s">
        <v>41</v>
      </c>
      <c r="AF205" s="7" t="s">
        <v>113</v>
      </c>
      <c r="AG205" s="41"/>
      <c r="AH205" s="41"/>
      <c r="AI205" s="41" t="s">
        <v>42</v>
      </c>
      <c r="AJ205" s="41" t="s">
        <v>43</v>
      </c>
      <c r="AK205" s="11"/>
      <c r="AL205" s="5" t="s">
        <v>44</v>
      </c>
      <c r="AM205" s="41" t="s">
        <v>45</v>
      </c>
      <c r="AN205" s="41" t="s">
        <v>46</v>
      </c>
      <c r="AO205" s="41" t="s">
        <v>47</v>
      </c>
      <c r="AP205" s="53"/>
      <c r="AQ205" s="15" t="s">
        <v>62</v>
      </c>
      <c r="AR205" s="16" t="s">
        <v>63</v>
      </c>
      <c r="AS205" s="16" t="s">
        <v>64</v>
      </c>
      <c r="AT205" s="17" t="s">
        <v>65</v>
      </c>
      <c r="AU205" s="18" t="s">
        <v>66</v>
      </c>
      <c r="AV205" s="18" t="s">
        <v>67</v>
      </c>
      <c r="AW205" s="19" t="s">
        <v>68</v>
      </c>
      <c r="AX205" s="7" t="s">
        <v>207</v>
      </c>
      <c r="AY205" s="7" t="s">
        <v>208</v>
      </c>
      <c r="AZ205" s="7" t="s">
        <v>209</v>
      </c>
    </row>
    <row r="206" spans="1:53" ht="14.5">
      <c r="A206" s="41" t="s">
        <v>18</v>
      </c>
      <c r="B206" s="41" t="s">
        <v>21</v>
      </c>
      <c r="C206" s="41" t="s">
        <v>48</v>
      </c>
      <c r="D206" s="41" t="s">
        <v>8</v>
      </c>
      <c r="E206" s="41" t="s">
        <v>49</v>
      </c>
      <c r="F206" s="41" t="s">
        <v>49</v>
      </c>
      <c r="G206" s="41"/>
      <c r="H206" s="41" t="s">
        <v>9</v>
      </c>
      <c r="I206" s="5" t="s">
        <v>50</v>
      </c>
      <c r="J206" s="41"/>
      <c r="K206" s="41" t="s">
        <v>51</v>
      </c>
      <c r="L206" s="5" t="s">
        <v>52</v>
      </c>
      <c r="M206" s="41" t="s">
        <v>52</v>
      </c>
      <c r="N206" s="41" t="s">
        <v>53</v>
      </c>
      <c r="O206" s="41" t="s">
        <v>54</v>
      </c>
      <c r="P206" s="41"/>
      <c r="Q206" s="41"/>
      <c r="R206" s="41"/>
      <c r="S206" s="24" t="s">
        <v>55</v>
      </c>
      <c r="T206" s="10" t="s">
        <v>55</v>
      </c>
      <c r="U206" s="41"/>
      <c r="V206" s="41"/>
      <c r="W206" s="41"/>
      <c r="X206" s="41"/>
      <c r="Y206" s="41"/>
      <c r="Z206" s="41"/>
      <c r="AA206" s="9" t="s">
        <v>118</v>
      </c>
      <c r="AB206" s="9" t="s">
        <v>118</v>
      </c>
      <c r="AC206" s="7" t="s">
        <v>119</v>
      </c>
      <c r="AD206" s="7" t="s">
        <v>119</v>
      </c>
      <c r="AE206" s="5" t="s">
        <v>20</v>
      </c>
      <c r="AF206" s="7" t="s">
        <v>118</v>
      </c>
      <c r="AG206" s="41"/>
      <c r="AH206" s="41"/>
      <c r="AI206" s="41" t="s">
        <v>56</v>
      </c>
      <c r="AJ206" s="41" t="s">
        <v>57</v>
      </c>
      <c r="AK206" s="11"/>
      <c r="AL206" s="5" t="s">
        <v>9</v>
      </c>
      <c r="AM206" s="41" t="s">
        <v>18</v>
      </c>
      <c r="AN206" s="41" t="s">
        <v>8</v>
      </c>
      <c r="AO206" s="41" t="s">
        <v>49</v>
      </c>
      <c r="AP206" s="53"/>
      <c r="AQ206" s="11"/>
      <c r="AR206" s="11"/>
      <c r="AS206" s="11"/>
      <c r="AT206" s="11"/>
      <c r="AU206" s="11"/>
      <c r="AV206" s="11"/>
      <c r="AW206" s="11"/>
      <c r="AX206" s="41"/>
      <c r="AY206" s="41"/>
      <c r="AZ206" s="41"/>
    </row>
    <row r="207" spans="1:53" ht="14.5">
      <c r="A207" s="41">
        <f ca="1">H207/(K207*SIN(RADIANS(T207)))</f>
        <v>0</v>
      </c>
      <c r="B207" s="41">
        <v>0</v>
      </c>
      <c r="C207" s="41">
        <v>0</v>
      </c>
      <c r="D207" s="41">
        <f ca="1">C198+C199+C200</f>
        <v>12710.599159378238</v>
      </c>
      <c r="E207" s="7">
        <v>0</v>
      </c>
      <c r="F207" s="7">
        <v>0</v>
      </c>
      <c r="G207" s="41"/>
      <c r="H207" s="41">
        <v>0</v>
      </c>
      <c r="I207" s="6">
        <v>15</v>
      </c>
      <c r="J207" s="41">
        <f t="shared" ref="J207:J227" si="389">SQRT((((((((L207^2)*(0.2))/(661.477)^2) + 1)^(3.5) - 1)*(1/AR207) + 1)^(1/3.5) - 1)*(5))</f>
        <v>0.14361799427644542</v>
      </c>
      <c r="K207" s="41">
        <f t="shared" ref="K207:K227" si="390">SQRT((1.4*2116.22*AR207*(J207)^2)/AV207)</f>
        <v>164.46265663021146</v>
      </c>
      <c r="L207" s="120">
        <v>95</v>
      </c>
      <c r="M207" s="41">
        <f t="shared" ref="M207:M227" si="391">K207*0.592484</f>
        <v>97.441492650894205</v>
      </c>
      <c r="N207" s="41">
        <f t="shared" ref="N207:N227" si="392">0.5*AV207*K207^2</f>
        <v>30.55459763207498</v>
      </c>
      <c r="O207" s="41">
        <f t="shared" ref="O207:O227" si="393">P207/$B$7</f>
        <v>956040.34382917057</v>
      </c>
      <c r="P207" s="41">
        <f t="shared" ref="P207:P227" si="394">(AV207*K207*$B$7)/(AW207)</f>
        <v>6138450.8017955786</v>
      </c>
      <c r="Q207" s="41">
        <f t="shared" ref="Q207:Q227" si="395">0.455/(LOG10(P207)^2.58 * (1+0.144*J207*J207)^0.65)</f>
        <v>3.2454173580935435E-3</v>
      </c>
      <c r="R207" s="41">
        <f t="shared" ref="R207:R227" si="396">(((Q207*$B$4)+$B$17)+(0.1*(Q207*$B$4)))</f>
        <v>2.4730954312879899E-2</v>
      </c>
      <c r="S207" s="24">
        <f ca="1">T207</f>
        <v>20.193925659563664</v>
      </c>
      <c r="T207" s="10">
        <f t="shared" ref="T207:T227" ca="1" si="397">DEGREES(ASIN(((AF207-X207)/(D207))))</f>
        <v>20.193925659563664</v>
      </c>
      <c r="U207" s="41">
        <f t="shared" ref="U207:U227" ca="1" si="398">(D207*COS(RADIANS(S207)))/(N207*$B$3)</f>
        <v>1.6974993002800407</v>
      </c>
      <c r="V207" s="41">
        <f t="shared" ref="V207:V227" ca="1" si="399">(X207)/(N207*$B$3)</f>
        <v>0.20671729762929306</v>
      </c>
      <c r="W207" s="41">
        <f t="shared" ref="W207:W227" ca="1" si="400">U207/V207</f>
        <v>8.2116945207177245</v>
      </c>
      <c r="X207" s="20">
        <f t="shared" ref="X207:X227" ca="1" si="401">(N207*$B$3*R207)+((N207*$B$3)*((U207^2)/(PI()*$B$6*$B$5)))</f>
        <v>1452.7176861101755</v>
      </c>
      <c r="Y207" s="41">
        <f t="shared" ref="Y207:Y227" si="402">SQRT(PI()*$B$6*$B$5*R207)</f>
        <v>0.62576409716718795</v>
      </c>
      <c r="Z207" s="41">
        <f t="shared" ref="Z207:Z227" ca="1" si="403">SQRT((2*((U207*N207*$B$3)/(D207))*D207)/(AV207*$B$3*$B$18))</f>
        <v>138.31410868082068</v>
      </c>
      <c r="AA207" s="14">
        <f t="shared" ref="AA207:AA227" ca="1" si="404">D207/W207</f>
        <v>1547.8655626204782</v>
      </c>
      <c r="AB207" s="14">
        <f>$B$15*AR207*0.93</f>
        <v>5840.4000000000005</v>
      </c>
      <c r="AC207" s="25">
        <f t="shared" ref="AC207:AC227" ca="1" si="405">AA207*K207</f>
        <v>254566.08253498076</v>
      </c>
      <c r="AD207" s="41">
        <f t="shared" ref="AD207:AD227" si="406">AB207*K207</f>
        <v>960527.69978308713</v>
      </c>
      <c r="AE207" s="6">
        <v>100</v>
      </c>
      <c r="AF207" s="41">
        <f t="shared" ref="AF207:AF227" si="407">AB207*(AE207/100)</f>
        <v>5840.4000000000005</v>
      </c>
      <c r="AG207" s="41"/>
      <c r="AH207" s="41"/>
      <c r="AI207" s="41">
        <f t="shared" ref="AI207:AI227" si="408">(AP207*AF207)</f>
        <v>4303.8028043138838</v>
      </c>
      <c r="AJ207" s="13">
        <f t="shared" ref="AJ207:AJ227" ca="1" si="409">K207*SIN(RADIANS(T207))</f>
        <v>56.772295368884322</v>
      </c>
      <c r="AK207" s="11"/>
      <c r="AL207" s="6">
        <v>150</v>
      </c>
      <c r="AM207" s="41">
        <f t="shared" ref="AM207:AM227" ca="1" si="410">AL207/AJ207</f>
        <v>2.6421337912331757</v>
      </c>
      <c r="AN207" s="41">
        <f t="shared" ref="AN207:AN227" ca="1" si="411">AI207*(AM207/3600)</f>
        <v>3.1586730055782821</v>
      </c>
      <c r="AO207" s="41">
        <f t="shared" ref="AO207:AO227" ca="1" si="412">M207*COS(RADIANS(T207))*(AM207/3600)</f>
        <v>6.7118805460404884E-2</v>
      </c>
      <c r="AP207" s="67">
        <f>0.705 + 0.302*AZ207 + -0.0327*AZ207^2</f>
        <v>0.73690206224126487</v>
      </c>
      <c r="AQ207" s="11">
        <f t="shared" ref="AQ207:AQ227" si="413">IF(H207 &lt;= 36089, ((1 - 6.87535*10^(-6)*H207) + ((I207*1.8)/518.67)), 0.75187 + ((I207*1.8)/518.67))</f>
        <v>1.0520562207183759</v>
      </c>
      <c r="AR207" s="11">
        <f t="shared" ref="AR207:AR227" si="414">IF(H207 &lt;= 36089, (1 - 6.87535*10^(-6)*H207)^5.2561, 0.22336*EXP((36089 - H207)/(20806.7)))</f>
        <v>1</v>
      </c>
      <c r="AS207" s="11">
        <f t="shared" ref="AS207:AS227" si="415">(AR207/AQ207)</f>
        <v>0.95051954477981193</v>
      </c>
      <c r="AT207" s="11">
        <f t="shared" ref="AT207:AT227" si="416">(518.67*AQ207)</f>
        <v>545.66999999999996</v>
      </c>
      <c r="AU207" s="11">
        <f t="shared" ref="AU207:AU227" si="417">2116.22*AR207</f>
        <v>2116.2199999999998</v>
      </c>
      <c r="AV207" s="11">
        <f t="shared" ref="AV207:AV227" si="418">(0.0023769*AS207)</f>
        <v>2.259289905987135E-3</v>
      </c>
      <c r="AW207" s="11">
        <f t="shared" ref="AW207:AW227" si="419">((2.2697*10^-8)*(AT207^1.5))/(AT207+198.72)</f>
        <v>3.8865391239478742E-7</v>
      </c>
      <c r="AX207" s="41">
        <f t="shared" ref="AX207:AX227" ca="1" si="420">(1/U207)*(((1 + 0.2*(U207)^2)/1.2)^3)</f>
        <v>1.3352541150476174</v>
      </c>
      <c r="AY207" s="41">
        <f t="shared" ref="AY207:AY227" ca="1" si="421">($H$4/$H$3)*AX207</f>
        <v>1.7986138211965921</v>
      </c>
      <c r="AZ207" s="41">
        <f t="shared" ref="AZ207:AZ227" si="422">-6.6*10^(-3) + 0.825*J207 - 0.243*(J207^2)</f>
        <v>0.10687269610603012</v>
      </c>
    </row>
    <row r="208" spans="1:53" ht="14.5">
      <c r="A208" s="41">
        <f t="shared" ref="A208:A227" ca="1" si="423">A207+AM207</f>
        <v>2.6421337912331757</v>
      </c>
      <c r="B208" s="41">
        <f t="shared" ref="B208:C223" ca="1" si="424">A208/60</f>
        <v>4.4035563187219594E-2</v>
      </c>
      <c r="C208" s="41">
        <f t="shared" ca="1" si="424"/>
        <v>7.3392605312032658E-4</v>
      </c>
      <c r="D208" s="41">
        <f t="shared" ref="D208:D227" ca="1" si="425">D207-AN207</f>
        <v>12707.44048637266</v>
      </c>
      <c r="E208" s="41">
        <f t="shared" ref="E208:E227" ca="1" si="426">E207+AO207</f>
        <v>6.7118805460404884E-2</v>
      </c>
      <c r="F208" s="41">
        <f t="shared" ref="F208:F227" ca="1" si="427">F207+AO207</f>
        <v>6.7118805460404884E-2</v>
      </c>
      <c r="G208" s="41"/>
      <c r="H208" s="7">
        <f t="shared" ref="H208:H227" si="428">H207+AL207</f>
        <v>150</v>
      </c>
      <c r="I208" s="6">
        <v>15</v>
      </c>
      <c r="J208" s="41">
        <f t="shared" si="389"/>
        <v>0.14931129484890579</v>
      </c>
      <c r="K208" s="41">
        <f t="shared" si="390"/>
        <v>170.89845551322179</v>
      </c>
      <c r="L208" s="6">
        <f>L207+($L$232-$L$207)/20</f>
        <v>98.5</v>
      </c>
      <c r="M208" s="41">
        <f t="shared" si="391"/>
        <v>101.2546005162957</v>
      </c>
      <c r="N208" s="41">
        <f t="shared" si="392"/>
        <v>32.846478398916183</v>
      </c>
      <c r="O208" s="41">
        <f t="shared" si="393"/>
        <v>989792.92082567269</v>
      </c>
      <c r="P208" s="41">
        <f t="shared" si="394"/>
        <v>6355166.0635145614</v>
      </c>
      <c r="Q208" s="41">
        <f t="shared" si="395"/>
        <v>3.226402066500733E-3</v>
      </c>
      <c r="R208" s="41">
        <f t="shared" si="396"/>
        <v>2.461534827264961E-2</v>
      </c>
      <c r="S208" s="24">
        <f t="shared" ref="S208:S227" ca="1" si="429">T208</f>
        <v>20.438760833174829</v>
      </c>
      <c r="T208" s="10">
        <f t="shared" ca="1" si="397"/>
        <v>20.438760833174829</v>
      </c>
      <c r="U208" s="41">
        <f t="shared" ca="1" si="398"/>
        <v>1.5761673580269409</v>
      </c>
      <c r="V208" s="41">
        <f t="shared" ca="1" si="399"/>
        <v>0.18151581994439714</v>
      </c>
      <c r="W208" s="41">
        <f t="shared" ca="1" si="400"/>
        <v>8.6833608140037626</v>
      </c>
      <c r="X208" s="20">
        <f t="shared" ca="1" si="401"/>
        <v>1371.295755538996</v>
      </c>
      <c r="Y208" s="41">
        <f t="shared" si="402"/>
        <v>0.624299801687064</v>
      </c>
      <c r="Z208" s="41">
        <f t="shared" ca="1" si="403"/>
        <v>138.49486827182162</v>
      </c>
      <c r="AA208" s="14">
        <f t="shared" ca="1" si="404"/>
        <v>1463.4242154119881</v>
      </c>
      <c r="AB208" s="14">
        <f t="shared" ref="AB208:AB227" si="430">$B$15*AR208*0.93</f>
        <v>5808.8107603107364</v>
      </c>
      <c r="AC208" s="25">
        <f t="shared" ca="1" si="405"/>
        <v>250096.93817455714</v>
      </c>
      <c r="AD208" s="41">
        <f t="shared" si="406"/>
        <v>992716.78730568849</v>
      </c>
      <c r="AE208" s="6">
        <v>100</v>
      </c>
      <c r="AF208" s="41">
        <f t="shared" si="407"/>
        <v>5808.8107603107364</v>
      </c>
      <c r="AG208" s="41"/>
      <c r="AH208" s="41"/>
      <c r="AI208" s="41">
        <f t="shared" si="408"/>
        <v>4287.8756689225665</v>
      </c>
      <c r="AJ208" s="13">
        <f t="shared" ca="1" si="409"/>
        <v>59.678773349007656</v>
      </c>
      <c r="AK208" s="11"/>
      <c r="AL208" s="6">
        <v>150</v>
      </c>
      <c r="AM208" s="41">
        <f t="shared" ca="1" si="410"/>
        <v>2.513456486827979</v>
      </c>
      <c r="AN208" s="41">
        <f t="shared" ca="1" si="411"/>
        <v>2.9937191429903569</v>
      </c>
      <c r="AO208" s="41">
        <f t="shared" ca="1" si="412"/>
        <v>6.6243692051784417E-2</v>
      </c>
      <c r="AP208" s="67">
        <f t="shared" ref="AP208:AP227" si="431">0.705 + 0.302*AZ208 + -0.0327*AZ208^2</f>
        <v>0.73816756059947641</v>
      </c>
      <c r="AQ208" s="11">
        <f t="shared" si="413"/>
        <v>1.0510249182183757</v>
      </c>
      <c r="AR208" s="11">
        <f t="shared" si="414"/>
        <v>0.99459125407690152</v>
      </c>
      <c r="AS208" s="11">
        <f t="shared" si="415"/>
        <v>0.94630606452496235</v>
      </c>
      <c r="AT208" s="11">
        <f t="shared" si="416"/>
        <v>545.13509433232491</v>
      </c>
      <c r="AU208" s="11">
        <f t="shared" si="417"/>
        <v>2104.7739037026204</v>
      </c>
      <c r="AV208" s="11">
        <f t="shared" si="418"/>
        <v>2.2492748847693831E-3</v>
      </c>
      <c r="AW208" s="11">
        <f t="shared" si="419"/>
        <v>3.8836164185848879E-7</v>
      </c>
      <c r="AX208" s="41">
        <f t="shared" ca="1" si="420"/>
        <v>1.2313970199276734</v>
      </c>
      <c r="AY208" s="41">
        <f t="shared" ca="1" si="421"/>
        <v>1.6587162506840316</v>
      </c>
      <c r="AZ208" s="41">
        <f t="shared" si="422"/>
        <v>0.11116440959736926</v>
      </c>
    </row>
    <row r="209" spans="1:52" ht="14.5">
      <c r="A209" s="41">
        <f t="shared" ca="1" si="423"/>
        <v>5.1555902780611547</v>
      </c>
      <c r="B209" s="41">
        <f t="shared" ca="1" si="424"/>
        <v>8.5926504634352571E-2</v>
      </c>
      <c r="C209" s="41">
        <f t="shared" ca="1" si="424"/>
        <v>1.4321084105725428E-3</v>
      </c>
      <c r="D209" s="41">
        <f t="shared" ca="1" si="425"/>
        <v>12704.446767229669</v>
      </c>
      <c r="E209" s="41">
        <f t="shared" ca="1" si="426"/>
        <v>0.13336249751218932</v>
      </c>
      <c r="F209" s="41">
        <f t="shared" ca="1" si="427"/>
        <v>0.13336249751218932</v>
      </c>
      <c r="G209" s="41"/>
      <c r="H209" s="7">
        <f t="shared" si="428"/>
        <v>300</v>
      </c>
      <c r="I209" s="6">
        <v>15</v>
      </c>
      <c r="J209" s="41">
        <f t="shared" si="389"/>
        <v>0.15503438118767573</v>
      </c>
      <c r="K209" s="41">
        <f t="shared" si="390"/>
        <v>177.36189452076079</v>
      </c>
      <c r="L209" s="6">
        <f t="shared" ref="L209:L227" si="432">L208+($L$232-$L$207)/20</f>
        <v>102</v>
      </c>
      <c r="M209" s="41">
        <f t="shared" si="391"/>
        <v>105.08408471323844</v>
      </c>
      <c r="N209" s="41">
        <f t="shared" si="392"/>
        <v>35.221004174346916</v>
      </c>
      <c r="O209" s="41">
        <f t="shared" si="393"/>
        <v>1023439.559592862</v>
      </c>
      <c r="P209" s="41">
        <f t="shared" si="394"/>
        <v>6571201.1273602406</v>
      </c>
      <c r="Q209" s="41">
        <f t="shared" si="395"/>
        <v>3.2081847133082803E-3</v>
      </c>
      <c r="R209" s="41">
        <f t="shared" si="396"/>
        <v>2.450459340697864E-2</v>
      </c>
      <c r="S209" s="24">
        <f t="shared" ca="1" si="429"/>
        <v>20.632752204818061</v>
      </c>
      <c r="T209" s="10">
        <f t="shared" ca="1" si="397"/>
        <v>20.632752204818061</v>
      </c>
      <c r="U209" s="41">
        <f t="shared" ca="1" si="398"/>
        <v>1.4676965217441471</v>
      </c>
      <c r="V209" s="41">
        <f t="shared" ca="1" si="399"/>
        <v>0.1605525806094385</v>
      </c>
      <c r="W209" s="41">
        <f t="shared" ca="1" si="400"/>
        <v>9.1415318033067159</v>
      </c>
      <c r="X209" s="20">
        <f t="shared" ca="1" si="401"/>
        <v>1300.6093157248567</v>
      </c>
      <c r="Y209" s="41">
        <f t="shared" si="402"/>
        <v>0.62289372380680452</v>
      </c>
      <c r="Z209" s="41">
        <f t="shared" ca="1" si="403"/>
        <v>138.69884059998364</v>
      </c>
      <c r="AA209" s="14">
        <f t="shared" ca="1" si="404"/>
        <v>1389.7503220011945</v>
      </c>
      <c r="AB209" s="14">
        <f t="shared" si="430"/>
        <v>5777.3600147416428</v>
      </c>
      <c r="AC209" s="25">
        <f t="shared" ca="1" si="405"/>
        <v>246488.75002096919</v>
      </c>
      <c r="AD209" s="41">
        <f t="shared" si="406"/>
        <v>1024683.5175430683</v>
      </c>
      <c r="AE209" s="6">
        <v>100</v>
      </c>
      <c r="AF209" s="41">
        <f t="shared" si="407"/>
        <v>5777.3600147416428</v>
      </c>
      <c r="AG209" s="41"/>
      <c r="AH209" s="41"/>
      <c r="AI209" s="41">
        <f t="shared" si="408"/>
        <v>4271.9752160196276</v>
      </c>
      <c r="AJ209" s="13">
        <f t="shared" ca="1" si="409"/>
        <v>62.498194515863837</v>
      </c>
      <c r="AK209" s="11"/>
      <c r="AL209" s="6">
        <v>150</v>
      </c>
      <c r="AM209" s="41">
        <f t="shared" ca="1" si="410"/>
        <v>2.400069332593691</v>
      </c>
      <c r="AN209" s="41">
        <f t="shared" ca="1" si="411"/>
        <v>2.8480657515469492</v>
      </c>
      <c r="AO209" s="41">
        <f t="shared" ca="1" si="412"/>
        <v>6.5564433000428357E-2</v>
      </c>
      <c r="AP209" s="67">
        <f t="shared" si="431"/>
        <v>0.73943379071395221</v>
      </c>
      <c r="AQ209" s="11">
        <f t="shared" si="413"/>
        <v>1.0499936157183758</v>
      </c>
      <c r="AR209" s="11">
        <f t="shared" si="414"/>
        <v>0.98920622127622115</v>
      </c>
      <c r="AS209" s="11">
        <f t="shared" si="415"/>
        <v>0.94210689138279602</v>
      </c>
      <c r="AT209" s="11">
        <f t="shared" si="416"/>
        <v>544.60018866464998</v>
      </c>
      <c r="AU209" s="11">
        <f t="shared" si="417"/>
        <v>2093.3779895891644</v>
      </c>
      <c r="AV209" s="11">
        <f t="shared" si="418"/>
        <v>2.2392938701277679E-3</v>
      </c>
      <c r="AW209" s="11">
        <f t="shared" si="419"/>
        <v>3.8806923132088533E-7</v>
      </c>
      <c r="AX209" s="41">
        <f t="shared" ca="1" si="420"/>
        <v>1.1549974556374483</v>
      </c>
      <c r="AY209" s="41">
        <f t="shared" ca="1" si="421"/>
        <v>1.5558045197129602</v>
      </c>
      <c r="AZ209" s="41">
        <f t="shared" si="422"/>
        <v>0.1154626992577228</v>
      </c>
    </row>
    <row r="210" spans="1:52" ht="14.5">
      <c r="A210" s="41">
        <f t="shared" ca="1" si="423"/>
        <v>7.5556596106548461</v>
      </c>
      <c r="B210" s="41">
        <f t="shared" ca="1" si="424"/>
        <v>0.12592766017758078</v>
      </c>
      <c r="C210" s="41">
        <f t="shared" ca="1" si="424"/>
        <v>2.0987943362930131E-3</v>
      </c>
      <c r="D210" s="41">
        <f t="shared" ca="1" si="425"/>
        <v>12701.598701478122</v>
      </c>
      <c r="E210" s="41">
        <f t="shared" ca="1" si="426"/>
        <v>0.19892693051261767</v>
      </c>
      <c r="F210" s="41">
        <f t="shared" ca="1" si="427"/>
        <v>0.19892693051261767</v>
      </c>
      <c r="G210" s="41"/>
      <c r="H210" s="7">
        <f t="shared" si="428"/>
        <v>450</v>
      </c>
      <c r="I210" s="6">
        <v>15</v>
      </c>
      <c r="J210" s="41">
        <f t="shared" si="389"/>
        <v>0.16078736145654363</v>
      </c>
      <c r="K210" s="41">
        <f t="shared" si="390"/>
        <v>183.85304234676579</v>
      </c>
      <c r="L210" s="6">
        <f t="shared" si="432"/>
        <v>105.5</v>
      </c>
      <c r="M210" s="41">
        <f t="shared" si="391"/>
        <v>108.92998594178118</v>
      </c>
      <c r="N210" s="41">
        <f t="shared" si="392"/>
        <v>37.678124396868071</v>
      </c>
      <c r="O210" s="41">
        <f t="shared" si="393"/>
        <v>1056979.9804756858</v>
      </c>
      <c r="P210" s="41">
        <f t="shared" si="394"/>
        <v>6786554.1977506671</v>
      </c>
      <c r="Q210" s="41">
        <f t="shared" si="395"/>
        <v>3.1907037534728076E-3</v>
      </c>
      <c r="R210" s="41">
        <f t="shared" si="396"/>
        <v>2.4398315544441537E-2</v>
      </c>
      <c r="S210" s="24">
        <f t="shared" ca="1" si="429"/>
        <v>20.782901446518636</v>
      </c>
      <c r="T210" s="10">
        <f t="shared" ca="1" si="397"/>
        <v>20.782901446518636</v>
      </c>
      <c r="U210" s="41">
        <f t="shared" ca="1" si="398"/>
        <v>1.3703172293856267</v>
      </c>
      <c r="V210" s="41">
        <f t="shared" ca="1" si="399"/>
        <v>0.14299207250382684</v>
      </c>
      <c r="W210" s="41">
        <f t="shared" ca="1" si="400"/>
        <v>9.5831692302309524</v>
      </c>
      <c r="X210" s="20">
        <f t="shared" ca="1" si="401"/>
        <v>1239.1648119799884</v>
      </c>
      <c r="Y210" s="41">
        <f t="shared" si="402"/>
        <v>0.62154149268322478</v>
      </c>
      <c r="Z210" s="41">
        <f t="shared" ca="1" si="403"/>
        <v>138.92351370726604</v>
      </c>
      <c r="AA210" s="14">
        <f t="shared" ca="1" si="404"/>
        <v>1325.406908333603</v>
      </c>
      <c r="AB210" s="14">
        <f t="shared" si="430"/>
        <v>5746.0472982881147</v>
      </c>
      <c r="AC210" s="25">
        <f t="shared" ca="1" si="405"/>
        <v>243680.09244455385</v>
      </c>
      <c r="AD210" s="41">
        <f t="shared" si="406"/>
        <v>1056428.2772586839</v>
      </c>
      <c r="AE210" s="6">
        <v>100</v>
      </c>
      <c r="AF210" s="41">
        <f t="shared" si="407"/>
        <v>5746.0472982881147</v>
      </c>
      <c r="AG210" s="41"/>
      <c r="AH210" s="41"/>
      <c r="AI210" s="41">
        <f t="shared" si="408"/>
        <v>4256.1012428026979</v>
      </c>
      <c r="AJ210" s="13">
        <f t="shared" ca="1" si="409"/>
        <v>65.236201842109693</v>
      </c>
      <c r="AK210" s="11"/>
      <c r="AL210" s="6">
        <v>150</v>
      </c>
      <c r="AM210" s="41">
        <f t="shared" ca="1" si="410"/>
        <v>2.2993368063187214</v>
      </c>
      <c r="AN210" s="41">
        <f t="shared" ca="1" si="411"/>
        <v>2.7183917330541933</v>
      </c>
      <c r="AO210" s="41">
        <f t="shared" ca="1" si="412"/>
        <v>6.5047016350714762E-2</v>
      </c>
      <c r="AP210" s="67">
        <f t="shared" si="431"/>
        <v>0.74070069769016567</v>
      </c>
      <c r="AQ210" s="11">
        <f t="shared" si="413"/>
        <v>1.0489623132183759</v>
      </c>
      <c r="AR210" s="11">
        <f t="shared" si="414"/>
        <v>0.98384482197933598</v>
      </c>
      <c r="AS210" s="11">
        <f t="shared" si="415"/>
        <v>0.93792199164977674</v>
      </c>
      <c r="AT210" s="11">
        <f t="shared" si="416"/>
        <v>544.06528299697493</v>
      </c>
      <c r="AU210" s="11">
        <f t="shared" si="417"/>
        <v>2082.0320891691103</v>
      </c>
      <c r="AV210" s="11">
        <f t="shared" si="418"/>
        <v>2.2293467819523541E-3</v>
      </c>
      <c r="AW210" s="11">
        <f t="shared" si="419"/>
        <v>3.8777668061740615E-7</v>
      </c>
      <c r="AX210" s="41">
        <f t="shared" ca="1" si="420"/>
        <v>1.0991777916037235</v>
      </c>
      <c r="AY210" s="41">
        <f t="shared" ca="1" si="421"/>
        <v>1.4806143232595852</v>
      </c>
      <c r="AZ210" s="41">
        <f t="shared" si="422"/>
        <v>0.11976739732983829</v>
      </c>
    </row>
    <row r="211" spans="1:52" ht="14.5">
      <c r="A211" s="41">
        <f t="shared" ca="1" si="423"/>
        <v>9.8549964169735667</v>
      </c>
      <c r="B211" s="41">
        <f t="shared" ca="1" si="424"/>
        <v>0.16424994028289278</v>
      </c>
      <c r="C211" s="41">
        <f t="shared" ca="1" si="424"/>
        <v>2.7374990047148795E-3</v>
      </c>
      <c r="D211" s="41">
        <f t="shared" ca="1" si="425"/>
        <v>12698.880309745067</v>
      </c>
      <c r="E211" s="41">
        <f t="shared" ca="1" si="426"/>
        <v>0.26397394686333242</v>
      </c>
      <c r="F211" s="41">
        <f t="shared" ca="1" si="427"/>
        <v>0.26397394686333242</v>
      </c>
      <c r="G211" s="41"/>
      <c r="H211" s="7">
        <f t="shared" si="428"/>
        <v>600</v>
      </c>
      <c r="I211" s="6">
        <v>15</v>
      </c>
      <c r="J211" s="41">
        <f t="shared" si="389"/>
        <v>0.16657034126224995</v>
      </c>
      <c r="K211" s="41">
        <f t="shared" si="390"/>
        <v>190.37196446069328</v>
      </c>
      <c r="L211" s="6">
        <f t="shared" si="432"/>
        <v>109</v>
      </c>
      <c r="M211" s="41">
        <f t="shared" si="391"/>
        <v>112.7923429915294</v>
      </c>
      <c r="N211" s="41">
        <f t="shared" si="392"/>
        <v>40.217783514977498</v>
      </c>
      <c r="O211" s="41">
        <f t="shared" si="393"/>
        <v>1090413.8865185396</v>
      </c>
      <c r="P211" s="41">
        <f t="shared" si="394"/>
        <v>7001223.3680221951</v>
      </c>
      <c r="Q211" s="41">
        <f t="shared" si="395"/>
        <v>3.1739041282071493E-3</v>
      </c>
      <c r="R211" s="41">
        <f t="shared" si="396"/>
        <v>2.4296179947685834E-2</v>
      </c>
      <c r="S211" s="24">
        <f t="shared" ca="1" si="429"/>
        <v>20.895030244503303</v>
      </c>
      <c r="T211" s="10">
        <f t="shared" ca="1" si="397"/>
        <v>20.895030244503303</v>
      </c>
      <c r="U211" s="41">
        <f t="shared" ca="1" si="398"/>
        <v>1.2825543787273848</v>
      </c>
      <c r="V211" s="41">
        <f t="shared" ca="1" si="399"/>
        <v>0.12818556278361445</v>
      </c>
      <c r="W211" s="41">
        <f t="shared" ca="1" si="400"/>
        <v>10.005451088843911</v>
      </c>
      <c r="X211" s="20">
        <f t="shared" ca="1" si="401"/>
        <v>1185.7280191687014</v>
      </c>
      <c r="Y211" s="41">
        <f t="shared" si="402"/>
        <v>0.62023918788406551</v>
      </c>
      <c r="Z211" s="41">
        <f t="shared" ca="1" si="403"/>
        <v>139.16667927542019</v>
      </c>
      <c r="AA211" s="14">
        <f t="shared" ca="1" si="404"/>
        <v>1269.1961808602846</v>
      </c>
      <c r="AB211" s="14">
        <f t="shared" si="430"/>
        <v>5714.8721470284681</v>
      </c>
      <c r="AC211" s="25">
        <f t="shared" ca="1" si="405"/>
        <v>241619.37023638174</v>
      </c>
      <c r="AD211" s="41">
        <f t="shared" si="406"/>
        <v>1087951.4372715093</v>
      </c>
      <c r="AE211" s="6">
        <v>100</v>
      </c>
      <c r="AF211" s="41">
        <f t="shared" si="407"/>
        <v>5714.8721470284681</v>
      </c>
      <c r="AG211" s="41"/>
      <c r="AH211" s="41"/>
      <c r="AI211" s="41">
        <f t="shared" si="408"/>
        <v>4240.2535459910605</v>
      </c>
      <c r="AJ211" s="13">
        <f t="shared" ca="1" si="409"/>
        <v>67.897487330801241</v>
      </c>
      <c r="AK211" s="11"/>
      <c r="AL211" s="6">
        <v>150</v>
      </c>
      <c r="AM211" s="41">
        <f t="shared" ca="1" si="410"/>
        <v>2.2092128279974435</v>
      </c>
      <c r="AN211" s="41">
        <f t="shared" ca="1" si="411"/>
        <v>2.6021173688236385</v>
      </c>
      <c r="AO211" s="41">
        <f t="shared" ca="1" si="412"/>
        <v>6.4665255769005989E-2</v>
      </c>
      <c r="AP211" s="67">
        <f t="shared" si="431"/>
        <v>0.7419682255176685</v>
      </c>
      <c r="AQ211" s="11">
        <f t="shared" si="413"/>
        <v>1.0479310107183759</v>
      </c>
      <c r="AR211" s="11">
        <f t="shared" si="414"/>
        <v>0.97850697675304221</v>
      </c>
      <c r="AS211" s="11">
        <f t="shared" si="415"/>
        <v>0.93375133166663116</v>
      </c>
      <c r="AT211" s="11">
        <f t="shared" si="416"/>
        <v>543.53037732929999</v>
      </c>
      <c r="AU211" s="11">
        <f t="shared" si="417"/>
        <v>2070.7360343443229</v>
      </c>
      <c r="AV211" s="11">
        <f t="shared" si="418"/>
        <v>2.2194335402384155E-3</v>
      </c>
      <c r="AW211" s="11">
        <f t="shared" si="419"/>
        <v>3.8748398958321087E-7</v>
      </c>
      <c r="AX211" s="41">
        <f t="shared" ca="1" si="420"/>
        <v>1.0591190438137865</v>
      </c>
      <c r="AY211" s="41">
        <f t="shared" ca="1" si="421"/>
        <v>1.4266543941173788</v>
      </c>
      <c r="AZ211" s="41">
        <f t="shared" si="422"/>
        <v>0.12407833164441816</v>
      </c>
    </row>
    <row r="212" spans="1:52" ht="14.5">
      <c r="A212" s="41">
        <f t="shared" ca="1" si="423"/>
        <v>12.064209244971011</v>
      </c>
      <c r="B212" s="41">
        <f t="shared" ca="1" si="424"/>
        <v>0.20107015408285017</v>
      </c>
      <c r="C212" s="41">
        <f t="shared" ca="1" si="424"/>
        <v>3.3511692347141697E-3</v>
      </c>
      <c r="D212" s="41">
        <f t="shared" ca="1" si="425"/>
        <v>12696.278192376243</v>
      </c>
      <c r="E212" s="41">
        <f t="shared" ca="1" si="426"/>
        <v>0.32863920263233842</v>
      </c>
      <c r="F212" s="41">
        <f t="shared" ca="1" si="427"/>
        <v>0.32863920263233842</v>
      </c>
      <c r="G212" s="41"/>
      <c r="H212" s="7">
        <f t="shared" si="428"/>
        <v>750</v>
      </c>
      <c r="I212" s="6">
        <v>15</v>
      </c>
      <c r="J212" s="41">
        <f t="shared" si="389"/>
        <v>0.17238342359095954</v>
      </c>
      <c r="K212" s="41">
        <f t="shared" si="390"/>
        <v>196.91872304169127</v>
      </c>
      <c r="L212" s="6">
        <f t="shared" si="432"/>
        <v>112.5</v>
      </c>
      <c r="M212" s="41">
        <f t="shared" si="391"/>
        <v>116.67119270263341</v>
      </c>
      <c r="N212" s="41">
        <f t="shared" si="392"/>
        <v>42.839920744839262</v>
      </c>
      <c r="O212" s="41">
        <f t="shared" si="393"/>
        <v>1123740.963445819</v>
      </c>
      <c r="P212" s="41">
        <f t="shared" si="394"/>
        <v>7215206.6203046059</v>
      </c>
      <c r="Q212" s="41">
        <f t="shared" si="395"/>
        <v>3.157736396219136E-3</v>
      </c>
      <c r="R212" s="41">
        <f t="shared" si="396"/>
        <v>2.4197886031680597E-2</v>
      </c>
      <c r="S212" s="24">
        <f t="shared" ca="1" si="429"/>
        <v>20.974009121402961</v>
      </c>
      <c r="T212" s="10">
        <f t="shared" ca="1" si="397"/>
        <v>20.974009121402961</v>
      </c>
      <c r="U212" s="41">
        <f t="shared" ca="1" si="398"/>
        <v>1.2031706953014141</v>
      </c>
      <c r="V212" s="41">
        <f t="shared" ca="1" si="399"/>
        <v>0.11562480447561804</v>
      </c>
      <c r="W212" s="41">
        <f t="shared" ca="1" si="400"/>
        <v>10.40581820447643</v>
      </c>
      <c r="X212" s="20">
        <f t="shared" ca="1" si="401"/>
        <v>1139.2722157707929</v>
      </c>
      <c r="Y212" s="41">
        <f t="shared" si="402"/>
        <v>0.61898328005466785</v>
      </c>
      <c r="Z212" s="41">
        <f t="shared" ca="1" si="403"/>
        <v>139.42639961132014</v>
      </c>
      <c r="AA212" s="14">
        <f t="shared" ca="1" si="404"/>
        <v>1220.1133964568485</v>
      </c>
      <c r="AB212" s="14">
        <f t="shared" si="430"/>
        <v>5683.8340981225128</v>
      </c>
      <c r="AC212" s="25">
        <f t="shared" ca="1" si="405"/>
        <v>240263.17199634339</v>
      </c>
      <c r="AD212" s="41">
        <f t="shared" si="406"/>
        <v>1119253.3525831082</v>
      </c>
      <c r="AE212" s="6">
        <v>100</v>
      </c>
      <c r="AF212" s="41">
        <f t="shared" si="407"/>
        <v>5683.8340981225128</v>
      </c>
      <c r="AG212" s="41"/>
      <c r="AH212" s="41"/>
      <c r="AI212" s="41">
        <f t="shared" si="408"/>
        <v>4224.4319219207437</v>
      </c>
      <c r="AJ212" s="13">
        <f t="shared" ca="1" si="409"/>
        <v>70.485957309443108</v>
      </c>
      <c r="AK212" s="11"/>
      <c r="AL212" s="6">
        <v>150</v>
      </c>
      <c r="AM212" s="41">
        <f t="shared" ca="1" si="410"/>
        <v>2.1280834612414958</v>
      </c>
      <c r="AN212" s="41">
        <f t="shared" ca="1" si="411"/>
        <v>2.4972065850500447</v>
      </c>
      <c r="AO212" s="41">
        <f t="shared" ca="1" si="412"/>
        <v>6.4398700503602302E-2</v>
      </c>
      <c r="AP212" s="67">
        <f t="shared" si="431"/>
        <v>0.74323631706916993</v>
      </c>
      <c r="AQ212" s="11">
        <f t="shared" si="413"/>
        <v>1.0468997082183757</v>
      </c>
      <c r="AR212" s="11">
        <f t="shared" si="414"/>
        <v>0.97319260634931037</v>
      </c>
      <c r="AS212" s="11">
        <f t="shared" si="415"/>
        <v>0.92959487781833383</v>
      </c>
      <c r="AT212" s="11">
        <f t="shared" si="416"/>
        <v>542.99547166162495</v>
      </c>
      <c r="AU212" s="11">
        <f t="shared" si="417"/>
        <v>2059.4896574085374</v>
      </c>
      <c r="AV212" s="11">
        <f t="shared" si="418"/>
        <v>2.2095540650863975E-3</v>
      </c>
      <c r="AW212" s="11">
        <f t="shared" si="419"/>
        <v>3.8719115805318761E-7</v>
      </c>
      <c r="AX212" s="41">
        <f t="shared" ca="1" si="420"/>
        <v>1.0313765394840588</v>
      </c>
      <c r="AY212" s="41">
        <f t="shared" ca="1" si="421"/>
        <v>1.3892846896096529</v>
      </c>
      <c r="AZ212" s="41">
        <f t="shared" si="422"/>
        <v>0.12839532559340916</v>
      </c>
    </row>
    <row r="213" spans="1:52" ht="14.5">
      <c r="A213" s="41">
        <f t="shared" ca="1" si="423"/>
        <v>14.192292706212505</v>
      </c>
      <c r="B213" s="41">
        <f t="shared" ca="1" si="424"/>
        <v>0.23653821177020842</v>
      </c>
      <c r="C213" s="41">
        <f t="shared" ca="1" si="424"/>
        <v>3.9423035295034735E-3</v>
      </c>
      <c r="D213" s="41">
        <f t="shared" ca="1" si="425"/>
        <v>12693.780985791193</v>
      </c>
      <c r="E213" s="41">
        <f t="shared" ca="1" si="426"/>
        <v>0.39303790313594072</v>
      </c>
      <c r="F213" s="41">
        <f t="shared" ca="1" si="427"/>
        <v>0.39303790313594072</v>
      </c>
      <c r="G213" s="41"/>
      <c r="H213" s="7">
        <f t="shared" si="428"/>
        <v>900</v>
      </c>
      <c r="I213" s="6">
        <v>15</v>
      </c>
      <c r="J213" s="41">
        <f t="shared" si="389"/>
        <v>0.1782267087448241</v>
      </c>
      <c r="K213" s="41">
        <f t="shared" si="390"/>
        <v>203.49337691309842</v>
      </c>
      <c r="L213" s="6">
        <f t="shared" si="432"/>
        <v>116</v>
      </c>
      <c r="M213" s="41">
        <f t="shared" si="391"/>
        <v>120.56656992698021</v>
      </c>
      <c r="N213" s="41">
        <f t="shared" si="392"/>
        <v>45.5444698263478</v>
      </c>
      <c r="O213" s="41">
        <f t="shared" si="393"/>
        <v>1156960.8796498121</v>
      </c>
      <c r="P213" s="41">
        <f t="shared" si="394"/>
        <v>7428501.8254433768</v>
      </c>
      <c r="Q213" s="41">
        <f t="shared" si="395"/>
        <v>3.1421560043766736E-3</v>
      </c>
      <c r="R213" s="41">
        <f t="shared" si="396"/>
        <v>2.4103162929626019E-2</v>
      </c>
      <c r="S213" s="24">
        <f t="shared" ca="1" si="429"/>
        <v>21.023936988202895</v>
      </c>
      <c r="T213" s="10">
        <f t="shared" ca="1" si="397"/>
        <v>21.023936988202895</v>
      </c>
      <c r="U213" s="41">
        <f t="shared" ca="1" si="398"/>
        <v>1.1311222885228995</v>
      </c>
      <c r="V213" s="41">
        <f t="shared" ca="1" si="399"/>
        <v>0.1049082515986173</v>
      </c>
      <c r="W213" s="41">
        <f t="shared" ca="1" si="400"/>
        <v>10.782014486816667</v>
      </c>
      <c r="X213" s="20">
        <f t="shared" ca="1" si="401"/>
        <v>1098.9378608776697</v>
      </c>
      <c r="Y213" s="41">
        <f t="shared" si="402"/>
        <v>0.61777058097927773</v>
      </c>
      <c r="Z213" s="41">
        <f t="shared" ca="1" si="403"/>
        <v>139.70097529092519</v>
      </c>
      <c r="AA213" s="14">
        <f t="shared" ca="1" si="404"/>
        <v>1177.3106965597265</v>
      </c>
      <c r="AB213" s="14">
        <f t="shared" si="430"/>
        <v>5652.9326898101672</v>
      </c>
      <c r="AC213" s="25">
        <f t="shared" ca="1" si="405"/>
        <v>239574.92931885086</v>
      </c>
      <c r="AD213" s="41">
        <f t="shared" si="406"/>
        <v>1150334.3625119156</v>
      </c>
      <c r="AE213" s="6">
        <v>100</v>
      </c>
      <c r="AF213" s="41">
        <f t="shared" si="407"/>
        <v>5652.9326898101672</v>
      </c>
      <c r="AG213" s="41"/>
      <c r="AH213" s="41"/>
      <c r="AI213" s="41">
        <f t="shared" si="408"/>
        <v>4208.6361666410767</v>
      </c>
      <c r="AJ213" s="13">
        <f t="shared" ca="1" si="409"/>
        <v>73.004866494984753</v>
      </c>
      <c r="AK213" s="11"/>
      <c r="AL213" s="6">
        <v>150</v>
      </c>
      <c r="AM213" s="41">
        <f t="shared" ca="1" si="410"/>
        <v>2.0546575482102227</v>
      </c>
      <c r="AN213" s="41">
        <f t="shared" ca="1" si="411"/>
        <v>2.4020294631832293</v>
      </c>
      <c r="AO213" s="41">
        <f t="shared" ca="1" si="412"/>
        <v>6.4231179762876206E-2</v>
      </c>
      <c r="AP213" s="67">
        <f t="shared" si="431"/>
        <v>0.74450491410015496</v>
      </c>
      <c r="AQ213" s="11">
        <f t="shared" si="413"/>
        <v>1.0458684057183758</v>
      </c>
      <c r="AR213" s="11">
        <f t="shared" si="414"/>
        <v>0.96790163170504873</v>
      </c>
      <c r="AS213" s="11">
        <f t="shared" si="415"/>
        <v>0.92545259653409839</v>
      </c>
      <c r="AT213" s="11">
        <f t="shared" si="416"/>
        <v>542.4605659939499</v>
      </c>
      <c r="AU213" s="11">
        <f t="shared" si="417"/>
        <v>2048.2927910468579</v>
      </c>
      <c r="AV213" s="11">
        <f t="shared" si="418"/>
        <v>2.1997082767018982E-3</v>
      </c>
      <c r="AW213" s="11">
        <f t="shared" si="419"/>
        <v>3.8689818586195294E-7</v>
      </c>
      <c r="AX213" s="41">
        <f t="shared" ca="1" si="420"/>
        <v>1.0134421023785076</v>
      </c>
      <c r="AY213" s="41">
        <f t="shared" ca="1" si="421"/>
        <v>1.3651266465151555</v>
      </c>
      <c r="AZ213" s="41">
        <f t="shared" si="422"/>
        <v>0.13271819810494687</v>
      </c>
    </row>
    <row r="214" spans="1:52" ht="14.5">
      <c r="A214" s="41">
        <f t="shared" ca="1" si="423"/>
        <v>16.246950254422728</v>
      </c>
      <c r="B214" s="41">
        <f t="shared" ca="1" si="424"/>
        <v>0.27078250424037881</v>
      </c>
      <c r="C214" s="41">
        <f t="shared" ca="1" si="424"/>
        <v>4.5130417373396466E-3</v>
      </c>
      <c r="D214" s="41">
        <f t="shared" ca="1" si="425"/>
        <v>12691.37895632801</v>
      </c>
      <c r="E214" s="41">
        <f t="shared" ca="1" si="426"/>
        <v>0.45726908289881696</v>
      </c>
      <c r="F214" s="41">
        <f t="shared" ca="1" si="427"/>
        <v>0.45726908289881696</v>
      </c>
      <c r="G214" s="41"/>
      <c r="H214" s="7">
        <f t="shared" si="428"/>
        <v>1050</v>
      </c>
      <c r="I214" s="6">
        <v>15</v>
      </c>
      <c r="J214" s="41">
        <f t="shared" si="389"/>
        <v>0.18410029427866442</v>
      </c>
      <c r="K214" s="41">
        <f t="shared" si="390"/>
        <v>210.09598147730367</v>
      </c>
      <c r="L214" s="6">
        <f t="shared" si="432"/>
        <v>119.5</v>
      </c>
      <c r="M214" s="41">
        <f t="shared" si="391"/>
        <v>124.47850748959878</v>
      </c>
      <c r="N214" s="41">
        <f t="shared" si="392"/>
        <v>48.331358777720524</v>
      </c>
      <c r="O214" s="41">
        <f t="shared" si="393"/>
        <v>1190073.2861860069</v>
      </c>
      <c r="P214" s="41">
        <f t="shared" si="394"/>
        <v>7641106.7429695399</v>
      </c>
      <c r="Q214" s="41">
        <f t="shared" si="395"/>
        <v>3.1271226719461337E-3</v>
      </c>
      <c r="R214" s="41">
        <f t="shared" si="396"/>
        <v>2.4011765749347314E-2</v>
      </c>
      <c r="S214" s="24">
        <f t="shared" ca="1" si="429"/>
        <v>21.048282883215528</v>
      </c>
      <c r="T214" s="10">
        <f t="shared" ca="1" si="397"/>
        <v>21.048282883215528</v>
      </c>
      <c r="U214" s="41">
        <f t="shared" ca="1" si="398"/>
        <v>1.0655235332615827</v>
      </c>
      <c r="V214" s="41">
        <f t="shared" ca="1" si="399"/>
        <v>9.5716145408658734E-2</v>
      </c>
      <c r="W214" s="41">
        <f t="shared" ca="1" si="400"/>
        <v>11.132119129038731</v>
      </c>
      <c r="X214" s="20">
        <f t="shared" ca="1" si="401"/>
        <v>1064.001013850261</v>
      </c>
      <c r="Y214" s="41">
        <f t="shared" si="402"/>
        <v>0.6165982013146466</v>
      </c>
      <c r="Z214" s="41">
        <f t="shared" ca="1" si="403"/>
        <v>139.98891511547419</v>
      </c>
      <c r="AA214" s="14">
        <f t="shared" ca="1" si="404"/>
        <v>1140.0685538139694</v>
      </c>
      <c r="AB214" s="14">
        <f t="shared" si="430"/>
        <v>5622.1674614100302</v>
      </c>
      <c r="AC214" s="25">
        <f t="shared" ca="1" si="405"/>
        <v>239523.82176495608</v>
      </c>
      <c r="AD214" s="41">
        <f t="shared" si="406"/>
        <v>1181194.7908347012</v>
      </c>
      <c r="AE214" s="6">
        <v>100</v>
      </c>
      <c r="AF214" s="41">
        <f t="shared" si="407"/>
        <v>5622.1674614100302</v>
      </c>
      <c r="AG214" s="41"/>
      <c r="AH214" s="41"/>
      <c r="AI214" s="41">
        <f t="shared" si="408"/>
        <v>4192.8660760125922</v>
      </c>
      <c r="AJ214" s="13">
        <f t="shared" ca="1" si="409"/>
        <v>75.456926850292504</v>
      </c>
      <c r="AK214" s="11"/>
      <c r="AL214" s="6">
        <v>150</v>
      </c>
      <c r="AM214" s="41">
        <f t="shared" ca="1" si="410"/>
        <v>1.9878890681249435</v>
      </c>
      <c r="AN214" s="41">
        <f t="shared" ca="1" si="411"/>
        <v>2.3152646212826</v>
      </c>
      <c r="AO214" s="41">
        <f t="shared" ca="1" si="412"/>
        <v>6.4149768295199014E-2</v>
      </c>
      <c r="AP214" s="67">
        <f t="shared" si="431"/>
        <v>0.74577395724904794</v>
      </c>
      <c r="AQ214" s="11">
        <f t="shared" si="413"/>
        <v>1.0448371032183759</v>
      </c>
      <c r="AR214" s="11">
        <f t="shared" si="414"/>
        <v>0.96263397394185846</v>
      </c>
      <c r="AS214" s="11">
        <f t="shared" si="415"/>
        <v>0.9213244542873622</v>
      </c>
      <c r="AT214" s="11">
        <f t="shared" si="416"/>
        <v>541.92566032627496</v>
      </c>
      <c r="AU214" s="11">
        <f t="shared" si="417"/>
        <v>2037.1452683352395</v>
      </c>
      <c r="AV214" s="11">
        <f t="shared" si="418"/>
        <v>2.1898960953956313E-3</v>
      </c>
      <c r="AW214" s="11">
        <f t="shared" si="419"/>
        <v>3.8660507284384917E-7</v>
      </c>
      <c r="AX214" s="41">
        <f t="shared" ca="1" si="420"/>
        <v>1.0034579830958485</v>
      </c>
      <c r="AY214" s="41">
        <f t="shared" ca="1" si="421"/>
        <v>1.3516778394814279</v>
      </c>
      <c r="AZ214" s="41">
        <f t="shared" si="422"/>
        <v>0.13704676361999987</v>
      </c>
    </row>
    <row r="215" spans="1:52" ht="14.5">
      <c r="A215" s="41">
        <f t="shared" ca="1" si="423"/>
        <v>18.234839322547671</v>
      </c>
      <c r="B215" s="41">
        <f t="shared" ca="1" si="424"/>
        <v>0.30391398870912784</v>
      </c>
      <c r="C215" s="41">
        <f t="shared" ca="1" si="424"/>
        <v>5.0652331451521305E-3</v>
      </c>
      <c r="D215" s="41">
        <f t="shared" ca="1" si="425"/>
        <v>12689.063691706728</v>
      </c>
      <c r="E215" s="41">
        <f t="shared" ca="1" si="426"/>
        <v>0.52141885119401599</v>
      </c>
      <c r="F215" s="41">
        <f t="shared" ca="1" si="427"/>
        <v>0.52141885119401599</v>
      </c>
      <c r="G215" s="41"/>
      <c r="H215" s="7">
        <f t="shared" si="428"/>
        <v>1200</v>
      </c>
      <c r="I215" s="6">
        <v>15</v>
      </c>
      <c r="J215" s="41">
        <f t="shared" si="389"/>
        <v>0.19000427493684688</v>
      </c>
      <c r="K215" s="41">
        <f t="shared" si="390"/>
        <v>216.72658865105112</v>
      </c>
      <c r="L215" s="6">
        <f t="shared" si="432"/>
        <v>123</v>
      </c>
      <c r="M215" s="41">
        <f t="shared" si="391"/>
        <v>128.40703615032936</v>
      </c>
      <c r="N215" s="41">
        <f t="shared" si="392"/>
        <v>51.200509648781015</v>
      </c>
      <c r="O215" s="41">
        <f t="shared" si="393"/>
        <v>1223077.8167761604</v>
      </c>
      <c r="P215" s="41">
        <f t="shared" si="394"/>
        <v>7853019.021119399</v>
      </c>
      <c r="Q215" s="41">
        <f t="shared" si="395"/>
        <v>3.1125998679524267E-3</v>
      </c>
      <c r="R215" s="41">
        <f t="shared" si="396"/>
        <v>2.3923472395834512E-2</v>
      </c>
      <c r="S215" s="24">
        <f t="shared" ca="1" si="429"/>
        <v>21.0499985507521</v>
      </c>
      <c r="T215" s="10">
        <f t="shared" ca="1" si="397"/>
        <v>21.0499985507521</v>
      </c>
      <c r="U215" s="41">
        <f t="shared" ca="1" si="398"/>
        <v>1.0056191326070425</v>
      </c>
      <c r="V215" s="41">
        <f t="shared" ca="1" si="399"/>
        <v>8.7791962004691027E-2</v>
      </c>
      <c r="W215" s="41">
        <f t="shared" ca="1" si="400"/>
        <v>11.454569526004088</v>
      </c>
      <c r="X215" s="20">
        <f t="shared" ca="1" si="401"/>
        <v>1033.8484354725178</v>
      </c>
      <c r="Y215" s="41">
        <f t="shared" si="402"/>
        <v>0.61546351462994453</v>
      </c>
      <c r="Z215" s="41">
        <f t="shared" ca="1" si="403"/>
        <v>140.28890906280776</v>
      </c>
      <c r="AA215" s="14">
        <f t="shared" ca="1" si="404"/>
        <v>1107.7730736978024</v>
      </c>
      <c r="AB215" s="14">
        <f t="shared" si="430"/>
        <v>5591.5379533180067</v>
      </c>
      <c r="AC215" s="25">
        <f t="shared" ca="1" si="405"/>
        <v>240083.87926201415</v>
      </c>
      <c r="AD215" s="41">
        <f t="shared" si="406"/>
        <v>1211834.9459354919</v>
      </c>
      <c r="AE215" s="6">
        <v>100</v>
      </c>
      <c r="AF215" s="41">
        <f t="shared" si="407"/>
        <v>5591.5379533180067</v>
      </c>
      <c r="AG215" s="41"/>
      <c r="AH215" s="41"/>
      <c r="AI215" s="41">
        <f t="shared" si="408"/>
        <v>4177.1214458063341</v>
      </c>
      <c r="AJ215" s="13">
        <f t="shared" ca="1" si="409"/>
        <v>77.84439619283269</v>
      </c>
      <c r="AK215" s="11"/>
      <c r="AL215" s="6">
        <v>150</v>
      </c>
      <c r="AM215" s="41">
        <f t="shared" ca="1" si="410"/>
        <v>1.9269209774384612</v>
      </c>
      <c r="AN215" s="41">
        <f t="shared" ca="1" si="411"/>
        <v>2.2358285942311946</v>
      </c>
      <c r="AO215" s="41">
        <f t="shared" ca="1" si="412"/>
        <v>6.4144037968812351E-2</v>
      </c>
      <c r="AP215" s="67">
        <f t="shared" si="431"/>
        <v>0.74704338603793952</v>
      </c>
      <c r="AQ215" s="11">
        <f t="shared" si="413"/>
        <v>1.0438058007183759</v>
      </c>
      <c r="AR215" s="11">
        <f t="shared" si="414"/>
        <v>0.95738955436579787</v>
      </c>
      <c r="AS215" s="11">
        <f t="shared" si="415"/>
        <v>0.91721041759577882</v>
      </c>
      <c r="AT215" s="11">
        <f t="shared" si="416"/>
        <v>541.39075465860003</v>
      </c>
      <c r="AU215" s="11">
        <f t="shared" si="417"/>
        <v>2026.0469227399885</v>
      </c>
      <c r="AV215" s="11">
        <f t="shared" si="418"/>
        <v>2.1801174415834066E-3</v>
      </c>
      <c r="AW215" s="11">
        <f t="shared" si="419"/>
        <v>3.8631181883294748E-7</v>
      </c>
      <c r="AX215" s="41">
        <f t="shared" ca="1" si="420"/>
        <v>1.0000262306663181</v>
      </c>
      <c r="AY215" s="41">
        <f t="shared" ca="1" si="421"/>
        <v>1.3470552007783385</v>
      </c>
      <c r="AZ215" s="41">
        <f t="shared" si="422"/>
        <v>0.14138083207078939</v>
      </c>
    </row>
    <row r="216" spans="1:52" ht="14.5">
      <c r="A216" s="41">
        <f t="shared" ca="1" si="423"/>
        <v>20.161760299986131</v>
      </c>
      <c r="B216" s="41">
        <f t="shared" ca="1" si="424"/>
        <v>0.33602933833310217</v>
      </c>
      <c r="C216" s="41">
        <f t="shared" ca="1" si="424"/>
        <v>5.6004889722183699E-3</v>
      </c>
      <c r="D216" s="41">
        <f t="shared" ca="1" si="425"/>
        <v>12686.827863112496</v>
      </c>
      <c r="E216" s="41">
        <f t="shared" ca="1" si="426"/>
        <v>0.58556288916282839</v>
      </c>
      <c r="F216" s="41">
        <f t="shared" ca="1" si="427"/>
        <v>0.58556288916282839</v>
      </c>
      <c r="G216" s="41"/>
      <c r="H216" s="7">
        <f t="shared" si="428"/>
        <v>1350</v>
      </c>
      <c r="I216" s="6">
        <v>15</v>
      </c>
      <c r="J216" s="41">
        <f t="shared" si="389"/>
        <v>0.19593874259034583</v>
      </c>
      <c r="K216" s="41">
        <f t="shared" si="390"/>
        <v>223.38524680118053</v>
      </c>
      <c r="L216" s="6">
        <f t="shared" si="432"/>
        <v>126.5</v>
      </c>
      <c r="M216" s="41">
        <f t="shared" si="391"/>
        <v>132.35218456575063</v>
      </c>
      <c r="N216" s="41">
        <f t="shared" si="392"/>
        <v>54.15183827305647</v>
      </c>
      <c r="O216" s="41">
        <f t="shared" si="393"/>
        <v>1255974.0878189618</v>
      </c>
      <c r="P216" s="41">
        <f t="shared" si="394"/>
        <v>8064236.1969029885</v>
      </c>
      <c r="Q216" s="41">
        <f t="shared" si="395"/>
        <v>3.0985543653626458E-3</v>
      </c>
      <c r="R216" s="41">
        <f t="shared" si="396"/>
        <v>2.3838080860841552E-2</v>
      </c>
      <c r="S216" s="24">
        <f t="shared" ca="1" si="429"/>
        <v>21.031608410093188</v>
      </c>
      <c r="T216" s="10">
        <f t="shared" ca="1" si="397"/>
        <v>21.031608410093188</v>
      </c>
      <c r="U216" s="41">
        <f t="shared" ca="1" si="398"/>
        <v>0.95076174716221218</v>
      </c>
      <c r="V216" s="41">
        <f t="shared" ca="1" si="399"/>
        <v>8.0928468385191354E-2</v>
      </c>
      <c r="W216" s="41">
        <f t="shared" ca="1" si="400"/>
        <v>11.748174235016002</v>
      </c>
      <c r="X216" s="20">
        <f t="shared" ca="1" si="401"/>
        <v>1007.9578262866405</v>
      </c>
      <c r="Y216" s="41">
        <f t="shared" si="402"/>
        <v>0.61436412666172191</v>
      </c>
      <c r="Z216" s="41">
        <f t="shared" ca="1" si="403"/>
        <v>140.59980438751921</v>
      </c>
      <c r="AA216" s="14">
        <f t="shared" ca="1" si="404"/>
        <v>1079.8978300218591</v>
      </c>
      <c r="AB216" s="14">
        <f t="shared" si="430"/>
        <v>5561.0437070058688</v>
      </c>
      <c r="AC216" s="25">
        <f t="shared" ca="1" si="405"/>
        <v>241233.24327949231</v>
      </c>
      <c r="AD216" s="41">
        <f t="shared" si="406"/>
        <v>1242255.120961658</v>
      </c>
      <c r="AE216" s="6">
        <v>100</v>
      </c>
      <c r="AF216" s="41">
        <f t="shared" si="407"/>
        <v>5561.0437070058688</v>
      </c>
      <c r="AG216" s="41"/>
      <c r="AH216" s="41"/>
      <c r="AI216" s="41">
        <f t="shared" si="408"/>
        <v>4161.4020718043803</v>
      </c>
      <c r="AJ216" s="13">
        <f t="shared" ca="1" si="409"/>
        <v>80.169150566681452</v>
      </c>
      <c r="AK216" s="11"/>
      <c r="AL216" s="6">
        <v>150</v>
      </c>
      <c r="AM216" s="41">
        <f t="shared" ca="1" si="410"/>
        <v>1.8710438983039501</v>
      </c>
      <c r="AN216" s="41">
        <f t="shared" ca="1" si="411"/>
        <v>2.1628238763441674</v>
      </c>
      <c r="AO216" s="41">
        <f t="shared" ca="1" si="412"/>
        <v>6.4205507491688837E-2</v>
      </c>
      <c r="AP216" s="67">
        <f t="shared" si="431"/>
        <v>0.74831313887387663</v>
      </c>
      <c r="AQ216" s="11">
        <f t="shared" si="413"/>
        <v>1.0427744982183758</v>
      </c>
      <c r="AR216" s="11">
        <f t="shared" si="414"/>
        <v>0.95216829446713724</v>
      </c>
      <c r="AS216" s="11">
        <f t="shared" si="415"/>
        <v>0.91311045302120153</v>
      </c>
      <c r="AT216" s="11">
        <f t="shared" si="416"/>
        <v>540.85584899092487</v>
      </c>
      <c r="AU216" s="11">
        <f t="shared" si="417"/>
        <v>2014.997588117245</v>
      </c>
      <c r="AV216" s="11">
        <f t="shared" si="418"/>
        <v>2.170372235786094E-3</v>
      </c>
      <c r="AW216" s="11">
        <f t="shared" si="419"/>
        <v>3.8601842366304506E-7</v>
      </c>
      <c r="AX216" s="41">
        <f t="shared" ca="1" si="420"/>
        <v>1.002079315804463</v>
      </c>
      <c r="AY216" s="41">
        <f t="shared" ca="1" si="421"/>
        <v>1.3498207472491905</v>
      </c>
      <c r="AZ216" s="41">
        <f t="shared" si="422"/>
        <v>0.14572020886099907</v>
      </c>
    </row>
    <row r="217" spans="1:52" ht="14.5">
      <c r="A217" s="41">
        <f t="shared" ca="1" si="423"/>
        <v>22.03280419829008</v>
      </c>
      <c r="B217" s="41">
        <f t="shared" ca="1" si="424"/>
        <v>0.36721340330483465</v>
      </c>
      <c r="C217" s="41">
        <f t="shared" ca="1" si="424"/>
        <v>6.1202233884139106E-3</v>
      </c>
      <c r="D217" s="41">
        <f t="shared" ca="1" si="425"/>
        <v>12684.665039236152</v>
      </c>
      <c r="E217" s="41">
        <f t="shared" ca="1" si="426"/>
        <v>0.64976839665451724</v>
      </c>
      <c r="F217" s="41">
        <f t="shared" ca="1" si="427"/>
        <v>0.64976839665451724</v>
      </c>
      <c r="G217" s="41"/>
      <c r="H217" s="7">
        <f t="shared" si="428"/>
        <v>1500</v>
      </c>
      <c r="I217" s="6">
        <v>15</v>
      </c>
      <c r="J217" s="41">
        <f t="shared" si="389"/>
        <v>0.20190378617420238</v>
      </c>
      <c r="K217" s="41">
        <f t="shared" si="390"/>
        <v>230.07200068104268</v>
      </c>
      <c r="L217" s="6">
        <f t="shared" si="432"/>
        <v>130</v>
      </c>
      <c r="M217" s="41">
        <f t="shared" si="391"/>
        <v>136.31397925150691</v>
      </c>
      <c r="N217" s="41">
        <f t="shared" si="392"/>
        <v>57.185254018937407</v>
      </c>
      <c r="O217" s="41">
        <f t="shared" si="393"/>
        <v>1288761.698409497</v>
      </c>
      <c r="P217" s="41">
        <f t="shared" si="394"/>
        <v>8274755.6962290499</v>
      </c>
      <c r="Q217" s="41">
        <f t="shared" si="395"/>
        <v>3.0849558590139515E-3</v>
      </c>
      <c r="R217" s="41">
        <f t="shared" si="396"/>
        <v>2.3755406900027122E-2</v>
      </c>
      <c r="S217" s="24">
        <f t="shared" ca="1" si="429"/>
        <v>20.995281892908924</v>
      </c>
      <c r="T217" s="10">
        <f t="shared" ca="1" si="397"/>
        <v>20.995281892908924</v>
      </c>
      <c r="U217" s="41">
        <f t="shared" ca="1" si="398"/>
        <v>0.90039396779249836</v>
      </c>
      <c r="V217" s="41">
        <f t="shared" ca="1" si="399"/>
        <v>7.4957149783298593E-2</v>
      </c>
      <c r="W217" s="41">
        <f t="shared" ca="1" si="400"/>
        <v>12.012115860802348</v>
      </c>
      <c r="X217" s="20">
        <f t="shared" ca="1" si="401"/>
        <v>985.88203970549785</v>
      </c>
      <c r="Y217" s="41">
        <f t="shared" si="402"/>
        <v>0.61329784890607097</v>
      </c>
      <c r="Z217" s="41">
        <f t="shared" ca="1" si="403"/>
        <v>140.92058474876634</v>
      </c>
      <c r="AA217" s="14">
        <f t="shared" ca="1" si="404"/>
        <v>1055.9892350546211</v>
      </c>
      <c r="AB217" s="14">
        <f t="shared" si="430"/>
        <v>5530.6842650198869</v>
      </c>
      <c r="AC217" s="25">
        <f t="shared" ca="1" si="405"/>
        <v>242953.55600666051</v>
      </c>
      <c r="AD217" s="41">
        <f t="shared" si="406"/>
        <v>1272455.5939882875</v>
      </c>
      <c r="AE217" s="6">
        <v>100</v>
      </c>
      <c r="AF217" s="41">
        <f t="shared" si="407"/>
        <v>5530.6842650198869</v>
      </c>
      <c r="AG217" s="41"/>
      <c r="AH217" s="41"/>
      <c r="AI217" s="41">
        <f t="shared" si="408"/>
        <v>4145.7077499018233</v>
      </c>
      <c r="AJ217" s="13">
        <f t="shared" ca="1" si="409"/>
        <v>82.432743587898671</v>
      </c>
      <c r="AK217" s="11"/>
      <c r="AL217" s="6">
        <v>150</v>
      </c>
      <c r="AM217" s="41">
        <f t="shared" ca="1" si="410"/>
        <v>1.8196652625064438</v>
      </c>
      <c r="AN217" s="41">
        <f t="shared" ca="1" si="411"/>
        <v>2.0955001058333611</v>
      </c>
      <c r="AO217" s="41">
        <f t="shared" ca="1" si="412"/>
        <v>6.4327231909202282E-2</v>
      </c>
      <c r="AP217" s="67">
        <f t="shared" si="431"/>
        <v>0.74958315305075851</v>
      </c>
      <c r="AQ217" s="11">
        <f t="shared" si="413"/>
        <v>1.0417431957183758</v>
      </c>
      <c r="AR217" s="11">
        <f t="shared" si="414"/>
        <v>0.94697011592012315</v>
      </c>
      <c r="AS217" s="11">
        <f t="shared" si="415"/>
        <v>0.9090245271696753</v>
      </c>
      <c r="AT217" s="11">
        <f t="shared" si="416"/>
        <v>540.32094332324994</v>
      </c>
      <c r="AU217" s="11">
        <f t="shared" si="417"/>
        <v>2003.9970987124827</v>
      </c>
      <c r="AV217" s="11">
        <f t="shared" si="418"/>
        <v>2.1606603986296011E-3</v>
      </c>
      <c r="AW217" s="11">
        <f t="shared" si="419"/>
        <v>3.8572488716766502E-7</v>
      </c>
      <c r="AX217" s="41">
        <f t="shared" ca="1" si="420"/>
        <v>1.008790812651692</v>
      </c>
      <c r="AY217" s="41">
        <f t="shared" ca="1" si="421"/>
        <v>1.358861266843405</v>
      </c>
      <c r="AZ217" s="41">
        <f t="shared" si="422"/>
        <v>0.15006469484794782</v>
      </c>
    </row>
    <row r="218" spans="1:52" ht="14.5">
      <c r="A218" s="41">
        <f t="shared" ca="1" si="423"/>
        <v>23.852469460796524</v>
      </c>
      <c r="B218" s="41">
        <f t="shared" ca="1" si="424"/>
        <v>0.39754115767994208</v>
      </c>
      <c r="C218" s="41">
        <f t="shared" ca="1" si="424"/>
        <v>6.625685961332368E-3</v>
      </c>
      <c r="D218" s="41">
        <f t="shared" ca="1" si="425"/>
        <v>12682.569539130318</v>
      </c>
      <c r="E218" s="41">
        <f t="shared" ca="1" si="426"/>
        <v>0.71409562856371955</v>
      </c>
      <c r="F218" s="41">
        <f t="shared" ca="1" si="427"/>
        <v>0.71409562856371955</v>
      </c>
      <c r="G218" s="41"/>
      <c r="H218" s="7">
        <f t="shared" si="428"/>
        <v>1650</v>
      </c>
      <c r="I218" s="6">
        <v>15</v>
      </c>
      <c r="J218" s="41">
        <f t="shared" si="389"/>
        <v>0.20789949162524371</v>
      </c>
      <c r="K218" s="41">
        <f t="shared" si="390"/>
        <v>236.78689136743398</v>
      </c>
      <c r="L218" s="6">
        <f t="shared" si="432"/>
        <v>133.5</v>
      </c>
      <c r="M218" s="41">
        <f t="shared" si="391"/>
        <v>140.29244454494275</v>
      </c>
      <c r="N218" s="41">
        <f t="shared" si="392"/>
        <v>60.300659539968223</v>
      </c>
      <c r="O218" s="41">
        <f t="shared" si="393"/>
        <v>1321440.2303664624</v>
      </c>
      <c r="P218" s="41">
        <f t="shared" si="394"/>
        <v>8484574.8340797629</v>
      </c>
      <c r="Q218" s="41">
        <f t="shared" si="395"/>
        <v>3.0717766367223441E-3</v>
      </c>
      <c r="R218" s="41">
        <f t="shared" si="396"/>
        <v>2.3675282033415897E-2</v>
      </c>
      <c r="S218" s="24">
        <f t="shared" ca="1" si="429"/>
        <v>20.942891950008171</v>
      </c>
      <c r="T218" s="10">
        <f t="shared" ca="1" si="397"/>
        <v>20.942891950008171</v>
      </c>
      <c r="U218" s="41">
        <f t="shared" ca="1" si="398"/>
        <v>0.85403369961933351</v>
      </c>
      <c r="V218" s="41">
        <f t="shared" ca="1" si="399"/>
        <v>6.9740126258867746E-2</v>
      </c>
      <c r="W218" s="41">
        <f t="shared" ca="1" si="400"/>
        <v>12.245944271010545</v>
      </c>
      <c r="X218" s="20">
        <f t="shared" ca="1" si="401"/>
        <v>967.23639025638772</v>
      </c>
      <c r="Y218" s="41">
        <f t="shared" si="402"/>
        <v>0.61226267583737526</v>
      </c>
      <c r="Z218" s="41">
        <f t="shared" ca="1" si="403"/>
        <v>141.25035211454849</v>
      </c>
      <c r="AA218" s="14">
        <f t="shared" ca="1" si="404"/>
        <v>1035.6546835798838</v>
      </c>
      <c r="AB218" s="14">
        <f t="shared" si="430"/>
        <v>5500.4591709793976</v>
      </c>
      <c r="AC218" s="25">
        <f t="shared" ca="1" si="405"/>
        <v>245229.45305500415</v>
      </c>
      <c r="AD218" s="41">
        <f t="shared" si="406"/>
        <v>1302436.6281897046</v>
      </c>
      <c r="AE218" s="6">
        <v>100</v>
      </c>
      <c r="AF218" s="41">
        <f t="shared" si="407"/>
        <v>5500.4591709793976</v>
      </c>
      <c r="AG218" s="41"/>
      <c r="AH218" s="41"/>
      <c r="AI218" s="41">
        <f t="shared" si="408"/>
        <v>4130.0382762098434</v>
      </c>
      <c r="AJ218" s="13">
        <f t="shared" ca="1" si="409"/>
        <v>84.636455318583899</v>
      </c>
      <c r="AK218" s="11"/>
      <c r="AL218" s="6">
        <v>150</v>
      </c>
      <c r="AM218" s="41">
        <f t="shared" ca="1" si="410"/>
        <v>1.7722859426872053</v>
      </c>
      <c r="AN218" s="41">
        <f t="shared" ca="1" si="411"/>
        <v>2.0332246610241116</v>
      </c>
      <c r="AO218" s="41">
        <f t="shared" ca="1" si="412"/>
        <v>6.4503492337629018E-2</v>
      </c>
      <c r="AP218" s="67">
        <f t="shared" si="431"/>
        <v>0.75085336475181208</v>
      </c>
      <c r="AQ218" s="11">
        <f t="shared" si="413"/>
        <v>1.0407118932183759</v>
      </c>
      <c r="AR218" s="11">
        <f t="shared" si="414"/>
        <v>0.94179494058273361</v>
      </c>
      <c r="AS218" s="11">
        <f t="shared" si="415"/>
        <v>0.90495260669142152</v>
      </c>
      <c r="AT218" s="11">
        <f t="shared" si="416"/>
        <v>539.786037655575</v>
      </c>
      <c r="AU218" s="11">
        <f t="shared" si="417"/>
        <v>1993.0452891599923</v>
      </c>
      <c r="AV218" s="11">
        <f t="shared" si="418"/>
        <v>2.1509818508448396E-3</v>
      </c>
      <c r="AW218" s="11">
        <f t="shared" si="419"/>
        <v>3.8543120918005736E-7</v>
      </c>
      <c r="AX218" s="41">
        <f t="shared" ca="1" si="420"/>
        <v>1.0195127454409412</v>
      </c>
      <c r="AY218" s="41">
        <f t="shared" ca="1" si="421"/>
        <v>1.373303923329056</v>
      </c>
      <c r="AZ218" s="41">
        <f t="shared" si="422"/>
        <v>0.15441408632664361</v>
      </c>
    </row>
    <row r="219" spans="1:52" ht="14.5">
      <c r="A219" s="41">
        <f t="shared" ca="1" si="423"/>
        <v>25.624755403483729</v>
      </c>
      <c r="B219" s="41">
        <f t="shared" ca="1" si="424"/>
        <v>0.4270792567247288</v>
      </c>
      <c r="C219" s="41">
        <f t="shared" ca="1" si="424"/>
        <v>7.1179876120788131E-3</v>
      </c>
      <c r="D219" s="41">
        <f t="shared" ca="1" si="425"/>
        <v>12680.536314469295</v>
      </c>
      <c r="E219" s="41">
        <f t="shared" ca="1" si="426"/>
        <v>0.77859912090134853</v>
      </c>
      <c r="F219" s="41">
        <f t="shared" ca="1" si="427"/>
        <v>0.77859912090134853</v>
      </c>
      <c r="G219" s="41"/>
      <c r="H219" s="7">
        <f t="shared" si="428"/>
        <v>1800</v>
      </c>
      <c r="I219" s="6">
        <v>15</v>
      </c>
      <c r="J219" s="41">
        <f t="shared" si="389"/>
        <v>0.2139259418202894</v>
      </c>
      <c r="K219" s="41">
        <f t="shared" si="390"/>
        <v>243.52995619830716</v>
      </c>
      <c r="L219" s="6">
        <f t="shared" si="432"/>
        <v>137</v>
      </c>
      <c r="M219" s="41">
        <f t="shared" si="391"/>
        <v>144.28760256819783</v>
      </c>
      <c r="N219" s="41">
        <f t="shared" si="392"/>
        <v>63.497950524538595</v>
      </c>
      <c r="O219" s="41">
        <f t="shared" si="393"/>
        <v>1354009.2482684581</v>
      </c>
      <c r="P219" s="41">
        <f t="shared" si="394"/>
        <v>8693690.8147437796</v>
      </c>
      <c r="Q219" s="41">
        <f t="shared" si="395"/>
        <v>3.0589912949866324E-3</v>
      </c>
      <c r="R219" s="41">
        <f t="shared" si="396"/>
        <v>2.3597551816982323E-2</v>
      </c>
      <c r="S219" s="24">
        <f t="shared" ca="1" si="429"/>
        <v>20.876062644594175</v>
      </c>
      <c r="T219" s="10">
        <f t="shared" ca="1" si="397"/>
        <v>20.876062644594175</v>
      </c>
      <c r="U219" s="41">
        <f t="shared" ca="1" si="398"/>
        <v>0.81126224221551502</v>
      </c>
      <c r="V219" s="41">
        <f t="shared" ca="1" si="399"/>
        <v>6.5163923610471158E-2</v>
      </c>
      <c r="W219" s="41">
        <f t="shared" ca="1" si="400"/>
        <v>12.449561003492946</v>
      </c>
      <c r="X219" s="20">
        <f t="shared" ca="1" si="401"/>
        <v>951.6883874025774</v>
      </c>
      <c r="Y219" s="41">
        <f t="shared" si="402"/>
        <v>0.61125676517476524</v>
      </c>
      <c r="Z219" s="41">
        <f t="shared" ca="1" si="403"/>
        <v>141.58831114212185</v>
      </c>
      <c r="AA219" s="14">
        <f t="shared" ca="1" si="404"/>
        <v>1018.5528880023596</v>
      </c>
      <c r="AB219" s="14">
        <f t="shared" si="430"/>
        <v>5470.3679695754226</v>
      </c>
      <c r="AC219" s="25">
        <f t="shared" ca="1" si="405"/>
        <v>248048.1402008739</v>
      </c>
      <c r="AD219" s="41">
        <f t="shared" si="406"/>
        <v>1332198.4720193252</v>
      </c>
      <c r="AE219" s="6">
        <v>100</v>
      </c>
      <c r="AF219" s="41">
        <f t="shared" si="407"/>
        <v>5470.3679695754226</v>
      </c>
      <c r="AG219" s="41"/>
      <c r="AH219" s="41"/>
      <c r="AI219" s="41">
        <f t="shared" si="408"/>
        <v>4114.393447160106</v>
      </c>
      <c r="AJ219" s="13">
        <f t="shared" ca="1" si="409"/>
        <v>86.781332700027306</v>
      </c>
      <c r="AK219" s="11"/>
      <c r="AL219" s="6">
        <v>150</v>
      </c>
      <c r="AM219" s="41">
        <f t="shared" ca="1" si="410"/>
        <v>1.7284823283193576</v>
      </c>
      <c r="AN219" s="41">
        <f t="shared" ca="1" si="411"/>
        <v>1.975460101435891</v>
      </c>
      <c r="AO219" s="41">
        <f t="shared" ca="1" si="412"/>
        <v>6.4729558658558728E-2</v>
      </c>
      <c r="AP219" s="67">
        <f t="shared" si="431"/>
        <v>0.75212370905269121</v>
      </c>
      <c r="AQ219" s="11">
        <f t="shared" si="413"/>
        <v>1.0396805907183759</v>
      </c>
      <c r="AR219" s="11">
        <f t="shared" si="414"/>
        <v>0.93664269049644233</v>
      </c>
      <c r="AS219" s="11">
        <f t="shared" si="415"/>
        <v>0.9008946582808296</v>
      </c>
      <c r="AT219" s="11">
        <f t="shared" si="416"/>
        <v>539.25113198789995</v>
      </c>
      <c r="AU219" s="11">
        <f t="shared" si="417"/>
        <v>1982.1419944823811</v>
      </c>
      <c r="AV219" s="11">
        <f t="shared" si="418"/>
        <v>2.1413365132677037E-3</v>
      </c>
      <c r="AW219" s="11">
        <f t="shared" si="419"/>
        <v>3.8513738953319646E-7</v>
      </c>
      <c r="AX219" s="41">
        <f t="shared" ca="1" si="420"/>
        <v>1.0337309805318002</v>
      </c>
      <c r="AY219" s="41">
        <f t="shared" ca="1" si="421"/>
        <v>1.3924561684779351</v>
      </c>
      <c r="AZ219" s="41">
        <f t="shared" si="422"/>
        <v>0.15876817501590018</v>
      </c>
    </row>
    <row r="220" spans="1:52" ht="14.5">
      <c r="A220" s="41">
        <f t="shared" ca="1" si="423"/>
        <v>27.353237731803087</v>
      </c>
      <c r="B220" s="41">
        <f t="shared" ca="1" si="424"/>
        <v>0.45588729553005147</v>
      </c>
      <c r="C220" s="41">
        <f t="shared" ca="1" si="424"/>
        <v>7.5981215921675244E-3</v>
      </c>
      <c r="D220" s="41">
        <f t="shared" ca="1" si="425"/>
        <v>12678.560854367859</v>
      </c>
      <c r="E220" s="41">
        <f t="shared" ca="1" si="426"/>
        <v>0.84332867955990731</v>
      </c>
      <c r="F220" s="41">
        <f t="shared" ca="1" si="427"/>
        <v>0.84332867955990731</v>
      </c>
      <c r="G220" s="41"/>
      <c r="H220" s="7">
        <f t="shared" si="428"/>
        <v>1950</v>
      </c>
      <c r="I220" s="6">
        <v>15</v>
      </c>
      <c r="J220" s="41">
        <f t="shared" si="389"/>
        <v>0.21998321651480485</v>
      </c>
      <c r="K220" s="41">
        <f t="shared" si="390"/>
        <v>250.30122871121151</v>
      </c>
      <c r="L220" s="6">
        <f t="shared" si="432"/>
        <v>140.5</v>
      </c>
      <c r="M220" s="41">
        <f t="shared" si="391"/>
        <v>148.29947319173345</v>
      </c>
      <c r="N220" s="41">
        <f t="shared" si="392"/>
        <v>66.777015445106656</v>
      </c>
      <c r="O220" s="41">
        <f t="shared" si="393"/>
        <v>1386468.2994988817</v>
      </c>
      <c r="P220" s="41">
        <f t="shared" si="394"/>
        <v>8902100.7321044635</v>
      </c>
      <c r="Q220" s="41">
        <f t="shared" si="395"/>
        <v>3.0465764922702854E-3</v>
      </c>
      <c r="R220" s="41">
        <f t="shared" si="396"/>
        <v>2.3522074342694224E-2</v>
      </c>
      <c r="S220" s="24">
        <f t="shared" ca="1" si="429"/>
        <v>20.796208083306844</v>
      </c>
      <c r="T220" s="10">
        <f t="shared" ca="1" si="397"/>
        <v>20.796208083306844</v>
      </c>
      <c r="U220" s="41">
        <f t="shared" ca="1" si="398"/>
        <v>0.77171451404905256</v>
      </c>
      <c r="V220" s="41">
        <f t="shared" ca="1" si="399"/>
        <v>6.1134637286636935E-2</v>
      </c>
      <c r="W220" s="41">
        <f t="shared" ca="1" si="400"/>
        <v>12.623196084909743</v>
      </c>
      <c r="X220" s="20">
        <f t="shared" ca="1" si="401"/>
        <v>938.94938221377197</v>
      </c>
      <c r="Y220" s="41">
        <f t="shared" si="402"/>
        <v>0.61027842072212724</v>
      </c>
      <c r="Z220" s="41">
        <f t="shared" ca="1" si="403"/>
        <v>141.93375572884756</v>
      </c>
      <c r="AA220" s="14">
        <f t="shared" ca="1" si="404"/>
        <v>1004.385954958293</v>
      </c>
      <c r="AB220" s="14">
        <f t="shared" si="430"/>
        <v>5440.4102065692432</v>
      </c>
      <c r="AC220" s="25">
        <f t="shared" ca="1" si="405"/>
        <v>251399.03862634429</v>
      </c>
      <c r="AD220" s="41">
        <f t="shared" si="406"/>
        <v>1361741.3593972975</v>
      </c>
      <c r="AE220" s="6">
        <v>100</v>
      </c>
      <c r="AF220" s="41">
        <f t="shared" si="407"/>
        <v>5440.4102065692432</v>
      </c>
      <c r="AG220" s="41"/>
      <c r="AH220" s="41"/>
      <c r="AI220" s="41">
        <f t="shared" si="408"/>
        <v>4098.7730596102583</v>
      </c>
      <c r="AJ220" s="13">
        <f t="shared" ca="1" si="409"/>
        <v>88.868223158261188</v>
      </c>
      <c r="AK220" s="11"/>
      <c r="AL220" s="6">
        <v>150</v>
      </c>
      <c r="AM220" s="41">
        <f t="shared" ca="1" si="410"/>
        <v>1.687892417212755</v>
      </c>
      <c r="AN220" s="41">
        <f t="shared" ca="1" si="411"/>
        <v>1.9217466575533551</v>
      </c>
      <c r="AO220" s="41">
        <f t="shared" ca="1" si="412"/>
        <v>6.5001506051679508E-2</v>
      </c>
      <c r="AP220" s="67">
        <f t="shared" si="431"/>
        <v>0.75339411992519045</v>
      </c>
      <c r="AQ220" s="11">
        <f t="shared" si="413"/>
        <v>1.0386492882183758</v>
      </c>
      <c r="AR220" s="11">
        <f t="shared" si="414"/>
        <v>0.9315132878859741</v>
      </c>
      <c r="AS220" s="11">
        <f t="shared" si="415"/>
        <v>0.89685064867644104</v>
      </c>
      <c r="AT220" s="11">
        <f t="shared" si="416"/>
        <v>538.71622632022491</v>
      </c>
      <c r="AU220" s="11">
        <f t="shared" si="417"/>
        <v>1971.2870500900558</v>
      </c>
      <c r="AV220" s="11">
        <f t="shared" si="418"/>
        <v>2.1317243068390327E-3</v>
      </c>
      <c r="AW220" s="11">
        <f t="shared" si="419"/>
        <v>3.8484342805978156E-7</v>
      </c>
      <c r="AX220" s="41">
        <f t="shared" ca="1" si="420"/>
        <v>1.0510330211796861</v>
      </c>
      <c r="AY220" s="41">
        <f t="shared" ca="1" si="421"/>
        <v>1.4157623609797891</v>
      </c>
      <c r="AZ220" s="41">
        <f t="shared" si="422"/>
        <v>0.16312674804650151</v>
      </c>
    </row>
    <row r="221" spans="1:52" ht="14.5">
      <c r="A221" s="41">
        <f t="shared" ca="1" si="423"/>
        <v>29.041130149015842</v>
      </c>
      <c r="B221" s="41">
        <f t="shared" ca="1" si="424"/>
        <v>0.48401883581693073</v>
      </c>
      <c r="C221" s="41">
        <f t="shared" ca="1" si="424"/>
        <v>8.0669805969488459E-3</v>
      </c>
      <c r="D221" s="41">
        <f t="shared" ca="1" si="425"/>
        <v>12676.639107710305</v>
      </c>
      <c r="E221" s="41">
        <f t="shared" ca="1" si="426"/>
        <v>0.90833018561158685</v>
      </c>
      <c r="F221" s="41">
        <f t="shared" ca="1" si="427"/>
        <v>0.90833018561158685</v>
      </c>
      <c r="G221" s="41"/>
      <c r="H221" s="7">
        <f t="shared" si="428"/>
        <v>2100</v>
      </c>
      <c r="I221" s="6">
        <v>15</v>
      </c>
      <c r="J221" s="41">
        <f t="shared" si="389"/>
        <v>0.22607139228212392</v>
      </c>
      <c r="K221" s="41">
        <f t="shared" si="390"/>
        <v>257.10073858260012</v>
      </c>
      <c r="L221" s="6">
        <f t="shared" si="432"/>
        <v>144</v>
      </c>
      <c r="M221" s="41">
        <f t="shared" si="391"/>
        <v>152.32807399837324</v>
      </c>
      <c r="N221" s="41">
        <f t="shared" si="392"/>
        <v>70.137735307182368</v>
      </c>
      <c r="O221" s="41">
        <f t="shared" si="393"/>
        <v>1418816.9143000515</v>
      </c>
      <c r="P221" s="41">
        <f t="shared" si="394"/>
        <v>9109801.5699874088</v>
      </c>
      <c r="Q221" s="41">
        <f t="shared" si="395"/>
        <v>3.0345107340932079E-3</v>
      </c>
      <c r="R221" s="41">
        <f t="shared" si="396"/>
        <v>2.344871893194914E-2</v>
      </c>
      <c r="S221" s="24">
        <f t="shared" ca="1" si="429"/>
        <v>20.704564432290226</v>
      </c>
      <c r="T221" s="10">
        <f t="shared" ca="1" si="397"/>
        <v>20.704564432290226</v>
      </c>
      <c r="U221" s="41">
        <f t="shared" ca="1" si="398"/>
        <v>0.7350709924267852</v>
      </c>
      <c r="V221" s="41">
        <f t="shared" ca="1" si="399"/>
        <v>5.7574151139705564E-2</v>
      </c>
      <c r="W221" s="41">
        <f t="shared" ca="1" si="400"/>
        <v>12.767378725968731</v>
      </c>
      <c r="X221" s="20">
        <f t="shared" ca="1" si="401"/>
        <v>928.76773182964757</v>
      </c>
      <c r="Y221" s="41">
        <f t="shared" si="402"/>
        <v>0.6093260773910999</v>
      </c>
      <c r="Z221" s="41">
        <f t="shared" ca="1" si="403"/>
        <v>142.28605744469479</v>
      </c>
      <c r="AA221" s="14">
        <f t="shared" ca="1" si="404"/>
        <v>992.89285450005002</v>
      </c>
      <c r="AB221" s="14">
        <f t="shared" si="430"/>
        <v>5410.5854287910297</v>
      </c>
      <c r="AC221" s="25">
        <f t="shared" ca="1" si="405"/>
        <v>255273.48622534898</v>
      </c>
      <c r="AD221" s="41">
        <f t="shared" si="406"/>
        <v>1391065.5099064279</v>
      </c>
      <c r="AE221" s="6">
        <v>100</v>
      </c>
      <c r="AF221" s="41">
        <f t="shared" si="407"/>
        <v>5410.5854287910297</v>
      </c>
      <c r="AG221" s="41"/>
      <c r="AH221" s="41"/>
      <c r="AI221" s="41">
        <f t="shared" si="408"/>
        <v>4083.1769109506172</v>
      </c>
      <c r="AJ221" s="13">
        <f t="shared" ca="1" si="409"/>
        <v>90.897802666046502</v>
      </c>
      <c r="AK221" s="11"/>
      <c r="AL221" s="6">
        <v>150</v>
      </c>
      <c r="AM221" s="41">
        <f t="shared" ca="1" si="410"/>
        <v>1.6502049070547029</v>
      </c>
      <c r="AN221" s="41">
        <f t="shared" ca="1" si="411"/>
        <v>1.8716884930064368</v>
      </c>
      <c r="AO221" s="41">
        <f t="shared" ca="1" si="412"/>
        <v>6.5316071757880984E-2</v>
      </c>
      <c r="AP221" s="67">
        <f t="shared" si="431"/>
        <v>0.75466453024159796</v>
      </c>
      <c r="AQ221" s="11">
        <f t="shared" si="413"/>
        <v>1.0376179857183758</v>
      </c>
      <c r="AR221" s="11">
        <f t="shared" si="414"/>
        <v>0.9264066551590695</v>
      </c>
      <c r="AS221" s="11">
        <f t="shared" si="415"/>
        <v>0.89282054466094163</v>
      </c>
      <c r="AT221" s="11">
        <f t="shared" si="416"/>
        <v>538.18132065254997</v>
      </c>
      <c r="AU221" s="11">
        <f t="shared" si="417"/>
        <v>1960.4802917807258</v>
      </c>
      <c r="AV221" s="11">
        <f t="shared" si="418"/>
        <v>2.1221451526045919E-3</v>
      </c>
      <c r="AW221" s="11">
        <f t="shared" si="419"/>
        <v>3.8454932459223593E-7</v>
      </c>
      <c r="AX221" s="41">
        <f t="shared" ca="1" si="420"/>
        <v>1.0710844514979971</v>
      </c>
      <c r="AY221" s="41">
        <f t="shared" ca="1" si="421"/>
        <v>1.4427720359913419</v>
      </c>
      <c r="AZ221" s="41">
        <f t="shared" si="422"/>
        <v>0.16748958795151639</v>
      </c>
    </row>
    <row r="222" spans="1:52" ht="14.5">
      <c r="A222" s="41">
        <f t="shared" ca="1" si="423"/>
        <v>30.691335056070546</v>
      </c>
      <c r="B222" s="41">
        <f t="shared" ca="1" si="424"/>
        <v>0.51152225093450909</v>
      </c>
      <c r="C222" s="41">
        <f t="shared" ca="1" si="424"/>
        <v>8.5253708489084843E-3</v>
      </c>
      <c r="D222" s="41">
        <f t="shared" ca="1" si="425"/>
        <v>12674.767419217298</v>
      </c>
      <c r="E222" s="41">
        <f t="shared" ca="1" si="426"/>
        <v>0.97364625736946786</v>
      </c>
      <c r="F222" s="41">
        <f t="shared" ca="1" si="427"/>
        <v>0.97364625736946786</v>
      </c>
      <c r="G222" s="41"/>
      <c r="H222" s="7">
        <f t="shared" si="428"/>
        <v>2250</v>
      </c>
      <c r="I222" s="6">
        <v>15</v>
      </c>
      <c r="J222" s="41">
        <f t="shared" si="389"/>
        <v>0.23219054245327941</v>
      </c>
      <c r="K222" s="41">
        <f t="shared" si="390"/>
        <v>263.92851156804522</v>
      </c>
      <c r="L222" s="6">
        <f t="shared" si="432"/>
        <v>147.5</v>
      </c>
      <c r="M222" s="41">
        <f t="shared" si="391"/>
        <v>156.37342024788171</v>
      </c>
      <c r="N222" s="41">
        <f t="shared" si="392"/>
        <v>73.579983398256417</v>
      </c>
      <c r="O222" s="41">
        <f t="shared" si="393"/>
        <v>1451054.6058365745</v>
      </c>
      <c r="P222" s="41">
        <f t="shared" si="394"/>
        <v>9316790.202567298</v>
      </c>
      <c r="Q222" s="41">
        <f t="shared" si="395"/>
        <v>3.0227741851682876E-3</v>
      </c>
      <c r="R222" s="41">
        <f t="shared" si="396"/>
        <v>2.3377364993433042E-2</v>
      </c>
      <c r="S222" s="24">
        <f t="shared" ca="1" si="429"/>
        <v>20.602216382061439</v>
      </c>
      <c r="T222" s="10">
        <f t="shared" ca="1" si="397"/>
        <v>20.602216382061439</v>
      </c>
      <c r="U222" s="41">
        <f t="shared" ca="1" si="398"/>
        <v>0.70105103383772893</v>
      </c>
      <c r="V222" s="41">
        <f t="shared" ca="1" si="399"/>
        <v>5.441716104579112E-2</v>
      </c>
      <c r="W222" s="41">
        <f t="shared" ca="1" si="400"/>
        <v>12.882903487886962</v>
      </c>
      <c r="X222" s="20">
        <f t="shared" ca="1" si="401"/>
        <v>920.92317545579795</v>
      </c>
      <c r="Y222" s="41">
        <f t="shared" si="402"/>
        <v>0.60839828808374252</v>
      </c>
      <c r="Z222" s="41">
        <f t="shared" ca="1" si="403"/>
        <v>142.6446555846652</v>
      </c>
      <c r="AA222" s="14">
        <f t="shared" ca="1" si="404"/>
        <v>983.84400932092979</v>
      </c>
      <c r="AB222" s="14">
        <f t="shared" si="430"/>
        <v>5380.8931841384037</v>
      </c>
      <c r="AC222" s="25">
        <f t="shared" ca="1" si="405"/>
        <v>259664.48499521101</v>
      </c>
      <c r="AD222" s="41">
        <f t="shared" si="406"/>
        <v>1420171.1289962884</v>
      </c>
      <c r="AE222" s="6">
        <v>100</v>
      </c>
      <c r="AF222" s="41">
        <f t="shared" si="407"/>
        <v>5380.8931841384037</v>
      </c>
      <c r="AG222" s="41"/>
      <c r="AH222" s="41"/>
      <c r="AI222" s="41">
        <f t="shared" si="408"/>
        <v>4067.6047992118752</v>
      </c>
      <c r="AJ222" s="13">
        <f t="shared" ca="1" si="409"/>
        <v>92.870599285711563</v>
      </c>
      <c r="AK222" s="11"/>
      <c r="AL222" s="6">
        <v>150</v>
      </c>
      <c r="AM222" s="41">
        <f t="shared" ca="1" si="410"/>
        <v>1.6151505552207412</v>
      </c>
      <c r="AN222" s="41">
        <f t="shared" ca="1" si="411"/>
        <v>1.8249428194071144</v>
      </c>
      <c r="AO222" s="41">
        <f t="shared" ca="1" si="412"/>
        <v>6.5670542255700654E-2</v>
      </c>
      <c r="AP222" s="67">
        <f t="shared" si="431"/>
        <v>0.75593487177969054</v>
      </c>
      <c r="AQ222" s="11">
        <f t="shared" si="413"/>
        <v>1.0365866832183759</v>
      </c>
      <c r="AR222" s="11">
        <f t="shared" si="414"/>
        <v>0.92132271490623985</v>
      </c>
      <c r="AS222" s="11">
        <f t="shared" si="415"/>
        <v>0.88880431306114549</v>
      </c>
      <c r="AT222" s="11">
        <f t="shared" si="416"/>
        <v>537.64641498487492</v>
      </c>
      <c r="AU222" s="11">
        <f t="shared" si="417"/>
        <v>1949.7215557388827</v>
      </c>
      <c r="AV222" s="11">
        <f t="shared" si="418"/>
        <v>2.1125989717150368E-3</v>
      </c>
      <c r="AW222" s="11">
        <f t="shared" si="419"/>
        <v>3.8425507896270701E-7</v>
      </c>
      <c r="AX222" s="41">
        <f t="shared" ca="1" si="420"/>
        <v>1.0936114948036533</v>
      </c>
      <c r="AY222" s="41">
        <f t="shared" ca="1" si="421"/>
        <v>1.4731164108812125</v>
      </c>
      <c r="AZ222" s="41">
        <f t="shared" si="422"/>
        <v>0.17185647265880172</v>
      </c>
    </row>
    <row r="223" spans="1:52" ht="14.5">
      <c r="A223" s="41">
        <f t="shared" ca="1" si="423"/>
        <v>32.306485611291286</v>
      </c>
      <c r="B223" s="41">
        <f t="shared" ca="1" si="424"/>
        <v>0.53844142685485474</v>
      </c>
      <c r="C223" s="41">
        <f t="shared" ca="1" si="424"/>
        <v>8.9740237809142458E-3</v>
      </c>
      <c r="D223" s="41">
        <f t="shared" ca="1" si="425"/>
        <v>12672.942476397891</v>
      </c>
      <c r="E223" s="41">
        <f t="shared" ca="1" si="426"/>
        <v>1.0393167996251684</v>
      </c>
      <c r="F223" s="41">
        <f t="shared" ca="1" si="427"/>
        <v>1.0393167996251684</v>
      </c>
      <c r="G223" s="41"/>
      <c r="H223" s="7">
        <f t="shared" si="428"/>
        <v>2400</v>
      </c>
      <c r="I223" s="6">
        <v>15</v>
      </c>
      <c r="J223" s="41">
        <f t="shared" si="389"/>
        <v>0.2383407370575244</v>
      </c>
      <c r="K223" s="41">
        <f t="shared" si="390"/>
        <v>270.78456944345629</v>
      </c>
      <c r="L223" s="6">
        <f t="shared" si="432"/>
        <v>151</v>
      </c>
      <c r="M223" s="41">
        <f t="shared" si="391"/>
        <v>160.43552484213677</v>
      </c>
      <c r="N223" s="41">
        <f t="shared" si="392"/>
        <v>77.10362503689548</v>
      </c>
      <c r="O223" s="41">
        <f t="shared" si="393"/>
        <v>1483180.8702683016</v>
      </c>
      <c r="P223" s="41">
        <f t="shared" si="394"/>
        <v>9523063.3948363364</v>
      </c>
      <c r="Q223" s="41">
        <f t="shared" si="395"/>
        <v>3.0113485046262692E-3</v>
      </c>
      <c r="R223" s="41">
        <f t="shared" si="396"/>
        <v>2.3307901021347631E-2</v>
      </c>
      <c r="S223" s="24">
        <f t="shared" ca="1" si="429"/>
        <v>20.490119131689617</v>
      </c>
      <c r="T223" s="10">
        <f t="shared" ca="1" si="397"/>
        <v>20.490119131689617</v>
      </c>
      <c r="U223" s="41">
        <f t="shared" ca="1" si="398"/>
        <v>0.66940731121318087</v>
      </c>
      <c r="V223" s="41">
        <f t="shared" ca="1" si="399"/>
        <v>5.1608817105758667E-2</v>
      </c>
      <c r="W223" s="41">
        <f t="shared" ca="1" si="400"/>
        <v>12.970793534008095</v>
      </c>
      <c r="X223" s="20">
        <f t="shared" ca="1" si="401"/>
        <v>915.22218302563078</v>
      </c>
      <c r="Y223" s="41">
        <f t="shared" si="402"/>
        <v>0.60749371216588677</v>
      </c>
      <c r="Z223" s="41">
        <f t="shared" ca="1" si="403"/>
        <v>143.00904860976709</v>
      </c>
      <c r="AA223" s="14">
        <f t="shared" ca="1" si="404"/>
        <v>977.03678985952024</v>
      </c>
      <c r="AB223" s="14">
        <f t="shared" si="430"/>
        <v>5351.3330215750666</v>
      </c>
      <c r="AC223" s="25">
        <f t="shared" ca="1" si="405"/>
        <v>264566.48647252686</v>
      </c>
      <c r="AD223" s="41">
        <f t="shared" si="406"/>
        <v>1449058.4081957545</v>
      </c>
      <c r="AE223" s="6">
        <v>100</v>
      </c>
      <c r="AF223" s="41">
        <f t="shared" si="407"/>
        <v>5351.3330215750666</v>
      </c>
      <c r="AG223" s="41"/>
      <c r="AH223" s="41"/>
      <c r="AI223" s="41">
        <f t="shared" si="408"/>
        <v>4052.0565231738883</v>
      </c>
      <c r="AJ223" s="13">
        <f t="shared" ca="1" si="409"/>
        <v>94.787013012742065</v>
      </c>
      <c r="AK223" s="11"/>
      <c r="AL223" s="6">
        <v>150</v>
      </c>
      <c r="AM223" s="41">
        <f t="shared" ca="1" si="410"/>
        <v>1.5824952726365134</v>
      </c>
      <c r="AN223" s="41">
        <f t="shared" ca="1" si="411"/>
        <v>1.7812111923273959</v>
      </c>
      <c r="AO223" s="41">
        <f t="shared" ca="1" si="412"/>
        <v>6.6062663679510303E-2</v>
      </c>
      <c r="AP223" s="67">
        <f t="shared" si="431"/>
        <v>0.75720507522838487</v>
      </c>
      <c r="AQ223" s="11">
        <f t="shared" si="413"/>
        <v>1.0355553807183759</v>
      </c>
      <c r="AR223" s="11">
        <f t="shared" si="414"/>
        <v>0.91626138990053196</v>
      </c>
      <c r="AS223" s="11">
        <f t="shared" si="415"/>
        <v>0.88480192074798703</v>
      </c>
      <c r="AT223" s="11">
        <f t="shared" si="416"/>
        <v>537.11150931719999</v>
      </c>
      <c r="AU223" s="11">
        <f t="shared" si="417"/>
        <v>1939.0106785353037</v>
      </c>
      <c r="AV223" s="11">
        <f t="shared" si="418"/>
        <v>2.1030856854258903E-3</v>
      </c>
      <c r="AW223" s="11">
        <f t="shared" si="419"/>
        <v>3.8396069100306597E-7</v>
      </c>
      <c r="AX223" s="41">
        <f t="shared" ca="1" si="420"/>
        <v>1.1183879501168119</v>
      </c>
      <c r="AY223" s="41">
        <f t="shared" ca="1" si="421"/>
        <v>1.5064907884354937</v>
      </c>
      <c r="AZ223" s="41">
        <f t="shared" si="422"/>
        <v>0.1762271754857645</v>
      </c>
    </row>
    <row r="224" spans="1:52" ht="14.5">
      <c r="A224" s="41">
        <f t="shared" ca="1" si="423"/>
        <v>33.8889808839278</v>
      </c>
      <c r="B224" s="41">
        <f t="shared" ref="B224:C227" ca="1" si="433">A224/60</f>
        <v>0.56481634806546333</v>
      </c>
      <c r="C224" s="41">
        <f t="shared" ca="1" si="433"/>
        <v>9.4136058010910548E-3</v>
      </c>
      <c r="D224" s="41">
        <f t="shared" ca="1" si="425"/>
        <v>12671.161265205565</v>
      </c>
      <c r="E224" s="41">
        <f t="shared" ca="1" si="426"/>
        <v>1.1053794633046787</v>
      </c>
      <c r="F224" s="41">
        <f t="shared" ca="1" si="427"/>
        <v>1.1053794633046787</v>
      </c>
      <c r="G224" s="41"/>
      <c r="H224" s="7">
        <f t="shared" si="428"/>
        <v>2550</v>
      </c>
      <c r="I224" s="6">
        <v>15</v>
      </c>
      <c r="J224" s="41">
        <f t="shared" si="389"/>
        <v>0.24452204276357467</v>
      </c>
      <c r="K224" s="41">
        <f t="shared" si="390"/>
        <v>277.66892994732956</v>
      </c>
      <c r="L224" s="6">
        <f t="shared" si="432"/>
        <v>154.5</v>
      </c>
      <c r="M224" s="41">
        <f t="shared" si="391"/>
        <v>164.51439829091362</v>
      </c>
      <c r="N224" s="41">
        <f t="shared" si="392"/>
        <v>80.708517322193202</v>
      </c>
      <c r="O224" s="41">
        <f t="shared" si="393"/>
        <v>1515195.1868328373</v>
      </c>
      <c r="P224" s="41">
        <f t="shared" si="394"/>
        <v>9728617.803134013</v>
      </c>
      <c r="Q224" s="41">
        <f t="shared" si="395"/>
        <v>3.0002167010289311E-3</v>
      </c>
      <c r="R224" s="41">
        <f t="shared" si="396"/>
        <v>2.3240223713943305E-2</v>
      </c>
      <c r="S224" s="24">
        <f t="shared" ca="1" si="429"/>
        <v>20.369116737277615</v>
      </c>
      <c r="T224" s="10">
        <f t="shared" ca="1" si="397"/>
        <v>20.369116737277615</v>
      </c>
      <c r="U224" s="41">
        <f t="shared" ca="1" si="398"/>
        <v>0.63992115972345054</v>
      </c>
      <c r="V224" s="41">
        <f t="shared" ca="1" si="399"/>
        <v>4.9102844535555461E-2</v>
      </c>
      <c r="W224" s="41">
        <f t="shared" ca="1" si="400"/>
        <v>13.032262504875506</v>
      </c>
      <c r="X224" s="20">
        <f t="shared" ca="1" si="401"/>
        <v>911.49408911637261</v>
      </c>
      <c r="Y224" s="41">
        <f t="shared" si="402"/>
        <v>0.6066111053063884</v>
      </c>
      <c r="Z224" s="41">
        <f t="shared" ca="1" si="403"/>
        <v>143.37878677522696</v>
      </c>
      <c r="AA224" s="14">
        <f t="shared" ca="1" si="404"/>
        <v>972.29174600075396</v>
      </c>
      <c r="AB224" s="14">
        <f t="shared" si="430"/>
        <v>5321.9044911293786</v>
      </c>
      <c r="AC224" s="25">
        <f t="shared" ca="1" si="405"/>
        <v>269975.20870865008</v>
      </c>
      <c r="AD224" s="41">
        <f t="shared" si="406"/>
        <v>1477727.525333782</v>
      </c>
      <c r="AE224" s="6">
        <v>100</v>
      </c>
      <c r="AF224" s="41">
        <f t="shared" si="407"/>
        <v>5321.9044911293786</v>
      </c>
      <c r="AG224" s="41"/>
      <c r="AH224" s="41"/>
      <c r="AI224" s="41">
        <f t="shared" si="408"/>
        <v>4036.5318824753767</v>
      </c>
      <c r="AJ224" s="13">
        <f t="shared" ca="1" si="409"/>
        <v>96.647332578610005</v>
      </c>
      <c r="AK224" s="11"/>
      <c r="AL224" s="6">
        <v>150</v>
      </c>
      <c r="AM224" s="41">
        <f t="shared" ca="1" si="410"/>
        <v>1.5520345569599094</v>
      </c>
      <c r="AN224" s="41">
        <f t="shared" ca="1" si="411"/>
        <v>1.740232492186728</v>
      </c>
      <c r="AO224" s="41">
        <f t="shared" ca="1" si="412"/>
        <v>6.6490570179331313E-2</v>
      </c>
      <c r="AP224" s="67">
        <f t="shared" si="431"/>
        <v>0.75847507019404836</v>
      </c>
      <c r="AQ224" s="11">
        <f t="shared" si="413"/>
        <v>1.0345240782183758</v>
      </c>
      <c r="AR224" s="11">
        <f t="shared" si="414"/>
        <v>0.91122260309728409</v>
      </c>
      <c r="AS224" s="11">
        <f t="shared" si="415"/>
        <v>0.88081333463650502</v>
      </c>
      <c r="AT224" s="11">
        <f t="shared" si="416"/>
        <v>536.57660364952494</v>
      </c>
      <c r="AU224" s="11">
        <f t="shared" si="417"/>
        <v>1928.3474971265343</v>
      </c>
      <c r="AV224" s="11">
        <f t="shared" si="418"/>
        <v>2.0936052150975089E-3</v>
      </c>
      <c r="AW224" s="11">
        <f t="shared" si="419"/>
        <v>3.8366616054490459E-7</v>
      </c>
      <c r="AX224" s="41">
        <f t="shared" ca="1" si="420"/>
        <v>1.1452253015936944</v>
      </c>
      <c r="AY224" s="41">
        <f t="shared" ca="1" si="421"/>
        <v>1.5426412340672679</v>
      </c>
      <c r="AZ224" s="41">
        <f t="shared" si="422"/>
        <v>0.18060146513641212</v>
      </c>
    </row>
    <row r="225" spans="1:52" ht="14.5">
      <c r="A225" s="41">
        <f t="shared" ca="1" si="423"/>
        <v>35.44101544088771</v>
      </c>
      <c r="B225" s="41">
        <f t="shared" ca="1" si="433"/>
        <v>0.59068359068146181</v>
      </c>
      <c r="C225" s="41">
        <f t="shared" ca="1" si="433"/>
        <v>9.8447265113576973E-3</v>
      </c>
      <c r="D225" s="41">
        <f t="shared" ca="1" si="425"/>
        <v>12669.421032713379</v>
      </c>
      <c r="E225" s="41">
        <f t="shared" ca="1" si="426"/>
        <v>1.17187003348401</v>
      </c>
      <c r="F225" s="41">
        <f t="shared" ca="1" si="427"/>
        <v>1.17187003348401</v>
      </c>
      <c r="G225" s="41"/>
      <c r="H225" s="7">
        <f t="shared" si="428"/>
        <v>2700</v>
      </c>
      <c r="I225" s="6">
        <v>15</v>
      </c>
      <c r="J225" s="41">
        <f t="shared" si="389"/>
        <v>0.25073452282170561</v>
      </c>
      <c r="K225" s="41">
        <f t="shared" si="390"/>
        <v>284.58160672418126</v>
      </c>
      <c r="L225" s="6">
        <f t="shared" si="432"/>
        <v>158</v>
      </c>
      <c r="M225" s="41">
        <f t="shared" si="391"/>
        <v>168.61004867836982</v>
      </c>
      <c r="N225" s="41">
        <f t="shared" si="392"/>
        <v>84.394508883842306</v>
      </c>
      <c r="O225" s="41">
        <f t="shared" si="393"/>
        <v>1547097.0179381738</v>
      </c>
      <c r="P225" s="41">
        <f t="shared" si="394"/>
        <v>9933449.9757418782</v>
      </c>
      <c r="Q225" s="41">
        <f t="shared" si="395"/>
        <v>2.9893630044052853E-3</v>
      </c>
      <c r="R225" s="41">
        <f t="shared" si="396"/>
        <v>2.3174237195545927E-2</v>
      </c>
      <c r="S225" s="24">
        <f t="shared" ca="1" si="429"/>
        <v>20.239957495375997</v>
      </c>
      <c r="T225" s="10">
        <f t="shared" ca="1" si="397"/>
        <v>20.239957495375997</v>
      </c>
      <c r="U225" s="41">
        <f t="shared" ca="1" si="398"/>
        <v>0.61239866537927778</v>
      </c>
      <c r="V225" s="41">
        <f t="shared" ca="1" si="399"/>
        <v>4.6860037421353896E-2</v>
      </c>
      <c r="W225" s="41">
        <f t="shared" ca="1" si="400"/>
        <v>13.068676404859435</v>
      </c>
      <c r="X225" s="20">
        <f t="shared" ca="1" si="401"/>
        <v>909.58786422433593</v>
      </c>
      <c r="Y225" s="41">
        <f t="shared" si="402"/>
        <v>0.60574931049355307</v>
      </c>
      <c r="Z225" s="41">
        <f t="shared" ca="1" si="403"/>
        <v>143.75346577256397</v>
      </c>
      <c r="AA225" s="14">
        <f t="shared" ca="1" si="404"/>
        <v>969.44944080200821</v>
      </c>
      <c r="AB225" s="14">
        <f t="shared" si="430"/>
        <v>5292.6071438929721</v>
      </c>
      <c r="AC225" s="25">
        <f t="shared" ca="1" si="405"/>
        <v>275887.47950129455</v>
      </c>
      <c r="AD225" s="41">
        <f t="shared" si="406"/>
        <v>1506178.6447689419</v>
      </c>
      <c r="AE225" s="6">
        <v>100</v>
      </c>
      <c r="AF225" s="41">
        <f t="shared" si="407"/>
        <v>5292.6071438929721</v>
      </c>
      <c r="AG225" s="41"/>
      <c r="AH225" s="41"/>
      <c r="AI225" s="41">
        <f t="shared" si="408"/>
        <v>4021.0306777245901</v>
      </c>
      <c r="AJ225" s="13">
        <f t="shared" ca="1" si="409"/>
        <v>98.451749743770833</v>
      </c>
      <c r="AK225" s="11"/>
      <c r="AL225" s="6">
        <v>150</v>
      </c>
      <c r="AM225" s="41">
        <f t="shared" ca="1" si="410"/>
        <v>1.5235889701339786</v>
      </c>
      <c r="AN225" s="41">
        <f t="shared" ca="1" si="411"/>
        <v>1.7017772192087617</v>
      </c>
      <c r="AO225" s="41">
        <f t="shared" ca="1" si="412"/>
        <v>6.6952726263134421E-2</v>
      </c>
      <c r="AP225" s="67">
        <f t="shared" si="431"/>
        <v>0.75974478520748945</v>
      </c>
      <c r="AQ225" s="11">
        <f t="shared" si="413"/>
        <v>1.0334927757183758</v>
      </c>
      <c r="AR225" s="11">
        <f t="shared" si="414"/>
        <v>0.90620627763389017</v>
      </c>
      <c r="AS225" s="11">
        <f t="shared" si="415"/>
        <v>0.87683852168583432</v>
      </c>
      <c r="AT225" s="11">
        <f t="shared" si="416"/>
        <v>536.04169798185001</v>
      </c>
      <c r="AU225" s="11">
        <f t="shared" si="417"/>
        <v>1917.7318488543908</v>
      </c>
      <c r="AV225" s="11">
        <f t="shared" si="418"/>
        <v>2.0841574821950596E-3</v>
      </c>
      <c r="AW225" s="11">
        <f t="shared" si="419"/>
        <v>3.8337148741954121E-7</v>
      </c>
      <c r="AX225" s="41">
        <f t="shared" ca="1" si="420"/>
        <v>1.1739651536841857</v>
      </c>
      <c r="AY225" s="41">
        <f t="shared" ca="1" si="421"/>
        <v>1.5813543858235986</v>
      </c>
      <c r="AZ225" s="41">
        <f t="shared" si="422"/>
        <v>0.18497910570079243</v>
      </c>
    </row>
    <row r="226" spans="1:52" ht="14.5">
      <c r="A226" s="41">
        <f t="shared" ca="1" si="423"/>
        <v>36.964604411021689</v>
      </c>
      <c r="B226" s="41">
        <f t="shared" ca="1" si="433"/>
        <v>0.61607674018369485</v>
      </c>
      <c r="C226" s="41">
        <f t="shared" ca="1" si="433"/>
        <v>1.0267945669728247E-2</v>
      </c>
      <c r="D226" s="41">
        <f t="shared" ca="1" si="425"/>
        <v>12667.71925549417</v>
      </c>
      <c r="E226" s="41">
        <f t="shared" ca="1" si="426"/>
        <v>1.2388227597471444</v>
      </c>
      <c r="F226" s="41">
        <f t="shared" ca="1" si="427"/>
        <v>1.2388227597471444</v>
      </c>
      <c r="G226" s="41"/>
      <c r="H226" s="7">
        <f t="shared" si="428"/>
        <v>2850</v>
      </c>
      <c r="I226" s="6">
        <v>15</v>
      </c>
      <c r="J226" s="41">
        <f t="shared" si="389"/>
        <v>0.25697823700672945</v>
      </c>
      <c r="K226" s="41">
        <f t="shared" si="390"/>
        <v>291.52260926918837</v>
      </c>
      <c r="L226" s="6">
        <f t="shared" si="432"/>
        <v>161.5</v>
      </c>
      <c r="M226" s="41">
        <f t="shared" si="391"/>
        <v>172.7224816302458</v>
      </c>
      <c r="N226" s="41">
        <f t="shared" si="392"/>
        <v>88.161439633028053</v>
      </c>
      <c r="O226" s="41">
        <f t="shared" si="393"/>
        <v>1578885.8092654536</v>
      </c>
      <c r="P226" s="41">
        <f t="shared" si="394"/>
        <v>10137556.353543358</v>
      </c>
      <c r="Q226" s="41">
        <f t="shared" si="395"/>
        <v>2.9787727529843469E-3</v>
      </c>
      <c r="R226" s="41">
        <f t="shared" si="396"/>
        <v>2.310985232793334E-2</v>
      </c>
      <c r="S226" s="24">
        <f t="shared" ca="1" si="429"/>
        <v>20.103306896404611</v>
      </c>
      <c r="T226" s="10">
        <f t="shared" ca="1" si="397"/>
        <v>20.103306896404611</v>
      </c>
      <c r="U226" s="41">
        <f t="shared" ca="1" si="398"/>
        <v>0.5866673639090948</v>
      </c>
      <c r="V226" s="41">
        <f t="shared" ca="1" si="399"/>
        <v>4.4847044724798654E-2</v>
      </c>
      <c r="W226" s="41">
        <f t="shared" ca="1" si="400"/>
        <v>13.081516686531872</v>
      </c>
      <c r="X226" s="20">
        <f t="shared" ca="1" si="401"/>
        <v>909.36940603176049</v>
      </c>
      <c r="Y226" s="41">
        <f t="shared" si="402"/>
        <v>0.60490725006967883</v>
      </c>
      <c r="Z226" s="41">
        <f t="shared" ca="1" si="403"/>
        <v>144.13272123720932</v>
      </c>
      <c r="AA226" s="14">
        <f t="shared" ca="1" si="404"/>
        <v>968.3677786793844</v>
      </c>
      <c r="AB226" s="14">
        <f t="shared" si="430"/>
        <v>5263.4405320193364</v>
      </c>
      <c r="AC226" s="25">
        <f t="shared" ca="1" si="405"/>
        <v>282301.10157282208</v>
      </c>
      <c r="AD226" s="41">
        <f t="shared" si="406"/>
        <v>1534411.917627482</v>
      </c>
      <c r="AE226" s="6">
        <v>100</v>
      </c>
      <c r="AF226" s="41">
        <f t="shared" si="407"/>
        <v>5263.4405320193364</v>
      </c>
      <c r="AG226" s="41"/>
      <c r="AH226" s="41"/>
      <c r="AI226" s="41">
        <f t="shared" si="408"/>
        <v>4005.5527106108066</v>
      </c>
      <c r="AJ226" s="13">
        <f t="shared" ca="1" si="409"/>
        <v>100.20037151052375</v>
      </c>
      <c r="AK226" s="11"/>
      <c r="AL226" s="6">
        <v>150</v>
      </c>
      <c r="AM226" s="41">
        <f t="shared" ca="1" si="410"/>
        <v>1.4970004376106125</v>
      </c>
      <c r="AN226" s="41">
        <f t="shared" ca="1" si="411"/>
        <v>1.6656428224046536</v>
      </c>
      <c r="AO226" s="41">
        <f t="shared" ca="1" si="412"/>
        <v>6.7447880134784671E-2</v>
      </c>
      <c r="AP226" s="67">
        <f t="shared" si="431"/>
        <v>0.7610141477316289</v>
      </c>
      <c r="AQ226" s="11">
        <f t="shared" si="413"/>
        <v>1.0324614732183759</v>
      </c>
      <c r="AR226" s="11">
        <f t="shared" si="414"/>
        <v>0.90121233682955559</v>
      </c>
      <c r="AS226" s="11">
        <f t="shared" si="415"/>
        <v>0.87287744889919028</v>
      </c>
      <c r="AT226" s="11">
        <f t="shared" si="416"/>
        <v>535.50679231417496</v>
      </c>
      <c r="AU226" s="11">
        <f t="shared" si="417"/>
        <v>1907.1635714454419</v>
      </c>
      <c r="AV226" s="11">
        <f t="shared" si="418"/>
        <v>2.0747424082884851E-3</v>
      </c>
      <c r="AW226" s="11">
        <f t="shared" si="419"/>
        <v>3.8307667145801163E-7</v>
      </c>
      <c r="AX226" s="41">
        <f t="shared" ca="1" si="420"/>
        <v>1.2044733893586634</v>
      </c>
      <c r="AY226" s="41">
        <f t="shared" ca="1" si="421"/>
        <v>1.6224495854010077</v>
      </c>
      <c r="AZ226" s="41">
        <f t="shared" si="422"/>
        <v>0.18935985665684568</v>
      </c>
    </row>
    <row r="227" spans="1:52" ht="14.5">
      <c r="A227" s="41">
        <f t="shared" ca="1" si="423"/>
        <v>38.461604848632305</v>
      </c>
      <c r="B227" s="41">
        <f t="shared" ca="1" si="433"/>
        <v>0.64102674747720512</v>
      </c>
      <c r="C227" s="41">
        <f t="shared" ca="1" si="433"/>
        <v>1.0683779124620086E-2</v>
      </c>
      <c r="D227" s="41">
        <f t="shared" ca="1" si="425"/>
        <v>12666.053612671765</v>
      </c>
      <c r="E227" s="41">
        <f t="shared" ca="1" si="426"/>
        <v>1.306270639881929</v>
      </c>
      <c r="F227" s="41">
        <f t="shared" ca="1" si="427"/>
        <v>1.306270639881929</v>
      </c>
      <c r="G227" s="41"/>
      <c r="H227" s="7">
        <f t="shared" si="428"/>
        <v>3000</v>
      </c>
      <c r="I227" s="6">
        <v>15</v>
      </c>
      <c r="J227" s="41">
        <f t="shared" si="389"/>
        <v>0.2632532415619146</v>
      </c>
      <c r="K227" s="41">
        <f t="shared" si="390"/>
        <v>298.49194287410489</v>
      </c>
      <c r="L227" s="6">
        <f t="shared" si="432"/>
        <v>165</v>
      </c>
      <c r="M227" s="41">
        <f t="shared" si="391"/>
        <v>176.85170028182117</v>
      </c>
      <c r="N227" s="41">
        <f t="shared" si="392"/>
        <v>92.009140514372376</v>
      </c>
      <c r="O227" s="41">
        <f t="shared" si="393"/>
        <v>1610560.9898818883</v>
      </c>
      <c r="P227" s="41">
        <f t="shared" si="394"/>
        <v>10340933.270748764</v>
      </c>
      <c r="Q227" s="41">
        <f t="shared" si="395"/>
        <v>2.9684322926589999E-3</v>
      </c>
      <c r="R227" s="41">
        <f t="shared" si="396"/>
        <v>2.3046986099112335E-2</v>
      </c>
      <c r="S227" s="24">
        <f t="shared" ca="1" si="429"/>
        <v>19.959758577207637</v>
      </c>
      <c r="T227" s="10">
        <f t="shared" ca="1" si="397"/>
        <v>19.959758577207637</v>
      </c>
      <c r="U227" s="41">
        <f t="shared" ca="1" si="398"/>
        <v>0.56257344337783199</v>
      </c>
      <c r="V227" s="41">
        <f t="shared" ca="1" si="399"/>
        <v>4.3035386717103344E-2</v>
      </c>
      <c r="W227" s="41">
        <f t="shared" ca="1" si="400"/>
        <v>13.072345488050447</v>
      </c>
      <c r="X227" s="20">
        <f t="shared" ca="1" si="401"/>
        <v>910.71925701519262</v>
      </c>
      <c r="Y227" s="41">
        <f t="shared" si="402"/>
        <v>0.60408391864909072</v>
      </c>
      <c r="Z227" s="41">
        <f t="shared" ca="1" si="403"/>
        <v>144.51622399531425</v>
      </c>
      <c r="AA227" s="14">
        <f t="shared" ca="1" si="404"/>
        <v>968.91974162172528</v>
      </c>
      <c r="AB227" s="14">
        <f t="shared" si="430"/>
        <v>5234.4042087224379</v>
      </c>
      <c r="AC227" s="25">
        <f t="shared" ca="1" si="405"/>
        <v>289214.73616574449</v>
      </c>
      <c r="AD227" s="41">
        <f t="shared" si="406"/>
        <v>1562427.4820499523</v>
      </c>
      <c r="AE227" s="6">
        <v>100</v>
      </c>
      <c r="AF227" s="41">
        <f t="shared" si="407"/>
        <v>5234.4042087224379</v>
      </c>
      <c r="AG227" s="41"/>
      <c r="AH227" s="41"/>
      <c r="AI227" s="41">
        <f t="shared" si="408"/>
        <v>3990.0977840166211</v>
      </c>
      <c r="AJ227" s="13">
        <f t="shared" ca="1" si="409"/>
        <v>101.89323060495015</v>
      </c>
      <c r="AK227" s="11"/>
      <c r="AL227" s="6">
        <v>0</v>
      </c>
      <c r="AM227" s="41">
        <f t="shared" ca="1" si="410"/>
        <v>0</v>
      </c>
      <c r="AN227" s="41">
        <f t="shared" ca="1" si="411"/>
        <v>0</v>
      </c>
      <c r="AO227" s="41">
        <f t="shared" ca="1" si="412"/>
        <v>0</v>
      </c>
      <c r="AP227" s="67">
        <f t="shared" si="431"/>
        <v>0.76228308416985724</v>
      </c>
      <c r="AQ227" s="11">
        <f t="shared" si="413"/>
        <v>1.0314301707183759</v>
      </c>
      <c r="AR227" s="11">
        <f t="shared" si="414"/>
        <v>0.8962407041850623</v>
      </c>
      <c r="AS227" s="11">
        <f t="shared" si="415"/>
        <v>0.86893008332386068</v>
      </c>
      <c r="AT227" s="11">
        <f t="shared" si="416"/>
        <v>534.97188664650002</v>
      </c>
      <c r="AU227" s="11">
        <f t="shared" si="417"/>
        <v>1896.6425030105124</v>
      </c>
      <c r="AV227" s="11">
        <f t="shared" si="418"/>
        <v>2.0653599150524844E-3</v>
      </c>
      <c r="AW227" s="11">
        <f t="shared" si="419"/>
        <v>3.8278171249107636E-7</v>
      </c>
      <c r="AX227" s="41">
        <f t="shared" ca="1" si="420"/>
        <v>1.2366356178771167</v>
      </c>
      <c r="AY227" s="41">
        <f t="shared" ca="1" si="421"/>
        <v>1.6657727462000369</v>
      </c>
      <c r="AZ227" s="41">
        <f t="shared" si="422"/>
        <v>0.19374347287471558</v>
      </c>
    </row>
    <row r="228" spans="1:52" ht="14.5">
      <c r="AC228" s="3"/>
      <c r="AD228" s="3"/>
      <c r="AP228" s="53"/>
    </row>
    <row r="229" spans="1:52" s="89" customFormat="1" ht="14.5">
      <c r="A229" s="123" t="s">
        <v>5</v>
      </c>
      <c r="B229" s="81" t="s">
        <v>122</v>
      </c>
      <c r="C229" s="81">
        <v>45</v>
      </c>
      <c r="D229" s="81" t="s">
        <v>21</v>
      </c>
      <c r="E229" s="82"/>
      <c r="F229" s="82"/>
      <c r="G229" s="82"/>
      <c r="H229" s="82"/>
      <c r="I229" s="83"/>
      <c r="J229" s="82"/>
      <c r="K229" s="82"/>
      <c r="L229" s="84" t="s">
        <v>60</v>
      </c>
      <c r="M229" s="82"/>
      <c r="N229" s="82"/>
      <c r="O229" s="82"/>
      <c r="P229" s="82"/>
      <c r="Q229" s="81"/>
      <c r="R229" s="82"/>
      <c r="S229" s="85"/>
      <c r="T229" s="86"/>
      <c r="U229" s="81"/>
      <c r="V229" s="81"/>
      <c r="W229" s="81"/>
      <c r="X229" s="81"/>
      <c r="Y229" s="82"/>
      <c r="Z229" s="82"/>
      <c r="AA229" s="87"/>
      <c r="AB229" s="87"/>
      <c r="AC229" s="82"/>
      <c r="AD229" s="82"/>
      <c r="AE229" s="83"/>
      <c r="AF229" s="81"/>
      <c r="AG229" s="82"/>
      <c r="AH229" s="82"/>
      <c r="AI229" s="82"/>
      <c r="AJ229" s="81" t="s">
        <v>61</v>
      </c>
      <c r="AK229" s="88"/>
      <c r="AL229" s="83"/>
      <c r="AM229" s="83"/>
      <c r="AN229" s="82"/>
      <c r="AO229" s="82"/>
      <c r="AP229" s="53"/>
      <c r="AQ229" s="88"/>
      <c r="AR229" s="88"/>
      <c r="AS229" s="88"/>
      <c r="AT229" s="88"/>
      <c r="AU229" s="88"/>
      <c r="AV229" s="88"/>
      <c r="AW229" s="88"/>
      <c r="AX229" s="82"/>
      <c r="AY229" s="82"/>
      <c r="AZ229" s="82"/>
    </row>
    <row r="230" spans="1:52" ht="14.5">
      <c r="A230" s="41" t="s">
        <v>2</v>
      </c>
      <c r="B230" s="41" t="s">
        <v>2</v>
      </c>
      <c r="C230" s="41" t="s">
        <v>2</v>
      </c>
      <c r="D230" s="41" t="s">
        <v>23</v>
      </c>
      <c r="E230" s="41" t="s">
        <v>24</v>
      </c>
      <c r="F230" s="41" t="s">
        <v>25</v>
      </c>
      <c r="G230" s="41"/>
      <c r="H230" s="41" t="s">
        <v>0</v>
      </c>
      <c r="I230" s="5" t="s">
        <v>26</v>
      </c>
      <c r="J230" s="41" t="s">
        <v>27</v>
      </c>
      <c r="K230" s="41" t="s">
        <v>28</v>
      </c>
      <c r="L230" s="12" t="s">
        <v>29</v>
      </c>
      <c r="M230" s="13" t="s">
        <v>30</v>
      </c>
      <c r="N230" s="41" t="s">
        <v>31</v>
      </c>
      <c r="O230" s="41" t="s">
        <v>32</v>
      </c>
      <c r="P230" s="41" t="s">
        <v>33</v>
      </c>
      <c r="Q230" s="41" t="s">
        <v>34</v>
      </c>
      <c r="R230" s="41" t="s">
        <v>13</v>
      </c>
      <c r="S230" s="24" t="s">
        <v>35</v>
      </c>
      <c r="T230" s="10" t="s">
        <v>35</v>
      </c>
      <c r="U230" s="41" t="s">
        <v>36</v>
      </c>
      <c r="V230" s="41" t="s">
        <v>37</v>
      </c>
      <c r="W230" s="41" t="s">
        <v>38</v>
      </c>
      <c r="X230" s="41" t="s">
        <v>39</v>
      </c>
      <c r="Y230" s="41" t="s">
        <v>40</v>
      </c>
      <c r="Z230" s="35" t="s">
        <v>108</v>
      </c>
      <c r="AA230" s="35" t="s">
        <v>109</v>
      </c>
      <c r="AB230" s="9" t="s">
        <v>110</v>
      </c>
      <c r="AC230" s="7" t="s">
        <v>111</v>
      </c>
      <c r="AD230" s="7" t="s">
        <v>112</v>
      </c>
      <c r="AE230" s="5" t="s">
        <v>41</v>
      </c>
      <c r="AF230" s="7" t="s">
        <v>113</v>
      </c>
      <c r="AG230" s="41"/>
      <c r="AH230" s="41"/>
      <c r="AI230" s="41" t="s">
        <v>42</v>
      </c>
      <c r="AJ230" s="41" t="s">
        <v>43</v>
      </c>
      <c r="AK230" s="11"/>
      <c r="AL230" s="5" t="s">
        <v>44</v>
      </c>
      <c r="AM230" s="5" t="s">
        <v>45</v>
      </c>
      <c r="AN230" s="41" t="s">
        <v>46</v>
      </c>
      <c r="AO230" s="41" t="s">
        <v>47</v>
      </c>
      <c r="AP230" s="53"/>
      <c r="AQ230" s="15" t="s">
        <v>62</v>
      </c>
      <c r="AR230" s="16" t="s">
        <v>63</v>
      </c>
      <c r="AS230" s="16" t="s">
        <v>64</v>
      </c>
      <c r="AT230" s="17" t="s">
        <v>65</v>
      </c>
      <c r="AU230" s="18" t="s">
        <v>66</v>
      </c>
      <c r="AV230" s="18" t="s">
        <v>67</v>
      </c>
      <c r="AW230" s="19" t="s">
        <v>68</v>
      </c>
      <c r="AX230" s="7" t="s">
        <v>207</v>
      </c>
      <c r="AY230" s="7" t="s">
        <v>208</v>
      </c>
      <c r="AZ230" s="7" t="s">
        <v>209</v>
      </c>
    </row>
    <row r="231" spans="1:52" ht="14.5">
      <c r="A231" s="41" t="s">
        <v>18</v>
      </c>
      <c r="B231" s="41" t="s">
        <v>21</v>
      </c>
      <c r="C231" s="41" t="s">
        <v>48</v>
      </c>
      <c r="D231" s="41" t="s">
        <v>8</v>
      </c>
      <c r="E231" s="41" t="s">
        <v>49</v>
      </c>
      <c r="F231" s="41" t="s">
        <v>49</v>
      </c>
      <c r="G231" s="41"/>
      <c r="H231" s="41" t="s">
        <v>9</v>
      </c>
      <c r="I231" s="5" t="s">
        <v>50</v>
      </c>
      <c r="J231" s="41"/>
      <c r="K231" s="41" t="s">
        <v>51</v>
      </c>
      <c r="L231" s="5" t="s">
        <v>52</v>
      </c>
      <c r="M231" s="41" t="s">
        <v>52</v>
      </c>
      <c r="N231" s="41" t="s">
        <v>53</v>
      </c>
      <c r="O231" s="41" t="s">
        <v>54</v>
      </c>
      <c r="P231" s="41"/>
      <c r="Q231" s="41"/>
      <c r="R231" s="41"/>
      <c r="S231" s="24" t="s">
        <v>55</v>
      </c>
      <c r="T231" s="10" t="s">
        <v>55</v>
      </c>
      <c r="U231" s="41"/>
      <c r="V231" s="41"/>
      <c r="W231" s="41"/>
      <c r="X231" s="41"/>
      <c r="Y231" s="41"/>
      <c r="Z231" s="41"/>
      <c r="AA231" s="9" t="s">
        <v>118</v>
      </c>
      <c r="AB231" s="9" t="s">
        <v>118</v>
      </c>
      <c r="AC231" s="7" t="s">
        <v>119</v>
      </c>
      <c r="AD231" s="7" t="s">
        <v>119</v>
      </c>
      <c r="AE231" s="5" t="s">
        <v>20</v>
      </c>
      <c r="AF231" s="7" t="s">
        <v>118</v>
      </c>
      <c r="AG231" s="41"/>
      <c r="AH231" s="41"/>
      <c r="AI231" s="41" t="s">
        <v>56</v>
      </c>
      <c r="AJ231" s="41" t="s">
        <v>57</v>
      </c>
      <c r="AK231" s="11"/>
      <c r="AL231" s="5" t="s">
        <v>9</v>
      </c>
      <c r="AM231" s="5" t="s">
        <v>18</v>
      </c>
      <c r="AN231" s="41" t="s">
        <v>8</v>
      </c>
      <c r="AO231" s="41" t="s">
        <v>49</v>
      </c>
      <c r="AP231" s="53"/>
      <c r="AQ231" s="11"/>
      <c r="AR231" s="11"/>
      <c r="AS231" s="11"/>
      <c r="AT231" s="11"/>
      <c r="AU231" s="11"/>
      <c r="AV231" s="11"/>
      <c r="AW231" s="11"/>
      <c r="AX231" s="41"/>
      <c r="AY231" s="41"/>
      <c r="AZ231" s="41"/>
    </row>
    <row r="232" spans="1:52" ht="14.5">
      <c r="A232" s="41">
        <f ca="1">A227</f>
        <v>38.461604848632305</v>
      </c>
      <c r="B232" s="41">
        <f t="shared" ref="B232:C232" ca="1" si="434">(A232/60)</f>
        <v>0.64102674747720512</v>
      </c>
      <c r="C232" s="41">
        <f t="shared" ca="1" si="434"/>
        <v>1.0683779124620086E-2</v>
      </c>
      <c r="D232" s="41">
        <f t="shared" ref="D232:E232" ca="1" si="435">D217</f>
        <v>12684.665039236152</v>
      </c>
      <c r="E232" s="41">
        <f t="shared" ca="1" si="435"/>
        <v>0.64976839665451724</v>
      </c>
      <c r="F232" s="7">
        <v>0</v>
      </c>
      <c r="G232" s="41"/>
      <c r="H232" s="7">
        <f>H227</f>
        <v>3000</v>
      </c>
      <c r="I232" s="6">
        <v>15</v>
      </c>
      <c r="J232" s="41">
        <f t="shared" ref="J232:J252" si="436">SQRT((((((((L232^2)*(0.2))/(661.477)^2) + 1)^(3.5) - 1)*(1/AR232) + 1)^(1/3.5) - 1)*(5))</f>
        <v>0.2632532415619146</v>
      </c>
      <c r="K232" s="41">
        <f t="shared" ref="K232:K252" si="437">SQRT((1.4*2116.22*AR232*(J232)^2)/AV232)</f>
        <v>298.49194287410489</v>
      </c>
      <c r="L232" s="120">
        <v>165</v>
      </c>
      <c r="M232" s="41">
        <f t="shared" ref="M232:M252" si="438">K232*0.592484</f>
        <v>176.85170028182117</v>
      </c>
      <c r="N232" s="41">
        <f t="shared" ref="N232:N252" si="439">0.5*AV232*K232^2</f>
        <v>92.009140514372376</v>
      </c>
      <c r="O232" s="41">
        <f t="shared" ref="O232:O252" si="440">P232/$B$7</f>
        <v>1610560.9898818883</v>
      </c>
      <c r="P232" s="41">
        <f t="shared" ref="P232:P252" si="441">(AV232*K232*$B$7)/(AW232)</f>
        <v>10340933.270748764</v>
      </c>
      <c r="Q232" s="41">
        <f t="shared" ref="Q232:Q252" si="442">0.455/(LOG10(P232)^2.58 * (1+0.144*J232*J232)^0.65)</f>
        <v>2.9684322926589999E-3</v>
      </c>
      <c r="R232" s="41">
        <f t="shared" ref="R232:R252" si="443">(((Q232*$B$4)+$B$17)+(0.1*(Q232*$B$4)))</f>
        <v>2.3046986099112335E-2</v>
      </c>
      <c r="S232" s="24">
        <f ca="1">T232</f>
        <v>1.5405474170951061E-15</v>
      </c>
      <c r="T232" s="10">
        <f t="shared" ref="T232:T252" ca="1" si="444">DEGREES(ASIN(((AF232-X232)/(D232))))</f>
        <v>1.5405474170951061E-15</v>
      </c>
      <c r="U232" s="41">
        <f t="shared" ref="U232:U252" ca="1" si="445">(D232*COS(RADIANS(S232)))/(N232*$B$3)</f>
        <v>0.59940476841299739</v>
      </c>
      <c r="V232" s="41">
        <f t="shared" ref="V232:V252" ca="1" si="446">(X232)/(N232*$B$3)</f>
        <v>4.5738317465205111E-2</v>
      </c>
      <c r="W232" s="41">
        <f t="shared" ref="W232:W252" ca="1" si="447">U232/V232</f>
        <v>13.105090034608018</v>
      </c>
      <c r="X232" s="20">
        <f t="shared" ref="X232:X252" ca="1" si="448">(N232*$B$3*R232)+((N232*$B$3)*((U232^2)/(PI()*$B$6*$B$5)))</f>
        <v>967.91895406581671</v>
      </c>
      <c r="Y232" s="41">
        <f t="shared" ref="Y232:Y252" si="449">SQRT(PI()*$B$6*$B$5*R232)</f>
        <v>0.60408391864909072</v>
      </c>
      <c r="Z232" s="41">
        <f t="shared" ref="Z232:Z252" ca="1" si="450">SQRT((2*((U232*N232*$B$3)/(D232))*D232)/(AV232*$B$3*$B$18))</f>
        <v>149.17192313718229</v>
      </c>
      <c r="AA232" s="14">
        <f t="shared" ref="AA232:AA252" ca="1" si="451">D232/W232</f>
        <v>967.91895406581682</v>
      </c>
      <c r="AB232" s="14">
        <f>$B$15*AR232*0.93</f>
        <v>5234.4042087224379</v>
      </c>
      <c r="AC232" s="25">
        <f t="shared" ref="AC232:AC252" ca="1" si="452">AA232*K232</f>
        <v>288916.00914377713</v>
      </c>
      <c r="AD232" s="41">
        <f t="shared" ref="AD232:AD252" si="453">AB232*K232</f>
        <v>1562427.4820499523</v>
      </c>
      <c r="AE232" s="5">
        <f t="shared" ref="AE232:AE252" ca="1" si="454">(AA232/AB232)*100</f>
        <v>18.491482802434493</v>
      </c>
      <c r="AF232" s="7">
        <f t="shared" ref="AF232:AF252" ca="1" si="455">(AB232)*(AE232/100)</f>
        <v>967.91895406581705</v>
      </c>
      <c r="AG232" s="41"/>
      <c r="AH232" s="41"/>
      <c r="AI232" s="41">
        <f t="shared" ref="AI232:AI252" ca="1" si="456">(AP232*AF232)</f>
        <v>743.04652949352965</v>
      </c>
      <c r="AJ232" s="13">
        <f t="shared" ref="AJ232:AJ252" ca="1" si="457">K232*SIN(RADIANS(T232))</f>
        <v>8.0257393393767686E-15</v>
      </c>
      <c r="AK232" s="11"/>
      <c r="AL232" s="6">
        <v>0</v>
      </c>
      <c r="AM232" s="6">
        <v>135</v>
      </c>
      <c r="AN232" s="41">
        <f t="shared" ref="AN232:AN252" ca="1" si="458">AI232*(AM232/3600)</f>
        <v>27.86424485600736</v>
      </c>
      <c r="AO232" s="41">
        <f t="shared" ref="AO232:AO252" ca="1" si="459">M232*COS(RADIANS(T232))*(AM232/3600)</f>
        <v>6.6319387605682936</v>
      </c>
      <c r="AP232" s="67">
        <f>0.71 + 0.304*AZ232 + -0.0326*AZ232^2</f>
        <v>0.76767432476893471</v>
      </c>
      <c r="AQ232" s="11">
        <f t="shared" ref="AQ232:AQ252" si="460">IF(H232 &lt;= 36089, ((1 - 6.87535*10^(-6)*H232) + ((I232*1.8)/518.67)), 0.75187 + ((I232*1.8)/518.67))</f>
        <v>1.0314301707183759</v>
      </c>
      <c r="AR232" s="11">
        <f t="shared" ref="AR232:AR252" si="461">IF(H232 &lt;= 36089, (1 - 6.87535*10^(-6)*H232)^5.2561, 0.22336*EXP((36089 - H232)/(20806.7)))</f>
        <v>0.8962407041850623</v>
      </c>
      <c r="AS232" s="11">
        <f t="shared" ref="AS232:AS252" si="462">(AR232/AQ232)</f>
        <v>0.86893008332386068</v>
      </c>
      <c r="AT232" s="11">
        <f t="shared" ref="AT232:AT252" si="463">(518.67*AQ232)</f>
        <v>534.97188664650002</v>
      </c>
      <c r="AU232" s="11">
        <f t="shared" ref="AU232:AU252" si="464">2116.22*AR232</f>
        <v>1896.6425030105124</v>
      </c>
      <c r="AV232" s="11">
        <f t="shared" ref="AV232:AV252" si="465">(0.0023769*AS232)</f>
        <v>2.0653599150524844E-3</v>
      </c>
      <c r="AW232" s="11">
        <f t="shared" ref="AW232:AW252" si="466">((2.2697*10^-8)*(AT232^1.5))/(AT232+198.72)</f>
        <v>3.8278171249107636E-7</v>
      </c>
      <c r="AX232" s="41">
        <f t="shared" ref="AX232:AX252" ca="1" si="467">(1/U232)*(((1 + 0.2*(U232)^2)/1.2)^3)</f>
        <v>1.1889042393661677</v>
      </c>
      <c r="AY232" s="41">
        <f t="shared" ref="AY232:AY252" ca="1" si="468">($H$4/$H$3)*AX232</f>
        <v>1.6014776310402552</v>
      </c>
      <c r="AZ232" s="41">
        <f t="shared" ref="AZ232:AZ252" si="469">-6.6*10^(-3) + 0.825*J232 - 0.243*(J232^2)</f>
        <v>0.19374347287471558</v>
      </c>
    </row>
    <row r="233" spans="1:52" ht="14.5">
      <c r="A233" s="41">
        <f t="shared" ref="A233:A252" ca="1" si="470">A232+AM232</f>
        <v>173.46160484863231</v>
      </c>
      <c r="B233" s="41">
        <f t="shared" ref="B233:C248" ca="1" si="471">A233/60</f>
        <v>2.8910267474772051</v>
      </c>
      <c r="C233" s="41">
        <f t="shared" ca="1" si="471"/>
        <v>4.8183779124620088E-2</v>
      </c>
      <c r="D233" s="41">
        <f t="shared" ref="D233:D252" ca="1" si="472">D232-AN232</f>
        <v>12656.800794380144</v>
      </c>
      <c r="E233" s="41">
        <f t="shared" ref="E233:E252" ca="1" si="473">E232+AO232</f>
        <v>7.2817071572228107</v>
      </c>
      <c r="F233" s="41">
        <f t="shared" ref="F233:F252" ca="1" si="474">F232+AO232</f>
        <v>6.6319387605682936</v>
      </c>
      <c r="G233" s="41"/>
      <c r="H233" s="7">
        <f t="shared" ref="H233:H252" si="475">H232+AL232</f>
        <v>3000</v>
      </c>
      <c r="I233" s="6">
        <v>15</v>
      </c>
      <c r="J233" s="41">
        <f t="shared" si="436"/>
        <v>0.2632532415619146</v>
      </c>
      <c r="K233" s="41">
        <f t="shared" si="437"/>
        <v>298.49194287410489</v>
      </c>
      <c r="L233" s="6">
        <f t="shared" ref="L233:L252" si="476">L232</f>
        <v>165</v>
      </c>
      <c r="M233" s="41">
        <f t="shared" si="438"/>
        <v>176.85170028182117</v>
      </c>
      <c r="N233" s="41">
        <f t="shared" si="439"/>
        <v>92.009140514372376</v>
      </c>
      <c r="O233" s="41">
        <f t="shared" si="440"/>
        <v>1610560.9898818883</v>
      </c>
      <c r="P233" s="41">
        <f t="shared" si="441"/>
        <v>10340933.270748764</v>
      </c>
      <c r="Q233" s="41">
        <f t="shared" si="442"/>
        <v>2.9684322926589999E-3</v>
      </c>
      <c r="R233" s="41">
        <f t="shared" si="443"/>
        <v>2.3046986099112335E-2</v>
      </c>
      <c r="S233" s="24">
        <f t="shared" ref="S233:S252" ca="1" si="477">T233</f>
        <v>-5.1464632283139994E-16</v>
      </c>
      <c r="T233" s="10">
        <f t="shared" ca="1" si="444"/>
        <v>-5.1464632283139994E-16</v>
      </c>
      <c r="U233" s="41">
        <f t="shared" ca="1" si="445"/>
        <v>0.5980880634638911</v>
      </c>
      <c r="V233" s="41">
        <f t="shared" ca="1" si="446"/>
        <v>4.5638735433821423E-2</v>
      </c>
      <c r="W233" s="41">
        <f t="shared" ca="1" si="447"/>
        <v>13.104834254909415</v>
      </c>
      <c r="X233" s="20">
        <f t="shared" ca="1" si="448"/>
        <v>965.81158892861038</v>
      </c>
      <c r="Y233" s="41">
        <f t="shared" si="449"/>
        <v>0.60408391864909072</v>
      </c>
      <c r="Z233" s="41">
        <f t="shared" ca="1" si="450"/>
        <v>149.00799101295428</v>
      </c>
      <c r="AA233" s="14">
        <f t="shared" ca="1" si="451"/>
        <v>965.81158892861038</v>
      </c>
      <c r="AB233" s="14">
        <f t="shared" ref="AB233:AB252" si="478">$B$15*AR233*0.93</f>
        <v>5234.4042087224379</v>
      </c>
      <c r="AC233" s="25">
        <f t="shared" ca="1" si="452"/>
        <v>288286.97762962722</v>
      </c>
      <c r="AD233" s="41">
        <f t="shared" si="453"/>
        <v>1562427.4820499523</v>
      </c>
      <c r="AE233" s="5">
        <f t="shared" ca="1" si="454"/>
        <v>18.451222917007705</v>
      </c>
      <c r="AF233" s="7">
        <f t="shared" ca="1" si="455"/>
        <v>965.81158892861026</v>
      </c>
      <c r="AG233" s="41"/>
      <c r="AH233" s="41"/>
      <c r="AI233" s="41">
        <f t="shared" ca="1" si="456"/>
        <v>741.42875938478278</v>
      </c>
      <c r="AJ233" s="13">
        <f t="shared" ca="1" si="457"/>
        <v>-2.6811360644789356E-15</v>
      </c>
      <c r="AK233" s="11"/>
      <c r="AL233" s="6">
        <v>0</v>
      </c>
      <c r="AM233" s="6">
        <v>135</v>
      </c>
      <c r="AN233" s="41">
        <f t="shared" ca="1" si="458"/>
        <v>27.803578476929353</v>
      </c>
      <c r="AO233" s="41">
        <f t="shared" ca="1" si="459"/>
        <v>6.6319387605682936</v>
      </c>
      <c r="AP233" s="67">
        <f t="shared" ref="AP233:AP252" si="479">0.71 + 0.304*AZ233 + -0.0326*AZ233^2</f>
        <v>0.76767432476893471</v>
      </c>
      <c r="AQ233" s="11">
        <f t="shared" si="460"/>
        <v>1.0314301707183759</v>
      </c>
      <c r="AR233" s="11">
        <f t="shared" si="461"/>
        <v>0.8962407041850623</v>
      </c>
      <c r="AS233" s="11">
        <f t="shared" si="462"/>
        <v>0.86893008332386068</v>
      </c>
      <c r="AT233" s="11">
        <f t="shared" si="463"/>
        <v>534.97188664650002</v>
      </c>
      <c r="AU233" s="11">
        <f t="shared" si="464"/>
        <v>1896.6425030105124</v>
      </c>
      <c r="AV233" s="11">
        <f t="shared" si="465"/>
        <v>2.0653599150524844E-3</v>
      </c>
      <c r="AW233" s="11">
        <f t="shared" si="466"/>
        <v>3.8278171249107636E-7</v>
      </c>
      <c r="AX233" s="41">
        <f t="shared" ca="1" si="467"/>
        <v>1.1904702838812962</v>
      </c>
      <c r="AY233" s="41">
        <f t="shared" ca="1" si="468"/>
        <v>1.6035871241156003</v>
      </c>
      <c r="AZ233" s="41">
        <f t="shared" si="469"/>
        <v>0.19374347287471558</v>
      </c>
    </row>
    <row r="234" spans="1:52" ht="14.5">
      <c r="A234" s="41">
        <f t="shared" ca="1" si="470"/>
        <v>308.46160484863231</v>
      </c>
      <c r="B234" s="41">
        <f t="shared" ca="1" si="471"/>
        <v>5.1410267474772047</v>
      </c>
      <c r="C234" s="41">
        <f t="shared" ca="1" si="471"/>
        <v>8.568377912462008E-2</v>
      </c>
      <c r="D234" s="41">
        <f t="shared" ca="1" si="472"/>
        <v>12628.997215903215</v>
      </c>
      <c r="E234" s="41">
        <f t="shared" ca="1" si="473"/>
        <v>13.913645917791104</v>
      </c>
      <c r="F234" s="41">
        <f t="shared" ca="1" si="474"/>
        <v>13.263877521136587</v>
      </c>
      <c r="G234" s="41"/>
      <c r="H234" s="7">
        <f t="shared" si="475"/>
        <v>3000</v>
      </c>
      <c r="I234" s="6">
        <v>15</v>
      </c>
      <c r="J234" s="41">
        <f t="shared" si="436"/>
        <v>0.2632532415619146</v>
      </c>
      <c r="K234" s="41">
        <f t="shared" si="437"/>
        <v>298.49194287410489</v>
      </c>
      <c r="L234" s="6">
        <f t="shared" si="476"/>
        <v>165</v>
      </c>
      <c r="M234" s="41">
        <f t="shared" si="438"/>
        <v>176.85170028182117</v>
      </c>
      <c r="N234" s="41">
        <f t="shared" si="439"/>
        <v>92.009140514372376</v>
      </c>
      <c r="O234" s="41">
        <f t="shared" si="440"/>
        <v>1610560.9898818883</v>
      </c>
      <c r="P234" s="41">
        <f t="shared" si="441"/>
        <v>10340933.270748764</v>
      </c>
      <c r="Q234" s="41">
        <f t="shared" si="442"/>
        <v>2.9684322926589999E-3</v>
      </c>
      <c r="R234" s="41">
        <f t="shared" si="443"/>
        <v>2.3046986099112335E-2</v>
      </c>
      <c r="S234" s="24">
        <f t="shared" ca="1" si="477"/>
        <v>-5.1577935098716564E-16</v>
      </c>
      <c r="T234" s="10">
        <f t="shared" ca="1" si="444"/>
        <v>-5.1577935098716564E-16</v>
      </c>
      <c r="U234" s="41">
        <f t="shared" ca="1" si="445"/>
        <v>0.59677422526111112</v>
      </c>
      <c r="V234" s="41">
        <f t="shared" ca="1" si="446"/>
        <v>4.5539588490132732E-2</v>
      </c>
      <c r="W234" s="41">
        <f t="shared" ca="1" si="447"/>
        <v>13.104515105366332</v>
      </c>
      <c r="X234" s="20">
        <f t="shared" ca="1" si="448"/>
        <v>963.71343116172307</v>
      </c>
      <c r="Y234" s="41">
        <f t="shared" si="449"/>
        <v>0.60408391864909072</v>
      </c>
      <c r="Z234" s="41">
        <f t="shared" ca="1" si="450"/>
        <v>148.8442358436744</v>
      </c>
      <c r="AA234" s="14">
        <f t="shared" ca="1" si="451"/>
        <v>963.71343116172295</v>
      </c>
      <c r="AB234" s="14">
        <f t="shared" si="478"/>
        <v>5234.4042087224379</v>
      </c>
      <c r="AC234" s="25">
        <f t="shared" ca="1" si="452"/>
        <v>287660.6944413326</v>
      </c>
      <c r="AD234" s="41">
        <f t="shared" si="453"/>
        <v>1562427.4820499523</v>
      </c>
      <c r="AE234" s="5">
        <f t="shared" ca="1" si="454"/>
        <v>18.411138932599489</v>
      </c>
      <c r="AF234" s="7">
        <f t="shared" ca="1" si="455"/>
        <v>963.71343116172295</v>
      </c>
      <c r="AG234" s="41"/>
      <c r="AH234" s="41"/>
      <c r="AI234" s="41">
        <f t="shared" ca="1" si="456"/>
        <v>739.81805753782896</v>
      </c>
      <c r="AJ234" s="13">
        <f t="shared" ca="1" si="457"/>
        <v>-2.6870387640917121E-15</v>
      </c>
      <c r="AK234" s="11"/>
      <c r="AL234" s="6">
        <v>0</v>
      </c>
      <c r="AM234" s="6">
        <v>135</v>
      </c>
      <c r="AN234" s="41">
        <f t="shared" ca="1" si="458"/>
        <v>27.743177157668587</v>
      </c>
      <c r="AO234" s="41">
        <f t="shared" ca="1" si="459"/>
        <v>6.6319387605682936</v>
      </c>
      <c r="AP234" s="67">
        <f t="shared" si="479"/>
        <v>0.76767432476893471</v>
      </c>
      <c r="AQ234" s="11">
        <f t="shared" si="460"/>
        <v>1.0314301707183759</v>
      </c>
      <c r="AR234" s="11">
        <f t="shared" si="461"/>
        <v>0.8962407041850623</v>
      </c>
      <c r="AS234" s="11">
        <f t="shared" si="462"/>
        <v>0.86893008332386068</v>
      </c>
      <c r="AT234" s="11">
        <f t="shared" si="463"/>
        <v>534.97188664650002</v>
      </c>
      <c r="AU234" s="11">
        <f t="shared" si="464"/>
        <v>1896.6425030105124</v>
      </c>
      <c r="AV234" s="11">
        <f t="shared" si="465"/>
        <v>2.0653599150524844E-3</v>
      </c>
      <c r="AW234" s="11">
        <f t="shared" si="466"/>
        <v>3.8278171249107636E-7</v>
      </c>
      <c r="AX234" s="41">
        <f t="shared" ca="1" si="467"/>
        <v>1.1920427322891984</v>
      </c>
      <c r="AY234" s="41">
        <f t="shared" ca="1" si="468"/>
        <v>1.6057052433617416</v>
      </c>
      <c r="AZ234" s="41">
        <f t="shared" si="469"/>
        <v>0.19374347287471558</v>
      </c>
    </row>
    <row r="235" spans="1:52" ht="14.5">
      <c r="A235" s="41">
        <f t="shared" ca="1" si="470"/>
        <v>443.46160484863231</v>
      </c>
      <c r="B235" s="41">
        <f t="shared" ca="1" si="471"/>
        <v>7.3910267474772047</v>
      </c>
      <c r="C235" s="41">
        <f t="shared" ca="1" si="471"/>
        <v>0.12318377912462007</v>
      </c>
      <c r="D235" s="41">
        <f t="shared" ca="1" si="472"/>
        <v>12601.254038745546</v>
      </c>
      <c r="E235" s="41">
        <f t="shared" ca="1" si="473"/>
        <v>20.545584678359397</v>
      </c>
      <c r="F235" s="41">
        <f t="shared" ca="1" si="474"/>
        <v>19.895816281704882</v>
      </c>
      <c r="G235" s="41"/>
      <c r="H235" s="7">
        <f t="shared" si="475"/>
        <v>3000</v>
      </c>
      <c r="I235" s="6">
        <v>15</v>
      </c>
      <c r="J235" s="41">
        <f t="shared" si="436"/>
        <v>0.2632532415619146</v>
      </c>
      <c r="K235" s="41">
        <f t="shared" si="437"/>
        <v>298.49194287410489</v>
      </c>
      <c r="L235" s="6">
        <f t="shared" si="476"/>
        <v>165</v>
      </c>
      <c r="M235" s="41">
        <f t="shared" si="438"/>
        <v>176.85170028182117</v>
      </c>
      <c r="N235" s="41">
        <f t="shared" si="439"/>
        <v>92.009140514372376</v>
      </c>
      <c r="O235" s="41">
        <f t="shared" si="440"/>
        <v>1610560.9898818883</v>
      </c>
      <c r="P235" s="41">
        <f t="shared" si="441"/>
        <v>10340933.270748764</v>
      </c>
      <c r="Q235" s="41">
        <f t="shared" si="442"/>
        <v>2.9684322926589999E-3</v>
      </c>
      <c r="R235" s="41">
        <f t="shared" si="443"/>
        <v>2.3046986099112335E-2</v>
      </c>
      <c r="S235" s="24">
        <f t="shared" ca="1" si="477"/>
        <v>0</v>
      </c>
      <c r="T235" s="10">
        <f t="shared" ca="1" si="444"/>
        <v>0</v>
      </c>
      <c r="U235" s="41">
        <f t="shared" ca="1" si="445"/>
        <v>0.59546324127944539</v>
      </c>
      <c r="V235" s="41">
        <f t="shared" ca="1" si="446"/>
        <v>4.5440874264798654E-2</v>
      </c>
      <c r="W235" s="41">
        <f t="shared" ca="1" si="447"/>
        <v>13.104132587975503</v>
      </c>
      <c r="X235" s="20">
        <f t="shared" ca="1" si="448"/>
        <v>961.62443062493094</v>
      </c>
      <c r="Y235" s="41">
        <f t="shared" si="449"/>
        <v>0.60408391864909072</v>
      </c>
      <c r="Z235" s="41">
        <f t="shared" ca="1" si="450"/>
        <v>148.6806566503268</v>
      </c>
      <c r="AA235" s="14">
        <f t="shared" ca="1" si="451"/>
        <v>961.62443062493105</v>
      </c>
      <c r="AB235" s="14">
        <f t="shared" si="478"/>
        <v>5234.4042087224379</v>
      </c>
      <c r="AC235" s="25">
        <f t="shared" ca="1" si="452"/>
        <v>287037.14461244055</v>
      </c>
      <c r="AD235" s="41">
        <f t="shared" si="453"/>
        <v>1562427.4820499523</v>
      </c>
      <c r="AE235" s="5">
        <f t="shared" ca="1" si="454"/>
        <v>18.371229891312403</v>
      </c>
      <c r="AF235" s="7">
        <f t="shared" ca="1" si="455"/>
        <v>961.62443062493094</v>
      </c>
      <c r="AG235" s="41"/>
      <c r="AH235" s="41"/>
      <c r="AI235" s="41">
        <f t="shared" ca="1" si="456"/>
        <v>738.21438546130514</v>
      </c>
      <c r="AJ235" s="13">
        <f t="shared" ca="1" si="457"/>
        <v>0</v>
      </c>
      <c r="AK235" s="11"/>
      <c r="AL235" s="6">
        <v>0</v>
      </c>
      <c r="AM235" s="6">
        <v>135</v>
      </c>
      <c r="AN235" s="41">
        <f t="shared" ca="1" si="458"/>
        <v>27.683039454798941</v>
      </c>
      <c r="AO235" s="41">
        <f t="shared" ca="1" si="459"/>
        <v>6.6319387605682936</v>
      </c>
      <c r="AP235" s="67">
        <f t="shared" si="479"/>
        <v>0.76767432476893471</v>
      </c>
      <c r="AQ235" s="11">
        <f t="shared" si="460"/>
        <v>1.0314301707183759</v>
      </c>
      <c r="AR235" s="11">
        <f t="shared" si="461"/>
        <v>0.8962407041850623</v>
      </c>
      <c r="AS235" s="11">
        <f t="shared" si="462"/>
        <v>0.86893008332386068</v>
      </c>
      <c r="AT235" s="11">
        <f t="shared" si="463"/>
        <v>534.97188664650002</v>
      </c>
      <c r="AU235" s="11">
        <f t="shared" si="464"/>
        <v>1896.6425030105124</v>
      </c>
      <c r="AV235" s="11">
        <f t="shared" si="465"/>
        <v>2.0653599150524844E-3</v>
      </c>
      <c r="AW235" s="11">
        <f t="shared" si="466"/>
        <v>3.8278171249107636E-7</v>
      </c>
      <c r="AX235" s="41">
        <f t="shared" ca="1" si="467"/>
        <v>1.1936215959986971</v>
      </c>
      <c r="AY235" s="41">
        <f t="shared" ca="1" si="468"/>
        <v>1.6078320041465894</v>
      </c>
      <c r="AZ235" s="41">
        <f t="shared" si="469"/>
        <v>0.19374347287471558</v>
      </c>
    </row>
    <row r="236" spans="1:52" ht="14.5">
      <c r="A236" s="41">
        <f t="shared" ca="1" si="470"/>
        <v>578.46160484863231</v>
      </c>
      <c r="B236" s="41">
        <f t="shared" ca="1" si="471"/>
        <v>9.6410267474772056</v>
      </c>
      <c r="C236" s="41">
        <f t="shared" ca="1" si="471"/>
        <v>0.16068377912462009</v>
      </c>
      <c r="D236" s="41">
        <f t="shared" ca="1" si="472"/>
        <v>12573.570999290747</v>
      </c>
      <c r="E236" s="41">
        <f t="shared" ca="1" si="473"/>
        <v>27.17752343892769</v>
      </c>
      <c r="F236" s="41">
        <f t="shared" ca="1" si="474"/>
        <v>26.527755042273174</v>
      </c>
      <c r="G236" s="41"/>
      <c r="H236" s="7">
        <f t="shared" si="475"/>
        <v>3000</v>
      </c>
      <c r="I236" s="6">
        <v>15</v>
      </c>
      <c r="J236" s="41">
        <f t="shared" si="436"/>
        <v>0.2632532415619146</v>
      </c>
      <c r="K236" s="41">
        <f t="shared" si="437"/>
        <v>298.49194287410489</v>
      </c>
      <c r="L236" s="6">
        <f t="shared" si="476"/>
        <v>165</v>
      </c>
      <c r="M236" s="41">
        <f t="shared" si="438"/>
        <v>176.85170028182117</v>
      </c>
      <c r="N236" s="41">
        <f t="shared" si="439"/>
        <v>92.009140514372376</v>
      </c>
      <c r="O236" s="41">
        <f t="shared" si="440"/>
        <v>1610560.9898818883</v>
      </c>
      <c r="P236" s="41">
        <f t="shared" si="441"/>
        <v>10340933.270748764</v>
      </c>
      <c r="Q236" s="41">
        <f t="shared" si="442"/>
        <v>2.9684322926589999E-3</v>
      </c>
      <c r="R236" s="41">
        <f t="shared" si="443"/>
        <v>2.3046986099112335E-2</v>
      </c>
      <c r="S236" s="24">
        <f t="shared" ca="1" si="477"/>
        <v>1.0361059698958575E-15</v>
      </c>
      <c r="T236" s="10">
        <f t="shared" ca="1" si="444"/>
        <v>1.0361059698958575E-15</v>
      </c>
      <c r="U236" s="41">
        <f t="shared" ca="1" si="445"/>
        <v>0.59415509906189012</v>
      </c>
      <c r="V236" s="41">
        <f t="shared" ca="1" si="446"/>
        <v>4.5342590404990363E-2</v>
      </c>
      <c r="W236" s="41">
        <f t="shared" ca="1" si="447"/>
        <v>13.103686705038758</v>
      </c>
      <c r="X236" s="20">
        <f t="shared" ca="1" si="448"/>
        <v>959.54453752742984</v>
      </c>
      <c r="Y236" s="41">
        <f t="shared" si="449"/>
        <v>0.60408391864909072</v>
      </c>
      <c r="Z236" s="41">
        <f t="shared" ca="1" si="450"/>
        <v>148.51725245747954</v>
      </c>
      <c r="AA236" s="14">
        <f t="shared" ca="1" si="451"/>
        <v>959.54453752742995</v>
      </c>
      <c r="AB236" s="14">
        <f t="shared" si="478"/>
        <v>5234.4042087224379</v>
      </c>
      <c r="AC236" s="25">
        <f t="shared" ca="1" si="452"/>
        <v>286416.31328079704</v>
      </c>
      <c r="AD236" s="41">
        <f t="shared" si="453"/>
        <v>1562427.4820499523</v>
      </c>
      <c r="AE236" s="5">
        <f t="shared" ca="1" si="454"/>
        <v>18.331494841924449</v>
      </c>
      <c r="AF236" s="7">
        <f t="shared" ca="1" si="455"/>
        <v>959.54453752743007</v>
      </c>
      <c r="AG236" s="41"/>
      <c r="AH236" s="41"/>
      <c r="AI236" s="41">
        <f t="shared" ca="1" si="456"/>
        <v>736.61770493208962</v>
      </c>
      <c r="AJ236" s="13">
        <f t="shared" ca="1" si="457"/>
        <v>5.3977672806957452E-15</v>
      </c>
      <c r="AK236" s="11"/>
      <c r="AL236" s="6">
        <v>0</v>
      </c>
      <c r="AM236" s="6">
        <v>135</v>
      </c>
      <c r="AN236" s="41">
        <f t="shared" ca="1" si="458"/>
        <v>27.623163934953361</v>
      </c>
      <c r="AO236" s="41">
        <f t="shared" ca="1" si="459"/>
        <v>6.6319387605682936</v>
      </c>
      <c r="AP236" s="67">
        <f t="shared" si="479"/>
        <v>0.76767432476893471</v>
      </c>
      <c r="AQ236" s="11">
        <f t="shared" si="460"/>
        <v>1.0314301707183759</v>
      </c>
      <c r="AR236" s="11">
        <f t="shared" si="461"/>
        <v>0.8962407041850623</v>
      </c>
      <c r="AS236" s="11">
        <f t="shared" si="462"/>
        <v>0.86893008332386068</v>
      </c>
      <c r="AT236" s="11">
        <f t="shared" si="463"/>
        <v>534.97188664650002</v>
      </c>
      <c r="AU236" s="11">
        <f t="shared" si="464"/>
        <v>1896.6425030105124</v>
      </c>
      <c r="AV236" s="11">
        <f t="shared" si="465"/>
        <v>2.0653599150524844E-3</v>
      </c>
      <c r="AW236" s="11">
        <f t="shared" si="466"/>
        <v>3.8278171249107636E-7</v>
      </c>
      <c r="AX236" s="41">
        <f t="shared" ca="1" si="467"/>
        <v>1.1952068866041281</v>
      </c>
      <c r="AY236" s="41">
        <f t="shared" ca="1" si="468"/>
        <v>1.6099674220879447</v>
      </c>
      <c r="AZ236" s="41">
        <f t="shared" si="469"/>
        <v>0.19374347287471558</v>
      </c>
    </row>
    <row r="237" spans="1:52" ht="14.5">
      <c r="A237" s="41">
        <f t="shared" ca="1" si="470"/>
        <v>713.46160484863231</v>
      </c>
      <c r="B237" s="41">
        <f t="shared" ca="1" si="471"/>
        <v>11.891026747477206</v>
      </c>
      <c r="C237" s="41">
        <f t="shared" ca="1" si="471"/>
        <v>0.1981837791246201</v>
      </c>
      <c r="D237" s="41">
        <f t="shared" ca="1" si="472"/>
        <v>12545.947835355793</v>
      </c>
      <c r="E237" s="41">
        <f t="shared" ca="1" si="473"/>
        <v>33.809462199495982</v>
      </c>
      <c r="F237" s="41">
        <f t="shared" ca="1" si="474"/>
        <v>33.159693802841467</v>
      </c>
      <c r="G237" s="41"/>
      <c r="H237" s="7">
        <f t="shared" si="475"/>
        <v>3000</v>
      </c>
      <c r="I237" s="6">
        <v>15</v>
      </c>
      <c r="J237" s="41">
        <f t="shared" si="436"/>
        <v>0.2632532415619146</v>
      </c>
      <c r="K237" s="41">
        <f t="shared" si="437"/>
        <v>298.49194287410489</v>
      </c>
      <c r="L237" s="6">
        <f t="shared" si="476"/>
        <v>165</v>
      </c>
      <c r="M237" s="41">
        <f t="shared" si="438"/>
        <v>176.85170028182117</v>
      </c>
      <c r="N237" s="41">
        <f t="shared" si="439"/>
        <v>92.009140514372376</v>
      </c>
      <c r="O237" s="41">
        <f t="shared" si="440"/>
        <v>1610560.9898818883</v>
      </c>
      <c r="P237" s="41">
        <f t="shared" si="441"/>
        <v>10340933.270748764</v>
      </c>
      <c r="Q237" s="41">
        <f t="shared" si="442"/>
        <v>2.9684322926589999E-3</v>
      </c>
      <c r="R237" s="41">
        <f t="shared" si="443"/>
        <v>2.3046986099112335E-2</v>
      </c>
      <c r="S237" s="24">
        <f t="shared" ca="1" si="477"/>
        <v>0</v>
      </c>
      <c r="T237" s="10">
        <f t="shared" ca="1" si="444"/>
        <v>0</v>
      </c>
      <c r="U237" s="41">
        <f t="shared" ca="1" si="445"/>
        <v>0.59284978621917417</v>
      </c>
      <c r="V237" s="41">
        <f t="shared" ca="1" si="446"/>
        <v>4.5244734574253716E-2</v>
      </c>
      <c r="W237" s="41">
        <f t="shared" ca="1" si="447"/>
        <v>13.103177459163001</v>
      </c>
      <c r="X237" s="20">
        <f t="shared" ca="1" si="448"/>
        <v>957.47370242493821</v>
      </c>
      <c r="Y237" s="41">
        <f t="shared" si="449"/>
        <v>0.60408391864909072</v>
      </c>
      <c r="Z237" s="41">
        <f t="shared" ca="1" si="450"/>
        <v>148.35402229325609</v>
      </c>
      <c r="AA237" s="14">
        <f t="shared" ca="1" si="451"/>
        <v>957.47370242493821</v>
      </c>
      <c r="AB237" s="14">
        <f t="shared" si="478"/>
        <v>5234.4042087224379</v>
      </c>
      <c r="AC237" s="25">
        <f t="shared" ca="1" si="452"/>
        <v>285798.18568768236</v>
      </c>
      <c r="AD237" s="41">
        <f t="shared" si="453"/>
        <v>1562427.4820499523</v>
      </c>
      <c r="AE237" s="5">
        <f t="shared" ca="1" si="454"/>
        <v>18.291932839833724</v>
      </c>
      <c r="AF237" s="7">
        <f t="shared" ca="1" si="455"/>
        <v>957.47370242493821</v>
      </c>
      <c r="AG237" s="41"/>
      <c r="AH237" s="41"/>
      <c r="AI237" s="41">
        <f t="shared" ca="1" si="456"/>
        <v>735.02797799307632</v>
      </c>
      <c r="AJ237" s="13">
        <f t="shared" ca="1" si="457"/>
        <v>0</v>
      </c>
      <c r="AK237" s="11"/>
      <c r="AL237" s="6">
        <v>0</v>
      </c>
      <c r="AM237" s="6">
        <v>135</v>
      </c>
      <c r="AN237" s="41">
        <f t="shared" ca="1" si="458"/>
        <v>27.563549174740363</v>
      </c>
      <c r="AO237" s="41">
        <f t="shared" ca="1" si="459"/>
        <v>6.6319387605682936</v>
      </c>
      <c r="AP237" s="67">
        <f t="shared" si="479"/>
        <v>0.76767432476893471</v>
      </c>
      <c r="AQ237" s="11">
        <f t="shared" si="460"/>
        <v>1.0314301707183759</v>
      </c>
      <c r="AR237" s="11">
        <f t="shared" si="461"/>
        <v>0.8962407041850623</v>
      </c>
      <c r="AS237" s="11">
        <f t="shared" si="462"/>
        <v>0.86893008332386068</v>
      </c>
      <c r="AT237" s="11">
        <f t="shared" si="463"/>
        <v>534.97188664650002</v>
      </c>
      <c r="AU237" s="11">
        <f t="shared" si="464"/>
        <v>1896.6425030105124</v>
      </c>
      <c r="AV237" s="11">
        <f t="shared" si="465"/>
        <v>2.0653599150524844E-3</v>
      </c>
      <c r="AW237" s="11">
        <f t="shared" si="466"/>
        <v>3.8278171249107636E-7</v>
      </c>
      <c r="AX237" s="41">
        <f t="shared" ca="1" si="467"/>
        <v>1.1967986158855359</v>
      </c>
      <c r="AY237" s="41">
        <f t="shared" ca="1" si="468"/>
        <v>1.6121115130537618</v>
      </c>
      <c r="AZ237" s="41">
        <f t="shared" si="469"/>
        <v>0.19374347287471558</v>
      </c>
    </row>
    <row r="238" spans="1:52" ht="14.5">
      <c r="A238" s="41">
        <f t="shared" ca="1" si="470"/>
        <v>848.46160484863231</v>
      </c>
      <c r="B238" s="41">
        <f t="shared" ca="1" si="471"/>
        <v>14.141026747477206</v>
      </c>
      <c r="C238" s="41">
        <f t="shared" ca="1" si="471"/>
        <v>0.2356837791246201</v>
      </c>
      <c r="D238" s="41">
        <f t="shared" ca="1" si="472"/>
        <v>12518.384286181054</v>
      </c>
      <c r="E238" s="41">
        <f t="shared" ca="1" si="473"/>
        <v>40.441400960064279</v>
      </c>
      <c r="F238" s="41">
        <f t="shared" ca="1" si="474"/>
        <v>39.791632563409763</v>
      </c>
      <c r="G238" s="41"/>
      <c r="H238" s="7">
        <f t="shared" si="475"/>
        <v>3000</v>
      </c>
      <c r="I238" s="6">
        <v>15</v>
      </c>
      <c r="J238" s="41">
        <f t="shared" si="436"/>
        <v>0.2632532415619146</v>
      </c>
      <c r="K238" s="41">
        <f t="shared" si="437"/>
        <v>298.49194287410489</v>
      </c>
      <c r="L238" s="6">
        <f t="shared" si="476"/>
        <v>165</v>
      </c>
      <c r="M238" s="41">
        <f t="shared" si="438"/>
        <v>176.85170028182117</v>
      </c>
      <c r="N238" s="41">
        <f t="shared" si="439"/>
        <v>92.009140514372376</v>
      </c>
      <c r="O238" s="41">
        <f t="shared" si="440"/>
        <v>1610560.9898818883</v>
      </c>
      <c r="P238" s="41">
        <f t="shared" si="441"/>
        <v>10340933.270748764</v>
      </c>
      <c r="Q238" s="41">
        <f t="shared" si="442"/>
        <v>2.9684322926589999E-3</v>
      </c>
      <c r="R238" s="41">
        <f t="shared" si="443"/>
        <v>2.3046986099112335E-2</v>
      </c>
      <c r="S238" s="24">
        <f t="shared" ca="1" si="477"/>
        <v>5.2033679736352152E-16</v>
      </c>
      <c r="T238" s="10">
        <f t="shared" ca="1" si="444"/>
        <v>5.2033679736352152E-16</v>
      </c>
      <c r="U238" s="41">
        <f t="shared" ca="1" si="445"/>
        <v>0.59154729042928778</v>
      </c>
      <c r="V238" s="41">
        <f t="shared" ca="1" si="446"/>
        <v>4.5147304452373721E-2</v>
      </c>
      <c r="W238" s="41">
        <f t="shared" ca="1" si="447"/>
        <v>13.1026048532602</v>
      </c>
      <c r="X238" s="20">
        <f t="shared" ca="1" si="448"/>
        <v>955.41187621682866</v>
      </c>
      <c r="Y238" s="41">
        <f t="shared" si="449"/>
        <v>0.60408391864909072</v>
      </c>
      <c r="Z238" s="41">
        <f t="shared" ca="1" si="450"/>
        <v>148.19096518930746</v>
      </c>
      <c r="AA238" s="14">
        <f t="shared" ca="1" si="451"/>
        <v>955.41187621682877</v>
      </c>
      <c r="AB238" s="14">
        <f t="shared" si="478"/>
        <v>5234.4042087224379</v>
      </c>
      <c r="AC238" s="25">
        <f t="shared" ca="1" si="452"/>
        <v>285182.74717695505</v>
      </c>
      <c r="AD238" s="41">
        <f t="shared" si="453"/>
        <v>1562427.4820499523</v>
      </c>
      <c r="AE238" s="5">
        <f t="shared" ca="1" si="454"/>
        <v>18.252542947003636</v>
      </c>
      <c r="AF238" s="7">
        <f t="shared" ca="1" si="455"/>
        <v>955.41187621682877</v>
      </c>
      <c r="AG238" s="41"/>
      <c r="AH238" s="41"/>
      <c r="AI238" s="41">
        <f t="shared" ca="1" si="456"/>
        <v>733.44516695097502</v>
      </c>
      <c r="AJ238" s="13">
        <f t="shared" ca="1" si="457"/>
        <v>2.7107815429662428E-15</v>
      </c>
      <c r="AK238" s="11"/>
      <c r="AL238" s="6">
        <v>0</v>
      </c>
      <c r="AM238" s="6">
        <v>135</v>
      </c>
      <c r="AN238" s="41">
        <f t="shared" ca="1" si="458"/>
        <v>27.504193760661561</v>
      </c>
      <c r="AO238" s="41">
        <f t="shared" ca="1" si="459"/>
        <v>6.6319387605682936</v>
      </c>
      <c r="AP238" s="67">
        <f t="shared" si="479"/>
        <v>0.76767432476893471</v>
      </c>
      <c r="AQ238" s="11">
        <f t="shared" si="460"/>
        <v>1.0314301707183759</v>
      </c>
      <c r="AR238" s="11">
        <f t="shared" si="461"/>
        <v>0.8962407041850623</v>
      </c>
      <c r="AS238" s="11">
        <f t="shared" si="462"/>
        <v>0.86893008332386068</v>
      </c>
      <c r="AT238" s="11">
        <f t="shared" si="463"/>
        <v>534.97188664650002</v>
      </c>
      <c r="AU238" s="11">
        <f t="shared" si="464"/>
        <v>1896.6425030105124</v>
      </c>
      <c r="AV238" s="11">
        <f t="shared" si="465"/>
        <v>2.0653599150524844E-3</v>
      </c>
      <c r="AW238" s="11">
        <f t="shared" si="466"/>
        <v>3.8278171249107636E-7</v>
      </c>
      <c r="AX238" s="41">
        <f t="shared" ca="1" si="467"/>
        <v>1.1983967958088788</v>
      </c>
      <c r="AY238" s="41">
        <f t="shared" ca="1" si="468"/>
        <v>1.6142642931624236</v>
      </c>
      <c r="AZ238" s="41">
        <f t="shared" si="469"/>
        <v>0.19374347287471558</v>
      </c>
    </row>
    <row r="239" spans="1:52" ht="14.5">
      <c r="A239" s="41">
        <f t="shared" ca="1" si="470"/>
        <v>983.46160484863231</v>
      </c>
      <c r="B239" s="41">
        <f t="shared" ca="1" si="471"/>
        <v>16.391026747477206</v>
      </c>
      <c r="C239" s="41">
        <f t="shared" ca="1" si="471"/>
        <v>0.27318377912462011</v>
      </c>
      <c r="D239" s="41">
        <f t="shared" ca="1" si="472"/>
        <v>12490.880092420392</v>
      </c>
      <c r="E239" s="41">
        <f t="shared" ca="1" si="473"/>
        <v>47.073339720632575</v>
      </c>
      <c r="F239" s="41">
        <f t="shared" ca="1" si="474"/>
        <v>46.423571323978059</v>
      </c>
      <c r="G239" s="41"/>
      <c r="H239" s="7">
        <f t="shared" si="475"/>
        <v>3000</v>
      </c>
      <c r="I239" s="6">
        <v>15</v>
      </c>
      <c r="J239" s="41">
        <f t="shared" si="436"/>
        <v>0.2632532415619146</v>
      </c>
      <c r="K239" s="41">
        <f t="shared" si="437"/>
        <v>298.49194287410489</v>
      </c>
      <c r="L239" s="6">
        <f t="shared" si="476"/>
        <v>165</v>
      </c>
      <c r="M239" s="41">
        <f t="shared" si="438"/>
        <v>176.85170028182117</v>
      </c>
      <c r="N239" s="41">
        <f t="shared" si="439"/>
        <v>92.009140514372376</v>
      </c>
      <c r="O239" s="41">
        <f t="shared" si="440"/>
        <v>1610560.9898818883</v>
      </c>
      <c r="P239" s="41">
        <f t="shared" si="441"/>
        <v>10340933.270748764</v>
      </c>
      <c r="Q239" s="41">
        <f t="shared" si="442"/>
        <v>2.9684322926589999E-3</v>
      </c>
      <c r="R239" s="41">
        <f t="shared" si="443"/>
        <v>2.3046986099112335E-2</v>
      </c>
      <c r="S239" s="24">
        <f t="shared" ca="1" si="477"/>
        <v>0</v>
      </c>
      <c r="T239" s="10">
        <f t="shared" ca="1" si="444"/>
        <v>0</v>
      </c>
      <c r="U239" s="41">
        <f t="shared" ca="1" si="445"/>
        <v>0.59024759943701477</v>
      </c>
      <c r="V239" s="41">
        <f t="shared" ca="1" si="446"/>
        <v>4.5050297735240191E-2</v>
      </c>
      <c r="W239" s="41">
        <f t="shared" ca="1" si="447"/>
        <v>13.101968890547395</v>
      </c>
      <c r="X239" s="20">
        <f t="shared" ca="1" si="448"/>
        <v>953.35901014328601</v>
      </c>
      <c r="Y239" s="41">
        <f t="shared" si="449"/>
        <v>0.60408391864909072</v>
      </c>
      <c r="Z239" s="41">
        <f t="shared" ca="1" si="450"/>
        <v>148.02808018078431</v>
      </c>
      <c r="AA239" s="14">
        <f t="shared" ca="1" si="451"/>
        <v>953.35901014328601</v>
      </c>
      <c r="AB239" s="14">
        <f t="shared" si="478"/>
        <v>5234.4042087224379</v>
      </c>
      <c r="AC239" s="25">
        <f t="shared" ca="1" si="452"/>
        <v>284569.98319420294</v>
      </c>
      <c r="AD239" s="41">
        <f t="shared" si="453"/>
        <v>1562427.4820499523</v>
      </c>
      <c r="AE239" s="5">
        <f t="shared" ca="1" si="454"/>
        <v>18.213324231908572</v>
      </c>
      <c r="AF239" s="7">
        <f t="shared" ca="1" si="455"/>
        <v>953.35901014328601</v>
      </c>
      <c r="AG239" s="41"/>
      <c r="AH239" s="41"/>
      <c r="AI239" s="41">
        <f t="shared" ca="1" si="456"/>
        <v>731.86923437412702</v>
      </c>
      <c r="AJ239" s="13">
        <f t="shared" ca="1" si="457"/>
        <v>0</v>
      </c>
      <c r="AK239" s="11"/>
      <c r="AL239" s="6">
        <v>0</v>
      </c>
      <c r="AM239" s="6">
        <v>135</v>
      </c>
      <c r="AN239" s="41">
        <f t="shared" ca="1" si="458"/>
        <v>27.445096289029763</v>
      </c>
      <c r="AO239" s="41">
        <f t="shared" ca="1" si="459"/>
        <v>6.6319387605682936</v>
      </c>
      <c r="AP239" s="67">
        <f t="shared" si="479"/>
        <v>0.76767432476893471</v>
      </c>
      <c r="AQ239" s="11">
        <f t="shared" si="460"/>
        <v>1.0314301707183759</v>
      </c>
      <c r="AR239" s="11">
        <f t="shared" si="461"/>
        <v>0.8962407041850623</v>
      </c>
      <c r="AS239" s="11">
        <f t="shared" si="462"/>
        <v>0.86893008332386068</v>
      </c>
      <c r="AT239" s="11">
        <f t="shared" si="463"/>
        <v>534.97188664650002</v>
      </c>
      <c r="AU239" s="11">
        <f t="shared" si="464"/>
        <v>1896.6425030105124</v>
      </c>
      <c r="AV239" s="11">
        <f t="shared" si="465"/>
        <v>2.0653599150524844E-3</v>
      </c>
      <c r="AW239" s="11">
        <f t="shared" si="466"/>
        <v>3.8278171249107636E-7</v>
      </c>
      <c r="AX239" s="41">
        <f t="shared" ca="1" si="467"/>
        <v>1.2000014385262583</v>
      </c>
      <c r="AY239" s="41">
        <f t="shared" ca="1" si="468"/>
        <v>1.6164257787830527</v>
      </c>
      <c r="AZ239" s="41">
        <f t="shared" si="469"/>
        <v>0.19374347287471558</v>
      </c>
    </row>
    <row r="240" spans="1:52" ht="14.5">
      <c r="A240" s="41">
        <f t="shared" ca="1" si="470"/>
        <v>1118.4616048486323</v>
      </c>
      <c r="B240" s="41">
        <f t="shared" ca="1" si="471"/>
        <v>18.641026747477206</v>
      </c>
      <c r="C240" s="41">
        <f t="shared" ca="1" si="471"/>
        <v>0.31068377912462009</v>
      </c>
      <c r="D240" s="41">
        <f t="shared" ca="1" si="472"/>
        <v>12463.434996131362</v>
      </c>
      <c r="E240" s="41">
        <f t="shared" ca="1" si="473"/>
        <v>53.705278481200871</v>
      </c>
      <c r="F240" s="41">
        <f t="shared" ca="1" si="474"/>
        <v>53.055510084546356</v>
      </c>
      <c r="G240" s="41"/>
      <c r="H240" s="7">
        <f t="shared" si="475"/>
        <v>3000</v>
      </c>
      <c r="I240" s="6">
        <v>15</v>
      </c>
      <c r="J240" s="41">
        <f t="shared" si="436"/>
        <v>0.2632532415619146</v>
      </c>
      <c r="K240" s="41">
        <f t="shared" si="437"/>
        <v>298.49194287410489</v>
      </c>
      <c r="L240" s="6">
        <f t="shared" si="476"/>
        <v>165</v>
      </c>
      <c r="M240" s="41">
        <f t="shared" si="438"/>
        <v>176.85170028182117</v>
      </c>
      <c r="N240" s="41">
        <f t="shared" si="439"/>
        <v>92.009140514372376</v>
      </c>
      <c r="O240" s="41">
        <f t="shared" si="440"/>
        <v>1610560.9898818883</v>
      </c>
      <c r="P240" s="41">
        <f t="shared" si="441"/>
        <v>10340933.270748764</v>
      </c>
      <c r="Q240" s="41">
        <f t="shared" si="442"/>
        <v>2.9684322926589999E-3</v>
      </c>
      <c r="R240" s="41">
        <f t="shared" si="443"/>
        <v>2.3046986099112335E-2</v>
      </c>
      <c r="S240" s="24">
        <f t="shared" ca="1" si="477"/>
        <v>-5.226308790200416E-16</v>
      </c>
      <c r="T240" s="10">
        <f t="shared" ca="1" si="444"/>
        <v>-5.226308790200416E-16</v>
      </c>
      <c r="U240" s="41">
        <f t="shared" ca="1" si="445"/>
        <v>0.58895070105346947</v>
      </c>
      <c r="V240" s="41">
        <f t="shared" ca="1" si="446"/>
        <v>4.495371213471494E-2</v>
      </c>
      <c r="W240" s="41">
        <f t="shared" ca="1" si="447"/>
        <v>13.101269574546652</v>
      </c>
      <c r="X240" s="20">
        <f t="shared" ca="1" si="448"/>
        <v>951.31505578249573</v>
      </c>
      <c r="Y240" s="41">
        <f t="shared" si="449"/>
        <v>0.60408391864909072</v>
      </c>
      <c r="Z240" s="41">
        <f t="shared" ca="1" si="450"/>
        <v>147.86536630630943</v>
      </c>
      <c r="AA240" s="14">
        <f t="shared" ca="1" si="451"/>
        <v>951.31505578249562</v>
      </c>
      <c r="AB240" s="14">
        <f t="shared" si="478"/>
        <v>5234.4042087224379</v>
      </c>
      <c r="AC240" s="25">
        <f t="shared" ca="1" si="452"/>
        <v>283959.87928590458</v>
      </c>
      <c r="AD240" s="41">
        <f t="shared" si="453"/>
        <v>1562427.4820499523</v>
      </c>
      <c r="AE240" s="5">
        <f t="shared" ca="1" si="454"/>
        <v>18.174275769480232</v>
      </c>
      <c r="AF240" s="7">
        <f t="shared" ca="1" si="455"/>
        <v>951.31505578249562</v>
      </c>
      <c r="AG240" s="41"/>
      <c r="AH240" s="41"/>
      <c r="AI240" s="41">
        <f t="shared" ca="1" si="456"/>
        <v>730.3001430903488</v>
      </c>
      <c r="AJ240" s="13">
        <f t="shared" ca="1" si="457"/>
        <v>-2.7227329449121779E-15</v>
      </c>
      <c r="AK240" s="11"/>
      <c r="AL240" s="6">
        <v>0</v>
      </c>
      <c r="AM240" s="6">
        <v>135</v>
      </c>
      <c r="AN240" s="41">
        <f t="shared" ca="1" si="458"/>
        <v>27.386255365888079</v>
      </c>
      <c r="AO240" s="41">
        <f t="shared" ca="1" si="459"/>
        <v>6.6319387605682936</v>
      </c>
      <c r="AP240" s="67">
        <f t="shared" si="479"/>
        <v>0.76767432476893471</v>
      </c>
      <c r="AQ240" s="11">
        <f t="shared" si="460"/>
        <v>1.0314301707183759</v>
      </c>
      <c r="AR240" s="11">
        <f t="shared" si="461"/>
        <v>0.8962407041850623</v>
      </c>
      <c r="AS240" s="11">
        <f t="shared" si="462"/>
        <v>0.86893008332386068</v>
      </c>
      <c r="AT240" s="11">
        <f t="shared" si="463"/>
        <v>534.97188664650002</v>
      </c>
      <c r="AU240" s="11">
        <f t="shared" si="464"/>
        <v>1896.6425030105124</v>
      </c>
      <c r="AV240" s="11">
        <f t="shared" si="465"/>
        <v>2.0653599150524844E-3</v>
      </c>
      <c r="AW240" s="11">
        <f t="shared" si="466"/>
        <v>3.8278171249107636E-7</v>
      </c>
      <c r="AX240" s="41">
        <f t="shared" ca="1" si="467"/>
        <v>1.2016125563761482</v>
      </c>
      <c r="AY240" s="41">
        <f t="shared" ca="1" si="468"/>
        <v>1.6185959865358182</v>
      </c>
      <c r="AZ240" s="41">
        <f t="shared" si="469"/>
        <v>0.19374347287471558</v>
      </c>
    </row>
    <row r="241" spans="1:52" ht="14.5">
      <c r="A241" s="41">
        <f t="shared" ca="1" si="470"/>
        <v>1253.4616048486323</v>
      </c>
      <c r="B241" s="41">
        <f t="shared" ca="1" si="471"/>
        <v>20.891026747477206</v>
      </c>
      <c r="C241" s="41">
        <f t="shared" ca="1" si="471"/>
        <v>0.34818377912462012</v>
      </c>
      <c r="D241" s="41">
        <f t="shared" ca="1" si="472"/>
        <v>12436.048740765475</v>
      </c>
      <c r="E241" s="41">
        <f t="shared" ca="1" si="473"/>
        <v>60.337217241769167</v>
      </c>
      <c r="F241" s="41">
        <f t="shared" ca="1" si="474"/>
        <v>59.687448845114652</v>
      </c>
      <c r="G241" s="41"/>
      <c r="H241" s="7">
        <f t="shared" si="475"/>
        <v>3000</v>
      </c>
      <c r="I241" s="6">
        <v>15</v>
      </c>
      <c r="J241" s="41">
        <f t="shared" si="436"/>
        <v>0.2632532415619146</v>
      </c>
      <c r="K241" s="41">
        <f t="shared" si="437"/>
        <v>298.49194287410489</v>
      </c>
      <c r="L241" s="6">
        <f t="shared" si="476"/>
        <v>165</v>
      </c>
      <c r="M241" s="41">
        <f t="shared" si="438"/>
        <v>176.85170028182117</v>
      </c>
      <c r="N241" s="41">
        <f t="shared" si="439"/>
        <v>92.009140514372376</v>
      </c>
      <c r="O241" s="41">
        <f t="shared" si="440"/>
        <v>1610560.9898818883</v>
      </c>
      <c r="P241" s="41">
        <f t="shared" si="441"/>
        <v>10340933.270748764</v>
      </c>
      <c r="Q241" s="41">
        <f t="shared" si="442"/>
        <v>2.9684322926589999E-3</v>
      </c>
      <c r="R241" s="41">
        <f t="shared" si="443"/>
        <v>2.3046986099112335E-2</v>
      </c>
      <c r="S241" s="24">
        <f t="shared" ca="1" si="477"/>
        <v>0</v>
      </c>
      <c r="T241" s="10">
        <f t="shared" ca="1" si="444"/>
        <v>0</v>
      </c>
      <c r="U241" s="41">
        <f t="shared" ca="1" si="445"/>
        <v>0.58765658315563674</v>
      </c>
      <c r="V241" s="41">
        <f t="shared" ca="1" si="446"/>
        <v>4.4857545378500036E-2</v>
      </c>
      <c r="W241" s="41">
        <f t="shared" ca="1" si="447"/>
        <v>13.10050690908507</v>
      </c>
      <c r="X241" s="20">
        <f t="shared" ca="1" si="448"/>
        <v>949.27996504785631</v>
      </c>
      <c r="Y241" s="41">
        <f t="shared" si="449"/>
        <v>0.60408391864909072</v>
      </c>
      <c r="Z241" s="41">
        <f t="shared" ca="1" si="450"/>
        <v>147.70282260795022</v>
      </c>
      <c r="AA241" s="14">
        <f t="shared" ca="1" si="451"/>
        <v>949.27996504785631</v>
      </c>
      <c r="AB241" s="14">
        <f t="shared" si="478"/>
        <v>5234.4042087224379</v>
      </c>
      <c r="AC241" s="25">
        <f t="shared" ca="1" si="452"/>
        <v>283352.421098597</v>
      </c>
      <c r="AD241" s="41">
        <f t="shared" si="453"/>
        <v>1562427.4820499523</v>
      </c>
      <c r="AE241" s="5">
        <f t="shared" ca="1" si="454"/>
        <v>18.135396641054346</v>
      </c>
      <c r="AF241" s="7">
        <f t="shared" ca="1" si="455"/>
        <v>949.27996504785631</v>
      </c>
      <c r="AG241" s="41"/>
      <c r="AH241" s="41"/>
      <c r="AI241" s="41">
        <f t="shared" ca="1" si="456"/>
        <v>728.73785618479099</v>
      </c>
      <c r="AJ241" s="13">
        <f t="shared" ca="1" si="457"/>
        <v>0</v>
      </c>
      <c r="AK241" s="11"/>
      <c r="AL241" s="6">
        <v>0</v>
      </c>
      <c r="AM241" s="6">
        <v>135</v>
      </c>
      <c r="AN241" s="41">
        <f t="shared" ca="1" si="458"/>
        <v>27.327669606929661</v>
      </c>
      <c r="AO241" s="41">
        <f t="shared" ca="1" si="459"/>
        <v>6.6319387605682936</v>
      </c>
      <c r="AP241" s="67">
        <f t="shared" si="479"/>
        <v>0.76767432476893471</v>
      </c>
      <c r="AQ241" s="11">
        <f t="shared" si="460"/>
        <v>1.0314301707183759</v>
      </c>
      <c r="AR241" s="11">
        <f t="shared" si="461"/>
        <v>0.8962407041850623</v>
      </c>
      <c r="AS241" s="11">
        <f t="shared" si="462"/>
        <v>0.86893008332386068</v>
      </c>
      <c r="AT241" s="11">
        <f t="shared" si="463"/>
        <v>534.97188664650002</v>
      </c>
      <c r="AU241" s="11">
        <f t="shared" si="464"/>
        <v>1896.6425030105124</v>
      </c>
      <c r="AV241" s="11">
        <f t="shared" si="465"/>
        <v>2.0653599150524844E-3</v>
      </c>
      <c r="AW241" s="11">
        <f t="shared" si="466"/>
        <v>3.8278171249107636E-7</v>
      </c>
      <c r="AX241" s="41">
        <f t="shared" ca="1" si="467"/>
        <v>1.2032301618836525</v>
      </c>
      <c r="AY241" s="41">
        <f t="shared" ca="1" si="468"/>
        <v>1.6207749332922843</v>
      </c>
      <c r="AZ241" s="41">
        <f t="shared" si="469"/>
        <v>0.19374347287471558</v>
      </c>
    </row>
    <row r="242" spans="1:52" ht="14.5">
      <c r="A242" s="41">
        <f t="shared" ca="1" si="470"/>
        <v>1388.4616048486323</v>
      </c>
      <c r="B242" s="41">
        <f t="shared" ca="1" si="471"/>
        <v>23.141026747477206</v>
      </c>
      <c r="C242" s="41">
        <f t="shared" ca="1" si="471"/>
        <v>0.3856837791246201</v>
      </c>
      <c r="D242" s="41">
        <f t="shared" ca="1" si="472"/>
        <v>12408.721071158545</v>
      </c>
      <c r="E242" s="41">
        <f t="shared" ca="1" si="473"/>
        <v>66.969156002337456</v>
      </c>
      <c r="F242" s="41">
        <f t="shared" ca="1" si="474"/>
        <v>66.319387605682948</v>
      </c>
      <c r="G242" s="41"/>
      <c r="H242" s="7">
        <f t="shared" si="475"/>
        <v>3000</v>
      </c>
      <c r="I242" s="6">
        <v>15</v>
      </c>
      <c r="J242" s="41">
        <f t="shared" si="436"/>
        <v>0.2632532415619146</v>
      </c>
      <c r="K242" s="41">
        <f t="shared" si="437"/>
        <v>298.49194287410489</v>
      </c>
      <c r="L242" s="6">
        <f t="shared" si="476"/>
        <v>165</v>
      </c>
      <c r="M242" s="41">
        <f t="shared" si="438"/>
        <v>176.85170028182117</v>
      </c>
      <c r="N242" s="41">
        <f t="shared" si="439"/>
        <v>92.009140514372376</v>
      </c>
      <c r="O242" s="41">
        <f t="shared" si="440"/>
        <v>1610560.9898818883</v>
      </c>
      <c r="P242" s="41">
        <f t="shared" si="441"/>
        <v>10340933.270748764</v>
      </c>
      <c r="Q242" s="41">
        <f t="shared" si="442"/>
        <v>2.9684322926589999E-3</v>
      </c>
      <c r="R242" s="41">
        <f t="shared" si="443"/>
        <v>2.3046986099112335E-2</v>
      </c>
      <c r="S242" s="24">
        <f t="shared" ca="1" si="477"/>
        <v>0</v>
      </c>
      <c r="T242" s="10">
        <f t="shared" ca="1" si="444"/>
        <v>0</v>
      </c>
      <c r="U242" s="41">
        <f t="shared" ca="1" si="445"/>
        <v>0.58636523368591553</v>
      </c>
      <c r="V242" s="41">
        <f t="shared" ca="1" si="446"/>
        <v>4.4761795210007359E-2</v>
      </c>
      <c r="W242" s="41">
        <f t="shared" ca="1" si="447"/>
        <v>13.099680898294766</v>
      </c>
      <c r="X242" s="20">
        <f t="shared" ca="1" si="448"/>
        <v>947.25369018521928</v>
      </c>
      <c r="Y242" s="41">
        <f t="shared" si="449"/>
        <v>0.60408391864909072</v>
      </c>
      <c r="Z242" s="41">
        <f t="shared" ca="1" si="450"/>
        <v>147.54044813119134</v>
      </c>
      <c r="AA242" s="14">
        <f t="shared" ca="1" si="451"/>
        <v>947.25369018521928</v>
      </c>
      <c r="AB242" s="14">
        <f t="shared" si="478"/>
        <v>5234.4042087224379</v>
      </c>
      <c r="AC242" s="25">
        <f t="shared" ca="1" si="452"/>
        <v>282747.59437805152</v>
      </c>
      <c r="AD242" s="41">
        <f t="shared" si="453"/>
        <v>1562427.4820499523</v>
      </c>
      <c r="AE242" s="5">
        <f t="shared" ca="1" si="454"/>
        <v>18.096685934317932</v>
      </c>
      <c r="AF242" s="7">
        <f t="shared" ca="1" si="455"/>
        <v>947.25369018521928</v>
      </c>
      <c r="AG242" s="41"/>
      <c r="AH242" s="41"/>
      <c r="AI242" s="41">
        <f t="shared" ca="1" si="456"/>
        <v>727.1823369978199</v>
      </c>
      <c r="AJ242" s="13">
        <f t="shared" ca="1" si="457"/>
        <v>0</v>
      </c>
      <c r="AK242" s="11"/>
      <c r="AL242" s="6">
        <v>0</v>
      </c>
      <c r="AM242" s="6">
        <v>135</v>
      </c>
      <c r="AN242" s="41">
        <f t="shared" ca="1" si="458"/>
        <v>27.269337637418246</v>
      </c>
      <c r="AO242" s="41">
        <f t="shared" ca="1" si="459"/>
        <v>6.6319387605682936</v>
      </c>
      <c r="AP242" s="67">
        <f t="shared" si="479"/>
        <v>0.76767432476893471</v>
      </c>
      <c r="AQ242" s="11">
        <f t="shared" si="460"/>
        <v>1.0314301707183759</v>
      </c>
      <c r="AR242" s="11">
        <f t="shared" si="461"/>
        <v>0.8962407041850623</v>
      </c>
      <c r="AS242" s="11">
        <f t="shared" si="462"/>
        <v>0.86893008332386068</v>
      </c>
      <c r="AT242" s="11">
        <f t="shared" si="463"/>
        <v>534.97188664650002</v>
      </c>
      <c r="AU242" s="11">
        <f t="shared" si="464"/>
        <v>1896.6425030105124</v>
      </c>
      <c r="AV242" s="11">
        <f t="shared" si="465"/>
        <v>2.0653599150524844E-3</v>
      </c>
      <c r="AW242" s="11">
        <f t="shared" si="466"/>
        <v>3.8278171249107636E-7</v>
      </c>
      <c r="AX242" s="41">
        <f t="shared" ca="1" si="467"/>
        <v>1.2048542677607639</v>
      </c>
      <c r="AY242" s="41">
        <f t="shared" ca="1" si="468"/>
        <v>1.6229626361757576</v>
      </c>
      <c r="AZ242" s="41">
        <f t="shared" si="469"/>
        <v>0.19374347287471558</v>
      </c>
    </row>
    <row r="243" spans="1:52" ht="14.5">
      <c r="A243" s="41">
        <f t="shared" ca="1" si="470"/>
        <v>1523.4616048486323</v>
      </c>
      <c r="B243" s="41">
        <f t="shared" ca="1" si="471"/>
        <v>25.391026747477206</v>
      </c>
      <c r="C243" s="41">
        <f t="shared" ca="1" si="471"/>
        <v>0.42318377912462007</v>
      </c>
      <c r="D243" s="41">
        <f t="shared" ca="1" si="472"/>
        <v>12381.451733521126</v>
      </c>
      <c r="E243" s="41">
        <f t="shared" ca="1" si="473"/>
        <v>73.601094762905745</v>
      </c>
      <c r="F243" s="41">
        <f t="shared" ca="1" si="474"/>
        <v>72.951326366251237</v>
      </c>
      <c r="G243" s="41"/>
      <c r="H243" s="7">
        <f t="shared" si="475"/>
        <v>3000</v>
      </c>
      <c r="I243" s="6">
        <v>15</v>
      </c>
      <c r="J243" s="41">
        <f t="shared" si="436"/>
        <v>0.2632532415619146</v>
      </c>
      <c r="K243" s="41">
        <f t="shared" si="437"/>
        <v>298.49194287410489</v>
      </c>
      <c r="L243" s="6">
        <f t="shared" si="476"/>
        <v>165</v>
      </c>
      <c r="M243" s="41">
        <f t="shared" si="438"/>
        <v>176.85170028182117</v>
      </c>
      <c r="N243" s="41">
        <f t="shared" si="439"/>
        <v>92.009140514372376</v>
      </c>
      <c r="O243" s="41">
        <f t="shared" si="440"/>
        <v>1610560.9898818883</v>
      </c>
      <c r="P243" s="41">
        <f t="shared" si="441"/>
        <v>10340933.270748764</v>
      </c>
      <c r="Q243" s="41">
        <f t="shared" si="442"/>
        <v>2.9684322926589999E-3</v>
      </c>
      <c r="R243" s="41">
        <f t="shared" si="443"/>
        <v>2.3046986099112335E-2</v>
      </c>
      <c r="S243" s="24">
        <f t="shared" ca="1" si="477"/>
        <v>1.0521829148680691E-15</v>
      </c>
      <c r="T243" s="10">
        <f t="shared" ca="1" si="444"/>
        <v>1.0521829148680691E-15</v>
      </c>
      <c r="U243" s="41">
        <f t="shared" ca="1" si="445"/>
        <v>0.5850766406516672</v>
      </c>
      <c r="V243" s="41">
        <f t="shared" ca="1" si="446"/>
        <v>4.4666459388229565E-2</v>
      </c>
      <c r="W243" s="41">
        <f t="shared" ca="1" si="447"/>
        <v>13.098791546612841</v>
      </c>
      <c r="X243" s="20">
        <f t="shared" ca="1" si="448"/>
        <v>945.23618377015782</v>
      </c>
      <c r="Y243" s="41">
        <f t="shared" si="449"/>
        <v>0.60408391864909072</v>
      </c>
      <c r="Z243" s="41">
        <f t="shared" ca="1" si="450"/>
        <v>147.37824192490763</v>
      </c>
      <c r="AA243" s="14">
        <f t="shared" ca="1" si="451"/>
        <v>945.23618377015794</v>
      </c>
      <c r="AB243" s="14">
        <f t="shared" si="478"/>
        <v>5234.4042087224379</v>
      </c>
      <c r="AC243" s="25">
        <f t="shared" ca="1" si="452"/>
        <v>282145.38496845891</v>
      </c>
      <c r="AD243" s="41">
        <f t="shared" si="453"/>
        <v>1562427.4820499523</v>
      </c>
      <c r="AE243" s="5">
        <f t="shared" ca="1" si="454"/>
        <v>18.058142743257154</v>
      </c>
      <c r="AF243" s="7">
        <f t="shared" ca="1" si="455"/>
        <v>945.23618377015805</v>
      </c>
      <c r="AG243" s="41"/>
      <c r="AH243" s="41"/>
      <c r="AI243" s="41">
        <f t="shared" ca="1" si="456"/>
        <v>725.63354912292073</v>
      </c>
      <c r="AJ243" s="13">
        <f t="shared" ca="1" si="457"/>
        <v>5.4815228134944521E-15</v>
      </c>
      <c r="AK243" s="11"/>
      <c r="AL243" s="6">
        <v>0</v>
      </c>
      <c r="AM243" s="6">
        <v>135</v>
      </c>
      <c r="AN243" s="41">
        <f t="shared" ca="1" si="458"/>
        <v>27.211258092109528</v>
      </c>
      <c r="AO243" s="41">
        <f t="shared" ca="1" si="459"/>
        <v>6.6319387605682936</v>
      </c>
      <c r="AP243" s="67">
        <f t="shared" si="479"/>
        <v>0.76767432476893471</v>
      </c>
      <c r="AQ243" s="11">
        <f t="shared" si="460"/>
        <v>1.0314301707183759</v>
      </c>
      <c r="AR243" s="11">
        <f t="shared" si="461"/>
        <v>0.8962407041850623</v>
      </c>
      <c r="AS243" s="11">
        <f t="shared" si="462"/>
        <v>0.86893008332386068</v>
      </c>
      <c r="AT243" s="11">
        <f t="shared" si="463"/>
        <v>534.97188664650002</v>
      </c>
      <c r="AU243" s="11">
        <f t="shared" si="464"/>
        <v>1896.6425030105124</v>
      </c>
      <c r="AV243" s="11">
        <f t="shared" si="465"/>
        <v>2.0653599150524844E-3</v>
      </c>
      <c r="AW243" s="11">
        <f t="shared" si="466"/>
        <v>3.8278171249107636E-7</v>
      </c>
      <c r="AX243" s="41">
        <f t="shared" ca="1" si="467"/>
        <v>1.2064848869066449</v>
      </c>
      <c r="AY243" s="41">
        <f t="shared" ca="1" si="468"/>
        <v>1.6251591125616662</v>
      </c>
      <c r="AZ243" s="41">
        <f t="shared" si="469"/>
        <v>0.19374347287471558</v>
      </c>
    </row>
    <row r="244" spans="1:52" ht="14.5">
      <c r="A244" s="41">
        <f t="shared" ca="1" si="470"/>
        <v>1658.4616048486323</v>
      </c>
      <c r="B244" s="41">
        <f t="shared" ca="1" si="471"/>
        <v>27.641026747477206</v>
      </c>
      <c r="C244" s="41">
        <f t="shared" ca="1" si="471"/>
        <v>0.46068377912462011</v>
      </c>
      <c r="D244" s="41">
        <f t="shared" ca="1" si="472"/>
        <v>12354.240475429016</v>
      </c>
      <c r="E244" s="41">
        <f t="shared" ca="1" si="473"/>
        <v>80.233033523474035</v>
      </c>
      <c r="F244" s="41">
        <f t="shared" ca="1" si="474"/>
        <v>79.583265126819526</v>
      </c>
      <c r="G244" s="41"/>
      <c r="H244" s="7">
        <f t="shared" si="475"/>
        <v>3000</v>
      </c>
      <c r="I244" s="6">
        <v>15</v>
      </c>
      <c r="J244" s="41">
        <f t="shared" si="436"/>
        <v>0.2632532415619146</v>
      </c>
      <c r="K244" s="41">
        <f t="shared" si="437"/>
        <v>298.49194287410489</v>
      </c>
      <c r="L244" s="6">
        <f t="shared" si="476"/>
        <v>165</v>
      </c>
      <c r="M244" s="41">
        <f t="shared" si="438"/>
        <v>176.85170028182117</v>
      </c>
      <c r="N244" s="41">
        <f t="shared" si="439"/>
        <v>92.009140514372376</v>
      </c>
      <c r="O244" s="41">
        <f t="shared" si="440"/>
        <v>1610560.9898818883</v>
      </c>
      <c r="P244" s="41">
        <f t="shared" si="441"/>
        <v>10340933.270748764</v>
      </c>
      <c r="Q244" s="41">
        <f t="shared" si="442"/>
        <v>2.9684322926589999E-3</v>
      </c>
      <c r="R244" s="41">
        <f t="shared" si="443"/>
        <v>2.3046986099112335E-2</v>
      </c>
      <c r="S244" s="24">
        <f t="shared" ca="1" si="477"/>
        <v>0</v>
      </c>
      <c r="T244" s="10">
        <f t="shared" ca="1" si="444"/>
        <v>0</v>
      </c>
      <c r="U244" s="41">
        <f t="shared" ca="1" si="445"/>
        <v>0.58379079212476681</v>
      </c>
      <c r="V244" s="41">
        <f t="shared" ca="1" si="446"/>
        <v>4.4571535687612095E-2</v>
      </c>
      <c r="W244" s="41">
        <f t="shared" ca="1" si="447"/>
        <v>13.097838858781381</v>
      </c>
      <c r="X244" s="20">
        <f t="shared" ca="1" si="448"/>
        <v>943.22739870525879</v>
      </c>
      <c r="Y244" s="41">
        <f t="shared" si="449"/>
        <v>0.60408391864909072</v>
      </c>
      <c r="Z244" s="41">
        <f t="shared" ca="1" si="450"/>
        <v>147.21620304133717</v>
      </c>
      <c r="AA244" s="14">
        <f t="shared" ca="1" si="451"/>
        <v>943.22739870525868</v>
      </c>
      <c r="AB244" s="14">
        <f t="shared" si="478"/>
        <v>5234.4042087224379</v>
      </c>
      <c r="AC244" s="25">
        <f t="shared" ca="1" si="452"/>
        <v>281545.77881162061</v>
      </c>
      <c r="AD244" s="41">
        <f t="shared" si="453"/>
        <v>1562427.4820499523</v>
      </c>
      <c r="AE244" s="5">
        <f t="shared" ca="1" si="454"/>
        <v>18.019766168105548</v>
      </c>
      <c r="AF244" s="7">
        <f t="shared" ca="1" si="455"/>
        <v>943.22739870525879</v>
      </c>
      <c r="AG244" s="41"/>
      <c r="AH244" s="41"/>
      <c r="AI244" s="41">
        <f t="shared" ca="1" si="456"/>
        <v>724.09145640461827</v>
      </c>
      <c r="AJ244" s="13">
        <f t="shared" ca="1" si="457"/>
        <v>0</v>
      </c>
      <c r="AK244" s="11"/>
      <c r="AL244" s="6">
        <v>0</v>
      </c>
      <c r="AM244" s="6">
        <v>135</v>
      </c>
      <c r="AN244" s="41">
        <f t="shared" ca="1" si="458"/>
        <v>27.153429615173184</v>
      </c>
      <c r="AO244" s="41">
        <f t="shared" ca="1" si="459"/>
        <v>6.6319387605682936</v>
      </c>
      <c r="AP244" s="67">
        <f t="shared" si="479"/>
        <v>0.76767432476893471</v>
      </c>
      <c r="AQ244" s="11">
        <f t="shared" si="460"/>
        <v>1.0314301707183759</v>
      </c>
      <c r="AR244" s="11">
        <f t="shared" si="461"/>
        <v>0.8962407041850623</v>
      </c>
      <c r="AS244" s="11">
        <f t="shared" si="462"/>
        <v>0.86893008332386068</v>
      </c>
      <c r="AT244" s="11">
        <f t="shared" si="463"/>
        <v>534.97188664650002</v>
      </c>
      <c r="AU244" s="11">
        <f t="shared" si="464"/>
        <v>1896.6425030105124</v>
      </c>
      <c r="AV244" s="11">
        <f t="shared" si="465"/>
        <v>2.0653599150524844E-3</v>
      </c>
      <c r="AW244" s="11">
        <f t="shared" si="466"/>
        <v>3.8278171249107636E-7</v>
      </c>
      <c r="AX244" s="41">
        <f t="shared" ca="1" si="467"/>
        <v>1.208122032407918</v>
      </c>
      <c r="AY244" s="41">
        <f t="shared" ca="1" si="468"/>
        <v>1.6273643800779507</v>
      </c>
      <c r="AZ244" s="41">
        <f t="shared" si="469"/>
        <v>0.19374347287471558</v>
      </c>
    </row>
    <row r="245" spans="1:52" ht="14.5">
      <c r="A245" s="41">
        <f t="shared" ca="1" si="470"/>
        <v>1793.4616048486323</v>
      </c>
      <c r="B245" s="41">
        <f t="shared" ca="1" si="471"/>
        <v>29.891026747477206</v>
      </c>
      <c r="C245" s="41">
        <f t="shared" ca="1" si="471"/>
        <v>0.49818377912462009</v>
      </c>
      <c r="D245" s="41">
        <f t="shared" ca="1" si="472"/>
        <v>12327.087045813843</v>
      </c>
      <c r="E245" s="41">
        <f t="shared" ca="1" si="473"/>
        <v>86.864972284042324</v>
      </c>
      <c r="F245" s="41">
        <f t="shared" ca="1" si="474"/>
        <v>86.215203887387815</v>
      </c>
      <c r="G245" s="41"/>
      <c r="H245" s="7">
        <f t="shared" si="475"/>
        <v>3000</v>
      </c>
      <c r="I245" s="6">
        <v>15</v>
      </c>
      <c r="J245" s="41">
        <f t="shared" si="436"/>
        <v>0.2632532415619146</v>
      </c>
      <c r="K245" s="41">
        <f t="shared" si="437"/>
        <v>298.49194287410489</v>
      </c>
      <c r="L245" s="6">
        <f t="shared" si="476"/>
        <v>165</v>
      </c>
      <c r="M245" s="41">
        <f t="shared" si="438"/>
        <v>176.85170028182117</v>
      </c>
      <c r="N245" s="41">
        <f t="shared" si="439"/>
        <v>92.009140514372376</v>
      </c>
      <c r="O245" s="41">
        <f t="shared" si="440"/>
        <v>1610560.9898818883</v>
      </c>
      <c r="P245" s="41">
        <f t="shared" si="441"/>
        <v>10340933.270748764</v>
      </c>
      <c r="Q245" s="41">
        <f t="shared" si="442"/>
        <v>2.9684322926589999E-3</v>
      </c>
      <c r="R245" s="41">
        <f t="shared" si="443"/>
        <v>2.3046986099112335E-2</v>
      </c>
      <c r="S245" s="24">
        <f t="shared" ca="1" si="477"/>
        <v>0</v>
      </c>
      <c r="T245" s="10">
        <f t="shared" ca="1" si="444"/>
        <v>0</v>
      </c>
      <c r="U245" s="41">
        <f t="shared" ca="1" si="445"/>
        <v>0.58250767624115796</v>
      </c>
      <c r="V245" s="41">
        <f t="shared" ca="1" si="446"/>
        <v>4.4477021897926544E-2</v>
      </c>
      <c r="W245" s="41">
        <f t="shared" ca="1" si="447"/>
        <v>13.096822839847414</v>
      </c>
      <c r="X245" s="20">
        <f t="shared" ca="1" si="448"/>
        <v>941.22728821744226</v>
      </c>
      <c r="Y245" s="41">
        <f t="shared" si="449"/>
        <v>0.60408391864909072</v>
      </c>
      <c r="Z245" s="41">
        <f t="shared" ca="1" si="450"/>
        <v>147.05433053605444</v>
      </c>
      <c r="AA245" s="14">
        <f t="shared" ca="1" si="451"/>
        <v>941.22728821744226</v>
      </c>
      <c r="AB245" s="14">
        <f t="shared" si="478"/>
        <v>5234.4042087224379</v>
      </c>
      <c r="AC245" s="25">
        <f t="shared" ca="1" si="452"/>
        <v>280948.76194614946</v>
      </c>
      <c r="AD245" s="41">
        <f t="shared" si="453"/>
        <v>1562427.4820499523</v>
      </c>
      <c r="AE245" s="5">
        <f t="shared" ca="1" si="454"/>
        <v>17.981555315292852</v>
      </c>
      <c r="AF245" s="7">
        <f t="shared" ca="1" si="455"/>
        <v>941.22728821744226</v>
      </c>
      <c r="AG245" s="41"/>
      <c r="AH245" s="41"/>
      <c r="AI245" s="41">
        <f t="shared" ca="1" si="456"/>
        <v>722.5560229364205</v>
      </c>
      <c r="AJ245" s="13">
        <f t="shared" ca="1" si="457"/>
        <v>0</v>
      </c>
      <c r="AK245" s="11"/>
      <c r="AL245" s="6">
        <v>0</v>
      </c>
      <c r="AM245" s="6">
        <v>135</v>
      </c>
      <c r="AN245" s="41">
        <f t="shared" ca="1" si="458"/>
        <v>27.095850860115767</v>
      </c>
      <c r="AO245" s="41">
        <f t="shared" ca="1" si="459"/>
        <v>6.6319387605682936</v>
      </c>
      <c r="AP245" s="67">
        <f t="shared" si="479"/>
        <v>0.76767432476893471</v>
      </c>
      <c r="AQ245" s="11">
        <f t="shared" si="460"/>
        <v>1.0314301707183759</v>
      </c>
      <c r="AR245" s="11">
        <f t="shared" si="461"/>
        <v>0.8962407041850623</v>
      </c>
      <c r="AS245" s="11">
        <f t="shared" si="462"/>
        <v>0.86893008332386068</v>
      </c>
      <c r="AT245" s="11">
        <f t="shared" si="463"/>
        <v>534.97188664650002</v>
      </c>
      <c r="AU245" s="11">
        <f t="shared" si="464"/>
        <v>1896.6425030105124</v>
      </c>
      <c r="AV245" s="11">
        <f t="shared" si="465"/>
        <v>2.0653599150524844E-3</v>
      </c>
      <c r="AW245" s="11">
        <f t="shared" si="466"/>
        <v>3.8278171249107636E-7</v>
      </c>
      <c r="AX245" s="41">
        <f t="shared" ca="1" si="467"/>
        <v>1.2097657175389758</v>
      </c>
      <c r="AY245" s="41">
        <f t="shared" ca="1" si="468"/>
        <v>1.6295784566054814</v>
      </c>
      <c r="AZ245" s="41">
        <f t="shared" si="469"/>
        <v>0.19374347287471558</v>
      </c>
    </row>
    <row r="246" spans="1:52" ht="14.5">
      <c r="A246" s="41">
        <f t="shared" ca="1" si="470"/>
        <v>1928.4616048486323</v>
      </c>
      <c r="B246" s="41">
        <f t="shared" ca="1" si="471"/>
        <v>32.141026747477206</v>
      </c>
      <c r="C246" s="41">
        <f t="shared" ca="1" si="471"/>
        <v>0.53568377912462006</v>
      </c>
      <c r="D246" s="41">
        <f t="shared" ca="1" si="472"/>
        <v>12299.991194953727</v>
      </c>
      <c r="E246" s="41">
        <f t="shared" ca="1" si="473"/>
        <v>93.496911044610613</v>
      </c>
      <c r="F246" s="41">
        <f t="shared" ca="1" si="474"/>
        <v>92.847142647956105</v>
      </c>
      <c r="G246" s="41"/>
      <c r="H246" s="7">
        <f t="shared" si="475"/>
        <v>3000</v>
      </c>
      <c r="I246" s="6">
        <v>15</v>
      </c>
      <c r="J246" s="41">
        <f t="shared" si="436"/>
        <v>0.2632532415619146</v>
      </c>
      <c r="K246" s="41">
        <f t="shared" si="437"/>
        <v>298.49194287410489</v>
      </c>
      <c r="L246" s="6">
        <f t="shared" si="476"/>
        <v>165</v>
      </c>
      <c r="M246" s="41">
        <f t="shared" si="438"/>
        <v>176.85170028182117</v>
      </c>
      <c r="N246" s="41">
        <f t="shared" si="439"/>
        <v>92.009140514372376</v>
      </c>
      <c r="O246" s="41">
        <f t="shared" si="440"/>
        <v>1610560.9898818883</v>
      </c>
      <c r="P246" s="41">
        <f t="shared" si="441"/>
        <v>10340933.270748764</v>
      </c>
      <c r="Q246" s="41">
        <f t="shared" si="442"/>
        <v>2.9684322926589999E-3</v>
      </c>
      <c r="R246" s="41">
        <f t="shared" si="443"/>
        <v>2.3046986099112335E-2</v>
      </c>
      <c r="S246" s="24">
        <f t="shared" ca="1" si="477"/>
        <v>0</v>
      </c>
      <c r="T246" s="10">
        <f t="shared" ca="1" si="444"/>
        <v>0</v>
      </c>
      <c r="U246" s="41">
        <f t="shared" ca="1" si="445"/>
        <v>0.581227281200412</v>
      </c>
      <c r="V246" s="41">
        <f t="shared" ca="1" si="446"/>
        <v>4.438291582414515E-2</v>
      </c>
      <c r="W246" s="41">
        <f t="shared" ca="1" si="447"/>
        <v>13.095743495162914</v>
      </c>
      <c r="X246" s="20">
        <f t="shared" ca="1" si="448"/>
        <v>939.23580585530647</v>
      </c>
      <c r="Y246" s="41">
        <f t="shared" si="449"/>
        <v>0.60408391864909072</v>
      </c>
      <c r="Z246" s="41">
        <f t="shared" ca="1" si="450"/>
        <v>146.89262346794376</v>
      </c>
      <c r="AA246" s="14">
        <f t="shared" ca="1" si="451"/>
        <v>939.23580585530647</v>
      </c>
      <c r="AB246" s="14">
        <f t="shared" si="478"/>
        <v>5234.4042087224379</v>
      </c>
      <c r="AC246" s="25">
        <f t="shared" ca="1" si="452"/>
        <v>280354.32050667598</v>
      </c>
      <c r="AD246" s="41">
        <f t="shared" si="453"/>
        <v>1562427.4820499523</v>
      </c>
      <c r="AE246" s="5">
        <f t="shared" ca="1" si="454"/>
        <v>17.943509297394247</v>
      </c>
      <c r="AF246" s="7">
        <f t="shared" ca="1" si="455"/>
        <v>939.23580585530647</v>
      </c>
      <c r="AG246" s="41"/>
      <c r="AH246" s="41"/>
      <c r="AI246" s="41">
        <f t="shared" ca="1" si="456"/>
        <v>721.02721305877867</v>
      </c>
      <c r="AJ246" s="13">
        <f t="shared" ca="1" si="457"/>
        <v>0</v>
      </c>
      <c r="AK246" s="11"/>
      <c r="AL246" s="6">
        <v>0</v>
      </c>
      <c r="AM246" s="6">
        <v>135</v>
      </c>
      <c r="AN246" s="41">
        <f t="shared" ca="1" si="458"/>
        <v>27.038520489704201</v>
      </c>
      <c r="AO246" s="41">
        <f t="shared" ca="1" si="459"/>
        <v>6.6319387605682936</v>
      </c>
      <c r="AP246" s="67">
        <f t="shared" si="479"/>
        <v>0.76767432476893471</v>
      </c>
      <c r="AQ246" s="11">
        <f t="shared" si="460"/>
        <v>1.0314301707183759</v>
      </c>
      <c r="AR246" s="11">
        <f t="shared" si="461"/>
        <v>0.8962407041850623</v>
      </c>
      <c r="AS246" s="11">
        <f t="shared" si="462"/>
        <v>0.86893008332386068</v>
      </c>
      <c r="AT246" s="11">
        <f t="shared" si="463"/>
        <v>534.97188664650002</v>
      </c>
      <c r="AU246" s="11">
        <f t="shared" si="464"/>
        <v>1896.6425030105124</v>
      </c>
      <c r="AV246" s="11">
        <f t="shared" si="465"/>
        <v>2.0653599150524844E-3</v>
      </c>
      <c r="AW246" s="11">
        <f t="shared" si="466"/>
        <v>3.8278171249107636E-7</v>
      </c>
      <c r="AX246" s="41">
        <f t="shared" ca="1" si="467"/>
        <v>1.2114159557622928</v>
      </c>
      <c r="AY246" s="41">
        <f t="shared" ca="1" si="468"/>
        <v>1.6318013602784793</v>
      </c>
      <c r="AZ246" s="41">
        <f t="shared" si="469"/>
        <v>0.19374347287471558</v>
      </c>
    </row>
    <row r="247" spans="1:52" ht="14.5">
      <c r="A247" s="41">
        <f t="shared" ca="1" si="470"/>
        <v>2063.4616048486323</v>
      </c>
      <c r="B247" s="41">
        <f t="shared" ca="1" si="471"/>
        <v>34.391026747477206</v>
      </c>
      <c r="C247" s="41">
        <f t="shared" ca="1" si="471"/>
        <v>0.57318377912462004</v>
      </c>
      <c r="D247" s="41">
        <f t="shared" ca="1" si="472"/>
        <v>12272.952674464022</v>
      </c>
      <c r="E247" s="41">
        <f t="shared" ca="1" si="473"/>
        <v>100.1288498051789</v>
      </c>
      <c r="F247" s="41">
        <f t="shared" ca="1" si="474"/>
        <v>99.479081408524394</v>
      </c>
      <c r="G247" s="41"/>
      <c r="H247" s="7">
        <f t="shared" si="475"/>
        <v>3000</v>
      </c>
      <c r="I247" s="6">
        <v>15</v>
      </c>
      <c r="J247" s="41">
        <f t="shared" si="436"/>
        <v>0.2632532415619146</v>
      </c>
      <c r="K247" s="41">
        <f t="shared" si="437"/>
        <v>298.49194287410489</v>
      </c>
      <c r="L247" s="6">
        <f t="shared" si="476"/>
        <v>165</v>
      </c>
      <c r="M247" s="41">
        <f t="shared" si="438"/>
        <v>176.85170028182117</v>
      </c>
      <c r="N247" s="41">
        <f t="shared" si="439"/>
        <v>92.009140514372376</v>
      </c>
      <c r="O247" s="41">
        <f t="shared" si="440"/>
        <v>1610560.9898818883</v>
      </c>
      <c r="P247" s="41">
        <f t="shared" si="441"/>
        <v>10340933.270748764</v>
      </c>
      <c r="Q247" s="41">
        <f t="shared" si="442"/>
        <v>2.9684322926589999E-3</v>
      </c>
      <c r="R247" s="41">
        <f t="shared" si="443"/>
        <v>2.3046986099112335E-2</v>
      </c>
      <c r="S247" s="24">
        <f t="shared" ca="1" si="477"/>
        <v>1.0614847397220569E-15</v>
      </c>
      <c r="T247" s="10">
        <f t="shared" ca="1" si="444"/>
        <v>1.0614847397220569E-15</v>
      </c>
      <c r="U247" s="41">
        <f t="shared" ca="1" si="445"/>
        <v>0.57994959526529033</v>
      </c>
      <c r="V247" s="41">
        <f t="shared" ca="1" si="446"/>
        <v>4.428921528631663E-2</v>
      </c>
      <c r="W247" s="41">
        <f t="shared" ca="1" si="447"/>
        <v>13.094600830384742</v>
      </c>
      <c r="X247" s="20">
        <f t="shared" ca="1" si="448"/>
        <v>937.252905486499</v>
      </c>
      <c r="Y247" s="41">
        <f t="shared" si="449"/>
        <v>0.60408391864909072</v>
      </c>
      <c r="Z247" s="41">
        <f t="shared" ca="1" si="450"/>
        <v>146.73108089917284</v>
      </c>
      <c r="AA247" s="14">
        <f t="shared" ca="1" si="451"/>
        <v>937.252905486499</v>
      </c>
      <c r="AB247" s="14">
        <f t="shared" si="478"/>
        <v>5234.4042087224379</v>
      </c>
      <c r="AC247" s="25">
        <f t="shared" ca="1" si="452"/>
        <v>279762.44072306488</v>
      </c>
      <c r="AD247" s="41">
        <f t="shared" si="453"/>
        <v>1562427.4820499523</v>
      </c>
      <c r="AE247" s="5">
        <f t="shared" ca="1" si="454"/>
        <v>17.905627233080164</v>
      </c>
      <c r="AF247" s="7">
        <f t="shared" ca="1" si="455"/>
        <v>937.25290548649923</v>
      </c>
      <c r="AG247" s="41"/>
      <c r="AH247" s="41"/>
      <c r="AI247" s="41">
        <f t="shared" ca="1" si="456"/>
        <v>719.50499135707048</v>
      </c>
      <c r="AJ247" s="13">
        <f t="shared" ca="1" si="457"/>
        <v>5.5299822252790071E-15</v>
      </c>
      <c r="AK247" s="11"/>
      <c r="AL247" s="6">
        <v>0</v>
      </c>
      <c r="AM247" s="6">
        <v>135</v>
      </c>
      <c r="AN247" s="41">
        <f t="shared" ca="1" si="458"/>
        <v>26.981437175890143</v>
      </c>
      <c r="AO247" s="41">
        <f t="shared" ca="1" si="459"/>
        <v>6.6319387605682936</v>
      </c>
      <c r="AP247" s="67">
        <f t="shared" si="479"/>
        <v>0.76767432476893471</v>
      </c>
      <c r="AQ247" s="11">
        <f t="shared" si="460"/>
        <v>1.0314301707183759</v>
      </c>
      <c r="AR247" s="11">
        <f t="shared" si="461"/>
        <v>0.8962407041850623</v>
      </c>
      <c r="AS247" s="11">
        <f t="shared" si="462"/>
        <v>0.86893008332386068</v>
      </c>
      <c r="AT247" s="11">
        <f t="shared" si="463"/>
        <v>534.97188664650002</v>
      </c>
      <c r="AU247" s="11">
        <f t="shared" si="464"/>
        <v>1896.6425030105124</v>
      </c>
      <c r="AV247" s="11">
        <f t="shared" si="465"/>
        <v>2.0653599150524844E-3</v>
      </c>
      <c r="AW247" s="11">
        <f t="shared" si="466"/>
        <v>3.8278171249107636E-7</v>
      </c>
      <c r="AX247" s="41">
        <f t="shared" ca="1" si="467"/>
        <v>1.2130727607287641</v>
      </c>
      <c r="AY247" s="41">
        <f t="shared" ca="1" si="468"/>
        <v>1.6340331094849712</v>
      </c>
      <c r="AZ247" s="41">
        <f t="shared" si="469"/>
        <v>0.19374347287471558</v>
      </c>
    </row>
    <row r="248" spans="1:52" ht="14.5">
      <c r="A248" s="41">
        <f t="shared" ca="1" si="470"/>
        <v>2198.4616048486323</v>
      </c>
      <c r="B248" s="41">
        <f t="shared" ca="1" si="471"/>
        <v>36.641026747477206</v>
      </c>
      <c r="C248" s="41">
        <f t="shared" ca="1" si="471"/>
        <v>0.61068377912462013</v>
      </c>
      <c r="D248" s="41">
        <f t="shared" ca="1" si="472"/>
        <v>12245.971237288133</v>
      </c>
      <c r="E248" s="41">
        <f t="shared" ca="1" si="473"/>
        <v>106.76078856574719</v>
      </c>
      <c r="F248" s="41">
        <f t="shared" ca="1" si="474"/>
        <v>106.11102016909268</v>
      </c>
      <c r="G248" s="41"/>
      <c r="H248" s="7">
        <f t="shared" si="475"/>
        <v>3000</v>
      </c>
      <c r="I248" s="6">
        <v>15</v>
      </c>
      <c r="J248" s="41">
        <f t="shared" si="436"/>
        <v>0.2632532415619146</v>
      </c>
      <c r="K248" s="41">
        <f t="shared" si="437"/>
        <v>298.49194287410489</v>
      </c>
      <c r="L248" s="6">
        <f t="shared" si="476"/>
        <v>165</v>
      </c>
      <c r="M248" s="41">
        <f t="shared" si="438"/>
        <v>176.85170028182117</v>
      </c>
      <c r="N248" s="41">
        <f t="shared" si="439"/>
        <v>92.009140514372376</v>
      </c>
      <c r="O248" s="41">
        <f t="shared" si="440"/>
        <v>1610560.9898818883</v>
      </c>
      <c r="P248" s="41">
        <f t="shared" si="441"/>
        <v>10340933.270748764</v>
      </c>
      <c r="Q248" s="41">
        <f t="shared" si="442"/>
        <v>2.9684322926589999E-3</v>
      </c>
      <c r="R248" s="41">
        <f t="shared" si="443"/>
        <v>2.3046986099112335E-2</v>
      </c>
      <c r="S248" s="24">
        <f t="shared" ca="1" si="477"/>
        <v>-5.3191174970289702E-16</v>
      </c>
      <c r="T248" s="10">
        <f t="shared" ca="1" si="444"/>
        <v>-5.3191174970289702E-16</v>
      </c>
      <c r="U248" s="41">
        <f t="shared" ca="1" si="445"/>
        <v>0.57867460676131033</v>
      </c>
      <c r="V248" s="41">
        <f t="shared" ca="1" si="446"/>
        <v>4.4195918119442984E-2</v>
      </c>
      <c r="W248" s="41">
        <f t="shared" ca="1" si="447"/>
        <v>13.093394851474658</v>
      </c>
      <c r="X248" s="20">
        <f t="shared" ca="1" si="448"/>
        <v>935.27854129511093</v>
      </c>
      <c r="Y248" s="41">
        <f t="shared" si="449"/>
        <v>0.60408391864909072</v>
      </c>
      <c r="Z248" s="41">
        <f t="shared" ca="1" si="450"/>
        <v>146.56970189516636</v>
      </c>
      <c r="AA248" s="14">
        <f t="shared" ca="1" si="451"/>
        <v>935.27854129511093</v>
      </c>
      <c r="AB248" s="14">
        <f t="shared" si="478"/>
        <v>5234.4042087224379</v>
      </c>
      <c r="AC248" s="25">
        <f t="shared" ca="1" si="452"/>
        <v>279173.1089196364</v>
      </c>
      <c r="AD248" s="41">
        <f t="shared" si="453"/>
        <v>1562427.4820499523</v>
      </c>
      <c r="AE248" s="5">
        <f t="shared" ca="1" si="454"/>
        <v>17.86790824706647</v>
      </c>
      <c r="AF248" s="7">
        <f t="shared" ca="1" si="455"/>
        <v>935.27854129511081</v>
      </c>
      <c r="AG248" s="41"/>
      <c r="AH248" s="41"/>
      <c r="AI248" s="41">
        <f t="shared" ca="1" si="456"/>
        <v>717.98932265959843</v>
      </c>
      <c r="AJ248" s="13">
        <f t="shared" ca="1" si="457"/>
        <v>-2.7710831924388099E-15</v>
      </c>
      <c r="AK248" s="11"/>
      <c r="AL248" s="6">
        <v>0</v>
      </c>
      <c r="AM248" s="6">
        <v>135</v>
      </c>
      <c r="AN248" s="41">
        <f t="shared" ca="1" si="458"/>
        <v>26.92459959973494</v>
      </c>
      <c r="AO248" s="41">
        <f t="shared" ca="1" si="459"/>
        <v>6.6319387605682936</v>
      </c>
      <c r="AP248" s="67">
        <f t="shared" si="479"/>
        <v>0.76767432476893471</v>
      </c>
      <c r="AQ248" s="11">
        <f t="shared" si="460"/>
        <v>1.0314301707183759</v>
      </c>
      <c r="AR248" s="11">
        <f t="shared" si="461"/>
        <v>0.8962407041850623</v>
      </c>
      <c r="AS248" s="11">
        <f t="shared" si="462"/>
        <v>0.86893008332386068</v>
      </c>
      <c r="AT248" s="11">
        <f t="shared" si="463"/>
        <v>534.97188664650002</v>
      </c>
      <c r="AU248" s="11">
        <f t="shared" si="464"/>
        <v>1896.6425030105124</v>
      </c>
      <c r="AV248" s="11">
        <f t="shared" si="465"/>
        <v>2.0653599150524844E-3</v>
      </c>
      <c r="AW248" s="11">
        <f t="shared" si="466"/>
        <v>3.8278171249107636E-7</v>
      </c>
      <c r="AX248" s="41">
        <f t="shared" ca="1" si="467"/>
        <v>1.214736146278051</v>
      </c>
      <c r="AY248" s="41">
        <f t="shared" ca="1" si="468"/>
        <v>1.6362737228672557</v>
      </c>
      <c r="AZ248" s="41">
        <f t="shared" si="469"/>
        <v>0.19374347287471558</v>
      </c>
    </row>
    <row r="249" spans="1:52" ht="14.5">
      <c r="A249" s="41">
        <f t="shared" ca="1" si="470"/>
        <v>2333.4616048486323</v>
      </c>
      <c r="B249" s="41">
        <f t="shared" ref="B249:C252" ca="1" si="480">A249/60</f>
        <v>38.891026747477206</v>
      </c>
      <c r="C249" s="41">
        <f t="shared" ca="1" si="480"/>
        <v>0.64818377912462011</v>
      </c>
      <c r="D249" s="41">
        <f t="shared" ca="1" si="472"/>
        <v>12219.046637688398</v>
      </c>
      <c r="E249" s="41">
        <f t="shared" ca="1" si="473"/>
        <v>113.39272732631548</v>
      </c>
      <c r="F249" s="41">
        <f t="shared" ca="1" si="474"/>
        <v>112.74295892966097</v>
      </c>
      <c r="G249" s="41"/>
      <c r="H249" s="7">
        <f t="shared" si="475"/>
        <v>3000</v>
      </c>
      <c r="I249" s="6">
        <v>15</v>
      </c>
      <c r="J249" s="41">
        <f t="shared" si="436"/>
        <v>0.2632532415619146</v>
      </c>
      <c r="K249" s="41">
        <f t="shared" si="437"/>
        <v>298.49194287410489</v>
      </c>
      <c r="L249" s="6">
        <f t="shared" si="476"/>
        <v>165</v>
      </c>
      <c r="M249" s="41">
        <f t="shared" si="438"/>
        <v>176.85170028182117</v>
      </c>
      <c r="N249" s="41">
        <f t="shared" si="439"/>
        <v>92.009140514372376</v>
      </c>
      <c r="O249" s="41">
        <f t="shared" si="440"/>
        <v>1610560.9898818883</v>
      </c>
      <c r="P249" s="41">
        <f t="shared" si="441"/>
        <v>10340933.270748764</v>
      </c>
      <c r="Q249" s="41">
        <f t="shared" si="442"/>
        <v>2.9684322926589999E-3</v>
      </c>
      <c r="R249" s="41">
        <f t="shared" si="443"/>
        <v>2.3046986099112335E-2</v>
      </c>
      <c r="S249" s="24">
        <f t="shared" ca="1" si="477"/>
        <v>5.3308381421069357E-16</v>
      </c>
      <c r="T249" s="10">
        <f t="shared" ca="1" si="444"/>
        <v>5.3308381421069357E-16</v>
      </c>
      <c r="U249" s="41">
        <f t="shared" ca="1" si="445"/>
        <v>0.57740230407631454</v>
      </c>
      <c r="V249" s="41">
        <f t="shared" ca="1" si="446"/>
        <v>4.4103022173357667E-2</v>
      </c>
      <c r="W249" s="41">
        <f t="shared" ca="1" si="447"/>
        <v>13.092125564699266</v>
      </c>
      <c r="X249" s="20">
        <f t="shared" ca="1" si="448"/>
        <v>933.31266777909752</v>
      </c>
      <c r="Y249" s="41">
        <f t="shared" si="449"/>
        <v>0.60408391864909072</v>
      </c>
      <c r="Z249" s="41">
        <f t="shared" ca="1" si="450"/>
        <v>146.40848552457993</v>
      </c>
      <c r="AA249" s="14">
        <f t="shared" ca="1" si="451"/>
        <v>933.31266777909764</v>
      </c>
      <c r="AB249" s="14">
        <f t="shared" si="478"/>
        <v>5234.4042087224379</v>
      </c>
      <c r="AC249" s="25">
        <f t="shared" ca="1" si="452"/>
        <v>278586.31151439686</v>
      </c>
      <c r="AD249" s="41">
        <f t="shared" si="453"/>
        <v>1562427.4820499523</v>
      </c>
      <c r="AE249" s="5">
        <f t="shared" ca="1" si="454"/>
        <v>17.830351470065235</v>
      </c>
      <c r="AF249" s="7">
        <f t="shared" ca="1" si="455"/>
        <v>933.31266777909764</v>
      </c>
      <c r="AG249" s="41"/>
      <c r="AH249" s="41"/>
      <c r="AI249" s="41">
        <f t="shared" ca="1" si="456"/>
        <v>716.48017203561187</v>
      </c>
      <c r="AJ249" s="13">
        <f t="shared" ca="1" si="457"/>
        <v>2.7771892584541279E-15</v>
      </c>
      <c r="AK249" s="11"/>
      <c r="AL249" s="6">
        <v>0</v>
      </c>
      <c r="AM249" s="6">
        <v>135</v>
      </c>
      <c r="AN249" s="41">
        <f t="shared" ca="1" si="458"/>
        <v>26.868006451335443</v>
      </c>
      <c r="AO249" s="41">
        <f t="shared" ca="1" si="459"/>
        <v>6.6319387605682936</v>
      </c>
      <c r="AP249" s="67">
        <f t="shared" si="479"/>
        <v>0.76767432476893471</v>
      </c>
      <c r="AQ249" s="11">
        <f t="shared" si="460"/>
        <v>1.0314301707183759</v>
      </c>
      <c r="AR249" s="11">
        <f t="shared" si="461"/>
        <v>0.8962407041850623</v>
      </c>
      <c r="AS249" s="11">
        <f t="shared" si="462"/>
        <v>0.86893008332386068</v>
      </c>
      <c r="AT249" s="11">
        <f t="shared" si="463"/>
        <v>534.97188664650002</v>
      </c>
      <c r="AU249" s="11">
        <f t="shared" si="464"/>
        <v>1896.6425030105124</v>
      </c>
      <c r="AV249" s="11">
        <f t="shared" si="465"/>
        <v>2.0653599150524844E-3</v>
      </c>
      <c r="AW249" s="11">
        <f t="shared" si="466"/>
        <v>3.8278171249107636E-7</v>
      </c>
      <c r="AX249" s="41">
        <f t="shared" ca="1" si="467"/>
        <v>1.2164061264389443</v>
      </c>
      <c r="AY249" s="41">
        <f t="shared" ca="1" si="468"/>
        <v>1.6385232193223926</v>
      </c>
      <c r="AZ249" s="41">
        <f t="shared" si="469"/>
        <v>0.19374347287471558</v>
      </c>
    </row>
    <row r="250" spans="1:52" ht="14.5">
      <c r="A250" s="41">
        <f t="shared" ca="1" si="470"/>
        <v>2468.4616048486323</v>
      </c>
      <c r="B250" s="41">
        <f t="shared" ca="1" si="480"/>
        <v>41.141026747477206</v>
      </c>
      <c r="C250" s="41">
        <f t="shared" ca="1" si="480"/>
        <v>0.68568377912462009</v>
      </c>
      <c r="D250" s="41">
        <f t="shared" ca="1" si="472"/>
        <v>12192.178631237062</v>
      </c>
      <c r="E250" s="41">
        <f t="shared" ca="1" si="473"/>
        <v>120.02466608688377</v>
      </c>
      <c r="F250" s="41">
        <f t="shared" ca="1" si="474"/>
        <v>119.37489769022926</v>
      </c>
      <c r="G250" s="41"/>
      <c r="H250" s="7">
        <f t="shared" si="475"/>
        <v>3000</v>
      </c>
      <c r="I250" s="6">
        <v>15</v>
      </c>
      <c r="J250" s="41">
        <f t="shared" si="436"/>
        <v>0.2632532415619146</v>
      </c>
      <c r="K250" s="41">
        <f t="shared" si="437"/>
        <v>298.49194287410489</v>
      </c>
      <c r="L250" s="6">
        <f t="shared" si="476"/>
        <v>165</v>
      </c>
      <c r="M250" s="41">
        <f t="shared" si="438"/>
        <v>176.85170028182117</v>
      </c>
      <c r="N250" s="41">
        <f t="shared" si="439"/>
        <v>92.009140514372376</v>
      </c>
      <c r="O250" s="41">
        <f t="shared" si="440"/>
        <v>1610560.9898818883</v>
      </c>
      <c r="P250" s="41">
        <f t="shared" si="441"/>
        <v>10340933.270748764</v>
      </c>
      <c r="Q250" s="41">
        <f t="shared" si="442"/>
        <v>2.9684322926589999E-3</v>
      </c>
      <c r="R250" s="41">
        <f t="shared" si="443"/>
        <v>2.3046986099112335E-2</v>
      </c>
      <c r="S250" s="24">
        <f t="shared" ca="1" si="477"/>
        <v>5.3425857548942192E-16</v>
      </c>
      <c r="T250" s="10">
        <f t="shared" ca="1" si="444"/>
        <v>5.3425857548942192E-16</v>
      </c>
      <c r="U250" s="41">
        <f t="shared" ca="1" si="445"/>
        <v>0.57613267566004445</v>
      </c>
      <c r="V250" s="41">
        <f t="shared" ca="1" si="446"/>
        <v>4.401052531260484E-2</v>
      </c>
      <c r="W250" s="41">
        <f t="shared" ca="1" si="447"/>
        <v>13.090792976630004</v>
      </c>
      <c r="X250" s="20">
        <f t="shared" ca="1" si="448"/>
        <v>931.35523974772423</v>
      </c>
      <c r="Y250" s="41">
        <f t="shared" si="449"/>
        <v>0.60408391864909072</v>
      </c>
      <c r="Z250" s="41">
        <f t="shared" ca="1" si="450"/>
        <v>146.24743085927415</v>
      </c>
      <c r="AA250" s="14">
        <f t="shared" ca="1" si="451"/>
        <v>931.35523974772423</v>
      </c>
      <c r="AB250" s="14">
        <f t="shared" si="478"/>
        <v>5234.4042087224379</v>
      </c>
      <c r="AC250" s="25">
        <f t="shared" ca="1" si="452"/>
        <v>278002.03501827596</v>
      </c>
      <c r="AD250" s="41">
        <f t="shared" si="453"/>
        <v>1562427.4820499523</v>
      </c>
      <c r="AE250" s="5">
        <f t="shared" ca="1" si="454"/>
        <v>17.792956038735884</v>
      </c>
      <c r="AF250" s="7">
        <f t="shared" ca="1" si="455"/>
        <v>931.35523974772434</v>
      </c>
      <c r="AG250" s="41"/>
      <c r="AH250" s="41"/>
      <c r="AI250" s="41">
        <f t="shared" ca="1" si="456"/>
        <v>714.97750479334354</v>
      </c>
      <c r="AJ250" s="13">
        <f t="shared" ca="1" si="457"/>
        <v>2.7833093737484978E-15</v>
      </c>
      <c r="AK250" s="11"/>
      <c r="AL250" s="6">
        <v>0</v>
      </c>
      <c r="AM250" s="6">
        <v>135</v>
      </c>
      <c r="AN250" s="41">
        <f t="shared" ca="1" si="458"/>
        <v>26.811656429750382</v>
      </c>
      <c r="AO250" s="41">
        <f t="shared" ca="1" si="459"/>
        <v>6.6319387605682936</v>
      </c>
      <c r="AP250" s="67">
        <f t="shared" si="479"/>
        <v>0.76767432476893471</v>
      </c>
      <c r="AQ250" s="11">
        <f t="shared" si="460"/>
        <v>1.0314301707183759</v>
      </c>
      <c r="AR250" s="11">
        <f t="shared" si="461"/>
        <v>0.8962407041850623</v>
      </c>
      <c r="AS250" s="11">
        <f t="shared" si="462"/>
        <v>0.86893008332386068</v>
      </c>
      <c r="AT250" s="11">
        <f t="shared" si="463"/>
        <v>534.97188664650002</v>
      </c>
      <c r="AU250" s="11">
        <f t="shared" si="464"/>
        <v>1896.6425030105124</v>
      </c>
      <c r="AV250" s="11">
        <f t="shared" si="465"/>
        <v>2.0653599150524844E-3</v>
      </c>
      <c r="AW250" s="11">
        <f t="shared" si="466"/>
        <v>3.8278171249107636E-7</v>
      </c>
      <c r="AX250" s="41">
        <f t="shared" ca="1" si="467"/>
        <v>1.2180827154297313</v>
      </c>
      <c r="AY250" s="41">
        <f t="shared" ca="1" si="468"/>
        <v>1.6407816180026977</v>
      </c>
      <c r="AZ250" s="41">
        <f t="shared" si="469"/>
        <v>0.19374347287471558</v>
      </c>
    </row>
    <row r="251" spans="1:52" ht="14.5">
      <c r="A251" s="41">
        <f t="shared" ca="1" si="470"/>
        <v>2603.4616048486323</v>
      </c>
      <c r="B251" s="41">
        <f t="shared" ca="1" si="480"/>
        <v>43.391026747477206</v>
      </c>
      <c r="C251" s="41">
        <f t="shared" ca="1" si="480"/>
        <v>0.72318377912462006</v>
      </c>
      <c r="D251" s="41">
        <f t="shared" ca="1" si="472"/>
        <v>12165.366974807312</v>
      </c>
      <c r="E251" s="41">
        <f t="shared" ca="1" si="473"/>
        <v>126.65660484745206</v>
      </c>
      <c r="F251" s="41">
        <f t="shared" ca="1" si="474"/>
        <v>126.00683645079755</v>
      </c>
      <c r="G251" s="41"/>
      <c r="H251" s="7">
        <f t="shared" si="475"/>
        <v>3000</v>
      </c>
      <c r="I251" s="6">
        <v>15</v>
      </c>
      <c r="J251" s="41">
        <f t="shared" si="436"/>
        <v>0.2632532415619146</v>
      </c>
      <c r="K251" s="41">
        <f t="shared" si="437"/>
        <v>298.49194287410489</v>
      </c>
      <c r="L251" s="6">
        <f t="shared" si="476"/>
        <v>165</v>
      </c>
      <c r="M251" s="41">
        <f t="shared" si="438"/>
        <v>176.85170028182117</v>
      </c>
      <c r="N251" s="41">
        <f t="shared" si="439"/>
        <v>92.009140514372376</v>
      </c>
      <c r="O251" s="41">
        <f t="shared" si="440"/>
        <v>1610560.9898818883</v>
      </c>
      <c r="P251" s="41">
        <f t="shared" si="441"/>
        <v>10340933.270748764</v>
      </c>
      <c r="Q251" s="41">
        <f t="shared" si="442"/>
        <v>2.9684322926589999E-3</v>
      </c>
      <c r="R251" s="41">
        <f t="shared" si="443"/>
        <v>2.3046986099112335E-2</v>
      </c>
      <c r="S251" s="24">
        <f t="shared" ca="1" si="477"/>
        <v>5.3543604571291234E-16</v>
      </c>
      <c r="T251" s="10">
        <f t="shared" ca="1" si="444"/>
        <v>5.3543604571291234E-16</v>
      </c>
      <c r="U251" s="41">
        <f t="shared" ca="1" si="445"/>
        <v>0.57486571002371645</v>
      </c>
      <c r="V251" s="41">
        <f t="shared" ca="1" si="446"/>
        <v>4.3918425416319774E-2</v>
      </c>
      <c r="W251" s="41">
        <f t="shared" ca="1" si="447"/>
        <v>13.089397094143099</v>
      </c>
      <c r="X251" s="20">
        <f t="shared" ca="1" si="448"/>
        <v>929.40621231903424</v>
      </c>
      <c r="Y251" s="41">
        <f t="shared" si="449"/>
        <v>0.60408391864909072</v>
      </c>
      <c r="Z251" s="41">
        <f t="shared" ca="1" si="450"/>
        <v>146.08653697428872</v>
      </c>
      <c r="AA251" s="14">
        <f t="shared" ca="1" si="451"/>
        <v>929.40621231903435</v>
      </c>
      <c r="AB251" s="14">
        <f t="shared" si="478"/>
        <v>5234.4042087224379</v>
      </c>
      <c r="AC251" s="25">
        <f t="shared" ca="1" si="452"/>
        <v>277420.26603437139</v>
      </c>
      <c r="AD251" s="41">
        <f t="shared" si="453"/>
        <v>1562427.4820499523</v>
      </c>
      <c r="AE251" s="5">
        <f t="shared" ca="1" si="454"/>
        <v>17.755721095636876</v>
      </c>
      <c r="AF251" s="7">
        <f t="shared" ca="1" si="455"/>
        <v>929.40621231903435</v>
      </c>
      <c r="AG251" s="41"/>
      <c r="AH251" s="41"/>
      <c r="AI251" s="41">
        <f t="shared" ca="1" si="456"/>
        <v>713.48128647806789</v>
      </c>
      <c r="AJ251" s="13">
        <f t="shared" ca="1" si="457"/>
        <v>2.7894436017435254E-15</v>
      </c>
      <c r="AK251" s="11"/>
      <c r="AL251" s="6">
        <v>0</v>
      </c>
      <c r="AM251" s="6">
        <v>135</v>
      </c>
      <c r="AN251" s="41">
        <f t="shared" ca="1" si="458"/>
        <v>26.755548242927546</v>
      </c>
      <c r="AO251" s="41">
        <f t="shared" ca="1" si="459"/>
        <v>6.6319387605682936</v>
      </c>
      <c r="AP251" s="67">
        <f t="shared" si="479"/>
        <v>0.76767432476893471</v>
      </c>
      <c r="AQ251" s="11">
        <f t="shared" si="460"/>
        <v>1.0314301707183759</v>
      </c>
      <c r="AR251" s="11">
        <f t="shared" si="461"/>
        <v>0.8962407041850623</v>
      </c>
      <c r="AS251" s="11">
        <f t="shared" si="462"/>
        <v>0.86893008332386068</v>
      </c>
      <c r="AT251" s="11">
        <f t="shared" si="463"/>
        <v>534.97188664650002</v>
      </c>
      <c r="AU251" s="11">
        <f t="shared" si="464"/>
        <v>1896.6425030105124</v>
      </c>
      <c r="AV251" s="11">
        <f t="shared" si="465"/>
        <v>2.0653599150524844E-3</v>
      </c>
      <c r="AW251" s="11">
        <f t="shared" si="466"/>
        <v>3.8278171249107636E-7</v>
      </c>
      <c r="AX251" s="41">
        <f t="shared" ca="1" si="467"/>
        <v>1.2197659276585935</v>
      </c>
      <c r="AY251" s="41">
        <f t="shared" ca="1" si="468"/>
        <v>1.6430489383162776</v>
      </c>
      <c r="AZ251" s="41">
        <f t="shared" si="469"/>
        <v>0.19374347287471558</v>
      </c>
    </row>
    <row r="252" spans="1:52" ht="14.5">
      <c r="A252" s="41">
        <f t="shared" ca="1" si="470"/>
        <v>2738.4616048486323</v>
      </c>
      <c r="B252" s="41">
        <f t="shared" ca="1" si="480"/>
        <v>45.641026747477206</v>
      </c>
      <c r="C252" s="41">
        <f t="shared" ca="1" si="480"/>
        <v>0.76068377912462004</v>
      </c>
      <c r="D252" s="41">
        <f t="shared" ca="1" si="472"/>
        <v>12138.611426564385</v>
      </c>
      <c r="E252" s="41">
        <f t="shared" ca="1" si="473"/>
        <v>133.28854360802035</v>
      </c>
      <c r="F252" s="41">
        <f t="shared" ca="1" si="474"/>
        <v>132.63877521136584</v>
      </c>
      <c r="G252" s="41"/>
      <c r="H252" s="7">
        <f t="shared" si="475"/>
        <v>3000</v>
      </c>
      <c r="I252" s="6">
        <v>15</v>
      </c>
      <c r="J252" s="41">
        <f t="shared" si="436"/>
        <v>0.2632532415619146</v>
      </c>
      <c r="K252" s="41">
        <f t="shared" si="437"/>
        <v>298.49194287410489</v>
      </c>
      <c r="L252" s="6">
        <f t="shared" si="476"/>
        <v>165</v>
      </c>
      <c r="M252" s="41">
        <f t="shared" si="438"/>
        <v>176.85170028182117</v>
      </c>
      <c r="N252" s="41">
        <f t="shared" si="439"/>
        <v>92.009140514372376</v>
      </c>
      <c r="O252" s="41">
        <f t="shared" si="440"/>
        <v>1610560.9898818883</v>
      </c>
      <c r="P252" s="41">
        <f t="shared" si="441"/>
        <v>10340933.270748764</v>
      </c>
      <c r="Q252" s="41">
        <f t="shared" si="442"/>
        <v>2.9684322926589999E-3</v>
      </c>
      <c r="R252" s="41">
        <f t="shared" si="443"/>
        <v>2.3046986099112335E-2</v>
      </c>
      <c r="S252" s="24">
        <f t="shared" ca="1" si="477"/>
        <v>5.3661623712432237E-16</v>
      </c>
      <c r="T252" s="10">
        <f t="shared" ca="1" si="444"/>
        <v>5.3661623712432237E-16</v>
      </c>
      <c r="U252" s="41">
        <f t="shared" ca="1" si="445"/>
        <v>0.57360139573960189</v>
      </c>
      <c r="V252" s="41">
        <f t="shared" ca="1" si="446"/>
        <v>4.382672037811039E-2</v>
      </c>
      <c r="W252" s="41">
        <f t="shared" ca="1" si="447"/>
        <v>13.087937924419546</v>
      </c>
      <c r="X252" s="20">
        <f t="shared" ca="1" si="448"/>
        <v>927.46554091734311</v>
      </c>
      <c r="Y252" s="41">
        <f t="shared" si="449"/>
        <v>0.60408391864909072</v>
      </c>
      <c r="Z252" s="41">
        <f t="shared" ca="1" si="450"/>
        <v>145.92580294781675</v>
      </c>
      <c r="AA252" s="14">
        <f t="shared" ca="1" si="451"/>
        <v>927.46554091734322</v>
      </c>
      <c r="AB252" s="14">
        <f t="shared" si="478"/>
        <v>5234.4042087224379</v>
      </c>
      <c r="AC252" s="25">
        <f t="shared" ca="1" si="452"/>
        <v>276840.99125720043</v>
      </c>
      <c r="AD252" s="41">
        <f t="shared" si="453"/>
        <v>1562427.4820499523</v>
      </c>
      <c r="AE252" s="5">
        <f t="shared" ca="1" si="454"/>
        <v>17.718645789177788</v>
      </c>
      <c r="AF252" s="7">
        <f t="shared" ca="1" si="455"/>
        <v>927.46554091734322</v>
      </c>
      <c r="AG252" s="41"/>
      <c r="AH252" s="41"/>
      <c r="AI252" s="41">
        <f t="shared" ca="1" si="456"/>
        <v>711.99148287017624</v>
      </c>
      <c r="AJ252" s="13">
        <f t="shared" ca="1" si="457"/>
        <v>2.7955920062219855E-15</v>
      </c>
      <c r="AK252" s="11"/>
      <c r="AL252" s="6">
        <v>0</v>
      </c>
      <c r="AM252" s="6">
        <v>0</v>
      </c>
      <c r="AN252" s="41">
        <f t="shared" ca="1" si="458"/>
        <v>0</v>
      </c>
      <c r="AO252" s="41">
        <f t="shared" ca="1" si="459"/>
        <v>0</v>
      </c>
      <c r="AP252" s="67">
        <f t="shared" si="479"/>
        <v>0.76767432476893471</v>
      </c>
      <c r="AQ252" s="11">
        <f t="shared" si="460"/>
        <v>1.0314301707183759</v>
      </c>
      <c r="AR252" s="11">
        <f t="shared" si="461"/>
        <v>0.8962407041850623</v>
      </c>
      <c r="AS252" s="11">
        <f t="shared" si="462"/>
        <v>0.86893008332386068</v>
      </c>
      <c r="AT252" s="11">
        <f t="shared" si="463"/>
        <v>534.97188664650002</v>
      </c>
      <c r="AU252" s="11">
        <f t="shared" si="464"/>
        <v>1896.6425030105124</v>
      </c>
      <c r="AV252" s="11">
        <f t="shared" si="465"/>
        <v>2.0653599150524844E-3</v>
      </c>
      <c r="AW252" s="11">
        <f t="shared" si="466"/>
        <v>3.8278171249107636E-7</v>
      </c>
      <c r="AX252" s="41">
        <f t="shared" ca="1" si="467"/>
        <v>1.2214557777240043</v>
      </c>
      <c r="AY252" s="41">
        <f t="shared" ca="1" si="468"/>
        <v>1.6453251999275662</v>
      </c>
      <c r="AZ252" s="41">
        <f t="shared" si="469"/>
        <v>0.19374347287471558</v>
      </c>
    </row>
    <row r="253" spans="1:52" ht="14.5">
      <c r="AC253" s="3"/>
      <c r="AD253" s="3"/>
      <c r="AP253" s="53"/>
    </row>
    <row r="254" spans="1:52" ht="14.5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5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</row>
    <row r="255" spans="1:52" thickBot="1">
      <c r="A255" s="26" t="s">
        <v>186</v>
      </c>
      <c r="B255" s="29"/>
      <c r="H255" s="21"/>
      <c r="K255" s="26" t="s">
        <v>127</v>
      </c>
      <c r="L255" s="26"/>
      <c r="S255" s="32"/>
      <c r="AC255" s="38"/>
      <c r="AJ255" s="2"/>
      <c r="AL255" s="21"/>
      <c r="AN255" s="48"/>
      <c r="AP255" s="53"/>
    </row>
    <row r="256" spans="1:52" ht="26.5" thickBot="1">
      <c r="D256" s="39" t="s">
        <v>131</v>
      </c>
      <c r="E256" s="39" t="s">
        <v>132</v>
      </c>
      <c r="F256" s="39" t="s">
        <v>133</v>
      </c>
      <c r="G256" s="39" t="s">
        <v>134</v>
      </c>
      <c r="H256" s="39" t="s">
        <v>135</v>
      </c>
      <c r="I256" s="7" t="s">
        <v>170</v>
      </c>
      <c r="J256" s="21" t="s">
        <v>197</v>
      </c>
      <c r="K256" s="7" t="s">
        <v>138</v>
      </c>
      <c r="N256" s="152" t="s">
        <v>297</v>
      </c>
      <c r="O256" s="152" t="s">
        <v>27</v>
      </c>
      <c r="P256" s="152" t="s">
        <v>298</v>
      </c>
      <c r="Q256" s="152" t="s">
        <v>299</v>
      </c>
      <c r="R256" s="152" t="s">
        <v>300</v>
      </c>
      <c r="S256" s="152" t="s">
        <v>301</v>
      </c>
      <c r="T256" s="152" t="s">
        <v>302</v>
      </c>
      <c r="U256" s="152" t="s">
        <v>303</v>
      </c>
      <c r="V256" s="152" t="s">
        <v>304</v>
      </c>
      <c r="W256" s="152"/>
      <c r="X256" s="158" t="s">
        <v>305</v>
      </c>
      <c r="Y256" s="158" t="s">
        <v>300</v>
      </c>
      <c r="Z256" s="158" t="s">
        <v>305</v>
      </c>
      <c r="AA256" s="158" t="s">
        <v>301</v>
      </c>
      <c r="AB256" s="158" t="s">
        <v>302</v>
      </c>
      <c r="AC256" s="158" t="s">
        <v>303</v>
      </c>
      <c r="AD256" s="158" t="s">
        <v>304</v>
      </c>
      <c r="AF256" s="159" t="s">
        <v>27</v>
      </c>
      <c r="AG256" s="165" t="s">
        <v>307</v>
      </c>
      <c r="AH256" s="160" t="s">
        <v>306</v>
      </c>
      <c r="AR256" s="53"/>
    </row>
    <row r="257" spans="1:44" thickBot="1">
      <c r="A257" s="73" t="s">
        <v>128</v>
      </c>
      <c r="B257" s="46" t="s">
        <v>129</v>
      </c>
      <c r="C257" s="46" t="s">
        <v>130</v>
      </c>
      <c r="D257" s="21">
        <v>0</v>
      </c>
      <c r="E257" s="32">
        <f>D257*1125.33</f>
        <v>0</v>
      </c>
      <c r="F257" s="21">
        <f>AH257*0.95</f>
        <v>4860.8885903999999</v>
      </c>
      <c r="G257" s="32">
        <f t="shared" ref="G257:G283" si="481">(F257/$B$10)-$B$258</f>
        <v>0.24195409457076564</v>
      </c>
      <c r="H257" s="32">
        <f t="shared" ref="H257:H283" si="482">((($B$260)/(2*($B$10/$B$3)))*(($B$258*$B$18)-$B$261-($B$268*$B$18^2)))</f>
        <v>-1.8412436128041134E-6</v>
      </c>
      <c r="I257" s="21">
        <v>0</v>
      </c>
      <c r="J257" s="21">
        <v>0</v>
      </c>
      <c r="K257" s="32" t="e">
        <f ca="1">SQRT(B266^2-(B266-50)^2)</f>
        <v>#NUM!</v>
      </c>
      <c r="L257" s="21" t="s">
        <v>9</v>
      </c>
      <c r="N257" s="153">
        <v>0</v>
      </c>
      <c r="O257" s="153">
        <v>0</v>
      </c>
      <c r="P257" s="153">
        <v>70</v>
      </c>
      <c r="Q257" s="153">
        <v>298</v>
      </c>
      <c r="R257" s="153">
        <v>20244.56522</v>
      </c>
      <c r="S257" s="153">
        <v>13994.56522</v>
      </c>
      <c r="T257" s="153">
        <v>9442.9347830000006</v>
      </c>
      <c r="U257" s="153">
        <v>6046.1956520000003</v>
      </c>
      <c r="V257" s="153">
        <v>4687.5</v>
      </c>
      <c r="W257" s="153"/>
      <c r="X257" s="153">
        <v>5116.7248319999999</v>
      </c>
      <c r="Y257" s="153">
        <v>6279.9999989999997</v>
      </c>
      <c r="Z257" s="153">
        <v>5116.7248319999999</v>
      </c>
      <c r="AA257" s="153">
        <v>4341.2080530000003</v>
      </c>
      <c r="AB257" s="153">
        <v>2929.2617449999998</v>
      </c>
      <c r="AC257" s="153">
        <v>1875.5704699999999</v>
      </c>
      <c r="AD257" s="153">
        <v>1454.0939599999999</v>
      </c>
      <c r="AF257" s="161">
        <v>0</v>
      </c>
      <c r="AG257" s="141">
        <f t="shared" ref="AG257:AG262" si="483">$Y$257+(AF257-$O$257)*(($Y$258-$Y$257)/($O$258-$O$257))</f>
        <v>6279.9999989999997</v>
      </c>
      <c r="AH257" s="141">
        <f t="shared" ref="AH257:AH262" si="484">$Z$257+(AF257-$O$257)*(($Z$258-$Z$257)/($O$258-$O$257))</f>
        <v>5116.7248319999999</v>
      </c>
      <c r="AR257" s="53"/>
    </row>
    <row r="258" spans="1:44" thickBot="1">
      <c r="A258" s="73" t="s">
        <v>141</v>
      </c>
      <c r="B258" s="46">
        <v>0.04</v>
      </c>
      <c r="C258" s="46">
        <v>0.3</v>
      </c>
      <c r="D258" s="32">
        <v>0.01</v>
      </c>
      <c r="E258" s="32">
        <f t="shared" ref="E258:E283" si="485">D258*1125.33</f>
        <v>11.253299999999999</v>
      </c>
      <c r="F258" s="21">
        <f t="shared" ref="F258:F277" si="486">AH258*0.95</f>
        <v>4848.8765097699998</v>
      </c>
      <c r="G258" s="32">
        <f t="shared" si="481"/>
        <v>0.24125733815371228</v>
      </c>
      <c r="H258" s="32">
        <f t="shared" si="482"/>
        <v>-1.8412436128041134E-6</v>
      </c>
      <c r="I258" s="32">
        <f>(((1)/(2*$B$262*$H$257))*LN(($G$257+($H$257*$E$258^2))/($G$257+($H$257*$E$257^2))))</f>
        <v>8.1387012703909942</v>
      </c>
      <c r="J258" s="32">
        <f t="shared" ref="J258:J283" si="487">I258/E258</f>
        <v>0.72322796605360162</v>
      </c>
      <c r="N258" s="153">
        <v>0</v>
      </c>
      <c r="O258" s="153">
        <v>0.05</v>
      </c>
      <c r="P258" s="153">
        <v>73</v>
      </c>
      <c r="Q258" s="153">
        <v>295</v>
      </c>
      <c r="R258" s="153">
        <v>20040.760869999998</v>
      </c>
      <c r="S258" s="153">
        <v>13790.76087</v>
      </c>
      <c r="T258" s="153">
        <v>9307.0652169999994</v>
      </c>
      <c r="U258" s="153">
        <v>5978.2608700000001</v>
      </c>
      <c r="V258" s="153">
        <v>4619.5652170000003</v>
      </c>
      <c r="W258" s="153"/>
      <c r="X258" s="153">
        <v>5053.5033549999998</v>
      </c>
      <c r="Y258" s="153">
        <v>6216.778523</v>
      </c>
      <c r="Z258" s="153">
        <v>5053.5033549999998</v>
      </c>
      <c r="AA258" s="153">
        <v>4277.9865769999997</v>
      </c>
      <c r="AB258" s="153">
        <v>2887.114094</v>
      </c>
      <c r="AC258" s="153">
        <v>1854.4966440000001</v>
      </c>
      <c r="AD258" s="153">
        <v>1433.0201340000001</v>
      </c>
      <c r="AF258" s="161">
        <v>0.01</v>
      </c>
      <c r="AG258" s="141">
        <f t="shared" si="483"/>
        <v>6267.3557037999999</v>
      </c>
      <c r="AH258" s="141">
        <f t="shared" si="484"/>
        <v>5104.0805365999995</v>
      </c>
      <c r="AR258" s="53"/>
    </row>
    <row r="259" spans="1:44" thickBot="1">
      <c r="A259" s="73" t="s">
        <v>145</v>
      </c>
      <c r="B259" s="46">
        <v>0.08</v>
      </c>
      <c r="C259" s="46">
        <v>0.2</v>
      </c>
      <c r="D259" s="21">
        <v>0.02</v>
      </c>
      <c r="E259" s="32">
        <f t="shared" si="485"/>
        <v>22.506599999999999</v>
      </c>
      <c r="F259" s="21">
        <f t="shared" si="486"/>
        <v>4836.8644291399996</v>
      </c>
      <c r="G259" s="32">
        <f t="shared" si="481"/>
        <v>0.24056058173665892</v>
      </c>
      <c r="H259" s="32">
        <f t="shared" si="482"/>
        <v>-1.8412436128041134E-6</v>
      </c>
      <c r="I259" s="32">
        <f>(((1)/(2*$B$262*$H$258))*LN(($G$258+($H$258*$E$259^2))/($G$258+($H$258*$E$258^2))))</f>
        <v>24.534113610572941</v>
      </c>
      <c r="J259" s="32">
        <f t="shared" si="487"/>
        <v>1.0900852910067689</v>
      </c>
      <c r="K259" s="7" t="s">
        <v>148</v>
      </c>
      <c r="N259" s="153">
        <v>0</v>
      </c>
      <c r="O259" s="153">
        <v>0.1</v>
      </c>
      <c r="P259" s="153">
        <v>76</v>
      </c>
      <c r="Q259" s="153">
        <v>292</v>
      </c>
      <c r="R259" s="153">
        <v>19836.95652</v>
      </c>
      <c r="S259" s="153">
        <v>13586.95652</v>
      </c>
      <c r="T259" s="153">
        <v>9103.2608700000001</v>
      </c>
      <c r="U259" s="153">
        <v>5978.2608700000001</v>
      </c>
      <c r="V259" s="153">
        <v>4619.5652170000003</v>
      </c>
      <c r="W259" s="153"/>
      <c r="X259" s="153">
        <v>4990.2818790000001</v>
      </c>
      <c r="Y259" s="153">
        <v>6153.5570459999999</v>
      </c>
      <c r="Z259" s="153">
        <v>4990.2818790000001</v>
      </c>
      <c r="AA259" s="153">
        <v>4214.7650999999996</v>
      </c>
      <c r="AB259" s="153">
        <v>2823.892617</v>
      </c>
      <c r="AC259" s="153">
        <v>1854.4966440000001</v>
      </c>
      <c r="AD259" s="153">
        <v>1433.0201340000001</v>
      </c>
      <c r="AF259" s="161">
        <v>0.02</v>
      </c>
      <c r="AG259" s="141">
        <f t="shared" si="483"/>
        <v>6254.7114086000001</v>
      </c>
      <c r="AH259" s="141">
        <f t="shared" si="484"/>
        <v>5091.4362412</v>
      </c>
      <c r="AR259" s="53"/>
    </row>
    <row r="260" spans="1:44" thickBot="1">
      <c r="A260" s="74" t="s">
        <v>147</v>
      </c>
      <c r="B260" s="46">
        <f>$AV$292</f>
        <v>1.8844322965351538E-3</v>
      </c>
      <c r="D260" s="32">
        <v>0.03</v>
      </c>
      <c r="E260" s="32">
        <f t="shared" si="485"/>
        <v>33.759899999999995</v>
      </c>
      <c r="F260" s="21">
        <f t="shared" si="486"/>
        <v>4824.8523485099995</v>
      </c>
      <c r="G260" s="32">
        <f t="shared" si="481"/>
        <v>0.23986382531960551</v>
      </c>
      <c r="H260" s="32">
        <f t="shared" si="482"/>
        <v>-1.8412436128041134E-6</v>
      </c>
      <c r="I260" s="32">
        <f>(((1)/(2*$B$262*$H$259))*LN(($G$259+($H$259*$E$260^2))/($G$259+($H$259*$E$259^2))))</f>
        <v>41.16896700817221</v>
      </c>
      <c r="J260" s="32">
        <f t="shared" si="487"/>
        <v>1.2194635353828718</v>
      </c>
      <c r="K260" s="32" t="e">
        <f ca="1">(50-K263)/TAN(RADIANS(B267))</f>
        <v>#NUM!</v>
      </c>
      <c r="N260" s="153">
        <v>0</v>
      </c>
      <c r="O260" s="153">
        <v>0.15</v>
      </c>
      <c r="P260" s="153">
        <v>79</v>
      </c>
      <c r="Q260" s="153">
        <v>289</v>
      </c>
      <c r="R260" s="153">
        <v>19633.152170000001</v>
      </c>
      <c r="S260" s="153">
        <v>13451.086960000001</v>
      </c>
      <c r="T260" s="153">
        <v>9035.3260869999995</v>
      </c>
      <c r="U260" s="153">
        <v>5978.2608700000001</v>
      </c>
      <c r="V260" s="153">
        <v>4619.5652170000003</v>
      </c>
      <c r="W260" s="153"/>
      <c r="X260" s="153">
        <v>4939.7046970000001</v>
      </c>
      <c r="Y260" s="153">
        <v>6090.3355700000002</v>
      </c>
      <c r="Z260" s="153">
        <v>4939.7046970000001</v>
      </c>
      <c r="AA260" s="153">
        <v>4172.6174490000003</v>
      </c>
      <c r="AB260" s="153">
        <v>2802.818792</v>
      </c>
      <c r="AC260" s="153">
        <v>1854.4966440000001</v>
      </c>
      <c r="AD260" s="153">
        <v>1433.0201340000001</v>
      </c>
      <c r="AF260" s="161">
        <v>0.03</v>
      </c>
      <c r="AG260" s="141">
        <f t="shared" si="483"/>
        <v>6242.0671133999995</v>
      </c>
      <c r="AH260" s="141">
        <f t="shared" si="484"/>
        <v>5078.7919457999997</v>
      </c>
      <c r="AR260" s="53"/>
    </row>
    <row r="261" spans="1:44" thickBot="1">
      <c r="A261" s="74" t="s">
        <v>150</v>
      </c>
      <c r="B261" s="46">
        <f>$R$292</f>
        <v>2.3693269819668974E-2</v>
      </c>
      <c r="D261" s="21">
        <v>0.04</v>
      </c>
      <c r="E261" s="32">
        <f t="shared" si="485"/>
        <v>45.013199999999998</v>
      </c>
      <c r="F261" s="21">
        <f t="shared" si="486"/>
        <v>4812.8402678800003</v>
      </c>
      <c r="G261" s="32">
        <f t="shared" si="481"/>
        <v>0.23916706890255221</v>
      </c>
      <c r="H261" s="32">
        <f t="shared" si="482"/>
        <v>-1.8412436128041134E-6</v>
      </c>
      <c r="I261" s="32">
        <f>(((1)/(2*$B$262*$H$260))*LN(($G$260+($H$260*$E$261^2))/($G$260+($H$260*$E$260^2))))</f>
        <v>58.146452943452438</v>
      </c>
      <c r="J261" s="32">
        <f t="shared" si="487"/>
        <v>1.2917644811622466</v>
      </c>
      <c r="N261" s="153">
        <v>0</v>
      </c>
      <c r="O261" s="153">
        <v>0.2</v>
      </c>
      <c r="P261" s="153">
        <v>81</v>
      </c>
      <c r="Q261" s="153">
        <v>287</v>
      </c>
      <c r="R261" s="153">
        <v>19497.282609999998</v>
      </c>
      <c r="S261" s="153">
        <v>13383.152169999999</v>
      </c>
      <c r="T261" s="153">
        <v>9035.3260869999995</v>
      </c>
      <c r="U261" s="153">
        <v>5978.2608700000001</v>
      </c>
      <c r="V261" s="153">
        <v>4619.5652170000003</v>
      </c>
      <c r="W261" s="153"/>
      <c r="X261" s="153">
        <v>4910.2013420000003</v>
      </c>
      <c r="Y261" s="153">
        <v>6048.187919</v>
      </c>
      <c r="Z261" s="153">
        <v>4910.2013420000003</v>
      </c>
      <c r="AA261" s="153">
        <v>4151.5436239999999</v>
      </c>
      <c r="AB261" s="153">
        <v>2802.818792</v>
      </c>
      <c r="AC261" s="153">
        <v>1854.4966440000001</v>
      </c>
      <c r="AD261" s="153">
        <v>1433.0201340000001</v>
      </c>
      <c r="AF261" s="161">
        <v>0.04</v>
      </c>
      <c r="AG261" s="141">
        <f t="shared" si="483"/>
        <v>6229.4228181999997</v>
      </c>
      <c r="AH261" s="141">
        <f t="shared" si="484"/>
        <v>5066.1476504000002</v>
      </c>
      <c r="AR261" s="53"/>
    </row>
    <row r="262" spans="1:44" thickBot="1">
      <c r="A262" s="74" t="s">
        <v>152</v>
      </c>
      <c r="B262" s="47">
        <v>32.17</v>
      </c>
      <c r="D262" s="32">
        <v>0.05</v>
      </c>
      <c r="E262" s="32">
        <f t="shared" si="485"/>
        <v>56.266500000000001</v>
      </c>
      <c r="F262" s="21">
        <f t="shared" si="486"/>
        <v>4800.8281872499992</v>
      </c>
      <c r="G262" s="32">
        <f t="shared" si="481"/>
        <v>0.2384703124854988</v>
      </c>
      <c r="H262" s="32">
        <f t="shared" si="482"/>
        <v>-1.8412436128041134E-6</v>
      </c>
      <c r="I262" s="32">
        <f>(((1)/(2*$B$262*$H$261))*LN(($G$261+($H$261*$E$262^2))/($G$261+($H$261*$E$261^2))))</f>
        <v>75.577137453555949</v>
      </c>
      <c r="J262" s="32">
        <f t="shared" si="487"/>
        <v>1.3431995495286884</v>
      </c>
      <c r="K262" s="136" t="s">
        <v>139</v>
      </c>
      <c r="N262" s="153">
        <v>0</v>
      </c>
      <c r="O262" s="153">
        <v>0.25</v>
      </c>
      <c r="P262" s="153">
        <v>82</v>
      </c>
      <c r="Q262" s="153">
        <v>286</v>
      </c>
      <c r="R262" s="153">
        <v>19429.347829999999</v>
      </c>
      <c r="S262" s="153">
        <v>13349.18478</v>
      </c>
      <c r="T262" s="153">
        <v>8967.3913040000007</v>
      </c>
      <c r="U262" s="153">
        <v>5910.3260870000004</v>
      </c>
      <c r="V262" s="153">
        <v>4619.5652170000003</v>
      </c>
      <c r="W262" s="153"/>
      <c r="X262" s="153">
        <v>4895.4496639999998</v>
      </c>
      <c r="Y262" s="153">
        <v>6027.1140930000001</v>
      </c>
      <c r="Z262" s="153">
        <v>4895.4496639999998</v>
      </c>
      <c r="AA262" s="153">
        <v>4141.006711</v>
      </c>
      <c r="AB262" s="153">
        <v>2781.7449660000002</v>
      </c>
      <c r="AC262" s="153">
        <v>1833.4228189999999</v>
      </c>
      <c r="AD262" s="153">
        <v>1433.0201340000001</v>
      </c>
      <c r="AF262" s="161">
        <v>0.05</v>
      </c>
      <c r="AG262" s="141">
        <f t="shared" si="483"/>
        <v>6216.778523</v>
      </c>
      <c r="AH262" s="141">
        <f t="shared" si="484"/>
        <v>5053.5033549999998</v>
      </c>
      <c r="AR262" s="53"/>
    </row>
    <row r="263" spans="1:44" thickBot="1">
      <c r="A263" s="133" t="s">
        <v>154</v>
      </c>
      <c r="B263" s="32" t="e">
        <f ca="1">$E$1</f>
        <v>#NUM!</v>
      </c>
      <c r="C263" s="21" t="s">
        <v>9</v>
      </c>
      <c r="D263" s="21">
        <v>0.06</v>
      </c>
      <c r="E263" s="32">
        <f t="shared" si="485"/>
        <v>67.519799999999989</v>
      </c>
      <c r="F263" s="21">
        <f t="shared" si="486"/>
        <v>4788.8161068099998</v>
      </c>
      <c r="G263" s="32">
        <f t="shared" si="481"/>
        <v>0.23777355607946635</v>
      </c>
      <c r="H263" s="32">
        <f t="shared" si="482"/>
        <v>-1.8412436128041134E-6</v>
      </c>
      <c r="I263" s="32">
        <f>(((1)/(2*$B$262*$H$262))*LN(($G$262+($H$262*$E$263^2))/($G$262+($H$262*$E$262^2))))</f>
        <v>93.581525621363227</v>
      </c>
      <c r="J263" s="32">
        <f t="shared" si="487"/>
        <v>1.3859864161529394</v>
      </c>
      <c r="K263" s="32" t="e">
        <f ca="1">B266*(1-COS(RADIANS(B267)))</f>
        <v>#NUM!</v>
      </c>
      <c r="L263" s="21" t="s">
        <v>9</v>
      </c>
      <c r="N263" s="153">
        <v>0</v>
      </c>
      <c r="O263" s="153">
        <v>0.3</v>
      </c>
      <c r="P263" s="153">
        <v>82</v>
      </c>
      <c r="Q263" s="153">
        <v>286</v>
      </c>
      <c r="R263" s="153">
        <v>19429.347829999999</v>
      </c>
      <c r="S263" s="153">
        <v>13349.18478</v>
      </c>
      <c r="T263" s="153">
        <v>8967.3913040000007</v>
      </c>
      <c r="U263" s="153">
        <v>5910.3260870000004</v>
      </c>
      <c r="V263" s="153">
        <v>4619.5652170000003</v>
      </c>
      <c r="W263" s="153"/>
      <c r="X263" s="153">
        <v>4895.4496639999998</v>
      </c>
      <c r="Y263" s="153">
        <v>6027.1140930000001</v>
      </c>
      <c r="Z263" s="153">
        <v>4895.4496639999998</v>
      </c>
      <c r="AA263" s="153">
        <v>4141.006711</v>
      </c>
      <c r="AB263" s="153">
        <v>2781.7449660000002</v>
      </c>
      <c r="AC263" s="153">
        <v>1833.4228189999999</v>
      </c>
      <c r="AD263" s="153">
        <v>1433.0201340000001</v>
      </c>
      <c r="AF263" s="161">
        <v>0.06</v>
      </c>
      <c r="AG263" s="141">
        <f>$Y$258+(AF263-$O$258)*(($Y$259-$Y$258)/($O$259-$O$258))</f>
        <v>6204.1342275999996</v>
      </c>
      <c r="AH263" s="141">
        <f>$Z$258+(AF263-$O$258)*(($Z$259-$Z$258)/($O$259-$O$258))</f>
        <v>5040.8590598000001</v>
      </c>
      <c r="AR263" s="53"/>
    </row>
    <row r="264" spans="1:44" thickBot="1">
      <c r="A264" s="70" t="s">
        <v>155</v>
      </c>
      <c r="B264" s="32">
        <f>0.9*B18</f>
        <v>2.16</v>
      </c>
      <c r="D264" s="32">
        <v>7.0000000000000007E-2</v>
      </c>
      <c r="E264" s="32">
        <f t="shared" si="485"/>
        <v>78.773099999999999</v>
      </c>
      <c r="F264" s="21">
        <f t="shared" si="486"/>
        <v>4776.8040263700004</v>
      </c>
      <c r="G264" s="32">
        <f t="shared" si="481"/>
        <v>0.2370767996734339</v>
      </c>
      <c r="H264" s="32">
        <f t="shared" si="482"/>
        <v>-1.8412436128041134E-6</v>
      </c>
      <c r="I264" s="32">
        <f>(((1)/(2*$B$262*$H$263))*LN(($G$263+($H$263*$E$264^2))/($G$263+($H$263*$E$263^2))))</f>
        <v>112.29308889292321</v>
      </c>
      <c r="J264" s="32">
        <f t="shared" si="487"/>
        <v>1.4255258316979174</v>
      </c>
      <c r="N264" s="153">
        <v>0</v>
      </c>
      <c r="O264" s="153">
        <v>0.35</v>
      </c>
      <c r="P264" s="153">
        <v>81</v>
      </c>
      <c r="Q264" s="153">
        <v>287</v>
      </c>
      <c r="R264" s="153">
        <v>19497.282609999998</v>
      </c>
      <c r="S264" s="153">
        <v>13383.152169999999</v>
      </c>
      <c r="T264" s="153">
        <v>9035.3260869999995</v>
      </c>
      <c r="U264" s="153">
        <v>5978.2608700000001</v>
      </c>
      <c r="V264" s="153">
        <v>4619.5652170000003</v>
      </c>
      <c r="W264" s="153"/>
      <c r="X264" s="153">
        <v>4910.2013420000003</v>
      </c>
      <c r="Y264" s="153">
        <v>6048.187919</v>
      </c>
      <c r="Z264" s="153">
        <v>4910.2013420000003</v>
      </c>
      <c r="AA264" s="153">
        <v>4151.5436239999999</v>
      </c>
      <c r="AB264" s="153">
        <v>2802.818792</v>
      </c>
      <c r="AC264" s="153">
        <v>1854.4966440000001</v>
      </c>
      <c r="AD264" s="153">
        <v>1433.0201340000001</v>
      </c>
      <c r="AF264" s="161">
        <v>7.0000000000000007E-2</v>
      </c>
      <c r="AG264" s="141">
        <f>$Y$258+(AF264-$O$258)*(($Y$259-$Y$258)/($O$259-$O$258))</f>
        <v>6191.4899322000001</v>
      </c>
      <c r="AH264" s="141">
        <f>$Z$258+(AF264-$O$258)*(($Z$259-$Z$258)/($O$259-$O$258))</f>
        <v>5028.2147646000003</v>
      </c>
      <c r="AR264" s="53"/>
    </row>
    <row r="265" spans="1:44" thickBot="1">
      <c r="A265" s="70" t="s">
        <v>156</v>
      </c>
      <c r="B265" s="32">
        <v>1.2</v>
      </c>
      <c r="D265" s="21">
        <v>0.08</v>
      </c>
      <c r="E265" s="32">
        <f t="shared" si="485"/>
        <v>90.026399999999995</v>
      </c>
      <c r="F265" s="21">
        <f t="shared" si="486"/>
        <v>4764.7919459299992</v>
      </c>
      <c r="G265" s="32">
        <f t="shared" si="481"/>
        <v>0.23638004326740134</v>
      </c>
      <c r="H265" s="32">
        <f t="shared" si="482"/>
        <v>-1.8412436128041134E-6</v>
      </c>
      <c r="I265" s="32">
        <f>(((1)/(2*$B$262*$H$264))*LN(($G$264+($H$264*$E$265^2))/($G$264+($H$264*$E$264^2))))</f>
        <v>131.86192493118642</v>
      </c>
      <c r="J265" s="32">
        <f t="shared" si="487"/>
        <v>1.4647028530651722</v>
      </c>
      <c r="N265" s="153">
        <v>0</v>
      </c>
      <c r="O265" s="153">
        <v>0.4</v>
      </c>
      <c r="P265" s="153">
        <v>78</v>
      </c>
      <c r="Q265" s="153">
        <v>290</v>
      </c>
      <c r="R265" s="153">
        <v>19701.086960000001</v>
      </c>
      <c r="S265" s="153">
        <v>13519.02174</v>
      </c>
      <c r="T265" s="153">
        <v>9171.1956520000003</v>
      </c>
      <c r="U265" s="153">
        <v>5978.2608700000001</v>
      </c>
      <c r="V265" s="153">
        <v>4619.5652170000003</v>
      </c>
      <c r="W265" s="153"/>
      <c r="X265" s="153">
        <v>4960.778523</v>
      </c>
      <c r="Y265" s="153">
        <v>6111.4093949999997</v>
      </c>
      <c r="Z265" s="153">
        <v>4960.778523</v>
      </c>
      <c r="AA265" s="153">
        <v>4193.6912750000001</v>
      </c>
      <c r="AB265" s="153">
        <v>2844.9664429999998</v>
      </c>
      <c r="AC265" s="153">
        <v>1854.4966440000001</v>
      </c>
      <c r="AD265" s="153">
        <v>1433.0201340000001</v>
      </c>
      <c r="AF265" s="161">
        <v>0.08</v>
      </c>
      <c r="AG265" s="141">
        <f>$Y$258+(AF265-$O$258)*(($Y$259-$Y$258)/($O$259-$O$258))</f>
        <v>6178.8456367999997</v>
      </c>
      <c r="AH265" s="141">
        <f>$Z$258+(AF265-$O$258)*(($Z$259-$Z$258)/($O$259-$O$258))</f>
        <v>5015.5704693999996</v>
      </c>
      <c r="AR265" s="53"/>
    </row>
    <row r="266" spans="1:44" thickBot="1">
      <c r="A266" s="70" t="s">
        <v>157</v>
      </c>
      <c r="B266" s="32" t="e">
        <f ca="1">((H1)^2)/((B262)*((B265-1)))</f>
        <v>#NUM!</v>
      </c>
      <c r="C266" s="21" t="s">
        <v>9</v>
      </c>
      <c r="D266" s="32">
        <v>0.09</v>
      </c>
      <c r="E266" s="32">
        <f t="shared" si="485"/>
        <v>101.27969999999999</v>
      </c>
      <c r="F266" s="21">
        <f t="shared" si="486"/>
        <v>4752.7798654899998</v>
      </c>
      <c r="G266" s="32">
        <f t="shared" si="481"/>
        <v>0.23568328686136888</v>
      </c>
      <c r="H266" s="32">
        <f t="shared" si="482"/>
        <v>-1.8412436128041134E-6</v>
      </c>
      <c r="I266" s="32">
        <f>(((1)/(2*$B$262*$H$265))*LN(($G$265+($H$265*$E$266^2))/($G$265+($H$265*$E$265^2))))</f>
        <v>152.45927464288235</v>
      </c>
      <c r="J266" s="32">
        <f t="shared" si="487"/>
        <v>1.505329050568696</v>
      </c>
      <c r="N266" s="153">
        <v>0</v>
      </c>
      <c r="O266" s="153">
        <v>0.45</v>
      </c>
      <c r="P266" s="153">
        <v>74</v>
      </c>
      <c r="Q266" s="153">
        <v>294</v>
      </c>
      <c r="R266" s="153">
        <v>19972.826089999999</v>
      </c>
      <c r="S266" s="153">
        <v>13790.76087</v>
      </c>
      <c r="T266" s="153">
        <v>9307.0652169999994</v>
      </c>
      <c r="U266" s="153">
        <v>5978.2608700000001</v>
      </c>
      <c r="V266" s="153">
        <v>4687.5</v>
      </c>
      <c r="W266" s="153"/>
      <c r="X266" s="153">
        <v>5045.0738250000004</v>
      </c>
      <c r="Y266" s="153">
        <v>6195.7046970000001</v>
      </c>
      <c r="Z266" s="153">
        <v>5045.0738250000004</v>
      </c>
      <c r="AA266" s="153">
        <v>4277.9865769999997</v>
      </c>
      <c r="AB266" s="153">
        <v>2887.114094</v>
      </c>
      <c r="AC266" s="153">
        <v>1854.4966440000001</v>
      </c>
      <c r="AD266" s="153">
        <v>1454.0939599999999</v>
      </c>
      <c r="AF266" s="161">
        <v>0.09</v>
      </c>
      <c r="AG266" s="141">
        <f>$Y$258+(AF266-$O$258)*(($Y$259-$Y$258)/($O$259-$O$258))</f>
        <v>6166.2013414000003</v>
      </c>
      <c r="AH266" s="141">
        <f>$Z$258+(AF266-$O$258)*(($Z$259-$Z$258)/($O$259-$O$258))</f>
        <v>5002.9261741999999</v>
      </c>
      <c r="AR266" s="53"/>
    </row>
    <row r="267" spans="1:44" thickBot="1">
      <c r="A267" s="70" t="s">
        <v>158</v>
      </c>
      <c r="B267" s="32" t="e">
        <f ca="1">$T$23</f>
        <v>#NUM!</v>
      </c>
      <c r="C267" s="179" t="e">
        <f ca="1">DEGREES(ASIN((AF292/D292)-(1/W292)))</f>
        <v>#NUM!</v>
      </c>
      <c r="D267" s="21">
        <v>0.1</v>
      </c>
      <c r="E267" s="32">
        <f t="shared" si="485"/>
        <v>112.533</v>
      </c>
      <c r="F267" s="21">
        <f t="shared" si="486"/>
        <v>4740.7677850499995</v>
      </c>
      <c r="G267" s="32">
        <f t="shared" si="481"/>
        <v>0.23498653045533638</v>
      </c>
      <c r="H267" s="32">
        <f t="shared" si="482"/>
        <v>-1.8412436128041134E-6</v>
      </c>
      <c r="I267" s="32">
        <f>(((1)/(2*$B$262*$H$266))*LN(($G$266+($H$266*$E$267^2))/($G$266+($H$266*$E$266^2))))</f>
        <v>174.28320071123912</v>
      </c>
      <c r="J267" s="32">
        <f t="shared" si="487"/>
        <v>1.548729712273192</v>
      </c>
      <c r="N267" s="153">
        <v>0</v>
      </c>
      <c r="O267" s="153">
        <v>0.5</v>
      </c>
      <c r="P267" s="153">
        <v>70</v>
      </c>
      <c r="Q267" s="153">
        <v>298</v>
      </c>
      <c r="R267" s="153">
        <v>20244.56522</v>
      </c>
      <c r="S267" s="153">
        <v>14062.5</v>
      </c>
      <c r="T267" s="153">
        <v>9510.8695650000009</v>
      </c>
      <c r="U267" s="153">
        <v>6046.1956520000003</v>
      </c>
      <c r="V267" s="153">
        <v>4755.4347829999997</v>
      </c>
      <c r="W267" s="153"/>
      <c r="X267" s="153">
        <v>5129.3691269999999</v>
      </c>
      <c r="Y267" s="153">
        <v>6279.9999989999997</v>
      </c>
      <c r="Z267" s="153">
        <v>5129.3691269999999</v>
      </c>
      <c r="AA267" s="153">
        <v>4362.2818790000001</v>
      </c>
      <c r="AB267" s="153">
        <v>2950.3355700000002</v>
      </c>
      <c r="AC267" s="153">
        <v>1875.5704699999999</v>
      </c>
      <c r="AD267" s="153">
        <v>1475.1677850000001</v>
      </c>
      <c r="AF267" s="161">
        <v>0.1</v>
      </c>
      <c r="AG267" s="141">
        <f>$Y$258+(AF267-$O$258)*(($Y$259-$Y$258)/($O$259-$O$258))</f>
        <v>6153.5570459999999</v>
      </c>
      <c r="AH267" s="141">
        <f>$Z$258+(AF267-$O$258)*(($Z$259-$Z$258)/($O$259-$O$258))</f>
        <v>4990.2818790000001</v>
      </c>
      <c r="AR267" s="53"/>
    </row>
    <row r="268" spans="1:44" thickBot="1">
      <c r="A268" s="70" t="s">
        <v>159</v>
      </c>
      <c r="B268" s="32">
        <f>($B$8*((33*($B$269/$B$270)^1.5)))/(1+33*($B$269/$B$270)^1.5)</f>
        <v>3.7983327420844509E-2</v>
      </c>
      <c r="D268" s="32">
        <v>0.11</v>
      </c>
      <c r="E268" s="32">
        <f t="shared" si="485"/>
        <v>123.7863</v>
      </c>
      <c r="F268" s="21">
        <f t="shared" si="486"/>
        <v>4731.1581204699996</v>
      </c>
      <c r="G268" s="32">
        <f t="shared" si="481"/>
        <v>0.23442912531728535</v>
      </c>
      <c r="H268" s="32">
        <f t="shared" si="482"/>
        <v>-1.8412436128041134E-6</v>
      </c>
      <c r="I268" s="32">
        <f>(((1)/(2*$B$262*$H$267))*LN(($G$267+($H$267*$E$268^2))/($G$267+($H$267*$E$267^2))))</f>
        <v>197.56584796459899</v>
      </c>
      <c r="J268" s="32">
        <f t="shared" si="487"/>
        <v>1.5960235338207782</v>
      </c>
      <c r="L268" s="179">
        <f>SUM(I257:I268)</f>
        <v>1069.6102350503377</v>
      </c>
      <c r="N268" s="153">
        <v>0</v>
      </c>
      <c r="O268" s="153">
        <v>0.55000000000000004</v>
      </c>
      <c r="P268" s="153">
        <v>67</v>
      </c>
      <c r="Q268" s="153">
        <v>301</v>
      </c>
      <c r="R268" s="153">
        <v>20448.369569999999</v>
      </c>
      <c r="S268" s="153">
        <v>14402.17391</v>
      </c>
      <c r="T268" s="153">
        <v>9714.6739130000005</v>
      </c>
      <c r="U268" s="153">
        <v>6250</v>
      </c>
      <c r="V268" s="153">
        <v>4891.3043479999997</v>
      </c>
      <c r="W268" s="153"/>
      <c r="X268" s="153">
        <v>5217.8791940000001</v>
      </c>
      <c r="Y268" s="153">
        <v>6343.2214759999997</v>
      </c>
      <c r="Z268" s="153">
        <v>5217.8791940000001</v>
      </c>
      <c r="AA268" s="153">
        <v>4467.6510060000001</v>
      </c>
      <c r="AB268" s="153">
        <v>3013.5570469999998</v>
      </c>
      <c r="AC268" s="153">
        <v>1938.7919460000001</v>
      </c>
      <c r="AD268" s="153">
        <v>1517.3154360000001</v>
      </c>
      <c r="AF268" s="161">
        <v>0.11</v>
      </c>
      <c r="AG268" s="141">
        <f>$Y$259+(AF268-$O$259)*(($Y$260-$Y$259)/($O$260-$O$259))</f>
        <v>6140.9127508000001</v>
      </c>
      <c r="AH268" s="141">
        <f>$Z$259+(AF268-$O$259)*(($Z$260-$Z$259)/($O$260-$O$259))</f>
        <v>4980.1664425999998</v>
      </c>
      <c r="AR268" s="53"/>
    </row>
    <row r="269" spans="1:44" thickBot="1">
      <c r="A269" s="134" t="s">
        <v>210</v>
      </c>
      <c r="B269" s="135">
        <v>4.75</v>
      </c>
      <c r="C269" s="21" t="s">
        <v>9</v>
      </c>
      <c r="D269" s="21">
        <v>0.12</v>
      </c>
      <c r="E269" s="32">
        <f t="shared" si="485"/>
        <v>135.03959999999998</v>
      </c>
      <c r="F269" s="21">
        <f t="shared" si="486"/>
        <v>4721.5484558899998</v>
      </c>
      <c r="G269" s="32">
        <f t="shared" si="481"/>
        <v>0.23387172017923433</v>
      </c>
      <c r="H269" s="32">
        <f t="shared" si="482"/>
        <v>-1.8412436128041134E-6</v>
      </c>
      <c r="I269" s="32">
        <f>(((1)/(2*$B$262*$H$268))*LN(($G$268+($H$268*$E$269^2))/($G$268+($H$268*$E$268^2))))</f>
        <v>222.43046641955172</v>
      </c>
      <c r="J269" s="32">
        <f t="shared" si="487"/>
        <v>1.6471499206125593</v>
      </c>
      <c r="N269" s="153">
        <v>0</v>
      </c>
      <c r="O269" s="153">
        <v>0.6</v>
      </c>
      <c r="P269" s="153">
        <v>68</v>
      </c>
      <c r="Q269" s="153">
        <v>300</v>
      </c>
      <c r="R269" s="153">
        <v>20380.43478</v>
      </c>
      <c r="S269" s="153">
        <v>14809.78261</v>
      </c>
      <c r="T269" s="153">
        <v>9918.4782610000002</v>
      </c>
      <c r="U269" s="153">
        <v>6453.8043479999997</v>
      </c>
      <c r="V269" s="153">
        <v>5027.1739129999996</v>
      </c>
      <c r="W269" s="153"/>
      <c r="X269" s="153">
        <v>5285.3154359999999</v>
      </c>
      <c r="Y269" s="153">
        <v>6322.1476499999999</v>
      </c>
      <c r="Z269" s="153">
        <v>5285.3154359999999</v>
      </c>
      <c r="AA269" s="153">
        <v>4594.0939589999998</v>
      </c>
      <c r="AB269" s="153">
        <v>3076.778523</v>
      </c>
      <c r="AC269" s="153">
        <v>2002.0134230000001</v>
      </c>
      <c r="AD269" s="153">
        <v>1559.4630870000001</v>
      </c>
      <c r="AF269" s="161">
        <v>0.12</v>
      </c>
      <c r="AG269" s="141">
        <f>$Y$259+(AF269-$O$259)*(($Y$260-$Y$259)/($O$260-$O$259))</f>
        <v>6128.2684556000004</v>
      </c>
      <c r="AH269" s="141">
        <f>$Z$259+(AF269-$O$259)*(($Z$260-$Z$259)/($O$260-$O$259))</f>
        <v>4970.0510062000003</v>
      </c>
      <c r="AR269" s="53"/>
    </row>
    <row r="270" spans="1:44" thickBot="1">
      <c r="A270" s="134" t="s">
        <v>211</v>
      </c>
      <c r="B270" s="135">
        <v>37.148000000000003</v>
      </c>
      <c r="C270" s="21" t="s">
        <v>9</v>
      </c>
      <c r="D270" s="32">
        <v>0.13</v>
      </c>
      <c r="E270" s="32">
        <f t="shared" si="485"/>
        <v>146.2929</v>
      </c>
      <c r="F270" s="21">
        <f t="shared" si="486"/>
        <v>4711.9387913099999</v>
      </c>
      <c r="G270" s="32">
        <f t="shared" si="481"/>
        <v>0.2333143150411833</v>
      </c>
      <c r="H270" s="32">
        <f t="shared" si="482"/>
        <v>-1.8412436128041134E-6</v>
      </c>
      <c r="I270" s="32">
        <f>(((1)/(2*$B$262*$H$269))*LN(($G$269+($H$269*$E$270^2))/($G$269+($H$269*$E$269^2))))</f>
        <v>249.3133392803442</v>
      </c>
      <c r="J270" s="32">
        <f t="shared" si="487"/>
        <v>1.7042066927400044</v>
      </c>
      <c r="N270" s="153">
        <v>0</v>
      </c>
      <c r="O270" s="153">
        <v>0.65</v>
      </c>
      <c r="P270" s="153">
        <v>70</v>
      </c>
      <c r="Q270" s="153">
        <v>298</v>
      </c>
      <c r="R270" s="153">
        <v>20244.56522</v>
      </c>
      <c r="S270" s="153">
        <v>15285.32609</v>
      </c>
      <c r="T270" s="153">
        <v>10258.152169999999</v>
      </c>
      <c r="U270" s="153">
        <v>6657.6086960000002</v>
      </c>
      <c r="V270" s="153">
        <v>5163.0434779999996</v>
      </c>
      <c r="W270" s="153"/>
      <c r="X270" s="153">
        <v>5356.9664419999999</v>
      </c>
      <c r="Y270" s="153">
        <v>6279.9999989999997</v>
      </c>
      <c r="Z270" s="153">
        <v>5356.9664419999999</v>
      </c>
      <c r="AA270" s="153">
        <v>4741.6107380000003</v>
      </c>
      <c r="AB270" s="153">
        <v>3182.1476510000002</v>
      </c>
      <c r="AC270" s="153">
        <v>2065.234899</v>
      </c>
      <c r="AD270" s="153">
        <v>1601.6107380000001</v>
      </c>
      <c r="AF270" s="161">
        <v>0.13</v>
      </c>
      <c r="AG270" s="141">
        <f>$Y$259+(AF270-$O$259)*(($Y$260-$Y$259)/($O$260-$O$259))</f>
        <v>6115.6241603999997</v>
      </c>
      <c r="AH270" s="141">
        <f>$Z$259+(AF270-$O$259)*(($Z$260-$Z$259)/($O$260-$O$259))</f>
        <v>4959.9355697999999</v>
      </c>
      <c r="AR270" s="53"/>
    </row>
    <row r="271" spans="1:44" thickBot="1">
      <c r="D271" s="21">
        <v>0.14000000000000001</v>
      </c>
      <c r="E271" s="32">
        <f t="shared" si="485"/>
        <v>157.5462</v>
      </c>
      <c r="F271" s="21">
        <f t="shared" si="486"/>
        <v>4702.3291267300001</v>
      </c>
      <c r="G271" s="32">
        <f t="shared" si="481"/>
        <v>0.23275690990313228</v>
      </c>
      <c r="H271" s="32">
        <f t="shared" si="482"/>
        <v>-1.8412436128041134E-6</v>
      </c>
      <c r="I271" s="32">
        <f>(((1)/(2*$B$262*$H$270))*LN(($G$270+($H$270*$E$271^2))/($G$270+($H$270*$E$270^2))))</f>
        <v>278.60727254961699</v>
      </c>
      <c r="J271" s="32">
        <f t="shared" si="487"/>
        <v>1.7684163283507759</v>
      </c>
      <c r="N271" s="153">
        <v>0</v>
      </c>
      <c r="O271" s="153">
        <v>0.7</v>
      </c>
      <c r="P271" s="153">
        <v>71</v>
      </c>
      <c r="Q271" s="153">
        <v>297</v>
      </c>
      <c r="R271" s="153">
        <v>20176.630430000001</v>
      </c>
      <c r="S271" s="153">
        <v>15760.869570000001</v>
      </c>
      <c r="T271" s="153">
        <v>10597.82609</v>
      </c>
      <c r="U271" s="153">
        <v>6929.3478260000002</v>
      </c>
      <c r="V271" s="153">
        <v>5366.8478260000002</v>
      </c>
      <c r="W271" s="153"/>
      <c r="X271" s="153">
        <v>5437.0469789999997</v>
      </c>
      <c r="Y271" s="153">
        <v>6258.9261740000002</v>
      </c>
      <c r="Z271" s="153">
        <v>5437.0469789999997</v>
      </c>
      <c r="AA271" s="153">
        <v>4889.1275159999996</v>
      </c>
      <c r="AB271" s="153">
        <v>3287.5167780000002</v>
      </c>
      <c r="AC271" s="153">
        <v>2149.530201</v>
      </c>
      <c r="AD271" s="153">
        <v>1664.8322149999999</v>
      </c>
      <c r="AF271" s="161">
        <v>0.14000000000000001</v>
      </c>
      <c r="AG271" s="141">
        <f>$Y$259+(AF271-$O$259)*(($Y$260-$Y$259)/($O$260-$O$259))</f>
        <v>6102.9798651999999</v>
      </c>
      <c r="AH271" s="141">
        <f>$Z$259+(AF271-$O$259)*(($Z$260-$Z$259)/($O$260-$O$259))</f>
        <v>4949.8201334000005</v>
      </c>
      <c r="AR271" s="53"/>
    </row>
    <row r="272" spans="1:44" thickBot="1">
      <c r="D272" s="32">
        <v>0.15</v>
      </c>
      <c r="E272" s="32">
        <f t="shared" si="485"/>
        <v>168.79949999999999</v>
      </c>
      <c r="F272" s="21">
        <f t="shared" si="486"/>
        <v>4692.7194621500003</v>
      </c>
      <c r="G272" s="32">
        <f t="shared" si="481"/>
        <v>0.23219950476508119</v>
      </c>
      <c r="H272" s="32">
        <f t="shared" si="482"/>
        <v>-1.8412436128041134E-6</v>
      </c>
      <c r="I272" s="32">
        <f>(((1)/(2*$B$262*$H$271))*LN(($G$271+($H$271*$E$272^2))/($G$271+($H$271*$E$271^2))))</f>
        <v>310.79655513811792</v>
      </c>
      <c r="J272" s="32">
        <f t="shared" si="487"/>
        <v>1.8412172733812477</v>
      </c>
      <c r="N272" s="153">
        <v>0</v>
      </c>
      <c r="O272" s="153">
        <v>0.75</v>
      </c>
      <c r="P272" s="153">
        <v>71</v>
      </c>
      <c r="Q272" s="153">
        <v>297</v>
      </c>
      <c r="R272" s="153">
        <v>20176.630430000001</v>
      </c>
      <c r="S272" s="153">
        <v>16372.28261</v>
      </c>
      <c r="T272" s="153">
        <v>10937.5</v>
      </c>
      <c r="U272" s="153">
        <v>7201.0869570000004</v>
      </c>
      <c r="V272" s="153">
        <v>5502.7173910000001</v>
      </c>
      <c r="W272" s="153"/>
      <c r="X272" s="153">
        <v>5550.8456370000004</v>
      </c>
      <c r="Y272" s="153">
        <v>6258.9261740000002</v>
      </c>
      <c r="Z272" s="153">
        <v>5550.8456370000004</v>
      </c>
      <c r="AA272" s="153">
        <v>5078.7919460000003</v>
      </c>
      <c r="AB272" s="153">
        <v>3392.885906</v>
      </c>
      <c r="AC272" s="153">
        <v>2233.825503</v>
      </c>
      <c r="AD272" s="153">
        <v>1706.9798659999999</v>
      </c>
      <c r="AF272" s="161">
        <v>0.15</v>
      </c>
      <c r="AG272" s="141">
        <f>$Y$259+(AF272-$O$259)*(($Y$260-$Y$259)/($O$260-$O$259))</f>
        <v>6090.3355700000002</v>
      </c>
      <c r="AH272" s="141">
        <f>$Z$259+(AF272-$O$259)*(($Z$260-$Z$259)/($O$260-$O$259))</f>
        <v>4939.7046970000001</v>
      </c>
      <c r="AR272" s="53"/>
    </row>
    <row r="273" spans="3:44" thickBot="1">
      <c r="D273" s="21">
        <v>0.16</v>
      </c>
      <c r="E273" s="32">
        <f t="shared" si="485"/>
        <v>180.05279999999999</v>
      </c>
      <c r="F273" s="21">
        <f t="shared" si="486"/>
        <v>4687.1138246999999</v>
      </c>
      <c r="G273" s="32">
        <f t="shared" si="481"/>
        <v>0.23187435178074242</v>
      </c>
      <c r="H273" s="32">
        <f t="shared" si="482"/>
        <v>-1.8412436128041134E-6</v>
      </c>
      <c r="I273" s="32">
        <f>(((1)/(2*$B$262*$H$272))*LN(($G$272+($H$272*$E$273^2))/($G$272+($H$272*$E$272^2))))</f>
        <v>346.48702791463512</v>
      </c>
      <c r="J273" s="32">
        <f t="shared" si="487"/>
        <v>1.9243634529128963</v>
      </c>
      <c r="N273" s="153">
        <v>0</v>
      </c>
      <c r="O273" s="153">
        <v>0.8</v>
      </c>
      <c r="P273" s="153">
        <v>71</v>
      </c>
      <c r="Q273" s="153">
        <v>297</v>
      </c>
      <c r="R273" s="153">
        <v>20176.630430000001</v>
      </c>
      <c r="S273" s="153">
        <v>17119.56522</v>
      </c>
      <c r="T273" s="153">
        <v>11480.97826</v>
      </c>
      <c r="U273" s="153">
        <v>7472.8260870000004</v>
      </c>
      <c r="V273" s="153">
        <v>5706.5217389999998</v>
      </c>
      <c r="W273" s="153"/>
      <c r="X273" s="153">
        <v>5689.9328850000002</v>
      </c>
      <c r="Y273" s="153">
        <v>6258.9261740000002</v>
      </c>
      <c r="Z273" s="153">
        <v>5689.9328850000002</v>
      </c>
      <c r="AA273" s="153">
        <v>5310.604026</v>
      </c>
      <c r="AB273" s="153">
        <v>3561.47651</v>
      </c>
      <c r="AC273" s="153">
        <v>2318.120805</v>
      </c>
      <c r="AD273" s="153">
        <v>1770.2013420000001</v>
      </c>
      <c r="AF273" s="161">
        <v>0.16</v>
      </c>
      <c r="AG273" s="141">
        <f>$Y$260+(AF273-$O$260)*(($Y$261-$Y$260)/($O$261-$O$260))</f>
        <v>6081.9060398000001</v>
      </c>
      <c r="AH273" s="141">
        <f>$Z$260+(AF273-$O$260)*(($Z$261-$Z$260)/($O$261-$O$260))</f>
        <v>4933.8040259999998</v>
      </c>
      <c r="AR273" s="53"/>
    </row>
    <row r="274" spans="3:44" thickBot="1">
      <c r="D274" s="32">
        <v>0.17</v>
      </c>
      <c r="E274" s="32">
        <f t="shared" si="485"/>
        <v>191.30610000000001</v>
      </c>
      <c r="F274" s="21">
        <f t="shared" si="486"/>
        <v>4681.5081872500004</v>
      </c>
      <c r="G274" s="32">
        <f t="shared" si="481"/>
        <v>0.2315491987964037</v>
      </c>
      <c r="H274" s="32">
        <f t="shared" si="482"/>
        <v>-1.8412436128041134E-6</v>
      </c>
      <c r="I274" s="32">
        <f>(((1)/(2*$B$262*$H$273))*LN(($G$273+($H$273*$E$274^2))/($G$273+($H$273*$E$273^2))))</f>
        <v>385.91522732346323</v>
      </c>
      <c r="J274" s="32">
        <f t="shared" si="487"/>
        <v>2.0172656665075666</v>
      </c>
      <c r="N274" s="153">
        <v>0</v>
      </c>
      <c r="O274" s="153">
        <v>0.85</v>
      </c>
      <c r="P274" s="153">
        <v>71</v>
      </c>
      <c r="Q274" s="153">
        <v>297</v>
      </c>
      <c r="R274" s="153">
        <v>20176.630430000001</v>
      </c>
      <c r="S274" s="153">
        <v>17187.5</v>
      </c>
      <c r="T274" s="153">
        <v>11956.52174</v>
      </c>
      <c r="U274" s="153">
        <v>7812.5</v>
      </c>
      <c r="V274" s="153">
        <v>5978.2608700000001</v>
      </c>
      <c r="W274" s="153"/>
      <c r="X274" s="153">
        <v>5702.5771800000002</v>
      </c>
      <c r="Y274" s="153">
        <v>6258.9261740000002</v>
      </c>
      <c r="Z274" s="153">
        <v>5702.5771800000002</v>
      </c>
      <c r="AA274" s="153">
        <v>5331.6778519999998</v>
      </c>
      <c r="AB274" s="153">
        <v>3708.9932880000001</v>
      </c>
      <c r="AC274" s="153">
        <v>2423.4899329999998</v>
      </c>
      <c r="AD274" s="153">
        <v>1854.4966440000001</v>
      </c>
      <c r="AF274" s="161">
        <v>0.17</v>
      </c>
      <c r="AG274" s="141">
        <f>$Y$260+(AF274-$O$260)*(($Y$261-$Y$260)/($O$261-$O$260))</f>
        <v>6073.4765096000001</v>
      </c>
      <c r="AH274" s="141">
        <f>$Z$260+(AF274-$O$260)*(($Z$261-$Z$260)/($O$261-$O$260))</f>
        <v>4927.9033550000004</v>
      </c>
      <c r="AR274" s="53"/>
    </row>
    <row r="275" spans="3:44" thickBot="1">
      <c r="D275" s="21">
        <v>0.18</v>
      </c>
      <c r="E275" s="32">
        <f t="shared" si="485"/>
        <v>202.55939999999998</v>
      </c>
      <c r="F275" s="21">
        <f t="shared" si="486"/>
        <v>4675.9025498000001</v>
      </c>
      <c r="G275" s="32">
        <f t="shared" si="481"/>
        <v>0.23122404581206499</v>
      </c>
      <c r="H275" s="32">
        <f t="shared" si="482"/>
        <v>-1.8412436128041134E-6</v>
      </c>
      <c r="I275" s="32">
        <f>(((1)/(2*$B$262*$H$274))*LN(($G$274+($H$274*$E$275^2))/($G$274+($H$274*$E$274^2))))</f>
        <v>430.42355158777394</v>
      </c>
      <c r="J275" s="32">
        <f t="shared" si="487"/>
        <v>2.1249250915424018</v>
      </c>
      <c r="N275" s="153">
        <v>0</v>
      </c>
      <c r="O275" s="153">
        <v>0.9</v>
      </c>
      <c r="P275" s="153">
        <v>71</v>
      </c>
      <c r="Q275" s="153">
        <v>297</v>
      </c>
      <c r="R275" s="153">
        <v>20176.630430000001</v>
      </c>
      <c r="S275" s="153">
        <v>17255.43478</v>
      </c>
      <c r="T275" s="153">
        <v>12567.93478</v>
      </c>
      <c r="U275" s="153">
        <v>8152.1739129999996</v>
      </c>
      <c r="V275" s="153">
        <v>6250</v>
      </c>
      <c r="W275" s="153"/>
      <c r="X275" s="153">
        <v>5715.2214759999997</v>
      </c>
      <c r="Y275" s="153">
        <v>6258.9261740000002</v>
      </c>
      <c r="Z275" s="153">
        <v>5715.2214759999997</v>
      </c>
      <c r="AA275" s="153">
        <v>5352.7516770000002</v>
      </c>
      <c r="AB275" s="153">
        <v>3898.6577179999999</v>
      </c>
      <c r="AC275" s="153">
        <v>2528.8590600000002</v>
      </c>
      <c r="AD275" s="153">
        <v>1938.7919460000001</v>
      </c>
      <c r="AF275" s="161">
        <v>0.18</v>
      </c>
      <c r="AG275" s="141">
        <f>$Y$260+(AF275-$O$260)*(($Y$261-$Y$260)/($O$261-$O$260))</f>
        <v>6065.0469794000001</v>
      </c>
      <c r="AH275" s="141">
        <f>$Z$260+(AF275-$O$260)*(($Z$261-$Z$260)/($O$261-$O$260))</f>
        <v>4922.002684</v>
      </c>
      <c r="AR275" s="53"/>
    </row>
    <row r="276" spans="3:44" thickBot="1">
      <c r="D276" s="32">
        <v>0.19</v>
      </c>
      <c r="E276" s="32">
        <f t="shared" si="485"/>
        <v>213.81269999999998</v>
      </c>
      <c r="F276" s="21">
        <f t="shared" si="486"/>
        <v>4670.2969123500006</v>
      </c>
      <c r="G276" s="32">
        <f t="shared" si="481"/>
        <v>0.23089889282772627</v>
      </c>
      <c r="H276" s="32">
        <f t="shared" si="482"/>
        <v>-1.8412436128041134E-6</v>
      </c>
      <c r="I276" s="32">
        <f>(((1)/(2*$B$262*$H$275))*LN(($G$275+($H$275*$E$276^2))/($G$275+($H$275*$E$275^2))))</f>
        <v>481.25645749837662</v>
      </c>
      <c r="J276" s="32">
        <f t="shared" si="487"/>
        <v>2.2508319547827451</v>
      </c>
      <c r="N276" s="153">
        <v>0</v>
      </c>
      <c r="O276" s="153">
        <v>0.95</v>
      </c>
      <c r="P276" s="153">
        <v>70</v>
      </c>
      <c r="Q276" s="153">
        <v>298</v>
      </c>
      <c r="R276" s="153">
        <v>20244.56522</v>
      </c>
      <c r="S276" s="153">
        <v>17255.43478</v>
      </c>
      <c r="T276" s="153">
        <v>13179.347830000001</v>
      </c>
      <c r="U276" s="153">
        <v>8559.7826089999999</v>
      </c>
      <c r="V276" s="153">
        <v>6589.6739129999996</v>
      </c>
      <c r="W276" s="153"/>
      <c r="X276" s="153">
        <v>5723.6510060000001</v>
      </c>
      <c r="Y276" s="153">
        <v>6279.9999989999997</v>
      </c>
      <c r="Z276" s="153">
        <v>5723.6510060000001</v>
      </c>
      <c r="AA276" s="153">
        <v>5352.7516770000002</v>
      </c>
      <c r="AB276" s="153">
        <v>4088.3221469999999</v>
      </c>
      <c r="AC276" s="153">
        <v>2655.302013</v>
      </c>
      <c r="AD276" s="153">
        <v>2044.1610740000001</v>
      </c>
      <c r="AF276" s="161">
        <v>0.19</v>
      </c>
      <c r="AG276" s="141">
        <f>$Y$260+(AF276-$O$260)*(($Y$261-$Y$260)/($O$261-$O$260))</f>
        <v>6056.6174492</v>
      </c>
      <c r="AH276" s="141">
        <f>$Z$260+(AF276-$O$260)*(($Z$261-$Z$260)/($O$261-$O$260))</f>
        <v>4916.1020130000006</v>
      </c>
      <c r="AR276" s="53"/>
    </row>
    <row r="277" spans="3:44" thickBot="1">
      <c r="D277" s="162">
        <v>0.2</v>
      </c>
      <c r="E277" s="163">
        <f t="shared" si="485"/>
        <v>225.066</v>
      </c>
      <c r="F277" s="162">
        <f t="shared" si="486"/>
        <v>4664.6912749000003</v>
      </c>
      <c r="G277" s="163">
        <f t="shared" si="481"/>
        <v>0.2305737398433875</v>
      </c>
      <c r="H277" s="163">
        <f t="shared" si="482"/>
        <v>-1.8412436128041134E-6</v>
      </c>
      <c r="I277" s="163">
        <f>(((1)/(2*$B$262*$H$276))*LN(($G$276+($H$276*$E$277^2))/($G$276+($H$276*$E$276^2))))</f>
        <v>540.0810474249696</v>
      </c>
      <c r="J277" s="163">
        <f t="shared" si="487"/>
        <v>2.3996563115929086</v>
      </c>
      <c r="N277" s="153">
        <v>0</v>
      </c>
      <c r="O277" s="153">
        <v>1</v>
      </c>
      <c r="P277" s="153">
        <v>68</v>
      </c>
      <c r="Q277" s="153">
        <v>300</v>
      </c>
      <c r="R277" s="153">
        <v>20380.43478</v>
      </c>
      <c r="S277" s="153">
        <v>17323.369569999999</v>
      </c>
      <c r="T277" s="153">
        <v>13926.630429999999</v>
      </c>
      <c r="U277" s="153">
        <v>9103.2608700000001</v>
      </c>
      <c r="V277" s="153">
        <v>6929.3478260000002</v>
      </c>
      <c r="W277" s="153"/>
      <c r="X277" s="153">
        <v>5753.1543620000002</v>
      </c>
      <c r="Y277" s="153">
        <v>6322.1476499999999</v>
      </c>
      <c r="Z277" s="153">
        <v>5753.1543620000002</v>
      </c>
      <c r="AA277" s="153">
        <v>5373.825503</v>
      </c>
      <c r="AB277" s="153">
        <v>4320.1342279999999</v>
      </c>
      <c r="AC277" s="153">
        <v>2823.892617</v>
      </c>
      <c r="AD277" s="153">
        <v>2149.530201</v>
      </c>
      <c r="AF277" s="161">
        <v>0.2</v>
      </c>
      <c r="AG277" s="141">
        <f>$Y$260+(AF277-$O$260)*(($Y$261-$Y$260)/($O$261-$O$260))</f>
        <v>6048.187919</v>
      </c>
      <c r="AH277" s="141">
        <f>$Z$260+(AF277-$O$260)*(($Z$261-$Z$260)/($O$261-$O$260))</f>
        <v>4910.2013420000003</v>
      </c>
      <c r="AR277" s="53"/>
    </row>
    <row r="278" spans="3:44" ht="14.5">
      <c r="D278" s="32">
        <v>0.21</v>
      </c>
      <c r="E278" s="32">
        <f t="shared" si="485"/>
        <v>236.31929999999997</v>
      </c>
      <c r="F278" s="21">
        <f t="shared" ref="F278:F283" si="488">AG278</f>
        <v>0</v>
      </c>
      <c r="G278" s="32">
        <f t="shared" si="481"/>
        <v>-0.04</v>
      </c>
      <c r="H278" s="32">
        <f t="shared" si="482"/>
        <v>-1.8412436128041134E-6</v>
      </c>
      <c r="I278" s="32">
        <f>(((1)/(2*$B$262*$H$277))*LN(($G$277+($H$277*$E$278^2))/($G$277+($H$277*$E$277^2))))</f>
        <v>609.18547039447083</v>
      </c>
      <c r="J278" s="32">
        <f t="shared" si="487"/>
        <v>2.5778066810221207</v>
      </c>
      <c r="AP278" s="53"/>
    </row>
    <row r="279" spans="3:44" ht="14.5">
      <c r="D279" s="21">
        <v>0.22</v>
      </c>
      <c r="E279" s="32">
        <f t="shared" si="485"/>
        <v>247.57259999999999</v>
      </c>
      <c r="F279" s="21">
        <f t="shared" si="488"/>
        <v>0</v>
      </c>
      <c r="G279" s="77">
        <f t="shared" si="481"/>
        <v>-0.04</v>
      </c>
      <c r="H279" s="77">
        <f t="shared" si="482"/>
        <v>-1.8412436128041134E-6</v>
      </c>
      <c r="I279" s="77">
        <f>(((1)/(2*$B$262*$H$278))*LN(($G$278+($H$278*$E$279^2))/($G$278+($H$278*$E$278^2))))</f>
        <v>-572.69007515430064</v>
      </c>
      <c r="J279" s="77">
        <f t="shared" si="487"/>
        <v>-2.3132207487997487</v>
      </c>
      <c r="AN279" s="53"/>
    </row>
    <row r="280" spans="3:44" ht="14.5">
      <c r="D280" s="32">
        <v>0.23</v>
      </c>
      <c r="E280" s="32">
        <f t="shared" si="485"/>
        <v>258.82589999999999</v>
      </c>
      <c r="F280" s="21">
        <f t="shared" si="488"/>
        <v>0</v>
      </c>
      <c r="G280" s="2">
        <f t="shared" si="481"/>
        <v>-0.04</v>
      </c>
      <c r="H280" s="2">
        <f t="shared" si="482"/>
        <v>-1.8412436128041134E-6</v>
      </c>
      <c r="I280" s="2">
        <f>(((1)/(2*$B$262*$H$279))*LN(($G$279+($H$279*$E$280^2))/($G$279+($H$279*$E$279^2))))</f>
        <v>-560.42618125006118</v>
      </c>
      <c r="J280" s="2">
        <f t="shared" si="487"/>
        <v>-2.1652631411696479</v>
      </c>
      <c r="Q280" s="32"/>
      <c r="AN280" s="53"/>
    </row>
    <row r="281" spans="3:44" ht="14.5">
      <c r="D281" s="21">
        <v>0.24</v>
      </c>
      <c r="E281" s="32">
        <f t="shared" si="485"/>
        <v>270.07919999999996</v>
      </c>
      <c r="F281" s="21">
        <f t="shared" si="488"/>
        <v>0</v>
      </c>
      <c r="G281" s="2">
        <f t="shared" si="481"/>
        <v>-0.04</v>
      </c>
      <c r="H281" s="2">
        <f t="shared" si="482"/>
        <v>-1.8412436128041134E-6</v>
      </c>
      <c r="I281" s="2">
        <f>(((1)/(2*$B$262*$H$280))*LN(($G$280+($H$280*$E$281^2))/($G$280+($H$280*$E$280^2))))</f>
        <v>-548.13808543379548</v>
      </c>
      <c r="J281" s="2">
        <f t="shared" si="487"/>
        <v>-2.0295457237499059</v>
      </c>
      <c r="L281" s="21"/>
      <c r="Q281" s="32"/>
      <c r="AA281" s="38"/>
      <c r="AH281" s="2"/>
      <c r="AJ281" s="21"/>
      <c r="AN281" s="53"/>
    </row>
    <row r="282" spans="3:44" ht="14.5">
      <c r="D282" s="32">
        <v>0.25</v>
      </c>
      <c r="E282" s="32">
        <f t="shared" si="485"/>
        <v>281.33249999999998</v>
      </c>
      <c r="F282" s="21">
        <f t="shared" si="488"/>
        <v>0</v>
      </c>
      <c r="G282" s="2">
        <f t="shared" si="481"/>
        <v>-0.04</v>
      </c>
      <c r="H282" s="2">
        <f t="shared" si="482"/>
        <v>-1.8412436128041134E-6</v>
      </c>
      <c r="I282" s="2">
        <f>(((1)/(2*$B$262*$H$281))*LN(($G$281+($H$281*$E$282^2))/($G$281+($H$281*$E$281^2))))</f>
        <v>-535.92570015269314</v>
      </c>
      <c r="J282" s="2">
        <f t="shared" si="487"/>
        <v>-1.9049548137975285</v>
      </c>
      <c r="L282" s="21"/>
      <c r="Q282" s="32"/>
      <c r="AA282" s="38"/>
      <c r="AH282" s="2"/>
      <c r="AJ282" s="21"/>
      <c r="AN282" s="53"/>
    </row>
    <row r="283" spans="3:44" ht="14.5">
      <c r="C283" s="21" t="s">
        <v>212</v>
      </c>
      <c r="D283" s="21">
        <v>0.26</v>
      </c>
      <c r="E283" s="32">
        <f t="shared" si="485"/>
        <v>292.58580000000001</v>
      </c>
      <c r="F283" s="21">
        <f t="shared" si="488"/>
        <v>0</v>
      </c>
      <c r="G283" s="68">
        <f t="shared" si="481"/>
        <v>-0.04</v>
      </c>
      <c r="H283" s="68">
        <f t="shared" si="482"/>
        <v>-1.8412436128041134E-6</v>
      </c>
      <c r="I283" s="68">
        <f>(((1)/(2*$B$262*$H$282))*LN(($G$282+($H$282*$E$283^2))/($G$282+($H$282*$E$282^2))))</f>
        <v>-523.86497212484801</v>
      </c>
      <c r="J283" s="68">
        <f t="shared" si="487"/>
        <v>-1.7904661542865306</v>
      </c>
      <c r="L283" s="21"/>
      <c r="S283" s="32"/>
      <c r="AA283" s="38"/>
      <c r="AH283" s="2"/>
      <c r="AJ283" s="21"/>
      <c r="AN283" s="53"/>
    </row>
    <row r="284" spans="3:44" ht="14.5">
      <c r="H284" s="21"/>
      <c r="L284" s="21"/>
      <c r="S284" s="32"/>
      <c r="AC284" s="38"/>
      <c r="AJ284" s="2"/>
      <c r="AL284" s="21"/>
      <c r="AP284" s="53"/>
    </row>
    <row r="285" spans="3:44" ht="14.5">
      <c r="H285" s="34" t="s">
        <v>160</v>
      </c>
      <c r="I285" s="32">
        <f>SUM(I257:I274)</f>
        <v>2863.1601236760671</v>
      </c>
      <c r="J285" s="21" t="s">
        <v>9</v>
      </c>
      <c r="K285" s="21" t="s">
        <v>161</v>
      </c>
      <c r="L285" s="32">
        <f>SUM(J257:J282)</f>
        <v>26.436893166641259</v>
      </c>
      <c r="M285" s="21" t="s">
        <v>18</v>
      </c>
      <c r="S285" s="32"/>
      <c r="AC285" s="38"/>
      <c r="AJ285" s="2"/>
      <c r="AL285" s="21"/>
      <c r="AP285" s="53"/>
    </row>
    <row r="286" spans="3:44" ht="14.5">
      <c r="H286" s="7" t="s">
        <v>154</v>
      </c>
      <c r="I286" s="32" t="e">
        <f ca="1">B263</f>
        <v>#NUM!</v>
      </c>
      <c r="K286" s="21" t="s">
        <v>162</v>
      </c>
      <c r="L286" s="21">
        <v>1</v>
      </c>
      <c r="M286" s="21" t="s">
        <v>18</v>
      </c>
      <c r="S286" s="32"/>
      <c r="AC286" s="38"/>
      <c r="AJ286" s="2"/>
      <c r="AL286" s="21"/>
      <c r="AP286" s="53"/>
    </row>
    <row r="287" spans="3:44" ht="14.5">
      <c r="H287" s="7" t="s">
        <v>138</v>
      </c>
      <c r="I287" s="32" t="e">
        <f ca="1">K257</f>
        <v>#NUM!</v>
      </c>
      <c r="K287" s="21" t="s">
        <v>163</v>
      </c>
      <c r="L287" s="21" t="e">
        <f ca="1">(K257/H1)</f>
        <v>#NUM!</v>
      </c>
      <c r="M287" s="21" t="s">
        <v>18</v>
      </c>
      <c r="S287" s="32"/>
      <c r="AC287" s="38"/>
      <c r="AJ287" s="2"/>
      <c r="AL287" s="21"/>
      <c r="AP287" s="53"/>
    </row>
    <row r="288" spans="3:44" ht="14.5">
      <c r="H288" s="7" t="s">
        <v>148</v>
      </c>
      <c r="I288" s="68" t="e">
        <f ca="1">K260</f>
        <v>#NUM!</v>
      </c>
      <c r="K288" s="21" t="s">
        <v>164</v>
      </c>
      <c r="L288" s="49" t="e">
        <f ca="1">I288/K1</f>
        <v>#NUM!</v>
      </c>
      <c r="M288" s="21" t="s">
        <v>18</v>
      </c>
      <c r="S288" s="32"/>
      <c r="AC288" s="38"/>
      <c r="AJ288" s="2"/>
      <c r="AL288" s="21"/>
      <c r="AP288" s="53"/>
    </row>
    <row r="289" spans="1:56" ht="14.5">
      <c r="B289" s="179" t="s">
        <v>222</v>
      </c>
      <c r="C289" s="179" t="e">
        <f ca="1">1.1*Z292</f>
        <v>#NUM!</v>
      </c>
      <c r="H289" s="6" t="s">
        <v>165</v>
      </c>
      <c r="I289" s="5" t="e">
        <f ca="1">SUM(I285:I287)</f>
        <v>#NUM!</v>
      </c>
      <c r="J289" s="6" t="s">
        <v>9</v>
      </c>
      <c r="K289" s="51" t="s">
        <v>166</v>
      </c>
      <c r="L289" s="51" t="e">
        <f ca="1">SUM(L285:L288)</f>
        <v>#NUM!</v>
      </c>
      <c r="M289" s="51" t="s">
        <v>18</v>
      </c>
      <c r="N289" s="148"/>
      <c r="O289" s="148"/>
      <c r="P289" s="148"/>
      <c r="Q289" s="148"/>
      <c r="R289" s="148"/>
      <c r="S289" s="145"/>
      <c r="T289" s="148"/>
      <c r="U289" s="148"/>
      <c r="V289" s="148"/>
      <c r="AC289" s="38"/>
      <c r="AJ289" s="2"/>
      <c r="AL289" s="21"/>
      <c r="AP289" s="53"/>
    </row>
    <row r="290" spans="1:56" s="148" customFormat="1" thickBot="1">
      <c r="H290" s="135"/>
      <c r="I290" s="145"/>
      <c r="J290" s="135"/>
      <c r="K290" s="157"/>
      <c r="L290" s="157"/>
      <c r="M290" s="157"/>
      <c r="S290" s="145"/>
      <c r="AC290" s="146"/>
      <c r="AJ290" s="147"/>
      <c r="AL290" s="135"/>
      <c r="AP290" s="145"/>
    </row>
    <row r="291" spans="1:56" ht="26.5" thickBot="1">
      <c r="A291" s="41" t="s">
        <v>2</v>
      </c>
      <c r="B291" s="41" t="s">
        <v>2</v>
      </c>
      <c r="C291" s="41" t="s">
        <v>2</v>
      </c>
      <c r="D291" s="41" t="s">
        <v>23</v>
      </c>
      <c r="E291" s="41" t="s">
        <v>24</v>
      </c>
      <c r="F291" s="41" t="s">
        <v>25</v>
      </c>
      <c r="G291" s="41"/>
      <c r="H291" s="41" t="s">
        <v>0</v>
      </c>
      <c r="I291" s="5" t="s">
        <v>26</v>
      </c>
      <c r="J291" s="41" t="s">
        <v>27</v>
      </c>
      <c r="K291" s="41" t="s">
        <v>28</v>
      </c>
      <c r="L291" s="12" t="s">
        <v>29</v>
      </c>
      <c r="M291" s="13" t="s">
        <v>30</v>
      </c>
      <c r="N291" s="41" t="s">
        <v>31</v>
      </c>
      <c r="O291" s="41" t="s">
        <v>32</v>
      </c>
      <c r="P291" s="41" t="s">
        <v>33</v>
      </c>
      <c r="Q291" s="41" t="s">
        <v>34</v>
      </c>
      <c r="R291" s="41" t="s">
        <v>13</v>
      </c>
      <c r="S291" s="24" t="s">
        <v>35</v>
      </c>
      <c r="T291" s="10" t="s">
        <v>35</v>
      </c>
      <c r="U291" s="41" t="s">
        <v>36</v>
      </c>
      <c r="V291" s="41" t="s">
        <v>37</v>
      </c>
      <c r="W291" s="41" t="s">
        <v>38</v>
      </c>
      <c r="X291" s="41" t="s">
        <v>39</v>
      </c>
      <c r="Y291" s="41" t="s">
        <v>40</v>
      </c>
      <c r="Z291" s="35" t="s">
        <v>108</v>
      </c>
      <c r="AA291" s="35" t="s">
        <v>109</v>
      </c>
      <c r="AB291" s="9" t="s">
        <v>110</v>
      </c>
      <c r="AC291" s="7" t="s">
        <v>111</v>
      </c>
      <c r="AD291" s="7" t="s">
        <v>112</v>
      </c>
      <c r="AE291" s="5" t="s">
        <v>41</v>
      </c>
      <c r="AF291" s="7" t="s">
        <v>113</v>
      </c>
      <c r="AG291" s="7" t="s">
        <v>114</v>
      </c>
      <c r="AH291" s="7" t="s">
        <v>115</v>
      </c>
      <c r="AI291" s="41" t="s">
        <v>42</v>
      </c>
      <c r="AJ291" s="41" t="s">
        <v>43</v>
      </c>
      <c r="AK291" s="36" t="s">
        <v>116</v>
      </c>
      <c r="AL291" s="5" t="s">
        <v>44</v>
      </c>
      <c r="AM291" s="41" t="s">
        <v>45</v>
      </c>
      <c r="AN291" s="41" t="s">
        <v>46</v>
      </c>
      <c r="AO291" s="41" t="s">
        <v>47</v>
      </c>
      <c r="AP291" s="67" t="s">
        <v>85</v>
      </c>
      <c r="AQ291" s="15" t="s">
        <v>62</v>
      </c>
      <c r="AR291" s="16" t="s">
        <v>63</v>
      </c>
      <c r="AS291" s="16" t="s">
        <v>64</v>
      </c>
      <c r="AT291" s="17" t="s">
        <v>65</v>
      </c>
      <c r="AU291" s="18" t="s">
        <v>66</v>
      </c>
      <c r="AV291" s="18" t="s">
        <v>67</v>
      </c>
      <c r="AW291" s="19" t="s">
        <v>68</v>
      </c>
      <c r="AX291" s="7" t="s">
        <v>207</v>
      </c>
      <c r="AY291" s="7" t="s">
        <v>208</v>
      </c>
      <c r="AZ291" s="7" t="s">
        <v>209</v>
      </c>
      <c r="BA291" s="152" t="s">
        <v>293</v>
      </c>
      <c r="BB291" s="152" t="s">
        <v>294</v>
      </c>
      <c r="BC291" s="152" t="s">
        <v>295</v>
      </c>
      <c r="BD291" s="152" t="s">
        <v>296</v>
      </c>
    </row>
    <row r="292" spans="1:56" ht="14.5">
      <c r="A292" s="41" t="e">
        <f ca="1">H292/(K292*SIN(RADIANS(T292)))</f>
        <v>#NUM!</v>
      </c>
      <c r="B292" s="41">
        <v>0</v>
      </c>
      <c r="C292" s="41">
        <v>0</v>
      </c>
      <c r="D292" s="41">
        <f>$B$12</f>
        <v>17067.599999999999</v>
      </c>
      <c r="E292" s="7">
        <v>0</v>
      </c>
      <c r="F292" s="7">
        <v>0</v>
      </c>
      <c r="G292" s="41"/>
      <c r="H292" s="65">
        <v>6000</v>
      </c>
      <c r="I292" s="6">
        <v>15</v>
      </c>
      <c r="J292" s="41">
        <f t="shared" ref="J292" si="489">SQRT((((((((L292^2)*(0.2))/(661.477)^2) + 1)^(3.5) - 1)*(1/AR292) + 1)^(1/3.5) - 1)*(5))</f>
        <v>0.17718229445255015</v>
      </c>
      <c r="K292" s="41">
        <f t="shared" ref="K292" si="490">SQRT((1.4*2116.22*AR292*(J292)^2)/AV292)</f>
        <v>198.88077011235529</v>
      </c>
      <c r="L292" s="120">
        <v>105</v>
      </c>
      <c r="M292" s="41">
        <f t="shared" ref="M292" si="491">K292*0.592484</f>
        <v>117.83367419924872</v>
      </c>
      <c r="N292" s="41">
        <f>0.5*AV292*K292^2</f>
        <v>37.268003632321701</v>
      </c>
      <c r="O292" s="41">
        <f t="shared" ref="O292" si="492">P292/$B$7</f>
        <v>994494.14830272109</v>
      </c>
      <c r="P292" s="41">
        <f>(AV292*K292*$B$7)/(AW292)</f>
        <v>6385351.2473953245</v>
      </c>
      <c r="Q292" s="41">
        <f>0.455/(LOG10(P292)^2.58 * (1+0.144*J292*J292)^0.65)</f>
        <v>3.221151299786435E-3</v>
      </c>
      <c r="R292" s="41">
        <f>(((Q292*$B$4)+$B$17)+(0.05*(Q292*$B$4)))</f>
        <v>2.3693269819668974E-2</v>
      </c>
      <c r="S292" s="24" t="e">
        <f ca="1">T292</f>
        <v>#NUM!</v>
      </c>
      <c r="T292" s="10" t="e">
        <f ca="1">DEGREES(ASIN(((AF292-X292)/(D292))))</f>
        <v>#NUM!</v>
      </c>
      <c r="U292" s="41" t="e">
        <f ca="1">(D292*COS(RADIANS(S292)))/(N292*$B$3)</f>
        <v>#NUM!</v>
      </c>
      <c r="V292" s="41" t="e">
        <f ca="1">(X292)/(N292*$B$3)</f>
        <v>#NUM!</v>
      </c>
      <c r="W292" s="41" t="e">
        <f ca="1">U292/V292</f>
        <v>#NUM!</v>
      </c>
      <c r="X292" s="20" t="e">
        <f ca="1">(N292*$B$3*R292)+((N292*$B$3)*((U292^2)/(PI()*$B$6*$B$5)))</f>
        <v>#NUM!</v>
      </c>
      <c r="Y292" s="41">
        <f>SQRT(PI()*$B$6*$B$5*R292)</f>
        <v>0.61249522130475742</v>
      </c>
      <c r="Z292" s="41" t="e">
        <f ca="1">SQRT((2*((U292*N292*$B$3)/(D292))*D292)/(AV292*$B$3*$B$18))</f>
        <v>#NUM!</v>
      </c>
      <c r="AA292" s="14" t="e">
        <f t="shared" ref="AA292" ca="1" si="493">D292/W292</f>
        <v>#NUM!</v>
      </c>
      <c r="AB292" s="9">
        <v>6280</v>
      </c>
      <c r="AC292" s="25" t="e">
        <f t="shared" ref="AC292" ca="1" si="494">AA292*K292</f>
        <v>#NUM!</v>
      </c>
      <c r="AD292" s="41">
        <f t="shared" ref="AD292" si="495">AB292*K292</f>
        <v>1248971.2363055912</v>
      </c>
      <c r="AE292" s="6">
        <v>100</v>
      </c>
      <c r="AF292" s="41">
        <f t="shared" ref="AF292" si="496">AB292*(AE292/100)</f>
        <v>6280</v>
      </c>
      <c r="AG292" s="41" t="e">
        <f t="shared" ref="AG292" ca="1" si="497">AB292-AA292</f>
        <v>#NUM!</v>
      </c>
      <c r="AH292" s="41" t="e">
        <f t="shared" ref="AH292" ca="1" si="498">AD292-AC292</f>
        <v>#NUM!</v>
      </c>
      <c r="AI292" s="41">
        <f t="shared" ref="AI292" si="499">(AP292*AF292)</f>
        <v>5048.7859982729733</v>
      </c>
      <c r="AJ292" s="13" t="e">
        <f ca="1">K292*SIN(RADIANS(T292))</f>
        <v>#NUM!</v>
      </c>
      <c r="AK292" s="11" t="e">
        <f t="shared" ref="AK292" ca="1" si="500">(AH292/D292)*60</f>
        <v>#NUM!</v>
      </c>
      <c r="AL292" s="6">
        <v>500</v>
      </c>
      <c r="AM292" s="41" t="e">
        <f t="shared" ref="AM292" ca="1" si="501">AL292/AJ292</f>
        <v>#NUM!</v>
      </c>
      <c r="AN292" s="41" t="e">
        <f t="shared" ref="AN292" ca="1" si="502">AI292*(AM292/3600)</f>
        <v>#NUM!</v>
      </c>
      <c r="AO292" s="41" t="e">
        <f ca="1">M292*COS(RADIANS(T292))*(AM292/3600)</f>
        <v>#NUM!</v>
      </c>
      <c r="AP292" s="67">
        <f t="shared" ref="AP292" si="503">-18.066*(AZ292^6) + 34.325*(AZ292^5) - 25.292*(AZ292^4) + 8.7618*(AZ292^3) - 1.317*(AZ292^2) + 0.358*(AZ292^1) + 0.7659</f>
        <v>0.80394681501161991</v>
      </c>
      <c r="AQ292" s="11">
        <f t="shared" ref="AQ292" si="504">IF(H292 &lt;= 36089, ((1 - 6.87535*10^(-6)*H292) + ((I292*1.8)/518.67)), 0.75187 + ((I292*1.8)/518.67))</f>
        <v>1.0108041207183758</v>
      </c>
      <c r="AR292" s="11">
        <f t="shared" ref="AR292" si="505">IF(H292 &lt;= 36089, (1 - 6.87535*10^(-6)*H292)^5.2561, 0.22336*EXP((36089 - H292)/(20806.7)))</f>
        <v>0.80137655372650329</v>
      </c>
      <c r="AS292" s="11">
        <f t="shared" ref="AS292" si="506">(AR292/AQ292)</f>
        <v>0.79281092874548942</v>
      </c>
      <c r="AT292" s="11">
        <f t="shared" ref="AT292" si="507">(518.67*AQ292)</f>
        <v>524.27377329299998</v>
      </c>
      <c r="AU292" s="11">
        <f t="shared" ref="AU292" si="508">2116.22*AR292</f>
        <v>1695.8890905271007</v>
      </c>
      <c r="AV292" s="11">
        <f t="shared" ref="AV292" si="509">(0.0023769*AS292)</f>
        <v>1.8844322965351538E-3</v>
      </c>
      <c r="AW292" s="11">
        <f t="shared" ref="AW292" si="510">((2.2697*10^-8)*(AT292^1.5))/(AT292+198.72)</f>
        <v>3.7685223889866925E-7</v>
      </c>
      <c r="AX292" s="41" t="e">
        <f ca="1">(1/U292)*(((1 + 0.2*(U292)^2)/1.2)^3)</f>
        <v>#NUM!</v>
      </c>
      <c r="AY292" s="41" t="e">
        <f t="shared" ref="AY292" ca="1" si="511">($H$4/$H$3)*AX292</f>
        <v>#NUM!</v>
      </c>
      <c r="AZ292" s="41">
        <f t="shared" ref="AZ292" si="512">-6.6*10^(-3) + 0.825*J292 - 0.243*(J292^2)</f>
        <v>0.13194675651475862</v>
      </c>
      <c r="BA292" s="179">
        <f>2.12-0.00251*AF292+1.94*10^-6*AF292^2-7.84*10^-10*AF292^3+1.7*10^-13*AF292^4-1.89*10^-17*AF292^5+8.37*10^-22*AF292^6</f>
        <v>-0.16099291242367997</v>
      </c>
      <c r="BB292" s="156">
        <f>2.18-0.00461*AF292+6.03*10^-6*AF292^2-4.1*10^-9*AF292^3+1.5*10^-12*AF292^4-2.81*10^-16*AF292^5+2.1*10^-20*AF292^6</f>
        <v>72.084687861777184</v>
      </c>
    </row>
    <row r="293" spans="1:56" ht="14.5">
      <c r="H293" s="21"/>
      <c r="L293" s="21"/>
      <c r="S293" s="32"/>
      <c r="AC293" s="38"/>
      <c r="AJ293" s="2"/>
      <c r="AL293" s="21"/>
      <c r="AP293" s="53"/>
    </row>
    <row r="294" spans="1:56" ht="14.5">
      <c r="H294" s="21"/>
      <c r="L294" s="21"/>
      <c r="S294" s="32"/>
      <c r="AC294" s="38"/>
      <c r="AJ294" s="2"/>
      <c r="AL294" s="21"/>
      <c r="AP294" s="53"/>
    </row>
    <row r="295" spans="1:56" ht="14.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2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5"/>
      <c r="AD295" s="43"/>
      <c r="AE295" s="42"/>
      <c r="AF295" s="43"/>
      <c r="AG295" s="43"/>
      <c r="AH295" s="43"/>
      <c r="AI295" s="43"/>
      <c r="AJ295" s="45"/>
      <c r="AK295" s="43"/>
      <c r="AL295" s="42"/>
      <c r="AM295" s="43"/>
      <c r="AN295" s="43"/>
      <c r="AO295" s="43"/>
      <c r="AP295" s="5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</row>
    <row r="296" spans="1:56" ht="14.5">
      <c r="A296" s="26" t="s">
        <v>167</v>
      </c>
      <c r="D296" s="181" t="s">
        <v>141</v>
      </c>
      <c r="E296" s="182"/>
      <c r="F296" s="182"/>
      <c r="G296" s="182"/>
      <c r="H296" s="182"/>
      <c r="I296" s="182"/>
      <c r="K296" s="26"/>
      <c r="N296" s="181"/>
      <c r="O296" s="182"/>
      <c r="P296" s="182"/>
      <c r="Q296" s="182"/>
      <c r="R296" s="182"/>
      <c r="S296" s="182"/>
      <c r="AB296" s="38"/>
      <c r="AI296" s="2"/>
      <c r="AL296" s="21"/>
    </row>
    <row r="297" spans="1:56" ht="14.5">
      <c r="A297" s="70" t="s">
        <v>168</v>
      </c>
      <c r="B297" s="32" t="e">
        <f ca="1">1.2*($Z$195)</f>
        <v>#NUM!</v>
      </c>
      <c r="C297" s="21" t="s">
        <v>51</v>
      </c>
      <c r="D297" s="39" t="s">
        <v>131</v>
      </c>
      <c r="E297" s="39" t="s">
        <v>132</v>
      </c>
      <c r="F297" s="39" t="s">
        <v>133</v>
      </c>
      <c r="G297" s="39" t="s">
        <v>134</v>
      </c>
      <c r="H297" s="39" t="s">
        <v>135</v>
      </c>
      <c r="I297" s="6" t="s">
        <v>170</v>
      </c>
      <c r="J297" s="21" t="s">
        <v>2</v>
      </c>
      <c r="L297" s="75" t="s">
        <v>217</v>
      </c>
      <c r="M297" s="179">
        <f>B12*0.85</f>
        <v>14507.46</v>
      </c>
      <c r="N297" s="21"/>
      <c r="O297" s="21"/>
      <c r="P297" s="21"/>
      <c r="Q297" s="21"/>
      <c r="R297" s="21"/>
      <c r="S297" s="21"/>
      <c r="AB297" s="38"/>
      <c r="AI297" s="2"/>
      <c r="AL297" s="21"/>
    </row>
    <row r="298" spans="1:56" ht="14.5">
      <c r="A298" s="70" t="s">
        <v>169</v>
      </c>
      <c r="B298" s="32" t="e">
        <f ca="1">$T$195</f>
        <v>#NUM!</v>
      </c>
      <c r="C298" s="21" t="s">
        <v>55</v>
      </c>
      <c r="D298" s="21">
        <v>105</v>
      </c>
      <c r="E298" s="32" t="e">
        <f ca="1">$B$299</f>
        <v>#NUM!</v>
      </c>
      <c r="F298" s="21">
        <v>315</v>
      </c>
      <c r="G298" s="32">
        <f>(F298/$M$297)-$C$308</f>
        <v>-0.27828703301611724</v>
      </c>
      <c r="H298" s="32">
        <f t="shared" ref="H298:H318" si="513">((($B$310)/(2*($M$297/$B$3)))*(($C$308*$B$314)-$B$311-($B$312*$B$314^2)))</f>
        <v>6.0748070962212983E-7</v>
      </c>
      <c r="I298" s="32" t="e">
        <f t="shared" ref="I298:I316" ca="1" si="514">((1)/(2*$B$313*H298))*LN((G298+(H298*(E299^2)))/(G298+(H298*(E298^2))))</f>
        <v>#NUM!</v>
      </c>
      <c r="J298" s="21">
        <v>0</v>
      </c>
      <c r="AB298" s="38"/>
      <c r="AI298" s="2"/>
      <c r="AL298" s="21"/>
    </row>
    <row r="299" spans="1:56" ht="14.5">
      <c r="A299" s="70" t="s">
        <v>171</v>
      </c>
      <c r="B299" s="32" t="e">
        <f ca="1">1.1*$Z$195</f>
        <v>#NUM!</v>
      </c>
      <c r="C299" s="21" t="s">
        <v>51</v>
      </c>
      <c r="D299" s="21">
        <f t="shared" ref="D299:D318" si="515">D298-5</f>
        <v>100</v>
      </c>
      <c r="E299" s="32">
        <f>$D$299*1.687</f>
        <v>168.70000000000002</v>
      </c>
      <c r="F299" s="21">
        <v>315</v>
      </c>
      <c r="G299" s="32">
        <f>(F299/$M$297)-$C$308</f>
        <v>-0.27828703301611724</v>
      </c>
      <c r="H299" s="32">
        <f t="shared" si="513"/>
        <v>6.0748070962212983E-7</v>
      </c>
      <c r="I299" s="32">
        <f t="shared" si="514"/>
        <v>164.70900083332566</v>
      </c>
      <c r="J299" s="32">
        <f t="shared" ref="J299:J318" si="516">I299/E299</f>
        <v>0.9763426249752557</v>
      </c>
      <c r="AB299" s="38"/>
      <c r="AI299" s="2"/>
      <c r="AL299" s="21"/>
    </row>
    <row r="300" spans="1:56" ht="14.5">
      <c r="A300" s="70" t="s">
        <v>172</v>
      </c>
      <c r="B300" s="32" t="e">
        <f ca="1">1.15*$Z$195</f>
        <v>#NUM!</v>
      </c>
      <c r="C300" s="21" t="s">
        <v>51</v>
      </c>
      <c r="D300" s="21">
        <f t="shared" si="515"/>
        <v>95</v>
      </c>
      <c r="E300" s="32">
        <f>$D$300*1.687</f>
        <v>160.26500000000001</v>
      </c>
      <c r="F300" s="21">
        <v>315</v>
      </c>
      <c r="G300" s="32">
        <f t="shared" ref="G300:G318" si="517">(F300/$M$297)-$C$308</f>
        <v>-0.27828703301611724</v>
      </c>
      <c r="H300" s="32">
        <f t="shared" si="513"/>
        <v>6.0748070962212983E-7</v>
      </c>
      <c r="I300" s="32">
        <f t="shared" si="514"/>
        <v>155.2882625387945</v>
      </c>
      <c r="J300" s="32">
        <f t="shared" si="516"/>
        <v>0.9689468226923813</v>
      </c>
      <c r="AB300" s="38"/>
      <c r="AI300" s="2"/>
      <c r="AL300" s="21"/>
    </row>
    <row r="301" spans="1:56" ht="14.5">
      <c r="A301" s="70" t="s">
        <v>156</v>
      </c>
      <c r="B301" s="32" t="e">
        <f ca="1">(((0.5*$AV$195*$B$3)*($B$264)*($H$1)^2)/(0.5*$AV$195*$B$3*$B$18*Z$195^2))</f>
        <v>#NUM!</v>
      </c>
      <c r="D301" s="21">
        <f t="shared" si="515"/>
        <v>90</v>
      </c>
      <c r="E301" s="32">
        <f>$D$301*1.687</f>
        <v>151.83000000000001</v>
      </c>
      <c r="F301" s="21">
        <v>315</v>
      </c>
      <c r="G301" s="32">
        <f t="shared" si="517"/>
        <v>-0.27828703301611724</v>
      </c>
      <c r="H301" s="32">
        <f t="shared" si="513"/>
        <v>6.0748070962212983E-7</v>
      </c>
      <c r="I301" s="32">
        <f t="shared" si="514"/>
        <v>146.03186907165053</v>
      </c>
      <c r="J301" s="32">
        <f t="shared" si="516"/>
        <v>0.96181169117862431</v>
      </c>
      <c r="AB301" s="38"/>
      <c r="AI301" s="2"/>
      <c r="AL301" s="21"/>
    </row>
    <row r="302" spans="1:56" ht="14.5">
      <c r="A302" s="70" t="s">
        <v>173</v>
      </c>
      <c r="B302" s="32" t="e">
        <f ca="1">($B$300^2)/(($B$301-1)*$B$262)</f>
        <v>#NUM!</v>
      </c>
      <c r="C302" s="21" t="s">
        <v>9</v>
      </c>
      <c r="D302" s="21">
        <f t="shared" si="515"/>
        <v>85</v>
      </c>
      <c r="E302" s="32">
        <f>$D$302*1.687</f>
        <v>143.39500000000001</v>
      </c>
      <c r="F302" s="21">
        <v>315</v>
      </c>
      <c r="G302" s="32">
        <f t="shared" si="517"/>
        <v>-0.27828703301611724</v>
      </c>
      <c r="H302" s="32">
        <f t="shared" si="513"/>
        <v>6.0748070962212983E-7</v>
      </c>
      <c r="I302" s="32">
        <f t="shared" si="514"/>
        <v>136.92793390063511</v>
      </c>
      <c r="J302" s="32">
        <f t="shared" si="516"/>
        <v>0.95490033753363157</v>
      </c>
      <c r="AB302" s="38"/>
      <c r="AI302" s="2"/>
      <c r="AL302" s="21"/>
    </row>
    <row r="303" spans="1:56" ht="14.5">
      <c r="A303" s="70" t="s">
        <v>174</v>
      </c>
      <c r="B303" s="32" t="e">
        <f ca="1">$B$302*(1-COS(RADIANS($B$298)))</f>
        <v>#NUM!</v>
      </c>
      <c r="C303" s="21" t="s">
        <v>9</v>
      </c>
      <c r="D303" s="21">
        <f t="shared" si="515"/>
        <v>80</v>
      </c>
      <c r="E303" s="32">
        <f>$D$303*1.687</f>
        <v>134.96</v>
      </c>
      <c r="F303" s="21">
        <v>315</v>
      </c>
      <c r="G303" s="32">
        <f t="shared" si="517"/>
        <v>-0.27828703301611724</v>
      </c>
      <c r="H303" s="32">
        <f t="shared" si="513"/>
        <v>6.0748070962212983E-7</v>
      </c>
      <c r="I303" s="32">
        <f t="shared" si="514"/>
        <v>127.96513422578637</v>
      </c>
      <c r="J303" s="32">
        <f t="shared" si="516"/>
        <v>0.94817082265698249</v>
      </c>
      <c r="AB303" s="38"/>
      <c r="AI303" s="2"/>
      <c r="AL303" s="21"/>
    </row>
    <row r="304" spans="1:56" ht="14.5">
      <c r="A304" s="71" t="s">
        <v>175</v>
      </c>
      <c r="B304" s="32" t="e">
        <f ca="1">ABS($B$302*SIN(RADIANS($B$298)))</f>
        <v>#NUM!</v>
      </c>
      <c r="C304" s="21" t="s">
        <v>9</v>
      </c>
      <c r="D304" s="21">
        <f t="shared" si="515"/>
        <v>75</v>
      </c>
      <c r="E304" s="32">
        <f>$D$304*1.687</f>
        <v>126.52500000000001</v>
      </c>
      <c r="F304" s="21">
        <v>315</v>
      </c>
      <c r="G304" s="32">
        <f t="shared" si="517"/>
        <v>-0.27828703301611724</v>
      </c>
      <c r="H304" s="32">
        <f t="shared" si="513"/>
        <v>6.0748070962212983E-7</v>
      </c>
      <c r="I304" s="32">
        <f t="shared" si="514"/>
        <v>119.13265922301271</v>
      </c>
      <c r="J304" s="32">
        <f t="shared" si="516"/>
        <v>0.94157407012853356</v>
      </c>
      <c r="K304" s="21"/>
      <c r="AB304" s="38"/>
      <c r="AI304" s="2"/>
      <c r="AL304" s="21"/>
    </row>
    <row r="305" spans="1:51" ht="14.5">
      <c r="A305" s="70" t="s">
        <v>176</v>
      </c>
      <c r="B305" s="21">
        <v>2</v>
      </c>
      <c r="C305" s="21" t="s">
        <v>18</v>
      </c>
      <c r="D305" s="21">
        <f t="shared" si="515"/>
        <v>70</v>
      </c>
      <c r="E305" s="32">
        <f>$D$305*1.687</f>
        <v>118.09</v>
      </c>
      <c r="F305" s="21">
        <v>315</v>
      </c>
      <c r="G305" s="32">
        <f t="shared" si="517"/>
        <v>-0.27828703301611724</v>
      </c>
      <c r="H305" s="32">
        <f t="shared" si="513"/>
        <v>6.0748070962212983E-7</v>
      </c>
      <c r="I305" s="32">
        <f t="shared" si="514"/>
        <v>110.42016238250116</v>
      </c>
      <c r="J305" s="32">
        <f t="shared" si="516"/>
        <v>0.9350509135617</v>
      </c>
      <c r="AB305" s="38"/>
      <c r="AI305" s="2"/>
      <c r="AL305" s="21"/>
    </row>
    <row r="306" spans="1:51" ht="14.5">
      <c r="A306" s="71" t="s">
        <v>177</v>
      </c>
      <c r="B306" s="32" t="e">
        <f ca="1">$B$299*$B$305</f>
        <v>#NUM!</v>
      </c>
      <c r="C306" s="21" t="s">
        <v>9</v>
      </c>
      <c r="D306" s="21">
        <f t="shared" si="515"/>
        <v>65</v>
      </c>
      <c r="E306" s="32">
        <f>$D$306*1.687</f>
        <v>109.655</v>
      </c>
      <c r="F306" s="21">
        <v>315</v>
      </c>
      <c r="G306" s="32">
        <f t="shared" si="517"/>
        <v>-0.27828703301611724</v>
      </c>
      <c r="H306" s="32">
        <f t="shared" si="513"/>
        <v>6.0748070962212983E-7</v>
      </c>
      <c r="I306" s="32">
        <f t="shared" si="514"/>
        <v>101.81771747634323</v>
      </c>
      <c r="J306" s="32">
        <f t="shared" si="516"/>
        <v>0.92852781429340414</v>
      </c>
      <c r="K306" s="21"/>
      <c r="AB306" s="38"/>
      <c r="AI306" s="2"/>
      <c r="AL306" s="21"/>
    </row>
    <row r="307" spans="1:51" ht="14.5">
      <c r="A307" s="73" t="s">
        <v>128</v>
      </c>
      <c r="B307" s="46" t="s">
        <v>129</v>
      </c>
      <c r="C307" s="46" t="s">
        <v>130</v>
      </c>
      <c r="D307" s="21">
        <f t="shared" si="515"/>
        <v>60</v>
      </c>
      <c r="E307" s="32">
        <f>$D$307*1.687</f>
        <v>101.22</v>
      </c>
      <c r="F307" s="21">
        <v>315</v>
      </c>
      <c r="G307" s="32">
        <f t="shared" si="517"/>
        <v>-0.27828703301611724</v>
      </c>
      <c r="H307" s="32">
        <f t="shared" si="513"/>
        <v>6.0748070962212983E-7</v>
      </c>
      <c r="I307" s="32">
        <f t="shared" si="514"/>
        <v>93.315777741015665</v>
      </c>
      <c r="J307" s="32">
        <f t="shared" si="516"/>
        <v>0.92191046968005996</v>
      </c>
      <c r="K307" s="46"/>
      <c r="L307" s="46"/>
      <c r="M307" s="46"/>
      <c r="AB307" s="38"/>
      <c r="AI307" s="2"/>
      <c r="AL307" s="21"/>
    </row>
    <row r="308" spans="1:51" ht="14.5">
      <c r="A308" s="73" t="s">
        <v>141</v>
      </c>
      <c r="B308" s="46">
        <v>0.04</v>
      </c>
      <c r="C308" s="46">
        <v>0.3</v>
      </c>
      <c r="D308" s="21">
        <f t="shared" si="515"/>
        <v>55</v>
      </c>
      <c r="E308" s="32">
        <f>$D$308*1.687</f>
        <v>92.784999999999997</v>
      </c>
      <c r="F308" s="21">
        <v>315</v>
      </c>
      <c r="G308" s="32">
        <f t="shared" si="517"/>
        <v>-0.27828703301611724</v>
      </c>
      <c r="H308" s="32">
        <f t="shared" si="513"/>
        <v>6.0748070962212983E-7</v>
      </c>
      <c r="I308" s="32">
        <f t="shared" si="514"/>
        <v>84.905137904402849</v>
      </c>
      <c r="J308" s="32">
        <f t="shared" si="516"/>
        <v>0.91507396566689503</v>
      </c>
      <c r="K308" s="46"/>
      <c r="L308" s="46"/>
      <c r="M308" s="46"/>
      <c r="AB308" s="38"/>
      <c r="AI308" s="2"/>
      <c r="AL308" s="21"/>
    </row>
    <row r="309" spans="1:51" ht="14.5">
      <c r="A309" s="73" t="s">
        <v>145</v>
      </c>
      <c r="B309" s="46">
        <v>0.08</v>
      </c>
      <c r="C309" s="46">
        <v>0.2</v>
      </c>
      <c r="D309" s="21">
        <f t="shared" si="515"/>
        <v>50</v>
      </c>
      <c r="E309" s="32">
        <f>$D$309*1.687</f>
        <v>84.350000000000009</v>
      </c>
      <c r="F309" s="21">
        <v>315</v>
      </c>
      <c r="G309" s="32">
        <f t="shared" si="517"/>
        <v>-0.27828703301611724</v>
      </c>
      <c r="H309" s="32">
        <f t="shared" si="513"/>
        <v>6.0748070962212983E-7</v>
      </c>
      <c r="I309" s="32">
        <f t="shared" si="514"/>
        <v>76.576898724152571</v>
      </c>
      <c r="J309" s="32">
        <f t="shared" si="516"/>
        <v>0.90784705067163673</v>
      </c>
      <c r="K309" s="46"/>
      <c r="L309" s="46"/>
      <c r="M309" s="46"/>
      <c r="AB309" s="38"/>
      <c r="AI309" s="2"/>
      <c r="AL309" s="21"/>
    </row>
    <row r="310" spans="1:51" ht="14.5">
      <c r="A310" s="74" t="s">
        <v>147</v>
      </c>
      <c r="B310" s="46">
        <f>$AV$195</f>
        <v>2.259289905987135E-3</v>
      </c>
      <c r="D310" s="21">
        <f t="shared" si="515"/>
        <v>45</v>
      </c>
      <c r="E310" s="32">
        <f>$D$310*1.687</f>
        <v>75.915000000000006</v>
      </c>
      <c r="F310" s="21">
        <v>315</v>
      </c>
      <c r="G310" s="32">
        <f t="shared" si="517"/>
        <v>-0.27828703301611724</v>
      </c>
      <c r="H310" s="32">
        <f t="shared" si="513"/>
        <v>6.0748070962212983E-7</v>
      </c>
      <c r="I310" s="32">
        <f t="shared" si="514"/>
        <v>68.322433737462532</v>
      </c>
      <c r="J310" s="32">
        <f t="shared" si="516"/>
        <v>0.89998595452101071</v>
      </c>
      <c r="K310" s="47"/>
      <c r="L310" s="46"/>
      <c r="AB310" s="38"/>
      <c r="AI310" s="2"/>
      <c r="AL310" s="21"/>
    </row>
    <row r="311" spans="1:51" ht="14.5">
      <c r="A311" s="74" t="s">
        <v>150</v>
      </c>
      <c r="B311" s="46">
        <f>$R$195</f>
        <v>2.4560805344740685E-2</v>
      </c>
      <c r="D311" s="21">
        <f t="shared" si="515"/>
        <v>40</v>
      </c>
      <c r="E311" s="32">
        <f>$D$311*1.687</f>
        <v>67.48</v>
      </c>
      <c r="F311" s="21">
        <v>315</v>
      </c>
      <c r="G311" s="32">
        <f t="shared" si="517"/>
        <v>-0.27828703301611724</v>
      </c>
      <c r="H311" s="32">
        <f t="shared" si="513"/>
        <v>6.0748070962212983E-7</v>
      </c>
      <c r="I311" s="32">
        <f t="shared" si="514"/>
        <v>60.13335794978353</v>
      </c>
      <c r="J311" s="32">
        <f t="shared" si="516"/>
        <v>0.8911286003228146</v>
      </c>
      <c r="K311" s="47"/>
      <c r="L311" s="46"/>
      <c r="AB311" s="38"/>
      <c r="AI311" s="2"/>
      <c r="AL311" s="21"/>
    </row>
    <row r="312" spans="1:51" ht="14.5">
      <c r="A312" s="74" t="s">
        <v>159</v>
      </c>
      <c r="B312" s="46">
        <f>($B$8*((33*($B$269/$B$270)^1.5)))/(1+33*($B$269/$B$270)^1.5)</f>
        <v>3.7983327420844509E-2</v>
      </c>
      <c r="D312" s="21">
        <f t="shared" si="515"/>
        <v>35</v>
      </c>
      <c r="E312" s="32">
        <f>$D$312*1.687</f>
        <v>59.045000000000002</v>
      </c>
      <c r="F312" s="21">
        <v>315</v>
      </c>
      <c r="G312" s="32">
        <f t="shared" si="517"/>
        <v>-0.27828703301611724</v>
      </c>
      <c r="H312" s="32">
        <f t="shared" si="513"/>
        <v>6.0748070962212983E-7</v>
      </c>
      <c r="I312" s="32">
        <f t="shared" si="514"/>
        <v>52.001498214477955</v>
      </c>
      <c r="J312" s="32">
        <f t="shared" si="516"/>
        <v>0.88070959800961901</v>
      </c>
      <c r="K312" s="47"/>
      <c r="L312" s="46"/>
      <c r="AB312" s="38"/>
      <c r="AI312" s="2"/>
      <c r="AL312" s="21"/>
    </row>
    <row r="313" spans="1:51" ht="14.5">
      <c r="A313" s="74" t="s">
        <v>152</v>
      </c>
      <c r="B313" s="47">
        <v>32.17</v>
      </c>
      <c r="C313" s="21"/>
      <c r="D313" s="21">
        <f t="shared" si="515"/>
        <v>30</v>
      </c>
      <c r="E313" s="32">
        <f>$D$313*1.687</f>
        <v>50.61</v>
      </c>
      <c r="F313" s="21">
        <v>315</v>
      </c>
      <c r="G313" s="32">
        <f t="shared" si="517"/>
        <v>-0.27828703301611724</v>
      </c>
      <c r="H313" s="32">
        <f t="shared" si="513"/>
        <v>6.0748070962212983E-7</v>
      </c>
      <c r="I313" s="32">
        <f t="shared" si="514"/>
        <v>43.918865075991874</v>
      </c>
      <c r="J313" s="32">
        <f t="shared" si="516"/>
        <v>0.86779026034364504</v>
      </c>
      <c r="K313" s="47"/>
      <c r="L313" s="47"/>
      <c r="U313" s="21"/>
      <c r="V313" s="21"/>
      <c r="W313" s="21"/>
      <c r="Z313" s="21"/>
      <c r="AA313" s="21"/>
      <c r="AB313" s="21"/>
      <c r="AC313" s="21"/>
      <c r="AE313" s="21"/>
      <c r="AI313" s="21"/>
    </row>
    <row r="314" spans="1:51" ht="14.5">
      <c r="A314" s="70" t="s">
        <v>178</v>
      </c>
      <c r="B314" s="62">
        <v>0.2</v>
      </c>
      <c r="D314" s="21">
        <f t="shared" si="515"/>
        <v>25</v>
      </c>
      <c r="E314" s="32">
        <f>$D$314*1.687</f>
        <v>42.175000000000004</v>
      </c>
      <c r="F314" s="21">
        <v>315</v>
      </c>
      <c r="G314" s="32">
        <f t="shared" si="517"/>
        <v>-0.27828703301611724</v>
      </c>
      <c r="H314" s="32">
        <f t="shared" si="513"/>
        <v>6.0748070962212983E-7</v>
      </c>
      <c r="I314" s="32">
        <f t="shared" si="514"/>
        <v>35.877625866671281</v>
      </c>
      <c r="J314" s="32">
        <f t="shared" si="516"/>
        <v>0.85068466785231245</v>
      </c>
      <c r="Y314" s="21"/>
      <c r="Z314" s="21"/>
      <c r="AA314" s="21"/>
      <c r="AB314" s="21"/>
      <c r="AC314" s="21"/>
      <c r="AE314" s="21"/>
      <c r="AF314" s="21"/>
      <c r="AG314" s="21"/>
      <c r="AQ314" s="15"/>
      <c r="AR314" s="16"/>
      <c r="AS314" s="16"/>
      <c r="AT314" s="17"/>
      <c r="AU314" s="18"/>
      <c r="AV314" s="18"/>
      <c r="AW314" s="19"/>
      <c r="AX314" s="19"/>
      <c r="AY314" s="19"/>
    </row>
    <row r="315" spans="1:51" ht="14.5">
      <c r="A315" s="72" t="s">
        <v>179</v>
      </c>
      <c r="B315" s="32" t="e">
        <f ca="1">ABS((50-$B$303)/(TAN(RADIANS($B$298))))</f>
        <v>#NUM!</v>
      </c>
      <c r="C315" s="21" t="s">
        <v>9</v>
      </c>
      <c r="D315" s="21">
        <f t="shared" si="515"/>
        <v>20</v>
      </c>
      <c r="E315" s="32">
        <f>$D$315*1.687</f>
        <v>33.74</v>
      </c>
      <c r="F315" s="21">
        <v>315</v>
      </c>
      <c r="G315" s="32">
        <f t="shared" si="517"/>
        <v>-0.27828703301611724</v>
      </c>
      <c r="H315" s="32">
        <f t="shared" si="513"/>
        <v>6.0748070962212983E-7</v>
      </c>
      <c r="I315" s="32">
        <f t="shared" si="514"/>
        <v>27.870078862298783</v>
      </c>
      <c r="J315" s="32">
        <f t="shared" si="516"/>
        <v>0.82602486254590346</v>
      </c>
      <c r="K315" s="49"/>
      <c r="Z315" s="21"/>
      <c r="AA315" s="21"/>
      <c r="AB315" s="21"/>
      <c r="AC315" s="21"/>
      <c r="AE315" s="21"/>
      <c r="AF315" s="21"/>
      <c r="AG315" s="21"/>
    </row>
    <row r="316" spans="1:51" ht="14.5">
      <c r="D316" s="21">
        <f t="shared" si="515"/>
        <v>15</v>
      </c>
      <c r="E316" s="32">
        <f>$D$316*1.687</f>
        <v>25.305</v>
      </c>
      <c r="F316" s="21">
        <v>315</v>
      </c>
      <c r="G316" s="32">
        <f t="shared" si="517"/>
        <v>-0.27828703301611724</v>
      </c>
      <c r="H316" s="32">
        <f t="shared" si="513"/>
        <v>6.0748070962212983E-7</v>
      </c>
      <c r="I316" s="32">
        <f t="shared" si="514"/>
        <v>19.888628313642005</v>
      </c>
      <c r="J316" s="32">
        <f t="shared" si="516"/>
        <v>0.78595646368867833</v>
      </c>
      <c r="AB316" s="38"/>
      <c r="AE316" s="21"/>
      <c r="AI316" s="2"/>
      <c r="AL316" s="21"/>
      <c r="AO316" s="21"/>
    </row>
    <row r="317" spans="1:51" ht="14.5">
      <c r="D317" s="21">
        <f t="shared" si="515"/>
        <v>10</v>
      </c>
      <c r="E317" s="32">
        <f>$D$317*1.687</f>
        <v>16.87</v>
      </c>
      <c r="F317" s="21">
        <v>315</v>
      </c>
      <c r="G317" s="32">
        <f t="shared" si="517"/>
        <v>-0.27828703301611724</v>
      </c>
      <c r="H317" s="32">
        <f t="shared" si="513"/>
        <v>6.0748070962212983E-7</v>
      </c>
      <c r="I317" s="32">
        <f>((1)/(2*$B$313*H317))*LN((G317+(H317*(E320^2)))/(G317+(H317*(E317^2))))</f>
        <v>15.899778593207783</v>
      </c>
      <c r="J317" s="32">
        <f t="shared" si="516"/>
        <v>0.94248835762938843</v>
      </c>
      <c r="AB317" s="38"/>
      <c r="AE317" s="21"/>
      <c r="AI317" s="2"/>
      <c r="AL317" s="21"/>
      <c r="AO317" s="21"/>
    </row>
    <row r="318" spans="1:51" ht="14.5">
      <c r="D318" s="21">
        <f t="shared" si="515"/>
        <v>5</v>
      </c>
      <c r="E318" s="32">
        <f>$D$317*1.687</f>
        <v>16.87</v>
      </c>
      <c r="F318" s="21">
        <v>316</v>
      </c>
      <c r="G318" s="32">
        <f t="shared" si="517"/>
        <v>-0.27821810296220012</v>
      </c>
      <c r="H318" s="32">
        <f t="shared" si="513"/>
        <v>6.0748070962212983E-7</v>
      </c>
      <c r="I318" s="32">
        <f>((1)/(2*$B$313*H318))*LN((G318+(H318*(E321^2)))/(G318+(H318*(E318^2))))</f>
        <v>15.903719074738918</v>
      </c>
      <c r="J318" s="32">
        <f t="shared" si="516"/>
        <v>0.94272193685470762</v>
      </c>
      <c r="K318" s="21"/>
      <c r="AB318" s="38"/>
      <c r="AE318" s="21"/>
      <c r="AI318" s="2"/>
      <c r="AL318" s="21"/>
      <c r="AO318" s="21"/>
    </row>
    <row r="319" spans="1:51" ht="14.5">
      <c r="K319" s="21"/>
      <c r="AB319" s="38"/>
      <c r="AE319" s="21"/>
      <c r="AI319" s="2"/>
      <c r="AL319" s="21"/>
      <c r="AO319" s="21"/>
    </row>
    <row r="320" spans="1:51" ht="14.5">
      <c r="H320" s="62" t="s">
        <v>180</v>
      </c>
      <c r="I320" s="32" t="e">
        <f ca="1">SUM(I298:I317)</f>
        <v>#NUM!</v>
      </c>
      <c r="K320" s="21" t="s">
        <v>161</v>
      </c>
      <c r="L320" s="32">
        <f>SUM(J298:J317)</f>
        <v>17.304925347952476</v>
      </c>
      <c r="AB320" s="38"/>
      <c r="AE320" s="21"/>
      <c r="AI320" s="2"/>
      <c r="AL320" s="21"/>
      <c r="AO320" s="21"/>
    </row>
    <row r="321" spans="1:52" ht="14.5">
      <c r="H321" s="21" t="s">
        <v>175</v>
      </c>
      <c r="I321" s="32" t="e">
        <f ca="1">B304</f>
        <v>#NUM!</v>
      </c>
      <c r="K321" s="62" t="s">
        <v>213</v>
      </c>
      <c r="L321" s="21">
        <v>1</v>
      </c>
      <c r="AB321" s="38"/>
      <c r="AE321" s="21"/>
      <c r="AI321" s="2"/>
      <c r="AL321" s="21"/>
      <c r="AO321" s="21"/>
    </row>
    <row r="322" spans="1:52" ht="14.5">
      <c r="H322" s="21" t="s">
        <v>177</v>
      </c>
      <c r="I322" s="32" t="e">
        <f ca="1">B306</f>
        <v>#NUM!</v>
      </c>
      <c r="K322" s="62" t="s">
        <v>214</v>
      </c>
      <c r="L322" s="21" t="e">
        <f ca="1">I322/B300</f>
        <v>#NUM!</v>
      </c>
      <c r="R322" s="26"/>
      <c r="S322" s="29"/>
    </row>
    <row r="323" spans="1:52" ht="14.5">
      <c r="H323" s="21" t="s">
        <v>215</v>
      </c>
      <c r="I323" s="32" t="e">
        <f ca="1">B315</f>
        <v>#NUM!</v>
      </c>
      <c r="J323" s="62" t="s">
        <v>198</v>
      </c>
      <c r="K323" s="62" t="s">
        <v>216</v>
      </c>
      <c r="L323" s="49" t="e">
        <f ca="1">I323/B297</f>
        <v>#NUM!</v>
      </c>
      <c r="R323" s="26"/>
      <c r="S323" s="29"/>
      <c r="T323" s="26"/>
    </row>
    <row r="324" spans="1:52" ht="14.5">
      <c r="H324" s="34" t="s">
        <v>181</v>
      </c>
      <c r="I324" s="60" t="e">
        <f ca="1">SUM(I320:I323)</f>
        <v>#NUM!</v>
      </c>
      <c r="J324" s="34" t="s">
        <v>198</v>
      </c>
      <c r="K324" s="51" t="s">
        <v>166</v>
      </c>
      <c r="L324" s="51" t="e">
        <f ca="1">SUM(L320:L323)</f>
        <v>#NUM!</v>
      </c>
      <c r="AC324" s="3"/>
      <c r="AD324" s="3"/>
      <c r="AP324" s="53"/>
    </row>
    <row r="325" spans="1:52" ht="14.5">
      <c r="AC325" s="3"/>
      <c r="AD325" s="3"/>
      <c r="AP325" s="53"/>
    </row>
    <row r="326" spans="1:52" ht="14.5">
      <c r="AC326" s="3"/>
      <c r="AD326" s="3"/>
      <c r="AP326" s="53"/>
    </row>
    <row r="327" spans="1:52" ht="14.5">
      <c r="A327" s="41" t="s">
        <v>2</v>
      </c>
      <c r="B327" s="41" t="s">
        <v>2</v>
      </c>
      <c r="C327" s="41" t="s">
        <v>2</v>
      </c>
      <c r="D327" s="41" t="s">
        <v>23</v>
      </c>
      <c r="E327" s="41" t="s">
        <v>24</v>
      </c>
      <c r="F327" s="41" t="s">
        <v>25</v>
      </c>
      <c r="G327" s="41"/>
      <c r="H327" s="41" t="s">
        <v>0</v>
      </c>
      <c r="I327" s="5" t="s">
        <v>26</v>
      </c>
      <c r="J327" s="41" t="s">
        <v>27</v>
      </c>
      <c r="K327" s="41" t="s">
        <v>28</v>
      </c>
      <c r="L327" s="12" t="s">
        <v>29</v>
      </c>
      <c r="M327" s="13" t="s">
        <v>30</v>
      </c>
      <c r="N327" s="41" t="s">
        <v>31</v>
      </c>
      <c r="O327" s="41" t="s">
        <v>32</v>
      </c>
      <c r="P327" s="41" t="s">
        <v>33</v>
      </c>
      <c r="Q327" s="41" t="s">
        <v>34</v>
      </c>
      <c r="R327" s="41" t="s">
        <v>13</v>
      </c>
      <c r="S327" s="24" t="s">
        <v>35</v>
      </c>
      <c r="T327" s="10" t="s">
        <v>35</v>
      </c>
      <c r="U327" s="41" t="s">
        <v>36</v>
      </c>
      <c r="V327" s="41" t="s">
        <v>37</v>
      </c>
      <c r="W327" s="41" t="s">
        <v>38</v>
      </c>
      <c r="X327" s="41" t="s">
        <v>39</v>
      </c>
      <c r="Y327" s="41" t="s">
        <v>40</v>
      </c>
      <c r="Z327" s="35" t="s">
        <v>108</v>
      </c>
      <c r="AA327" s="35" t="s">
        <v>109</v>
      </c>
      <c r="AB327" s="9" t="s">
        <v>110</v>
      </c>
      <c r="AC327" s="7" t="s">
        <v>111</v>
      </c>
      <c r="AD327" s="7" t="s">
        <v>112</v>
      </c>
      <c r="AE327" s="5" t="s">
        <v>41</v>
      </c>
      <c r="AF327" s="7" t="s">
        <v>113</v>
      </c>
      <c r="AG327" s="41"/>
      <c r="AH327" s="41"/>
      <c r="AI327" s="41" t="s">
        <v>42</v>
      </c>
      <c r="AJ327" s="41" t="s">
        <v>43</v>
      </c>
      <c r="AK327" s="11"/>
      <c r="AL327" s="5" t="s">
        <v>44</v>
      </c>
      <c r="AM327" s="5" t="s">
        <v>45</v>
      </c>
      <c r="AN327" s="41" t="s">
        <v>46</v>
      </c>
      <c r="AO327" s="41" t="s">
        <v>47</v>
      </c>
      <c r="AP327" s="53"/>
      <c r="AQ327" s="15" t="s">
        <v>62</v>
      </c>
      <c r="AR327" s="16" t="s">
        <v>63</v>
      </c>
      <c r="AS327" s="16" t="s">
        <v>64</v>
      </c>
      <c r="AT327" s="17" t="s">
        <v>65</v>
      </c>
      <c r="AU327" s="18" t="s">
        <v>66</v>
      </c>
      <c r="AV327" s="18" t="s">
        <v>67</v>
      </c>
      <c r="AW327" s="19" t="s">
        <v>68</v>
      </c>
      <c r="AX327" s="7" t="s">
        <v>207</v>
      </c>
      <c r="AY327" s="7" t="s">
        <v>208</v>
      </c>
      <c r="AZ327" s="7" t="s">
        <v>209</v>
      </c>
    </row>
    <row r="328" spans="1:52" s="148" customFormat="1" ht="14.5">
      <c r="A328" s="168">
        <f>A326+AM326</f>
        <v>0</v>
      </c>
      <c r="B328" s="168">
        <f t="shared" ref="B328:C328" si="518">A328/60</f>
        <v>0</v>
      </c>
      <c r="C328" s="168">
        <f t="shared" si="518"/>
        <v>0</v>
      </c>
      <c r="D328" s="168">
        <f>0.85*$B$12</f>
        <v>14507.46</v>
      </c>
      <c r="E328" s="168">
        <f>E326+AO326</f>
        <v>0</v>
      </c>
      <c r="F328" s="168">
        <f>F326+AO326</f>
        <v>0</v>
      </c>
      <c r="G328" s="168"/>
      <c r="H328" s="136">
        <f>H326+AL326</f>
        <v>0</v>
      </c>
      <c r="I328" s="172">
        <v>15</v>
      </c>
      <c r="J328" s="168">
        <f t="shared" ref="J328" si="519">SQRT((((((((L328^2)*(0.2))/(661.477)^2) + 1)^(3.5) - 1)*(1/AR328) + 1)^(1/3.5) - 1)*(5))</f>
        <v>0.15117683608046922</v>
      </c>
      <c r="K328" s="168">
        <f>SQRT((1.4*2116.22*AR328*(J328)^2)/AV328)</f>
        <v>173.1185859265388</v>
      </c>
      <c r="L328" s="172">
        <v>100</v>
      </c>
      <c r="M328" s="168">
        <f t="shared" ref="M328" si="520">K328*0.592484</f>
        <v>102.56999226409941</v>
      </c>
      <c r="N328" s="168">
        <f t="shared" ref="N328" si="521">0.5*AV328*K328^2</f>
        <v>33.855509841634493</v>
      </c>
      <c r="O328" s="168">
        <f t="shared" ref="O328" si="522">P328/$B$7</f>
        <v>1006358.2566622874</v>
      </c>
      <c r="P328" s="168">
        <f t="shared" ref="P328" si="523">(AV328*K328*$B$7)/(AW328)</f>
        <v>6461527.1597848358</v>
      </c>
      <c r="Q328" s="168">
        <f>0.455/(LOG10(P328)^2.58 * (1+0.144*J328*J328)^0.65)</f>
        <v>3.217430652235113E-3</v>
      </c>
      <c r="R328" s="168">
        <f t="shared" ref="R328" si="524">(((Q328*$B$4)+$B$17)+(0.1*(Q328*$B$4)))</f>
        <v>2.4560805344740685E-2</v>
      </c>
      <c r="S328" s="173" t="e">
        <f t="shared" ref="S328" ca="1" si="525">T328</f>
        <v>#NUM!</v>
      </c>
      <c r="T328" s="174" t="e">
        <f ca="1">DEGREES(ASIN(((AF328-X328)/(D328))))</f>
        <v>#NUM!</v>
      </c>
      <c r="U328" s="168" t="e">
        <f ca="1">(D328*COS(RADIANS(S328)))/(N328*$B$3)</f>
        <v>#NUM!</v>
      </c>
      <c r="V328" s="168" t="e">
        <f t="shared" ref="V328" ca="1" si="526">(X328)/(N328*$B$3)</f>
        <v>#NUM!</v>
      </c>
      <c r="W328" s="168" t="e">
        <f t="shared" ref="W328" ca="1" si="527">U328/V328</f>
        <v>#NUM!</v>
      </c>
      <c r="X328" s="168" t="e">
        <f t="shared" ref="X328" ca="1" si="528">(N328*$B$3*R328)+((N328*$B$3)*((U328^2)/(PI()*$B$6*$B$5)))</f>
        <v>#NUM!</v>
      </c>
      <c r="Y328" s="168">
        <f t="shared" ref="Y328" si="529">SQRT(PI()*$B$6*$B$5*R328)</f>
        <v>0.62360775332890361</v>
      </c>
      <c r="Z328" s="168" t="e">
        <f ca="1">SQRT((2*((U328*N328*$B$3)/(D328))*D328)/(AV328*$B$3*$B$18))</f>
        <v>#NUM!</v>
      </c>
      <c r="AA328" s="145" t="e">
        <f ca="1">D328/W328</f>
        <v>#NUM!</v>
      </c>
      <c r="AB328" s="175">
        <f t="shared" ref="AB328" si="530">$B$15*AR328</f>
        <v>6280</v>
      </c>
      <c r="AC328" s="169" t="e">
        <f t="shared" ref="AC328" ca="1" si="531">AA328*K328</f>
        <v>#NUM!</v>
      </c>
      <c r="AD328" s="168">
        <f t="shared" ref="AD328" si="532">AB328*K328</f>
        <v>1087184.7196186637</v>
      </c>
      <c r="AE328" s="172">
        <v>5</v>
      </c>
      <c r="AF328" s="168">
        <f t="shared" ref="AF328" si="533">AB328*(AE328/100)</f>
        <v>314</v>
      </c>
      <c r="AG328" s="168" t="e">
        <f t="shared" ref="AG328" ca="1" si="534">AB328-AA328</f>
        <v>#NUM!</v>
      </c>
      <c r="AH328" s="168" t="e">
        <f t="shared" ref="AH328" ca="1" si="535">AD328-AC328</f>
        <v>#NUM!</v>
      </c>
      <c r="AI328" s="168">
        <f t="shared" ref="AI328" si="536">(AP328*AF328)</f>
        <v>250.73879796329663</v>
      </c>
      <c r="AJ328" s="170" t="e">
        <f t="shared" ref="AJ328" ca="1" si="537">K328*SIN(RADIANS(T328))</f>
        <v>#NUM!</v>
      </c>
      <c r="AK328" s="145"/>
      <c r="AL328" s="172">
        <v>0</v>
      </c>
      <c r="AM328" s="172">
        <v>0</v>
      </c>
      <c r="AN328" s="168">
        <f t="shared" ref="AN328" si="538">AI328*(AM328/3600)</f>
        <v>0</v>
      </c>
      <c r="AO328" s="168" t="e">
        <f t="shared" ref="AO328" ca="1" si="539">M328*COS(RADIANS(T328))*(AM328/3600)</f>
        <v>#NUM!</v>
      </c>
      <c r="AP328" s="162">
        <f t="shared" ref="AP328" si="540">-18.066*(AZ328^6) + 34.325*(AZ328^5) - 25.292*(AZ328^4) + 8.7618*(AZ328^3) - 1.317*(AZ328^2) + 0.358*(AZ328^1) + 0.7659</f>
        <v>0.79853120370476638</v>
      </c>
      <c r="AQ328" s="171">
        <f>IF(H328 &lt;= 36089, ((1 - 6.87535*10^(-6)*H328) + ((I328*1.8)/518.67)), 0.75187 + ((I328*1.8)/518.67))</f>
        <v>1.0520562207183759</v>
      </c>
      <c r="AR328" s="171">
        <f>IF(H328 &lt;= 36089, (1 - 6.87535*10^(-6)*H328)^5.2561, 0.22336*EXP((36089 - H328)/(20806.7)))</f>
        <v>1</v>
      </c>
      <c r="AS328" s="171">
        <f t="shared" ref="AS328" si="541">(AR328/AQ328)</f>
        <v>0.95051954477981193</v>
      </c>
      <c r="AT328" s="171">
        <f t="shared" ref="AT328" si="542">(518.67*AQ328)</f>
        <v>545.66999999999996</v>
      </c>
      <c r="AU328" s="171">
        <f t="shared" ref="AU328" si="543">2116.22*AR328</f>
        <v>2116.2199999999998</v>
      </c>
      <c r="AV328" s="171">
        <f t="shared" ref="AV328" si="544">(0.0023769*AS328)</f>
        <v>2.259289905987135E-3</v>
      </c>
      <c r="AW328" s="171">
        <f t="shared" ref="AW328" si="545">((2.2697*10^-8)*(AT328^1.5))/(AT328+198.72)</f>
        <v>3.8865391239478742E-7</v>
      </c>
      <c r="AX328" s="168" t="e">
        <f t="shared" ref="AX328" ca="1" si="546">(1/U328)*(((1 + 0.2*(U328)^2)/1.2)^3)</f>
        <v>#NUM!</v>
      </c>
      <c r="AY328" s="168" t="e">
        <f t="shared" ref="AY328" ca="1" si="547">($H$4/$H$3)*AX328</f>
        <v>#NUM!</v>
      </c>
      <c r="AZ328" s="168">
        <f>-6.6*10^(-3) + 0.825*J328 - 0.243*(J328^2)</f>
        <v>0.11256726187493296</v>
      </c>
    </row>
    <row r="329" spans="1:52" ht="14.5">
      <c r="AC329" s="3"/>
      <c r="AD329" s="3"/>
      <c r="AP329" s="53"/>
    </row>
    <row r="330" spans="1:52" ht="14.5">
      <c r="AC330" s="3"/>
      <c r="AD330" s="3"/>
      <c r="AP330" s="53"/>
    </row>
    <row r="331" spans="1:52" s="137" customFormat="1" ht="14.5">
      <c r="AC331" s="138"/>
      <c r="AD331" s="138"/>
      <c r="AP331" s="139"/>
    </row>
    <row r="332" spans="1:52" ht="14.5">
      <c r="AC332" s="3"/>
      <c r="AD332" s="3"/>
      <c r="AP332" s="53"/>
    </row>
    <row r="333" spans="1:52" ht="14.5">
      <c r="A333" s="131" t="s">
        <v>255</v>
      </c>
      <c r="B333" s="179">
        <f>0.95*B334</f>
        <v>114</v>
      </c>
      <c r="F333" s="131" t="s">
        <v>257</v>
      </c>
      <c r="G333" s="179">
        <f>(B337/B338)+(B335*(B338/2))</f>
        <v>9276.0307457540803</v>
      </c>
      <c r="L333" s="75" t="s">
        <v>217</v>
      </c>
      <c r="M333" s="179">
        <f>D195</f>
        <v>14507.46</v>
      </c>
      <c r="AC333" s="3"/>
      <c r="AD333" s="3"/>
      <c r="AP333" s="53"/>
    </row>
    <row r="334" spans="1:52" ht="14.5">
      <c r="A334" s="131" t="s">
        <v>229</v>
      </c>
      <c r="B334" s="131">
        <f>1.2*L195</f>
        <v>120</v>
      </c>
      <c r="AC334" s="3"/>
      <c r="AD334" s="3"/>
      <c r="AP334" s="53"/>
    </row>
    <row r="335" spans="1:52" ht="14.5">
      <c r="A335" s="131" t="s">
        <v>252</v>
      </c>
      <c r="B335" s="179">
        <f>(B333*B333)/(B336*(1.06-1))</f>
        <v>6732.981038234373</v>
      </c>
      <c r="AC335" s="3"/>
      <c r="AD335" s="3"/>
      <c r="AP335" s="53"/>
    </row>
    <row r="336" spans="1:52" ht="14.5">
      <c r="A336" s="131" t="s">
        <v>251</v>
      </c>
      <c r="B336" s="179">
        <v>32.17</v>
      </c>
      <c r="AC336" s="3"/>
      <c r="AD336" s="3"/>
      <c r="AP336" s="53"/>
    </row>
    <row r="337" spans="1:42" ht="14.5">
      <c r="A337" s="131" t="s">
        <v>253</v>
      </c>
      <c r="B337" s="179">
        <v>50</v>
      </c>
      <c r="AC337" s="3"/>
      <c r="AD337" s="3"/>
      <c r="AP337" s="53"/>
    </row>
    <row r="338" spans="1:42" ht="14.5">
      <c r="A338" s="131" t="s">
        <v>254</v>
      </c>
      <c r="B338" s="179">
        <v>2.75</v>
      </c>
      <c r="AC338" s="3"/>
      <c r="AD338" s="3"/>
      <c r="AP338" s="53"/>
    </row>
    <row r="339" spans="1:42" ht="14.5">
      <c r="A339" s="131" t="s">
        <v>256</v>
      </c>
      <c r="B339" s="179">
        <v>2</v>
      </c>
      <c r="AC339" s="3"/>
      <c r="AD339" s="3"/>
      <c r="AP339" s="53"/>
    </row>
    <row r="340" spans="1:42" ht="14.5">
      <c r="AC340" s="3"/>
      <c r="AD340" s="3"/>
      <c r="AP340" s="53"/>
    </row>
    <row r="341" spans="1:42" ht="14.5">
      <c r="AC341" s="3"/>
      <c r="AD341" s="3"/>
      <c r="AP341" s="53"/>
    </row>
    <row r="342" spans="1:42" ht="14.5">
      <c r="AC342" s="3"/>
      <c r="AD342" s="3"/>
      <c r="AP342" s="53"/>
    </row>
    <row r="343" spans="1:42" ht="14.5">
      <c r="AC343" s="3"/>
      <c r="AD343" s="3"/>
      <c r="AP343" s="53"/>
    </row>
    <row r="344" spans="1:42" ht="14.5">
      <c r="AC344" s="3"/>
      <c r="AD344" s="3"/>
      <c r="AP344" s="53"/>
    </row>
    <row r="345" spans="1:42" ht="14.5">
      <c r="AC345" s="3"/>
      <c r="AD345" s="3"/>
      <c r="AP345" s="53"/>
    </row>
    <row r="346" spans="1:42" ht="14.5">
      <c r="AC346" s="3"/>
      <c r="AD346" s="3"/>
      <c r="AP346" s="53"/>
    </row>
    <row r="347" spans="1:42" ht="14.5">
      <c r="AC347" s="3"/>
      <c r="AD347" s="3"/>
      <c r="AP347" s="53"/>
    </row>
    <row r="348" spans="1:42" ht="14.5">
      <c r="AC348" s="3"/>
      <c r="AD348" s="3"/>
      <c r="AP348" s="53"/>
    </row>
    <row r="349" spans="1:42" ht="14.5">
      <c r="AC349" s="3"/>
      <c r="AD349" s="3"/>
      <c r="AP349" s="53"/>
    </row>
    <row r="350" spans="1:42" ht="14.5">
      <c r="AC350" s="3"/>
      <c r="AD350" s="3"/>
      <c r="AP350" s="53"/>
    </row>
    <row r="351" spans="1:42" ht="14.5">
      <c r="AC351" s="3"/>
      <c r="AD351" s="3"/>
      <c r="AP351" s="53"/>
    </row>
    <row r="352" spans="1:42" ht="14.5">
      <c r="AC352" s="3"/>
      <c r="AD352" s="3"/>
      <c r="AP352" s="53"/>
    </row>
    <row r="353" spans="29:42" ht="14.5">
      <c r="AC353" s="3"/>
      <c r="AD353" s="3"/>
      <c r="AP353" s="53"/>
    </row>
    <row r="354" spans="29:42" ht="14.5">
      <c r="AC354" s="3"/>
      <c r="AD354" s="3"/>
      <c r="AP354" s="53"/>
    </row>
    <row r="355" spans="29:42" ht="14.5">
      <c r="AC355" s="3"/>
      <c r="AD355" s="3"/>
      <c r="AP355" s="53"/>
    </row>
    <row r="356" spans="29:42" ht="14.5">
      <c r="AC356" s="3"/>
      <c r="AD356" s="3"/>
      <c r="AP356" s="53"/>
    </row>
    <row r="357" spans="29:42" ht="14.5">
      <c r="AC357" s="3"/>
      <c r="AD357" s="3"/>
      <c r="AP357" s="53"/>
    </row>
    <row r="358" spans="29:42" ht="14.5">
      <c r="AC358" s="3"/>
      <c r="AD358" s="3"/>
      <c r="AP358" s="53"/>
    </row>
    <row r="359" spans="29:42" ht="14.5">
      <c r="AC359" s="3"/>
      <c r="AD359" s="3"/>
      <c r="AP359" s="53"/>
    </row>
    <row r="360" spans="29:42" ht="14.5">
      <c r="AC360" s="3"/>
      <c r="AD360" s="3"/>
      <c r="AP360" s="53"/>
    </row>
    <row r="361" spans="29:42" ht="14.5">
      <c r="AC361" s="3"/>
      <c r="AD361" s="3"/>
      <c r="AP361" s="53"/>
    </row>
    <row r="362" spans="29:42" ht="14.5">
      <c r="AC362" s="3"/>
      <c r="AD362" s="3"/>
      <c r="AP362" s="53"/>
    </row>
    <row r="363" spans="29:42" ht="14.5">
      <c r="AC363" s="3"/>
      <c r="AD363" s="3"/>
      <c r="AP363" s="53"/>
    </row>
    <row r="364" spans="29:42" ht="14.5">
      <c r="AC364" s="3"/>
      <c r="AD364" s="3"/>
      <c r="AP364" s="53"/>
    </row>
    <row r="365" spans="29:42" ht="14.5">
      <c r="AC365" s="3"/>
      <c r="AD365" s="3"/>
      <c r="AP365" s="53"/>
    </row>
    <row r="366" spans="29:42" ht="14.5">
      <c r="AC366" s="3"/>
      <c r="AD366" s="3"/>
      <c r="AP366" s="53"/>
    </row>
    <row r="367" spans="29:42" ht="14.5">
      <c r="AC367" s="3"/>
      <c r="AD367" s="3"/>
      <c r="AP367" s="53"/>
    </row>
    <row r="368" spans="29:42" ht="14.5">
      <c r="AC368" s="3"/>
      <c r="AD368" s="3"/>
      <c r="AP368" s="53"/>
    </row>
    <row r="369" spans="29:42" ht="14.5">
      <c r="AC369" s="3"/>
      <c r="AD369" s="3"/>
      <c r="AP369" s="53"/>
    </row>
    <row r="370" spans="29:42" ht="14.5">
      <c r="AC370" s="3"/>
      <c r="AD370" s="3"/>
      <c r="AP370" s="53"/>
    </row>
    <row r="371" spans="29:42" ht="14.5">
      <c r="AC371" s="3"/>
      <c r="AD371" s="3"/>
      <c r="AP371" s="53"/>
    </row>
    <row r="372" spans="29:42" ht="14.5">
      <c r="AC372" s="3"/>
      <c r="AD372" s="3"/>
      <c r="AP372" s="53"/>
    </row>
    <row r="373" spans="29:42" ht="14.5">
      <c r="AC373" s="3"/>
      <c r="AD373" s="3"/>
      <c r="AP373" s="53"/>
    </row>
    <row r="374" spans="29:42" ht="14.5">
      <c r="AC374" s="3"/>
      <c r="AD374" s="3"/>
      <c r="AP374" s="53"/>
    </row>
    <row r="375" spans="29:42" ht="14.5">
      <c r="AC375" s="3"/>
      <c r="AD375" s="3"/>
      <c r="AP375" s="53"/>
    </row>
    <row r="376" spans="29:42" ht="14.5">
      <c r="AC376" s="3"/>
      <c r="AD376" s="3"/>
      <c r="AP376" s="53"/>
    </row>
    <row r="377" spans="29:42" ht="14.5">
      <c r="AC377" s="3"/>
      <c r="AD377" s="3"/>
      <c r="AP377" s="53"/>
    </row>
    <row r="378" spans="29:42" ht="14.5">
      <c r="AC378" s="3"/>
      <c r="AD378" s="3"/>
      <c r="AP378" s="53"/>
    </row>
    <row r="379" spans="29:42" ht="14.5">
      <c r="AC379" s="3"/>
      <c r="AD379" s="3"/>
      <c r="AP379" s="53"/>
    </row>
    <row r="380" spans="29:42" ht="14.5">
      <c r="AC380" s="3"/>
      <c r="AD380" s="3"/>
      <c r="AP380" s="53"/>
    </row>
    <row r="381" spans="29:42" ht="14.5">
      <c r="AC381" s="3"/>
      <c r="AD381" s="3"/>
      <c r="AP381" s="53"/>
    </row>
    <row r="382" spans="29:42" ht="14.5">
      <c r="AC382" s="3"/>
      <c r="AD382" s="3"/>
      <c r="AP382" s="53"/>
    </row>
    <row r="383" spans="29:42" ht="14.5">
      <c r="AC383" s="3"/>
      <c r="AD383" s="3"/>
      <c r="AP383" s="53"/>
    </row>
    <row r="384" spans="29:42" ht="14.5">
      <c r="AC384" s="3"/>
      <c r="AD384" s="3"/>
      <c r="AP384" s="53"/>
    </row>
    <row r="385" spans="29:42" ht="14.5">
      <c r="AC385" s="3"/>
      <c r="AD385" s="3"/>
      <c r="AP385" s="53"/>
    </row>
    <row r="386" spans="29:42" ht="14.5">
      <c r="AC386" s="3"/>
      <c r="AD386" s="3"/>
      <c r="AP386" s="53"/>
    </row>
    <row r="387" spans="29:42" ht="14.5">
      <c r="AC387" s="3"/>
      <c r="AD387" s="3"/>
      <c r="AP387" s="53"/>
    </row>
    <row r="388" spans="29:42" ht="14.5">
      <c r="AC388" s="3"/>
      <c r="AD388" s="3"/>
      <c r="AP388" s="53"/>
    </row>
    <row r="389" spans="29:42" ht="14.5">
      <c r="AC389" s="3"/>
      <c r="AD389" s="3"/>
      <c r="AP389" s="53"/>
    </row>
    <row r="390" spans="29:42" ht="14.5">
      <c r="AC390" s="3"/>
      <c r="AD390" s="3"/>
      <c r="AP390" s="53"/>
    </row>
    <row r="391" spans="29:42" ht="14.5">
      <c r="AC391" s="3"/>
      <c r="AD391" s="3"/>
      <c r="AP391" s="53"/>
    </row>
    <row r="392" spans="29:42" ht="14.5">
      <c r="AC392" s="3"/>
      <c r="AD392" s="3"/>
      <c r="AP392" s="53"/>
    </row>
    <row r="393" spans="29:42" ht="14.5">
      <c r="AC393" s="3"/>
      <c r="AD393" s="3"/>
      <c r="AP393" s="53"/>
    </row>
    <row r="394" spans="29:42" ht="14.5">
      <c r="AC394" s="3"/>
      <c r="AD394" s="3"/>
      <c r="AP394" s="53"/>
    </row>
    <row r="395" spans="29:42" ht="14.5">
      <c r="AC395" s="3"/>
      <c r="AD395" s="3"/>
      <c r="AP395" s="53"/>
    </row>
    <row r="396" spans="29:42" ht="14.5">
      <c r="AC396" s="3"/>
      <c r="AD396" s="3"/>
      <c r="AP396" s="53"/>
    </row>
    <row r="397" spans="29:42" ht="14.5">
      <c r="AC397" s="3"/>
      <c r="AD397" s="3"/>
      <c r="AP397" s="53"/>
    </row>
    <row r="398" spans="29:42" ht="14.5">
      <c r="AC398" s="3"/>
      <c r="AD398" s="3"/>
      <c r="AP398" s="53"/>
    </row>
    <row r="399" spans="29:42" ht="14.5">
      <c r="AC399" s="3"/>
      <c r="AD399" s="3"/>
      <c r="AP399" s="53"/>
    </row>
    <row r="400" spans="29:42" ht="14.5">
      <c r="AC400" s="3"/>
      <c r="AD400" s="3"/>
      <c r="AP400" s="53"/>
    </row>
    <row r="401" spans="29:42" ht="14.5">
      <c r="AC401" s="3"/>
      <c r="AD401" s="3"/>
      <c r="AP401" s="53"/>
    </row>
    <row r="402" spans="29:42" ht="14.5">
      <c r="AC402" s="3"/>
      <c r="AD402" s="3"/>
      <c r="AP402" s="53"/>
    </row>
    <row r="403" spans="29:42" ht="14.5">
      <c r="AC403" s="3"/>
      <c r="AD403" s="3"/>
      <c r="AP403" s="53"/>
    </row>
    <row r="404" spans="29:42" ht="14.5">
      <c r="AC404" s="3"/>
      <c r="AD404" s="3"/>
      <c r="AP404" s="53"/>
    </row>
    <row r="405" spans="29:42" ht="14.5">
      <c r="AC405" s="3"/>
      <c r="AD405" s="3"/>
      <c r="AP405" s="53"/>
    </row>
    <row r="406" spans="29:42" ht="14.5">
      <c r="AC406" s="3"/>
      <c r="AD406" s="3"/>
      <c r="AP406" s="53"/>
    </row>
    <row r="407" spans="29:42" ht="14.5">
      <c r="AC407" s="3"/>
      <c r="AD407" s="3"/>
      <c r="AP407" s="53"/>
    </row>
    <row r="408" spans="29:42" ht="14.5">
      <c r="AC408" s="3"/>
      <c r="AD408" s="3"/>
      <c r="AP408" s="53"/>
    </row>
    <row r="409" spans="29:42" ht="14.5">
      <c r="AC409" s="3"/>
      <c r="AD409" s="3"/>
      <c r="AP409" s="53"/>
    </row>
    <row r="410" spans="29:42" ht="14.5">
      <c r="AC410" s="3"/>
      <c r="AD410" s="3"/>
      <c r="AP410" s="53"/>
    </row>
    <row r="411" spans="29:42" ht="14.5">
      <c r="AC411" s="3"/>
      <c r="AD411" s="3"/>
      <c r="AP411" s="53"/>
    </row>
    <row r="412" spans="29:42" ht="14.5">
      <c r="AC412" s="3"/>
      <c r="AD412" s="3"/>
      <c r="AP412" s="53"/>
    </row>
    <row r="413" spans="29:42" ht="14.5">
      <c r="AC413" s="3"/>
      <c r="AD413" s="3"/>
      <c r="AP413" s="53"/>
    </row>
    <row r="414" spans="29:42" ht="14.5">
      <c r="AC414" s="3"/>
      <c r="AD414" s="3"/>
      <c r="AP414" s="53"/>
    </row>
    <row r="415" spans="29:42" ht="14.5">
      <c r="AC415" s="3"/>
      <c r="AD415" s="3"/>
      <c r="AP415" s="53"/>
    </row>
    <row r="416" spans="29:42" ht="14.5">
      <c r="AC416" s="3"/>
      <c r="AD416" s="3"/>
      <c r="AP416" s="53"/>
    </row>
    <row r="417" spans="29:42" ht="14.5">
      <c r="AC417" s="3"/>
      <c r="AD417" s="3"/>
      <c r="AP417" s="53"/>
    </row>
    <row r="418" spans="29:42" ht="14.5">
      <c r="AC418" s="3"/>
      <c r="AD418" s="3"/>
      <c r="AP418" s="53"/>
    </row>
    <row r="419" spans="29:42" ht="14.5">
      <c r="AC419" s="3"/>
      <c r="AD419" s="3"/>
      <c r="AP419" s="53"/>
    </row>
    <row r="420" spans="29:42" ht="14.5">
      <c r="AC420" s="3"/>
      <c r="AD420" s="3"/>
      <c r="AP420" s="53"/>
    </row>
    <row r="421" spans="29:42" ht="14.5">
      <c r="AC421" s="3"/>
      <c r="AD421" s="3"/>
      <c r="AP421" s="53"/>
    </row>
    <row r="422" spans="29:42" ht="14.5">
      <c r="AC422" s="3"/>
      <c r="AD422" s="3"/>
      <c r="AP422" s="53"/>
    </row>
    <row r="423" spans="29:42" ht="14.5">
      <c r="AC423" s="3"/>
      <c r="AD423" s="3"/>
      <c r="AP423" s="53"/>
    </row>
    <row r="424" spans="29:42" ht="14.5">
      <c r="AC424" s="3"/>
      <c r="AD424" s="3"/>
      <c r="AP424" s="53"/>
    </row>
    <row r="425" spans="29:42" ht="14.5">
      <c r="AC425" s="3"/>
      <c r="AD425" s="3"/>
      <c r="AP425" s="53"/>
    </row>
    <row r="426" spans="29:42" ht="14.5">
      <c r="AC426" s="3"/>
      <c r="AD426" s="3"/>
      <c r="AP426" s="53"/>
    </row>
    <row r="427" spans="29:42" ht="14.5">
      <c r="AC427" s="3"/>
      <c r="AD427" s="3"/>
      <c r="AP427" s="53"/>
    </row>
    <row r="428" spans="29:42" ht="14.5">
      <c r="AC428" s="3"/>
      <c r="AD428" s="3"/>
      <c r="AP428" s="53"/>
    </row>
    <row r="429" spans="29:42" ht="14.5">
      <c r="AC429" s="3"/>
      <c r="AD429" s="3"/>
      <c r="AP429" s="53"/>
    </row>
    <row r="430" spans="29:42" ht="14.5">
      <c r="AC430" s="3"/>
      <c r="AD430" s="3"/>
      <c r="AP430" s="53"/>
    </row>
    <row r="431" spans="29:42" ht="14.5">
      <c r="AC431" s="3"/>
      <c r="AD431" s="3"/>
      <c r="AP431" s="53"/>
    </row>
    <row r="432" spans="29:42" ht="14.5">
      <c r="AC432" s="3"/>
      <c r="AD432" s="3"/>
      <c r="AP432" s="53"/>
    </row>
    <row r="433" spans="29:42" ht="14.5">
      <c r="AC433" s="3"/>
      <c r="AD433" s="3"/>
      <c r="AP433" s="53"/>
    </row>
    <row r="434" spans="29:42" ht="14.5">
      <c r="AC434" s="3"/>
      <c r="AD434" s="3"/>
      <c r="AP434" s="53"/>
    </row>
    <row r="435" spans="29:42" ht="14.5">
      <c r="AC435" s="3"/>
      <c r="AD435" s="3"/>
      <c r="AP435" s="53"/>
    </row>
    <row r="436" spans="29:42" ht="14.5">
      <c r="AC436" s="3"/>
      <c r="AD436" s="3"/>
      <c r="AP436" s="53"/>
    </row>
    <row r="437" spans="29:42" ht="14.5">
      <c r="AC437" s="3"/>
      <c r="AD437" s="3"/>
      <c r="AP437" s="53"/>
    </row>
    <row r="438" spans="29:42" ht="14.5">
      <c r="AC438" s="3"/>
      <c r="AD438" s="3"/>
      <c r="AP438" s="53"/>
    </row>
    <row r="439" spans="29:42" ht="14.5">
      <c r="AC439" s="3"/>
      <c r="AD439" s="3"/>
      <c r="AP439" s="53"/>
    </row>
    <row r="440" spans="29:42" ht="14.5">
      <c r="AC440" s="3"/>
      <c r="AD440" s="3"/>
      <c r="AP440" s="53"/>
    </row>
    <row r="441" spans="29:42" ht="14.5">
      <c r="AC441" s="3"/>
      <c r="AD441" s="3"/>
      <c r="AP441" s="53"/>
    </row>
    <row r="442" spans="29:42" ht="14.5">
      <c r="AC442" s="3"/>
      <c r="AD442" s="3"/>
      <c r="AP442" s="53"/>
    </row>
    <row r="443" spans="29:42" ht="14.5">
      <c r="AC443" s="3"/>
      <c r="AD443" s="3"/>
      <c r="AP443" s="53"/>
    </row>
    <row r="444" spans="29:42" ht="14.5">
      <c r="AC444" s="3"/>
      <c r="AD444" s="3"/>
      <c r="AP444" s="53"/>
    </row>
    <row r="445" spans="29:42" ht="14.5">
      <c r="AC445" s="3"/>
      <c r="AD445" s="3"/>
      <c r="AP445" s="53"/>
    </row>
    <row r="446" spans="29:42" ht="14.5">
      <c r="AC446" s="3"/>
      <c r="AD446" s="3"/>
      <c r="AP446" s="53"/>
    </row>
    <row r="447" spans="29:42" ht="14.5">
      <c r="AC447" s="3"/>
      <c r="AD447" s="3"/>
      <c r="AP447" s="53"/>
    </row>
    <row r="448" spans="29:42" ht="14.5">
      <c r="AC448" s="3"/>
      <c r="AD448" s="3"/>
      <c r="AP448" s="53"/>
    </row>
    <row r="449" spans="29:42" ht="14.5">
      <c r="AC449" s="3"/>
      <c r="AD449" s="3"/>
      <c r="AP449" s="53"/>
    </row>
    <row r="450" spans="29:42" ht="14.5">
      <c r="AC450" s="3"/>
      <c r="AD450" s="3"/>
      <c r="AP450" s="53"/>
    </row>
    <row r="451" spans="29:42" ht="14.5">
      <c r="AC451" s="3"/>
      <c r="AD451" s="3"/>
      <c r="AP451" s="53"/>
    </row>
    <row r="452" spans="29:42" ht="14.5">
      <c r="AC452" s="3"/>
      <c r="AD452" s="3"/>
      <c r="AP452" s="53"/>
    </row>
    <row r="453" spans="29:42" ht="14.5">
      <c r="AC453" s="3"/>
      <c r="AD453" s="3"/>
      <c r="AP453" s="53"/>
    </row>
    <row r="454" spans="29:42" ht="14.5">
      <c r="AC454" s="3"/>
      <c r="AD454" s="3"/>
      <c r="AP454" s="53"/>
    </row>
    <row r="455" spans="29:42" ht="14.5">
      <c r="AC455" s="3"/>
      <c r="AD455" s="3"/>
      <c r="AP455" s="53"/>
    </row>
    <row r="456" spans="29:42" ht="14.5">
      <c r="AC456" s="3"/>
      <c r="AD456" s="3"/>
      <c r="AP456" s="53"/>
    </row>
    <row r="457" spans="29:42" ht="14.5">
      <c r="AC457" s="3"/>
      <c r="AD457" s="3"/>
      <c r="AP457" s="53"/>
    </row>
    <row r="458" spans="29:42" ht="14.5">
      <c r="AC458" s="3"/>
      <c r="AD458" s="3"/>
      <c r="AP458" s="53"/>
    </row>
    <row r="459" spans="29:42" ht="14.5">
      <c r="AC459" s="3"/>
      <c r="AD459" s="3"/>
      <c r="AP459" s="53"/>
    </row>
    <row r="460" spans="29:42" ht="14.5">
      <c r="AC460" s="3"/>
      <c r="AD460" s="3"/>
      <c r="AP460" s="53"/>
    </row>
    <row r="461" spans="29:42" ht="14.5">
      <c r="AC461" s="3"/>
      <c r="AD461" s="3"/>
      <c r="AP461" s="53"/>
    </row>
    <row r="462" spans="29:42" ht="14.5">
      <c r="AC462" s="3"/>
      <c r="AD462" s="3"/>
      <c r="AP462" s="53"/>
    </row>
    <row r="463" spans="29:42" ht="14.5">
      <c r="AC463" s="3"/>
      <c r="AD463" s="3"/>
      <c r="AP463" s="53"/>
    </row>
    <row r="464" spans="29:42" ht="14.5">
      <c r="AC464" s="3"/>
      <c r="AD464" s="3"/>
      <c r="AP464" s="53"/>
    </row>
    <row r="465" spans="29:42" ht="14.5">
      <c r="AC465" s="3"/>
      <c r="AD465" s="3"/>
      <c r="AP465" s="53"/>
    </row>
    <row r="466" spans="29:42" ht="14.5">
      <c r="AC466" s="3"/>
      <c r="AD466" s="3"/>
      <c r="AP466" s="53"/>
    </row>
    <row r="467" spans="29:42" ht="14.5">
      <c r="AC467" s="3"/>
      <c r="AD467" s="3"/>
      <c r="AP467" s="53"/>
    </row>
    <row r="468" spans="29:42" ht="14.5">
      <c r="AC468" s="3"/>
      <c r="AD468" s="3"/>
      <c r="AP468" s="53"/>
    </row>
    <row r="469" spans="29:42" ht="14.5">
      <c r="AC469" s="3"/>
      <c r="AD469" s="3"/>
      <c r="AP469" s="53"/>
    </row>
    <row r="470" spans="29:42" ht="14.5">
      <c r="AC470" s="3"/>
      <c r="AD470" s="3"/>
      <c r="AP470" s="53"/>
    </row>
    <row r="471" spans="29:42" ht="14.5">
      <c r="AC471" s="3"/>
      <c r="AD471" s="3"/>
      <c r="AP471" s="53"/>
    </row>
    <row r="472" spans="29:42" ht="14.5">
      <c r="AC472" s="3"/>
      <c r="AD472" s="3"/>
      <c r="AP472" s="53"/>
    </row>
    <row r="473" spans="29:42" ht="14.5">
      <c r="AC473" s="3"/>
      <c r="AD473" s="3"/>
      <c r="AP473" s="53"/>
    </row>
    <row r="474" spans="29:42" ht="14.5">
      <c r="AC474" s="3"/>
      <c r="AD474" s="3"/>
      <c r="AP474" s="53"/>
    </row>
    <row r="475" spans="29:42" ht="14.5">
      <c r="AC475" s="3"/>
      <c r="AD475" s="3"/>
      <c r="AP475" s="53"/>
    </row>
    <row r="476" spans="29:42" ht="14.5">
      <c r="AC476" s="3"/>
      <c r="AD476" s="3"/>
      <c r="AP476" s="53"/>
    </row>
    <row r="477" spans="29:42" ht="14.5">
      <c r="AC477" s="3"/>
      <c r="AD477" s="3"/>
      <c r="AP477" s="53"/>
    </row>
    <row r="478" spans="29:42" ht="14.5">
      <c r="AC478" s="3"/>
      <c r="AD478" s="3"/>
      <c r="AP478" s="53"/>
    </row>
    <row r="479" spans="29:42" ht="14.5">
      <c r="AC479" s="3"/>
      <c r="AD479" s="3"/>
      <c r="AP479" s="53"/>
    </row>
    <row r="480" spans="29:42" ht="14.5">
      <c r="AC480" s="3"/>
      <c r="AD480" s="3"/>
      <c r="AP480" s="53"/>
    </row>
    <row r="481" spans="29:42" ht="14.5">
      <c r="AC481" s="3"/>
      <c r="AD481" s="3"/>
      <c r="AP481" s="53"/>
    </row>
    <row r="482" spans="29:42" ht="14.5">
      <c r="AC482" s="3"/>
      <c r="AD482" s="3"/>
      <c r="AP482" s="53"/>
    </row>
    <row r="483" spans="29:42" ht="14.5">
      <c r="AC483" s="3"/>
      <c r="AD483" s="3"/>
      <c r="AP483" s="53"/>
    </row>
    <row r="484" spans="29:42" ht="14.5">
      <c r="AC484" s="3"/>
      <c r="AD484" s="3"/>
      <c r="AP484" s="53"/>
    </row>
    <row r="485" spans="29:42" ht="14.5">
      <c r="AC485" s="3"/>
      <c r="AD485" s="3"/>
      <c r="AP485" s="53"/>
    </row>
    <row r="486" spans="29:42" ht="14.5">
      <c r="AC486" s="3"/>
      <c r="AD486" s="3"/>
      <c r="AP486" s="53"/>
    </row>
    <row r="487" spans="29:42" ht="14.5">
      <c r="AC487" s="3"/>
      <c r="AD487" s="3"/>
      <c r="AP487" s="53"/>
    </row>
    <row r="488" spans="29:42" ht="14.5">
      <c r="AC488" s="3"/>
      <c r="AD488" s="3"/>
      <c r="AP488" s="53"/>
    </row>
    <row r="489" spans="29:42" ht="14.5">
      <c r="AC489" s="3"/>
      <c r="AD489" s="3"/>
      <c r="AP489" s="53"/>
    </row>
    <row r="490" spans="29:42" ht="14.5">
      <c r="AC490" s="3"/>
      <c r="AD490" s="3"/>
      <c r="AP490" s="53"/>
    </row>
    <row r="491" spans="29:42" ht="14.5">
      <c r="AC491" s="3"/>
      <c r="AD491" s="3"/>
      <c r="AP491" s="53"/>
    </row>
    <row r="492" spans="29:42" ht="14.5">
      <c r="AC492" s="3"/>
      <c r="AD492" s="3"/>
      <c r="AP492" s="53"/>
    </row>
    <row r="493" spans="29:42" ht="14.5">
      <c r="AC493" s="3"/>
      <c r="AD493" s="3"/>
      <c r="AP493" s="53"/>
    </row>
    <row r="494" spans="29:42" ht="14.5">
      <c r="AC494" s="3"/>
      <c r="AD494" s="3"/>
      <c r="AP494" s="53"/>
    </row>
    <row r="495" spans="29:42" ht="14.5">
      <c r="AC495" s="3"/>
      <c r="AD495" s="3"/>
      <c r="AP495" s="53"/>
    </row>
    <row r="496" spans="29:42" ht="14.5">
      <c r="AC496" s="3"/>
      <c r="AD496" s="3"/>
      <c r="AP496" s="53"/>
    </row>
    <row r="497" spans="29:42" ht="14.5">
      <c r="AC497" s="3"/>
      <c r="AD497" s="3"/>
      <c r="AP497" s="53"/>
    </row>
    <row r="498" spans="29:42" ht="14.5">
      <c r="AC498" s="3"/>
      <c r="AD498" s="3"/>
      <c r="AP498" s="53"/>
    </row>
    <row r="499" spans="29:42" ht="14.5">
      <c r="AC499" s="3"/>
      <c r="AD499" s="3"/>
      <c r="AP499" s="53"/>
    </row>
    <row r="500" spans="29:42" ht="14.5">
      <c r="AC500" s="3"/>
      <c r="AD500" s="3"/>
      <c r="AP500" s="53"/>
    </row>
    <row r="501" spans="29:42" ht="14.5">
      <c r="AC501" s="3"/>
      <c r="AD501" s="3"/>
      <c r="AP501" s="53"/>
    </row>
    <row r="502" spans="29:42" ht="14.5">
      <c r="AC502" s="3"/>
      <c r="AD502" s="3"/>
      <c r="AP502" s="53"/>
    </row>
    <row r="503" spans="29:42" ht="14.5">
      <c r="AC503" s="3"/>
      <c r="AD503" s="3"/>
      <c r="AP503" s="53"/>
    </row>
    <row r="504" spans="29:42" ht="14.5">
      <c r="AC504" s="3"/>
      <c r="AD504" s="3"/>
      <c r="AP504" s="53"/>
    </row>
    <row r="505" spans="29:42" ht="14.5">
      <c r="AC505" s="3"/>
      <c r="AD505" s="3"/>
      <c r="AP505" s="53"/>
    </row>
    <row r="506" spans="29:42" ht="14.5">
      <c r="AC506" s="3"/>
      <c r="AD506" s="3"/>
      <c r="AP506" s="53"/>
    </row>
    <row r="507" spans="29:42" ht="14.5">
      <c r="AC507" s="3"/>
      <c r="AD507" s="3"/>
      <c r="AP507" s="53"/>
    </row>
    <row r="508" spans="29:42" ht="14.5">
      <c r="AC508" s="3"/>
      <c r="AD508" s="3"/>
      <c r="AP508" s="53"/>
    </row>
    <row r="509" spans="29:42" ht="14.5">
      <c r="AC509" s="3"/>
      <c r="AD509" s="3"/>
      <c r="AP509" s="53"/>
    </row>
    <row r="510" spans="29:42" ht="14.5">
      <c r="AC510" s="3"/>
      <c r="AD510" s="3"/>
      <c r="AP510" s="53"/>
    </row>
    <row r="511" spans="29:42" ht="14.5">
      <c r="AC511" s="3"/>
      <c r="AD511" s="3"/>
      <c r="AP511" s="53"/>
    </row>
    <row r="512" spans="29:42" ht="14.5">
      <c r="AC512" s="3"/>
      <c r="AD512" s="3"/>
      <c r="AP512" s="53"/>
    </row>
    <row r="513" spans="29:42" ht="14.5">
      <c r="AC513" s="3"/>
      <c r="AD513" s="3"/>
      <c r="AP513" s="53"/>
    </row>
    <row r="514" spans="29:42" ht="14.5">
      <c r="AC514" s="3"/>
      <c r="AD514" s="3"/>
      <c r="AP514" s="53"/>
    </row>
    <row r="515" spans="29:42" ht="14.5">
      <c r="AC515" s="3"/>
      <c r="AD515" s="3"/>
      <c r="AP515" s="53"/>
    </row>
    <row r="516" spans="29:42" ht="14.5">
      <c r="AC516" s="3"/>
      <c r="AD516" s="3"/>
      <c r="AP516" s="53"/>
    </row>
    <row r="517" spans="29:42" ht="14.5">
      <c r="AC517" s="3"/>
      <c r="AD517" s="3"/>
      <c r="AP517" s="53"/>
    </row>
    <row r="518" spans="29:42" ht="14.5">
      <c r="AC518" s="3"/>
      <c r="AD518" s="3"/>
      <c r="AP518" s="53"/>
    </row>
    <row r="519" spans="29:42" ht="14.5">
      <c r="AC519" s="3"/>
      <c r="AD519" s="3"/>
      <c r="AP519" s="53"/>
    </row>
    <row r="520" spans="29:42" ht="14.5">
      <c r="AC520" s="3"/>
      <c r="AD520" s="3"/>
      <c r="AP520" s="53"/>
    </row>
    <row r="521" spans="29:42" ht="14.5">
      <c r="AC521" s="3"/>
      <c r="AD521" s="3"/>
      <c r="AP521" s="53"/>
    </row>
    <row r="522" spans="29:42" ht="14.5">
      <c r="AC522" s="3"/>
      <c r="AD522" s="3"/>
      <c r="AP522" s="53"/>
    </row>
    <row r="523" spans="29:42" ht="14.5">
      <c r="AC523" s="3"/>
      <c r="AD523" s="3"/>
      <c r="AP523" s="53"/>
    </row>
    <row r="524" spans="29:42" ht="14.5">
      <c r="AC524" s="3"/>
      <c r="AD524" s="3"/>
      <c r="AP524" s="53"/>
    </row>
    <row r="525" spans="29:42" ht="14.5">
      <c r="AC525" s="3"/>
      <c r="AD525" s="3"/>
      <c r="AP525" s="53"/>
    </row>
    <row r="526" spans="29:42" ht="14.5">
      <c r="AC526" s="3"/>
      <c r="AD526" s="3"/>
      <c r="AP526" s="53"/>
    </row>
    <row r="527" spans="29:42" ht="14.5">
      <c r="AC527" s="3"/>
      <c r="AD527" s="3"/>
      <c r="AP527" s="53"/>
    </row>
    <row r="528" spans="29:42" ht="14.5">
      <c r="AC528" s="3"/>
      <c r="AD528" s="3"/>
      <c r="AP528" s="53"/>
    </row>
    <row r="529" spans="29:42" ht="14.5">
      <c r="AC529" s="3"/>
      <c r="AD529" s="3"/>
      <c r="AP529" s="53"/>
    </row>
    <row r="530" spans="29:42" ht="14.5">
      <c r="AC530" s="3"/>
      <c r="AD530" s="3"/>
      <c r="AP530" s="53"/>
    </row>
    <row r="531" spans="29:42" ht="14.5">
      <c r="AC531" s="3"/>
      <c r="AD531" s="3"/>
      <c r="AP531" s="53"/>
    </row>
    <row r="532" spans="29:42" ht="14.5">
      <c r="AC532" s="3"/>
      <c r="AD532" s="3"/>
      <c r="AP532" s="53"/>
    </row>
    <row r="533" spans="29:42" ht="14.5">
      <c r="AC533" s="3"/>
      <c r="AD533" s="3"/>
      <c r="AP533" s="53"/>
    </row>
    <row r="534" spans="29:42" ht="14.5">
      <c r="AC534" s="3"/>
      <c r="AD534" s="3"/>
      <c r="AP534" s="53"/>
    </row>
    <row r="535" spans="29:42" ht="14.5">
      <c r="AC535" s="3"/>
      <c r="AD535" s="3"/>
      <c r="AP535" s="53"/>
    </row>
    <row r="536" spans="29:42" ht="14.5">
      <c r="AC536" s="3"/>
      <c r="AD536" s="3"/>
      <c r="AP536" s="53"/>
    </row>
    <row r="537" spans="29:42" ht="14.5">
      <c r="AC537" s="3"/>
      <c r="AD537" s="3"/>
      <c r="AP537" s="53"/>
    </row>
    <row r="538" spans="29:42" ht="14.5">
      <c r="AC538" s="3"/>
      <c r="AD538" s="3"/>
      <c r="AP538" s="53"/>
    </row>
    <row r="539" spans="29:42" ht="14.5">
      <c r="AC539" s="3"/>
      <c r="AD539" s="3"/>
      <c r="AP539" s="53"/>
    </row>
    <row r="540" spans="29:42" ht="14.5">
      <c r="AC540" s="3"/>
      <c r="AD540" s="3"/>
      <c r="AP540" s="53"/>
    </row>
    <row r="541" spans="29:42" ht="14.5">
      <c r="AC541" s="3"/>
      <c r="AD541" s="3"/>
      <c r="AP541" s="53"/>
    </row>
    <row r="542" spans="29:42" ht="14.5">
      <c r="AC542" s="3"/>
      <c r="AD542" s="3"/>
      <c r="AP542" s="53"/>
    </row>
    <row r="543" spans="29:42" ht="14.5">
      <c r="AC543" s="3"/>
      <c r="AD543" s="3"/>
      <c r="AP543" s="53"/>
    </row>
    <row r="544" spans="29:42" ht="14.5">
      <c r="AC544" s="3"/>
      <c r="AD544" s="3"/>
      <c r="AP544" s="53"/>
    </row>
    <row r="545" spans="29:42" ht="14.5">
      <c r="AC545" s="3"/>
      <c r="AD545" s="3"/>
      <c r="AP545" s="53"/>
    </row>
    <row r="546" spans="29:42" ht="14.5">
      <c r="AC546" s="3"/>
      <c r="AD546" s="3"/>
      <c r="AP546" s="53"/>
    </row>
    <row r="547" spans="29:42" ht="14.5">
      <c r="AC547" s="3"/>
      <c r="AD547" s="3"/>
      <c r="AP547" s="53"/>
    </row>
    <row r="548" spans="29:42" ht="14.5">
      <c r="AC548" s="3"/>
      <c r="AD548" s="3"/>
      <c r="AP548" s="53"/>
    </row>
    <row r="549" spans="29:42" ht="14.5">
      <c r="AC549" s="3"/>
      <c r="AD549" s="3"/>
      <c r="AP549" s="53"/>
    </row>
    <row r="550" spans="29:42" ht="14.5">
      <c r="AC550" s="3"/>
      <c r="AD550" s="3"/>
      <c r="AP550" s="53"/>
    </row>
    <row r="551" spans="29:42" ht="14.5">
      <c r="AC551" s="3"/>
      <c r="AD551" s="3"/>
      <c r="AP551" s="53"/>
    </row>
    <row r="552" spans="29:42" ht="14.5">
      <c r="AC552" s="3"/>
      <c r="AD552" s="3"/>
      <c r="AP552" s="53"/>
    </row>
    <row r="553" spans="29:42" ht="14.5">
      <c r="AC553" s="3"/>
      <c r="AD553" s="3"/>
      <c r="AP553" s="53"/>
    </row>
    <row r="554" spans="29:42" ht="14.5">
      <c r="AC554" s="3"/>
      <c r="AD554" s="3"/>
      <c r="AP554" s="53"/>
    </row>
    <row r="555" spans="29:42" ht="14.5">
      <c r="AC555" s="3"/>
      <c r="AD555" s="3"/>
      <c r="AP555" s="53"/>
    </row>
    <row r="556" spans="29:42" ht="14.5">
      <c r="AC556" s="3"/>
      <c r="AD556" s="3"/>
      <c r="AP556" s="53"/>
    </row>
    <row r="557" spans="29:42" ht="14.5">
      <c r="AC557" s="3"/>
      <c r="AD557" s="3"/>
      <c r="AP557" s="53"/>
    </row>
    <row r="558" spans="29:42" ht="14.5">
      <c r="AC558" s="3"/>
      <c r="AD558" s="3"/>
      <c r="AP558" s="53"/>
    </row>
    <row r="559" spans="29:42" ht="14.5">
      <c r="AC559" s="3"/>
      <c r="AD559" s="3"/>
      <c r="AP559" s="53"/>
    </row>
    <row r="560" spans="29:42" ht="14.5">
      <c r="AC560" s="3"/>
      <c r="AD560" s="3"/>
      <c r="AP560" s="53"/>
    </row>
    <row r="561" spans="29:42" ht="14.5">
      <c r="AC561" s="3"/>
      <c r="AD561" s="3"/>
      <c r="AP561" s="53"/>
    </row>
    <row r="562" spans="29:42" ht="14.5">
      <c r="AC562" s="3"/>
      <c r="AD562" s="3"/>
      <c r="AP562" s="53"/>
    </row>
    <row r="563" spans="29:42" ht="14.5">
      <c r="AC563" s="3"/>
      <c r="AD563" s="3"/>
      <c r="AP563" s="53"/>
    </row>
    <row r="564" spans="29:42" ht="14.5">
      <c r="AC564" s="3"/>
      <c r="AD564" s="3"/>
      <c r="AP564" s="53"/>
    </row>
    <row r="565" spans="29:42" ht="14.5">
      <c r="AC565" s="3"/>
      <c r="AD565" s="3"/>
      <c r="AP565" s="53"/>
    </row>
    <row r="566" spans="29:42" ht="14.5">
      <c r="AC566" s="3"/>
      <c r="AD566" s="3"/>
      <c r="AP566" s="53"/>
    </row>
    <row r="567" spans="29:42" ht="14.5">
      <c r="AC567" s="3"/>
      <c r="AD567" s="3"/>
      <c r="AP567" s="53"/>
    </row>
    <row r="568" spans="29:42" ht="14.5">
      <c r="AC568" s="3"/>
      <c r="AD568" s="3"/>
      <c r="AP568" s="53"/>
    </row>
    <row r="569" spans="29:42" ht="14.5">
      <c r="AC569" s="3"/>
      <c r="AD569" s="3"/>
      <c r="AP569" s="53"/>
    </row>
    <row r="570" spans="29:42" ht="14.5">
      <c r="AC570" s="3"/>
      <c r="AD570" s="3"/>
      <c r="AP570" s="53"/>
    </row>
    <row r="571" spans="29:42" ht="14.5">
      <c r="AC571" s="3"/>
      <c r="AD571" s="3"/>
      <c r="AP571" s="53"/>
    </row>
    <row r="572" spans="29:42" ht="14.5">
      <c r="AC572" s="3"/>
      <c r="AD572" s="3"/>
      <c r="AP572" s="53"/>
    </row>
    <row r="573" spans="29:42" ht="14.5">
      <c r="AC573" s="3"/>
      <c r="AD573" s="3"/>
      <c r="AP573" s="53"/>
    </row>
    <row r="574" spans="29:42" ht="14.5">
      <c r="AC574" s="3"/>
      <c r="AD574" s="3"/>
      <c r="AP574" s="53"/>
    </row>
    <row r="575" spans="29:42" ht="14.5">
      <c r="AC575" s="3"/>
      <c r="AD575" s="3"/>
      <c r="AP575" s="53"/>
    </row>
    <row r="576" spans="29:42" ht="14.5">
      <c r="AC576" s="3"/>
      <c r="AD576" s="3"/>
      <c r="AP576" s="53"/>
    </row>
    <row r="577" spans="29:42" ht="14.5">
      <c r="AC577" s="3"/>
      <c r="AD577" s="3"/>
      <c r="AP577" s="53"/>
    </row>
    <row r="578" spans="29:42" ht="14.5">
      <c r="AC578" s="3"/>
      <c r="AD578" s="3"/>
      <c r="AP578" s="53"/>
    </row>
    <row r="579" spans="29:42" ht="14.5">
      <c r="AC579" s="3"/>
      <c r="AD579" s="3"/>
      <c r="AP579" s="53"/>
    </row>
    <row r="580" spans="29:42" ht="14.5">
      <c r="AC580" s="3"/>
      <c r="AD580" s="3"/>
      <c r="AP580" s="53"/>
    </row>
    <row r="581" spans="29:42" ht="14.5">
      <c r="AC581" s="3"/>
      <c r="AD581" s="3"/>
      <c r="AP581" s="53"/>
    </row>
    <row r="582" spans="29:42" ht="14.5">
      <c r="AC582" s="3"/>
      <c r="AD582" s="3"/>
      <c r="AP582" s="53"/>
    </row>
    <row r="583" spans="29:42" ht="14.5">
      <c r="AC583" s="3"/>
      <c r="AD583" s="3"/>
      <c r="AP583" s="53"/>
    </row>
    <row r="584" spans="29:42" ht="14.5">
      <c r="AC584" s="3"/>
      <c r="AD584" s="3"/>
      <c r="AP584" s="53"/>
    </row>
    <row r="585" spans="29:42" ht="14.5">
      <c r="AC585" s="3"/>
      <c r="AD585" s="3"/>
      <c r="AP585" s="53"/>
    </row>
    <row r="586" spans="29:42" ht="14.5">
      <c r="AC586" s="3"/>
      <c r="AD586" s="3"/>
      <c r="AP586" s="53"/>
    </row>
    <row r="587" spans="29:42" ht="14.5">
      <c r="AC587" s="3"/>
      <c r="AD587" s="3"/>
      <c r="AP587" s="53"/>
    </row>
    <row r="588" spans="29:42" ht="14.5">
      <c r="AC588" s="3"/>
      <c r="AD588" s="3"/>
      <c r="AP588" s="53"/>
    </row>
    <row r="589" spans="29:42" ht="14.5">
      <c r="AC589" s="3"/>
      <c r="AD589" s="3"/>
      <c r="AP589" s="53"/>
    </row>
    <row r="590" spans="29:42" ht="14.5">
      <c r="AC590" s="3"/>
      <c r="AD590" s="3"/>
      <c r="AP590" s="53"/>
    </row>
    <row r="591" spans="29:42" ht="14.5">
      <c r="AC591" s="3"/>
      <c r="AD591" s="3"/>
      <c r="AP591" s="53"/>
    </row>
    <row r="592" spans="29:42" ht="14.5">
      <c r="AC592" s="3"/>
      <c r="AD592" s="3"/>
      <c r="AP592" s="53"/>
    </row>
    <row r="593" spans="29:42" ht="14.5">
      <c r="AC593" s="3"/>
      <c r="AD593" s="3"/>
      <c r="AP593" s="53"/>
    </row>
    <row r="594" spans="29:42" ht="14.5">
      <c r="AC594" s="3"/>
      <c r="AD594" s="3"/>
      <c r="AP594" s="53"/>
    </row>
    <row r="595" spans="29:42" ht="14.5">
      <c r="AC595" s="3"/>
      <c r="AD595" s="3"/>
      <c r="AP595" s="53"/>
    </row>
    <row r="596" spans="29:42" ht="14.5">
      <c r="AC596" s="3"/>
      <c r="AD596" s="3"/>
      <c r="AP596" s="53"/>
    </row>
    <row r="597" spans="29:42" ht="14.5">
      <c r="AC597" s="3"/>
      <c r="AD597" s="3"/>
      <c r="AP597" s="53"/>
    </row>
    <row r="598" spans="29:42" ht="14.5">
      <c r="AC598" s="3"/>
      <c r="AD598" s="3"/>
      <c r="AP598" s="53"/>
    </row>
    <row r="599" spans="29:42" ht="14.5">
      <c r="AC599" s="3"/>
      <c r="AD599" s="3"/>
      <c r="AP599" s="53"/>
    </row>
    <row r="600" spans="29:42" ht="14.5">
      <c r="AC600" s="3"/>
      <c r="AD600" s="3"/>
      <c r="AP600" s="53"/>
    </row>
    <row r="601" spans="29:42" ht="14.5">
      <c r="AC601" s="3"/>
      <c r="AD601" s="3"/>
      <c r="AP601" s="53"/>
    </row>
    <row r="602" spans="29:42" ht="14.5">
      <c r="AC602" s="3"/>
      <c r="AD602" s="3"/>
      <c r="AP602" s="53"/>
    </row>
    <row r="603" spans="29:42" ht="14.5">
      <c r="AC603" s="3"/>
      <c r="AD603" s="3"/>
      <c r="AP603" s="53"/>
    </row>
    <row r="604" spans="29:42" ht="14.5">
      <c r="AC604" s="3"/>
      <c r="AD604" s="3"/>
      <c r="AP604" s="53"/>
    </row>
    <row r="605" spans="29:42" ht="14.5">
      <c r="AC605" s="3"/>
      <c r="AD605" s="3"/>
      <c r="AP605" s="53"/>
    </row>
    <row r="606" spans="29:42" ht="14.5">
      <c r="AC606" s="3"/>
      <c r="AD606" s="3"/>
      <c r="AP606" s="53"/>
    </row>
    <row r="607" spans="29:42" ht="14.5">
      <c r="AC607" s="3"/>
      <c r="AD607" s="3"/>
      <c r="AP607" s="53"/>
    </row>
    <row r="608" spans="29:42" ht="14.5">
      <c r="AC608" s="3"/>
      <c r="AD608" s="3"/>
      <c r="AP608" s="53"/>
    </row>
    <row r="609" spans="29:42" ht="14.5">
      <c r="AC609" s="3"/>
      <c r="AD609" s="3"/>
      <c r="AP609" s="53"/>
    </row>
    <row r="610" spans="29:42" ht="14.5">
      <c r="AC610" s="3"/>
      <c r="AD610" s="3"/>
      <c r="AP610" s="53"/>
    </row>
    <row r="611" spans="29:42" ht="14.5">
      <c r="AC611" s="3"/>
      <c r="AD611" s="3"/>
      <c r="AP611" s="53"/>
    </row>
    <row r="612" spans="29:42" ht="14.5">
      <c r="AC612" s="3"/>
      <c r="AD612" s="3"/>
      <c r="AP612" s="53"/>
    </row>
    <row r="613" spans="29:42" ht="14.5">
      <c r="AC613" s="3"/>
      <c r="AD613" s="3"/>
      <c r="AP613" s="53"/>
    </row>
    <row r="614" spans="29:42" ht="14.5">
      <c r="AC614" s="3"/>
      <c r="AD614" s="3"/>
      <c r="AP614" s="53"/>
    </row>
    <row r="615" spans="29:42" ht="14.5">
      <c r="AC615" s="3"/>
      <c r="AD615" s="3"/>
      <c r="AP615" s="53"/>
    </row>
    <row r="616" spans="29:42" ht="14.5">
      <c r="AC616" s="3"/>
      <c r="AD616" s="3"/>
      <c r="AP616" s="53"/>
    </row>
    <row r="617" spans="29:42" ht="14.5">
      <c r="AC617" s="3"/>
      <c r="AD617" s="3"/>
      <c r="AP617" s="53"/>
    </row>
    <row r="618" spans="29:42" ht="14.5">
      <c r="AC618" s="3"/>
      <c r="AD618" s="3"/>
      <c r="AP618" s="53"/>
    </row>
    <row r="619" spans="29:42" ht="14.5">
      <c r="AC619" s="3"/>
      <c r="AD619" s="3"/>
      <c r="AP619" s="53"/>
    </row>
    <row r="620" spans="29:42" ht="14.5">
      <c r="AC620" s="3"/>
      <c r="AD620" s="3"/>
      <c r="AP620" s="53"/>
    </row>
    <row r="621" spans="29:42" ht="14.5">
      <c r="AC621" s="3"/>
      <c r="AD621" s="3"/>
      <c r="AP621" s="53"/>
    </row>
    <row r="622" spans="29:42" ht="14.5">
      <c r="AC622" s="3"/>
      <c r="AD622" s="3"/>
      <c r="AP622" s="53"/>
    </row>
    <row r="623" spans="29:42" ht="14.5">
      <c r="AC623" s="3"/>
      <c r="AD623" s="3"/>
      <c r="AP623" s="53"/>
    </row>
    <row r="624" spans="29:42" ht="14.5">
      <c r="AC624" s="3"/>
      <c r="AD624" s="3"/>
      <c r="AP624" s="53"/>
    </row>
    <row r="625" spans="29:42" ht="14.5">
      <c r="AC625" s="3"/>
      <c r="AD625" s="3"/>
      <c r="AP625" s="53"/>
    </row>
    <row r="626" spans="29:42" ht="14.5">
      <c r="AC626" s="3"/>
      <c r="AD626" s="3"/>
      <c r="AP626" s="53"/>
    </row>
    <row r="627" spans="29:42" ht="14.5">
      <c r="AC627" s="3"/>
      <c r="AD627" s="3"/>
      <c r="AP627" s="53"/>
    </row>
    <row r="628" spans="29:42" ht="14.5">
      <c r="AC628" s="3"/>
      <c r="AD628" s="3"/>
      <c r="AP628" s="53"/>
    </row>
    <row r="629" spans="29:42" ht="14.5">
      <c r="AC629" s="3"/>
      <c r="AD629" s="3"/>
      <c r="AP629" s="53"/>
    </row>
    <row r="630" spans="29:42" ht="14.5">
      <c r="AC630" s="3"/>
      <c r="AD630" s="3"/>
      <c r="AP630" s="53"/>
    </row>
    <row r="631" spans="29:42" ht="14.5">
      <c r="AC631" s="3"/>
      <c r="AD631" s="3"/>
      <c r="AP631" s="53"/>
    </row>
    <row r="632" spans="29:42" ht="14.5">
      <c r="AC632" s="3"/>
      <c r="AD632" s="3"/>
      <c r="AP632" s="53"/>
    </row>
    <row r="633" spans="29:42" ht="14.5">
      <c r="AC633" s="3"/>
      <c r="AD633" s="3"/>
      <c r="AP633" s="53"/>
    </row>
    <row r="634" spans="29:42" ht="14.5">
      <c r="AC634" s="3"/>
      <c r="AD634" s="3"/>
      <c r="AP634" s="53"/>
    </row>
    <row r="635" spans="29:42" ht="14.5">
      <c r="AC635" s="3"/>
      <c r="AD635" s="3"/>
      <c r="AP635" s="53"/>
    </row>
    <row r="636" spans="29:42" ht="14.5">
      <c r="AC636" s="3"/>
      <c r="AD636" s="3"/>
      <c r="AP636" s="53"/>
    </row>
    <row r="637" spans="29:42" ht="14.5">
      <c r="AC637" s="3"/>
      <c r="AD637" s="3"/>
      <c r="AP637" s="53"/>
    </row>
    <row r="638" spans="29:42" ht="14.5">
      <c r="AC638" s="3"/>
      <c r="AD638" s="3"/>
      <c r="AP638" s="53"/>
    </row>
    <row r="639" spans="29:42" ht="14.5">
      <c r="AC639" s="3"/>
      <c r="AD639" s="3"/>
      <c r="AP639" s="53"/>
    </row>
    <row r="640" spans="29:42" ht="14.5">
      <c r="AC640" s="3"/>
      <c r="AD640" s="3"/>
      <c r="AP640" s="53"/>
    </row>
    <row r="641" spans="29:42" ht="14.5">
      <c r="AC641" s="3"/>
      <c r="AD641" s="3"/>
      <c r="AP641" s="53"/>
    </row>
    <row r="642" spans="29:42" ht="14.5">
      <c r="AC642" s="3"/>
      <c r="AD642" s="3"/>
      <c r="AP642" s="53"/>
    </row>
    <row r="643" spans="29:42" ht="14.5">
      <c r="AC643" s="3"/>
      <c r="AD643" s="3"/>
      <c r="AP643" s="53"/>
    </row>
    <row r="644" spans="29:42" ht="14.5">
      <c r="AC644" s="3"/>
      <c r="AD644" s="3"/>
      <c r="AP644" s="53"/>
    </row>
    <row r="645" spans="29:42" ht="14.5">
      <c r="AC645" s="3"/>
      <c r="AD645" s="3"/>
      <c r="AP645" s="53"/>
    </row>
    <row r="646" spans="29:42" ht="14.5">
      <c r="AC646" s="3"/>
      <c r="AD646" s="3"/>
      <c r="AP646" s="53"/>
    </row>
    <row r="647" spans="29:42" ht="14.5">
      <c r="AC647" s="3"/>
      <c r="AD647" s="3"/>
      <c r="AP647" s="53"/>
    </row>
    <row r="648" spans="29:42" ht="14.5">
      <c r="AC648" s="3"/>
      <c r="AD648" s="3"/>
      <c r="AP648" s="53"/>
    </row>
    <row r="649" spans="29:42" ht="14.5">
      <c r="AC649" s="3"/>
      <c r="AD649" s="3"/>
      <c r="AP649" s="53"/>
    </row>
    <row r="650" spans="29:42" ht="14.5">
      <c r="AC650" s="3"/>
      <c r="AD650" s="3"/>
      <c r="AP650" s="53"/>
    </row>
    <row r="651" spans="29:42" ht="14.5">
      <c r="AC651" s="3"/>
      <c r="AD651" s="3"/>
      <c r="AP651" s="53"/>
    </row>
    <row r="652" spans="29:42" ht="14.5">
      <c r="AC652" s="3"/>
      <c r="AD652" s="3"/>
      <c r="AP652" s="53"/>
    </row>
    <row r="653" spans="29:42" ht="14.5">
      <c r="AC653" s="3"/>
      <c r="AD653" s="3"/>
      <c r="AP653" s="53"/>
    </row>
    <row r="654" spans="29:42" ht="14.5">
      <c r="AC654" s="3"/>
      <c r="AD654" s="3"/>
      <c r="AP654" s="53"/>
    </row>
    <row r="655" spans="29:42" ht="14.5">
      <c r="AC655" s="3"/>
      <c r="AD655" s="3"/>
      <c r="AP655" s="53"/>
    </row>
    <row r="656" spans="29:42" ht="14.5">
      <c r="AC656" s="3"/>
      <c r="AD656" s="3"/>
      <c r="AP656" s="53"/>
    </row>
    <row r="657" spans="29:42" ht="14.5">
      <c r="AC657" s="3"/>
      <c r="AD657" s="3"/>
      <c r="AP657" s="53"/>
    </row>
    <row r="658" spans="29:42" ht="14.5">
      <c r="AC658" s="3"/>
      <c r="AD658" s="3"/>
      <c r="AP658" s="53"/>
    </row>
    <row r="659" spans="29:42" ht="14.5">
      <c r="AC659" s="3"/>
      <c r="AD659" s="3"/>
      <c r="AP659" s="53"/>
    </row>
    <row r="660" spans="29:42" ht="14.5">
      <c r="AC660" s="3"/>
      <c r="AD660" s="3"/>
      <c r="AP660" s="53"/>
    </row>
    <row r="661" spans="29:42" ht="14.5">
      <c r="AC661" s="3"/>
      <c r="AD661" s="3"/>
      <c r="AP661" s="53"/>
    </row>
    <row r="662" spans="29:42" ht="14.5">
      <c r="AC662" s="3"/>
      <c r="AD662" s="3"/>
      <c r="AP662" s="53"/>
    </row>
    <row r="663" spans="29:42" ht="14.5">
      <c r="AC663" s="3"/>
      <c r="AD663" s="3"/>
      <c r="AP663" s="53"/>
    </row>
    <row r="664" spans="29:42" ht="14.5">
      <c r="AC664" s="3"/>
      <c r="AD664" s="3"/>
      <c r="AP664" s="53"/>
    </row>
    <row r="665" spans="29:42" ht="14.5">
      <c r="AC665" s="3"/>
      <c r="AD665" s="3"/>
      <c r="AP665" s="53"/>
    </row>
    <row r="666" spans="29:42" ht="14.5">
      <c r="AC666" s="3"/>
      <c r="AD666" s="3"/>
      <c r="AP666" s="53"/>
    </row>
    <row r="667" spans="29:42" ht="14.5">
      <c r="AC667" s="3"/>
      <c r="AD667" s="3"/>
      <c r="AP667" s="53"/>
    </row>
    <row r="668" spans="29:42" ht="14.5">
      <c r="AC668" s="3"/>
      <c r="AD668" s="3"/>
      <c r="AP668" s="53"/>
    </row>
    <row r="669" spans="29:42" ht="14.5">
      <c r="AC669" s="3"/>
      <c r="AD669" s="3"/>
      <c r="AP669" s="53"/>
    </row>
    <row r="670" spans="29:42" ht="14.5">
      <c r="AC670" s="3"/>
      <c r="AD670" s="3"/>
      <c r="AP670" s="53"/>
    </row>
    <row r="671" spans="29:42" ht="14.5">
      <c r="AC671" s="3"/>
      <c r="AD671" s="3"/>
      <c r="AP671" s="53"/>
    </row>
    <row r="672" spans="29:42" ht="14.5">
      <c r="AC672" s="3"/>
      <c r="AD672" s="3"/>
      <c r="AP672" s="53"/>
    </row>
    <row r="673" spans="29:42" ht="14.5">
      <c r="AC673" s="3"/>
      <c r="AD673" s="3"/>
      <c r="AP673" s="53"/>
    </row>
    <row r="674" spans="29:42" ht="14.5">
      <c r="AC674" s="3"/>
      <c r="AD674" s="3"/>
      <c r="AP674" s="53"/>
    </row>
    <row r="675" spans="29:42" ht="14.5">
      <c r="AC675" s="3"/>
      <c r="AD675" s="3"/>
      <c r="AP675" s="53"/>
    </row>
    <row r="676" spans="29:42" ht="14.5">
      <c r="AC676" s="3"/>
      <c r="AD676" s="3"/>
      <c r="AP676" s="53"/>
    </row>
    <row r="677" spans="29:42" ht="14.5">
      <c r="AC677" s="3"/>
      <c r="AD677" s="3"/>
      <c r="AP677" s="53"/>
    </row>
    <row r="678" spans="29:42" ht="14.5">
      <c r="AC678" s="3"/>
      <c r="AD678" s="3"/>
      <c r="AP678" s="53"/>
    </row>
    <row r="679" spans="29:42" ht="14.5">
      <c r="AC679" s="3"/>
      <c r="AD679" s="3"/>
      <c r="AP679" s="53"/>
    </row>
    <row r="680" spans="29:42" ht="14.5">
      <c r="AC680" s="3"/>
      <c r="AD680" s="3"/>
      <c r="AP680" s="53"/>
    </row>
    <row r="681" spans="29:42" ht="14.5">
      <c r="AC681" s="3"/>
      <c r="AD681" s="3"/>
      <c r="AP681" s="53"/>
    </row>
    <row r="682" spans="29:42" ht="14.5">
      <c r="AC682" s="3"/>
      <c r="AD682" s="3"/>
      <c r="AP682" s="53"/>
    </row>
    <row r="683" spans="29:42" ht="14.5">
      <c r="AC683" s="3"/>
      <c r="AD683" s="3"/>
      <c r="AP683" s="53"/>
    </row>
    <row r="684" spans="29:42" ht="14.5">
      <c r="AC684" s="3"/>
      <c r="AD684" s="3"/>
      <c r="AP684" s="53"/>
    </row>
    <row r="685" spans="29:42" ht="14.5">
      <c r="AC685" s="3"/>
      <c r="AD685" s="3"/>
      <c r="AP685" s="53"/>
    </row>
    <row r="686" spans="29:42" ht="14.5">
      <c r="AC686" s="3"/>
      <c r="AD686" s="3"/>
      <c r="AP686" s="53"/>
    </row>
    <row r="687" spans="29:42" ht="14.5">
      <c r="AC687" s="3"/>
      <c r="AD687" s="3"/>
      <c r="AP687" s="53"/>
    </row>
    <row r="688" spans="29:42" ht="14.5">
      <c r="AC688" s="3"/>
      <c r="AD688" s="3"/>
      <c r="AP688" s="53"/>
    </row>
    <row r="689" spans="29:42" ht="14.5">
      <c r="AC689" s="3"/>
      <c r="AD689" s="3"/>
      <c r="AP689" s="53"/>
    </row>
    <row r="690" spans="29:42" ht="14.5">
      <c r="AC690" s="3"/>
      <c r="AD690" s="3"/>
      <c r="AP690" s="53"/>
    </row>
    <row r="691" spans="29:42" ht="14.5">
      <c r="AC691" s="3"/>
      <c r="AD691" s="3"/>
      <c r="AP691" s="53"/>
    </row>
    <row r="692" spans="29:42" ht="14.5">
      <c r="AC692" s="3"/>
      <c r="AD692" s="3"/>
      <c r="AP692" s="53"/>
    </row>
    <row r="693" spans="29:42" ht="14.5">
      <c r="AC693" s="3"/>
      <c r="AD693" s="3"/>
      <c r="AP693" s="53"/>
    </row>
    <row r="694" spans="29:42" ht="14.5">
      <c r="AC694" s="3"/>
      <c r="AD694" s="3"/>
      <c r="AP694" s="53"/>
    </row>
    <row r="695" spans="29:42" ht="14.5">
      <c r="AC695" s="3"/>
      <c r="AD695" s="3"/>
      <c r="AP695" s="53"/>
    </row>
    <row r="696" spans="29:42" ht="14.5">
      <c r="AC696" s="3"/>
      <c r="AD696" s="3"/>
      <c r="AP696" s="53"/>
    </row>
    <row r="697" spans="29:42" ht="14.5">
      <c r="AC697" s="3"/>
      <c r="AD697" s="3"/>
      <c r="AP697" s="53"/>
    </row>
    <row r="698" spans="29:42" ht="14.5">
      <c r="AC698" s="3"/>
      <c r="AD698" s="3"/>
      <c r="AP698" s="53"/>
    </row>
    <row r="699" spans="29:42" ht="14.5">
      <c r="AC699" s="3"/>
      <c r="AD699" s="3"/>
      <c r="AP699" s="53"/>
    </row>
    <row r="700" spans="29:42" ht="14.5">
      <c r="AC700" s="3"/>
      <c r="AD700" s="3"/>
      <c r="AP700" s="53"/>
    </row>
    <row r="701" spans="29:42" ht="14.5">
      <c r="AC701" s="3"/>
      <c r="AD701" s="3"/>
      <c r="AP701" s="53"/>
    </row>
    <row r="702" spans="29:42" ht="14.5">
      <c r="AC702" s="3"/>
      <c r="AD702" s="3"/>
      <c r="AP702" s="53"/>
    </row>
    <row r="703" spans="29:42" ht="14.5">
      <c r="AC703" s="3"/>
      <c r="AD703" s="3"/>
      <c r="AP703" s="53"/>
    </row>
    <row r="704" spans="29:42" ht="14.5">
      <c r="AC704" s="3"/>
      <c r="AD704" s="3"/>
      <c r="AP704" s="53"/>
    </row>
    <row r="705" spans="29:42" ht="14.5">
      <c r="AC705" s="3"/>
      <c r="AD705" s="3"/>
      <c r="AP705" s="53"/>
    </row>
    <row r="706" spans="29:42" ht="14.5">
      <c r="AC706" s="3"/>
      <c r="AD706" s="3"/>
      <c r="AP706" s="53"/>
    </row>
    <row r="707" spans="29:42" ht="14.5">
      <c r="AC707" s="3"/>
      <c r="AD707" s="3"/>
      <c r="AP707" s="53"/>
    </row>
    <row r="708" spans="29:42" ht="14.5">
      <c r="AC708" s="3"/>
      <c r="AD708" s="3"/>
      <c r="AP708" s="53"/>
    </row>
    <row r="709" spans="29:42" ht="14.5">
      <c r="AC709" s="3"/>
      <c r="AD709" s="3"/>
      <c r="AP709" s="53"/>
    </row>
    <row r="710" spans="29:42" ht="14.5">
      <c r="AC710" s="3"/>
      <c r="AD710" s="3"/>
      <c r="AP710" s="53"/>
    </row>
    <row r="711" spans="29:42" ht="14.5">
      <c r="AC711" s="3"/>
      <c r="AD711" s="3"/>
      <c r="AP711" s="53"/>
    </row>
    <row r="712" spans="29:42" ht="14.5">
      <c r="AC712" s="3"/>
      <c r="AD712" s="3"/>
      <c r="AP712" s="53"/>
    </row>
    <row r="713" spans="29:42" ht="14.5">
      <c r="AC713" s="3"/>
      <c r="AD713" s="3"/>
      <c r="AP713" s="53"/>
    </row>
    <row r="714" spans="29:42" ht="14.5">
      <c r="AC714" s="3"/>
      <c r="AD714" s="3"/>
      <c r="AP714" s="53"/>
    </row>
    <row r="715" spans="29:42" ht="14.5">
      <c r="AC715" s="3"/>
      <c r="AD715" s="3"/>
      <c r="AP715" s="53"/>
    </row>
    <row r="716" spans="29:42" ht="14.5">
      <c r="AC716" s="3"/>
      <c r="AD716" s="3"/>
      <c r="AP716" s="53"/>
    </row>
    <row r="717" spans="29:42" ht="14.5">
      <c r="AC717" s="3"/>
      <c r="AD717" s="3"/>
      <c r="AP717" s="53"/>
    </row>
    <row r="718" spans="29:42" ht="14.5">
      <c r="AC718" s="3"/>
      <c r="AD718" s="3"/>
      <c r="AP718" s="53"/>
    </row>
    <row r="719" spans="29:42" ht="14.5">
      <c r="AC719" s="3"/>
      <c r="AD719" s="3"/>
      <c r="AP719" s="53"/>
    </row>
    <row r="720" spans="29:42" ht="14.5">
      <c r="AC720" s="3"/>
      <c r="AD720" s="3"/>
      <c r="AP720" s="53"/>
    </row>
    <row r="721" spans="29:42" ht="14.5">
      <c r="AC721" s="3"/>
      <c r="AD721" s="3"/>
      <c r="AP721" s="53"/>
    </row>
    <row r="722" spans="29:42" ht="14.5">
      <c r="AC722" s="3"/>
      <c r="AD722" s="3"/>
      <c r="AP722" s="53"/>
    </row>
    <row r="723" spans="29:42" ht="14.5">
      <c r="AC723" s="3"/>
      <c r="AD723" s="3"/>
      <c r="AP723" s="53"/>
    </row>
    <row r="724" spans="29:42" ht="14.5">
      <c r="AC724" s="3"/>
      <c r="AD724" s="3"/>
      <c r="AP724" s="53"/>
    </row>
    <row r="725" spans="29:42" ht="14.5">
      <c r="AC725" s="3"/>
      <c r="AD725" s="3"/>
      <c r="AP725" s="53"/>
    </row>
    <row r="726" spans="29:42" ht="14.5">
      <c r="AC726" s="3"/>
      <c r="AD726" s="3"/>
      <c r="AP726" s="53"/>
    </row>
    <row r="727" spans="29:42" ht="14.5">
      <c r="AC727" s="3"/>
      <c r="AD727" s="3"/>
      <c r="AP727" s="53"/>
    </row>
    <row r="728" spans="29:42" ht="14.5">
      <c r="AC728" s="3"/>
      <c r="AD728" s="3"/>
      <c r="AP728" s="53"/>
    </row>
    <row r="729" spans="29:42" ht="14.5">
      <c r="AC729" s="3"/>
      <c r="AD729" s="3"/>
      <c r="AP729" s="53"/>
    </row>
    <row r="730" spans="29:42" ht="14.5">
      <c r="AC730" s="3"/>
      <c r="AD730" s="3"/>
      <c r="AP730" s="53"/>
    </row>
    <row r="731" spans="29:42" ht="14.5">
      <c r="AC731" s="3"/>
      <c r="AD731" s="3"/>
      <c r="AP731" s="53"/>
    </row>
    <row r="732" spans="29:42" ht="14.5">
      <c r="AC732" s="3"/>
      <c r="AD732" s="3"/>
      <c r="AP732" s="53"/>
    </row>
    <row r="733" spans="29:42" ht="14.5">
      <c r="AC733" s="3"/>
      <c r="AD733" s="3"/>
      <c r="AP733" s="53"/>
    </row>
    <row r="734" spans="29:42" ht="14.5">
      <c r="AC734" s="3"/>
      <c r="AD734" s="3"/>
      <c r="AP734" s="53"/>
    </row>
    <row r="735" spans="29:42" ht="14.5">
      <c r="AC735" s="3"/>
      <c r="AD735" s="3"/>
      <c r="AP735" s="53"/>
    </row>
    <row r="736" spans="29:42" ht="14.5">
      <c r="AC736" s="3"/>
      <c r="AD736" s="3"/>
      <c r="AP736" s="53"/>
    </row>
    <row r="737" spans="29:42" ht="14.5">
      <c r="AC737" s="3"/>
      <c r="AD737" s="3"/>
      <c r="AP737" s="53"/>
    </row>
    <row r="738" spans="29:42" ht="14.5">
      <c r="AC738" s="3"/>
      <c r="AD738" s="3"/>
      <c r="AP738" s="53"/>
    </row>
    <row r="739" spans="29:42" ht="14.5">
      <c r="AC739" s="3"/>
      <c r="AD739" s="3"/>
      <c r="AP739" s="53"/>
    </row>
    <row r="740" spans="29:42" ht="14.5">
      <c r="AC740" s="3"/>
      <c r="AD740" s="3"/>
      <c r="AP740" s="53"/>
    </row>
    <row r="741" spans="29:42" ht="14.5">
      <c r="AC741" s="3"/>
      <c r="AD741" s="3"/>
      <c r="AP741" s="53"/>
    </row>
    <row r="742" spans="29:42" ht="14.5">
      <c r="AC742" s="3"/>
      <c r="AD742" s="3"/>
      <c r="AP742" s="53"/>
    </row>
    <row r="743" spans="29:42" ht="14.5">
      <c r="AC743" s="3"/>
      <c r="AD743" s="3"/>
      <c r="AP743" s="53"/>
    </row>
    <row r="744" spans="29:42" ht="14.5">
      <c r="AC744" s="3"/>
      <c r="AD744" s="3"/>
      <c r="AP744" s="53"/>
    </row>
    <row r="745" spans="29:42" ht="14.5">
      <c r="AC745" s="3"/>
      <c r="AD745" s="3"/>
      <c r="AP745" s="53"/>
    </row>
    <row r="746" spans="29:42" ht="14.5">
      <c r="AC746" s="3"/>
      <c r="AD746" s="3"/>
      <c r="AP746" s="53"/>
    </row>
    <row r="747" spans="29:42" ht="14.5">
      <c r="AC747" s="3"/>
      <c r="AD747" s="3"/>
      <c r="AP747" s="53"/>
    </row>
    <row r="748" spans="29:42" ht="14.5">
      <c r="AC748" s="3"/>
      <c r="AD748" s="3"/>
      <c r="AP748" s="53"/>
    </row>
    <row r="749" spans="29:42" ht="14.5">
      <c r="AC749" s="3"/>
      <c r="AD749" s="3"/>
      <c r="AP749" s="53"/>
    </row>
    <row r="750" spans="29:42" ht="14.5">
      <c r="AC750" s="3"/>
      <c r="AD750" s="3"/>
      <c r="AP750" s="53"/>
    </row>
    <row r="751" spans="29:42" ht="14.5">
      <c r="AC751" s="3"/>
      <c r="AD751" s="3"/>
      <c r="AP751" s="53"/>
    </row>
    <row r="752" spans="29:42" ht="14.5">
      <c r="AC752" s="3"/>
      <c r="AD752" s="3"/>
      <c r="AP752" s="53"/>
    </row>
    <row r="753" spans="29:42" ht="14.5">
      <c r="AC753" s="3"/>
      <c r="AD753" s="3"/>
      <c r="AP753" s="53"/>
    </row>
    <row r="754" spans="29:42" ht="14.5">
      <c r="AC754" s="3"/>
      <c r="AD754" s="3"/>
      <c r="AP754" s="53"/>
    </row>
    <row r="755" spans="29:42" ht="14.5">
      <c r="AC755" s="3"/>
      <c r="AD755" s="3"/>
      <c r="AP755" s="53"/>
    </row>
    <row r="756" spans="29:42" ht="14.5">
      <c r="AC756" s="3"/>
      <c r="AD756" s="3"/>
      <c r="AP756" s="53"/>
    </row>
    <row r="757" spans="29:42" ht="14.5">
      <c r="AC757" s="3"/>
      <c r="AD757" s="3"/>
      <c r="AP757" s="53"/>
    </row>
    <row r="758" spans="29:42" ht="14.5">
      <c r="AC758" s="3"/>
      <c r="AD758" s="3"/>
      <c r="AP758" s="53"/>
    </row>
    <row r="759" spans="29:42" ht="14.5">
      <c r="AC759" s="3"/>
      <c r="AD759" s="3"/>
      <c r="AP759" s="53"/>
    </row>
    <row r="760" spans="29:42" ht="14.5">
      <c r="AC760" s="3"/>
      <c r="AD760" s="3"/>
      <c r="AP760" s="53"/>
    </row>
    <row r="761" spans="29:42" ht="14.5">
      <c r="AC761" s="3"/>
      <c r="AD761" s="3"/>
      <c r="AP761" s="53"/>
    </row>
    <row r="762" spans="29:42" ht="14.5">
      <c r="AC762" s="3"/>
      <c r="AD762" s="3"/>
      <c r="AP762" s="53"/>
    </row>
    <row r="763" spans="29:42" ht="14.5">
      <c r="AC763" s="3"/>
      <c r="AD763" s="3"/>
      <c r="AP763" s="53"/>
    </row>
    <row r="764" spans="29:42" ht="14.5">
      <c r="AC764" s="3"/>
      <c r="AD764" s="3"/>
      <c r="AP764" s="53"/>
    </row>
    <row r="765" spans="29:42" ht="14.5">
      <c r="AC765" s="3"/>
      <c r="AD765" s="3"/>
      <c r="AP765" s="53"/>
    </row>
    <row r="766" spans="29:42" ht="14.5">
      <c r="AC766" s="3"/>
      <c r="AD766" s="3"/>
      <c r="AP766" s="53"/>
    </row>
    <row r="767" spans="29:42" ht="14.5">
      <c r="AC767" s="3"/>
      <c r="AD767" s="3"/>
      <c r="AP767" s="53"/>
    </row>
    <row r="768" spans="29:42" ht="14.5">
      <c r="AC768" s="3"/>
      <c r="AD768" s="3"/>
      <c r="AP768" s="53"/>
    </row>
    <row r="769" spans="29:42" ht="14.5">
      <c r="AC769" s="3"/>
      <c r="AD769" s="3"/>
      <c r="AP769" s="53"/>
    </row>
    <row r="770" spans="29:42" ht="14.5">
      <c r="AC770" s="3"/>
      <c r="AD770" s="3"/>
      <c r="AP770" s="53"/>
    </row>
    <row r="771" spans="29:42" ht="14.5">
      <c r="AC771" s="3"/>
      <c r="AD771" s="3"/>
      <c r="AP771" s="53"/>
    </row>
    <row r="772" spans="29:42" ht="14.5">
      <c r="AC772" s="3"/>
      <c r="AD772" s="3"/>
      <c r="AP772" s="53"/>
    </row>
    <row r="773" spans="29:42" ht="14.5">
      <c r="AC773" s="3"/>
      <c r="AD773" s="3"/>
      <c r="AP773" s="53"/>
    </row>
    <row r="774" spans="29:42" ht="14.5">
      <c r="AC774" s="3"/>
      <c r="AD774" s="3"/>
      <c r="AP774" s="53"/>
    </row>
    <row r="775" spans="29:42" ht="14.5">
      <c r="AC775" s="3"/>
      <c r="AD775" s="3"/>
      <c r="AP775" s="53"/>
    </row>
    <row r="776" spans="29:42" ht="14.5">
      <c r="AC776" s="3"/>
      <c r="AD776" s="3"/>
      <c r="AP776" s="53"/>
    </row>
    <row r="777" spans="29:42" ht="14.5">
      <c r="AC777" s="3"/>
      <c r="AD777" s="3"/>
      <c r="AP777" s="53"/>
    </row>
    <row r="778" spans="29:42" ht="14.5">
      <c r="AC778" s="3"/>
      <c r="AD778" s="3"/>
      <c r="AP778" s="53"/>
    </row>
    <row r="779" spans="29:42" ht="14.5">
      <c r="AC779" s="3"/>
      <c r="AD779" s="3"/>
      <c r="AP779" s="53"/>
    </row>
    <row r="780" spans="29:42" ht="14.5">
      <c r="AC780" s="3"/>
      <c r="AD780" s="3"/>
      <c r="AP780" s="53"/>
    </row>
    <row r="781" spans="29:42" ht="14.5">
      <c r="AC781" s="3"/>
      <c r="AD781" s="3"/>
      <c r="AP781" s="53"/>
    </row>
    <row r="782" spans="29:42" ht="14.5">
      <c r="AC782" s="3"/>
      <c r="AD782" s="3"/>
      <c r="AP782" s="53"/>
    </row>
    <row r="783" spans="29:42" ht="14.5">
      <c r="AC783" s="3"/>
      <c r="AD783" s="3"/>
      <c r="AP783" s="53"/>
    </row>
    <row r="784" spans="29:42" ht="14.5">
      <c r="AC784" s="3"/>
      <c r="AD784" s="3"/>
      <c r="AP784" s="53"/>
    </row>
    <row r="785" spans="29:42" ht="14.5">
      <c r="AC785" s="3"/>
      <c r="AD785" s="3"/>
      <c r="AP785" s="53"/>
    </row>
    <row r="786" spans="29:42" ht="14.5">
      <c r="AC786" s="3"/>
      <c r="AD786" s="3"/>
      <c r="AP786" s="53"/>
    </row>
    <row r="787" spans="29:42" ht="14.5">
      <c r="AC787" s="3"/>
      <c r="AD787" s="3"/>
      <c r="AP787" s="53"/>
    </row>
    <row r="788" spans="29:42" ht="14.5">
      <c r="AC788" s="3"/>
      <c r="AD788" s="3"/>
      <c r="AP788" s="53"/>
    </row>
    <row r="789" spans="29:42" ht="14.5">
      <c r="AC789" s="3"/>
      <c r="AD789" s="3"/>
      <c r="AP789" s="53"/>
    </row>
    <row r="790" spans="29:42" ht="14.5">
      <c r="AC790" s="3"/>
      <c r="AD790" s="3"/>
      <c r="AP790" s="53"/>
    </row>
    <row r="791" spans="29:42" ht="14.5">
      <c r="AC791" s="3"/>
      <c r="AD791" s="3"/>
      <c r="AP791" s="53"/>
    </row>
    <row r="792" spans="29:42" ht="14.5">
      <c r="AC792" s="3"/>
      <c r="AD792" s="3"/>
      <c r="AP792" s="53"/>
    </row>
    <row r="793" spans="29:42" ht="14.5">
      <c r="AC793" s="3"/>
      <c r="AD793" s="3"/>
      <c r="AP793" s="53"/>
    </row>
    <row r="794" spans="29:42" ht="14.5">
      <c r="AC794" s="3"/>
      <c r="AD794" s="3"/>
      <c r="AP794" s="53"/>
    </row>
    <row r="795" spans="29:42" ht="14.5">
      <c r="AC795" s="3"/>
      <c r="AD795" s="3"/>
      <c r="AP795" s="53"/>
    </row>
    <row r="796" spans="29:42" ht="14.5">
      <c r="AC796" s="3"/>
      <c r="AD796" s="3"/>
      <c r="AP796" s="53"/>
    </row>
    <row r="797" spans="29:42" ht="14.5">
      <c r="AC797" s="3"/>
      <c r="AD797" s="3"/>
      <c r="AP797" s="53"/>
    </row>
    <row r="798" spans="29:42" ht="14.5">
      <c r="AC798" s="3"/>
      <c r="AD798" s="3"/>
      <c r="AP798" s="53"/>
    </row>
    <row r="799" spans="29:42" ht="14.5">
      <c r="AC799" s="3"/>
      <c r="AD799" s="3"/>
      <c r="AP799" s="53"/>
    </row>
    <row r="800" spans="29:42" ht="14.5">
      <c r="AC800" s="3"/>
      <c r="AD800" s="3"/>
      <c r="AP800" s="53"/>
    </row>
    <row r="801" spans="29:42" ht="14.5">
      <c r="AC801" s="3"/>
      <c r="AD801" s="3"/>
      <c r="AP801" s="53"/>
    </row>
    <row r="802" spans="29:42" ht="14.5">
      <c r="AC802" s="3"/>
      <c r="AD802" s="3"/>
      <c r="AP802" s="53"/>
    </row>
    <row r="803" spans="29:42" ht="14.5">
      <c r="AC803" s="3"/>
      <c r="AD803" s="3"/>
      <c r="AP803" s="53"/>
    </row>
    <row r="804" spans="29:42" ht="14.5">
      <c r="AC804" s="3"/>
      <c r="AD804" s="3"/>
      <c r="AP804" s="53"/>
    </row>
    <row r="805" spans="29:42" ht="14.5">
      <c r="AC805" s="3"/>
      <c r="AD805" s="3"/>
      <c r="AP805" s="53"/>
    </row>
    <row r="806" spans="29:42" ht="14.5">
      <c r="AC806" s="3"/>
      <c r="AD806" s="3"/>
      <c r="AP806" s="53"/>
    </row>
    <row r="807" spans="29:42" ht="14.5">
      <c r="AC807" s="3"/>
      <c r="AD807" s="3"/>
      <c r="AP807" s="53"/>
    </row>
    <row r="808" spans="29:42" ht="14.5">
      <c r="AC808" s="3"/>
      <c r="AD808" s="3"/>
      <c r="AP808" s="53"/>
    </row>
    <row r="809" spans="29:42" ht="14.5">
      <c r="AC809" s="3"/>
      <c r="AD809" s="3"/>
      <c r="AP809" s="53"/>
    </row>
    <row r="810" spans="29:42" ht="14.5">
      <c r="AC810" s="3"/>
      <c r="AD810" s="3"/>
      <c r="AP810" s="53"/>
    </row>
    <row r="811" spans="29:42" ht="14.5">
      <c r="AC811" s="3"/>
      <c r="AD811" s="3"/>
      <c r="AP811" s="53"/>
    </row>
    <row r="812" spans="29:42" ht="14.5">
      <c r="AC812" s="3"/>
      <c r="AD812" s="3"/>
      <c r="AP812" s="53"/>
    </row>
    <row r="813" spans="29:42" ht="14.5">
      <c r="AC813" s="3"/>
      <c r="AD813" s="3"/>
      <c r="AP813" s="53"/>
    </row>
    <row r="814" spans="29:42" ht="14.5">
      <c r="AC814" s="3"/>
      <c r="AD814" s="3"/>
      <c r="AP814" s="53"/>
    </row>
    <row r="815" spans="29:42" ht="14.5">
      <c r="AC815" s="3"/>
      <c r="AD815" s="3"/>
      <c r="AP815" s="53"/>
    </row>
    <row r="816" spans="29:42" ht="14.5">
      <c r="AC816" s="3"/>
      <c r="AD816" s="3"/>
      <c r="AP816" s="53"/>
    </row>
    <row r="817" spans="29:42" ht="14.5">
      <c r="AC817" s="3"/>
      <c r="AD817" s="3"/>
      <c r="AP817" s="53"/>
    </row>
    <row r="818" spans="29:42" ht="14.5">
      <c r="AC818" s="3"/>
      <c r="AD818" s="3"/>
      <c r="AP818" s="53"/>
    </row>
    <row r="819" spans="29:42" ht="14.5">
      <c r="AC819" s="3"/>
      <c r="AD819" s="3"/>
      <c r="AP819" s="53"/>
    </row>
    <row r="820" spans="29:42" ht="14.5">
      <c r="AC820" s="3"/>
      <c r="AD820" s="3"/>
      <c r="AP820" s="53"/>
    </row>
    <row r="821" spans="29:42" ht="14.5">
      <c r="AC821" s="3"/>
      <c r="AD821" s="3"/>
      <c r="AP821" s="53"/>
    </row>
    <row r="822" spans="29:42" ht="14.5">
      <c r="AC822" s="3"/>
      <c r="AD822" s="3"/>
      <c r="AP822" s="53"/>
    </row>
    <row r="823" spans="29:42" ht="14.5">
      <c r="AC823" s="3"/>
      <c r="AD823" s="3"/>
      <c r="AP823" s="53"/>
    </row>
    <row r="824" spans="29:42" ht="14.5">
      <c r="AC824" s="3"/>
      <c r="AD824" s="3"/>
      <c r="AP824" s="53"/>
    </row>
    <row r="825" spans="29:42" ht="14.5">
      <c r="AC825" s="3"/>
      <c r="AD825" s="3"/>
      <c r="AP825" s="53"/>
    </row>
    <row r="826" spans="29:42" ht="14.5">
      <c r="AC826" s="3"/>
      <c r="AD826" s="3"/>
      <c r="AP826" s="53"/>
    </row>
    <row r="827" spans="29:42" ht="14.5">
      <c r="AC827" s="3"/>
      <c r="AD827" s="3"/>
      <c r="AP827" s="53"/>
    </row>
    <row r="828" spans="29:42" ht="14.5">
      <c r="AC828" s="3"/>
      <c r="AD828" s="3"/>
      <c r="AP828" s="53"/>
    </row>
    <row r="829" spans="29:42" ht="14.5">
      <c r="AC829" s="3"/>
      <c r="AD829" s="3"/>
      <c r="AP829" s="53"/>
    </row>
    <row r="830" spans="29:42" ht="14.5">
      <c r="AC830" s="3"/>
      <c r="AD830" s="3"/>
      <c r="AP830" s="53"/>
    </row>
    <row r="831" spans="29:42" ht="14.5">
      <c r="AC831" s="3"/>
      <c r="AD831" s="3"/>
      <c r="AP831" s="53"/>
    </row>
    <row r="832" spans="29:42" ht="14.5">
      <c r="AC832" s="3"/>
      <c r="AD832" s="3"/>
      <c r="AP832" s="53"/>
    </row>
    <row r="833" spans="29:42" ht="14.5">
      <c r="AC833" s="3"/>
      <c r="AD833" s="3"/>
      <c r="AP833" s="53"/>
    </row>
    <row r="834" spans="29:42" ht="14.5">
      <c r="AC834" s="3"/>
      <c r="AD834" s="3"/>
      <c r="AP834" s="53"/>
    </row>
    <row r="835" spans="29:42" ht="14.5">
      <c r="AC835" s="3"/>
      <c r="AD835" s="3"/>
      <c r="AP835" s="53"/>
    </row>
    <row r="836" spans="29:42" ht="14.5">
      <c r="AC836" s="3"/>
      <c r="AD836" s="3"/>
      <c r="AP836" s="53"/>
    </row>
    <row r="837" spans="29:42" ht="14.5">
      <c r="AC837" s="3"/>
      <c r="AD837" s="3"/>
      <c r="AP837" s="53"/>
    </row>
    <row r="838" spans="29:42" ht="14.5">
      <c r="AC838" s="3"/>
      <c r="AD838" s="3"/>
      <c r="AP838" s="53"/>
    </row>
    <row r="839" spans="29:42" ht="14.5">
      <c r="AC839" s="3"/>
      <c r="AD839" s="3"/>
      <c r="AP839" s="53"/>
    </row>
    <row r="840" spans="29:42" ht="14.5">
      <c r="AC840" s="3"/>
      <c r="AD840" s="3"/>
      <c r="AP840" s="53"/>
    </row>
    <row r="841" spans="29:42" ht="14.5">
      <c r="AC841" s="3"/>
      <c r="AD841" s="3"/>
      <c r="AP841" s="53"/>
    </row>
    <row r="842" spans="29:42" ht="14.5">
      <c r="AC842" s="3"/>
      <c r="AD842" s="3"/>
      <c r="AP842" s="53"/>
    </row>
    <row r="843" spans="29:42" ht="14.5">
      <c r="AC843" s="3"/>
      <c r="AD843" s="3"/>
      <c r="AP843" s="53"/>
    </row>
    <row r="844" spans="29:42" ht="14.5">
      <c r="AC844" s="3"/>
      <c r="AD844" s="3"/>
      <c r="AP844" s="53"/>
    </row>
    <row r="845" spans="29:42" ht="14.5">
      <c r="AC845" s="3"/>
      <c r="AD845" s="3"/>
      <c r="AP845" s="53"/>
    </row>
    <row r="846" spans="29:42" ht="14.5">
      <c r="AC846" s="3"/>
      <c r="AD846" s="3"/>
      <c r="AP846" s="53"/>
    </row>
    <row r="847" spans="29:42" ht="14.5">
      <c r="AC847" s="3"/>
      <c r="AD847" s="3"/>
      <c r="AP847" s="53"/>
    </row>
    <row r="848" spans="29:42" ht="14.5">
      <c r="AC848" s="3"/>
      <c r="AD848" s="3"/>
      <c r="AP848" s="53"/>
    </row>
    <row r="849" spans="29:42" ht="14.5">
      <c r="AC849" s="3"/>
      <c r="AD849" s="3"/>
      <c r="AP849" s="53"/>
    </row>
    <row r="850" spans="29:42" ht="14.5">
      <c r="AC850" s="3"/>
      <c r="AD850" s="3"/>
      <c r="AP850" s="53"/>
    </row>
    <row r="851" spans="29:42" ht="14.5">
      <c r="AC851" s="3"/>
      <c r="AD851" s="3"/>
      <c r="AP851" s="53"/>
    </row>
    <row r="852" spans="29:42" ht="14.5">
      <c r="AC852" s="3"/>
      <c r="AD852" s="3"/>
      <c r="AP852" s="53"/>
    </row>
    <row r="853" spans="29:42" ht="14.5">
      <c r="AC853" s="3"/>
      <c r="AD853" s="3"/>
      <c r="AP853" s="53"/>
    </row>
    <row r="854" spans="29:42" ht="14.5">
      <c r="AC854" s="3"/>
      <c r="AD854" s="3"/>
      <c r="AP854" s="53"/>
    </row>
    <row r="855" spans="29:42" ht="14.5">
      <c r="AC855" s="3"/>
      <c r="AD855" s="3"/>
      <c r="AP855" s="53"/>
    </row>
    <row r="856" spans="29:42" ht="14.5">
      <c r="AC856" s="3"/>
      <c r="AD856" s="3"/>
      <c r="AP856" s="53"/>
    </row>
    <row r="857" spans="29:42" ht="14.5">
      <c r="AC857" s="3"/>
      <c r="AD857" s="3"/>
      <c r="AP857" s="53"/>
    </row>
    <row r="858" spans="29:42" ht="14.5">
      <c r="AC858" s="3"/>
      <c r="AD858" s="3"/>
      <c r="AP858" s="53"/>
    </row>
    <row r="859" spans="29:42" ht="14.5">
      <c r="AC859" s="3"/>
      <c r="AD859" s="3"/>
      <c r="AP859" s="53"/>
    </row>
    <row r="860" spans="29:42" ht="14.5">
      <c r="AC860" s="3"/>
      <c r="AD860" s="3"/>
      <c r="AP860" s="53"/>
    </row>
    <row r="861" spans="29:42" ht="14.5">
      <c r="AC861" s="3"/>
      <c r="AD861" s="3"/>
      <c r="AP861" s="53"/>
    </row>
    <row r="862" spans="29:42" ht="14.5">
      <c r="AC862" s="3"/>
      <c r="AD862" s="3"/>
      <c r="AP862" s="53"/>
    </row>
    <row r="863" spans="29:42" ht="14.5">
      <c r="AC863" s="3"/>
      <c r="AD863" s="3"/>
      <c r="AP863" s="53"/>
    </row>
    <row r="864" spans="29:42" ht="14.5">
      <c r="AC864" s="3"/>
      <c r="AD864" s="3"/>
      <c r="AP864" s="53"/>
    </row>
    <row r="865" spans="29:42" ht="14.5">
      <c r="AC865" s="3"/>
      <c r="AD865" s="3"/>
      <c r="AP865" s="53"/>
    </row>
    <row r="866" spans="29:42" ht="14.5">
      <c r="AC866" s="3"/>
      <c r="AD866" s="3"/>
      <c r="AP866" s="53"/>
    </row>
    <row r="867" spans="29:42" ht="14.5">
      <c r="AC867" s="3"/>
      <c r="AD867" s="3"/>
      <c r="AP867" s="53"/>
    </row>
    <row r="868" spans="29:42" ht="14.5">
      <c r="AC868" s="3"/>
      <c r="AD868" s="3"/>
      <c r="AP868" s="53"/>
    </row>
    <row r="869" spans="29:42" ht="14.5">
      <c r="AC869" s="3"/>
      <c r="AD869" s="3"/>
      <c r="AP869" s="53"/>
    </row>
    <row r="870" spans="29:42" ht="14.5">
      <c r="AC870" s="3"/>
      <c r="AD870" s="3"/>
      <c r="AP870" s="53"/>
    </row>
    <row r="871" spans="29:42" ht="14.5">
      <c r="AC871" s="3"/>
      <c r="AD871" s="3"/>
      <c r="AP871" s="53"/>
    </row>
    <row r="872" spans="29:42" ht="14.5">
      <c r="AC872" s="3"/>
      <c r="AD872" s="3"/>
      <c r="AP872" s="53"/>
    </row>
    <row r="873" spans="29:42" ht="14.5">
      <c r="AC873" s="3"/>
      <c r="AD873" s="3"/>
      <c r="AP873" s="53"/>
    </row>
    <row r="874" spans="29:42" ht="14.5">
      <c r="AC874" s="3"/>
      <c r="AD874" s="3"/>
      <c r="AP874" s="53"/>
    </row>
    <row r="875" spans="29:42" ht="14.5">
      <c r="AC875" s="3"/>
      <c r="AD875" s="3"/>
      <c r="AP875" s="53"/>
    </row>
    <row r="876" spans="29:42" ht="14.5">
      <c r="AC876" s="3"/>
      <c r="AD876" s="3"/>
      <c r="AP876" s="53"/>
    </row>
    <row r="877" spans="29:42" ht="14.5">
      <c r="AC877" s="3"/>
      <c r="AD877" s="3"/>
      <c r="AP877" s="53"/>
    </row>
    <row r="878" spans="29:42" ht="14.5">
      <c r="AC878" s="3"/>
      <c r="AD878" s="3"/>
      <c r="AP878" s="53"/>
    </row>
    <row r="879" spans="29:42" ht="14.5">
      <c r="AC879" s="3"/>
      <c r="AD879" s="3"/>
      <c r="AP879" s="53"/>
    </row>
    <row r="880" spans="29:42" ht="14.5">
      <c r="AC880" s="3"/>
      <c r="AD880" s="3"/>
      <c r="AP880" s="53"/>
    </row>
    <row r="881" spans="29:42" ht="14.5">
      <c r="AC881" s="3"/>
      <c r="AD881" s="3"/>
      <c r="AP881" s="53"/>
    </row>
    <row r="882" spans="29:42" ht="14.5">
      <c r="AC882" s="3"/>
      <c r="AD882" s="3"/>
      <c r="AP882" s="53"/>
    </row>
    <row r="883" spans="29:42" ht="14.5">
      <c r="AC883" s="3"/>
      <c r="AD883" s="3"/>
      <c r="AP883" s="53"/>
    </row>
    <row r="884" spans="29:42" ht="14.5">
      <c r="AC884" s="3"/>
      <c r="AD884" s="3"/>
      <c r="AP884" s="53"/>
    </row>
    <row r="885" spans="29:42" ht="14.5">
      <c r="AC885" s="3"/>
      <c r="AD885" s="3"/>
      <c r="AP885" s="53"/>
    </row>
    <row r="886" spans="29:42" ht="14.5">
      <c r="AC886" s="3"/>
      <c r="AD886" s="3"/>
      <c r="AP886" s="53"/>
    </row>
    <row r="887" spans="29:42" ht="14.5">
      <c r="AC887" s="3"/>
      <c r="AD887" s="3"/>
      <c r="AP887" s="53"/>
    </row>
    <row r="888" spans="29:42" ht="14.5">
      <c r="AC888" s="3"/>
      <c r="AD888" s="3"/>
      <c r="AP888" s="53"/>
    </row>
    <row r="889" spans="29:42" ht="14.5">
      <c r="AC889" s="3"/>
      <c r="AD889" s="3"/>
      <c r="AP889" s="53"/>
    </row>
    <row r="890" spans="29:42" ht="14.5">
      <c r="AC890" s="3"/>
      <c r="AD890" s="3"/>
      <c r="AP890" s="53"/>
    </row>
    <row r="891" spans="29:42" ht="14.5">
      <c r="AC891" s="3"/>
      <c r="AD891" s="3"/>
      <c r="AP891" s="53"/>
    </row>
    <row r="892" spans="29:42" ht="14.5">
      <c r="AC892" s="3"/>
      <c r="AD892" s="3"/>
      <c r="AP892" s="53"/>
    </row>
    <row r="893" spans="29:42" ht="14.5">
      <c r="AC893" s="3"/>
      <c r="AD893" s="3"/>
      <c r="AP893" s="53"/>
    </row>
    <row r="894" spans="29:42" ht="14.5">
      <c r="AC894" s="3"/>
      <c r="AD894" s="3"/>
      <c r="AP894" s="53"/>
    </row>
    <row r="895" spans="29:42" ht="14.5">
      <c r="AC895" s="3"/>
      <c r="AD895" s="3"/>
      <c r="AP895" s="53"/>
    </row>
    <row r="896" spans="29:42" ht="14.5">
      <c r="AC896" s="3"/>
      <c r="AD896" s="3"/>
      <c r="AP896" s="53"/>
    </row>
    <row r="897" spans="29:42" ht="14.5">
      <c r="AC897" s="3"/>
      <c r="AD897" s="3"/>
      <c r="AP897" s="53"/>
    </row>
    <row r="898" spans="29:42" ht="14.5">
      <c r="AC898" s="3"/>
      <c r="AD898" s="3"/>
      <c r="AP898" s="53"/>
    </row>
    <row r="899" spans="29:42" ht="14.5">
      <c r="AC899" s="3"/>
      <c r="AD899" s="3"/>
      <c r="AP899" s="53"/>
    </row>
    <row r="900" spans="29:42" ht="14.5">
      <c r="AC900" s="3"/>
      <c r="AD900" s="3"/>
      <c r="AP900" s="53"/>
    </row>
    <row r="901" spans="29:42" ht="14.5">
      <c r="AC901" s="3"/>
      <c r="AD901" s="3"/>
      <c r="AP901" s="53"/>
    </row>
    <row r="902" spans="29:42" ht="14.5">
      <c r="AC902" s="3"/>
      <c r="AD902" s="3"/>
      <c r="AP902" s="53"/>
    </row>
    <row r="903" spans="29:42" ht="14.5">
      <c r="AC903" s="3"/>
      <c r="AD903" s="3"/>
      <c r="AP903" s="53"/>
    </row>
    <row r="904" spans="29:42" ht="14.5">
      <c r="AC904" s="3"/>
      <c r="AD904" s="3"/>
      <c r="AP904" s="53"/>
    </row>
    <row r="905" spans="29:42" ht="14.5">
      <c r="AC905" s="3"/>
      <c r="AD905" s="3"/>
      <c r="AP905" s="53"/>
    </row>
    <row r="906" spans="29:42" ht="14.5">
      <c r="AC906" s="3"/>
      <c r="AD906" s="3"/>
      <c r="AP906" s="53"/>
    </row>
    <row r="907" spans="29:42" ht="14.5">
      <c r="AC907" s="3"/>
      <c r="AD907" s="3"/>
      <c r="AP907" s="53"/>
    </row>
    <row r="908" spans="29:42" ht="14.5">
      <c r="AC908" s="3"/>
      <c r="AD908" s="3"/>
      <c r="AP908" s="53"/>
    </row>
    <row r="909" spans="29:42" ht="14.5">
      <c r="AC909" s="3"/>
      <c r="AD909" s="3"/>
      <c r="AP909" s="53"/>
    </row>
    <row r="910" spans="29:42" ht="14.5">
      <c r="AC910" s="3"/>
      <c r="AD910" s="3"/>
      <c r="AP910" s="53"/>
    </row>
    <row r="911" spans="29:42" ht="14.5">
      <c r="AC911" s="3"/>
      <c r="AD911" s="3"/>
      <c r="AP911" s="53"/>
    </row>
    <row r="912" spans="29:42" ht="14.5">
      <c r="AC912" s="3"/>
      <c r="AD912" s="3"/>
      <c r="AP912" s="53"/>
    </row>
    <row r="913" spans="29:42" ht="14.5">
      <c r="AC913" s="3"/>
      <c r="AD913" s="3"/>
      <c r="AP913" s="53"/>
    </row>
    <row r="914" spans="29:42" ht="14.5">
      <c r="AC914" s="3"/>
      <c r="AD914" s="3"/>
      <c r="AP914" s="53"/>
    </row>
    <row r="915" spans="29:42" ht="14.5">
      <c r="AC915" s="3"/>
      <c r="AD915" s="3"/>
      <c r="AP915" s="53"/>
    </row>
    <row r="916" spans="29:42" ht="14.5">
      <c r="AC916" s="3"/>
      <c r="AD916" s="3"/>
      <c r="AP916" s="53"/>
    </row>
    <row r="917" spans="29:42" ht="14.5">
      <c r="AC917" s="3"/>
      <c r="AD917" s="3"/>
      <c r="AP917" s="53"/>
    </row>
    <row r="918" spans="29:42" ht="14.5">
      <c r="AC918" s="3"/>
      <c r="AD918" s="3"/>
      <c r="AP918" s="53"/>
    </row>
    <row r="919" spans="29:42" ht="14.5">
      <c r="AC919" s="3"/>
      <c r="AD919" s="3"/>
      <c r="AP919" s="53"/>
    </row>
    <row r="920" spans="29:42" ht="14.5">
      <c r="AC920" s="3"/>
      <c r="AD920" s="3"/>
      <c r="AP920" s="53"/>
    </row>
    <row r="921" spans="29:42" ht="14.5">
      <c r="AC921" s="3"/>
      <c r="AD921" s="3"/>
      <c r="AP921" s="53"/>
    </row>
    <row r="922" spans="29:42" ht="14.5">
      <c r="AC922" s="3"/>
      <c r="AD922" s="3"/>
      <c r="AP922" s="53"/>
    </row>
    <row r="923" spans="29:42" ht="14.5">
      <c r="AC923" s="3"/>
      <c r="AD923" s="3"/>
      <c r="AP923" s="53"/>
    </row>
    <row r="924" spans="29:42" ht="14.5">
      <c r="AC924" s="3"/>
      <c r="AD924" s="3"/>
      <c r="AP924" s="53"/>
    </row>
    <row r="925" spans="29:42" ht="14.5">
      <c r="AC925" s="3"/>
      <c r="AD925" s="3"/>
      <c r="AP925" s="53"/>
    </row>
    <row r="926" spans="29:42" ht="14.5">
      <c r="AC926" s="3"/>
      <c r="AD926" s="3"/>
      <c r="AP926" s="53"/>
    </row>
    <row r="927" spans="29:42" ht="14.5">
      <c r="AC927" s="3"/>
      <c r="AD927" s="3"/>
      <c r="AP927" s="53"/>
    </row>
    <row r="928" spans="29:42" ht="14.5">
      <c r="AC928" s="3"/>
      <c r="AD928" s="3"/>
      <c r="AP928" s="53"/>
    </row>
    <row r="929" spans="29:42" ht="14.5">
      <c r="AC929" s="3"/>
      <c r="AD929" s="3"/>
      <c r="AP929" s="53"/>
    </row>
    <row r="930" spans="29:42" ht="14.5">
      <c r="AC930" s="3"/>
      <c r="AD930" s="3"/>
      <c r="AP930" s="53"/>
    </row>
    <row r="931" spans="29:42" ht="14.5">
      <c r="AC931" s="3"/>
      <c r="AD931" s="3"/>
      <c r="AP931" s="53"/>
    </row>
    <row r="932" spans="29:42" ht="14.5">
      <c r="AC932" s="3"/>
      <c r="AD932" s="3"/>
      <c r="AP932" s="53"/>
    </row>
    <row r="933" spans="29:42" ht="14.5">
      <c r="AC933" s="3"/>
      <c r="AD933" s="3"/>
      <c r="AP933" s="53"/>
    </row>
    <row r="934" spans="29:42" ht="14.5">
      <c r="AC934" s="3"/>
      <c r="AD934" s="3"/>
      <c r="AP934" s="53"/>
    </row>
    <row r="935" spans="29:42" ht="14.5">
      <c r="AC935" s="3"/>
      <c r="AD935" s="3"/>
      <c r="AP935" s="53"/>
    </row>
    <row r="936" spans="29:42" ht="14.5">
      <c r="AC936" s="3"/>
      <c r="AD936" s="3"/>
      <c r="AP936" s="53"/>
    </row>
    <row r="937" spans="29:42" ht="14.5">
      <c r="AC937" s="3"/>
      <c r="AD937" s="3"/>
      <c r="AP937" s="53"/>
    </row>
    <row r="938" spans="29:42" ht="14.5">
      <c r="AC938" s="3"/>
      <c r="AD938" s="3"/>
      <c r="AP938" s="53"/>
    </row>
    <row r="939" spans="29:42" ht="14.5">
      <c r="AC939" s="3"/>
      <c r="AD939" s="3"/>
      <c r="AP939" s="53"/>
    </row>
    <row r="940" spans="29:42" ht="14.5">
      <c r="AC940" s="3"/>
      <c r="AD940" s="3"/>
      <c r="AP940" s="53"/>
    </row>
    <row r="941" spans="29:42" ht="14.5">
      <c r="AC941" s="3"/>
      <c r="AD941" s="3"/>
      <c r="AP941" s="53"/>
    </row>
    <row r="942" spans="29:42" ht="14.5">
      <c r="AC942" s="3"/>
      <c r="AD942" s="3"/>
      <c r="AP942" s="53"/>
    </row>
    <row r="943" spans="29:42" ht="14.5">
      <c r="AC943" s="3"/>
      <c r="AD943" s="3"/>
      <c r="AP943" s="53"/>
    </row>
    <row r="944" spans="29:42" ht="14.5">
      <c r="AC944" s="3"/>
      <c r="AD944" s="3"/>
      <c r="AP944" s="53"/>
    </row>
    <row r="945" spans="29:42" ht="14.5">
      <c r="AC945" s="3"/>
      <c r="AD945" s="3"/>
      <c r="AP945" s="53"/>
    </row>
    <row r="946" spans="29:42" ht="14.5">
      <c r="AC946" s="3"/>
      <c r="AD946" s="3"/>
      <c r="AP946" s="53"/>
    </row>
    <row r="947" spans="29:42" ht="14.5">
      <c r="AC947" s="3"/>
      <c r="AD947" s="3"/>
      <c r="AP947" s="53"/>
    </row>
    <row r="948" spans="29:42" ht="14.5">
      <c r="AC948" s="3"/>
      <c r="AD948" s="3"/>
      <c r="AP948" s="53"/>
    </row>
    <row r="949" spans="29:42" ht="14.5">
      <c r="AC949" s="3"/>
      <c r="AD949" s="3"/>
      <c r="AP949" s="53"/>
    </row>
    <row r="950" spans="29:42" ht="14.5">
      <c r="AC950" s="3"/>
      <c r="AD950" s="3"/>
      <c r="AP950" s="53"/>
    </row>
    <row r="951" spans="29:42" ht="14.5">
      <c r="AC951" s="3"/>
      <c r="AD951" s="3"/>
      <c r="AP951" s="53"/>
    </row>
    <row r="952" spans="29:42" ht="14.5">
      <c r="AC952" s="3"/>
      <c r="AD952" s="3"/>
      <c r="AP952" s="53"/>
    </row>
    <row r="953" spans="29:42" ht="14.5">
      <c r="AC953" s="3"/>
      <c r="AD953" s="3"/>
      <c r="AP953" s="53"/>
    </row>
    <row r="954" spans="29:42" ht="14.5">
      <c r="AC954" s="3"/>
      <c r="AD954" s="3"/>
      <c r="AP954" s="53"/>
    </row>
    <row r="955" spans="29:42" ht="14.5">
      <c r="AC955" s="3"/>
      <c r="AD955" s="3"/>
      <c r="AP955" s="53"/>
    </row>
    <row r="956" spans="29:42" ht="14.5">
      <c r="AC956" s="3"/>
      <c r="AD956" s="3"/>
      <c r="AP956" s="53"/>
    </row>
    <row r="957" spans="29:42" ht="14.5">
      <c r="AC957" s="3"/>
      <c r="AD957" s="3"/>
      <c r="AP957" s="53"/>
    </row>
    <row r="958" spans="29:42" ht="14.5">
      <c r="AC958" s="3"/>
      <c r="AD958" s="3"/>
      <c r="AP958" s="53"/>
    </row>
    <row r="959" spans="29:42" ht="14.5">
      <c r="AC959" s="3"/>
      <c r="AD959" s="3"/>
      <c r="AP959" s="53"/>
    </row>
    <row r="960" spans="29:42" ht="14.5">
      <c r="AC960" s="3"/>
      <c r="AD960" s="3"/>
      <c r="AP960" s="53"/>
    </row>
    <row r="961" spans="29:42" ht="14.5">
      <c r="AC961" s="3"/>
      <c r="AD961" s="3"/>
      <c r="AP961" s="53"/>
    </row>
    <row r="962" spans="29:42" ht="14.5">
      <c r="AC962" s="3"/>
      <c r="AD962" s="3"/>
      <c r="AP962" s="53"/>
    </row>
    <row r="963" spans="29:42" ht="14.5">
      <c r="AC963" s="3"/>
      <c r="AD963" s="3"/>
      <c r="AP963" s="53"/>
    </row>
    <row r="964" spans="29:42" ht="14.5">
      <c r="AC964" s="3"/>
      <c r="AD964" s="3"/>
      <c r="AP964" s="53"/>
    </row>
    <row r="965" spans="29:42" ht="14.5">
      <c r="AC965" s="3"/>
      <c r="AD965" s="3"/>
      <c r="AP965" s="53"/>
    </row>
    <row r="966" spans="29:42" ht="14.5">
      <c r="AC966" s="3"/>
      <c r="AD966" s="3"/>
      <c r="AP966" s="53"/>
    </row>
    <row r="967" spans="29:42" ht="14.5">
      <c r="AC967" s="3"/>
      <c r="AD967" s="3"/>
      <c r="AP967" s="53"/>
    </row>
    <row r="968" spans="29:42" ht="14.5">
      <c r="AC968" s="3"/>
      <c r="AD968" s="3"/>
      <c r="AP968" s="53"/>
    </row>
    <row r="969" spans="29:42" ht="14.5">
      <c r="AC969" s="3"/>
      <c r="AD969" s="3"/>
      <c r="AP969" s="53"/>
    </row>
    <row r="970" spans="29:42" ht="14.5">
      <c r="AC970" s="3"/>
      <c r="AD970" s="3"/>
      <c r="AP970" s="53"/>
    </row>
    <row r="971" spans="29:42" ht="14.5">
      <c r="AC971" s="3"/>
      <c r="AD971" s="3"/>
      <c r="AP971" s="53"/>
    </row>
    <row r="972" spans="29:42" ht="14.5">
      <c r="AC972" s="3"/>
      <c r="AD972" s="3"/>
      <c r="AP972" s="53"/>
    </row>
    <row r="973" spans="29:42" ht="14.5">
      <c r="AC973" s="3"/>
      <c r="AD973" s="3"/>
      <c r="AP973" s="53"/>
    </row>
    <row r="974" spans="29:42" ht="14.5">
      <c r="AC974" s="3"/>
      <c r="AD974" s="3"/>
      <c r="AP974" s="53"/>
    </row>
    <row r="975" spans="29:42" ht="14.5">
      <c r="AC975" s="3"/>
      <c r="AD975" s="3"/>
      <c r="AP975" s="53"/>
    </row>
    <row r="976" spans="29:42" ht="14.5">
      <c r="AC976" s="3"/>
      <c r="AD976" s="3"/>
      <c r="AP976" s="53"/>
    </row>
    <row r="977" spans="29:42" ht="14.5">
      <c r="AC977" s="3"/>
      <c r="AD977" s="3"/>
      <c r="AP977" s="53"/>
    </row>
    <row r="978" spans="29:42" ht="14.5">
      <c r="AC978" s="3"/>
      <c r="AD978" s="3"/>
      <c r="AP978" s="53"/>
    </row>
    <row r="979" spans="29:42" ht="14.5">
      <c r="AC979" s="3"/>
      <c r="AD979" s="3"/>
      <c r="AP979" s="53"/>
    </row>
    <row r="980" spans="29:42" ht="14.5">
      <c r="AC980" s="3"/>
      <c r="AD980" s="3"/>
      <c r="AP980" s="53"/>
    </row>
    <row r="981" spans="29:42" ht="14.5">
      <c r="AC981" s="3"/>
      <c r="AD981" s="3"/>
      <c r="AP981" s="53"/>
    </row>
    <row r="982" spans="29:42" ht="14.5">
      <c r="AC982" s="3"/>
      <c r="AD982" s="3"/>
      <c r="AP982" s="53"/>
    </row>
    <row r="983" spans="29:42" ht="14.5">
      <c r="AC983" s="3"/>
      <c r="AD983" s="3"/>
      <c r="AP983" s="53"/>
    </row>
    <row r="984" spans="29:42" ht="14.5">
      <c r="AC984" s="3"/>
      <c r="AD984" s="3"/>
      <c r="AP984" s="53"/>
    </row>
    <row r="985" spans="29:42" ht="14.5">
      <c r="AC985" s="3"/>
      <c r="AD985" s="3"/>
      <c r="AP985" s="53"/>
    </row>
    <row r="986" spans="29:42" ht="14.5">
      <c r="AC986" s="3"/>
      <c r="AD986" s="3"/>
      <c r="AP986" s="53"/>
    </row>
    <row r="987" spans="29:42" ht="14.5">
      <c r="AC987" s="3"/>
      <c r="AD987" s="3"/>
      <c r="AP987" s="53"/>
    </row>
    <row r="988" spans="29:42" ht="14.5">
      <c r="AC988" s="3"/>
      <c r="AD988" s="3"/>
      <c r="AP988" s="53"/>
    </row>
    <row r="989" spans="29:42" ht="14.5">
      <c r="AC989" s="3"/>
      <c r="AD989" s="3"/>
      <c r="AP989" s="53"/>
    </row>
    <row r="990" spans="29:42" ht="14.5">
      <c r="AC990" s="3"/>
      <c r="AD990" s="3"/>
      <c r="AP990" s="53"/>
    </row>
    <row r="991" spans="29:42" ht="14.5">
      <c r="AC991" s="3"/>
      <c r="AD991" s="3"/>
      <c r="AP991" s="53"/>
    </row>
    <row r="992" spans="29:42" ht="14.5">
      <c r="AC992" s="3"/>
      <c r="AD992" s="3"/>
      <c r="AP992" s="53"/>
    </row>
    <row r="993" spans="29:42" ht="14.5">
      <c r="AC993" s="3"/>
      <c r="AD993" s="3"/>
      <c r="AP993" s="53"/>
    </row>
    <row r="994" spans="29:42" ht="14.5">
      <c r="AC994" s="3"/>
      <c r="AD994" s="3"/>
      <c r="AP994" s="53"/>
    </row>
    <row r="995" spans="29:42" ht="14.5">
      <c r="AC995" s="3"/>
      <c r="AD995" s="3"/>
      <c r="AP995" s="53"/>
    </row>
    <row r="996" spans="29:42" ht="14.5">
      <c r="AC996" s="3"/>
      <c r="AD996" s="3"/>
      <c r="AP996" s="53"/>
    </row>
    <row r="997" spans="29:42" ht="14.5">
      <c r="AC997" s="3"/>
      <c r="AD997" s="3"/>
      <c r="AP997" s="53"/>
    </row>
    <row r="998" spans="29:42" ht="14.5">
      <c r="AC998" s="3"/>
      <c r="AD998" s="3"/>
      <c r="AP998" s="53"/>
    </row>
    <row r="999" spans="29:42" ht="14.5">
      <c r="AC999" s="3"/>
      <c r="AD999" s="3"/>
      <c r="AP999" s="53"/>
    </row>
    <row r="1000" spans="29:42" ht="14.5">
      <c r="AC1000" s="3"/>
      <c r="AD1000" s="3"/>
      <c r="AP1000" s="53"/>
    </row>
    <row r="1001" spans="29:42" ht="14.5">
      <c r="AC1001" s="3"/>
      <c r="AD1001" s="3"/>
      <c r="AP1001" s="53"/>
    </row>
    <row r="1002" spans="29:42" ht="14.5">
      <c r="AC1002" s="3"/>
      <c r="AD1002" s="3"/>
      <c r="AP1002" s="53"/>
    </row>
    <row r="1003" spans="29:42" ht="14.5">
      <c r="AC1003" s="3"/>
      <c r="AD1003" s="3"/>
      <c r="AP1003" s="53"/>
    </row>
    <row r="1004" spans="29:42" ht="14.5">
      <c r="AC1004" s="3"/>
      <c r="AD1004" s="3"/>
      <c r="AP1004" s="53"/>
    </row>
    <row r="1005" spans="29:42" ht="14.5">
      <c r="AC1005" s="3"/>
      <c r="AD1005" s="3"/>
      <c r="AP1005" s="53"/>
    </row>
    <row r="1006" spans="29:42" ht="14.5">
      <c r="AC1006" s="3"/>
      <c r="AD1006" s="3"/>
      <c r="AP1006" s="53"/>
    </row>
    <row r="1007" spans="29:42" ht="14.5">
      <c r="AC1007" s="3"/>
      <c r="AD1007" s="3"/>
      <c r="AP1007" s="53"/>
    </row>
    <row r="1008" spans="29:42" ht="14.5">
      <c r="AC1008" s="3"/>
      <c r="AD1008" s="3"/>
      <c r="AP1008" s="53"/>
    </row>
    <row r="1009" spans="29:42" ht="14.5">
      <c r="AC1009" s="3"/>
      <c r="AD1009" s="3"/>
      <c r="AP1009" s="53"/>
    </row>
    <row r="1010" spans="29:42" ht="14.5">
      <c r="AC1010" s="3"/>
      <c r="AD1010" s="3"/>
      <c r="AP1010" s="53"/>
    </row>
    <row r="1011" spans="29:42" ht="14.5">
      <c r="AC1011" s="3"/>
      <c r="AD1011" s="3"/>
      <c r="AP1011" s="53"/>
    </row>
    <row r="1012" spans="29:42" ht="14.5">
      <c r="AC1012" s="3"/>
      <c r="AD1012" s="3"/>
      <c r="AP1012" s="53"/>
    </row>
    <row r="1013" spans="29:42" ht="14.5">
      <c r="AC1013" s="3"/>
      <c r="AD1013" s="3"/>
      <c r="AP1013" s="53"/>
    </row>
    <row r="1014" spans="29:42" ht="14.5">
      <c r="AC1014" s="3"/>
      <c r="AD1014" s="3"/>
      <c r="AP1014" s="53"/>
    </row>
    <row r="1015" spans="29:42" ht="14.5">
      <c r="AC1015" s="3"/>
      <c r="AD1015" s="3"/>
      <c r="AP1015" s="53"/>
    </row>
    <row r="1016" spans="29:42" ht="14.5">
      <c r="AC1016" s="3"/>
      <c r="AD1016" s="3"/>
      <c r="AP1016" s="53"/>
    </row>
    <row r="1017" spans="29:42" ht="14.5">
      <c r="AC1017" s="3"/>
      <c r="AD1017" s="3"/>
      <c r="AP1017" s="53"/>
    </row>
    <row r="1018" spans="29:42" ht="14.5">
      <c r="AC1018" s="3"/>
      <c r="AD1018" s="3"/>
      <c r="AP1018" s="53"/>
    </row>
    <row r="1019" spans="29:42" ht="14.5">
      <c r="AC1019" s="3"/>
      <c r="AD1019" s="3"/>
      <c r="AP1019" s="53"/>
    </row>
    <row r="1020" spans="29:42" ht="14.5">
      <c r="AC1020" s="3"/>
      <c r="AD1020" s="3"/>
      <c r="AP1020" s="53"/>
    </row>
    <row r="1021" spans="29:42" ht="14.5">
      <c r="AC1021" s="3"/>
      <c r="AD1021" s="3"/>
      <c r="AP1021" s="53"/>
    </row>
    <row r="1022" spans="29:42" ht="14.5">
      <c r="AC1022" s="3"/>
      <c r="AD1022" s="3"/>
      <c r="AP1022" s="53"/>
    </row>
    <row r="1023" spans="29:42" ht="14.5">
      <c r="AC1023" s="3"/>
      <c r="AD1023" s="3"/>
      <c r="AP1023" s="53"/>
    </row>
    <row r="1024" spans="29:42" ht="14.5">
      <c r="AC1024" s="3"/>
      <c r="AD1024" s="3"/>
      <c r="AP1024" s="53"/>
    </row>
    <row r="1025" spans="29:42" ht="14.5">
      <c r="AC1025" s="3"/>
      <c r="AD1025" s="3"/>
      <c r="AP1025" s="53"/>
    </row>
    <row r="1026" spans="29:42" ht="14.5">
      <c r="AC1026" s="3"/>
      <c r="AD1026" s="3"/>
      <c r="AP1026" s="53"/>
    </row>
    <row r="1027" spans="29:42" ht="14.5">
      <c r="AC1027" s="3"/>
      <c r="AD1027" s="3"/>
      <c r="AP1027" s="53"/>
    </row>
    <row r="1028" spans="29:42" ht="14.5">
      <c r="AC1028" s="3"/>
      <c r="AD1028" s="3"/>
      <c r="AP1028" s="53"/>
    </row>
    <row r="1029" spans="29:42" ht="14.5">
      <c r="AC1029" s="3"/>
      <c r="AD1029" s="3"/>
      <c r="AP1029" s="53"/>
    </row>
    <row r="1030" spans="29:42" ht="14.5">
      <c r="AC1030" s="3"/>
      <c r="AD1030" s="3"/>
      <c r="AP1030" s="53"/>
    </row>
    <row r="1031" spans="29:42" ht="14.5">
      <c r="AC1031" s="3"/>
      <c r="AD1031" s="3"/>
      <c r="AP1031" s="53"/>
    </row>
    <row r="1032" spans="29:42" ht="14.5">
      <c r="AC1032" s="3"/>
      <c r="AD1032" s="3"/>
      <c r="AP1032" s="53"/>
    </row>
    <row r="1033" spans="29:42" ht="14.5">
      <c r="AC1033" s="3"/>
      <c r="AD1033" s="3"/>
      <c r="AP1033" s="53"/>
    </row>
    <row r="1034" spans="29:42" ht="14.5">
      <c r="AC1034" s="3"/>
      <c r="AD1034" s="3"/>
      <c r="AP1034" s="53"/>
    </row>
    <row r="1035" spans="29:42" ht="14.5">
      <c r="AC1035" s="3"/>
      <c r="AD1035" s="3"/>
      <c r="AP1035" s="53"/>
    </row>
    <row r="1036" spans="29:42" ht="14.5">
      <c r="AC1036" s="3"/>
      <c r="AD1036" s="3"/>
      <c r="AP1036" s="53"/>
    </row>
    <row r="1037" spans="29:42" ht="14.5">
      <c r="AC1037" s="3"/>
      <c r="AD1037" s="3"/>
      <c r="AP1037" s="53"/>
    </row>
    <row r="1038" spans="29:42" ht="14.5">
      <c r="AC1038" s="3"/>
      <c r="AD1038" s="3"/>
      <c r="AP1038" s="53"/>
    </row>
    <row r="1039" spans="29:42" ht="14.5">
      <c r="AC1039" s="3"/>
      <c r="AD1039" s="3"/>
      <c r="AP1039" s="53"/>
    </row>
    <row r="1040" spans="29:42" ht="14.5">
      <c r="AC1040" s="3"/>
      <c r="AD1040" s="3"/>
      <c r="AP1040" s="53"/>
    </row>
    <row r="1041" spans="29:42" ht="14.5">
      <c r="AC1041" s="3"/>
      <c r="AD1041" s="3"/>
      <c r="AP1041" s="53"/>
    </row>
    <row r="1042" spans="29:42" ht="14.5">
      <c r="AC1042" s="3"/>
      <c r="AD1042" s="3"/>
      <c r="AP1042" s="53"/>
    </row>
    <row r="1043" spans="29:42" ht="14.5">
      <c r="AC1043" s="3"/>
      <c r="AD1043" s="3"/>
      <c r="AP1043" s="53"/>
    </row>
    <row r="1044" spans="29:42" ht="14.5">
      <c r="AC1044" s="3"/>
      <c r="AD1044" s="3"/>
      <c r="AP1044" s="53"/>
    </row>
    <row r="1045" spans="29:42" ht="14.5">
      <c r="AC1045" s="3"/>
      <c r="AD1045" s="3"/>
      <c r="AP1045" s="53"/>
    </row>
    <row r="1046" spans="29:42" ht="14.5">
      <c r="AC1046" s="3"/>
      <c r="AD1046" s="3"/>
      <c r="AP1046" s="53"/>
    </row>
    <row r="1047" spans="29:42" ht="14.5">
      <c r="AC1047" s="3"/>
      <c r="AD1047" s="3"/>
      <c r="AP1047" s="53"/>
    </row>
    <row r="1048" spans="29:42" ht="14.5">
      <c r="AC1048" s="3"/>
      <c r="AD1048" s="3"/>
      <c r="AP1048" s="53"/>
    </row>
    <row r="1049" spans="29:42" ht="14.5">
      <c r="AC1049" s="3"/>
      <c r="AD1049" s="3"/>
      <c r="AP1049" s="53"/>
    </row>
    <row r="1050" spans="29:42" ht="14.5">
      <c r="AC1050" s="3"/>
      <c r="AD1050" s="3"/>
      <c r="AP1050" s="53"/>
    </row>
    <row r="1051" spans="29:42" ht="14.5">
      <c r="AC1051" s="3"/>
      <c r="AD1051" s="3"/>
      <c r="AP1051" s="53"/>
    </row>
    <row r="1052" spans="29:42" ht="14.5">
      <c r="AC1052" s="3"/>
      <c r="AD1052" s="3"/>
      <c r="AP1052" s="53"/>
    </row>
    <row r="1053" spans="29:42" ht="14.5">
      <c r="AC1053" s="3"/>
      <c r="AD1053" s="3"/>
      <c r="AP1053" s="53"/>
    </row>
    <row r="1054" spans="29:42" ht="14.5">
      <c r="AC1054" s="3"/>
      <c r="AD1054" s="3"/>
      <c r="AP1054" s="53"/>
    </row>
    <row r="1055" spans="29:42" ht="14.5">
      <c r="AC1055" s="3"/>
      <c r="AD1055" s="3"/>
      <c r="AP1055" s="53"/>
    </row>
    <row r="1056" spans="29:42" ht="14.5">
      <c r="AC1056" s="3"/>
      <c r="AD1056" s="3"/>
      <c r="AP1056" s="53"/>
    </row>
    <row r="1057" spans="29:42" ht="14.5">
      <c r="AC1057" s="3"/>
      <c r="AD1057" s="3"/>
      <c r="AP1057" s="53"/>
    </row>
    <row r="1058" spans="29:42" ht="14.5">
      <c r="AC1058" s="3"/>
      <c r="AD1058" s="3"/>
      <c r="AP1058" s="53"/>
    </row>
    <row r="1059" spans="29:42" ht="14.5">
      <c r="AC1059" s="3"/>
      <c r="AD1059" s="3"/>
      <c r="AP1059" s="53"/>
    </row>
    <row r="1060" spans="29:42" ht="14.5">
      <c r="AC1060" s="3"/>
      <c r="AD1060" s="3"/>
      <c r="AP1060" s="53"/>
    </row>
    <row r="1061" spans="29:42" ht="14.5">
      <c r="AC1061" s="3"/>
      <c r="AD1061" s="3"/>
      <c r="AP1061" s="53"/>
    </row>
    <row r="1062" spans="29:42" ht="14.5">
      <c r="AC1062" s="3"/>
      <c r="AD1062" s="3"/>
      <c r="AP1062" s="53"/>
    </row>
    <row r="1063" spans="29:42" ht="14.5">
      <c r="AC1063" s="3"/>
      <c r="AD1063" s="3"/>
      <c r="AP1063" s="53"/>
    </row>
    <row r="1064" spans="29:42" ht="14.5">
      <c r="AC1064" s="3"/>
      <c r="AD1064" s="3"/>
      <c r="AP1064" s="53"/>
    </row>
    <row r="1065" spans="29:42" ht="14.5">
      <c r="AC1065" s="3"/>
      <c r="AD1065" s="3"/>
      <c r="AP1065" s="53"/>
    </row>
    <row r="1066" spans="29:42" ht="14.5">
      <c r="AC1066" s="3"/>
      <c r="AD1066" s="3"/>
      <c r="AP1066" s="53"/>
    </row>
    <row r="1067" spans="29:42" ht="14.5">
      <c r="AC1067" s="3"/>
      <c r="AD1067" s="3"/>
      <c r="AP1067" s="53"/>
    </row>
    <row r="1068" spans="29:42" ht="14.5">
      <c r="AC1068" s="3"/>
      <c r="AD1068" s="3"/>
      <c r="AP1068" s="53"/>
    </row>
    <row r="1069" spans="29:42" ht="14.5">
      <c r="AC1069" s="3"/>
      <c r="AD1069" s="3"/>
      <c r="AP1069" s="53"/>
    </row>
    <row r="1070" spans="29:42" ht="14.5">
      <c r="AC1070" s="3"/>
      <c r="AD1070" s="3"/>
      <c r="AP1070" s="53"/>
    </row>
    <row r="1071" spans="29:42" ht="14.5">
      <c r="AC1071" s="3"/>
      <c r="AD1071" s="3"/>
      <c r="AP1071" s="53"/>
    </row>
    <row r="1072" spans="29:42" ht="14.5">
      <c r="AC1072" s="3"/>
      <c r="AD1072" s="3"/>
      <c r="AP1072" s="53"/>
    </row>
    <row r="1073" spans="29:42" ht="14.5">
      <c r="AC1073" s="3"/>
      <c r="AD1073" s="3"/>
      <c r="AP1073" s="53"/>
    </row>
    <row r="1074" spans="29:42" ht="14.5">
      <c r="AC1074" s="3"/>
      <c r="AD1074" s="3"/>
      <c r="AP1074" s="53"/>
    </row>
    <row r="1075" spans="29:42" ht="14.5">
      <c r="AC1075" s="3"/>
      <c r="AD1075" s="3"/>
      <c r="AP1075" s="53"/>
    </row>
    <row r="1076" spans="29:42" ht="14.5">
      <c r="AC1076" s="3"/>
      <c r="AD1076" s="3"/>
      <c r="AP1076" s="53"/>
    </row>
    <row r="1077" spans="29:42" ht="14.5">
      <c r="AC1077" s="3"/>
      <c r="AD1077" s="3"/>
      <c r="AP1077" s="53"/>
    </row>
    <row r="1078" spans="29:42" ht="14.5">
      <c r="AC1078" s="3"/>
      <c r="AD1078" s="3"/>
      <c r="AP1078" s="53"/>
    </row>
    <row r="1079" spans="29:42" ht="14.5">
      <c r="AC1079" s="3"/>
      <c r="AD1079" s="3"/>
      <c r="AP1079" s="53"/>
    </row>
    <row r="1080" spans="29:42" ht="14.5">
      <c r="AC1080" s="3"/>
      <c r="AD1080" s="3"/>
      <c r="AP1080" s="53"/>
    </row>
    <row r="1081" spans="29:42" ht="14.5">
      <c r="AC1081" s="3"/>
      <c r="AD1081" s="3"/>
      <c r="AP1081" s="53"/>
    </row>
    <row r="1082" spans="29:42" ht="14.5">
      <c r="AC1082" s="3"/>
      <c r="AD1082" s="3"/>
      <c r="AP1082" s="53"/>
    </row>
    <row r="1083" spans="29:42" ht="14.5">
      <c r="AC1083" s="3"/>
      <c r="AD1083" s="3"/>
      <c r="AP1083" s="53"/>
    </row>
    <row r="1084" spans="29:42" ht="14.5">
      <c r="AC1084" s="3"/>
      <c r="AD1084" s="3"/>
      <c r="AP1084" s="53"/>
    </row>
  </sheetData>
  <mergeCells count="3">
    <mergeCell ref="A1:B1"/>
    <mergeCell ref="D296:I296"/>
    <mergeCell ref="N296:S296"/>
  </mergeCells>
  <conditionalFormatting sqref="AC1:AF3 AC44:AF44 AC69:AF69 AC94:AF94 AC119:AF119 AC144:AF144 AC169:AF169 AC196:AF203 AC228:AF228 AG296:AG321 AC329:AF1084 AG293:AH294 AC293:AF326 AC253:AF255 AC284:AH290 AA279:AF283 AG255:AH255 AC278:AH278 AE256:AJ277 AC17:AF19 W15:Z16">
    <cfRule type="notContainsBlanks" dxfId="0" priority="1">
      <formula>LEN(TRIM(W1))&gt;0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Ashvat_Design_0</vt:lpstr>
      <vt:lpstr>Ashvat_Design_6000</vt:lpstr>
      <vt:lpstr>Ashvat_Ferry_0</vt:lpstr>
      <vt:lpstr>Ashvat_Ferry_6000</vt:lpstr>
      <vt:lpstr>Ashvat Design Coeff</vt:lpstr>
      <vt:lpstr>Ashvat Ferry Coeff</vt:lpstr>
      <vt:lpstr>Payload-Range</vt:lpstr>
      <vt:lpstr>Payload-Time</vt:lpstr>
      <vt:lpstr>Range Mach</vt:lpstr>
      <vt:lpstr>Ceiling </vt:lpstr>
      <vt:lpstr>Flight Envelope</vt:lpstr>
      <vt:lpstr>Payload-Time on Station</vt:lpstr>
      <vt:lpstr>Trade study 1</vt:lpstr>
      <vt:lpstr>Trade study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Merret, Jason M</dc:creator>
  <cp:lastModifiedBy>Ashvat Bansal</cp:lastModifiedBy>
  <dcterms:created xsi:type="dcterms:W3CDTF">2021-02-18T17:36:20Z</dcterms:created>
  <dcterms:modified xsi:type="dcterms:W3CDTF">2021-05-04T06:22:36Z</dcterms:modified>
</cp:coreProperties>
</file>